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490" windowHeight="7620"/>
  </bookViews>
  <sheets>
    <sheet sheetId="1" name="Data Retailsoft" state="visible" r:id="rId4"/>
  </sheets>
  <definedNames>
    <definedName name="_xlnm._FilterDatabase">'Data Retailsoft'!$K$3:$K$16797</definedName>
  </definedNames>
  <calcPr calcId="171027"/>
</workbook>
</file>

<file path=xl/sharedStrings.xml><?xml version="1.0" encoding="utf-8"?>
<sst xmlns="http://schemas.openxmlformats.org/spreadsheetml/2006/main" count="140745" uniqueCount="44987">
  <si>
    <t>Customer ID</t>
  </si>
  <si>
    <t>Is Individual</t>
  </si>
  <si>
    <t>Company Name</t>
  </si>
  <si>
    <t>First Name</t>
  </si>
  <si>
    <t>Middle Name</t>
  </si>
  <si>
    <t>Last Name</t>
  </si>
  <si>
    <t>Birthday Date</t>
  </si>
  <si>
    <t>Web Address</t>
  </si>
  <si>
    <t>Comments</t>
  </si>
  <si>
    <t>Email</t>
  </si>
  <si>
    <t>Phone</t>
  </si>
  <si>
    <t>Primary Subsidiary</t>
  </si>
  <si>
    <t>Represent Subsidiary</t>
  </si>
  <si>
    <t>Customer Type</t>
  </si>
  <si>
    <t>Customer Tier</t>
  </si>
  <si>
    <t>Currency</t>
  </si>
  <si>
    <t>Default Receivables Account</t>
  </si>
  <si>
    <t>Terms</t>
  </si>
  <si>
    <t>Credit Limit</t>
  </si>
  <si>
    <t>Attention</t>
  </si>
  <si>
    <t>Addressee</t>
  </si>
  <si>
    <t>Address 1</t>
  </si>
  <si>
    <t>Address 2</t>
  </si>
  <si>
    <t>City</t>
  </si>
  <si>
    <t>State</t>
  </si>
  <si>
    <t>ZIP</t>
  </si>
  <si>
    <t>Country</t>
  </si>
  <si>
    <t>Default Billing</t>
  </si>
  <si>
    <t>Default Shipping</t>
  </si>
  <si>
    <t>Enter Customer ID</t>
  </si>
  <si>
    <t xml:space="preserve">1) Yes for Individual Customer (First Name &amp; Last Name are mandatory)
2) No for Company Customer (Companu Name is mandatory)</t>
  </si>
  <si>
    <t>Enter Company Name</t>
  </si>
  <si>
    <t>Enter First Name</t>
  </si>
  <si>
    <t>Enter Middle Name</t>
  </si>
  <si>
    <t>Enter Last Name</t>
  </si>
  <si>
    <t>Enter Customer Borthday Date (D/MYYY)</t>
  </si>
  <si>
    <t>Enter Web Address</t>
  </si>
  <si>
    <t>Enter Comments</t>
  </si>
  <si>
    <t>Enter Email</t>
  </si>
  <si>
    <t>Enter Phone</t>
  </si>
  <si>
    <t>Enter Primary Subsidiary (for OneWorld Edition)</t>
  </si>
  <si>
    <t>Enter Represent Subsidiary (for OneWorld Edition &amp; Intercompany Customer)</t>
  </si>
  <si>
    <t>Enter Customer Type</t>
  </si>
  <si>
    <t>Enter Customer Tier</t>
  </si>
  <si>
    <t>Enter Currency</t>
  </si>
  <si>
    <t>Enter A/R Account</t>
  </si>
  <si>
    <t>Enter TErms</t>
  </si>
  <si>
    <t>Enter Credit Limit</t>
  </si>
  <si>
    <t>Enter Attention</t>
  </si>
  <si>
    <t>Enter Addresee</t>
  </si>
  <si>
    <t>Enter Address 1</t>
  </si>
  <si>
    <t>Enter Address 2</t>
  </si>
  <si>
    <t>Enter City</t>
  </si>
  <si>
    <t>Enter State</t>
  </si>
  <si>
    <t>Enter ZIP</t>
  </si>
  <si>
    <t>Enter Country</t>
  </si>
  <si>
    <t xml:space="preserve">1) Yes - for default billing
2) No - if not default billing</t>
  </si>
  <si>
    <t xml:space="preserve">1) Yes - for default shipping
2) No - if not default shipping</t>
  </si>
  <si>
    <t xml:space="preserve">Type:Number
 Max Len:22</t>
  </si>
  <si>
    <t>Type:List</t>
  </si>
  <si>
    <t xml:space="preserve">Type:Text
 Max Len:83</t>
  </si>
  <si>
    <t>Type:Text Max Len:32</t>
  </si>
  <si>
    <t xml:space="preserve">Type:Text 
Max Len:32</t>
  </si>
  <si>
    <t>Type:Date</t>
  </si>
  <si>
    <t>Type:Text</t>
  </si>
  <si>
    <t xml:space="preserve">Type:Text
 Max Len:4000</t>
  </si>
  <si>
    <t>Type:Number</t>
  </si>
  <si>
    <t xml:space="preserve">Type:Text 
Max Len:150 per line</t>
  </si>
  <si>
    <t xml:space="preserve">Type:Text
 Max Len:150 per line</t>
  </si>
  <si>
    <t>A-698</t>
  </si>
  <si>
    <t>Yes</t>
  </si>
  <si>
    <t>PT Mogems Putri International</t>
  </si>
  <si>
    <t>A. Ayu</t>
  </si>
  <si>
    <t>Ratih</t>
  </si>
  <si>
    <t>OLD</t>
  </si>
  <si>
    <t>A-036</t>
  </si>
  <si>
    <t>A.Fitriani</t>
  </si>
  <si>
    <t>NEW</t>
  </si>
  <si>
    <t>Makasar</t>
  </si>
  <si>
    <t>A-1169</t>
  </si>
  <si>
    <t>A.Mo</t>
  </si>
  <si>
    <t>AFF</t>
  </si>
  <si>
    <t>A-1616</t>
  </si>
  <si>
    <t>A. Mochtar</t>
  </si>
  <si>
    <t>Effendy</t>
  </si>
  <si>
    <t>A-883</t>
  </si>
  <si>
    <t>A.Safriadi</t>
  </si>
  <si>
    <t>A-1678</t>
  </si>
  <si>
    <t>A.Yen</t>
  </si>
  <si>
    <t xml:space="preserve">Taman Resort Mediterania
Blok Z12/12
Pantai Indah Kapuk, jakarta utara 14460</t>
  </si>
  <si>
    <t>Jakarta</t>
  </si>
  <si>
    <t>A-2004</t>
  </si>
  <si>
    <t>A.Zhen</t>
  </si>
  <si>
    <t>A-066</t>
  </si>
  <si>
    <t>A.Hoffan</t>
  </si>
  <si>
    <t>Jl. Alam Elok VII Blok UB-4 No. 16</t>
  </si>
  <si>
    <t>Jakarta Selatan</t>
  </si>
  <si>
    <t>Pondok Indah</t>
  </si>
  <si>
    <t>A-488</t>
  </si>
  <si>
    <t>A.Novianto</t>
  </si>
  <si>
    <t xml:space="preserve">JL.Kelapa kuning VII/1
Billy Moon</t>
  </si>
  <si>
    <t>A-1203</t>
  </si>
  <si>
    <t>A. Nurman</t>
  </si>
  <si>
    <t>Thahir</t>
  </si>
  <si>
    <t>A-1089</t>
  </si>
  <si>
    <t>A. Roosdiaty Hatta</t>
  </si>
  <si>
    <t>Ali</t>
  </si>
  <si>
    <t>A-138</t>
  </si>
  <si>
    <t>A.Subowo</t>
  </si>
  <si>
    <t xml:space="preserve">Bukit Golf PC16
Pondok Indah</t>
  </si>
  <si>
    <t>A-468</t>
  </si>
  <si>
    <t>A.Syafli</t>
  </si>
  <si>
    <t>A-1708</t>
  </si>
  <si>
    <t>A.Ary</t>
  </si>
  <si>
    <t>Prabowo</t>
  </si>
  <si>
    <t/>
  </si>
  <si>
    <t>628111793311</t>
  </si>
  <si>
    <t>Prospect</t>
  </si>
  <si>
    <t>10110</t>
  </si>
  <si>
    <t>Indonesia</t>
  </si>
  <si>
    <t>A-712</t>
  </si>
  <si>
    <t>A.Hidayat</t>
  </si>
  <si>
    <t>A-320</t>
  </si>
  <si>
    <t>A.Nugroho</t>
  </si>
  <si>
    <t>A-675</t>
  </si>
  <si>
    <t>A.Prayogo</t>
  </si>
  <si>
    <t>JL.Kambodja No 33 Jakarta 11430</t>
  </si>
  <si>
    <t>A-1531</t>
  </si>
  <si>
    <t>A.Stewart</t>
  </si>
  <si>
    <t>A-276</t>
  </si>
  <si>
    <t>Aan</t>
  </si>
  <si>
    <t>Subrata</t>
  </si>
  <si>
    <t>Jl. Patiunus 30</t>
  </si>
  <si>
    <t>Kebayoran Baru</t>
  </si>
  <si>
    <t>A-653</t>
  </si>
  <si>
    <t>Suparman</t>
  </si>
  <si>
    <t xml:space="preserve">Jl.Kh Hasyim Ashari no.1-C
Jakarta 10130</t>
  </si>
  <si>
    <t>M-1364</t>
  </si>
  <si>
    <t>Aaron</t>
  </si>
  <si>
    <t>Handajani</t>
  </si>
  <si>
    <t>A-2337</t>
  </si>
  <si>
    <t>Aaron James</t>
  </si>
  <si>
    <t>O Flynn</t>
  </si>
  <si>
    <t>info@allroofingsolutions.com</t>
  </si>
  <si>
    <t>447919562077</t>
  </si>
  <si>
    <t>High Potential</t>
  </si>
  <si>
    <t>Camberwell</t>
  </si>
  <si>
    <t>British</t>
  </si>
  <si>
    <t>United Kingdom</t>
  </si>
  <si>
    <t>A-1045</t>
  </si>
  <si>
    <t>Lim</t>
  </si>
  <si>
    <t>otasc@hotmail.com</t>
  </si>
  <si>
    <t>A-894</t>
  </si>
  <si>
    <t>Tan</t>
  </si>
  <si>
    <t>aaronxltan@yahoo.com</t>
  </si>
  <si>
    <t>8, Jalan Bukit</t>
  </si>
  <si>
    <t>Bentong</t>
  </si>
  <si>
    <t>A-002</t>
  </si>
  <si>
    <t>Aarti</t>
  </si>
  <si>
    <t>Fatechand</t>
  </si>
  <si>
    <t>A-003</t>
  </si>
  <si>
    <t>Aas</t>
  </si>
  <si>
    <t>Erik</t>
  </si>
  <si>
    <t>Pacific Place Residence</t>
  </si>
  <si>
    <t>1-23A</t>
  </si>
  <si>
    <t>A-1822</t>
  </si>
  <si>
    <t>Abaalkhail,</t>
  </si>
  <si>
    <t>H</t>
  </si>
  <si>
    <t>SAUDI ARABIA</t>
  </si>
  <si>
    <t>A-2291</t>
  </si>
  <si>
    <t>Abbas</t>
  </si>
  <si>
    <t>Ghulam</t>
  </si>
  <si>
    <t>+00639189917012</t>
  </si>
  <si>
    <t>Pakistan</t>
  </si>
  <si>
    <t>A-1609</t>
  </si>
  <si>
    <t>Abd</t>
  </si>
  <si>
    <t>Khair</t>
  </si>
  <si>
    <t>A-2178</t>
  </si>
  <si>
    <t>Abdel</t>
  </si>
  <si>
    <t>Khalifa</t>
  </si>
  <si>
    <t>Denpasar</t>
  </si>
  <si>
    <t>Bali</t>
  </si>
  <si>
    <t>A-1780</t>
  </si>
  <si>
    <t>Abdi</t>
  </si>
  <si>
    <t>Akbar</t>
  </si>
  <si>
    <t>A-892</t>
  </si>
  <si>
    <t>Hasan</t>
  </si>
  <si>
    <t>A-2258</t>
  </si>
  <si>
    <t>Rosiqin</t>
  </si>
  <si>
    <t>6282124451001</t>
  </si>
  <si>
    <t>Dki Jakarta</t>
  </si>
  <si>
    <t>A-342</t>
  </si>
  <si>
    <t>Abduel</t>
  </si>
  <si>
    <t>Azis</t>
  </si>
  <si>
    <t>A-2208</t>
  </si>
  <si>
    <t>Abdul</t>
  </si>
  <si>
    <t>Arif</t>
  </si>
  <si>
    <t>abdularif2710@gmail.com</t>
  </si>
  <si>
    <t>6281338444288</t>
  </si>
  <si>
    <t>Potential</t>
  </si>
  <si>
    <t>Aceh</t>
  </si>
  <si>
    <t>A-1270</t>
  </si>
  <si>
    <t>Ashahri</t>
  </si>
  <si>
    <t>A-1084</t>
  </si>
  <si>
    <t>A-1361</t>
  </si>
  <si>
    <t>Gani</t>
  </si>
  <si>
    <t>A-1462</t>
  </si>
  <si>
    <t>Tsabit</t>
  </si>
  <si>
    <t>A-1773</t>
  </si>
  <si>
    <t>Hakim</t>
  </si>
  <si>
    <t>Jalan Sumbawa Menteng</t>
  </si>
  <si>
    <t>A-310</t>
  </si>
  <si>
    <t>Halim</t>
  </si>
  <si>
    <t>A-2132</t>
  </si>
  <si>
    <t>Haris</t>
  </si>
  <si>
    <t>6281316841850</t>
  </si>
  <si>
    <t>Jl.KH Dewantoro</t>
  </si>
  <si>
    <t>Tangerang</t>
  </si>
  <si>
    <t>15110</t>
  </si>
  <si>
    <t>A-232</t>
  </si>
  <si>
    <t>Hassan</t>
  </si>
  <si>
    <t>A-1329</t>
  </si>
  <si>
    <t>Kadir</t>
  </si>
  <si>
    <t>A-351</t>
  </si>
  <si>
    <t>A-1937</t>
  </si>
  <si>
    <t>Latif</t>
  </si>
  <si>
    <t>A-644</t>
  </si>
  <si>
    <t>A-400</t>
  </si>
  <si>
    <t>Manaf</t>
  </si>
  <si>
    <t>A-007</t>
  </si>
  <si>
    <t>Rachman</t>
  </si>
  <si>
    <t>Jl. Sriwijaya Raya 15 Keb. Baru</t>
  </si>
  <si>
    <t>A-1100</t>
  </si>
  <si>
    <t>Adbul</t>
  </si>
  <si>
    <t>Razak</t>
  </si>
  <si>
    <t>+62811527770</t>
  </si>
  <si>
    <t>A-1992</t>
  </si>
  <si>
    <t>Abdulaziz</t>
  </si>
  <si>
    <t>Jasim</t>
  </si>
  <si>
    <t>Bahrain</t>
  </si>
  <si>
    <t>A-1579</t>
  </si>
  <si>
    <t>Abdullah</t>
  </si>
  <si>
    <t>Alfadhli</t>
  </si>
  <si>
    <t>A-1953</t>
  </si>
  <si>
    <t>Almaki</t>
  </si>
  <si>
    <t>saudi arabia</t>
  </si>
  <si>
    <t>A-2245</t>
  </si>
  <si>
    <t>Almarzoooqi</t>
  </si>
  <si>
    <t>abdullah_almarzooqi@hotmil.com</t>
  </si>
  <si>
    <t>971504772477</t>
  </si>
  <si>
    <t>Dubai</t>
  </si>
  <si>
    <t>Saudi Arabia</t>
  </si>
  <si>
    <t>A-2316</t>
  </si>
  <si>
    <t>Almushekih</t>
  </si>
  <si>
    <t>abdullahalmushekih@yahoo.com</t>
  </si>
  <si>
    <t>966506006011</t>
  </si>
  <si>
    <t>A-2107</t>
  </si>
  <si>
    <t>Abdul Majid</t>
  </si>
  <si>
    <t>Al Thaqeh</t>
  </si>
  <si>
    <t>majood1994@live.com</t>
  </si>
  <si>
    <t>+96566645200</t>
  </si>
  <si>
    <t>Inactive</t>
  </si>
  <si>
    <t>Kuwait</t>
  </si>
  <si>
    <t>A-2185</t>
  </si>
  <si>
    <t>Abdulrahman Saad</t>
  </si>
  <si>
    <t>Alsallum</t>
  </si>
  <si>
    <t>sallum.ab@gmail.com</t>
  </si>
  <si>
    <t>966542720400</t>
  </si>
  <si>
    <t>A-1382</t>
  </si>
  <si>
    <t>Abdurahman</t>
  </si>
  <si>
    <t>A-1696</t>
  </si>
  <si>
    <t>Fathan</t>
  </si>
  <si>
    <t>Jl Kemang Timur</t>
  </si>
  <si>
    <t>A-1466</t>
  </si>
  <si>
    <t>Abdurohmat</t>
  </si>
  <si>
    <t xml:space="preserve">Dgusta Residence 
Jakarta</t>
  </si>
  <si>
    <t>A-1815</t>
  </si>
  <si>
    <t>Abeer</t>
  </si>
  <si>
    <t>Aldous</t>
  </si>
  <si>
    <t>abeeralDous@gmail.com</t>
  </si>
  <si>
    <t>A-1635</t>
  </si>
  <si>
    <t>Abel</t>
  </si>
  <si>
    <t>Santoso</t>
  </si>
  <si>
    <t>Kedoya Garden Blok F No.15 Jakarta Barat</t>
  </si>
  <si>
    <t>A-944</t>
  </si>
  <si>
    <t>Abeng</t>
  </si>
  <si>
    <t xml:space="preserve">Jl. Talas / 8
Jakarta Barat</t>
  </si>
  <si>
    <t>A-982</t>
  </si>
  <si>
    <t>Aberaham</t>
  </si>
  <si>
    <t>A-1835</t>
  </si>
  <si>
    <t>Abhijit</t>
  </si>
  <si>
    <t>Palande</t>
  </si>
  <si>
    <t>abhipalande@hotmail.com</t>
  </si>
  <si>
    <t>16/03, 121 Meyer Load</t>
  </si>
  <si>
    <t>A-1233</t>
  </si>
  <si>
    <t>Abhilasha</t>
  </si>
  <si>
    <t>Dave</t>
  </si>
  <si>
    <t>Pakubuwono Recidence.Jakarta.12120</t>
  </si>
  <si>
    <t>A-046</t>
  </si>
  <si>
    <t>Abhiyoga</t>
  </si>
  <si>
    <t>A-1599</t>
  </si>
  <si>
    <t>S</t>
  </si>
  <si>
    <t>abvhiiiyoga@gmail.com</t>
  </si>
  <si>
    <t>A-444</t>
  </si>
  <si>
    <t>Abi</t>
  </si>
  <si>
    <t>Moohdie</t>
  </si>
  <si>
    <t>A-1023</t>
  </si>
  <si>
    <t>Abidin</t>
  </si>
  <si>
    <t>Syah</t>
  </si>
  <si>
    <t>A-1893</t>
  </si>
  <si>
    <t>Abigail</t>
  </si>
  <si>
    <t>A-476</t>
  </si>
  <si>
    <t>A-973</t>
  </si>
  <si>
    <t>Helena</t>
  </si>
  <si>
    <t>A-2088</t>
  </si>
  <si>
    <t>Ivana</t>
  </si>
  <si>
    <t>+6285695510767</t>
  </si>
  <si>
    <t>Jl. Melati no. 5 Bintaro</t>
  </si>
  <si>
    <t>A-2330</t>
  </si>
  <si>
    <t>Khairunisa</t>
  </si>
  <si>
    <t>6281398685773</t>
  </si>
  <si>
    <t>A-1018</t>
  </si>
  <si>
    <t>Puspita</t>
  </si>
  <si>
    <t>+62817190511</t>
  </si>
  <si>
    <t>A-2238</t>
  </si>
  <si>
    <t>Sharon</t>
  </si>
  <si>
    <t>abigailofficial@gmail.com</t>
  </si>
  <si>
    <t>6285591263256</t>
  </si>
  <si>
    <t>Jalan Antara no.41A</t>
  </si>
  <si>
    <t>A-1164</t>
  </si>
  <si>
    <t>Yuli</t>
  </si>
  <si>
    <t xml:space="preserve">Jln. Jatinegara Timur 3 No.33
Jakarta</t>
  </si>
  <si>
    <t>A-1923</t>
  </si>
  <si>
    <t>Aboitiz</t>
  </si>
  <si>
    <t>Pablo</t>
  </si>
  <si>
    <t>Chile</t>
  </si>
  <si>
    <t>A-407</t>
  </si>
  <si>
    <t>Abraham</t>
  </si>
  <si>
    <t>Ariel</t>
  </si>
  <si>
    <t xml:space="preserve">Jl. Cisanggiri III No 18
Kebayoran
Jakarta Selatan</t>
  </si>
  <si>
    <t>A-1582</t>
  </si>
  <si>
    <t>Geraldo</t>
  </si>
  <si>
    <t>A-010</t>
  </si>
  <si>
    <t>Sudirman</t>
  </si>
  <si>
    <t>Perum. Permata Hijau</t>
  </si>
  <si>
    <t>Blok J-1 No. 16</t>
  </si>
  <si>
    <t>A-1870</t>
  </si>
  <si>
    <t>Absori</t>
  </si>
  <si>
    <t>A-1965</t>
  </si>
  <si>
    <t>Abuhaimed</t>
  </si>
  <si>
    <t>Riyadh, Saudi Arabia</t>
  </si>
  <si>
    <t>A-1913</t>
  </si>
  <si>
    <t>Abui</t>
  </si>
  <si>
    <t>A-1799</t>
  </si>
  <si>
    <t>Abulefa</t>
  </si>
  <si>
    <t>M</t>
  </si>
  <si>
    <t>A-1669</t>
  </si>
  <si>
    <t>Aby</t>
  </si>
  <si>
    <t>A-2302</t>
  </si>
  <si>
    <t>Abdullah Ganis</t>
  </si>
  <si>
    <t>628121071506</t>
  </si>
  <si>
    <t>Jl. Kemang 1D No.26</t>
  </si>
  <si>
    <t>A-2269</t>
  </si>
  <si>
    <t>Abyasa</t>
  </si>
  <si>
    <t>Kamdani</t>
  </si>
  <si>
    <t>abyasa.kmd@gmail.com</t>
  </si>
  <si>
    <t>628161446122</t>
  </si>
  <si>
    <t>A-1984</t>
  </si>
  <si>
    <t>Acen</t>
  </si>
  <si>
    <t>A-2068</t>
  </si>
  <si>
    <t>Achmad</t>
  </si>
  <si>
    <t>Farhan</t>
  </si>
  <si>
    <t>Salemba Tengah No 10 Jakarta Utara</t>
  </si>
  <si>
    <t>A-720</t>
  </si>
  <si>
    <t>Ferizqo</t>
  </si>
  <si>
    <t>A-013</t>
  </si>
  <si>
    <t>Fitriady</t>
  </si>
  <si>
    <t>Fl. Kosgoro Bldg.</t>
  </si>
  <si>
    <t>Jakarta Pusat</t>
  </si>
  <si>
    <t>Jl. MH. Thamrin 53</t>
  </si>
  <si>
    <t>A-1077</t>
  </si>
  <si>
    <t>Fuady</t>
  </si>
  <si>
    <t>afuady50@yahoo.com</t>
  </si>
  <si>
    <t>Lippo Karawaci Taman Diponogoro JL. Gunung Atlantik 98</t>
  </si>
  <si>
    <t>Tanggerang</t>
  </si>
  <si>
    <t>A-1637</t>
  </si>
  <si>
    <t>Hasanudin</t>
  </si>
  <si>
    <t>A-650</t>
  </si>
  <si>
    <t>Juanda</t>
  </si>
  <si>
    <t xml:space="preserve">Jl. Pasantren No.1450
Cimahi Utara Bandung</t>
  </si>
  <si>
    <t>Cimahi</t>
  </si>
  <si>
    <t>A-881</t>
  </si>
  <si>
    <t>Mochra</t>
  </si>
  <si>
    <t>A-2224</t>
  </si>
  <si>
    <t>Basalamah</t>
  </si>
  <si>
    <t>novelbasalamah8@gmail.com</t>
  </si>
  <si>
    <t>Jl.H.Ilyas No.12 Cikunir - Bekasi Selatan</t>
  </si>
  <si>
    <t>Bekasi</t>
  </si>
  <si>
    <t>A-1443</t>
  </si>
  <si>
    <t>Soeharto</t>
  </si>
  <si>
    <t>62811140630</t>
  </si>
  <si>
    <t>A-1845</t>
  </si>
  <si>
    <t>A-760</t>
  </si>
  <si>
    <t>Syafii</t>
  </si>
  <si>
    <t>achmadsyafil429@gmail.com</t>
  </si>
  <si>
    <t>Mega Kebon Jeruk Residence Blok 1C No. 9</t>
  </si>
  <si>
    <t>S-589</t>
  </si>
  <si>
    <t>Syukrani</t>
  </si>
  <si>
    <t>syukrani@yahoo.com</t>
  </si>
  <si>
    <t xml:space="preserve">Jl.Nangka 27B Srondol
Semarang</t>
  </si>
  <si>
    <t>Semarang</t>
  </si>
  <si>
    <t>A-2065</t>
  </si>
  <si>
    <t>Thariq</t>
  </si>
  <si>
    <t>A-1265</t>
  </si>
  <si>
    <t>Ahmad</t>
  </si>
  <si>
    <t>+817290299696</t>
  </si>
  <si>
    <t>A-2085</t>
  </si>
  <si>
    <t>Djoha</t>
  </si>
  <si>
    <t>Setia Budi VI No.37</t>
  </si>
  <si>
    <t>A-014</t>
  </si>
  <si>
    <t>Yulizar</t>
  </si>
  <si>
    <t>A-951</t>
  </si>
  <si>
    <t>Achsanuddin</t>
  </si>
  <si>
    <t>Hanafie</t>
  </si>
  <si>
    <t>Jl. Sei Musi No. 74/68A</t>
  </si>
  <si>
    <t>A-735</t>
  </si>
  <si>
    <t>Aci</t>
  </si>
  <si>
    <t>A-576</t>
  </si>
  <si>
    <t>082122794688</t>
  </si>
  <si>
    <t>A-1877</t>
  </si>
  <si>
    <t>Adakti</t>
  </si>
  <si>
    <t>Bintang</t>
  </si>
  <si>
    <t>A-1285</t>
  </si>
  <si>
    <t>Adam</t>
  </si>
  <si>
    <t>A-560</t>
  </si>
  <si>
    <t>A-313</t>
  </si>
  <si>
    <t>Afiezan</t>
  </si>
  <si>
    <t>A-015</t>
  </si>
  <si>
    <t>Anugrah</t>
  </si>
  <si>
    <t>Jl. H. Sajim 19B</t>
  </si>
  <si>
    <t>A-570</t>
  </si>
  <si>
    <t>Anne</t>
  </si>
  <si>
    <t>Ralie</t>
  </si>
  <si>
    <t>daiwanne@gmail.com</t>
  </si>
  <si>
    <t>+62811995980</t>
  </si>
  <si>
    <t>A-2331</t>
  </si>
  <si>
    <t>Bendtsen</t>
  </si>
  <si>
    <t>adamjamesholdings@gmail.com</t>
  </si>
  <si>
    <t>13092192381</t>
  </si>
  <si>
    <t>Illinois</t>
  </si>
  <si>
    <t>U.S.A</t>
  </si>
  <si>
    <t>United States</t>
  </si>
  <si>
    <t>A-706</t>
  </si>
  <si>
    <t>Purbantoro</t>
  </si>
  <si>
    <t>adam.akpol2006@gmail.com</t>
  </si>
  <si>
    <t>A-1340</t>
  </si>
  <si>
    <t>Rosydi</t>
  </si>
  <si>
    <t>Jl. Elang V. HG.4 No.23. Tanggerang.Banten</t>
  </si>
  <si>
    <t>A-1191</t>
  </si>
  <si>
    <t>Soroinda</t>
  </si>
  <si>
    <t>JL KALIBATA UTARA 12740.BIRTHDAY 13.08.86</t>
  </si>
  <si>
    <t>A-1788</t>
  </si>
  <si>
    <t>Sparrow</t>
  </si>
  <si>
    <t>A-919</t>
  </si>
  <si>
    <t>Addis</t>
  </si>
  <si>
    <t>A-974</t>
  </si>
  <si>
    <t>Ade</t>
  </si>
  <si>
    <t>A-343</t>
  </si>
  <si>
    <t>A-2292</t>
  </si>
  <si>
    <t>Angga</t>
  </si>
  <si>
    <t>081299484399</t>
  </si>
  <si>
    <t>A-018</t>
  </si>
  <si>
    <t>Herlina</t>
  </si>
  <si>
    <t>A-1434</t>
  </si>
  <si>
    <t>Krisnawati</t>
  </si>
  <si>
    <t>A-1125</t>
  </si>
  <si>
    <t>A-315</t>
  </si>
  <si>
    <t>Manorekang</t>
  </si>
  <si>
    <t>A-1414</t>
  </si>
  <si>
    <t>Lemewu</t>
  </si>
  <si>
    <t>A-1802</t>
  </si>
  <si>
    <t>Saepudin</t>
  </si>
  <si>
    <t>A-2239</t>
  </si>
  <si>
    <t>Ade Nur</t>
  </si>
  <si>
    <t>Asiah</t>
  </si>
  <si>
    <t>628129094011</t>
  </si>
  <si>
    <t>A-2283</t>
  </si>
  <si>
    <t>Rafli</t>
  </si>
  <si>
    <t>62811156725</t>
  </si>
  <si>
    <t>Elite</t>
  </si>
  <si>
    <t>Jawa Barat</t>
  </si>
  <si>
    <t>A-897</t>
  </si>
  <si>
    <t>Rahman</t>
  </si>
  <si>
    <t>A-777</t>
  </si>
  <si>
    <t>Said</t>
  </si>
  <si>
    <t>Jln.Kemang I a No.22 H</t>
  </si>
  <si>
    <t>A-2144</t>
  </si>
  <si>
    <t>Ade Sari</t>
  </si>
  <si>
    <t>Sitorus</t>
  </si>
  <si>
    <t>62811710424</t>
  </si>
  <si>
    <t>Bandung</t>
  </si>
  <si>
    <t>40111</t>
  </si>
  <si>
    <t>A-432</t>
  </si>
  <si>
    <t>Soeblono</t>
  </si>
  <si>
    <t>A-1921</t>
  </si>
  <si>
    <t>Sucipto</t>
  </si>
  <si>
    <t>Itto pet shop (Ade Sucipto) Jl Leuwi Panjang no 96 Bandung</t>
  </si>
  <si>
    <t>A-1219</t>
  </si>
  <si>
    <t>A-1492</t>
  </si>
  <si>
    <t>Tobing</t>
  </si>
  <si>
    <t>A-1486</t>
  </si>
  <si>
    <t>tya</t>
  </si>
  <si>
    <t>A-020</t>
  </si>
  <si>
    <t>Wahyu</t>
  </si>
  <si>
    <t>JL. Daksinapati Raya 7 Rawamangun</t>
  </si>
  <si>
    <t>Jakarta Timur</t>
  </si>
  <si>
    <t>A-1409</t>
  </si>
  <si>
    <t>Willyanto</t>
  </si>
  <si>
    <t>JALAN BEKASI BARAT 2 NO 2 JATINEGARA TIMUR</t>
  </si>
  <si>
    <t>A-2274</t>
  </si>
  <si>
    <t>Adebowale Gbemisola</t>
  </si>
  <si>
    <t>Dolapo</t>
  </si>
  <si>
    <t>gbemisolaaday14@gmail.com</t>
  </si>
  <si>
    <t>2347048057122</t>
  </si>
  <si>
    <t>Nigeria</t>
  </si>
  <si>
    <t>A-1761</t>
  </si>
  <si>
    <t>Adeia</t>
  </si>
  <si>
    <t>Marha</t>
  </si>
  <si>
    <t>dejecasio@gmail.com</t>
  </si>
  <si>
    <t>Jl.Intisari 1 NO.41 JAKARTA</t>
  </si>
  <si>
    <t>A-1083</t>
  </si>
  <si>
    <t>Adel</t>
  </si>
  <si>
    <t>Paulus</t>
  </si>
  <si>
    <t>62811890973</t>
  </si>
  <si>
    <t>A-1976</t>
  </si>
  <si>
    <t>Adeleye</t>
  </si>
  <si>
    <t>Latrice</t>
  </si>
  <si>
    <t>United States of America</t>
  </si>
  <si>
    <t>A-2050</t>
  </si>
  <si>
    <t>Adelgita</t>
  </si>
  <si>
    <t>Ampulembang</t>
  </si>
  <si>
    <t>APARTEMENT GREEN PRAMUKA</t>
  </si>
  <si>
    <t>A-837</t>
  </si>
  <si>
    <t>Adelia</t>
  </si>
  <si>
    <t>Arum</t>
  </si>
  <si>
    <t>A-1910</t>
  </si>
  <si>
    <t>Adelina</t>
  </si>
  <si>
    <t>A-019</t>
  </si>
  <si>
    <t>Hartono</t>
  </si>
  <si>
    <t>A-307</t>
  </si>
  <si>
    <t>Adeline</t>
  </si>
  <si>
    <t>A-1602</t>
  </si>
  <si>
    <t>A-2129</t>
  </si>
  <si>
    <t>628118843790</t>
  </si>
  <si>
    <t>A-1841</t>
  </si>
  <si>
    <t>Ester</t>
  </si>
  <si>
    <t>6281218218218</t>
  </si>
  <si>
    <t>A-2048</t>
  </si>
  <si>
    <t>Tjahjadi</t>
  </si>
  <si>
    <t>A-2070</t>
  </si>
  <si>
    <t>Adela</t>
  </si>
  <si>
    <t>Adella</t>
  </si>
  <si>
    <t>6282148681113</t>
  </si>
  <si>
    <t>A-2278</t>
  </si>
  <si>
    <t>Aderia</t>
  </si>
  <si>
    <t>si.aderia@gmail.com</t>
  </si>
  <si>
    <t>628111061740</t>
  </si>
  <si>
    <t>Depok</t>
  </si>
  <si>
    <t>A-1053</t>
  </si>
  <si>
    <t>Ades</t>
  </si>
  <si>
    <t>Tamin</t>
  </si>
  <si>
    <t>A-433</t>
  </si>
  <si>
    <t>Adet</t>
  </si>
  <si>
    <t xml:space="preserve">Jl. Alam Segar XI No. 58
Pondok Indah
Jakarta Selatan</t>
  </si>
  <si>
    <t>A-1156</t>
  </si>
  <si>
    <t>Adetya</t>
  </si>
  <si>
    <t>Rinaldi</t>
  </si>
  <si>
    <t>RAFFLES HILLS I2-2</t>
  </si>
  <si>
    <t>A-021</t>
  </si>
  <si>
    <t>Adhi</t>
  </si>
  <si>
    <t>A-1642</t>
  </si>
  <si>
    <t>Mustopo</t>
  </si>
  <si>
    <t>adhi.mustopo@hotmail.com</t>
  </si>
  <si>
    <t>A-1473</t>
  </si>
  <si>
    <t>Satria</t>
  </si>
  <si>
    <t>A-834</t>
  </si>
  <si>
    <t>Adhia</t>
  </si>
  <si>
    <t>Absar</t>
  </si>
  <si>
    <t>A-1279</t>
  </si>
  <si>
    <t>Adhie</t>
  </si>
  <si>
    <t>Martinsyah</t>
  </si>
  <si>
    <t>A-2105</t>
  </si>
  <si>
    <t>Adhiepati</t>
  </si>
  <si>
    <t>Koesmadji</t>
  </si>
  <si>
    <t>+6285814712826</t>
  </si>
  <si>
    <t>Jl. Gapura Menteng Asri 2 No.1</t>
  </si>
  <si>
    <t>Tangerang Selatan</t>
  </si>
  <si>
    <t>15310</t>
  </si>
  <si>
    <t>A-1179</t>
  </si>
  <si>
    <t>Adhika</t>
  </si>
  <si>
    <t>Ashari</t>
  </si>
  <si>
    <t>A-1519</t>
  </si>
  <si>
    <t>Adhitya</t>
  </si>
  <si>
    <t>A-2247</t>
  </si>
  <si>
    <t>Yudhistira</t>
  </si>
  <si>
    <t>A-022</t>
  </si>
  <si>
    <t>Soenjoto</t>
  </si>
  <si>
    <t>A-928</t>
  </si>
  <si>
    <t>Adhy</t>
  </si>
  <si>
    <t>A-521</t>
  </si>
  <si>
    <t>Adhykara</t>
  </si>
  <si>
    <t>Dwiyaputra</t>
  </si>
  <si>
    <t>A-975</t>
  </si>
  <si>
    <t>Dwutyaputra</t>
  </si>
  <si>
    <t>A-2103</t>
  </si>
  <si>
    <t>Adi</t>
  </si>
  <si>
    <t>62626262626262</t>
  </si>
  <si>
    <t>A-2091</t>
  </si>
  <si>
    <t>Gunawan</t>
  </si>
  <si>
    <t>adigunawan2000@gmail.com</t>
  </si>
  <si>
    <t>081319064257</t>
  </si>
  <si>
    <t>JL.KEBANDUNGAN 1 NO.18 - BOGOR</t>
  </si>
  <si>
    <t>Bogor</t>
  </si>
  <si>
    <t>16111</t>
  </si>
  <si>
    <t>A-024</t>
  </si>
  <si>
    <t>Jl. Kembang Ayu Utama Blok E-2 No. 16</t>
  </si>
  <si>
    <t>Jakarta Barat</t>
  </si>
  <si>
    <t>Puri Indah</t>
  </si>
  <si>
    <t>A-1099</t>
  </si>
  <si>
    <t>Kusuma</t>
  </si>
  <si>
    <t>A-1187</t>
  </si>
  <si>
    <t>Monica</t>
  </si>
  <si>
    <t>A-879</t>
  </si>
  <si>
    <t>Leman</t>
  </si>
  <si>
    <t>Capital Residence T1/7A</t>
  </si>
  <si>
    <t>A-482</t>
  </si>
  <si>
    <t>Perana</t>
  </si>
  <si>
    <t>A-524</t>
  </si>
  <si>
    <t>Pramana</t>
  </si>
  <si>
    <t>A-1247</t>
  </si>
  <si>
    <t>Pribadi</t>
  </si>
  <si>
    <t>Kompleks Keuangan</t>
  </si>
  <si>
    <t>A-1399</t>
  </si>
  <si>
    <t>Rahardja</t>
  </si>
  <si>
    <t>Jalan Jendral Sudirman No.52-53,Senayan Jakarta Selatan 12190</t>
  </si>
  <si>
    <t>A-2013</t>
  </si>
  <si>
    <t>Rahditia</t>
  </si>
  <si>
    <t>A-028</t>
  </si>
  <si>
    <t>A-1646</t>
  </si>
  <si>
    <t>Santa</t>
  </si>
  <si>
    <t>A-1883</t>
  </si>
  <si>
    <t>Saugi</t>
  </si>
  <si>
    <t>A-2275</t>
  </si>
  <si>
    <t>Setiadi</t>
  </si>
  <si>
    <t>6287880546938</t>
  </si>
  <si>
    <t>A-823</t>
  </si>
  <si>
    <t>Setianto</t>
  </si>
  <si>
    <t>Alam Sutra.</t>
  </si>
  <si>
    <t>A-1201</t>
  </si>
  <si>
    <t>Sujatno</t>
  </si>
  <si>
    <t>A-486</t>
  </si>
  <si>
    <t>Yulistanto</t>
  </si>
  <si>
    <t xml:space="preserve">Apartment The Mansion at Kemang
Jl. Kemang Raya No.3-5</t>
  </si>
  <si>
    <t>A-527</t>
  </si>
  <si>
    <t>Adiana</t>
  </si>
  <si>
    <t>Morris</t>
  </si>
  <si>
    <t>Jl. hang Tuah 2 No.8</t>
  </si>
  <si>
    <t>A-2078</t>
  </si>
  <si>
    <t>Adiguna</t>
  </si>
  <si>
    <t>Setiawan</t>
  </si>
  <si>
    <t>A-1498</t>
  </si>
  <si>
    <t>Adikha</t>
  </si>
  <si>
    <t>Wijaya</t>
  </si>
  <si>
    <t>A-769</t>
  </si>
  <si>
    <t>Adil</t>
  </si>
  <si>
    <t>Tirtosudiro</t>
  </si>
  <si>
    <t xml:space="preserve">Jalan Dukuh Patra Raya No.97
Menteng Dalam Kuningan</t>
  </si>
  <si>
    <t>A-1326</t>
  </si>
  <si>
    <t>Adimas</t>
  </si>
  <si>
    <t>Rosdian</t>
  </si>
  <si>
    <t>A-705</t>
  </si>
  <si>
    <t>Soeryadjaja</t>
  </si>
  <si>
    <t>A-455</t>
  </si>
  <si>
    <t>Soeryadjaya</t>
  </si>
  <si>
    <t>A-1057</t>
  </si>
  <si>
    <t>Adinda</t>
  </si>
  <si>
    <t>Thomas</t>
  </si>
  <si>
    <t>adindanovianasari@yahoo.com</t>
  </si>
  <si>
    <t>Tebet dalam 3C No.1</t>
  </si>
  <si>
    <t>A-1163</t>
  </si>
  <si>
    <t>Nurdinilla</t>
  </si>
  <si>
    <t>adindanurdinilla@yahoo.com</t>
  </si>
  <si>
    <t>628122115595</t>
  </si>
  <si>
    <t>12110</t>
  </si>
  <si>
    <t>A-2320</t>
  </si>
  <si>
    <t>Rizkyana</t>
  </si>
  <si>
    <t>adindarizkyana.business@gmail.com</t>
  </si>
  <si>
    <t>6282112700996</t>
  </si>
  <si>
    <t>A-377</t>
  </si>
  <si>
    <t>Yuanita</t>
  </si>
  <si>
    <t>A-1460</t>
  </si>
  <si>
    <t>Ading</t>
  </si>
  <si>
    <t>Mahda</t>
  </si>
  <si>
    <t>628159933116</t>
  </si>
  <si>
    <t>Surabaya</t>
  </si>
  <si>
    <t>60111</t>
  </si>
  <si>
    <t>A-1487</t>
  </si>
  <si>
    <t>Adinia</t>
  </si>
  <si>
    <t>Wirasti</t>
  </si>
  <si>
    <t xml:space="preserve">Ozone Residence 
Jl. YRS III RT 15/16
Pesanggrahan Bintaro</t>
  </si>
  <si>
    <t>A-027</t>
  </si>
  <si>
    <t>Adirizal</t>
  </si>
  <si>
    <t>Nizar</t>
  </si>
  <si>
    <t>Jl. Pejaten Raya 12</t>
  </si>
  <si>
    <t>Pasar Minggu</t>
  </si>
  <si>
    <t>A-1412</t>
  </si>
  <si>
    <t>Adis</t>
  </si>
  <si>
    <t>A-1181</t>
  </si>
  <si>
    <t>Adisa</t>
  </si>
  <si>
    <t>Isles</t>
  </si>
  <si>
    <t>A-006</t>
  </si>
  <si>
    <t>Adisti</t>
  </si>
  <si>
    <t>Apt.Ambasador 2 Kuningan</t>
  </si>
  <si>
    <t>A-2206</t>
  </si>
  <si>
    <t>Adit</t>
  </si>
  <si>
    <t>6282260464610</t>
  </si>
  <si>
    <t>A-1137</t>
  </si>
  <si>
    <t>Adithya</t>
  </si>
  <si>
    <t>A-1256</t>
  </si>
  <si>
    <t xml:space="preserve">Ozone Residence A8 JL. YRS III
South Jakarta</t>
  </si>
  <si>
    <t xml:space="preserve">Jakarta </t>
  </si>
  <si>
    <t>A-025</t>
  </si>
  <si>
    <t>Aditia</t>
  </si>
  <si>
    <t>A-2063</t>
  </si>
  <si>
    <t>Aditya</t>
  </si>
  <si>
    <t>Aldhafera</t>
  </si>
  <si>
    <t>A-436</t>
  </si>
  <si>
    <t>Budi</t>
  </si>
  <si>
    <t xml:space="preserve">Jl.Cempedak No:29,Blok A
Cinere</t>
  </si>
  <si>
    <t>A-602</t>
  </si>
  <si>
    <t>Handoyo</t>
  </si>
  <si>
    <t xml:space="preserve">Jl. Daeng No.3
jayengan serengan</t>
  </si>
  <si>
    <t xml:space="preserve">Solo  </t>
  </si>
  <si>
    <t>A-1123</t>
  </si>
  <si>
    <t>Maulana</t>
  </si>
  <si>
    <t>6281268485899</t>
  </si>
  <si>
    <t>A-2120</t>
  </si>
  <si>
    <t>Marliana Bintari</t>
  </si>
  <si>
    <t>628119773393</t>
  </si>
  <si>
    <t>A-1222</t>
  </si>
  <si>
    <t>Martowardojo</t>
  </si>
  <si>
    <t>+62811897972</t>
  </si>
  <si>
    <t>A-032</t>
  </si>
  <si>
    <t>Mindayanthi</t>
  </si>
  <si>
    <t>A-379</t>
  </si>
  <si>
    <t>Mulyadi</t>
  </si>
  <si>
    <t>A-033</t>
  </si>
  <si>
    <t>A-1068</t>
  </si>
  <si>
    <t>Saliputra</t>
  </si>
  <si>
    <t>A-390</t>
  </si>
  <si>
    <t>Soehono</t>
  </si>
  <si>
    <t>Jl. Galunggung No:39 Malang 65115</t>
  </si>
  <si>
    <t>Malang</t>
  </si>
  <si>
    <t>A-403</t>
  </si>
  <si>
    <t>Sudjono</t>
  </si>
  <si>
    <t xml:space="preserve">Jl. Delta Topaz Blok C-18
No. 4</t>
  </si>
  <si>
    <t>A-2332</t>
  </si>
  <si>
    <t>Adiwono</t>
  </si>
  <si>
    <t>Dewantoro</t>
  </si>
  <si>
    <t>awdewantoro@gmail.com</t>
  </si>
  <si>
    <t>6281210649919</t>
  </si>
  <si>
    <t>Tebet Timur, Jakarta</t>
  </si>
  <si>
    <t>A-1757</t>
  </si>
  <si>
    <t>Adiyanto</t>
  </si>
  <si>
    <t>Sumarjono</t>
  </si>
  <si>
    <t>Jl. Kertanegara 53, Jakarta</t>
  </si>
  <si>
    <t>A-1677</t>
  </si>
  <si>
    <t>Adiyasa</t>
  </si>
  <si>
    <t>A-684</t>
  </si>
  <si>
    <t>Adji</t>
  </si>
  <si>
    <t>Bhirowo</t>
  </si>
  <si>
    <t>A-034</t>
  </si>
  <si>
    <t>Adjie</t>
  </si>
  <si>
    <t>Notonegoro</t>
  </si>
  <si>
    <t>Jl. Barito 2 No. 9</t>
  </si>
  <si>
    <t>A-1684</t>
  </si>
  <si>
    <t>Adlina</t>
  </si>
  <si>
    <t>Hanifati</t>
  </si>
  <si>
    <t>A-592</t>
  </si>
  <si>
    <t>Adnan</t>
  </si>
  <si>
    <t>AS</t>
  </si>
  <si>
    <t>A-820</t>
  </si>
  <si>
    <t>A-216</t>
  </si>
  <si>
    <t>Adoeardo</t>
  </si>
  <si>
    <t>Soedjono</t>
  </si>
  <si>
    <t>A-781</t>
  </si>
  <si>
    <t>Adolf</t>
  </si>
  <si>
    <t>+62816180773</t>
  </si>
  <si>
    <t>A-450</t>
  </si>
  <si>
    <t>Panggabean</t>
  </si>
  <si>
    <t>A-353</t>
  </si>
  <si>
    <t>Adolvien</t>
  </si>
  <si>
    <t>Wangania</t>
  </si>
  <si>
    <t>A-2034</t>
  </si>
  <si>
    <t>Adra</t>
  </si>
  <si>
    <t>Yasnita</t>
  </si>
  <si>
    <t>adrayasnita88@gmail.com</t>
  </si>
  <si>
    <t>+6281291802255</t>
  </si>
  <si>
    <t xml:space="preserve">Perumahan taman royal 2
Tangerang</t>
  </si>
  <si>
    <t>A-2304</t>
  </si>
  <si>
    <t>Adri</t>
  </si>
  <si>
    <t>Prasetyo Martowardojo</t>
  </si>
  <si>
    <t>6281511137888</t>
  </si>
  <si>
    <t>A-1569</t>
  </si>
  <si>
    <t>Adrian</t>
  </si>
  <si>
    <t>A-635</t>
  </si>
  <si>
    <t>6281513456296</t>
  </si>
  <si>
    <t>A-1086</t>
  </si>
  <si>
    <t>Bramantyo</t>
  </si>
  <si>
    <t>Jl.Taman Cilandak V No.D-1</t>
  </si>
  <si>
    <t>A-442</t>
  </si>
  <si>
    <t>Djaja</t>
  </si>
  <si>
    <t xml:space="preserve">Bougenville IV No. 54
Kalimalang Jakasampurna</t>
  </si>
  <si>
    <t>A-1475</t>
  </si>
  <si>
    <t>Handoko</t>
  </si>
  <si>
    <t>A-1783</t>
  </si>
  <si>
    <t>Adriana</t>
  </si>
  <si>
    <t>Brigita</t>
  </si>
  <si>
    <t>Jln.Mirah Kencana N0.10A Permata Hijau</t>
  </si>
  <si>
    <t>A-1859</t>
  </si>
  <si>
    <t>Adriansyah</t>
  </si>
  <si>
    <t>Martono</t>
  </si>
  <si>
    <t>A-1063</t>
  </si>
  <si>
    <t>Adrianto</t>
  </si>
  <si>
    <t>adriantopadhie@gmail.com</t>
  </si>
  <si>
    <t>Sudirman Park Tower 40 BB2</t>
  </si>
  <si>
    <t>A-1587</t>
  </si>
  <si>
    <t>Adrianus</t>
  </si>
  <si>
    <t>Apriadi</t>
  </si>
  <si>
    <t>apriadi@gmail.com</t>
  </si>
  <si>
    <t>Apartemen Pantai Mutiara Tower Damar Lt.7 No.7</t>
  </si>
  <si>
    <t>A-1712</t>
  </si>
  <si>
    <t>Adrien</t>
  </si>
  <si>
    <t>Pronzati</t>
  </si>
  <si>
    <t>A-1782</t>
  </si>
  <si>
    <t>Adrishta</t>
  </si>
  <si>
    <t>Pramusakti</t>
  </si>
  <si>
    <t>A-701</t>
  </si>
  <si>
    <t>Adrisna</t>
  </si>
  <si>
    <t>Merwalda</t>
  </si>
  <si>
    <t>A-511</t>
  </si>
  <si>
    <t>Darwin</t>
  </si>
  <si>
    <t>628170151964</t>
  </si>
  <si>
    <t xml:space="preserve">Jl. Alam Segar V/45
Pondok Indah 
Jakarta Selatan</t>
  </si>
  <si>
    <t>A-2005</t>
  </si>
  <si>
    <t>Adytia</t>
  </si>
  <si>
    <t>A-1546</t>
  </si>
  <si>
    <t>Afdaluddin</t>
  </si>
  <si>
    <t>6281311563776</t>
  </si>
  <si>
    <t>A-1929</t>
  </si>
  <si>
    <t>Affandi</t>
  </si>
  <si>
    <t>Lucas</t>
  </si>
  <si>
    <t>M-0854</t>
  </si>
  <si>
    <t>Afianti</t>
  </si>
  <si>
    <t>Lestari</t>
  </si>
  <si>
    <t xml:space="preserve">Mayapada Tower II Lt.18 
Jln Jend. Sudirman</t>
  </si>
  <si>
    <t>A-1184</t>
  </si>
  <si>
    <t>Afindra</t>
  </si>
  <si>
    <t>Firman</t>
  </si>
  <si>
    <t>A-1145</t>
  </si>
  <si>
    <t>Afit</t>
  </si>
  <si>
    <t>Purwanto</t>
  </si>
  <si>
    <t>Jl. HH No.32 Keb Jeruk - JakBar</t>
  </si>
  <si>
    <t>A-2231</t>
  </si>
  <si>
    <t>Afni</t>
  </si>
  <si>
    <t>Arianingsih</t>
  </si>
  <si>
    <t>6281212171979</t>
  </si>
  <si>
    <t>A-1552</t>
  </si>
  <si>
    <t>Afong</t>
  </si>
  <si>
    <t>Liem</t>
  </si>
  <si>
    <t>628125890288</t>
  </si>
  <si>
    <t>Kalimantan Timur</t>
  </si>
  <si>
    <t>A-1029</t>
  </si>
  <si>
    <t>Afrian</t>
  </si>
  <si>
    <t>Rudiansyah</t>
  </si>
  <si>
    <t>Green Park Rosewood VI /3</t>
  </si>
  <si>
    <t>A-2095</t>
  </si>
  <si>
    <t>Afridafani</t>
  </si>
  <si>
    <t>afridafani0498@gmail.com</t>
  </si>
  <si>
    <t>+6281314693467</t>
  </si>
  <si>
    <t>Jl. Oakhryst N0.15 Sentul City</t>
  </si>
  <si>
    <t>Sentul, Bogor</t>
  </si>
  <si>
    <t>A-596</t>
  </si>
  <si>
    <t>Afril</t>
  </si>
  <si>
    <t>djoewarsa</t>
  </si>
  <si>
    <t>A-1366</t>
  </si>
  <si>
    <t>Afrizal</t>
  </si>
  <si>
    <t>A-039</t>
  </si>
  <si>
    <t>Aga</t>
  </si>
  <si>
    <t>Soemarno</t>
  </si>
  <si>
    <t>A-2205</t>
  </si>
  <si>
    <t>Musa</t>
  </si>
  <si>
    <t>Agacli</t>
  </si>
  <si>
    <t>musaagacli@gmail.com</t>
  </si>
  <si>
    <t>905396190404</t>
  </si>
  <si>
    <t>turkiye</t>
  </si>
  <si>
    <t>turkey</t>
  </si>
  <si>
    <t>A-038</t>
  </si>
  <si>
    <t>Agam</t>
  </si>
  <si>
    <t>Riadi</t>
  </si>
  <si>
    <t>Puri Casablanca Apt. Tower B #1707</t>
  </si>
  <si>
    <t>Jl. Casablanca Kav. 7</t>
  </si>
  <si>
    <t>A-250</t>
  </si>
  <si>
    <t>Tjandra</t>
  </si>
  <si>
    <t>62816933888</t>
  </si>
  <si>
    <t>A-2104</t>
  </si>
  <si>
    <t>Vedant</t>
  </si>
  <si>
    <t>Modi</t>
  </si>
  <si>
    <t>vmodi152@gmail.com</t>
  </si>
  <si>
    <t>+919007304068</t>
  </si>
  <si>
    <t>India</t>
  </si>
  <si>
    <t>A-1839</t>
  </si>
  <si>
    <t>Agarwal</t>
  </si>
  <si>
    <t>Ramratan</t>
  </si>
  <si>
    <t>A-2207</t>
  </si>
  <si>
    <t>Tulika</t>
  </si>
  <si>
    <t>Argawal</t>
  </si>
  <si>
    <t>tulika.agarwal@gmail.com</t>
  </si>
  <si>
    <t>+18584012489</t>
  </si>
  <si>
    <t>2990 Rancho Del Sol, Escondido, 92130, CA, USA</t>
  </si>
  <si>
    <t>USA</t>
  </si>
  <si>
    <t>A-2036</t>
  </si>
  <si>
    <t>Agatha</t>
  </si>
  <si>
    <t>Ariano</t>
  </si>
  <si>
    <t>A-040</t>
  </si>
  <si>
    <t>Bunanta</t>
  </si>
  <si>
    <t>62816759199</t>
  </si>
  <si>
    <t>A-1618</t>
  </si>
  <si>
    <t>Felicia</t>
  </si>
  <si>
    <t>felicianovianti@gmail.com</t>
  </si>
  <si>
    <t>Batununggal Indah, Bandung</t>
  </si>
  <si>
    <t>A-1653</t>
  </si>
  <si>
    <t>Gloria</t>
  </si>
  <si>
    <t>A-1065</t>
  </si>
  <si>
    <t>Lily</t>
  </si>
  <si>
    <t>agathalip@gmail.com</t>
  </si>
  <si>
    <t>+628118382509</t>
  </si>
  <si>
    <t>Bangka XI C No. 32, Kemang</t>
  </si>
  <si>
    <t>A-469</t>
  </si>
  <si>
    <t>Sulistiyawati</t>
  </si>
  <si>
    <t>A-739</t>
  </si>
  <si>
    <t>Agathalily</t>
  </si>
  <si>
    <t>A-2137</t>
  </si>
  <si>
    <t>Agazsi</t>
  </si>
  <si>
    <t>Bahasoean</t>
  </si>
  <si>
    <t>+6281211133077</t>
  </si>
  <si>
    <t>JL BRAWIJAYA VIII/12, RT 002/003 PULO - KEBATORAN BARU</t>
  </si>
  <si>
    <t>A-2223</t>
  </si>
  <si>
    <t>Meghna</t>
  </si>
  <si>
    <t>Aggarwal</t>
  </si>
  <si>
    <t>meghna.anuj@gmail.com</t>
  </si>
  <si>
    <t>919837000097</t>
  </si>
  <si>
    <t>A-2210</t>
  </si>
  <si>
    <t>Tina</t>
  </si>
  <si>
    <t>tina25a44arwal@gmail.com</t>
  </si>
  <si>
    <t>919930501441</t>
  </si>
  <si>
    <t>A-991</t>
  </si>
  <si>
    <t>Agi</t>
  </si>
  <si>
    <t>Wibianto</t>
  </si>
  <si>
    <t>agi_wibianto@hotmail.com</t>
  </si>
  <si>
    <t xml:space="preserve">E73 permata hijau 
jalan Zamrud VIII</t>
  </si>
  <si>
    <t>A-1932</t>
  </si>
  <si>
    <t>Agiesta</t>
  </si>
  <si>
    <t>Puri beta 2, Cluster Kiara Payung barat Residence</t>
  </si>
  <si>
    <t>A-1362</t>
  </si>
  <si>
    <t>Agista</t>
  </si>
  <si>
    <t>Bombay</t>
  </si>
  <si>
    <t>Pakubuwono</t>
  </si>
  <si>
    <t>A-478</t>
  </si>
  <si>
    <t>Agistia</t>
  </si>
  <si>
    <t>Andiary</t>
  </si>
  <si>
    <t xml:space="preserve">Bangka 3 No. 7 Pela Mampang
Kemang</t>
  </si>
  <si>
    <t>A-1981</t>
  </si>
  <si>
    <t>Puspitasari</t>
  </si>
  <si>
    <t>agistia.puspitasari@gmail.com</t>
  </si>
  <si>
    <t>6281214995156</t>
  </si>
  <si>
    <t>A-1301</t>
  </si>
  <si>
    <t>Agita</t>
  </si>
  <si>
    <t>A-042</t>
  </si>
  <si>
    <t>Agnes</t>
  </si>
  <si>
    <t>A-779</t>
  </si>
  <si>
    <t>Cassandra</t>
  </si>
  <si>
    <t>Muara Karang, Blok T.3 Utara. Jakarta Utara (Date Of Birth 08-12-1990) (Wedding Anniversary 17-09-2017)</t>
  </si>
  <si>
    <t>A-1154</t>
  </si>
  <si>
    <t>Tarigan</t>
  </si>
  <si>
    <t>Komp. Senayan I Blok HI7/8</t>
  </si>
  <si>
    <t>A-411</t>
  </si>
  <si>
    <t>Farida</t>
  </si>
  <si>
    <t>A-2096</t>
  </si>
  <si>
    <t>Jennifer</t>
  </si>
  <si>
    <t>0819711313</t>
  </si>
  <si>
    <t>Jl. Opal 2 No. 3-4, Permata Hijau</t>
  </si>
  <si>
    <t>A-905</t>
  </si>
  <si>
    <t>Kristina</t>
  </si>
  <si>
    <t>agnessetyabudi@yahoo.com</t>
  </si>
  <si>
    <t xml:space="preserve">Darmohill W-26
Surabaya - 60225
Bday : 12-11-1971  &amp; anniversary : 03.10.1998</t>
  </si>
  <si>
    <t>A-1253</t>
  </si>
  <si>
    <t>Asidah</t>
  </si>
  <si>
    <t>A-1021</t>
  </si>
  <si>
    <t>Oetama</t>
  </si>
  <si>
    <t>agnes.oetama@gmail.com</t>
  </si>
  <si>
    <t>Apt. Kedoya Elok Unit S1204</t>
  </si>
  <si>
    <t>A-043</t>
  </si>
  <si>
    <t>A-2051</t>
  </si>
  <si>
    <t>Sukianto</t>
  </si>
  <si>
    <t>A-1112</t>
  </si>
  <si>
    <t>Surjadi</t>
  </si>
  <si>
    <t>+62811193557</t>
  </si>
  <si>
    <t>Kompleks Villa Cinere Mas Jen. Uranus II/8, Tangerang 15419</t>
  </si>
  <si>
    <t>A-2099</t>
  </si>
  <si>
    <t>Tifani</t>
  </si>
  <si>
    <t>082111151104</t>
  </si>
  <si>
    <t xml:space="preserve">CASA GOYA BLOK L15
JL RAYA KEBON JERUK NO.37 RT2/RW9 KEMANGGISAN</t>
  </si>
  <si>
    <t>A-1346</t>
  </si>
  <si>
    <t>Utomo</t>
  </si>
  <si>
    <t>A-1643</t>
  </si>
  <si>
    <t>Yanita</t>
  </si>
  <si>
    <t>agnes_yanita@yahoo.com</t>
  </si>
  <si>
    <t>6281808866878</t>
  </si>
  <si>
    <t>Alam sutera Olivia 4/26</t>
  </si>
  <si>
    <t>A-1015</t>
  </si>
  <si>
    <t>Agnesya</t>
  </si>
  <si>
    <t>Kalangi</t>
  </si>
  <si>
    <t xml:space="preserve">Jlan Casablanca ,Apartemen Casablanca Mansion 
Birthday 07 April 95</t>
  </si>
  <si>
    <t>A-1670</t>
  </si>
  <si>
    <t>Agni</t>
  </si>
  <si>
    <t>Tuah</t>
  </si>
  <si>
    <t>A-1897</t>
  </si>
  <si>
    <t>Agta</t>
  </si>
  <si>
    <t>Ristra</t>
  </si>
  <si>
    <t>agtakurniaristra@gmail.com</t>
  </si>
  <si>
    <t xml:space="preserve">Jl.Kalingga 5 No.8 
Surakarta</t>
  </si>
  <si>
    <t>Solo</t>
  </si>
  <si>
    <t>A-1818</t>
  </si>
  <si>
    <t>Aguiar</t>
  </si>
  <si>
    <t>Jose</t>
  </si>
  <si>
    <t>Brazil</t>
  </si>
  <si>
    <t>A-1993</t>
  </si>
  <si>
    <t>Aguilera</t>
  </si>
  <si>
    <t>Jordi</t>
  </si>
  <si>
    <t>+34679100033</t>
  </si>
  <si>
    <t>SPAIN</t>
  </si>
  <si>
    <t>A-882</t>
  </si>
  <si>
    <t>Agung</t>
  </si>
  <si>
    <t>A-1056</t>
  </si>
  <si>
    <t>Ardyanto</t>
  </si>
  <si>
    <t>agung.ardyanto@gmail.com</t>
  </si>
  <si>
    <t>Jl.Adhyaksa VIII/D-73 Lebak Bulus</t>
  </si>
  <si>
    <t>A-1691</t>
  </si>
  <si>
    <t>Bowok</t>
  </si>
  <si>
    <t>A-1857</t>
  </si>
  <si>
    <t>Guritno</t>
  </si>
  <si>
    <t>A-1226</t>
  </si>
  <si>
    <t>A-1480</t>
  </si>
  <si>
    <t>Kurniawan</t>
  </si>
  <si>
    <t>A-047</t>
  </si>
  <si>
    <t>Lazuardi</t>
  </si>
  <si>
    <t>A-813</t>
  </si>
  <si>
    <t>Mulyajaya</t>
  </si>
  <si>
    <t>A-048</t>
  </si>
  <si>
    <t>Nugroho</t>
  </si>
  <si>
    <t xml:space="preserve">Jl. Tirtayasa IV/29
Kebayoran Baru
Jakarta Selatan</t>
  </si>
  <si>
    <t>A-827</t>
  </si>
  <si>
    <t>A-470</t>
  </si>
  <si>
    <t>Praswanta</t>
  </si>
  <si>
    <t>A-964</t>
  </si>
  <si>
    <t>Tunggal</t>
  </si>
  <si>
    <t xml:space="preserve">Jati Jajar II Rt/Rw 03/08 No. 76 
Depok</t>
  </si>
  <si>
    <t>A-1903</t>
  </si>
  <si>
    <t>Suprapto</t>
  </si>
  <si>
    <t>A-1925</t>
  </si>
  <si>
    <t>Supratno</t>
  </si>
  <si>
    <t>Agung.Inteepan89@gmail.com</t>
  </si>
  <si>
    <t>Jl. Sunter Paradise 13, blok Q No.22 Tahap 2</t>
  </si>
  <si>
    <t>Jakarta Utara</t>
  </si>
  <si>
    <t>A-1906</t>
  </si>
  <si>
    <t>Agus</t>
  </si>
  <si>
    <t>A-051</t>
  </si>
  <si>
    <t>A-1406</t>
  </si>
  <si>
    <t>Ariyanto</t>
  </si>
  <si>
    <t>62811317723</t>
  </si>
  <si>
    <t>Jawa Timur</t>
  </si>
  <si>
    <t>A-049</t>
  </si>
  <si>
    <t>Budiyanto</t>
  </si>
  <si>
    <t>A-1813</t>
  </si>
  <si>
    <t>C.G</t>
  </si>
  <si>
    <t>6282299283828</t>
  </si>
  <si>
    <t>A-330</t>
  </si>
  <si>
    <t>Fahruddin</t>
  </si>
  <si>
    <t>A-1699</t>
  </si>
  <si>
    <t>Firmansyah</t>
  </si>
  <si>
    <t>A-1149</t>
  </si>
  <si>
    <t>Indarto</t>
  </si>
  <si>
    <t>M-213</t>
  </si>
  <si>
    <t>Likjono</t>
  </si>
  <si>
    <t>08161457271</t>
  </si>
  <si>
    <t>JL. Martimambang 1 No.6</t>
  </si>
  <si>
    <t>A-1838</t>
  </si>
  <si>
    <t>Madian</t>
  </si>
  <si>
    <t>A-621</t>
  </si>
  <si>
    <t>Makarawo</t>
  </si>
  <si>
    <t>A-1275</t>
  </si>
  <si>
    <t>Mertayasa</t>
  </si>
  <si>
    <t>A-053</t>
  </si>
  <si>
    <t>Muntarto</t>
  </si>
  <si>
    <t>(+6221) 8091658</t>
  </si>
  <si>
    <t>DITBEKANGAD JL.raya Bogor km.2 Kramat Jati</t>
  </si>
  <si>
    <t>A-2228</t>
  </si>
  <si>
    <t>628151603926</t>
  </si>
  <si>
    <t>Cibubur</t>
  </si>
  <si>
    <t>A-055</t>
  </si>
  <si>
    <t>Projosasmito</t>
  </si>
  <si>
    <t>Jl. Pelepah Indah 1</t>
  </si>
  <si>
    <t>Blok CB-2 No. 12A, Kelapa Gading</t>
  </si>
  <si>
    <t>A-1944</t>
  </si>
  <si>
    <t>Purba</t>
  </si>
  <si>
    <t xml:space="preserve">Norin Villas 58
Jl,Pringgodani harjamukti</t>
  </si>
  <si>
    <t>A-2059</t>
  </si>
  <si>
    <t>Roben</t>
  </si>
  <si>
    <t>A-349</t>
  </si>
  <si>
    <t>Salim</t>
  </si>
  <si>
    <t>A-056</t>
  </si>
  <si>
    <t>JL.Gedung Hijau Raya No.67</t>
  </si>
  <si>
    <t>A-1959</t>
  </si>
  <si>
    <t xml:space="preserve">Citra 2 EXT Blok BC 1 No.3 Rt.005/020
Pegadungan Kali Deres</t>
  </si>
  <si>
    <t>A-1846</t>
  </si>
  <si>
    <t>Sjafrudin</t>
  </si>
  <si>
    <t>A-437</t>
  </si>
  <si>
    <t>Sugiarto</t>
  </si>
  <si>
    <t>A-344</t>
  </si>
  <si>
    <t>Suryaputra</t>
  </si>
  <si>
    <t>A-1693</t>
  </si>
  <si>
    <t>Sutjianto</t>
  </si>
  <si>
    <t>sitjiaag1@yahoo.com</t>
  </si>
  <si>
    <t>62816617490</t>
  </si>
  <si>
    <t>Sentra Duta, Dago No.27</t>
  </si>
  <si>
    <t>A-2221</t>
  </si>
  <si>
    <t>Sutrisno</t>
  </si>
  <si>
    <t>iesan77@yahoo.com</t>
  </si>
  <si>
    <t>+62811568588</t>
  </si>
  <si>
    <t>Jl. Ayani 2 Komp. Adijaya Town House C6-9 Pontianak</t>
  </si>
  <si>
    <t>Pontianak</t>
  </si>
  <si>
    <t>A-1028</t>
  </si>
  <si>
    <t>Suyanto</t>
  </si>
  <si>
    <t>A-717</t>
  </si>
  <si>
    <t>Wilaras</t>
  </si>
  <si>
    <t xml:space="preserve">Jl.Taman Polonia I NT.27
Medan 20157</t>
  </si>
  <si>
    <t>Medan</t>
  </si>
  <si>
    <t>A-931</t>
  </si>
  <si>
    <t>Winarto</t>
  </si>
  <si>
    <t>winartoagus@ymail.com</t>
  </si>
  <si>
    <t>Jl. Pulau Batanta 35 Denpasar</t>
  </si>
  <si>
    <t>A-1349</t>
  </si>
  <si>
    <t>Sukmana</t>
  </si>
  <si>
    <t>Bekasi Permai Blok AH-11</t>
  </si>
  <si>
    <t>A-354</t>
  </si>
  <si>
    <t>Yoe</t>
  </si>
  <si>
    <t>A-704</t>
  </si>
  <si>
    <t>Agussurja</t>
  </si>
  <si>
    <t>Widjaja</t>
  </si>
  <si>
    <t>aguswdj@yahoo.com</t>
  </si>
  <si>
    <t>Jl Bangka XIA No. 8 Jakarta Selatan 12720</t>
  </si>
  <si>
    <t>A-059</t>
  </si>
  <si>
    <t>Agusta</t>
  </si>
  <si>
    <t>A-2265</t>
  </si>
  <si>
    <t>Agustia</t>
  </si>
  <si>
    <t>Martadiana</t>
  </si>
  <si>
    <t>martadiana.agustia@gmail.com</t>
  </si>
  <si>
    <t>628118501885</t>
  </si>
  <si>
    <t>A-514</t>
  </si>
  <si>
    <t>Agustien</t>
  </si>
  <si>
    <t>Kantiana</t>
  </si>
  <si>
    <t xml:space="preserve">Jl. Pulau Beltung No.12 
Pedungan</t>
  </si>
  <si>
    <t>M-1561</t>
  </si>
  <si>
    <t>Agustin</t>
  </si>
  <si>
    <t>A-1961</t>
  </si>
  <si>
    <t>Kurniawati</t>
  </si>
  <si>
    <t>+6281220773721</t>
  </si>
  <si>
    <t>Top</t>
  </si>
  <si>
    <t xml:space="preserve">KPAD Cijantung 2, 
Jalan Rasamala H4 </t>
  </si>
  <si>
    <t>Papua</t>
  </si>
  <si>
    <t>A-304</t>
  </si>
  <si>
    <t>Kusdjaja</t>
  </si>
  <si>
    <t>+628558641566</t>
  </si>
  <si>
    <t xml:space="preserve">Jl. Simprug Golf Raya XII No. 163, Jakarta Selatan 12220
</t>
  </si>
  <si>
    <t>A-2229</t>
  </si>
  <si>
    <t>agustinlestari7@gmail.com</t>
  </si>
  <si>
    <t>+6281219861473</t>
  </si>
  <si>
    <t xml:space="preserve">Cluster Perfect Home 
Bekasi</t>
  </si>
  <si>
    <t>17111</t>
  </si>
  <si>
    <t>A-1395</t>
  </si>
  <si>
    <t>Prabawa</t>
  </si>
  <si>
    <t>A-807</t>
  </si>
  <si>
    <t>Jl.Sindanglaya No 8</t>
  </si>
  <si>
    <t>A-1865</t>
  </si>
  <si>
    <t>Agustina</t>
  </si>
  <si>
    <t>Adranacus</t>
  </si>
  <si>
    <t>A-2046</t>
  </si>
  <si>
    <t>Putri</t>
  </si>
  <si>
    <t>A-2235</t>
  </si>
  <si>
    <t>Ekasari</t>
  </si>
  <si>
    <t>agustina.ekasari@yahoo.co.id</t>
  </si>
  <si>
    <t>6282123819136</t>
  </si>
  <si>
    <t>A-182</t>
  </si>
  <si>
    <t>Kusumastuti</t>
  </si>
  <si>
    <t xml:space="preserve">Jl. Saidi V No.15A
Cipete Selatan</t>
  </si>
  <si>
    <t>A-1855</t>
  </si>
  <si>
    <t>Lie</t>
  </si>
  <si>
    <t>A-2032</t>
  </si>
  <si>
    <t>Puji Astuti</t>
  </si>
  <si>
    <t>agustina200883@gmail.com</t>
  </si>
  <si>
    <t>+628151683118</t>
  </si>
  <si>
    <t xml:space="preserve">Verde Apartment 1112 , Jl H Cokong
Setia budi Jak Selatan</t>
  </si>
  <si>
    <t>A-1766</t>
  </si>
  <si>
    <t>Sade</t>
  </si>
  <si>
    <t>A-1711</t>
  </si>
  <si>
    <t>Tamara</t>
  </si>
  <si>
    <t>Jl. Pemandangan 1 No 1NA</t>
  </si>
  <si>
    <t>A-1771</t>
  </si>
  <si>
    <t>A-324</t>
  </si>
  <si>
    <t>Agustinus</t>
  </si>
  <si>
    <t>A-903</t>
  </si>
  <si>
    <t>+62811828755</t>
  </si>
  <si>
    <t>A-2044</t>
  </si>
  <si>
    <t>Junto</t>
  </si>
  <si>
    <t>A-060</t>
  </si>
  <si>
    <t>Daniel</t>
  </si>
  <si>
    <t>A-877</t>
  </si>
  <si>
    <t>Setyawan</t>
  </si>
  <si>
    <t>tinus@dwitiga.co.id</t>
  </si>
  <si>
    <t>Jalan Melati No. 3A, Jakarta Selatan 12560</t>
  </si>
  <si>
    <t>A-683</t>
  </si>
  <si>
    <t>Agutino</t>
  </si>
  <si>
    <t>A-2142</t>
  </si>
  <si>
    <t>Aldi</t>
  </si>
  <si>
    <t>6282192826564</t>
  </si>
  <si>
    <t>Jl.Veteran KM 55 Rt.4 No.8. Banjarmasin . Kel. Sungai Lulut. Kalimantan Selatan. 70238</t>
  </si>
  <si>
    <t>Kalimantan</t>
  </si>
  <si>
    <t>A-1239</t>
  </si>
  <si>
    <t>A-1290</t>
  </si>
  <si>
    <t>Fahmi</t>
  </si>
  <si>
    <t>A-1814</t>
  </si>
  <si>
    <t>A-815</t>
  </si>
  <si>
    <t>Hadytama</t>
  </si>
  <si>
    <t>Jl. KH Achmad Dahlan no.20, Pahoman</t>
  </si>
  <si>
    <t>Bandar Lampung</t>
  </si>
  <si>
    <t>A-2264</t>
  </si>
  <si>
    <t>Ahmad Giri</t>
  </si>
  <si>
    <t>giriakbar@gmail.com</t>
  </si>
  <si>
    <t>6281286128283</t>
  </si>
  <si>
    <t>Komplek Liga Mas Indah</t>
  </si>
  <si>
    <t>A-1127</t>
  </si>
  <si>
    <t>Hamdani</t>
  </si>
  <si>
    <t>A-2098</t>
  </si>
  <si>
    <t>Irvan</t>
  </si>
  <si>
    <t>irvanpenk555@gmail.com</t>
  </si>
  <si>
    <t>081313798802</t>
  </si>
  <si>
    <t>Cipete Raya</t>
  </si>
  <si>
    <t>A-434</t>
  </si>
  <si>
    <t>Reza</t>
  </si>
  <si>
    <t>A-651</t>
  </si>
  <si>
    <t>Saiih</t>
  </si>
  <si>
    <t>M-1648</t>
  </si>
  <si>
    <t>Siang</t>
  </si>
  <si>
    <t>62811296666</t>
  </si>
  <si>
    <t>A-803</t>
  </si>
  <si>
    <t>SIang</t>
  </si>
  <si>
    <t>Jl. Pertanian Raya No. 54</t>
  </si>
  <si>
    <t>A-1868</t>
  </si>
  <si>
    <t>Yani</t>
  </si>
  <si>
    <t>A-727</t>
  </si>
  <si>
    <t>Yunus</t>
  </si>
  <si>
    <t>A-1114</t>
  </si>
  <si>
    <t>Zaky</t>
  </si>
  <si>
    <t>Batu Ampar Kramat Jati RT 07/05</t>
  </si>
  <si>
    <t>A-1829</t>
  </si>
  <si>
    <t>Zulfikar</t>
  </si>
  <si>
    <t>ahmadzsaid@yahoo.com</t>
  </si>
  <si>
    <t>62818842766</t>
  </si>
  <si>
    <t>Jl. Lebak Bulus 2 Komp. Panorama Townhouse Kav.9, Jakarta</t>
  </si>
  <si>
    <t>A-1085</t>
  </si>
  <si>
    <t>Ahmed</t>
  </si>
  <si>
    <t>Eid</t>
  </si>
  <si>
    <t>A-966</t>
  </si>
  <si>
    <t>Fares</t>
  </si>
  <si>
    <t>Metro Alam II, No 38 Pondok Indah</t>
  </si>
  <si>
    <t>A-1962</t>
  </si>
  <si>
    <t>Alghurair</t>
  </si>
  <si>
    <t>United Arab Emirates</t>
  </si>
  <si>
    <t>A-2000</t>
  </si>
  <si>
    <t>Ahong</t>
  </si>
  <si>
    <t>A-2254</t>
  </si>
  <si>
    <t>Ahreum</t>
  </si>
  <si>
    <t>Han</t>
  </si>
  <si>
    <t>hanahreum@gmail.com</t>
  </si>
  <si>
    <t>628118201131</t>
  </si>
  <si>
    <t>Korea, Republic Of</t>
  </si>
  <si>
    <t>A-1979</t>
  </si>
  <si>
    <t>Ahued</t>
  </si>
  <si>
    <t>Roberto</t>
  </si>
  <si>
    <t>Mexico</t>
  </si>
  <si>
    <t>A-2119</t>
  </si>
  <si>
    <t>Ahuja</t>
  </si>
  <si>
    <t>Anish</t>
  </si>
  <si>
    <t>919811225407</t>
  </si>
  <si>
    <t>Republic of India</t>
  </si>
  <si>
    <t>A-969</t>
  </si>
  <si>
    <t>Ai</t>
  </si>
  <si>
    <t>putrasyamindonesia@gmail.com</t>
  </si>
  <si>
    <t>Senayan</t>
  </si>
  <si>
    <t>A-070</t>
  </si>
  <si>
    <t>(Japan)</t>
  </si>
  <si>
    <t>A-945</t>
  </si>
  <si>
    <t>Suningsih</t>
  </si>
  <si>
    <t>Kompleks Puri Kartika Blok B5 No.17</t>
  </si>
  <si>
    <t>A-1725</t>
  </si>
  <si>
    <t>Aida</t>
  </si>
  <si>
    <t>A-2015</t>
  </si>
  <si>
    <t>Nurmala</t>
  </si>
  <si>
    <t>AIDA@STUDIONE.CO.ID</t>
  </si>
  <si>
    <t>JL CIKATOMAS 1 NO 4</t>
  </si>
  <si>
    <t>DKI JAKARTA</t>
  </si>
  <si>
    <t>A-068</t>
  </si>
  <si>
    <t>Darmiati</t>
  </si>
  <si>
    <t xml:space="preserve">Permata Buana
Jl. Kembangan Utama Blok H7 No. 1
Puri Kembangan</t>
  </si>
  <si>
    <t>A-069</t>
  </si>
  <si>
    <t>Aidawati</t>
  </si>
  <si>
    <t>Surya</t>
  </si>
  <si>
    <t>Jl. Kembang Indah Blok S-5 No. 54</t>
  </si>
  <si>
    <t>A-1130</t>
  </si>
  <si>
    <t>Aifi</t>
  </si>
  <si>
    <t>Bonarto</t>
  </si>
  <si>
    <t>M-1182</t>
  </si>
  <si>
    <t>Aiga</t>
  </si>
  <si>
    <t>Gorin</t>
  </si>
  <si>
    <t xml:space="preserve">Apartemen Providence Park unit 2SC
Jl Kalimaya no.27
Jakarta Selatan 12210</t>
  </si>
  <si>
    <t>A-1941</t>
  </si>
  <si>
    <t>Aika</t>
  </si>
  <si>
    <t>Rosario</t>
  </si>
  <si>
    <t>Philippines</t>
  </si>
  <si>
    <t>A-861</t>
  </si>
  <si>
    <t>Aileen</t>
  </si>
  <si>
    <t>Adidarma</t>
  </si>
  <si>
    <t>sour_sup@yahoo.com</t>
  </si>
  <si>
    <t xml:space="preserve">Four Seasons Residence 
Summer Tower 26D
Jl Setiabudi Tengah</t>
  </si>
  <si>
    <t>A-2312</t>
  </si>
  <si>
    <t>Atmadja</t>
  </si>
  <si>
    <t>628121283999</t>
  </si>
  <si>
    <t>A-2201</t>
  </si>
  <si>
    <t>Valerie Wijaya</t>
  </si>
  <si>
    <t>6287878888721</t>
  </si>
  <si>
    <t>A-2280</t>
  </si>
  <si>
    <t>Ailyna</t>
  </si>
  <si>
    <t>Heng</t>
  </si>
  <si>
    <t>6282114095575</t>
  </si>
  <si>
    <t>Gold Coast Residences WCA No.11</t>
  </si>
  <si>
    <t>A-1217</t>
  </si>
  <si>
    <t>Aimee</t>
  </si>
  <si>
    <t>Gerungan</t>
  </si>
  <si>
    <t>A-1413</t>
  </si>
  <si>
    <t>Mai</t>
  </si>
  <si>
    <t>Aini</t>
  </si>
  <si>
    <t>628170201222</t>
  </si>
  <si>
    <t>A-732</t>
  </si>
  <si>
    <t>A-1709</t>
  </si>
  <si>
    <t>Ainun</t>
  </si>
  <si>
    <t>Muttaqin</t>
  </si>
  <si>
    <t>KPAD Sriwijaya Baru II</t>
  </si>
  <si>
    <t>A-1158</t>
  </si>
  <si>
    <t>Aip</t>
  </si>
  <si>
    <t>A-1393</t>
  </si>
  <si>
    <t>Airin</t>
  </si>
  <si>
    <t>Deborah</t>
  </si>
  <si>
    <t>628170947894</t>
  </si>
  <si>
    <t>A-985</t>
  </si>
  <si>
    <t>Maharani</t>
  </si>
  <si>
    <t>Jl.Tebet Barat Raya No.25 B</t>
  </si>
  <si>
    <t>A-339</t>
  </si>
  <si>
    <t>Aisha</t>
  </si>
  <si>
    <t>Sujatim</t>
  </si>
  <si>
    <t>A-2286</t>
  </si>
  <si>
    <t>Ramadhani</t>
  </si>
  <si>
    <t>6591789974</t>
  </si>
  <si>
    <t>A-346</t>
  </si>
  <si>
    <t>Aismawati</t>
  </si>
  <si>
    <t>A-2030</t>
  </si>
  <si>
    <t>Aisyah</t>
  </si>
  <si>
    <t>A-1024</t>
  </si>
  <si>
    <t>62811905663</t>
  </si>
  <si>
    <t>A-1370</t>
  </si>
  <si>
    <t>Aita</t>
  </si>
  <si>
    <t>Christina</t>
  </si>
  <si>
    <t>Agung Permai 3 c10/9</t>
  </si>
  <si>
    <t>A-1689</t>
  </si>
  <si>
    <t>Aizzudin</t>
  </si>
  <si>
    <t>A-564</t>
  </si>
  <si>
    <t>Ajeng</t>
  </si>
  <si>
    <t xml:space="preserve">Jl. R.S Fatmawati No.1B 
Cilandak Jakarta Barat</t>
  </si>
  <si>
    <t>A-2148</t>
  </si>
  <si>
    <t>Swastiari</t>
  </si>
  <si>
    <t>Bintaro</t>
  </si>
  <si>
    <t>A-483</t>
  </si>
  <si>
    <t>Iqbal</t>
  </si>
  <si>
    <t>A-2268</t>
  </si>
  <si>
    <t>Furi</t>
  </si>
  <si>
    <t>A-1738</t>
  </si>
  <si>
    <t>Radini Tonia</t>
  </si>
  <si>
    <t>6281317440045</t>
  </si>
  <si>
    <t>Puri Bintaro PB14/53</t>
  </si>
  <si>
    <t>A-1969</t>
  </si>
  <si>
    <t>Samodra</t>
  </si>
  <si>
    <t>ajeng.mamasam@gmail.com</t>
  </si>
  <si>
    <t>+628118772512</t>
  </si>
  <si>
    <t>Grand Trevista Rempoa No A8</t>
  </si>
  <si>
    <t>A-1949</t>
  </si>
  <si>
    <t>A-1823</t>
  </si>
  <si>
    <t>Aji</t>
  </si>
  <si>
    <t>A-1784</t>
  </si>
  <si>
    <t>Paramartha</t>
  </si>
  <si>
    <t>A-2037</t>
  </si>
  <si>
    <t>Saka</t>
  </si>
  <si>
    <t>sakaji1211@gmail.com</t>
  </si>
  <si>
    <t>Jl. Tebet Raya No.12</t>
  </si>
  <si>
    <t>M-1406</t>
  </si>
  <si>
    <t>R.</t>
  </si>
  <si>
    <t>A-1034</t>
  </si>
  <si>
    <t>A-1749</t>
  </si>
  <si>
    <t>Aka</t>
  </si>
  <si>
    <t>A-1740</t>
  </si>
  <si>
    <t>Akash</t>
  </si>
  <si>
    <t>Elahi</t>
  </si>
  <si>
    <t>A-345</t>
  </si>
  <si>
    <t>A-792</t>
  </si>
  <si>
    <t>A-1586</t>
  </si>
  <si>
    <t>Faisal</t>
  </si>
  <si>
    <t>A-2007</t>
  </si>
  <si>
    <t>A-790</t>
  </si>
  <si>
    <t>Puchari</t>
  </si>
  <si>
    <t>A-2236</t>
  </si>
  <si>
    <t>Akdemir</t>
  </si>
  <si>
    <t>Hasan Huseyin</t>
  </si>
  <si>
    <t>akdemirrhasan@gmail.com</t>
  </si>
  <si>
    <t>909537064144</t>
  </si>
  <si>
    <t>Turkey</t>
  </si>
  <si>
    <t>A-072</t>
  </si>
  <si>
    <t>Akemi</t>
  </si>
  <si>
    <t>Ido</t>
  </si>
  <si>
    <t>A-1497</t>
  </si>
  <si>
    <t>Akhmad</t>
  </si>
  <si>
    <t>Syukri</t>
  </si>
  <si>
    <t>akhmadsyukri05@gmail.com</t>
  </si>
  <si>
    <t>A-2189</t>
  </si>
  <si>
    <t>Aki</t>
  </si>
  <si>
    <t>6285893911209</t>
  </si>
  <si>
    <t>A-601</t>
  </si>
  <si>
    <t>Akihiko</t>
  </si>
  <si>
    <t>A-721</t>
  </si>
  <si>
    <t>Akik</t>
  </si>
  <si>
    <t>A-2064</t>
  </si>
  <si>
    <t>Rachmiwaty</t>
  </si>
  <si>
    <t>So</t>
  </si>
  <si>
    <t>kimkamore@yahoo.com</t>
  </si>
  <si>
    <t>+628111686688</t>
  </si>
  <si>
    <t>Jalan Suwiryo No. 54, Menteng, Jakarta</t>
  </si>
  <si>
    <t>A-1819</t>
  </si>
  <si>
    <t>Akinori</t>
  </si>
  <si>
    <t>Taniguchi</t>
  </si>
  <si>
    <t>A-159</t>
  </si>
  <si>
    <t>Akiong</t>
  </si>
  <si>
    <t>A-1069</t>
  </si>
  <si>
    <t>Akira</t>
  </si>
  <si>
    <t>Teshigawara</t>
  </si>
  <si>
    <t>teshi@atm-intl.com</t>
  </si>
  <si>
    <t>Pakubuwono View L 39D</t>
  </si>
  <si>
    <t>A-1368</t>
  </si>
  <si>
    <t>Akmal</t>
  </si>
  <si>
    <t>A-2297</t>
  </si>
  <si>
    <t>Al Ajmi</t>
  </si>
  <si>
    <t>Marwa Abdul Redha Haji</t>
  </si>
  <si>
    <t>marwaalajmi@hotmail.com</t>
  </si>
  <si>
    <t>+0096878444444</t>
  </si>
  <si>
    <t>Oman</t>
  </si>
  <si>
    <t>A-2149</t>
  </si>
  <si>
    <t>Al</t>
  </si>
  <si>
    <t>Mubarak</t>
  </si>
  <si>
    <t>A-924</t>
  </si>
  <si>
    <t>Hanafi</t>
  </si>
  <si>
    <t>A-1955</t>
  </si>
  <si>
    <t>AL</t>
  </si>
  <si>
    <t>A</t>
  </si>
  <si>
    <t>A-1381</t>
  </si>
  <si>
    <t>A-1445</t>
  </si>
  <si>
    <t>AL-Hakim</t>
  </si>
  <si>
    <t>Hanafiah</t>
  </si>
  <si>
    <t xml:space="preserve">jln.lebak bulus Ino52 cilandak 
jakarta</t>
  </si>
  <si>
    <t>A-690</t>
  </si>
  <si>
    <t>Al-Hanafi</t>
  </si>
  <si>
    <t>A-923</t>
  </si>
  <si>
    <t>Ala</t>
  </si>
  <si>
    <t>Alawami</t>
  </si>
  <si>
    <t>A-2261</t>
  </si>
  <si>
    <t>Alabulkarim</t>
  </si>
  <si>
    <t>+966555441573</t>
  </si>
  <si>
    <t>A-2025</t>
  </si>
  <si>
    <t>Alabdulwahab,</t>
  </si>
  <si>
    <t>Abdulwahab</t>
  </si>
  <si>
    <t>A-2173</t>
  </si>
  <si>
    <t>Alam</t>
  </si>
  <si>
    <t>+628113901400</t>
  </si>
  <si>
    <t>A-1229</t>
  </si>
  <si>
    <t>Alamo</t>
  </si>
  <si>
    <t>Laiman</t>
  </si>
  <si>
    <t>A-1495</t>
  </si>
  <si>
    <t>Alan</t>
  </si>
  <si>
    <t>A-1186</t>
  </si>
  <si>
    <t>Nugraha</t>
  </si>
  <si>
    <t>A-082</t>
  </si>
  <si>
    <t>Frederik</t>
  </si>
  <si>
    <t>Patra Ofice Tower</t>
  </si>
  <si>
    <t>Jl. Gatot Subroto</t>
  </si>
  <si>
    <t>A-580</t>
  </si>
  <si>
    <t>cai</t>
  </si>
  <si>
    <t>A-2060</t>
  </si>
  <si>
    <t>Ho</t>
  </si>
  <si>
    <t>alanho97177786</t>
  </si>
  <si>
    <t xml:space="preserve">Apartment Kemang Village Tower Cosmopolitan
1706</t>
  </si>
  <si>
    <t>A-1182</t>
  </si>
  <si>
    <t>Sinarwan</t>
  </si>
  <si>
    <t>A-2084</t>
  </si>
  <si>
    <t>Xiuzhen</t>
  </si>
  <si>
    <t>A-907</t>
  </si>
  <si>
    <t>Alantin</t>
  </si>
  <si>
    <t>A-2299</t>
  </si>
  <si>
    <t>Albatati</t>
  </si>
  <si>
    <t>Abdullah Salem A</t>
  </si>
  <si>
    <t>albatati.abdullah@gmail.com</t>
  </si>
  <si>
    <t>966533396678</t>
  </si>
  <si>
    <t>Saudi</t>
  </si>
  <si>
    <t>A-1589</t>
  </si>
  <si>
    <t>Alben</t>
  </si>
  <si>
    <t>A-2257</t>
  </si>
  <si>
    <t>Albert</t>
  </si>
  <si>
    <t>62811277599</t>
  </si>
  <si>
    <t>Jawa Tengah</t>
  </si>
  <si>
    <t>A-2140</t>
  </si>
  <si>
    <t>Bitticaca</t>
  </si>
  <si>
    <t>albert.bitticaca@gmail.com</t>
  </si>
  <si>
    <t>+6287868710502</t>
  </si>
  <si>
    <t>Teladan No 82 Kav 2A</t>
  </si>
  <si>
    <t>A-1150</t>
  </si>
  <si>
    <t>A-1881</t>
  </si>
  <si>
    <t>Liong</t>
  </si>
  <si>
    <t>A-840</t>
  </si>
  <si>
    <t>Albert Satryo</t>
  </si>
  <si>
    <t>Wibowo</t>
  </si>
  <si>
    <t>albert.wibowo2004@gmail.com</t>
  </si>
  <si>
    <t>6281931518888</t>
  </si>
  <si>
    <t>Pakubuwono View Apartment R16F</t>
  </si>
  <si>
    <t>A-549</t>
  </si>
  <si>
    <t>Novilia</t>
  </si>
  <si>
    <t>A-515</t>
  </si>
  <si>
    <t>A-725</t>
  </si>
  <si>
    <t>Tanoni</t>
  </si>
  <si>
    <t>nian8879@gmail.com</t>
  </si>
  <si>
    <t xml:space="preserve">Taman Gandaria F14 Kebayoran Lama
Jakarta Selatan</t>
  </si>
  <si>
    <t>A-1645</t>
  </si>
  <si>
    <t>A-1032</t>
  </si>
  <si>
    <t>Jalan Terusan Bandengan Utara 89/36</t>
  </si>
  <si>
    <t>A-1933</t>
  </si>
  <si>
    <t>Alberto</t>
  </si>
  <si>
    <t>A-2255</t>
  </si>
  <si>
    <t>Carrion Morillo</t>
  </si>
  <si>
    <t>a.carrion.morillo@gmail.com</t>
  </si>
  <si>
    <t>34659335126</t>
  </si>
  <si>
    <t>Madrid</t>
  </si>
  <si>
    <t>Espanola</t>
  </si>
  <si>
    <t>Spain</t>
  </si>
  <si>
    <t>A-1037</t>
  </si>
  <si>
    <t>Albertus</t>
  </si>
  <si>
    <t>Putra</t>
  </si>
  <si>
    <t xml:space="preserve">Taman Tirta Golf Blok I/3A - Tangerang Selatan
Banten - Indonesia</t>
  </si>
  <si>
    <t>A-926</t>
  </si>
  <si>
    <t>A-1931</t>
  </si>
  <si>
    <t>Alblehed</t>
  </si>
  <si>
    <t>A-1974</t>
  </si>
  <si>
    <t>Albrahim</t>
  </si>
  <si>
    <t>J</t>
  </si>
  <si>
    <t>A-1004</t>
  </si>
  <si>
    <t>Aldasni</t>
  </si>
  <si>
    <t>A-1223</t>
  </si>
  <si>
    <t>Aldean</t>
  </si>
  <si>
    <t>A-1503</t>
  </si>
  <si>
    <t>+62818726892#</t>
  </si>
  <si>
    <t>A-1456</t>
  </si>
  <si>
    <t>A-902</t>
  </si>
  <si>
    <t>Ferdian</t>
  </si>
  <si>
    <t>Nangka Raya 5B</t>
  </si>
  <si>
    <t>A-1178</t>
  </si>
  <si>
    <t>Iskandar</t>
  </si>
  <si>
    <t>iskandar_aldi@yahoo.com</t>
  </si>
  <si>
    <t>Komp Green Ville AI/20 West Jakarta</t>
  </si>
  <si>
    <t>A-2151</t>
  </si>
  <si>
    <t>Raimon</t>
  </si>
  <si>
    <t>6287836558799</t>
  </si>
  <si>
    <t>13110</t>
  </si>
  <si>
    <t>A-085</t>
  </si>
  <si>
    <t>Rizaldi</t>
  </si>
  <si>
    <t>JL. Kencana Permai VI / 15</t>
  </si>
  <si>
    <t>A-328</t>
  </si>
  <si>
    <t>Aldil</t>
  </si>
  <si>
    <t>Yuzar</t>
  </si>
  <si>
    <t>A-557</t>
  </si>
  <si>
    <t>Aldila</t>
  </si>
  <si>
    <t>A-1754</t>
  </si>
  <si>
    <t>Muntazar</t>
  </si>
  <si>
    <t xml:space="preserve">Jalan Mendawai 1 no 11 rt 9 rw 7
Kramat Pela Kebayoran Baru</t>
  </si>
  <si>
    <t>A-1998</t>
  </si>
  <si>
    <t>Aldino</t>
  </si>
  <si>
    <t>Desta</t>
  </si>
  <si>
    <t>A-1559</t>
  </si>
  <si>
    <t>Aldo</t>
  </si>
  <si>
    <t>aser_56@yahoo.com</t>
  </si>
  <si>
    <t>6281274352004</t>
  </si>
  <si>
    <t>A-2218</t>
  </si>
  <si>
    <t>Aldosky</t>
  </si>
  <si>
    <t>Beri</t>
  </si>
  <si>
    <t>M2020karerm@gmail.com</t>
  </si>
  <si>
    <t>971585174626</t>
  </si>
  <si>
    <t>Sweden</t>
  </si>
  <si>
    <t>Swedia</t>
  </si>
  <si>
    <t>A-1574</t>
  </si>
  <si>
    <t>Aldres</t>
  </si>
  <si>
    <t>Jonathan</t>
  </si>
  <si>
    <t>Kalapa Gading</t>
  </si>
  <si>
    <t>A-1873</t>
  </si>
  <si>
    <t>Aldrian</t>
  </si>
  <si>
    <t>Setyo</t>
  </si>
  <si>
    <t>aldrian.tioe@gmail.com</t>
  </si>
  <si>
    <t xml:space="preserve">Cendana Golf 2 No 51 BGM, PIK 
Jakarta Utara 14470</t>
  </si>
  <si>
    <t>A-2177</t>
  </si>
  <si>
    <t>Aldrin</t>
  </si>
  <si>
    <t>+6281532121475</t>
  </si>
  <si>
    <t>A-1914</t>
  </si>
  <si>
    <t>Aldwin</t>
  </si>
  <si>
    <t>Yusgiantoro</t>
  </si>
  <si>
    <t>A-1698</t>
  </si>
  <si>
    <t>Aldy</t>
  </si>
  <si>
    <t>Novita</t>
  </si>
  <si>
    <t>ck_af@yahoo.com</t>
  </si>
  <si>
    <t>M-1358</t>
  </si>
  <si>
    <t>Rinaldi.</t>
  </si>
  <si>
    <t>A-1654</t>
  </si>
  <si>
    <t>Ale</t>
  </si>
  <si>
    <t>Pantai Kuta I No.8 Ancol</t>
  </si>
  <si>
    <t>A-1977</t>
  </si>
  <si>
    <t>Aleksandra</t>
  </si>
  <si>
    <t>Lukianova</t>
  </si>
  <si>
    <t>A-2156</t>
  </si>
  <si>
    <t>Simutova</t>
  </si>
  <si>
    <t>sasha_siliverstova@mail.ru</t>
  </si>
  <si>
    <t>79111111136</t>
  </si>
  <si>
    <t>Canggu</t>
  </si>
  <si>
    <t>80111</t>
  </si>
  <si>
    <t>A-1767</t>
  </si>
  <si>
    <t>Voronina</t>
  </si>
  <si>
    <t>A-1666</t>
  </si>
  <si>
    <t>Alena</t>
  </si>
  <si>
    <t>Krivosheina</t>
  </si>
  <si>
    <t>A-1611</t>
  </si>
  <si>
    <t>Alex</t>
  </si>
  <si>
    <t>A-659</t>
  </si>
  <si>
    <t>A-797</t>
  </si>
  <si>
    <t>A-092</t>
  </si>
  <si>
    <t>Brata</t>
  </si>
  <si>
    <t>Jl. Wirajati I Blok AA No. 13</t>
  </si>
  <si>
    <t>Jatiwaringin</t>
  </si>
  <si>
    <t>A-1647</t>
  </si>
  <si>
    <t>Frender</t>
  </si>
  <si>
    <t>Jasonson211@gmail.com</t>
  </si>
  <si>
    <t>A-1299</t>
  </si>
  <si>
    <t>Ginting</t>
  </si>
  <si>
    <t>A-668</t>
  </si>
  <si>
    <t>Kartasa</t>
  </si>
  <si>
    <t>A-1433</t>
  </si>
  <si>
    <t>Leonardo</t>
  </si>
  <si>
    <t>A-421</t>
  </si>
  <si>
    <t>Yanez</t>
  </si>
  <si>
    <t xml:space="preserve">GKBI Lt.30 
Jakarta</t>
  </si>
  <si>
    <t>A-1185</t>
  </si>
  <si>
    <t>Mulya</t>
  </si>
  <si>
    <t>A-1667</t>
  </si>
  <si>
    <t>628116301399</t>
  </si>
  <si>
    <t>Sumatera Utara</t>
  </si>
  <si>
    <t>A-1261</t>
  </si>
  <si>
    <t>Siregar</t>
  </si>
  <si>
    <t>A-093</t>
  </si>
  <si>
    <t>(Lampung)</t>
  </si>
  <si>
    <t>Lampung</t>
  </si>
  <si>
    <t>A-946</t>
  </si>
  <si>
    <t>Tandun</t>
  </si>
  <si>
    <t>A-1728</t>
  </si>
  <si>
    <t>Alexander</t>
  </si>
  <si>
    <t>A-776</t>
  </si>
  <si>
    <t>Datuk</t>
  </si>
  <si>
    <t>alex.datux@gmail.com</t>
  </si>
  <si>
    <t>A-1989</t>
  </si>
  <si>
    <t>Gotama</t>
  </si>
  <si>
    <t>6287878504214</t>
  </si>
  <si>
    <t>A-221</t>
  </si>
  <si>
    <t>Kandisaputro</t>
  </si>
  <si>
    <t xml:space="preserve">Jl. Taman kebon Jeruk Intercon Blok E1 No.70
Jakarta Barat</t>
  </si>
  <si>
    <t>A-1995</t>
  </si>
  <si>
    <t>alexanderkurniawan@live.com</t>
  </si>
  <si>
    <t>Gold Coast Atlantic Tower 36/5 PIK Jakarta Utara</t>
  </si>
  <si>
    <t>A-1776</t>
  </si>
  <si>
    <t>Aruan</t>
  </si>
  <si>
    <t>mamby@aptacomm.id</t>
  </si>
  <si>
    <t>A-860</t>
  </si>
  <si>
    <t>Sabar</t>
  </si>
  <si>
    <t>A-401</t>
  </si>
  <si>
    <t>Taslim</t>
  </si>
  <si>
    <t>A-1008</t>
  </si>
  <si>
    <t>Thian</t>
  </si>
  <si>
    <t>amrazing007@gmail.com</t>
  </si>
  <si>
    <t>A-1640</t>
  </si>
  <si>
    <t>Alexander/Shayoon</t>
  </si>
  <si>
    <t>Bali - Indonesia</t>
  </si>
  <si>
    <t>A-1472</t>
  </si>
  <si>
    <t>Alexandra</t>
  </si>
  <si>
    <t>Askandar</t>
  </si>
  <si>
    <t>08119017288</t>
  </si>
  <si>
    <t>A-914</t>
  </si>
  <si>
    <t>A-1997</t>
  </si>
  <si>
    <t>Schulz</t>
  </si>
  <si>
    <t>Luxembourg</t>
  </si>
  <si>
    <t>A-388</t>
  </si>
  <si>
    <t>A-979</t>
  </si>
  <si>
    <t>Wiyoso</t>
  </si>
  <si>
    <t>A-1686</t>
  </si>
  <si>
    <t>Alexandre</t>
  </si>
  <si>
    <t>Rusli</t>
  </si>
  <si>
    <t>Komp . Faraday selatan 3 no 50 gading serpong</t>
  </si>
  <si>
    <t>A-1591</t>
  </si>
  <si>
    <t>Alexandro</t>
  </si>
  <si>
    <t>Lee</t>
  </si>
  <si>
    <t>A-1945</t>
  </si>
  <si>
    <t>Alexsander</t>
  </si>
  <si>
    <t>A-1276</t>
  </si>
  <si>
    <t>Alexsei</t>
  </si>
  <si>
    <t>A-804</t>
  </si>
  <si>
    <t>Alf</t>
  </si>
  <si>
    <t>Goette</t>
  </si>
  <si>
    <t>alf.goette@gmail.com</t>
  </si>
  <si>
    <t xml:space="preserve">JL Sekolah Duta VI NO 1
Pondok Indah</t>
  </si>
  <si>
    <t>A-1572</t>
  </si>
  <si>
    <t>Alfaat</t>
  </si>
  <si>
    <t>Sikumbang</t>
  </si>
  <si>
    <t xml:space="preserve">M-17 House
Jl Masjid IV No17</t>
  </si>
  <si>
    <t>L-1443</t>
  </si>
  <si>
    <t>Arfano</t>
  </si>
  <si>
    <t>Sapto</t>
  </si>
  <si>
    <t>alfanows@gmail.com</t>
  </si>
  <si>
    <t>+628568884181</t>
  </si>
  <si>
    <t xml:space="preserve">JL KARTIKA PINANG III
JAKARTA</t>
  </si>
  <si>
    <t>A-1418</t>
  </si>
  <si>
    <t>Alfi</t>
  </si>
  <si>
    <t>A-1617</t>
  </si>
  <si>
    <t>Latifah</t>
  </si>
  <si>
    <t>A-1758</t>
  </si>
  <si>
    <t>Alfian</t>
  </si>
  <si>
    <t>A-1797</t>
  </si>
  <si>
    <t>A-500</t>
  </si>
  <si>
    <t>Alfie</t>
  </si>
  <si>
    <t>Rustam</t>
  </si>
  <si>
    <t>A-1367</t>
  </si>
  <si>
    <t>Alfiyadi</t>
  </si>
  <si>
    <t>A-1297</t>
  </si>
  <si>
    <t>Alfiyan</t>
  </si>
  <si>
    <t>A-976</t>
  </si>
  <si>
    <t>Alfonso</t>
  </si>
  <si>
    <t>Sutikno</t>
  </si>
  <si>
    <t>A-1244</t>
  </si>
  <si>
    <t>Muliawan</t>
  </si>
  <si>
    <t xml:space="preserve">PT. BKL 
JL Indihiyang , tasikmalaya</t>
  </si>
  <si>
    <t>Tasikmalaya</t>
  </si>
  <si>
    <t>A-382</t>
  </si>
  <si>
    <t>Alfonsus</t>
  </si>
  <si>
    <t>A-1231</t>
  </si>
  <si>
    <t>Alfred</t>
  </si>
  <si>
    <t>A-2262</t>
  </si>
  <si>
    <t>Alghamdi</t>
  </si>
  <si>
    <t>Alghamdi Abdulmohsin Ahmed H</t>
  </si>
  <si>
    <t>abdulmohsin.tube@gmail.com</t>
  </si>
  <si>
    <t>+966507544488</t>
  </si>
  <si>
    <t>A-1930</t>
  </si>
  <si>
    <t>Alharthy</t>
  </si>
  <si>
    <t>A-824</t>
  </si>
  <si>
    <t>A-2222</t>
  </si>
  <si>
    <t>Aawini</t>
  </si>
  <si>
    <t>ali.awene98@gmail.com</t>
  </si>
  <si>
    <t>971566566175</t>
  </si>
  <si>
    <t>Dubai UAE, JVC</t>
  </si>
  <si>
    <t>A-1875</t>
  </si>
  <si>
    <t>Alanazi</t>
  </si>
  <si>
    <t>A-499</t>
  </si>
  <si>
    <t>Kastela</t>
  </si>
  <si>
    <t>628121090966</t>
  </si>
  <si>
    <t>Perumahan Kav. DPRD DKI Blok K/10, Cibubur Jakarta Timur</t>
  </si>
  <si>
    <t>A-1058</t>
  </si>
  <si>
    <t>Koriche</t>
  </si>
  <si>
    <t>akoriche97@gmail.com</t>
  </si>
  <si>
    <t>VB 58 Graha Famili, Surabaya</t>
  </si>
  <si>
    <t>A-096</t>
  </si>
  <si>
    <t>Muhamad</t>
  </si>
  <si>
    <t>Jl. Tanah Abang II No. 62</t>
  </si>
  <si>
    <t>A-652</t>
  </si>
  <si>
    <t>A-2117</t>
  </si>
  <si>
    <t>Ali Saeed Rashed</t>
  </si>
  <si>
    <t>Ali Alshehhi</t>
  </si>
  <si>
    <t>ali.alshahi@hotmail.com</t>
  </si>
  <si>
    <t>9715557500000</t>
  </si>
  <si>
    <t>A-097</t>
  </si>
  <si>
    <t>Samsudin</t>
  </si>
  <si>
    <t>A-415</t>
  </si>
  <si>
    <t>Subianto</t>
  </si>
  <si>
    <t>A-099</t>
  </si>
  <si>
    <t>8th Fl. Plaza Permata</t>
  </si>
  <si>
    <t>Jl. MH. Thamrin 57</t>
  </si>
  <si>
    <t>A-814</t>
  </si>
  <si>
    <t>Tazigan</t>
  </si>
  <si>
    <t>A-1180</t>
  </si>
  <si>
    <t>Yusri</t>
  </si>
  <si>
    <t>A-2202</t>
  </si>
  <si>
    <t>Alia</t>
  </si>
  <si>
    <t>Albazie</t>
  </si>
  <si>
    <t>aalbazie4@gmail.com</t>
  </si>
  <si>
    <t>966504462129</t>
  </si>
  <si>
    <t>A-1291</t>
  </si>
  <si>
    <t>Karina</t>
  </si>
  <si>
    <t>A-726</t>
  </si>
  <si>
    <t>Soedarjo</t>
  </si>
  <si>
    <t xml:space="preserve">JL WIJAYA XV1 NO.183
JAKARTA</t>
  </si>
  <si>
    <t>A-1397</t>
  </si>
  <si>
    <t>Tridarmawati</t>
  </si>
  <si>
    <t>+62812201674</t>
  </si>
  <si>
    <t>A-821</t>
  </si>
  <si>
    <t>Wicaksono</t>
  </si>
  <si>
    <t>Jl. Gajah Mungkur ,Duren Tiga</t>
  </si>
  <si>
    <t>A-722</t>
  </si>
  <si>
    <t>Alice</t>
  </si>
  <si>
    <t>A-1556</t>
  </si>
  <si>
    <t>Carlee</t>
  </si>
  <si>
    <t>6282368861998</t>
  </si>
  <si>
    <t>A-933</t>
  </si>
  <si>
    <t>A-1820</t>
  </si>
  <si>
    <t>Lukas</t>
  </si>
  <si>
    <t>JL.DIENG N0.5B</t>
  </si>
  <si>
    <t>SEMARANG</t>
  </si>
  <si>
    <t>A-2008</t>
  </si>
  <si>
    <t>Wong</t>
  </si>
  <si>
    <t>alice8708@gmail.com</t>
  </si>
  <si>
    <t>6287776655624</t>
  </si>
  <si>
    <t>A-552</t>
  </si>
  <si>
    <t>Alicia</t>
  </si>
  <si>
    <t>gidley</t>
  </si>
  <si>
    <t>A-1794</t>
  </si>
  <si>
    <t>Alif</t>
  </si>
  <si>
    <t>A-1302</t>
  </si>
  <si>
    <t>Alifa</t>
  </si>
  <si>
    <t>A-2282</t>
  </si>
  <si>
    <t>Alifa Putri</t>
  </si>
  <si>
    <t>Mirza Pahlevi</t>
  </si>
  <si>
    <t>alifaputrimirza@yahoo.com</t>
  </si>
  <si>
    <t>6281327110717</t>
  </si>
  <si>
    <t>A-1884</t>
  </si>
  <si>
    <t>Alifka</t>
  </si>
  <si>
    <t>Soehartomo</t>
  </si>
  <si>
    <t>A-1679</t>
  </si>
  <si>
    <t>Alika</t>
  </si>
  <si>
    <t>widyadari</t>
  </si>
  <si>
    <t>A-095</t>
  </si>
  <si>
    <t>Alim</t>
  </si>
  <si>
    <t>(Surabaya)</t>
  </si>
  <si>
    <t>Jl. Wijaya Kusuma 35</t>
  </si>
  <si>
    <t>A-836</t>
  </si>
  <si>
    <t>Alimudin</t>
  </si>
  <si>
    <t>A-921</t>
  </si>
  <si>
    <t>Alin</t>
  </si>
  <si>
    <t>Marpaung</t>
  </si>
  <si>
    <t>A-2252</t>
  </si>
  <si>
    <t>Alina</t>
  </si>
  <si>
    <t>Bikbaeva</t>
  </si>
  <si>
    <t>628119119524</t>
  </si>
  <si>
    <t>Australia</t>
  </si>
  <si>
    <t>A-2154</t>
  </si>
  <si>
    <t>Goncharova</t>
  </si>
  <si>
    <t>g.rubashkin@novotrans.com</t>
  </si>
  <si>
    <t>79859224405</t>
  </si>
  <si>
    <t>Russia</t>
  </si>
  <si>
    <t>Rusia</t>
  </si>
  <si>
    <t>A-1575</t>
  </si>
  <si>
    <t>Alinda</t>
  </si>
  <si>
    <t>Marselina</t>
  </si>
  <si>
    <t>alinda.marselina16@gmail.com</t>
  </si>
  <si>
    <t>Apartemen Setiabudi SkyGarden Jakarta</t>
  </si>
  <si>
    <t>A-658</t>
  </si>
  <si>
    <t>Tohir</t>
  </si>
  <si>
    <t>A-1912</t>
  </si>
  <si>
    <t>Aling</t>
  </si>
  <si>
    <t>A-541</t>
  </si>
  <si>
    <t>A-2122</t>
  </si>
  <si>
    <t>Alisa</t>
  </si>
  <si>
    <t>Nur Aisyah</t>
  </si>
  <si>
    <t>alisa.nuraisyah@yahoo.com</t>
  </si>
  <si>
    <t>6282112202089</t>
  </si>
  <si>
    <t>A-1775</t>
  </si>
  <si>
    <t>Alisha</t>
  </si>
  <si>
    <t>A-1793</t>
  </si>
  <si>
    <t>Alisia</t>
  </si>
  <si>
    <t>Rininta</t>
  </si>
  <si>
    <t>alisiarininta1@gmail.com</t>
  </si>
  <si>
    <t>62811223345</t>
  </si>
  <si>
    <t xml:space="preserve">Jl. Kayu Mas Utara U No. 271, Pulogadung, Jakarta Timur 
</t>
  </si>
  <si>
    <t>A-098</t>
  </si>
  <si>
    <t>Alison</t>
  </si>
  <si>
    <t>Benater</t>
  </si>
  <si>
    <t>(+61) 299751046</t>
  </si>
  <si>
    <t>9 Curraweela St.</t>
  </si>
  <si>
    <t>A-1262</t>
  </si>
  <si>
    <t>Aliya</t>
  </si>
  <si>
    <t>A-795</t>
  </si>
  <si>
    <t>Aliyah</t>
  </si>
  <si>
    <t>Jl. bangka XI no 67</t>
  </si>
  <si>
    <t>A-1548</t>
  </si>
  <si>
    <t>Alizah</t>
  </si>
  <si>
    <t>Sayitri</t>
  </si>
  <si>
    <t>A-2321</t>
  </si>
  <si>
    <t>Munirah Abdullah A</t>
  </si>
  <si>
    <t>Aljasser</t>
  </si>
  <si>
    <t>aljassermunira@gmail.com</t>
  </si>
  <si>
    <t>966547107448</t>
  </si>
  <si>
    <t>A-1844</t>
  </si>
  <si>
    <t>Aljawhari,</t>
  </si>
  <si>
    <t>Ritz Carlton Bali</t>
  </si>
  <si>
    <t>A-408</t>
  </si>
  <si>
    <t>All</t>
  </si>
  <si>
    <t>Mulk</t>
  </si>
  <si>
    <t xml:space="preserve">BEJ Lt. 13 Tower 1 Ernest &amp; Young
Jakarta</t>
  </si>
  <si>
    <t>A-1872</t>
  </si>
  <si>
    <t>Alla</t>
  </si>
  <si>
    <t>Ivanova</t>
  </si>
  <si>
    <t>Iivanovalla@gmail.com</t>
  </si>
  <si>
    <t>A-2111</t>
  </si>
  <si>
    <t>Allamanda</t>
  </si>
  <si>
    <t>Maytri</t>
  </si>
  <si>
    <t>allamandamay@gmail.com</t>
  </si>
  <si>
    <t>081382280990</t>
  </si>
  <si>
    <t>Perum Taman Tirta 2 Bangunjiwo No.C57 , Bantul Yogyakarta</t>
  </si>
  <si>
    <t>Yogyakarta</t>
  </si>
  <si>
    <t>55111</t>
  </si>
  <si>
    <t>A-2082</t>
  </si>
  <si>
    <t>Allan</t>
  </si>
  <si>
    <t>Campbell</t>
  </si>
  <si>
    <t>frank@vemag.com.au</t>
  </si>
  <si>
    <t>A-2124</t>
  </si>
  <si>
    <t>Allegra</t>
  </si>
  <si>
    <t>Nirmala</t>
  </si>
  <si>
    <t>airene9713@gmail.com</t>
  </si>
  <si>
    <t>6281328704666</t>
  </si>
  <si>
    <t>Jl.Margo Mulyo No.91</t>
  </si>
  <si>
    <t>A-677</t>
  </si>
  <si>
    <t>Ally</t>
  </si>
  <si>
    <t>Harsono</t>
  </si>
  <si>
    <t>A-1821</t>
  </si>
  <si>
    <t>Allytha</t>
  </si>
  <si>
    <t>Choula</t>
  </si>
  <si>
    <t>A-2079</t>
  </si>
  <si>
    <t>Almalki</t>
  </si>
  <si>
    <t>A-594</t>
  </si>
  <si>
    <t>Almas</t>
  </si>
  <si>
    <t>A-1211</t>
  </si>
  <si>
    <t>Almehdar</t>
  </si>
  <si>
    <t>A-2267</t>
  </si>
  <si>
    <t>Almesned,</t>
  </si>
  <si>
    <t>abalmesned@gmail.com</t>
  </si>
  <si>
    <t>A-1791</t>
  </si>
  <si>
    <t>Almira</t>
  </si>
  <si>
    <t>Nadyqal</t>
  </si>
  <si>
    <t>Gayungsari Barat IV, Surabaya</t>
  </si>
  <si>
    <t>A-2318</t>
  </si>
  <si>
    <t>Almitra</t>
  </si>
  <si>
    <t>62811891249</t>
  </si>
  <si>
    <t>A-994</t>
  </si>
  <si>
    <t>Alodia</t>
  </si>
  <si>
    <t>W</t>
  </si>
  <si>
    <t>alodiahuang@gmail.com</t>
  </si>
  <si>
    <t xml:space="preserve">Jl. Setiabudi Timur 2 no 3 
Kuningan</t>
  </si>
  <si>
    <t>A-2192</t>
  </si>
  <si>
    <t>Alokaiel</t>
  </si>
  <si>
    <t>Yazeed Mohammed A</t>
  </si>
  <si>
    <t>alokaiel@gmail.com</t>
  </si>
  <si>
    <t>460503199788</t>
  </si>
  <si>
    <t>A-1459</t>
  </si>
  <si>
    <t>Alona</t>
  </si>
  <si>
    <t>A-1132</t>
  </si>
  <si>
    <t>Alpha</t>
  </si>
  <si>
    <t>Fattaah</t>
  </si>
  <si>
    <t>A-2116</t>
  </si>
  <si>
    <t>Alrashedi,</t>
  </si>
  <si>
    <t>Shoruq Oudah A</t>
  </si>
  <si>
    <t>dr.shoruqalrashedi@gmail.com</t>
  </si>
  <si>
    <t>966545862767</t>
  </si>
  <si>
    <t>A-1909</t>
  </si>
  <si>
    <t>Alrasheed</t>
  </si>
  <si>
    <t>A-1816</t>
  </si>
  <si>
    <t>Alruwais.</t>
  </si>
  <si>
    <t>Alhazm, Riyadh</t>
  </si>
  <si>
    <t>A-2248</t>
  </si>
  <si>
    <t>Alsanbi</t>
  </si>
  <si>
    <t>F</t>
  </si>
  <si>
    <t>Arab Saudi</t>
  </si>
  <si>
    <t>A-1885</t>
  </si>
  <si>
    <t>Alsaraj,</t>
  </si>
  <si>
    <t>A-2139</t>
  </si>
  <si>
    <t>Turki Fahad A</t>
  </si>
  <si>
    <t>Alshahrani</t>
  </si>
  <si>
    <t>dr.t.alshahrani@gmail.com</t>
  </si>
  <si>
    <t>966501000643</t>
  </si>
  <si>
    <t>A-1908</t>
  </si>
  <si>
    <t>Alshaikh</t>
  </si>
  <si>
    <t>A-2314</t>
  </si>
  <si>
    <t>Alsubaie, Turki Dughayyim M</t>
  </si>
  <si>
    <t>turki.onlinesh@gmail.com</t>
  </si>
  <si>
    <t>+966507455077</t>
  </si>
  <si>
    <t>Yanbu</t>
  </si>
  <si>
    <t>A-2309</t>
  </si>
  <si>
    <t>Nouf</t>
  </si>
  <si>
    <t>Alswailem</t>
  </si>
  <si>
    <t>nouf.khaled.alswailem@gmail.com</t>
  </si>
  <si>
    <t>966555414401</t>
  </si>
  <si>
    <t>A-553</t>
  </si>
  <si>
    <t>Alsya</t>
  </si>
  <si>
    <t>Habsy</t>
  </si>
  <si>
    <t>A-1102</t>
  </si>
  <si>
    <t>Alto</t>
  </si>
  <si>
    <t>A-568</t>
  </si>
  <si>
    <t>Alva</t>
  </si>
  <si>
    <t>Cristina</t>
  </si>
  <si>
    <t>A-2276</t>
  </si>
  <si>
    <t>Alxara</t>
  </si>
  <si>
    <t>Tita</t>
  </si>
  <si>
    <t>62859520165185</t>
  </si>
  <si>
    <t>A-543</t>
  </si>
  <si>
    <t>Alvi</t>
  </si>
  <si>
    <t>A-1147</t>
  </si>
  <si>
    <t>Miliana</t>
  </si>
  <si>
    <t>A-1363</t>
  </si>
  <si>
    <t>Alvin</t>
  </si>
  <si>
    <t>6281932959697</t>
  </si>
  <si>
    <t>A-1035</t>
  </si>
  <si>
    <t>Jl.Dr.Cipto No.98</t>
  </si>
  <si>
    <t>A-841</t>
  </si>
  <si>
    <t>A-1484</t>
  </si>
  <si>
    <t>Chan</t>
  </si>
  <si>
    <t>A-1271</t>
  </si>
  <si>
    <t>Imam Bonjol 97 Surabaya</t>
  </si>
  <si>
    <t>A-2217</t>
  </si>
  <si>
    <t>Sidharta</t>
  </si>
  <si>
    <t>naldosyauta@gmail.com</t>
  </si>
  <si>
    <t>A-932</t>
  </si>
  <si>
    <t>Benjamin Tjandra</t>
  </si>
  <si>
    <t>62816618680</t>
  </si>
  <si>
    <t>A-1551</t>
  </si>
  <si>
    <t>Alvina</t>
  </si>
  <si>
    <t>A-2196</t>
  </si>
  <si>
    <t>628111115443</t>
  </si>
  <si>
    <t>A-649</t>
  </si>
  <si>
    <t>Olivia</t>
  </si>
  <si>
    <t>A-1228</t>
  </si>
  <si>
    <t>Alvita</t>
  </si>
  <si>
    <t>tandiawan</t>
  </si>
  <si>
    <t>A-391</t>
  </si>
  <si>
    <t>Alvon</t>
  </si>
  <si>
    <t>A-102</t>
  </si>
  <si>
    <t>Alvy</t>
  </si>
  <si>
    <t>Jl. Patra Kuningan Raya Blok L-8 No. 1</t>
  </si>
  <si>
    <t>A-2141</t>
  </si>
  <si>
    <t>Alwan</t>
  </si>
  <si>
    <t>Ammar Fauzan</t>
  </si>
  <si>
    <t>6287777040496</t>
  </si>
  <si>
    <t>A-2027</t>
  </si>
  <si>
    <t>Alwi</t>
  </si>
  <si>
    <t>A-1717</t>
  </si>
  <si>
    <t>Alatas</t>
  </si>
  <si>
    <t>A-1342</t>
  </si>
  <si>
    <t xml:space="preserve">Perumahan Taman Nyiur Blok R/3A
Sunter</t>
  </si>
  <si>
    <t>A-103</t>
  </si>
  <si>
    <t>Alwin</t>
  </si>
  <si>
    <t>Jung</t>
  </si>
  <si>
    <t xml:space="preserve">Jl. Dewi Sartika 
Gg. Batu No.3</t>
  </si>
  <si>
    <t>A-1795</t>
  </si>
  <si>
    <t>Alya</t>
  </si>
  <si>
    <t>Arvas</t>
  </si>
  <si>
    <t>A-2214</t>
  </si>
  <si>
    <t>Maharanny</t>
  </si>
  <si>
    <t>6281317807711</t>
  </si>
  <si>
    <t>A-2087</t>
  </si>
  <si>
    <t>Rohali</t>
  </si>
  <si>
    <t>arohali112@gmail.com</t>
  </si>
  <si>
    <t>+62817811275</t>
  </si>
  <si>
    <t>A-2127</t>
  </si>
  <si>
    <t>Alyaa</t>
  </si>
  <si>
    <t>Salsabillania</t>
  </si>
  <si>
    <t>A-1448</t>
  </si>
  <si>
    <t>Alyah</t>
  </si>
  <si>
    <t>A-1917</t>
  </si>
  <si>
    <t>Alysha Achmad</t>
  </si>
  <si>
    <t>Wachdin</t>
  </si>
  <si>
    <t>08111188405</t>
  </si>
  <si>
    <t>Jl. Otista 3 , Jakarta Selatan</t>
  </si>
  <si>
    <t>A-1751</t>
  </si>
  <si>
    <t>Alyssa</t>
  </si>
  <si>
    <t>Daguise</t>
  </si>
  <si>
    <t>Jl. H Rais No.5</t>
  </si>
  <si>
    <t>A-386</t>
  </si>
  <si>
    <t>Herdiman</t>
  </si>
  <si>
    <t>A-2018</t>
  </si>
  <si>
    <t>Mujiyanti</t>
  </si>
  <si>
    <t>Jl. Kav. Polri BLok G No. 41-42, Ragunan, Jagakarsa</t>
  </si>
  <si>
    <t>A-104</t>
  </si>
  <si>
    <t>Alzier</t>
  </si>
  <si>
    <t>T.</t>
  </si>
  <si>
    <t>Komp. Palem Semi</t>
  </si>
  <si>
    <t>Karawaci, Tangerang</t>
  </si>
  <si>
    <t>Jl. Palem Ratu V No. 8</t>
  </si>
  <si>
    <t>A-1383</t>
  </si>
  <si>
    <t>Amagasa</t>
  </si>
  <si>
    <t>Toshio</t>
  </si>
  <si>
    <t>Jl S Parman Tropic Apartement</t>
  </si>
  <si>
    <t>A-106</t>
  </si>
  <si>
    <t>Amal</t>
  </si>
  <si>
    <t>Pulungan</t>
  </si>
  <si>
    <t>A-1334</t>
  </si>
  <si>
    <t>Amalia</t>
  </si>
  <si>
    <t>A-1530</t>
  </si>
  <si>
    <t>A-646</t>
  </si>
  <si>
    <t>A-1951</t>
  </si>
  <si>
    <t>amel94109@gmail.com</t>
  </si>
  <si>
    <t>A-1568</t>
  </si>
  <si>
    <t>Chandra</t>
  </si>
  <si>
    <t>A-1267</t>
  </si>
  <si>
    <t>Christie</t>
  </si>
  <si>
    <t>A-1958</t>
  </si>
  <si>
    <t>Sudding</t>
  </si>
  <si>
    <t>amalia sudding@gmail.com</t>
  </si>
  <si>
    <t>A-858</t>
  </si>
  <si>
    <t>Roosseno</t>
  </si>
  <si>
    <t>A-2324</t>
  </si>
  <si>
    <t>Safira</t>
  </si>
  <si>
    <t>6281313135159</t>
  </si>
  <si>
    <t>A-1850</t>
  </si>
  <si>
    <t>Vania</t>
  </si>
  <si>
    <t>A-810</t>
  </si>
  <si>
    <t>Amallia</t>
  </si>
  <si>
    <t>Ramdhawati</t>
  </si>
  <si>
    <t>+6281311111889</t>
  </si>
  <si>
    <t xml:space="preserve">Jl.Alam serasi 1 no.30
Cluster Ambrosia - Lippo Cikarang</t>
  </si>
  <si>
    <t>A-1786</t>
  </si>
  <si>
    <t>)</t>
  </si>
  <si>
    <t>A-1888</t>
  </si>
  <si>
    <t>Amaluki</t>
  </si>
  <si>
    <t>Tadzkiroh</t>
  </si>
  <si>
    <t>A-1390</t>
  </si>
  <si>
    <t>Amalya</t>
  </si>
  <si>
    <t>Shinta</t>
  </si>
  <si>
    <t>628161802577</t>
  </si>
  <si>
    <t xml:space="preserve">Casablanca Raya Kav 9 
Jakarta Selatan</t>
  </si>
  <si>
    <t>A-501</t>
  </si>
  <si>
    <t>Aman</t>
  </si>
  <si>
    <t>Depan</t>
  </si>
  <si>
    <t>A-2187</t>
  </si>
  <si>
    <t>Amancia</t>
  </si>
  <si>
    <t>Pava</t>
  </si>
  <si>
    <t>573143517019,</t>
  </si>
  <si>
    <t>A-1600</t>
  </si>
  <si>
    <t>Amanda</t>
  </si>
  <si>
    <t>A-556</t>
  </si>
  <si>
    <t>A-1274</t>
  </si>
  <si>
    <t>Bunnalim</t>
  </si>
  <si>
    <t xml:space="preserve">Jl Camar Elok 3 No.3
Jakarta 14460</t>
  </si>
  <si>
    <t>A-1790</t>
  </si>
  <si>
    <t>Harimurti</t>
  </si>
  <si>
    <t>A-744</t>
  </si>
  <si>
    <t>Swandi</t>
  </si>
  <si>
    <t>A-107</t>
  </si>
  <si>
    <t>A-2190</t>
  </si>
  <si>
    <t>62811111974</t>
  </si>
  <si>
    <t>A-1048</t>
  </si>
  <si>
    <t>karyamandha@gmail.com</t>
  </si>
  <si>
    <t>628179801051</t>
  </si>
  <si>
    <t>mahogany residence cibubur jakarta</t>
  </si>
  <si>
    <t>A-2164</t>
  </si>
  <si>
    <t>Melissa</t>
  </si>
  <si>
    <t>amanda_melissa23@hotmail.com</t>
  </si>
  <si>
    <t>628158807123</t>
  </si>
  <si>
    <t>A-1856</t>
  </si>
  <si>
    <t>Prasetiya</t>
  </si>
  <si>
    <t>amanda.prasetiya@gmail.com</t>
  </si>
  <si>
    <t>+628119200092</t>
  </si>
  <si>
    <t>A-1983</t>
  </si>
  <si>
    <t>Rawles</t>
  </si>
  <si>
    <t>A-971</t>
  </si>
  <si>
    <t>Shanaz</t>
  </si>
  <si>
    <t>A-1194</t>
  </si>
  <si>
    <t>Soekasah</t>
  </si>
  <si>
    <t>A-422</t>
  </si>
  <si>
    <t>Syamsuddin</t>
  </si>
  <si>
    <t xml:space="preserve">Jl. Kramat Pela III No. 3
Kebayoran Baru
Jakarta Selatan</t>
  </si>
  <si>
    <t>A-035</t>
  </si>
  <si>
    <t>Thabita</t>
  </si>
  <si>
    <t>A-1215</t>
  </si>
  <si>
    <t>Walujo</t>
  </si>
  <si>
    <t>Jalan Banyuwangi #17</t>
  </si>
  <si>
    <t>A-2158</t>
  </si>
  <si>
    <t>628551033898</t>
  </si>
  <si>
    <t>A-1718</t>
  </si>
  <si>
    <t>Widyadhana</t>
  </si>
  <si>
    <t>amandawidyadhana@gmail.com</t>
  </si>
  <si>
    <t>Jl. Kesenian , Blok J/7 Duren Sawit</t>
  </si>
  <si>
    <t>Jakarta Timut</t>
  </si>
  <si>
    <t>A-1659</t>
  </si>
  <si>
    <t>A-1920</t>
  </si>
  <si>
    <t>Amanvir</t>
  </si>
  <si>
    <t>Mehsa</t>
  </si>
  <si>
    <t>Switzerland</t>
  </si>
  <si>
    <t>A-1928</t>
  </si>
  <si>
    <t>Amara</t>
  </si>
  <si>
    <t>Marwa</t>
  </si>
  <si>
    <t>6287888268866</t>
  </si>
  <si>
    <t>A-1831</t>
  </si>
  <si>
    <t>Amaral</t>
  </si>
  <si>
    <t>Portugal</t>
  </si>
  <si>
    <t>A-1982</t>
  </si>
  <si>
    <t>Amaris</t>
  </si>
  <si>
    <t>Sirait</t>
  </si>
  <si>
    <t>62811154568</t>
  </si>
  <si>
    <t>A-1901</t>
  </si>
  <si>
    <t>Ambar</t>
  </si>
  <si>
    <t>Sari</t>
  </si>
  <si>
    <t>ambarnilasari@gmail.com</t>
  </si>
  <si>
    <t>jl,bendungan ashan II/6</t>
  </si>
  <si>
    <t>A-2335</t>
  </si>
  <si>
    <t>Purnamasari</t>
  </si>
  <si>
    <t>ambarps0609@yahoo.co.id</t>
  </si>
  <si>
    <t>6281221077712</t>
  </si>
  <si>
    <t>A-1652</t>
  </si>
  <si>
    <t>Ambara</t>
  </si>
  <si>
    <t>Rizky</t>
  </si>
  <si>
    <t>A-1620</t>
  </si>
  <si>
    <t>Zhao</t>
  </si>
  <si>
    <t>Fangfang</t>
  </si>
  <si>
    <t>081382417733</t>
  </si>
  <si>
    <t>A-730</t>
  </si>
  <si>
    <t>Amel</t>
  </si>
  <si>
    <t>A-1867</t>
  </si>
  <si>
    <t>Yanis</t>
  </si>
  <si>
    <t>A-1283</t>
  </si>
  <si>
    <t>Amelda</t>
  </si>
  <si>
    <t>A-2102</t>
  </si>
  <si>
    <t>Amelia</t>
  </si>
  <si>
    <t>Suherman</t>
  </si>
  <si>
    <t>amelia.suherman372@gmail.com</t>
  </si>
  <si>
    <t>+6281224734999</t>
  </si>
  <si>
    <t>Jalan Cijerah No.172</t>
  </si>
  <si>
    <t>A-1121</t>
  </si>
  <si>
    <t xml:space="preserve">Ayani Komp BMA Marga 90ZY
Denpasar Bali</t>
  </si>
  <si>
    <t>A-728</t>
  </si>
  <si>
    <t>A-2226</t>
  </si>
  <si>
    <t>Anggraini</t>
  </si>
  <si>
    <t>628118047773</t>
  </si>
  <si>
    <t>Green Andara B3 no. 19 Jak Sel</t>
  </si>
  <si>
    <t>16411</t>
  </si>
  <si>
    <t>A-801</t>
  </si>
  <si>
    <t>Bambang</t>
  </si>
  <si>
    <t>Puri Jimbaran E6H/10</t>
  </si>
  <si>
    <t>A-2136</t>
  </si>
  <si>
    <t>Frian</t>
  </si>
  <si>
    <t>ameliafrian@gmail.com</t>
  </si>
  <si>
    <t>6281310926552</t>
  </si>
  <si>
    <t>Distric 8 Infinity Tower Unit 26i</t>
  </si>
  <si>
    <t>A-481</t>
  </si>
  <si>
    <t>62817218800</t>
  </si>
  <si>
    <t>A-2340</t>
  </si>
  <si>
    <t>62811953380</t>
  </si>
  <si>
    <t>A-110</t>
  </si>
  <si>
    <t>Jolla</t>
  </si>
  <si>
    <t>628111904172</t>
  </si>
  <si>
    <t>Kondominium Kintamani B/PH/6</t>
  </si>
  <si>
    <t>A-2287</t>
  </si>
  <si>
    <t>Jatividia</t>
  </si>
  <si>
    <t>ameliaboy@hotmail.com</t>
  </si>
  <si>
    <t>6281319119098</t>
  </si>
  <si>
    <t>A-1078</t>
  </si>
  <si>
    <t>Liebert</t>
  </si>
  <si>
    <t>+628170700777</t>
  </si>
  <si>
    <t>A-1624</t>
  </si>
  <si>
    <t>Lim Tauphan</t>
  </si>
  <si>
    <t>62811465525</t>
  </si>
  <si>
    <t>Jl Hang Lekiu IV/83, Jakarta Selatan 12120</t>
  </si>
  <si>
    <t>A-112</t>
  </si>
  <si>
    <t>Nasution</t>
  </si>
  <si>
    <t>A-1980</t>
  </si>
  <si>
    <t>Perdana</t>
  </si>
  <si>
    <t>amelia.y28@gmail.com</t>
  </si>
  <si>
    <t>JL KEMBANG 1/F4 , CILANDAK - JAKARTA SELATAN</t>
  </si>
  <si>
    <t>A-1501</t>
  </si>
  <si>
    <t>Rizkiasih</t>
  </si>
  <si>
    <t>62811833317</t>
  </si>
  <si>
    <t>A-1117</t>
  </si>
  <si>
    <t xml:space="preserve">Bukit Golf F1/38
Citraland</t>
  </si>
  <si>
    <t>A-392</t>
  </si>
  <si>
    <t>Tauresia</t>
  </si>
  <si>
    <t>A-1131</t>
  </si>
  <si>
    <t>A-1690</t>
  </si>
  <si>
    <t>Tamsil</t>
  </si>
  <si>
    <t>ameliatamsil@gmail.com</t>
  </si>
  <si>
    <t>Jl. Sutan Syahrir 19 Jakarta Pusat</t>
  </si>
  <si>
    <t>A-1809</t>
  </si>
  <si>
    <t>Yasmine</t>
  </si>
  <si>
    <t>M-1109</t>
  </si>
  <si>
    <t>A-2225</t>
  </si>
  <si>
    <t>Amelie</t>
  </si>
  <si>
    <t>6282235355291</t>
  </si>
  <si>
    <t>M-552</t>
  </si>
  <si>
    <t>Amelita</t>
  </si>
  <si>
    <t>Permana</t>
  </si>
  <si>
    <t>Jalan Gedung Hijau I No. 51, Pondok Indah</t>
  </si>
  <si>
    <t>A-640</t>
  </si>
  <si>
    <t>Ameta</t>
  </si>
  <si>
    <t>Sutekno</t>
  </si>
  <si>
    <t>A-1674</t>
  </si>
  <si>
    <t>Ami</t>
  </si>
  <si>
    <t>A-917</t>
  </si>
  <si>
    <t>Grono</t>
  </si>
  <si>
    <t>amigrono@hotmail.com</t>
  </si>
  <si>
    <t>8D, Barker RD</t>
  </si>
  <si>
    <t>Singapore</t>
  </si>
  <si>
    <t>A-1946</t>
  </si>
  <si>
    <t>+61407888763</t>
  </si>
  <si>
    <t xml:space="preserve">46,Watkins RD ,Dalkeith,
Western Australia</t>
  </si>
  <si>
    <t>Perth</t>
  </si>
  <si>
    <t>A-1571</t>
  </si>
  <si>
    <t>Amie</t>
  </si>
  <si>
    <t>Ardhini</t>
  </si>
  <si>
    <t>A-1528</t>
  </si>
  <si>
    <t>Amien</t>
  </si>
  <si>
    <t>Moeladi</t>
  </si>
  <si>
    <t>62811373914</t>
  </si>
  <si>
    <t>Jalan Dewi Sartika no 296A cawang</t>
  </si>
  <si>
    <t>A-517</t>
  </si>
  <si>
    <t>Amil</t>
  </si>
  <si>
    <t>Rusjdi</t>
  </si>
  <si>
    <t>62811888105</t>
  </si>
  <si>
    <t>A-1904</t>
  </si>
  <si>
    <t>Amili</t>
  </si>
  <si>
    <t>Rinah</t>
  </si>
  <si>
    <t>amili_rinah@yahoo.com</t>
  </si>
  <si>
    <t>62818777818</t>
  </si>
  <si>
    <t xml:space="preserve">GADING KIRANA BARAT II E3/20
JAKARTA UTARA</t>
  </si>
  <si>
    <t>A-115</t>
  </si>
  <si>
    <t>Amin</t>
  </si>
  <si>
    <t>Anwar</t>
  </si>
  <si>
    <t xml:space="preserve">Jl. Kebalen
Jakarta Selatan</t>
  </si>
  <si>
    <t>A-409</t>
  </si>
  <si>
    <t>Djauhari</t>
  </si>
  <si>
    <t>A-445</t>
  </si>
  <si>
    <t>Lukman</t>
  </si>
  <si>
    <t>Danau Indah Raya B3/19</t>
  </si>
  <si>
    <t>A-2281</t>
  </si>
  <si>
    <t>Munawar</t>
  </si>
  <si>
    <t>628176041540</t>
  </si>
  <si>
    <t>A-865</t>
  </si>
  <si>
    <t>Meguid</t>
  </si>
  <si>
    <t>JL Teuku Umar No 68</t>
  </si>
  <si>
    <t>A-2165</t>
  </si>
  <si>
    <t>Syakur</t>
  </si>
  <si>
    <t>6281388885600</t>
  </si>
  <si>
    <t>Jl. Mutiara IV No.28 - Jakarta Selatan</t>
  </si>
  <si>
    <t>A-2256</t>
  </si>
  <si>
    <t>Aminah</t>
  </si>
  <si>
    <t>Amonah70@yahoo.com</t>
  </si>
  <si>
    <t>6281510229077</t>
  </si>
  <si>
    <t>A-1435</t>
  </si>
  <si>
    <t>A-1911</t>
  </si>
  <si>
    <t>A-365</t>
  </si>
  <si>
    <t>Aming</t>
  </si>
  <si>
    <t>Ming</t>
  </si>
  <si>
    <t>+6281298565656</t>
  </si>
  <si>
    <t>A-901</t>
  </si>
  <si>
    <t>Aminuddin</t>
  </si>
  <si>
    <t>A-2289</t>
  </si>
  <si>
    <t>A-439</t>
  </si>
  <si>
    <t>Amir</t>
  </si>
  <si>
    <t>Basir</t>
  </si>
  <si>
    <t>A-2301</t>
  </si>
  <si>
    <t>aam.firmansyah@gmail.com</t>
  </si>
  <si>
    <t>081310191775</t>
  </si>
  <si>
    <t>A-1398</t>
  </si>
  <si>
    <t>Jusuf</t>
  </si>
  <si>
    <t>amir.jusuf@gmail.com</t>
  </si>
  <si>
    <t>A-1312</t>
  </si>
  <si>
    <t>Rosidin</t>
  </si>
  <si>
    <t>A-802</t>
  </si>
  <si>
    <t>Amira</t>
  </si>
  <si>
    <t>Jalan Bunga Mawar No. 7, Cipete</t>
  </si>
  <si>
    <t>A-2211</t>
  </si>
  <si>
    <t>Zaki</t>
  </si>
  <si>
    <t>6281188998899</t>
  </si>
  <si>
    <t>A-1499</t>
  </si>
  <si>
    <t>Amirul</t>
  </si>
  <si>
    <t>A-1853</t>
  </si>
  <si>
    <t>Azam</t>
  </si>
  <si>
    <t>#ERROR!</t>
  </si>
  <si>
    <t>A-118</t>
  </si>
  <si>
    <t>Amirullah</t>
  </si>
  <si>
    <t>Persada  Kemala</t>
  </si>
  <si>
    <t>Bekasi Barat</t>
  </si>
  <si>
    <t>A-312</t>
  </si>
  <si>
    <t>Jl. RSI Faisal XII No.10</t>
  </si>
  <si>
    <t>A-2035</t>
  </si>
  <si>
    <t>Amitabh</t>
  </si>
  <si>
    <t>Gupta</t>
  </si>
  <si>
    <t>amitabhgupta1@gmail.com</t>
  </si>
  <si>
    <t>A-886</t>
  </si>
  <si>
    <t>Amiya</t>
  </si>
  <si>
    <t>Harahap</t>
  </si>
  <si>
    <t>Jl. Cempaka Putih Raya No.1 Jakarta Pusat</t>
  </si>
  <si>
    <t>A-1249</t>
  </si>
  <si>
    <t>Jl Cempaka Putih  no 1</t>
  </si>
  <si>
    <t>A-2219</t>
  </si>
  <si>
    <t>Ammar</t>
  </si>
  <si>
    <t>ammaryasir750@yahoo.com</t>
  </si>
  <si>
    <t>905322822490</t>
  </si>
  <si>
    <t>A-2011</t>
  </si>
  <si>
    <t>Ammourah</t>
  </si>
  <si>
    <t>Hisham</t>
  </si>
  <si>
    <t>United states of america</t>
  </si>
  <si>
    <t>A-121</t>
  </si>
  <si>
    <t>Amran</t>
  </si>
  <si>
    <t>Nazar</t>
  </si>
  <si>
    <t>Mangala Wanabakti Lt. 3 Ruang 312</t>
  </si>
  <si>
    <t>A-1848</t>
  </si>
  <si>
    <t>Amrin</t>
  </si>
  <si>
    <t>Ritonga</t>
  </si>
  <si>
    <t>amrinputra@solusindokomputama.com</t>
  </si>
  <si>
    <t>A-569</t>
  </si>
  <si>
    <t>Amris</t>
  </si>
  <si>
    <t>A-1808</t>
  </si>
  <si>
    <t>Endang</t>
  </si>
  <si>
    <t>A-370</t>
  </si>
  <si>
    <t>Amrit</t>
  </si>
  <si>
    <t>Lakhiani</t>
  </si>
  <si>
    <t>A-562</t>
  </si>
  <si>
    <t>Amry</t>
  </si>
  <si>
    <t>amry_siregar@yahoo.com</t>
  </si>
  <si>
    <t xml:space="preserve">Jati Bening Estate
Jl. Merak 1 Blok E No.1</t>
  </si>
  <si>
    <t>A-1511</t>
  </si>
  <si>
    <t>Amry,</t>
  </si>
  <si>
    <t>SE</t>
  </si>
  <si>
    <t xml:space="preserve">JL. TANJUNGSARI ASRI NO 71
BANDUNG</t>
  </si>
  <si>
    <t>A-122</t>
  </si>
  <si>
    <t>Amy</t>
  </si>
  <si>
    <t>Dalimunthe</t>
  </si>
  <si>
    <t>A-1631</t>
  </si>
  <si>
    <t>Jang</t>
  </si>
  <si>
    <t>A-1141</t>
  </si>
  <si>
    <t>Lingga</t>
  </si>
  <si>
    <t>A-1665</t>
  </si>
  <si>
    <t>Amyra</t>
  </si>
  <si>
    <t>De Costa</t>
  </si>
  <si>
    <t>628118135058</t>
  </si>
  <si>
    <t xml:space="preserve">Jln. Kenangan 50 Blok K N0.8
Cilandak Timur</t>
  </si>
  <si>
    <t>A-126</t>
  </si>
  <si>
    <t>An</t>
  </si>
  <si>
    <t>Cho</t>
  </si>
  <si>
    <t>JL. Panyaungan 8</t>
  </si>
  <si>
    <t>A-2310</t>
  </si>
  <si>
    <t>Di</t>
  </si>
  <si>
    <t>andywowo91@163.com</t>
  </si>
  <si>
    <t>8613052222660</t>
  </si>
  <si>
    <t>Japan</t>
  </si>
  <si>
    <t>A-1520</t>
  </si>
  <si>
    <t>Ana</t>
  </si>
  <si>
    <t>A-1467</t>
  </si>
  <si>
    <t>M-760</t>
  </si>
  <si>
    <t>A-535</t>
  </si>
  <si>
    <t>Jl.H. Sarmili 1 / 18 Bendungan Hilir</t>
  </si>
  <si>
    <t>A-2010</t>
  </si>
  <si>
    <t>Damayanti</t>
  </si>
  <si>
    <t>BENDUNGAN HILIR</t>
  </si>
  <si>
    <t>A-1090</t>
  </si>
  <si>
    <t>Karlina</t>
  </si>
  <si>
    <t>A-686</t>
  </si>
  <si>
    <t>Mark</t>
  </si>
  <si>
    <t>lililexi74@yahoo.com</t>
  </si>
  <si>
    <t>62818733850</t>
  </si>
  <si>
    <t>A-1627</t>
  </si>
  <si>
    <t>R</t>
  </si>
  <si>
    <t>A-1960</t>
  </si>
  <si>
    <t>Sopia</t>
  </si>
  <si>
    <t>A-588</t>
  </si>
  <si>
    <t>susanti</t>
  </si>
  <si>
    <t>A-1356</t>
  </si>
  <si>
    <t>Yuliana</t>
  </si>
  <si>
    <t>Suryalaya x1 No.12</t>
  </si>
  <si>
    <t>A-1260</t>
  </si>
  <si>
    <t>Anak</t>
  </si>
  <si>
    <t>Kartini</t>
  </si>
  <si>
    <t>A-2168</t>
  </si>
  <si>
    <t>Anak Agung</t>
  </si>
  <si>
    <t>Suliawati</t>
  </si>
  <si>
    <t>628155709292</t>
  </si>
  <si>
    <t>A-2260</t>
  </si>
  <si>
    <t>Anang</t>
  </si>
  <si>
    <t>zidanaira@gmail.com</t>
  </si>
  <si>
    <t>628111045029</t>
  </si>
  <si>
    <t>Jl Mandolin Perum Puri Intan</t>
  </si>
  <si>
    <t>A-1337</t>
  </si>
  <si>
    <t>Anangga</t>
  </si>
  <si>
    <t>Dipamira</t>
  </si>
  <si>
    <t>A-2075</t>
  </si>
  <si>
    <t>Roosdiono</t>
  </si>
  <si>
    <t>A-479</t>
  </si>
  <si>
    <t>Anani</t>
  </si>
  <si>
    <t>A-1668</t>
  </si>
  <si>
    <t>Ananta</t>
  </si>
  <si>
    <t>Jl. Naripan 73</t>
  </si>
  <si>
    <t>A-1730</t>
  </si>
  <si>
    <t>A-296</t>
  </si>
  <si>
    <t>Anantha</t>
  </si>
  <si>
    <t>Budiartika</t>
  </si>
  <si>
    <t>anantha@anantha-law.or.id</t>
  </si>
  <si>
    <t>A-1756</t>
  </si>
  <si>
    <t>Ananya</t>
  </si>
  <si>
    <t>Kaul</t>
  </si>
  <si>
    <t>A-1537</t>
  </si>
  <si>
    <t>A-749</t>
  </si>
  <si>
    <t>Anas</t>
  </si>
  <si>
    <t>Alimi</t>
  </si>
  <si>
    <t>anasalimi1976@gmail.com</t>
  </si>
  <si>
    <t xml:space="preserve">Komplek Pertamina Blok A 21 , Purwomartani
Jogjakarta</t>
  </si>
  <si>
    <t>Jogja</t>
  </si>
  <si>
    <t>A-1996</t>
  </si>
  <si>
    <t>Yusuf</t>
  </si>
  <si>
    <t>A-1207</t>
  </si>
  <si>
    <t>Anastasha</t>
  </si>
  <si>
    <t>Eka</t>
  </si>
  <si>
    <t>A-124</t>
  </si>
  <si>
    <t>Anastasia</t>
  </si>
  <si>
    <t>Patra Kuningan</t>
  </si>
  <si>
    <t>A-1183</t>
  </si>
  <si>
    <t>A-1463</t>
  </si>
  <si>
    <t>A-2317</t>
  </si>
  <si>
    <t>6281169102428</t>
  </si>
  <si>
    <t>A-1988</t>
  </si>
  <si>
    <t>Bidileeve</t>
  </si>
  <si>
    <t>A-1847</t>
  </si>
  <si>
    <t>Hen</t>
  </si>
  <si>
    <t>anastasiahen@yahoo.com</t>
  </si>
  <si>
    <t>+628122325639</t>
  </si>
  <si>
    <t>Jalan Hegarmanah No. 6, Bandung 40141</t>
  </si>
  <si>
    <t>A-1269</t>
  </si>
  <si>
    <t>Herm</t>
  </si>
  <si>
    <t>A-1107</t>
  </si>
  <si>
    <t>Justine</t>
  </si>
  <si>
    <t>A-1629</t>
  </si>
  <si>
    <t>Utami</t>
  </si>
  <si>
    <t>Kompleks Green Garden Blok D6/11</t>
  </si>
  <si>
    <t>A-1641</t>
  </si>
  <si>
    <t>Siantar</t>
  </si>
  <si>
    <t>6289679022021</t>
  </si>
  <si>
    <t xml:space="preserve">Satu8 Residence Unit T8-2G, Kavling 18 Blok S
Jl.Pilar Komplek Delta Kedoya, Kedoya Selatan
Jakarta Barat 11520</t>
  </si>
  <si>
    <t>A-842</t>
  </si>
  <si>
    <t>Sie</t>
  </si>
  <si>
    <t>anastasia.sie@gmail.com</t>
  </si>
  <si>
    <t>MEGA KEBON JERUK BLOK B1/10 JOGLO</t>
  </si>
  <si>
    <t>JAKARTA BARAT</t>
  </si>
  <si>
    <t>A-2029</t>
  </si>
  <si>
    <t>Trushkina</t>
  </si>
  <si>
    <t>nspodobaeva@mail.ru</t>
  </si>
  <si>
    <t>Senopati Suites, Tower 1, Unit 26D, Jakarta</t>
  </si>
  <si>
    <t>A-1907</t>
  </si>
  <si>
    <t>Anastasiia</t>
  </si>
  <si>
    <t>mogilacovanastasya@gmail.com</t>
  </si>
  <si>
    <t>79161074988</t>
  </si>
  <si>
    <t>Russian Federation</t>
  </si>
  <si>
    <t>A-1866</t>
  </si>
  <si>
    <t>Anastasiya</t>
  </si>
  <si>
    <t>Walti</t>
  </si>
  <si>
    <t>Zurich</t>
  </si>
  <si>
    <t>A-1648</t>
  </si>
  <si>
    <t>Anastastya</t>
  </si>
  <si>
    <t>Azaryonok</t>
  </si>
  <si>
    <t>A-1753</t>
  </si>
  <si>
    <t>Anastasya</t>
  </si>
  <si>
    <t>Susi</t>
  </si>
  <si>
    <t>A-2213</t>
  </si>
  <si>
    <t>Ancah</t>
  </si>
  <si>
    <t>A-1152</t>
  </si>
  <si>
    <t>Ance</t>
  </si>
  <si>
    <t>Anggraeny</t>
  </si>
  <si>
    <t>Jl. Kelapa Kuning Raya 18</t>
  </si>
  <si>
    <t>Pondok Kelapa Indah</t>
  </si>
  <si>
    <t>A-1688</t>
  </si>
  <si>
    <t>Ancella</t>
  </si>
  <si>
    <t>Tobias</t>
  </si>
  <si>
    <t>A-1623</t>
  </si>
  <si>
    <t>Ancilla</t>
  </si>
  <si>
    <t>A-709</t>
  </si>
  <si>
    <t>Andara</t>
  </si>
  <si>
    <t>Wimala</t>
  </si>
  <si>
    <t>wisnuong1980@gmail.com</t>
  </si>
  <si>
    <t>A-001</t>
  </si>
  <si>
    <t>Andarini</t>
  </si>
  <si>
    <t>628128282839</t>
  </si>
  <si>
    <t>A-843</t>
  </si>
  <si>
    <t>Andaru</t>
  </si>
  <si>
    <t xml:space="preserve">Gedung Pinang P5 22
Pondok Indah</t>
  </si>
  <si>
    <t>A-954</t>
  </si>
  <si>
    <t>Andhi</t>
  </si>
  <si>
    <t>A-694</t>
  </si>
  <si>
    <t>Andhika</t>
  </si>
  <si>
    <t>A-329</t>
  </si>
  <si>
    <t>Jl.Kemang Dalam II No.1/3</t>
  </si>
  <si>
    <t>A-2216</t>
  </si>
  <si>
    <t>Pudjiadi</t>
  </si>
  <si>
    <t>concertinggandy@gmail.com</t>
  </si>
  <si>
    <t>6287887717809</t>
  </si>
  <si>
    <t>Jl.Brawijaya III No.2</t>
  </si>
  <si>
    <t>A-664</t>
  </si>
  <si>
    <t>Andhira</t>
  </si>
  <si>
    <t>A-2273</t>
  </si>
  <si>
    <t>Andhita</t>
  </si>
  <si>
    <t>irianto</t>
  </si>
  <si>
    <t>andhitairianto@gmail.com</t>
  </si>
  <si>
    <t>6282185214322</t>
  </si>
  <si>
    <t>A-679</t>
  </si>
  <si>
    <t>Andi</t>
  </si>
  <si>
    <t>6281933806333</t>
  </si>
  <si>
    <t>A-525</t>
  </si>
  <si>
    <t>Nawawi</t>
  </si>
  <si>
    <t>andi.a.nawawi@gmaill.com</t>
  </si>
  <si>
    <t xml:space="preserve">Bendungan Asahan III / 148
Benhil - Tanah Abang 1'+'+62210</t>
  </si>
  <si>
    <t>A-127</t>
  </si>
  <si>
    <t>cakragroup98@yahoo.co.id</t>
  </si>
  <si>
    <t xml:space="preserve">ADMIRALTY Residence A 31.
Jl.Raya Fatmawati No.1</t>
  </si>
  <si>
    <t>A-965</t>
  </si>
  <si>
    <t>A-1030</t>
  </si>
  <si>
    <t>Bintoro</t>
  </si>
  <si>
    <t>+628122220220</t>
  </si>
  <si>
    <t>M-1322</t>
  </si>
  <si>
    <t>Debbi Yudhista Asapa</t>
  </si>
  <si>
    <t>+62811156658</t>
  </si>
  <si>
    <t>A-2155</t>
  </si>
  <si>
    <t>Andi Fatimah</t>
  </si>
  <si>
    <t>Neildrin</t>
  </si>
  <si>
    <t>neildrinfatimah@yahoo.com</t>
  </si>
  <si>
    <t>6282333933396</t>
  </si>
  <si>
    <t>Komplek DPR Kalibata - Jakarta Selatan</t>
  </si>
  <si>
    <t>A-1744</t>
  </si>
  <si>
    <t>Fensary</t>
  </si>
  <si>
    <t>A-1957</t>
  </si>
  <si>
    <t>Mihardja</t>
  </si>
  <si>
    <t>A-918</t>
  </si>
  <si>
    <t>Herindra</t>
  </si>
  <si>
    <t>andi_herindra97@gmail.com</t>
  </si>
  <si>
    <t>Ciniru III No.18</t>
  </si>
  <si>
    <t>A-703</t>
  </si>
  <si>
    <t>Ichsan</t>
  </si>
  <si>
    <t xml:space="preserve">Jl. Senopati Raya No.41
Kebayoran Baru</t>
  </si>
  <si>
    <t>I-0475</t>
  </si>
  <si>
    <t>Kesuma</t>
  </si>
  <si>
    <t>A-2086</t>
  </si>
  <si>
    <t>Andi Inka</t>
  </si>
  <si>
    <t>inkatamara94@gmail.com</t>
  </si>
  <si>
    <t>+6281294641590</t>
  </si>
  <si>
    <t>Dharmawangsa Essence Jakarta Selatan</t>
  </si>
  <si>
    <t>A-619</t>
  </si>
  <si>
    <t>Intan</t>
  </si>
  <si>
    <t>A-615</t>
  </si>
  <si>
    <t>Irwanto</t>
  </si>
  <si>
    <t>A-678</t>
  </si>
  <si>
    <t>Kusma</t>
  </si>
  <si>
    <t>A-130</t>
  </si>
  <si>
    <t>Matolla</t>
  </si>
  <si>
    <t>A-446</t>
  </si>
  <si>
    <t>Guntur</t>
  </si>
  <si>
    <t>A-2290</t>
  </si>
  <si>
    <t>Mcleod</t>
  </si>
  <si>
    <t>628119964046</t>
  </si>
  <si>
    <t>A-2200</t>
  </si>
  <si>
    <t>Mustanira Isfania</t>
  </si>
  <si>
    <t>6281242387444</t>
  </si>
  <si>
    <t>A-1731</t>
  </si>
  <si>
    <t>Dharmayanti</t>
  </si>
  <si>
    <t>A-1676</t>
  </si>
  <si>
    <t>Nurhildah</t>
  </si>
  <si>
    <t>A-1752</t>
  </si>
  <si>
    <t>Riu</t>
  </si>
  <si>
    <t>andioddangriu@gmail.com</t>
  </si>
  <si>
    <t>Bintaro Permai Tangerang Selatan</t>
  </si>
  <si>
    <t>A-847</t>
  </si>
  <si>
    <t>Pinoto</t>
  </si>
  <si>
    <t>A-674</t>
  </si>
  <si>
    <t>Prahana</t>
  </si>
  <si>
    <t>A-132</t>
  </si>
  <si>
    <t>Punoko</t>
  </si>
  <si>
    <t>Mediterania Garden Apt. Tower A-1 #A-B</t>
  </si>
  <si>
    <t>Jl. Tanjung Duren Raya</t>
  </si>
  <si>
    <t>A-1452</t>
  </si>
  <si>
    <t>Saputra</t>
  </si>
  <si>
    <t>Jl.Sukabumi No.32 Menteng JKT</t>
  </si>
  <si>
    <t>A-1055</t>
  </si>
  <si>
    <t>andisetiamitra@yahoo.com</t>
  </si>
  <si>
    <t>Jl.Damai II No.1A Kebayoran Baru</t>
  </si>
  <si>
    <t>A-869</t>
  </si>
  <si>
    <t>Aryani</t>
  </si>
  <si>
    <t xml:space="preserve">Jl. Jalur 20 Kav DKI  Blok 23 No 13A
Meruya Utara</t>
  </si>
  <si>
    <t>A-1168</t>
  </si>
  <si>
    <t>Sjarifuddin</t>
  </si>
  <si>
    <t>A-135</t>
  </si>
  <si>
    <t>A-1939</t>
  </si>
  <si>
    <t>Syaiban</t>
  </si>
  <si>
    <t>Oku Timur</t>
  </si>
  <si>
    <t>Sumsel</t>
  </si>
  <si>
    <t>A-1704</t>
  </si>
  <si>
    <t>Tahari</t>
  </si>
  <si>
    <t>A-916</t>
  </si>
  <si>
    <t>A-1009</t>
  </si>
  <si>
    <t>Tenriola</t>
  </si>
  <si>
    <t xml:space="preserve">KompMargahayu Raya Barat VI Blok B III No.79 
Jl. Uranus Utama</t>
  </si>
  <si>
    <t>A-1373</t>
  </si>
  <si>
    <t>Jerani</t>
  </si>
  <si>
    <t>A-1986</t>
  </si>
  <si>
    <t>Pranata</t>
  </si>
  <si>
    <t>andisiboro7206@gmail.com</t>
  </si>
  <si>
    <t>KEBAGUSAN RAYA 67</t>
  </si>
  <si>
    <t>A-2123</t>
  </si>
  <si>
    <t>Zack</t>
  </si>
  <si>
    <t>zacklaw888@gmail.com</t>
  </si>
  <si>
    <t>62811444390</t>
  </si>
  <si>
    <t>A-2002</t>
  </si>
  <si>
    <t>Andika</t>
  </si>
  <si>
    <t>kharisma.andika@gmail.com</t>
  </si>
  <si>
    <t>A-963</t>
  </si>
  <si>
    <t>andika40pr@gmail.com</t>
  </si>
  <si>
    <t>Jati Bening Estate F4/I</t>
  </si>
  <si>
    <t>A-716</t>
  </si>
  <si>
    <t>Dewabrata</t>
  </si>
  <si>
    <t>0811987331</t>
  </si>
  <si>
    <t xml:space="preserve">Kompleks Kranggan Permai
Jl.Rajawali II BP12 No.01
Jati Sampurna</t>
  </si>
  <si>
    <t xml:space="preserve">Bekasi </t>
  </si>
  <si>
    <t>A-260</t>
  </si>
  <si>
    <t>Dimas</t>
  </si>
  <si>
    <t>A-129</t>
  </si>
  <si>
    <t>Hazrumy</t>
  </si>
  <si>
    <t>A-848</t>
  </si>
  <si>
    <t>JALAN MELATI BAKTI NO.16 , PONDOK BAMBU</t>
  </si>
  <si>
    <t>A-2241</t>
  </si>
  <si>
    <t>andikasutoro@gmail.com</t>
  </si>
  <si>
    <t>6281288755536</t>
  </si>
  <si>
    <t>A-899</t>
  </si>
  <si>
    <t>Wibawa</t>
  </si>
  <si>
    <t>A-2167</t>
  </si>
  <si>
    <t>Andry</t>
  </si>
  <si>
    <t>Wu</t>
  </si>
  <si>
    <t>6281334673453</t>
  </si>
  <si>
    <t>A-700</t>
  </si>
  <si>
    <t>Andini</t>
  </si>
  <si>
    <t>A-1898</t>
  </si>
  <si>
    <t>Andira</t>
  </si>
  <si>
    <t>A-1401</t>
  </si>
  <si>
    <t>Andita</t>
  </si>
  <si>
    <t>A-598</t>
  </si>
  <si>
    <t>Andjapri</t>
  </si>
  <si>
    <t>A-1615</t>
  </si>
  <si>
    <t>Andlew</t>
  </si>
  <si>
    <t>A-1854</t>
  </si>
  <si>
    <t>Andolina</t>
  </si>
  <si>
    <t>Marsongko</t>
  </si>
  <si>
    <t>Jl,Bunga flamboyan no,16B</t>
  </si>
  <si>
    <t>A-1811</t>
  </si>
  <si>
    <t>Andra</t>
  </si>
  <si>
    <t>Dachlan</t>
  </si>
  <si>
    <t>rian.dachlan@gmail.com</t>
  </si>
  <si>
    <t>A-356</t>
  </si>
  <si>
    <t>Andrae</t>
  </si>
  <si>
    <t>A-888</t>
  </si>
  <si>
    <t>Khrishnawan</t>
  </si>
  <si>
    <t>A-321</t>
  </si>
  <si>
    <t>Andre</t>
  </si>
  <si>
    <t>A-2057</t>
  </si>
  <si>
    <t>Sukendra Atmadja</t>
  </si>
  <si>
    <t>628119843833</t>
  </si>
  <si>
    <t>Daan Mogot , KM 18</t>
  </si>
  <si>
    <t>A-143</t>
  </si>
  <si>
    <t>Bestari</t>
  </si>
  <si>
    <t>andree.bestari@yahoo.com</t>
  </si>
  <si>
    <t>APartemen Simprug Indah Unit 2701 Jln. Teuku Nyak Akiel</t>
  </si>
  <si>
    <t>A-551</t>
  </si>
  <si>
    <t>A-459</t>
  </si>
  <si>
    <t>Harisaputra</t>
  </si>
  <si>
    <t>A-2263</t>
  </si>
  <si>
    <t>drandrelukas.sps@gmail.com</t>
  </si>
  <si>
    <t>6281226851087</t>
  </si>
  <si>
    <t>Jl Soekarno Hatta, Perum Citraland C2/05 Pekan Baru</t>
  </si>
  <si>
    <t>Kepulauan Riau</t>
  </si>
  <si>
    <t>A-718</t>
  </si>
  <si>
    <t>Maningkas</t>
  </si>
  <si>
    <t>A-791</t>
  </si>
  <si>
    <t>Saynapar</t>
  </si>
  <si>
    <t xml:space="preserve">Casa Gayo Residence 
Kav A3 Kebon Jeruk 11530</t>
  </si>
  <si>
    <t>A-1505</t>
  </si>
  <si>
    <t>Rahadian</t>
  </si>
  <si>
    <t>62816898654</t>
  </si>
  <si>
    <t>A-2138</t>
  </si>
  <si>
    <t>Rooroh</t>
  </si>
  <si>
    <t>6282188888171</t>
  </si>
  <si>
    <t>A-636</t>
  </si>
  <si>
    <t>A-1876</t>
  </si>
  <si>
    <t>Supryanata</t>
  </si>
  <si>
    <t>Andresupryanatamail.@mail.com</t>
  </si>
  <si>
    <t>62816911234</t>
  </si>
  <si>
    <t>A-545</t>
  </si>
  <si>
    <t>Tjahya</t>
  </si>
  <si>
    <t xml:space="preserve">Jl. Narmada No.1
Cakranegara 83234</t>
  </si>
  <si>
    <t>Lombok</t>
  </si>
  <si>
    <t>A-984</t>
  </si>
  <si>
    <t>Yakob</t>
  </si>
  <si>
    <t>Apt.GP Plaza Lt.19. No.8</t>
  </si>
  <si>
    <t>A-1348</t>
  </si>
  <si>
    <t>Hutahaean</t>
  </si>
  <si>
    <t>A-2055</t>
  </si>
  <si>
    <t>Zulbahri</t>
  </si>
  <si>
    <t>A-1524</t>
  </si>
  <si>
    <t>Andre/</t>
  </si>
  <si>
    <t>Silvi</t>
  </si>
  <si>
    <t>VILLA 18</t>
  </si>
  <si>
    <t>A-1851</t>
  </si>
  <si>
    <t>Andrea</t>
  </si>
  <si>
    <t>Carlene</t>
  </si>
  <si>
    <t>andreacarlene@gmail.com</t>
  </si>
  <si>
    <t>+6281932000617</t>
  </si>
  <si>
    <t>Jl. Pantai Kuta 1 no.25, Jakarta 14430</t>
  </si>
  <si>
    <t>A-2336</t>
  </si>
  <si>
    <t>Sutisno</t>
  </si>
  <si>
    <t>andreasutisno6137@gmail.com</t>
  </si>
  <si>
    <t>6281235099779</t>
  </si>
  <si>
    <t>A-142</t>
  </si>
  <si>
    <t xml:space="preserve">Four Seasons Residences 
Summer Tower 29A
Jl. Setiabudi Tengah Kumimgam</t>
  </si>
  <si>
    <t>A-855</t>
  </si>
  <si>
    <t>Andrean</t>
  </si>
  <si>
    <t>Tambalitan</t>
  </si>
  <si>
    <t xml:space="preserve">Jl. Tirtayasa 7 No.7
Kebayoran Baru</t>
  </si>
  <si>
    <t>A-2279</t>
  </si>
  <si>
    <t>Andreas</t>
  </si>
  <si>
    <t>62821169379166</t>
  </si>
  <si>
    <t>Kalimantan Utara</t>
  </si>
  <si>
    <t>A-378</t>
  </si>
  <si>
    <t>Simprug Golf 14 blok A1 No.10</t>
  </si>
  <si>
    <t>A-2183</t>
  </si>
  <si>
    <t>Lukita</t>
  </si>
  <si>
    <t>628129889883</t>
  </si>
  <si>
    <t>Jalan Duri Utara III No.8</t>
  </si>
  <si>
    <t>A-866</t>
  </si>
  <si>
    <t>Pangestu</t>
  </si>
  <si>
    <t>andreas.pangestu@gmail.com</t>
  </si>
  <si>
    <t xml:space="preserve">Kopo MAs blok I no.8
Bandung,jawa BArat 40225</t>
  </si>
  <si>
    <t>A-1427</t>
  </si>
  <si>
    <t>6281585504772</t>
  </si>
  <si>
    <t xml:space="preserve">Taman Alfa Indah B7 No1 Joglo
Jakarta Barat</t>
  </si>
  <si>
    <t>A-591</t>
  </si>
  <si>
    <t>Tandayu</t>
  </si>
  <si>
    <t>A-389</t>
  </si>
  <si>
    <t>Wisesa</t>
  </si>
  <si>
    <t>Jl. Patra Kuningan 8 PPSN Jakarta Selatan</t>
  </si>
  <si>
    <t>A-1543</t>
  </si>
  <si>
    <t>Zhu</t>
  </si>
  <si>
    <t>andreaszhu30@gmail.com</t>
  </si>
  <si>
    <t>A-144</t>
  </si>
  <si>
    <t>Andree</t>
  </si>
  <si>
    <t>A-1251</t>
  </si>
  <si>
    <t>A-1273</t>
  </si>
  <si>
    <t>Lordianto</t>
  </si>
  <si>
    <t>A-996</t>
  </si>
  <si>
    <t>The</t>
  </si>
  <si>
    <t>theandree@yahoo.com</t>
  </si>
  <si>
    <t>A-1938</t>
  </si>
  <si>
    <t>Andrei</t>
  </si>
  <si>
    <t>Makeev</t>
  </si>
  <si>
    <t>A-2081</t>
  </si>
  <si>
    <t>Andreichuk</t>
  </si>
  <si>
    <t>Hanna</t>
  </si>
  <si>
    <t>ixopowra@gmail.com</t>
  </si>
  <si>
    <t>Ukraine</t>
  </si>
  <si>
    <t>A-145</t>
  </si>
  <si>
    <t>Andrew</t>
  </si>
  <si>
    <t>Aston Residence Tower B #10H</t>
  </si>
  <si>
    <t>Jl. Garnisun Dalam 8, Karet Semanggi</t>
  </si>
  <si>
    <t>A-1687</t>
  </si>
  <si>
    <t>A-1205</t>
  </si>
  <si>
    <t>6287777147330</t>
  </si>
  <si>
    <t>A-2237</t>
  </si>
  <si>
    <t>Bandoh</t>
  </si>
  <si>
    <t>13158491125</t>
  </si>
  <si>
    <t>A-2012</t>
  </si>
  <si>
    <t>A-977</t>
  </si>
  <si>
    <t>Christopher</t>
  </si>
  <si>
    <t>andrew.ch@hotmail.co.id</t>
  </si>
  <si>
    <t xml:space="preserve">Mediterania Regency Cikunir Blok B No 60
Jati Bening</t>
  </si>
  <si>
    <t>Bekasi Selatan</t>
  </si>
  <si>
    <t>A-1512</t>
  </si>
  <si>
    <t>Gautama</t>
  </si>
  <si>
    <t>+6287880955868</t>
  </si>
  <si>
    <t xml:space="preserve">Jln.Kmboja ujung 1 no.8
Tomang</t>
  </si>
  <si>
    <t>A-526</t>
  </si>
  <si>
    <t>Hamidjojo</t>
  </si>
  <si>
    <t>A-2180</t>
  </si>
  <si>
    <t>Hartanto</t>
  </si>
  <si>
    <t>ahartanto79@yahoo.com</t>
  </si>
  <si>
    <t>+62818499338</t>
  </si>
  <si>
    <t xml:space="preserve">JL. Kintamani Golf 16 No. 16
Gading Serpong </t>
  </si>
  <si>
    <t>A-2179</t>
  </si>
  <si>
    <t>Hirawady</t>
  </si>
  <si>
    <t>6281310666632</t>
  </si>
  <si>
    <t>Taman Kebon Jeruk Intercon, Jakarta</t>
  </si>
  <si>
    <t>A-559</t>
  </si>
  <si>
    <t>Kang</t>
  </si>
  <si>
    <t>A-2049</t>
  </si>
  <si>
    <t>Limawan</t>
  </si>
  <si>
    <t>A-1760</t>
  </si>
  <si>
    <t>Lindungan</t>
  </si>
  <si>
    <t>ST MORITZ APARTMENT ,NEW ROYAL SUITE UNIT 3703. JAKARTA</t>
  </si>
  <si>
    <t>JAKARTA</t>
  </si>
  <si>
    <t>A-071</t>
  </si>
  <si>
    <t>nicodemus</t>
  </si>
  <si>
    <t>M-1434</t>
  </si>
  <si>
    <t>Purnomo</t>
  </si>
  <si>
    <t>62816600965</t>
  </si>
  <si>
    <t>A-2251</t>
  </si>
  <si>
    <t>Andrew Robert</t>
  </si>
  <si>
    <t>Gaussen</t>
  </si>
  <si>
    <t>61241579785</t>
  </si>
  <si>
    <t>A-1306</t>
  </si>
  <si>
    <t>A-2041</t>
  </si>
  <si>
    <t>Soebali</t>
  </si>
  <si>
    <t>Lexington Unit 0608</t>
  </si>
  <si>
    <t>A-355</t>
  </si>
  <si>
    <t>Suryabara</t>
  </si>
  <si>
    <t>A-1136</t>
  </si>
  <si>
    <t>Wilkes</t>
  </si>
  <si>
    <t>A-1457</t>
  </si>
  <si>
    <t>A-750</t>
  </si>
  <si>
    <t>mingdongzhu@live.com</t>
  </si>
  <si>
    <t>A-998</t>
  </si>
  <si>
    <t>Andrey</t>
  </si>
  <si>
    <t>Darma</t>
  </si>
  <si>
    <t>A-1221</t>
  </si>
  <si>
    <t>Andri</t>
  </si>
  <si>
    <t>A-1733</t>
  </si>
  <si>
    <t>A-466</t>
  </si>
  <si>
    <t>A-628</t>
  </si>
  <si>
    <t>A-573</t>
  </si>
  <si>
    <t>Hamid</t>
  </si>
  <si>
    <t>andrihamid@cbn.net.id</t>
  </si>
  <si>
    <t xml:space="preserve">Jln. Gatot Subroto KM 7,8 Kel.Pasir Jaya Kec.Jatiuwung 
Tangerang 15135</t>
  </si>
  <si>
    <t>A-666</t>
  </si>
  <si>
    <t>B</t>
  </si>
  <si>
    <t>A-151</t>
  </si>
  <si>
    <t>Christian</t>
  </si>
  <si>
    <t>A-1832</t>
  </si>
  <si>
    <t>Ruhyana</t>
  </si>
  <si>
    <t>A-920</t>
  </si>
  <si>
    <t>A-857</t>
  </si>
  <si>
    <t>andriwkusumaoz@gmail.com</t>
  </si>
  <si>
    <t>628111086968</t>
  </si>
  <si>
    <t xml:space="preserve">Komp. Tj. Barat Indah 
JL. Teratai Viii. Blok. H6</t>
  </si>
  <si>
    <t>A-942</t>
  </si>
  <si>
    <t>Andria</t>
  </si>
  <si>
    <t>Zahiruddin</t>
  </si>
  <si>
    <t xml:space="preserve">Jalan Tirtayasa V no.1
12160</t>
  </si>
  <si>
    <t>A-1461</t>
  </si>
  <si>
    <t>Andrian</t>
  </si>
  <si>
    <t>Djaya</t>
  </si>
  <si>
    <t>A-1309</t>
  </si>
  <si>
    <t>Andriana</t>
  </si>
  <si>
    <t>Jauw</t>
  </si>
  <si>
    <t>A-534</t>
  </si>
  <si>
    <t>Andriani</t>
  </si>
  <si>
    <t>Taher</t>
  </si>
  <si>
    <t xml:space="preserve">Wisma Bakrie 2 Lt.7
Jl. HR Rasuna Said Kav B-1
Kuningan</t>
  </si>
  <si>
    <t>A-1010</t>
  </si>
  <si>
    <t>Andriano</t>
  </si>
  <si>
    <t>allesandromohky@yahoo.com</t>
  </si>
  <si>
    <t>A-1384</t>
  </si>
  <si>
    <t>Andrianto</t>
  </si>
  <si>
    <t>Soedjarwo</t>
  </si>
  <si>
    <t>A-1155</t>
  </si>
  <si>
    <t>Andrias</t>
  </si>
  <si>
    <t>A-152</t>
  </si>
  <si>
    <t>Andrie</t>
  </si>
  <si>
    <t>JL.Erlangga V NO.9 Kebayoran Baru</t>
  </si>
  <si>
    <t>A-952</t>
  </si>
  <si>
    <t>lipoto</t>
  </si>
  <si>
    <t>A-758</t>
  </si>
  <si>
    <t>Lukito</t>
  </si>
  <si>
    <t>andrie_lukito@hotmail.com</t>
  </si>
  <si>
    <t>Jl.Veteran No.939/F7</t>
  </si>
  <si>
    <t>Palembang</t>
  </si>
  <si>
    <t>A-1746</t>
  </si>
  <si>
    <t>Yapsir</t>
  </si>
  <si>
    <t xml:space="preserve">Bukit Indah No.15 Northridge Golf Estate
Sentul City</t>
  </si>
  <si>
    <t>A-1721</t>
  </si>
  <si>
    <t>Andrina</t>
  </si>
  <si>
    <t xml:space="preserve">Sutera Renata Cluster Alba Utama no.7
Alam Sutera - Tangerang Banten
(Audrey Samuel,Mrs)</t>
  </si>
  <si>
    <t>A-2053</t>
  </si>
  <si>
    <t>Andrini</t>
  </si>
  <si>
    <t>Hendrayani</t>
  </si>
  <si>
    <t xml:space="preserve">Virginia Lagoon Blok B5 No.2 Sektor 8A 
BSD City Tangerang Selatan </t>
  </si>
  <si>
    <t>A-1417</t>
  </si>
  <si>
    <t>Andris</t>
  </si>
  <si>
    <t>andris&amp;diptapermatasari.com</t>
  </si>
  <si>
    <t>A-767</t>
  </si>
  <si>
    <t>Andriyani</t>
  </si>
  <si>
    <t>A-1607</t>
  </si>
  <si>
    <t>Anya</t>
  </si>
  <si>
    <t>+6281317883353</t>
  </si>
  <si>
    <t xml:space="preserve">Bintaro Jaya Sektor 3A, Cluster Kurinvang Jl. Kurincang 3 Blok GD1 No.6 Pondok Ranji , Ciputat Timur , Bintaro , Tangerang Selatan.
</t>
  </si>
  <si>
    <t>Banten</t>
  </si>
  <si>
    <t>A-154</t>
  </si>
  <si>
    <t>Andromeda</t>
  </si>
  <si>
    <t>Peters</t>
  </si>
  <si>
    <t>JL. Kramat Batu No.23</t>
  </si>
  <si>
    <t>A-1967</t>
  </si>
  <si>
    <t>Andru</t>
  </si>
  <si>
    <t>A-2067</t>
  </si>
  <si>
    <t>Fjiputra</t>
  </si>
  <si>
    <t>A-1887</t>
  </si>
  <si>
    <t>A-529</t>
  </si>
  <si>
    <t>Novijandri</t>
  </si>
  <si>
    <t>andrybali@gmail.com</t>
  </si>
  <si>
    <t>A-936</t>
  </si>
  <si>
    <t>Yoanto</t>
  </si>
  <si>
    <t xml:space="preserve">Sunter indah 1 blok KB1 no.6
Jakarta
14350</t>
  </si>
  <si>
    <t>A-2325</t>
  </si>
  <si>
    <t>Andryan</t>
  </si>
  <si>
    <t>Rahman Sunaryo</t>
  </si>
  <si>
    <t>6281513034406</t>
  </si>
  <si>
    <t>A-2230</t>
  </si>
  <si>
    <t>Andrzej</t>
  </si>
  <si>
    <t>Bachleda-Curus</t>
  </si>
  <si>
    <t>andrzej@backledz.pl</t>
  </si>
  <si>
    <t>+48602505506</t>
  </si>
  <si>
    <t>Polandia</t>
  </si>
  <si>
    <t>A-1529</t>
  </si>
  <si>
    <t>Andwika</t>
  </si>
  <si>
    <t>Prakoso</t>
  </si>
  <si>
    <t>A-452</t>
  </si>
  <si>
    <t>Andy</t>
  </si>
  <si>
    <t>Jl. raya Kertajaya Indah No 46</t>
  </si>
  <si>
    <t>A-874</t>
  </si>
  <si>
    <t>A-2112</t>
  </si>
  <si>
    <t>Andy Andreas</t>
  </si>
  <si>
    <t>Benyamin</t>
  </si>
  <si>
    <t>+628161828218</t>
  </si>
  <si>
    <t>A-2121</t>
  </si>
  <si>
    <t>Darmawan</t>
  </si>
  <si>
    <t>AA.sankie@gmail.com</t>
  </si>
  <si>
    <t>+628118080118</t>
  </si>
  <si>
    <t>Citra Garden City 6 , Blok G1/09</t>
  </si>
  <si>
    <t>11110</t>
  </si>
  <si>
    <t>A-156</t>
  </si>
  <si>
    <t>Hui</t>
  </si>
  <si>
    <t>Komp. Green Garden Blok N 15A No. 56</t>
  </si>
  <si>
    <t>A-1387</t>
  </si>
  <si>
    <t>A-1120</t>
  </si>
  <si>
    <t>andymaulanst24@gmail.com</t>
  </si>
  <si>
    <t>Perum Duta Bintaro Kav.Ubud Blok G3 /1</t>
  </si>
  <si>
    <t>A-1810</t>
  </si>
  <si>
    <t>Mulia</t>
  </si>
  <si>
    <t>Jambi</t>
  </si>
  <si>
    <t>A-160</t>
  </si>
  <si>
    <t>Apart. Mediterania Garden Tower Azalea Town House 1/A/B</t>
  </si>
  <si>
    <t>Jl. Tanjung Duren Raya Kav. 05</t>
  </si>
  <si>
    <t>A-516</t>
  </si>
  <si>
    <t>A-826</t>
  </si>
  <si>
    <t xml:space="preserve">AFEX Indonesia
Menara BCA Lt.45
Jl. MH. Thamrin No1</t>
  </si>
  <si>
    <t>A-1827</t>
  </si>
  <si>
    <t>Djamalus</t>
  </si>
  <si>
    <t xml:space="preserve">Jl Taman Kencana Permai 1 No.5
Perumahan Pondok Pinang, Kebayoran Lama</t>
  </si>
  <si>
    <t>A-162</t>
  </si>
  <si>
    <t>Sim</t>
  </si>
  <si>
    <t>Ruko Cempaka Mas Blok P No.9</t>
  </si>
  <si>
    <t>A-1242</t>
  </si>
  <si>
    <t>Tamsir</t>
  </si>
  <si>
    <t>A-163</t>
  </si>
  <si>
    <t>Tjoa</t>
  </si>
  <si>
    <t>JL. Soekarno Hatta 713</t>
  </si>
  <si>
    <t>A-323</t>
  </si>
  <si>
    <t>T-0751</t>
  </si>
  <si>
    <t>Andya</t>
  </si>
  <si>
    <t>Kartika</t>
  </si>
  <si>
    <t>628111540585</t>
  </si>
  <si>
    <t>A-1447</t>
  </si>
  <si>
    <t>Andytio</t>
  </si>
  <si>
    <t>Budiarto</t>
  </si>
  <si>
    <t>62811862354</t>
  </si>
  <si>
    <t>A-1759</t>
  </si>
  <si>
    <t>Anela</t>
  </si>
  <si>
    <t>Balma</t>
  </si>
  <si>
    <t>Gianyar</t>
  </si>
  <si>
    <t>A-1243</t>
  </si>
  <si>
    <t>Anetta</t>
  </si>
  <si>
    <t>A-1892</t>
  </si>
  <si>
    <t>Ang</t>
  </si>
  <si>
    <t>Bin</t>
  </si>
  <si>
    <t>A-2169</t>
  </si>
  <si>
    <t>Ang Geo</t>
  </si>
  <si>
    <t>Geo</t>
  </si>
  <si>
    <t>8618108438807</t>
  </si>
  <si>
    <t>China</t>
  </si>
  <si>
    <t>A-1237</t>
  </si>
  <si>
    <t>Hong</t>
  </si>
  <si>
    <t>Congfa</t>
  </si>
  <si>
    <t>+6281333333586</t>
  </si>
  <si>
    <t>Crown Golf Boulevard 22, PIK - JAK - UT</t>
  </si>
  <si>
    <t>14110</t>
  </si>
  <si>
    <t>A-641</t>
  </si>
  <si>
    <t>Janti</t>
  </si>
  <si>
    <t>anglusijamti@hotmail.com</t>
  </si>
  <si>
    <t xml:space="preserve">Jl Mangga 2 Blok X No,27A
Tanjung Duren Jakarta Barat
11510</t>
  </si>
  <si>
    <t>A-2306</t>
  </si>
  <si>
    <t>Osil</t>
  </si>
  <si>
    <t>6282399189629</t>
  </si>
  <si>
    <t>A-2146</t>
  </si>
  <si>
    <t>Riani</t>
  </si>
  <si>
    <t>628128787679</t>
  </si>
  <si>
    <t>A-1843</t>
  </si>
  <si>
    <t>Angel</t>
  </si>
  <si>
    <t>jl. Teladan no.2A Gandaria Selatan</t>
  </si>
  <si>
    <t>A-2017</t>
  </si>
  <si>
    <t>A-1742</t>
  </si>
  <si>
    <t>Apriliani</t>
  </si>
  <si>
    <t>+6282298508881</t>
  </si>
  <si>
    <t xml:space="preserve">Bukit Gading Villa, Jl. Kuta Indah No. 117, Kelapa Gading, Jakarta Utara 14240
</t>
  </si>
  <si>
    <t>A-2323</t>
  </si>
  <si>
    <t>Angel Febriani</t>
  </si>
  <si>
    <t>Tappi</t>
  </si>
  <si>
    <t>angellfebriani@gmail.com</t>
  </si>
  <si>
    <t>6282348262929</t>
  </si>
  <si>
    <t>Blok C/169</t>
  </si>
  <si>
    <t>A-2110</t>
  </si>
  <si>
    <t>Halawa</t>
  </si>
  <si>
    <t>A-167</t>
  </si>
  <si>
    <t>Lelga</t>
  </si>
  <si>
    <t>A-1257</t>
  </si>
  <si>
    <t>Natalia</t>
  </si>
  <si>
    <t>A-2074</t>
  </si>
  <si>
    <t>Pieters</t>
  </si>
  <si>
    <t>6282122056588</t>
  </si>
  <si>
    <t>A-1633</t>
  </si>
  <si>
    <t>Susanti</t>
  </si>
  <si>
    <t>Greenhill J2 No.1</t>
  </si>
  <si>
    <t>A-862</t>
  </si>
  <si>
    <t>JL.PULOMAS 3A NO1 JAKARTA</t>
  </si>
  <si>
    <t>A-622</t>
  </si>
  <si>
    <t>Yapadi</t>
  </si>
  <si>
    <t>angel_yapadi@hotmail.com</t>
  </si>
  <si>
    <t>Jl. Mangga Besar V blok A No.1K</t>
  </si>
  <si>
    <t>A-164</t>
  </si>
  <si>
    <t>Angela</t>
  </si>
  <si>
    <t>08559010391</t>
  </si>
  <si>
    <t>A-910</t>
  </si>
  <si>
    <t>Anggraeni</t>
  </si>
  <si>
    <t>Jalan Kadrie Oening blok k no.37</t>
  </si>
  <si>
    <t>Samarinda</t>
  </si>
  <si>
    <t>A-1140</t>
  </si>
  <si>
    <t>Aprilia</t>
  </si>
  <si>
    <t>A-1608</t>
  </si>
  <si>
    <t>Chalid</t>
  </si>
  <si>
    <t>6281381220363</t>
  </si>
  <si>
    <t>A-2128</t>
  </si>
  <si>
    <t>Gunarso</t>
  </si>
  <si>
    <t>angelagunarso@gmail.com</t>
  </si>
  <si>
    <t>6287731711128</t>
  </si>
  <si>
    <t>A-1052</t>
  </si>
  <si>
    <t>Jessica</t>
  </si>
  <si>
    <t>jessica.tatagraha@yahoo.com</t>
  </si>
  <si>
    <t xml:space="preserve">Legenda Wisata Blok D/1763
Cibubur</t>
  </si>
  <si>
    <t>A-2184</t>
  </si>
  <si>
    <t>Johandra</t>
  </si>
  <si>
    <t>angelabesing92@gmail.com</t>
  </si>
  <si>
    <t>6281212348899</t>
  </si>
  <si>
    <t>Kupang , Nusa tenggara Timur</t>
  </si>
  <si>
    <t>Kupang</t>
  </si>
  <si>
    <t>A-1259</t>
  </si>
  <si>
    <t>Ker</t>
  </si>
  <si>
    <t>628129101239</t>
  </si>
  <si>
    <t>A-1936</t>
  </si>
  <si>
    <t>Krissanty</t>
  </si>
  <si>
    <t>mkrissanty70@gmail.com</t>
  </si>
  <si>
    <t>A-2026</t>
  </si>
  <si>
    <t>Prieska</t>
  </si>
  <si>
    <t>A-833</t>
  </si>
  <si>
    <t>Rosa</t>
  </si>
  <si>
    <t xml:space="preserve">Danau Agung VIII No.E3/1A
Sunter Podomoro</t>
  </si>
  <si>
    <t>A-1747</t>
  </si>
  <si>
    <t>Tanoesoedibjo</t>
  </si>
  <si>
    <t>+628119952744</t>
  </si>
  <si>
    <t>A-1597</t>
  </si>
  <si>
    <t>A-662</t>
  </si>
  <si>
    <t>Angelena</t>
  </si>
  <si>
    <t>NL</t>
  </si>
  <si>
    <t xml:space="preserve">Jl. BONA INDAH VIA Blok A7/27
Lebak Bulus Cilandak</t>
  </si>
  <si>
    <t xml:space="preserve">Jakarta Selatan </t>
  </si>
  <si>
    <t>A-1576</t>
  </si>
  <si>
    <t>Angelia</t>
  </si>
  <si>
    <t>A-2115</t>
  </si>
  <si>
    <t>Angelica</t>
  </si>
  <si>
    <t>Liando</t>
  </si>
  <si>
    <t>+6281888930</t>
  </si>
  <si>
    <t>A-787</t>
  </si>
  <si>
    <t>Limbunan</t>
  </si>
  <si>
    <t>A-1828</t>
  </si>
  <si>
    <t>Angelig</t>
  </si>
  <si>
    <t>Jalan Teladan No 82</t>
  </si>
  <si>
    <t>A-1683</t>
  </si>
  <si>
    <t>Angelin</t>
  </si>
  <si>
    <t>Sumendap</t>
  </si>
  <si>
    <t>+6281807980980</t>
  </si>
  <si>
    <t>Aprt Puri Garden 2215</t>
  </si>
  <si>
    <t>A-1628</t>
  </si>
  <si>
    <t>Angelina</t>
  </si>
  <si>
    <t>Enny</t>
  </si>
  <si>
    <t>62818858557</t>
  </si>
  <si>
    <t>A-416</t>
  </si>
  <si>
    <t>Jl. S. Parman No. 78</t>
  </si>
  <si>
    <t>A-715</t>
  </si>
  <si>
    <t>A-2089</t>
  </si>
  <si>
    <t>Hartini</t>
  </si>
  <si>
    <t>ANGELZ09@GMAIL.com</t>
  </si>
  <si>
    <t>081285167189</t>
  </si>
  <si>
    <t xml:space="preserve">Bukit Golf Mediterania 
Rukan Crown Golf Blok B No.52</t>
  </si>
  <si>
    <t>A-1657</t>
  </si>
  <si>
    <t>Renata</t>
  </si>
  <si>
    <t>A-1513</t>
  </si>
  <si>
    <t>Angelina(0813995678)</t>
  </si>
  <si>
    <t>A-2240</t>
  </si>
  <si>
    <t>Angeline</t>
  </si>
  <si>
    <t>6289648981515</t>
  </si>
  <si>
    <t>A-1371</t>
  </si>
  <si>
    <t>6287877221509</t>
  </si>
  <si>
    <t>A-2161</t>
  </si>
  <si>
    <t>Priscella</t>
  </si>
  <si>
    <t>62811988783</t>
  </si>
  <si>
    <t xml:space="preserve">Damar Golf no.68 
PIK </t>
  </si>
  <si>
    <t>A-1812</t>
  </si>
  <si>
    <t>angeline.r.salim@gmail.com</t>
  </si>
  <si>
    <t>Pantai mutiara Blok 2B No 2</t>
  </si>
  <si>
    <t>M-1075</t>
  </si>
  <si>
    <t>Sudiarjo</t>
  </si>
  <si>
    <t>A-1101</t>
  </si>
  <si>
    <t>Thamrin</t>
  </si>
  <si>
    <t>angeline32001@yahoo.com</t>
  </si>
  <si>
    <t>+62816160826</t>
  </si>
  <si>
    <t>A-1781</t>
  </si>
  <si>
    <t>Angeliqile</t>
  </si>
  <si>
    <t>Stampte</t>
  </si>
  <si>
    <t>A-986</t>
  </si>
  <si>
    <t>Angelique</t>
  </si>
  <si>
    <t>65 85881177</t>
  </si>
  <si>
    <t>A-1012</t>
  </si>
  <si>
    <t>Angelly</t>
  </si>
  <si>
    <t>tjetje</t>
  </si>
  <si>
    <t>A-168</t>
  </si>
  <si>
    <t>Angelo</t>
  </si>
  <si>
    <t>Infusino</t>
  </si>
  <si>
    <t>The Plaza Residences 31k, Intercontinental Midplaza, Sudirman</t>
  </si>
  <si>
    <t>A-702</t>
  </si>
  <si>
    <t>Angely</t>
  </si>
  <si>
    <t>angelyaidajunie@yahoo.com</t>
  </si>
  <si>
    <t>Jl. Timur Baru No 1C</t>
  </si>
  <si>
    <t>A-2094</t>
  </si>
  <si>
    <t>+628119918155</t>
  </si>
  <si>
    <t>A-1970</t>
  </si>
  <si>
    <t>Aldi Yunanda</t>
  </si>
  <si>
    <t>+6287772153231</t>
  </si>
  <si>
    <t>Perum. Kecapi Mansion</t>
  </si>
  <si>
    <t>A-317</t>
  </si>
  <si>
    <t>Anggelina</t>
  </si>
  <si>
    <t>Tj</t>
  </si>
  <si>
    <t xml:space="preserve">perumahan dpr ri blok f1 no.442
kalibata jaksel</t>
  </si>
  <si>
    <t>A-1978</t>
  </si>
  <si>
    <t>Anggia</t>
  </si>
  <si>
    <t>Meuthia</t>
  </si>
  <si>
    <t>628128208909</t>
  </si>
  <si>
    <t>A-2023</t>
  </si>
  <si>
    <t>Anggi</t>
  </si>
  <si>
    <t>TIFFANMUTIA@GMAIL.COM</t>
  </si>
  <si>
    <t>PASAR MINGGU</t>
  </si>
  <si>
    <t>JAKARTA SELATAN</t>
  </si>
  <si>
    <t>A-1245</t>
  </si>
  <si>
    <t>Fazriani</t>
  </si>
  <si>
    <t>jl.siliwangi no 55 cirebon</t>
  </si>
  <si>
    <t>A-1902</t>
  </si>
  <si>
    <t>Josalina</t>
  </si>
  <si>
    <t>Kemang Village Residence Bloomington Tower 2202</t>
  </si>
  <si>
    <t>A-1197</t>
  </si>
  <si>
    <t>A-663</t>
  </si>
  <si>
    <t>Winarka</t>
  </si>
  <si>
    <t>A-418</t>
  </si>
  <si>
    <t>Item</t>
  </si>
  <si>
    <t xml:space="preserve">Jl. Andara No. 2
Pondok Labu
Jakarta Selatan 
12450</t>
  </si>
  <si>
    <t>A-1726</t>
  </si>
  <si>
    <t>Kharisma</t>
  </si>
  <si>
    <t>628211492246</t>
  </si>
  <si>
    <t>Jl.Kramat No.3C Jakarta Selatan</t>
  </si>
  <si>
    <t>A-798</t>
  </si>
  <si>
    <t xml:space="preserve">Mutiara Kemang blok B 10
Jl. Madrasah Raya 
Kemang 12560</t>
  </si>
  <si>
    <t>A-809</t>
  </si>
  <si>
    <t>Primasari</t>
  </si>
  <si>
    <t>Jalan Bangka Raya No.27</t>
  </si>
  <si>
    <t>A-782</t>
  </si>
  <si>
    <t>Anggiasari</t>
  </si>
  <si>
    <t>A-867</t>
  </si>
  <si>
    <t>Anggiat</t>
  </si>
  <si>
    <t>Tambunan</t>
  </si>
  <si>
    <t>Taman villa Meruya Blok C5 /24 Meruya</t>
  </si>
  <si>
    <t>M-1209</t>
  </si>
  <si>
    <t>Anggie</t>
  </si>
  <si>
    <t>A-1541</t>
  </si>
  <si>
    <t>Angie</t>
  </si>
  <si>
    <t>6218602808</t>
  </si>
  <si>
    <t>A-1807</t>
  </si>
  <si>
    <t>Tjahja</t>
  </si>
  <si>
    <t>Jl.Kamboja No.36A</t>
  </si>
  <si>
    <t>A-1555</t>
  </si>
  <si>
    <t>Anggita</t>
  </si>
  <si>
    <t>A-2303</t>
  </si>
  <si>
    <t>Rara</t>
  </si>
  <si>
    <t>gongghe@yahoo.com</t>
  </si>
  <si>
    <t>628111174784</t>
  </si>
  <si>
    <t>A-1638</t>
  </si>
  <si>
    <t>A-397</t>
  </si>
  <si>
    <t>Fitri</t>
  </si>
  <si>
    <t xml:space="preserve">Komp. PT.PAS No. 12A
Kalibata - Jakarta Selatan
Indonesia 12740</t>
  </si>
  <si>
    <t>A-119</t>
  </si>
  <si>
    <t>A-2073</t>
  </si>
  <si>
    <t>Anggraito</t>
  </si>
  <si>
    <t>Suhartono</t>
  </si>
  <si>
    <t>The Royal springhill Residences Tower Bulgari 10</t>
  </si>
  <si>
    <t>A-1562</t>
  </si>
  <si>
    <t>Anggreini</t>
  </si>
  <si>
    <t>Suparta</t>
  </si>
  <si>
    <t>grein@indo.net.id</t>
  </si>
  <si>
    <t>+62811519212</t>
  </si>
  <si>
    <t xml:space="preserve">Perum. Bukit Permai, Jalan Wanggamet Blok S No. 17, Cibubur, Jakarta Timur 13720
</t>
  </si>
  <si>
    <t>A-385</t>
  </si>
  <si>
    <t>Anggun</t>
  </si>
  <si>
    <t>A-1581</t>
  </si>
  <si>
    <t>Anggunisea</t>
  </si>
  <si>
    <t>Asamar</t>
  </si>
  <si>
    <t>6287778481832</t>
  </si>
  <si>
    <t>33 trees habitat jin benda atas 33</t>
  </si>
  <si>
    <t>A-523</t>
  </si>
  <si>
    <t>A-1134</t>
  </si>
  <si>
    <t>Go</t>
  </si>
  <si>
    <t>A-1377</t>
  </si>
  <si>
    <t>angie_xl2003@yahoo.com</t>
  </si>
  <si>
    <t>A-2159</t>
  </si>
  <si>
    <t>Marcheria</t>
  </si>
  <si>
    <t>6287878473407</t>
  </si>
  <si>
    <t>A-2042</t>
  </si>
  <si>
    <t>Prijanto</t>
  </si>
  <si>
    <t>Taman Golf No.10a Tangerang</t>
  </si>
  <si>
    <t>A-1246</t>
  </si>
  <si>
    <t>Angie Than</t>
  </si>
  <si>
    <t>Woen Hwa</t>
  </si>
  <si>
    <t>+6281288810128</t>
  </si>
  <si>
    <t>A-338</t>
  </si>
  <si>
    <t>A-173</t>
  </si>
  <si>
    <t>Angky</t>
  </si>
  <si>
    <t>Rasuna Said Apt. Tower 6 #6GFD</t>
  </si>
  <si>
    <t>Jl. HR. Rasuna Said</t>
  </si>
  <si>
    <t>A-1213</t>
  </si>
  <si>
    <t>Angliani</t>
  </si>
  <si>
    <t>A-308</t>
  </si>
  <si>
    <t>Ani</t>
  </si>
  <si>
    <t xml:space="preserve">Kav Polri D/904
Jelambar</t>
  </si>
  <si>
    <t>A-1332</t>
  </si>
  <si>
    <t>Lippo Cikarang</t>
  </si>
  <si>
    <t>A-850</t>
  </si>
  <si>
    <t>A-851</t>
  </si>
  <si>
    <t>Budiarti</t>
  </si>
  <si>
    <t>A-871</t>
  </si>
  <si>
    <t>Emi</t>
  </si>
  <si>
    <t>emi.bnn@hotmail.com</t>
  </si>
  <si>
    <t xml:space="preserve">jalan aurora I no.11 sutera ronata,
alam sutera , Serpong</t>
  </si>
  <si>
    <t>A-1594</t>
  </si>
  <si>
    <t>Haryani</t>
  </si>
  <si>
    <t>A-2045</t>
  </si>
  <si>
    <t>A-2319</t>
  </si>
  <si>
    <t>Nurhadiati</t>
  </si>
  <si>
    <t>6281293341222</t>
  </si>
  <si>
    <t>A-1026</t>
  </si>
  <si>
    <t>M-761</t>
  </si>
  <si>
    <t>Rochmani</t>
  </si>
  <si>
    <t xml:space="preserve">Jl.Kemang Utara II A No.14 A
08.11.71</t>
  </si>
  <si>
    <t>A-633</t>
  </si>
  <si>
    <t>Soedomo</t>
  </si>
  <si>
    <t>A-863</t>
  </si>
  <si>
    <t>A-309</t>
  </si>
  <si>
    <t>Sofyan</t>
  </si>
  <si>
    <t xml:space="preserve">Jl. Taman Metro Alam KAV. 4 PL-6
Pondok Indah</t>
  </si>
  <si>
    <t>A-794</t>
  </si>
  <si>
    <t>6289512202999</t>
  </si>
  <si>
    <t>A-1330</t>
  </si>
  <si>
    <t>Anie</t>
  </si>
  <si>
    <t>Tirtono</t>
  </si>
  <si>
    <t>6281348807668</t>
  </si>
  <si>
    <t>Green Cove BSD</t>
  </si>
  <si>
    <t>A-2232</t>
  </si>
  <si>
    <t>Anik</t>
  </si>
  <si>
    <t>Qurniatin</t>
  </si>
  <si>
    <t>6285224444324</t>
  </si>
  <si>
    <t>A-428</t>
  </si>
  <si>
    <t>Anil</t>
  </si>
  <si>
    <t>Dawan</t>
  </si>
  <si>
    <t xml:space="preserve">Jl. Lengkong BSD
Perumahan Residence One.
Cluster White Diamond 2 No.3
Serpong</t>
  </si>
  <si>
    <t>A-844</t>
  </si>
  <si>
    <t>Melwani</t>
  </si>
  <si>
    <t>A-1861</t>
  </si>
  <si>
    <t>Nambiar</t>
  </si>
  <si>
    <t>aknambiar@icloud.com</t>
  </si>
  <si>
    <t>A-707</t>
  </si>
  <si>
    <t>Anila</t>
  </si>
  <si>
    <t>A-417</t>
  </si>
  <si>
    <t>Aninda</t>
  </si>
  <si>
    <t xml:space="preserve">Jl. Karang Asem Raya No.1-2 
Kuningan 
Jakarta Selatan</t>
  </si>
  <si>
    <t>A-849</t>
  </si>
  <si>
    <t>Putri Syantika</t>
  </si>
  <si>
    <t>628119998851</t>
  </si>
  <si>
    <t>A-2342</t>
  </si>
  <si>
    <t>Syantika</t>
  </si>
  <si>
    <t>A-178</t>
  </si>
  <si>
    <t>Anindha</t>
  </si>
  <si>
    <t>Yauti</t>
  </si>
  <si>
    <t>Taman Anggrek Apt. Tower 7 #41H</t>
  </si>
  <si>
    <t>Jl. Let. Jend. S. Parman Kav. 21, Grogol</t>
  </si>
  <si>
    <t>A-657</t>
  </si>
  <si>
    <t>Anindhya</t>
  </si>
  <si>
    <t>Kirana</t>
  </si>
  <si>
    <t>A-1736</t>
  </si>
  <si>
    <t>Anindia</t>
  </si>
  <si>
    <t>Soekamto</t>
  </si>
  <si>
    <t>628170905090</t>
  </si>
  <si>
    <t>A-108</t>
  </si>
  <si>
    <t>Anindita</t>
  </si>
  <si>
    <t>A-1879</t>
  </si>
  <si>
    <t>Dewayani</t>
  </si>
  <si>
    <t>A-1566</t>
  </si>
  <si>
    <t>Oei</t>
  </si>
  <si>
    <t>anindita.dewioei@gmail.com</t>
  </si>
  <si>
    <t>+6281381202193</t>
  </si>
  <si>
    <t>A-1900</t>
  </si>
  <si>
    <t>Anindiya</t>
  </si>
  <si>
    <t>Dwitya H</t>
  </si>
  <si>
    <t>6281289827555</t>
  </si>
  <si>
    <t>A-1806</t>
  </si>
  <si>
    <t>Anis</t>
  </si>
  <si>
    <t>Hermawati</t>
  </si>
  <si>
    <t>Premier Teracce B.18 Ciracas</t>
  </si>
  <si>
    <t>A-806</t>
  </si>
  <si>
    <t>A-1527</t>
  </si>
  <si>
    <t>Anisa</t>
  </si>
  <si>
    <t>A-1236</t>
  </si>
  <si>
    <t>A-522</t>
  </si>
  <si>
    <t>Gaby</t>
  </si>
  <si>
    <t>A-179</t>
  </si>
  <si>
    <t>Fuad</t>
  </si>
  <si>
    <t xml:space="preserve">JL. Cipinang Cempedak I/10 
Polonia Otista</t>
  </si>
  <si>
    <t>Otista</t>
  </si>
  <si>
    <t>A-180</t>
  </si>
  <si>
    <t>Himawan</t>
  </si>
  <si>
    <t>Sekolah Duta No. 9</t>
  </si>
  <si>
    <t>A-181</t>
  </si>
  <si>
    <t>Febrianty</t>
  </si>
  <si>
    <t>Park Royale Apt. Tower 2 #842</t>
  </si>
  <si>
    <t>Jl. Gatot Subroto Kav. 35-39</t>
  </si>
  <si>
    <t>A-2296</t>
  </si>
  <si>
    <t>Febriani</t>
  </si>
  <si>
    <t>S-1541</t>
  </si>
  <si>
    <t>Paramitha</t>
  </si>
  <si>
    <t>+6287832232658</t>
  </si>
  <si>
    <t>A-972</t>
  </si>
  <si>
    <t>Wowor</t>
  </si>
  <si>
    <t>neeshawowor@yahoo.com</t>
  </si>
  <si>
    <t xml:space="preserve">Siaga 2 no 16 Pejaten Barat 
Pasar Minggu</t>
  </si>
  <si>
    <t>A-2194</t>
  </si>
  <si>
    <t>Yudiana</t>
  </si>
  <si>
    <t>anisayudiana07@gmai.com</t>
  </si>
  <si>
    <t>6281295354844</t>
  </si>
  <si>
    <t>Mozart Signature B No. 61, PIK</t>
  </si>
  <si>
    <t>A-461</t>
  </si>
  <si>
    <t>Anisfu</t>
  </si>
  <si>
    <t>A-1439</t>
  </si>
  <si>
    <t>Daryani</t>
  </si>
  <si>
    <t>Puri Imperium suntur jakarta</t>
  </si>
  <si>
    <t>A-1254</t>
  </si>
  <si>
    <t>Anissa</t>
  </si>
  <si>
    <t>A-1054</t>
  </si>
  <si>
    <t>Anistia</t>
  </si>
  <si>
    <t>Wigati</t>
  </si>
  <si>
    <t>A-1999</t>
  </si>
  <si>
    <t>Anita</t>
  </si>
  <si>
    <t>A-451</t>
  </si>
  <si>
    <t>Palu</t>
  </si>
  <si>
    <t>A-443</t>
  </si>
  <si>
    <t>Senayan Recidence Jakarta</t>
  </si>
  <si>
    <t>A-1175</t>
  </si>
  <si>
    <t>6287786193321</t>
  </si>
  <si>
    <t>A-993</t>
  </si>
  <si>
    <t>Budi Utomo</t>
  </si>
  <si>
    <t>62811811878</t>
  </si>
  <si>
    <t xml:space="preserve">Tulodong Bawah X No.10
Kebayoran Baru</t>
  </si>
  <si>
    <t>A-2198</t>
  </si>
  <si>
    <t>Caroline</t>
  </si>
  <si>
    <t>anitacaroline2211@gmail.com</t>
  </si>
  <si>
    <t>6282211110147</t>
  </si>
  <si>
    <t>A-1922</t>
  </si>
  <si>
    <t>anitaivah.ali@gmail.com</t>
  </si>
  <si>
    <t xml:space="preserve">JL AKASIA GOLF VI NO.66
PIK - JAKARTA UTARA</t>
  </si>
  <si>
    <t>A-440</t>
  </si>
  <si>
    <t>Joedo</t>
  </si>
  <si>
    <t xml:space="preserve">Pearl Garden Apt.Umit BP 03AD5
Jl.Gatot Subroto No.5 Jak Sel</t>
  </si>
  <si>
    <t>A-2003</t>
  </si>
  <si>
    <t>Prangarso</t>
  </si>
  <si>
    <t>Jl. Gandapura No.4</t>
  </si>
  <si>
    <t>A-784</t>
  </si>
  <si>
    <t>Laksono</t>
  </si>
  <si>
    <t>anitaleksono@hotmail.com</t>
  </si>
  <si>
    <t>A-2315</t>
  </si>
  <si>
    <t>62817111539</t>
  </si>
  <si>
    <t>A-829</t>
  </si>
  <si>
    <t>Megawati</t>
  </si>
  <si>
    <t>A-889</t>
  </si>
  <si>
    <t>Nyotosetiadi</t>
  </si>
  <si>
    <t>Apt. Kusuma Chandra Tower 3/19M, Kawasan SCBD</t>
  </si>
  <si>
    <t>A-2329</t>
  </si>
  <si>
    <t>6281510029299</t>
  </si>
  <si>
    <t>A-2204</t>
  </si>
  <si>
    <t>Ratna Faoziah</t>
  </si>
  <si>
    <t>62811261251</t>
  </si>
  <si>
    <t>A-184</t>
  </si>
  <si>
    <t>Ratnasari</t>
  </si>
  <si>
    <t>(+6221) 3144011</t>
  </si>
  <si>
    <t>JL.Teuku Umar No.50</t>
  </si>
  <si>
    <t>A-2118</t>
  </si>
  <si>
    <t>A-1706</t>
  </si>
  <si>
    <t>Suhadi</t>
  </si>
  <si>
    <t>A-1655</t>
  </si>
  <si>
    <t>Sulistio</t>
  </si>
  <si>
    <t>+628121020515</t>
  </si>
  <si>
    <t xml:space="preserve">Jl Boulevard Palem Raya no 2006, Lippo Karawaci Sentral 
</t>
  </si>
  <si>
    <t>A-485</t>
  </si>
  <si>
    <t>Susanto</t>
  </si>
  <si>
    <t>A-2152</t>
  </si>
  <si>
    <t>Tanuwidjaja</t>
  </si>
  <si>
    <t>628170767688</t>
  </si>
  <si>
    <t>Permata Hijau Raya, Blok S, No.7</t>
  </si>
  <si>
    <t>A-2277</t>
  </si>
  <si>
    <t>Thiosanto</t>
  </si>
  <si>
    <t>+628759088207</t>
  </si>
  <si>
    <t>Sunrise Garden Jakarta</t>
  </si>
  <si>
    <t>A-1294</t>
  </si>
  <si>
    <t>Anitaa</t>
  </si>
  <si>
    <t>A-1639</t>
  </si>
  <si>
    <t>Anitha</t>
  </si>
  <si>
    <t>Fauzia</t>
  </si>
  <si>
    <t>A-1869</t>
  </si>
  <si>
    <t>Anjas</t>
  </si>
  <si>
    <t>Alendra</t>
  </si>
  <si>
    <t>altanagisyalika@gmail.com</t>
  </si>
  <si>
    <t>Jalan Cibulan 2 No 18-20</t>
  </si>
  <si>
    <t>A-1542</t>
  </si>
  <si>
    <t>T</t>
  </si>
  <si>
    <t>Jl. Wijaya 1 no. 64 Jakarta Selatan</t>
  </si>
  <si>
    <t>A-1317</t>
  </si>
  <si>
    <t>Anje</t>
  </si>
  <si>
    <t>Kiew</t>
  </si>
  <si>
    <t>A-1338</t>
  </si>
  <si>
    <t>Anjelita</t>
  </si>
  <si>
    <t>G-0494</t>
  </si>
  <si>
    <t>Ankur</t>
  </si>
  <si>
    <t>Garg</t>
  </si>
  <si>
    <t>gtcankurgarg@gmail.com</t>
  </si>
  <si>
    <t>+919891666112</t>
  </si>
  <si>
    <t>A-1748</t>
  </si>
  <si>
    <t>Ann</t>
  </si>
  <si>
    <t>Ellya</t>
  </si>
  <si>
    <t xml:space="preserve">Taman Kencana Blok D2/No1 
Cengkareng</t>
  </si>
  <si>
    <t>M-0828</t>
  </si>
  <si>
    <t>A-754</t>
  </si>
  <si>
    <t>Anna</t>
  </si>
  <si>
    <t>+6598315877</t>
  </si>
  <si>
    <t>Jl. Raya Serpong TangSel</t>
  </si>
  <si>
    <t>A-890</t>
  </si>
  <si>
    <t>A-643</t>
  </si>
  <si>
    <t>A-1817</t>
  </si>
  <si>
    <t>6285321111320</t>
  </si>
  <si>
    <t>KBP TATAR CHANDRA, JL.CHANDRA KIRANA WETAN NO.1, BANDUNG</t>
  </si>
  <si>
    <t>A-2341</t>
  </si>
  <si>
    <t>Anisa Ladaina</t>
  </si>
  <si>
    <t>annaanisaladaina@gmail.com</t>
  </si>
  <si>
    <t>+6282211238885</t>
  </si>
  <si>
    <t>A-186</t>
  </si>
  <si>
    <t>Jl. Daksa IV No. 68</t>
  </si>
  <si>
    <t>A-384</t>
  </si>
  <si>
    <t>Harris</t>
  </si>
  <si>
    <t xml:space="preserve">Jl.Widya Chandra VI No.4
Jakarta</t>
  </si>
  <si>
    <t>A-380</t>
  </si>
  <si>
    <t xml:space="preserve">Jl. Siaga 2 / 7
Pejaten Barat</t>
  </si>
  <si>
    <t>A-1787</t>
  </si>
  <si>
    <t>Garcia</t>
  </si>
  <si>
    <t>A-2333</t>
  </si>
  <si>
    <t>Juliana</t>
  </si>
  <si>
    <t>a.annajuliana7@gmail.com</t>
  </si>
  <si>
    <t>6281313523889</t>
  </si>
  <si>
    <t>A-1801</t>
  </si>
  <si>
    <t>Kolosnitsyna</t>
  </si>
  <si>
    <t>PASSPORT NO.759458850</t>
  </si>
  <si>
    <t>A-1714</t>
  </si>
  <si>
    <t>Liubavine</t>
  </si>
  <si>
    <t>A-642</t>
  </si>
  <si>
    <t>Lynch</t>
  </si>
  <si>
    <t>6281546425200</t>
  </si>
  <si>
    <t xml:space="preserve">Summerville Apt.
Apt. Suite Allamanda 103 Kompleks Kelapa Gading Summarecon's.
Jl. Boulevard Raya  Kelapa Gading</t>
  </si>
  <si>
    <t>A-1316</t>
  </si>
  <si>
    <t>Mahanani</t>
  </si>
  <si>
    <t>628121368878</t>
  </si>
  <si>
    <t>A-2195</t>
  </si>
  <si>
    <t>Mariana</t>
  </si>
  <si>
    <t>62818136143</t>
  </si>
  <si>
    <t>A-1772</t>
  </si>
  <si>
    <t>Ngadino</t>
  </si>
  <si>
    <t>annangadino@gmail.com</t>
  </si>
  <si>
    <t>Perum Helios Villas c-10 Medan 20157</t>
  </si>
  <si>
    <t>A-1880</t>
  </si>
  <si>
    <t>Nikonorenkova</t>
  </si>
  <si>
    <t>A-2171</t>
  </si>
  <si>
    <t>Panferova</t>
  </si>
  <si>
    <t>A-1093</t>
  </si>
  <si>
    <t>Prayogo</t>
  </si>
  <si>
    <t>Ascot Private Residece Kuningan</t>
  </si>
  <si>
    <t>A-2227</t>
  </si>
  <si>
    <t>Kansil</t>
  </si>
  <si>
    <t>arosellakansil@gmail.com</t>
  </si>
  <si>
    <t>A-419</t>
  </si>
  <si>
    <t>Savina</t>
  </si>
  <si>
    <t>Kemang Barat 002/005 No.3</t>
  </si>
  <si>
    <t>A-188</t>
  </si>
  <si>
    <t>Savira</t>
  </si>
  <si>
    <t>Jl. Kemang Barat 3</t>
  </si>
  <si>
    <t>A-793</t>
  </si>
  <si>
    <t>Sembiring</t>
  </si>
  <si>
    <t>annasembiring@yahoo.com</t>
  </si>
  <si>
    <t>Kayu Putih Tengah 1c/37</t>
  </si>
  <si>
    <t>A-1785</t>
  </si>
  <si>
    <t>Semionicheva</t>
  </si>
  <si>
    <t>anna.barrely@gmail.com</t>
  </si>
  <si>
    <t xml:space="preserve">Taman tamora Villas
Canggu - BALI</t>
  </si>
  <si>
    <t>A-2031</t>
  </si>
  <si>
    <t>Seo</t>
  </si>
  <si>
    <t>yummi8967@gmail.com</t>
  </si>
  <si>
    <t>Jl.Ceger Permai No.18 Jakarta Timu</t>
  </si>
  <si>
    <t>A-589</t>
  </si>
  <si>
    <t>A-2135</t>
  </si>
  <si>
    <t>+6287888551181</t>
  </si>
  <si>
    <t>Jl.Camar Elok 4 No.22A PIK</t>
  </si>
  <si>
    <t>A-1523</t>
  </si>
  <si>
    <t>A-710</t>
  </si>
  <si>
    <t>Tjoe</t>
  </si>
  <si>
    <t xml:space="preserve">Jl. Casablanca IV BH5
Bukit Gading Mediterania
Kelapa Gading 14240</t>
  </si>
  <si>
    <t>A-1656</t>
  </si>
  <si>
    <t>A-1144</t>
  </si>
  <si>
    <t>Wiradi</t>
  </si>
  <si>
    <t>A-1506</t>
  </si>
  <si>
    <t>Anna(08159718989)</t>
  </si>
  <si>
    <t>A-1375</t>
  </si>
  <si>
    <t>Jl. Pulau Opak 4 A10/48</t>
  </si>
  <si>
    <t>A-362</t>
  </si>
  <si>
    <t>Adhania</t>
  </si>
  <si>
    <t>A-630</t>
  </si>
  <si>
    <t>Kluin</t>
  </si>
  <si>
    <t>Kemang Timur 8 No.22 B</t>
  </si>
  <si>
    <t>A-1539</t>
  </si>
  <si>
    <t>Karamoy</t>
  </si>
  <si>
    <t>A-2108</t>
  </si>
  <si>
    <t>Kwanartha</t>
  </si>
  <si>
    <t>kwanartha@gmail.com</t>
  </si>
  <si>
    <t>+6287873148119</t>
  </si>
  <si>
    <t>Town House Puri Marina Kav 3</t>
  </si>
  <si>
    <t>A-1177</t>
  </si>
  <si>
    <t>Ridwan</t>
  </si>
  <si>
    <t>A-1968</t>
  </si>
  <si>
    <t>Oentoeng</t>
  </si>
  <si>
    <t>A-1280</t>
  </si>
  <si>
    <t>Widya</t>
  </si>
  <si>
    <t>62811880399</t>
  </si>
  <si>
    <t>A-2147</t>
  </si>
  <si>
    <t>Yurico</t>
  </si>
  <si>
    <t>anneyurico@gmail.com</t>
  </si>
  <si>
    <t>628551023005</t>
  </si>
  <si>
    <t>A-2244</t>
  </si>
  <si>
    <t>Anneke</t>
  </si>
  <si>
    <t>Sumampouw</t>
  </si>
  <si>
    <t>xiao.anneshp@gmail.com</t>
  </si>
  <si>
    <t>6281234142142</t>
  </si>
  <si>
    <t>Laviz Mansion 1603 Pakuwon Mall Surabaya</t>
  </si>
  <si>
    <t>A-734</t>
  </si>
  <si>
    <t>Suryono</t>
  </si>
  <si>
    <t>annekesuryono@yahoo.com</t>
  </si>
  <si>
    <t>08129616888</t>
  </si>
  <si>
    <t>Komplek Vila Gading Indah Jakarta Utara</t>
  </si>
  <si>
    <t>A-603</t>
  </si>
  <si>
    <t>Annesia</t>
  </si>
  <si>
    <t>Hasibuan</t>
  </si>
  <si>
    <t>andhikasuracman@yahoo.o.id</t>
  </si>
  <si>
    <t>A-191</t>
  </si>
  <si>
    <t>Annette</t>
  </si>
  <si>
    <t>Koestoro</t>
  </si>
  <si>
    <t>Jalan Bangka IV No. 5, Jakarta Selatan 12720</t>
  </si>
  <si>
    <t>A-1304</t>
  </si>
  <si>
    <t>Annie</t>
  </si>
  <si>
    <t>A-780</t>
  </si>
  <si>
    <t>A-1293</t>
  </si>
  <si>
    <t>+6281808088970</t>
  </si>
  <si>
    <t>A-399</t>
  </si>
  <si>
    <t>A-193</t>
  </si>
  <si>
    <t>Kristianto</t>
  </si>
  <si>
    <t>( 021 ) 93752 173</t>
  </si>
  <si>
    <t>Vermont Parkland J1-2 Taman Telaga golf BSD</t>
  </si>
  <si>
    <t>A-1862</t>
  </si>
  <si>
    <t>Annisa</t>
  </si>
  <si>
    <t>M-1190</t>
  </si>
  <si>
    <t>A-195</t>
  </si>
  <si>
    <t>A-2220</t>
  </si>
  <si>
    <t>Ayu</t>
  </si>
  <si>
    <t>icha_aap@yahoo.co.id</t>
  </si>
  <si>
    <t>+6281219894552</t>
  </si>
  <si>
    <t>Jl. Mangga No. 43, Gandaria Selatan</t>
  </si>
  <si>
    <t>A-2019</t>
  </si>
  <si>
    <t>Dewanti</t>
  </si>
  <si>
    <t>Jl. Sunter Permai Raya No. 1, Jakarta Utara</t>
  </si>
  <si>
    <t>A-1805</t>
  </si>
  <si>
    <t>Hartawan</t>
  </si>
  <si>
    <t>usaannisa271@gmail.com</t>
  </si>
  <si>
    <t>Concerto Boulevard</t>
  </si>
  <si>
    <t>A-2272</t>
  </si>
  <si>
    <t>Nurul Ulfa</t>
  </si>
  <si>
    <t>6285693989668</t>
  </si>
  <si>
    <t>A-337</t>
  </si>
  <si>
    <t>Asmoro</t>
  </si>
  <si>
    <t xml:space="preserve">Jl. Kerinci X No.3  
Kebayoran Baru</t>
  </si>
  <si>
    <t>Jakarta Selatan 12120</t>
  </si>
  <si>
    <t>A-2125</t>
  </si>
  <si>
    <t>Rachma</t>
  </si>
  <si>
    <t>628986007963</t>
  </si>
  <si>
    <t>A-2145</t>
  </si>
  <si>
    <t>Annisa Rainy</t>
  </si>
  <si>
    <t>Novita Pasaribu</t>
  </si>
  <si>
    <t>6281260627827</t>
  </si>
  <si>
    <t>Jalan Abdul Majid Raya No. 2, Cipete</t>
  </si>
  <si>
    <t>A-1601</t>
  </si>
  <si>
    <t xml:space="preserve">Jalan Kirana Barat VIII F8 No 7
Kelapa gading</t>
  </si>
  <si>
    <t>A-196</t>
  </si>
  <si>
    <t>Susilowati</t>
  </si>
  <si>
    <t>Perum. Villa Gading Indah</t>
  </si>
  <si>
    <t>Blok G No. 8</t>
  </si>
  <si>
    <t>A-2253</t>
  </si>
  <si>
    <t>Anissa Zhafira</t>
  </si>
  <si>
    <t>Yatmiko</t>
  </si>
  <si>
    <t>6282188888718</t>
  </si>
  <si>
    <t>Pamtai Mutiara Blok R10, Pluit, Penjaringan</t>
  </si>
  <si>
    <t>A-2322</t>
  </si>
  <si>
    <t>Annissya</t>
  </si>
  <si>
    <t>Adhiaksono</t>
  </si>
  <si>
    <t>6281285970203</t>
  </si>
  <si>
    <t>A-812</t>
  </si>
  <si>
    <t>Annisyah</t>
  </si>
  <si>
    <t xml:space="preserve">Premier Estate F18 
Jl.H.Karim
Setu-Ci Payung
Jak-Tim</t>
  </si>
  <si>
    <t>A-2134</t>
  </si>
  <si>
    <t>Gumay</t>
  </si>
  <si>
    <t>6281318456789</t>
  </si>
  <si>
    <t>A-1344</t>
  </si>
  <si>
    <t>Annie Waty</t>
  </si>
  <si>
    <t>Leonardy</t>
  </si>
  <si>
    <t>+628174903905</t>
  </si>
  <si>
    <t>A-2234</t>
  </si>
  <si>
    <t>Anny</t>
  </si>
  <si>
    <t>Mariany</t>
  </si>
  <si>
    <t>62811876999</t>
  </si>
  <si>
    <t>A-616</t>
  </si>
  <si>
    <t>Pane</t>
  </si>
  <si>
    <t xml:space="preserve">Jl. Taman Bendungan jati Luhur 1, no.3
Benhil</t>
  </si>
  <si>
    <t>A-2285</t>
  </si>
  <si>
    <t>Suhaliman</t>
  </si>
  <si>
    <t>6282288008800</t>
  </si>
  <si>
    <t>A-2197</t>
  </si>
  <si>
    <t>Annyzia</t>
  </si>
  <si>
    <t>Belinda</t>
  </si>
  <si>
    <t>annyziabelinda@yahoo.com</t>
  </si>
  <si>
    <t>+6281282201988</t>
  </si>
  <si>
    <t>Taman Kedoya Baru</t>
  </si>
  <si>
    <t>A-2191</t>
  </si>
  <si>
    <t>Anosov,</t>
  </si>
  <si>
    <t>Ivan</t>
  </si>
  <si>
    <t>79637772075</t>
  </si>
  <si>
    <t>A-1860</t>
  </si>
  <si>
    <t>Anqi</t>
  </si>
  <si>
    <t>A-1842</t>
  </si>
  <si>
    <t>Ans Marinda</t>
  </si>
  <si>
    <t>Kamardy</t>
  </si>
  <si>
    <t>62811119148</t>
  </si>
  <si>
    <t>A-1634</t>
  </si>
  <si>
    <t>Ansieta</t>
  </si>
  <si>
    <t>Nadya</t>
  </si>
  <si>
    <t>A-2160</t>
  </si>
  <si>
    <t>Antania</t>
  </si>
  <si>
    <t>Budidjaja</t>
  </si>
  <si>
    <t>antania.budidjaja@gmail.com</t>
  </si>
  <si>
    <t>62811899318</t>
  </si>
  <si>
    <t>A-1919</t>
  </si>
  <si>
    <t>Anthoni</t>
  </si>
  <si>
    <t>Jw</t>
  </si>
  <si>
    <t>A-1135</t>
  </si>
  <si>
    <t>Anthonius</t>
  </si>
  <si>
    <t>A-731</t>
  </si>
  <si>
    <t>Anthony</t>
  </si>
  <si>
    <t>A-687</t>
  </si>
  <si>
    <t>A-1214</t>
  </si>
  <si>
    <t>Aliwarga</t>
  </si>
  <si>
    <t>A-2284</t>
  </si>
  <si>
    <t>anthonyazis@gmail.com</t>
  </si>
  <si>
    <t>08170002807</t>
  </si>
  <si>
    <t>A-909</t>
  </si>
  <si>
    <t>Chen</t>
  </si>
  <si>
    <t xml:space="preserve">Katamaran indah 1V NO 26
Pantai indah kapuk</t>
  </si>
  <si>
    <t>A-1739</t>
  </si>
  <si>
    <t>Kim</t>
  </si>
  <si>
    <t>oksaigom@gmail.com</t>
  </si>
  <si>
    <t>081287279420</t>
  </si>
  <si>
    <t>A-1630</t>
  </si>
  <si>
    <t>Setiady</t>
  </si>
  <si>
    <t>anthony_setiady@yahoo.com</t>
  </si>
  <si>
    <t>ECO HOME Residence Tower B Citra Raya Tangerang</t>
  </si>
  <si>
    <t>A-595</t>
  </si>
  <si>
    <t>Ribowo</t>
  </si>
  <si>
    <t>A-561</t>
  </si>
  <si>
    <t>Tandiono</t>
  </si>
  <si>
    <t>A-1849</t>
  </si>
  <si>
    <t>Smeken</t>
  </si>
  <si>
    <t>A-1692</t>
  </si>
  <si>
    <t>Anti</t>
  </si>
  <si>
    <t>A-412</t>
  </si>
  <si>
    <t>Soeroso</t>
  </si>
  <si>
    <t>A-1162</t>
  </si>
  <si>
    <t>Antik</t>
  </si>
  <si>
    <t>Widayanti</t>
  </si>
  <si>
    <t>081280642855</t>
  </si>
  <si>
    <t>A-669</t>
  </si>
  <si>
    <t>Antika</t>
  </si>
  <si>
    <t>Salji</t>
  </si>
  <si>
    <t>A-1494</t>
  </si>
  <si>
    <t>Antin</t>
  </si>
  <si>
    <t>Oekon</t>
  </si>
  <si>
    <t>A-1890</t>
  </si>
  <si>
    <t>Antipkin</t>
  </si>
  <si>
    <t>Mikhail</t>
  </si>
  <si>
    <t>A-1899</t>
  </si>
  <si>
    <t>Anto</t>
  </si>
  <si>
    <t>Aprianto palimbongan@gmail.com</t>
  </si>
  <si>
    <t>A-955</t>
  </si>
  <si>
    <t>A-202</t>
  </si>
  <si>
    <t>Hoo</t>
  </si>
  <si>
    <t>A-205</t>
  </si>
  <si>
    <t>(Bali)</t>
  </si>
  <si>
    <t>Laksmana Villas Complex</t>
  </si>
  <si>
    <t>Jl. Laksmana 22, Seminyak</t>
  </si>
  <si>
    <t>A-1075</t>
  </si>
  <si>
    <t>Jl. WR Supratman No 118A</t>
  </si>
  <si>
    <t>Pekalongan</t>
  </si>
  <si>
    <t>A-778</t>
  </si>
  <si>
    <t>NG</t>
  </si>
  <si>
    <t>anto_wijaya08@yahoo.com</t>
  </si>
  <si>
    <t>Taman Anggrek</t>
  </si>
  <si>
    <t>A-203</t>
  </si>
  <si>
    <t>Antoine</t>
  </si>
  <si>
    <t>Laurent</t>
  </si>
  <si>
    <t>A-1518</t>
  </si>
  <si>
    <t>Anton</t>
  </si>
  <si>
    <t>A-875</t>
  </si>
  <si>
    <t xml:space="preserve">Komplek Cemara Asri .
Jl. Bungur No.48</t>
  </si>
  <si>
    <t>A-1777</t>
  </si>
  <si>
    <t>Anthon</t>
  </si>
  <si>
    <t>628118501212</t>
  </si>
  <si>
    <t>Spring Hilss Terrance PH2</t>
  </si>
  <si>
    <t>A-2009</t>
  </si>
  <si>
    <t>6281218113898</t>
  </si>
  <si>
    <t xml:space="preserve">Jl. Muara Takus No.217B
Medan Polonia
Sumatera Utara 20157</t>
  </si>
  <si>
    <t>A-208</t>
  </si>
  <si>
    <t>(Bandung)</t>
  </si>
  <si>
    <t>Jl. Sukawarna 38</t>
  </si>
  <si>
    <t>Komp. Taman Millenium</t>
  </si>
  <si>
    <t>A-2172</t>
  </si>
  <si>
    <t>Assaad</t>
  </si>
  <si>
    <t>anton@greatdanefurniture.com</t>
  </si>
  <si>
    <t>61432326999</t>
  </si>
  <si>
    <t>A-209</t>
  </si>
  <si>
    <t>Budhijaya</t>
  </si>
  <si>
    <t>A-1798</t>
  </si>
  <si>
    <t>Mikhailov</t>
  </si>
  <si>
    <t>A-1583</t>
  </si>
  <si>
    <t>A-763</t>
  </si>
  <si>
    <t>A-405</t>
  </si>
  <si>
    <t>A-213</t>
  </si>
  <si>
    <t>KBP.Anton@yahoo.com</t>
  </si>
  <si>
    <t>Jl.Pulau Anyer No.01,Perum Taman Kota Air Itam,Pangkalpinang</t>
  </si>
  <si>
    <t>Riau</t>
  </si>
  <si>
    <t>A-429</t>
  </si>
  <si>
    <t>Subiyanto</t>
  </si>
  <si>
    <t>A-775</t>
  </si>
  <si>
    <t>Surjanto</t>
  </si>
  <si>
    <t>A-1991</t>
  </si>
  <si>
    <t>Sutopo</t>
  </si>
  <si>
    <t>A-1710</t>
  </si>
  <si>
    <t>Timbang</t>
  </si>
  <si>
    <t>A-1479</t>
  </si>
  <si>
    <t>Antoni</t>
  </si>
  <si>
    <t>Novend</t>
  </si>
  <si>
    <t>A-2001</t>
  </si>
  <si>
    <t>Antonio</t>
  </si>
  <si>
    <t>Yang</t>
  </si>
  <si>
    <t>A-2024</t>
  </si>
  <si>
    <t>Antonius</t>
  </si>
  <si>
    <t>A-1082</t>
  </si>
  <si>
    <t>Krustiantoro</t>
  </si>
  <si>
    <t>A-1894</t>
  </si>
  <si>
    <t>Abednego</t>
  </si>
  <si>
    <t>ANTONIUS.ABED@GMAIL.COM</t>
  </si>
  <si>
    <t>JL.Kebonjati N0.88 Kav E7 E8 BANDUNG</t>
  </si>
  <si>
    <t>A-211</t>
  </si>
  <si>
    <t>Konta</t>
  </si>
  <si>
    <t>A-1139</t>
  </si>
  <si>
    <t xml:space="preserve">Apartment Pavilion Tower 3 #2501
Jln. KH Mas Mansyur Kav 24</t>
  </si>
  <si>
    <t>A-900</t>
  </si>
  <si>
    <t>Suwandi</t>
  </si>
  <si>
    <t>antonius.suwandi@gmail.com</t>
  </si>
  <si>
    <t>Sherwood Garden Residence blok 6N no B1</t>
  </si>
  <si>
    <t>A-1129</t>
  </si>
  <si>
    <t>Antono</t>
  </si>
  <si>
    <t>A-2243</t>
  </si>
  <si>
    <t>Antonovskaia</t>
  </si>
  <si>
    <t>ginger13777@yandex.ru</t>
  </si>
  <si>
    <t>79149623622</t>
  </si>
  <si>
    <t>A-1357</t>
  </si>
  <si>
    <t>Antony</t>
  </si>
  <si>
    <t>A-1722</t>
  </si>
  <si>
    <t>Binsar</t>
  </si>
  <si>
    <t>A-1612</t>
  </si>
  <si>
    <t>A-369</t>
  </si>
  <si>
    <t>Susilo</t>
  </si>
  <si>
    <t>A-1230</t>
  </si>
  <si>
    <t>Anty</t>
  </si>
  <si>
    <t>6281212060595</t>
  </si>
  <si>
    <t>A-214</t>
  </si>
  <si>
    <t>indah.lingga@bankmega.com</t>
  </si>
  <si>
    <t xml:space="preserve">Jl. Natuna G.226
Cinere Estate</t>
  </si>
  <si>
    <t>A-1948</t>
  </si>
  <si>
    <t>PALEMBANG</t>
  </si>
  <si>
    <t>A-1680</t>
  </si>
  <si>
    <t>(Aan)</t>
  </si>
  <si>
    <t>A-1603</t>
  </si>
  <si>
    <t>Anup</t>
  </si>
  <si>
    <t>A-1800</t>
  </si>
  <si>
    <t>Anupam</t>
  </si>
  <si>
    <t>Agrawaz</t>
  </si>
  <si>
    <t>A-1994</t>
  </si>
  <si>
    <t>Anurman</t>
  </si>
  <si>
    <t>A-1942</t>
  </si>
  <si>
    <t>Anvita</t>
  </si>
  <si>
    <t>Narana</t>
  </si>
  <si>
    <t>A-1264</t>
  </si>
  <si>
    <t>Narang</t>
  </si>
  <si>
    <t>A-340</t>
  </si>
  <si>
    <t>A-350</t>
  </si>
  <si>
    <t>Ahimsa</t>
  </si>
  <si>
    <t>A-1745</t>
  </si>
  <si>
    <t>Fadilah</t>
  </si>
  <si>
    <t>warwardilah@gmail.com</t>
  </si>
  <si>
    <t>Jl Kramat Sawah</t>
  </si>
  <si>
    <t>A-647</t>
  </si>
  <si>
    <t>Any</t>
  </si>
  <si>
    <t>Tangker</t>
  </si>
  <si>
    <t>A-177</t>
  </si>
  <si>
    <t>Tengker</t>
  </si>
  <si>
    <t xml:space="preserve">Jl. Cilandak Dalam Raya No.3 F
Cilandak Barat</t>
  </si>
  <si>
    <t>Jakarta Selatan 12430</t>
  </si>
  <si>
    <t>Jl. Jend. Sudirman Kav. 52-53</t>
  </si>
  <si>
    <t>A-217</t>
  </si>
  <si>
    <t>Apendi</t>
  </si>
  <si>
    <t>A-2130</t>
  </si>
  <si>
    <t>Aphiphunya</t>
  </si>
  <si>
    <t>Miss Thananya</t>
  </si>
  <si>
    <t>jeancd99@gmail.com</t>
  </si>
  <si>
    <t>66939236651</t>
  </si>
  <si>
    <t>Thailand</t>
  </si>
  <si>
    <t>A-1695</t>
  </si>
  <si>
    <t>Apin</t>
  </si>
  <si>
    <t>A-1022</t>
  </si>
  <si>
    <t>Collin</t>
  </si>
  <si>
    <t>Jl.Johar Hijau 2 No.5 Pantai Indah Kapuk</t>
  </si>
  <si>
    <t>A-2326</t>
  </si>
  <si>
    <t>Apna Jit</t>
  </si>
  <si>
    <t>Kaur</t>
  </si>
  <si>
    <t>62817221327</t>
  </si>
  <si>
    <t>Pintu Air Raya No. 40B</t>
  </si>
  <si>
    <t>A-2040</t>
  </si>
  <si>
    <t>Apri</t>
  </si>
  <si>
    <t>A-423</t>
  </si>
  <si>
    <t>Fachtori</t>
  </si>
  <si>
    <t>A-1956</t>
  </si>
  <si>
    <t>Aprianti</t>
  </si>
  <si>
    <t>Apartement Victoria</t>
  </si>
  <si>
    <t>Cengkareng</t>
  </si>
  <si>
    <t>A-376</t>
  </si>
  <si>
    <t>April</t>
  </si>
  <si>
    <t>Tsai</t>
  </si>
  <si>
    <t>A-1774</t>
  </si>
  <si>
    <t>Yulianti</t>
  </si>
  <si>
    <t>+6281381050436</t>
  </si>
  <si>
    <t>Florence 8 No 62, PIK, Jakarta Utara 14470</t>
  </si>
  <si>
    <t>A-761</t>
  </si>
  <si>
    <t xml:space="preserve">Apartemen Green palace tower sakura
kalibata city, Jakarta</t>
  </si>
  <si>
    <t>A-2233</t>
  </si>
  <si>
    <t>Melinda Tumbelaka</t>
  </si>
  <si>
    <t>628119900106</t>
  </si>
  <si>
    <t>The Rempoa Residences Blok DG</t>
  </si>
  <si>
    <t>A-381</t>
  </si>
  <si>
    <t>Mokalu</t>
  </si>
  <si>
    <t>628111131718</t>
  </si>
  <si>
    <t>A-165</t>
  </si>
  <si>
    <t>umaya</t>
  </si>
  <si>
    <t>jl.gandaria tengah 3 no 19 kebayoran baru jaksel</t>
  </si>
  <si>
    <t>A-1964</t>
  </si>
  <si>
    <t>A-1561</t>
  </si>
  <si>
    <t>Joy</t>
  </si>
  <si>
    <t>Aprilia.joy@gmail.com</t>
  </si>
  <si>
    <t>087782571689</t>
  </si>
  <si>
    <t>Jl.Pantai Mutiara Blok M No.1</t>
  </si>
  <si>
    <t>M-1377</t>
  </si>
  <si>
    <t>Aprillia</t>
  </si>
  <si>
    <t>Kusumawardhani.</t>
  </si>
  <si>
    <t>jakarta selatan, 12330</t>
  </si>
  <si>
    <t>A-364</t>
  </si>
  <si>
    <t>62811131718</t>
  </si>
  <si>
    <t>A-1116</t>
  </si>
  <si>
    <t>Apriyani</t>
  </si>
  <si>
    <t>A-597</t>
  </si>
  <si>
    <t>Apriyanthi</t>
  </si>
  <si>
    <t>ktc_woman@yahoo.co.id</t>
  </si>
  <si>
    <t>+62811260707</t>
  </si>
  <si>
    <t>Jl. Dipayuda No.15</t>
  </si>
  <si>
    <t>Banjarnegara</t>
  </si>
  <si>
    <t>53414</t>
  </si>
  <si>
    <t>A-2126</t>
  </si>
  <si>
    <t>Aprozi</t>
  </si>
  <si>
    <t>628117991021</t>
  </si>
  <si>
    <t>A-218</t>
  </si>
  <si>
    <t>Apsari Dewi</t>
  </si>
  <si>
    <t>dewiamir96@yahoo.com</t>
  </si>
  <si>
    <t>6281294252627</t>
  </si>
  <si>
    <t xml:space="preserve">Jln Bukit Hijau IV No : 2 Pondok Indah
Jakarta 12310</t>
  </si>
  <si>
    <t>A-1636</t>
  </si>
  <si>
    <t>Aptanta</t>
  </si>
  <si>
    <t>A-1067</t>
  </si>
  <si>
    <t>Apul</t>
  </si>
  <si>
    <t>Panjaitan</t>
  </si>
  <si>
    <t>A-1975</t>
  </si>
  <si>
    <t>Arbha</t>
  </si>
  <si>
    <t>Jerico</t>
  </si>
  <si>
    <t>A-957</t>
  </si>
  <si>
    <t>Ardelia</t>
  </si>
  <si>
    <t>Raisa</t>
  </si>
  <si>
    <t>A-1000</t>
  </si>
  <si>
    <t>Ardelline</t>
  </si>
  <si>
    <t>Loveritte</t>
  </si>
  <si>
    <t>A-817</t>
  </si>
  <si>
    <t>Ardhana</t>
  </si>
  <si>
    <t>628122000047</t>
  </si>
  <si>
    <t>A-773</t>
  </si>
  <si>
    <t>Sulistyo</t>
  </si>
  <si>
    <t>Ardhianto</t>
  </si>
  <si>
    <t>62816993512</t>
  </si>
  <si>
    <t>A-1438</t>
  </si>
  <si>
    <t>Ardhilla</t>
  </si>
  <si>
    <t>Putriayu</t>
  </si>
  <si>
    <t>A-1525</t>
  </si>
  <si>
    <t>Ardhito</t>
  </si>
  <si>
    <t>Pramono</t>
  </si>
  <si>
    <t>A-757</t>
  </si>
  <si>
    <t>Ardhy</t>
  </si>
  <si>
    <t>Priandanu</t>
  </si>
  <si>
    <t>ardhy.priandanu@yahoo.com</t>
  </si>
  <si>
    <t>Jl Bambu Asri Timur III No.34</t>
  </si>
  <si>
    <t>A-1319</t>
  </si>
  <si>
    <t>Ardi</t>
  </si>
  <si>
    <t>Arsad</t>
  </si>
  <si>
    <t>A-1295</t>
  </si>
  <si>
    <t>Ardian</t>
  </si>
  <si>
    <t>A-2093</t>
  </si>
  <si>
    <t>Sariajani</t>
  </si>
  <si>
    <t>ardiansariajani@gmail.com</t>
  </si>
  <si>
    <t>+6282288889199</t>
  </si>
  <si>
    <t>Townhouse Springhill Blok D6 PH1 No. 20</t>
  </si>
  <si>
    <t>A-1115</t>
  </si>
  <si>
    <t>628170909399</t>
  </si>
  <si>
    <t>A-2028</t>
  </si>
  <si>
    <t>Ardiana</t>
  </si>
  <si>
    <t>Elkana</t>
  </si>
  <si>
    <t>A-1507</t>
  </si>
  <si>
    <t>Ardiansyah</t>
  </si>
  <si>
    <t>Sabir</t>
  </si>
  <si>
    <t>628114102391</t>
  </si>
  <si>
    <t>A-1298</t>
  </si>
  <si>
    <t>Ardianto</t>
  </si>
  <si>
    <t>Kresnawan</t>
  </si>
  <si>
    <t>A-2062</t>
  </si>
  <si>
    <t>Ardiyanto</t>
  </si>
  <si>
    <t>Bulomba</t>
  </si>
  <si>
    <t>A-611</t>
  </si>
  <si>
    <t>Ardy</t>
  </si>
  <si>
    <t>A-352</t>
  </si>
  <si>
    <t>A-1661</t>
  </si>
  <si>
    <t>A-1440</t>
  </si>
  <si>
    <t>A-2163</t>
  </si>
  <si>
    <t>Arete</t>
  </si>
  <si>
    <t>Juwono</t>
  </si>
  <si>
    <t>+6281383711511</t>
  </si>
  <si>
    <t>Jl.Bunga Kamboja No.1</t>
  </si>
  <si>
    <t>A-950</t>
  </si>
  <si>
    <t>Aretha</t>
  </si>
  <si>
    <t>Tricia</t>
  </si>
  <si>
    <t xml:space="preserve">Jln Pending Kencana 3 C3 No.8
Kencanaloka</t>
  </si>
  <si>
    <t>BSD, Serpong</t>
  </si>
  <si>
    <t>A-983</t>
  </si>
  <si>
    <t>Arfa</t>
  </si>
  <si>
    <t xml:space="preserve">Wood Land Park Residence
Lt 6 Unit 17</t>
  </si>
  <si>
    <t>A-220</t>
  </si>
  <si>
    <t>Arfan</t>
  </si>
  <si>
    <t>Sani</t>
  </si>
  <si>
    <t>A-550</t>
  </si>
  <si>
    <t>Arfiani</t>
  </si>
  <si>
    <t>A-1963</t>
  </si>
  <si>
    <t>Arfianie Ayu</t>
  </si>
  <si>
    <t>Soenarto</t>
  </si>
  <si>
    <t>arfianie0506@gmail.com</t>
  </si>
  <si>
    <t>628111011175</t>
  </si>
  <si>
    <t>Jl.Kerinci VIII Jakarta Selatan</t>
  </si>
  <si>
    <t>A-1700</t>
  </si>
  <si>
    <t>Arga</t>
  </si>
  <si>
    <t>Pambuko</t>
  </si>
  <si>
    <t>A-1549</t>
  </si>
  <si>
    <t>Argifina</t>
  </si>
  <si>
    <t>Safitri</t>
  </si>
  <si>
    <t>A-1578</t>
  </si>
  <si>
    <t>Argo</t>
  </si>
  <si>
    <t>Wiyono</t>
  </si>
  <si>
    <t>A-747</t>
  </si>
  <si>
    <t>Arhadita</t>
  </si>
  <si>
    <t>A-2305</t>
  </si>
  <si>
    <t>Ari</t>
  </si>
  <si>
    <t>andhika.silamukti@gmail.com</t>
  </si>
  <si>
    <t>6281297116969</t>
  </si>
  <si>
    <t>A-764</t>
  </si>
  <si>
    <t>Aswin</t>
  </si>
  <si>
    <t>aaswin7@yahoo.com</t>
  </si>
  <si>
    <t>jl.beton no.1</t>
  </si>
  <si>
    <t>A-223</t>
  </si>
  <si>
    <t>Batubara</t>
  </si>
  <si>
    <t>Jl. Cikatomas II No. 18</t>
  </si>
  <si>
    <t>A-2295</t>
  </si>
  <si>
    <t>Ari Irsyad</t>
  </si>
  <si>
    <t>Wahyudi</t>
  </si>
  <si>
    <t>6281295930963</t>
  </si>
  <si>
    <t>A-1400</t>
  </si>
  <si>
    <t>Jusnito</t>
  </si>
  <si>
    <t>A-1763</t>
  </si>
  <si>
    <t>6285959984111</t>
  </si>
  <si>
    <t>Bvlgari Plaza Indonesia</t>
  </si>
  <si>
    <t>A-2175</t>
  </si>
  <si>
    <t>Mardipa</t>
  </si>
  <si>
    <t>arimardipa@gmail.com</t>
  </si>
  <si>
    <t>6282122843233</t>
  </si>
  <si>
    <t>A-2246</t>
  </si>
  <si>
    <t>Nusantara</t>
  </si>
  <si>
    <t>6282352222276</t>
  </si>
  <si>
    <t>A-253</t>
  </si>
  <si>
    <t>Sanjaya</t>
  </si>
  <si>
    <t>628170092997</t>
  </si>
  <si>
    <t>A-1031</t>
  </si>
  <si>
    <t>Sofian</t>
  </si>
  <si>
    <t>A-237</t>
  </si>
  <si>
    <t>Sumarto</t>
  </si>
  <si>
    <t>A-1927</t>
  </si>
  <si>
    <t>A-2311</t>
  </si>
  <si>
    <t>Wirastomo</t>
  </si>
  <si>
    <t>6281383198319</t>
  </si>
  <si>
    <t>A-1886</t>
  </si>
  <si>
    <t>A-238</t>
  </si>
  <si>
    <t>Ari Yusuf</t>
  </si>
  <si>
    <t>62818787808</t>
  </si>
  <si>
    <t>A-1532</t>
  </si>
  <si>
    <t>ARI</t>
  </si>
  <si>
    <t>AMIR</t>
  </si>
  <si>
    <t>A-239</t>
  </si>
  <si>
    <t>Z.</t>
  </si>
  <si>
    <t>A-426</t>
  </si>
  <si>
    <t>Aria</t>
  </si>
  <si>
    <t>Mandala</t>
  </si>
  <si>
    <t>A-1954</t>
  </si>
  <si>
    <t>Ariana</t>
  </si>
  <si>
    <t>Ngantung</t>
  </si>
  <si>
    <t>arianawn@yahoo.com</t>
  </si>
  <si>
    <t>A-222</t>
  </si>
  <si>
    <t>Ariani</t>
  </si>
  <si>
    <t>Jln. Bintaro Puspita VII/7728</t>
  </si>
  <si>
    <t>Bumi Bintaro Permai</t>
  </si>
  <si>
    <t>A-2209</t>
  </si>
  <si>
    <t>Supit</t>
  </si>
  <si>
    <t>arianisupit@yahoo.com</t>
  </si>
  <si>
    <t>A-1858</t>
  </si>
  <si>
    <t>Arianny</t>
  </si>
  <si>
    <t>A-1428</t>
  </si>
  <si>
    <t>Arianto</t>
  </si>
  <si>
    <t>Sjarief</t>
  </si>
  <si>
    <t>MEDIA</t>
  </si>
  <si>
    <t>A-610</t>
  </si>
  <si>
    <t>Ariawan</t>
  </si>
  <si>
    <t>Harianto</t>
  </si>
  <si>
    <t>A-2293</t>
  </si>
  <si>
    <t>Aridara</t>
  </si>
  <si>
    <t>Nastiti</t>
  </si>
  <si>
    <t>6281390888897</t>
  </si>
  <si>
    <t>Singororo No.5 - Semarang</t>
  </si>
  <si>
    <t>A-699</t>
  </si>
  <si>
    <t>Arie</t>
  </si>
  <si>
    <t>A-1987</t>
  </si>
  <si>
    <t>A-1824</t>
  </si>
  <si>
    <t>Alqautsar</t>
  </si>
  <si>
    <t>A-334</t>
  </si>
  <si>
    <t>Ariotedjo</t>
  </si>
  <si>
    <t>A-1723</t>
  </si>
  <si>
    <t>Arman</t>
  </si>
  <si>
    <t>armed2304@yahoo.com</t>
  </si>
  <si>
    <t>62811918825</t>
  </si>
  <si>
    <t>Generali Tower</t>
  </si>
  <si>
    <t>A-1208</t>
  </si>
  <si>
    <t>Kusnadi</t>
  </si>
  <si>
    <t>A-593</t>
  </si>
  <si>
    <t>Alrie</t>
  </si>
  <si>
    <t>Prasetyo</t>
  </si>
  <si>
    <t>6281370704892</t>
  </si>
  <si>
    <t>A-913</t>
  </si>
  <si>
    <t>Syahriyyah</t>
  </si>
  <si>
    <t>A-1632</t>
  </si>
  <si>
    <t>Arie,Mis</t>
  </si>
  <si>
    <t>A-1580</t>
  </si>
  <si>
    <t>Arief</t>
  </si>
  <si>
    <t>A-1918</t>
  </si>
  <si>
    <t>A-226</t>
  </si>
  <si>
    <t>A-2271</t>
  </si>
  <si>
    <t>Budiono,</t>
  </si>
  <si>
    <t>+628129278112453</t>
  </si>
  <si>
    <t>A-2047</t>
  </si>
  <si>
    <t>Wibawanto</t>
  </si>
  <si>
    <t>Apart Tamansari Iswara</t>
  </si>
  <si>
    <t>A-2166</t>
  </si>
  <si>
    <t>Jony</t>
  </si>
  <si>
    <t>628170758759</t>
  </si>
  <si>
    <t>A-2133</t>
  </si>
  <si>
    <t>Kusharyadi</t>
  </si>
  <si>
    <t>62811174990</t>
  </si>
  <si>
    <t>A-1896</t>
  </si>
  <si>
    <t>Kusmadi</t>
  </si>
  <si>
    <t>A-537</t>
  </si>
  <si>
    <t>Mardiansyah</t>
  </si>
  <si>
    <t xml:space="preserve">Komp. DPR RI III No.36
Jakarta 11650</t>
  </si>
  <si>
    <t>A-1490</t>
  </si>
  <si>
    <t>Noto</t>
  </si>
  <si>
    <t>A-228</t>
  </si>
  <si>
    <t>WK.</t>
  </si>
  <si>
    <t>A-1864</t>
  </si>
  <si>
    <t>Sihono</t>
  </si>
  <si>
    <t>Tanjung Duren, Jakarta Barat</t>
  </si>
  <si>
    <t>A-1950</t>
  </si>
  <si>
    <t>Yeung</t>
  </si>
  <si>
    <t>yeungchanwun@gmail.com</t>
  </si>
  <si>
    <t>628112686066</t>
  </si>
  <si>
    <t>A-990</t>
  </si>
  <si>
    <t>Ariene</t>
  </si>
  <si>
    <t>SutjiaMidjojo</t>
  </si>
  <si>
    <t>asutjiamidjaja@gmail.com</t>
  </si>
  <si>
    <t>b day : 27 agustus 1989</t>
  </si>
  <si>
    <t>A-930</t>
  </si>
  <si>
    <t>Aries</t>
  </si>
  <si>
    <t>Budiono</t>
  </si>
  <si>
    <t>aries-bdiono@yahoo.com</t>
  </si>
  <si>
    <t>Kalibata</t>
  </si>
  <si>
    <t>A-2212</t>
  </si>
  <si>
    <t>Darmanto</t>
  </si>
  <si>
    <t>0215256833</t>
  </si>
  <si>
    <t>A-625</t>
  </si>
  <si>
    <t>HR</t>
  </si>
  <si>
    <t>A-314</t>
  </si>
  <si>
    <t>Aries Sandi Darma</t>
  </si>
  <si>
    <t>Putra SH. MH</t>
  </si>
  <si>
    <t>62811791199</t>
  </si>
  <si>
    <t>A-661</t>
  </si>
  <si>
    <t>Ariet</t>
  </si>
  <si>
    <t>Zakaria</t>
  </si>
  <si>
    <t>A-1159</t>
  </si>
  <si>
    <t>A-1573</t>
  </si>
  <si>
    <t>A-927</t>
  </si>
  <si>
    <t>Jl. Kemang Timur XIV/9</t>
  </si>
  <si>
    <t>A-1122</t>
  </si>
  <si>
    <t>Ananda</t>
  </si>
  <si>
    <t>A-606</t>
  </si>
  <si>
    <t>MP</t>
  </si>
  <si>
    <t>A-1424</t>
  </si>
  <si>
    <t>Mulyana</t>
  </si>
  <si>
    <t>A-1016</t>
  </si>
  <si>
    <t>628525332395</t>
  </si>
  <si>
    <t>Jln. Pepaya 1 no 86.</t>
  </si>
  <si>
    <t>A-1707</t>
  </si>
  <si>
    <t>Prasojo</t>
  </si>
  <si>
    <t xml:space="preserve">Taman Galaxy Indah Blok 06 N0.2 
Bekasi Selatan</t>
  </si>
  <si>
    <t>A-1415</t>
  </si>
  <si>
    <t>Setia</t>
  </si>
  <si>
    <t>A-1104</t>
  </si>
  <si>
    <t>A-572</t>
  </si>
  <si>
    <t>Arifiani</t>
  </si>
  <si>
    <t>Hardikusumo</t>
  </si>
  <si>
    <t xml:space="preserve">Jl Martimbang IV/4 Kebayoran
Jakarta Selatan</t>
  </si>
  <si>
    <t>A-1577</t>
  </si>
  <si>
    <t>Arifianti</t>
  </si>
  <si>
    <t>Simprug</t>
  </si>
  <si>
    <t>A-229</t>
  </si>
  <si>
    <t>Arifin</t>
  </si>
  <si>
    <t>Jl. KH Mahmud IV 14</t>
  </si>
  <si>
    <t>A-2052</t>
  </si>
  <si>
    <t>Scheunemann</t>
  </si>
  <si>
    <t>A-1755</t>
  </si>
  <si>
    <t>Jalan Veteran Kaimana</t>
  </si>
  <si>
    <t>A-676</t>
  </si>
  <si>
    <t>A-2039</t>
  </si>
  <si>
    <t>Arifuddin</t>
  </si>
  <si>
    <t>Essence Darmawangsa EM2 1206</t>
  </si>
  <si>
    <t>A-157</t>
  </si>
  <si>
    <t>Ariguno</t>
  </si>
  <si>
    <t>blessed_elves@yahoo.com</t>
  </si>
  <si>
    <t>permata hijau I no 52</t>
  </si>
  <si>
    <t>A-1001</t>
  </si>
  <si>
    <t>A-1697</t>
  </si>
  <si>
    <t>Sabrina</t>
  </si>
  <si>
    <t>Chairunnisa</t>
  </si>
  <si>
    <t>arinanisa.arina@gmail.com</t>
  </si>
  <si>
    <t>+6285856673740</t>
  </si>
  <si>
    <t>Gema Pesona</t>
  </si>
  <si>
    <t>A-1062</t>
  </si>
  <si>
    <t>Arini</t>
  </si>
  <si>
    <t>Widodo</t>
  </si>
  <si>
    <t>ariniwidodo@yahoo.com</t>
  </si>
  <si>
    <t>Biak 78</t>
  </si>
  <si>
    <t>A-1106</t>
  </si>
  <si>
    <t>wijiastuti</t>
  </si>
  <si>
    <t xml:space="preserve">Jl.Menteng Pulo RT004/RW012 NO.5
TEBET
JAKARTA - SELATAN</t>
  </si>
  <si>
    <t>M-1388</t>
  </si>
  <si>
    <t>Arinta Nila</t>
  </si>
  <si>
    <t>Hapsari</t>
  </si>
  <si>
    <t>6281365791138</t>
  </si>
  <si>
    <t>KOMP AD BULAK RANTAI G.38 - JAK TIM</t>
  </si>
  <si>
    <t>Sulawesi Utara</t>
  </si>
  <si>
    <t>A-513</t>
  </si>
  <si>
    <t>Ario</t>
  </si>
  <si>
    <t>A-681</t>
  </si>
  <si>
    <t>Aris</t>
  </si>
  <si>
    <t>A-234</t>
  </si>
  <si>
    <t>Jl. Soka Lestari I  Blok L No. 18</t>
  </si>
  <si>
    <t>A-058</t>
  </si>
  <si>
    <t>pratama</t>
  </si>
  <si>
    <t>A-1935</t>
  </si>
  <si>
    <t>ariswibowo47@gmail.com</t>
  </si>
  <si>
    <t>A-2100</t>
  </si>
  <si>
    <t>Yulianto</t>
  </si>
  <si>
    <t>aris@ryusei.co.id</t>
  </si>
  <si>
    <t>+6281221113500</t>
  </si>
  <si>
    <t>Lokasonya 8 KBP</t>
  </si>
  <si>
    <t>M-1206</t>
  </si>
  <si>
    <t>Arisa</t>
  </si>
  <si>
    <t>Martiani</t>
  </si>
  <si>
    <t>arisa_martiani@yahoo.com</t>
  </si>
  <si>
    <t xml:space="preserve">PESONA VIRGINIA L1/3 KOTA, KOTA WISATA
BOGOR - 16968</t>
  </si>
  <si>
    <t>A-233</t>
  </si>
  <si>
    <t>Ariska</t>
  </si>
  <si>
    <t>Apartemen Senayan Residence</t>
  </si>
  <si>
    <t>A-1662</t>
  </si>
  <si>
    <t>Trisnandari</t>
  </si>
  <si>
    <t>A-475</t>
  </si>
  <si>
    <t>Aristo</t>
  </si>
  <si>
    <t>Tjok</t>
  </si>
  <si>
    <t>A-1840</t>
  </si>
  <si>
    <t>Aristya</t>
  </si>
  <si>
    <t>Indrawan</t>
  </si>
  <si>
    <t>A-374</t>
  </si>
  <si>
    <t>Arisyl</t>
  </si>
  <si>
    <t>Raz</t>
  </si>
  <si>
    <t>A-536</t>
  </si>
  <si>
    <t>Arita</t>
  </si>
  <si>
    <t>A-1437</t>
  </si>
  <si>
    <t>Ariva</t>
  </si>
  <si>
    <t>Janur Asri !</t>
  </si>
  <si>
    <t>A-645</t>
  </si>
  <si>
    <t>ariyanto8@yahoo.com</t>
  </si>
  <si>
    <t>Mangga Besar XIII no 7</t>
  </si>
  <si>
    <t>A-1871</t>
  </si>
  <si>
    <t>A-558</t>
  </si>
  <si>
    <t>Arjo</t>
  </si>
  <si>
    <t>Hidayat</t>
  </si>
  <si>
    <t>A-1522</t>
  </si>
  <si>
    <t>Arlan</t>
  </si>
  <si>
    <t>Mulana</t>
  </si>
  <si>
    <t>A-1934</t>
  </si>
  <si>
    <t>Arleta</t>
  </si>
  <si>
    <t>Darusalam</t>
  </si>
  <si>
    <t>arletadarusalam@gmail.com</t>
  </si>
  <si>
    <t>62816850687</t>
  </si>
  <si>
    <t>A-1796</t>
  </si>
  <si>
    <t>Arli</t>
  </si>
  <si>
    <t>Limasnax</t>
  </si>
  <si>
    <t>A-1836</t>
  </si>
  <si>
    <t>Arliani</t>
  </si>
  <si>
    <t>Mouton</t>
  </si>
  <si>
    <t xml:space="preserve">1624 Travis Cir .S. 
Irving</t>
  </si>
  <si>
    <t>A-1095</t>
  </si>
  <si>
    <t>A-243</t>
  </si>
  <si>
    <t>Yamin</t>
  </si>
  <si>
    <t>A-2327</t>
  </si>
  <si>
    <t>Armand</t>
  </si>
  <si>
    <t>Hermawan</t>
  </si>
  <si>
    <t>628551008950</t>
  </si>
  <si>
    <t>A-1830</t>
  </si>
  <si>
    <t>harmandoetama@gmail.com</t>
  </si>
  <si>
    <t>A-1768</t>
  </si>
  <si>
    <t>Armansyah</t>
  </si>
  <si>
    <t>G</t>
  </si>
  <si>
    <t>A-1550</t>
  </si>
  <si>
    <t>Armellia</t>
  </si>
  <si>
    <t>Jelita</t>
  </si>
  <si>
    <t>A-2056</t>
  </si>
  <si>
    <t>6281339480948</t>
  </si>
  <si>
    <t xml:space="preserve">Jl Taman Yoga BR. Petangan
Kutuh, Kuta selatan</t>
  </si>
  <si>
    <t>A-1702</t>
  </si>
  <si>
    <t>Arnaud</t>
  </si>
  <si>
    <t>Guinde</t>
  </si>
  <si>
    <t>A-244</t>
  </si>
  <si>
    <t>Arnel</t>
  </si>
  <si>
    <t>A-2334</t>
  </si>
  <si>
    <t>Arnella</t>
  </si>
  <si>
    <t>Limongan</t>
  </si>
  <si>
    <t>arnellalimongan@hotmail.com</t>
  </si>
  <si>
    <t>6281218007471</t>
  </si>
  <si>
    <t xml:space="preserve">Cendana Golf 2 No.2
PIK</t>
  </si>
  <si>
    <t>A-906</t>
  </si>
  <si>
    <t>Arnetta</t>
  </si>
  <si>
    <t>Jalan H. Adam Malik 194</t>
  </si>
  <si>
    <t>A-363</t>
  </si>
  <si>
    <t>Arni</t>
  </si>
  <si>
    <t>A-172</t>
  </si>
  <si>
    <t>A-876</t>
  </si>
  <si>
    <t>Arnie</t>
  </si>
  <si>
    <t>A-1195</t>
  </si>
  <si>
    <t>Arnold</t>
  </si>
  <si>
    <t>Sidabutar</t>
  </si>
  <si>
    <t>A-246</t>
  </si>
  <si>
    <t>Arpin</t>
  </si>
  <si>
    <t>12th Fl.  Artha Graha Bldg.</t>
  </si>
  <si>
    <t>A-2186</t>
  </si>
  <si>
    <t>Wiradisastra</t>
  </si>
  <si>
    <t>6282210002222</t>
  </si>
  <si>
    <t>A-2080</t>
  </si>
  <si>
    <t>Arroyo</t>
  </si>
  <si>
    <t>A-2157</t>
  </si>
  <si>
    <t>Arrum</t>
  </si>
  <si>
    <t>Damarsari</t>
  </si>
  <si>
    <t>damarsariarrum@gmail.com</t>
  </si>
  <si>
    <t>6281584551510</t>
  </si>
  <si>
    <t>jl. Tirtayasa Kebayoran baru</t>
  </si>
  <si>
    <t>A-2242</t>
  </si>
  <si>
    <t>Olesia</t>
  </si>
  <si>
    <t>Arsenych</t>
  </si>
  <si>
    <t>olesia1997arsenich@gmail.com</t>
  </si>
  <si>
    <t>+971509444220</t>
  </si>
  <si>
    <t>A-247</t>
  </si>
  <si>
    <t>Arsianty</t>
  </si>
  <si>
    <t>Pramudji</t>
  </si>
  <si>
    <t>+628111992345</t>
  </si>
  <si>
    <t xml:space="preserve">Cond.CBD Pluit Tower Cendana 
H11 A-H Jakarta Barat</t>
  </si>
  <si>
    <t>A-800</t>
  </si>
  <si>
    <t>Arsilia</t>
  </si>
  <si>
    <t>Arsyadjuliandi</t>
  </si>
  <si>
    <t>A-248</t>
  </si>
  <si>
    <t>Arsya</t>
  </si>
  <si>
    <t>Budimansyah</t>
  </si>
  <si>
    <t xml:space="preserve">Jl.Pejaten Raya Komplek P&amp;K B1/19
Jak-Sel</t>
  </si>
  <si>
    <t>A-609</t>
  </si>
  <si>
    <t>Khadafi</t>
  </si>
  <si>
    <t xml:space="preserve">Jl. Pengadengan Barat x1 Blok v01
Pancoran  Jakarta selatan</t>
  </si>
  <si>
    <t>Ina</t>
  </si>
  <si>
    <t>A-2033</t>
  </si>
  <si>
    <t>Nadira</t>
  </si>
  <si>
    <t>nadira.arsya@yahoo.com</t>
  </si>
  <si>
    <t>Jl. Wiradharma Blok O-2, Jakarta</t>
  </si>
  <si>
    <t>A-839</t>
  </si>
  <si>
    <t>Arsyad</t>
  </si>
  <si>
    <t>Achmadin</t>
  </si>
  <si>
    <t>arsyad.a@hotmail.com</t>
  </si>
  <si>
    <t>62811819036</t>
  </si>
  <si>
    <t>Jl. H Aga Manaf No.54.Ciputat Timur</t>
  </si>
  <si>
    <t>A-249</t>
  </si>
  <si>
    <t>M-1751</t>
  </si>
  <si>
    <t>Artem</t>
  </si>
  <si>
    <t>Markelov</t>
  </si>
  <si>
    <t>orders.am@mail.ru</t>
  </si>
  <si>
    <t>A-251</t>
  </si>
  <si>
    <t>Artha</t>
  </si>
  <si>
    <t>Simbolon</t>
  </si>
  <si>
    <t>Jl. Pulomas 1C No. 2</t>
  </si>
  <si>
    <t>Villa Sarimas</t>
  </si>
  <si>
    <t>A-922</t>
  </si>
  <si>
    <t>Arthur</t>
  </si>
  <si>
    <t>Sanger</t>
  </si>
  <si>
    <t>arthur.sanger@arthursanger.com</t>
  </si>
  <si>
    <t>Pesona Bukit Bintaro B.6</t>
  </si>
  <si>
    <t>A-2043</t>
  </si>
  <si>
    <t>Arti</t>
  </si>
  <si>
    <t>Elfrino</t>
  </si>
  <si>
    <t>A-981</t>
  </si>
  <si>
    <t>Artina</t>
  </si>
  <si>
    <t>Bumi Mutiara Blok JE 4/11</t>
  </si>
  <si>
    <t>A-846</t>
  </si>
  <si>
    <t>Arulita</t>
  </si>
  <si>
    <t>Adityaswara</t>
  </si>
  <si>
    <t xml:space="preserve">Jalan Aditiawarman No.11A 
Kebayoran Baru</t>
  </si>
  <si>
    <t>A-1694</t>
  </si>
  <si>
    <t>arumwika@gmail.com</t>
  </si>
  <si>
    <t>A-1833</t>
  </si>
  <si>
    <t>Arvi</t>
  </si>
  <si>
    <t>Sardadi</t>
  </si>
  <si>
    <t>A-1952</t>
  </si>
  <si>
    <t>Arvicha</t>
  </si>
  <si>
    <t>Nirwan</t>
  </si>
  <si>
    <t>I Park Avenue (Queen 3 AB )</t>
  </si>
  <si>
    <t>A-1765</t>
  </si>
  <si>
    <t>Arvin</t>
  </si>
  <si>
    <t>arvin_hehe@hotmail.com</t>
  </si>
  <si>
    <t>THE PEAK APARTMENT,RENAIS TOWER,UNIT 26B</t>
  </si>
  <si>
    <t>A-2090</t>
  </si>
  <si>
    <t>Arviona</t>
  </si>
  <si>
    <t>+6287808727399</t>
  </si>
  <si>
    <t>Taman Royal I, Jl. Cendana X No. 12, Tangerang</t>
  </si>
  <si>
    <t>A-1098</t>
  </si>
  <si>
    <t>Ary</t>
  </si>
  <si>
    <t xml:space="preserve">Jl. Gunung Agung No.192A 
Denpasar</t>
  </si>
  <si>
    <t>A-258</t>
  </si>
  <si>
    <t>Taman Rasuna Epicentrum, Rasuna Office Park No. 1</t>
  </si>
  <si>
    <t>A-1286</t>
  </si>
  <si>
    <t>Arya</t>
  </si>
  <si>
    <t>A-1779</t>
  </si>
  <si>
    <t>62811918278</t>
  </si>
  <si>
    <t>A-2270</t>
  </si>
  <si>
    <t>Asihwardji</t>
  </si>
  <si>
    <t>A-2097</t>
  </si>
  <si>
    <t>Bakrie</t>
  </si>
  <si>
    <t>628111993562</t>
  </si>
  <si>
    <t>A-893</t>
  </si>
  <si>
    <t>Ibrahim</t>
  </si>
  <si>
    <t>arya_ibrahim@yahoo.com</t>
  </si>
  <si>
    <t>A-139</t>
  </si>
  <si>
    <t>Maheka</t>
  </si>
  <si>
    <t>A-480</t>
  </si>
  <si>
    <t>Pratama</t>
  </si>
  <si>
    <t>A-1895</t>
  </si>
  <si>
    <t>Richir</t>
  </si>
  <si>
    <t>richir.ar@gmail.com</t>
  </si>
  <si>
    <t>Cilandak, Pondok Labu 12540</t>
  </si>
  <si>
    <t>A-1419</t>
  </si>
  <si>
    <t>Aryadharma</t>
  </si>
  <si>
    <t>A-915</t>
  </si>
  <si>
    <t>A-1430</t>
  </si>
  <si>
    <t>Diah</t>
  </si>
  <si>
    <t>yes.aryani@gmail.com</t>
  </si>
  <si>
    <t>M-1360</t>
  </si>
  <si>
    <t>Fitriana.</t>
  </si>
  <si>
    <t>A-2181</t>
  </si>
  <si>
    <t>Aryanti</t>
  </si>
  <si>
    <t>Sarkina</t>
  </si>
  <si>
    <t>sofyanfadli91@gmail.com</t>
  </si>
  <si>
    <t>6281344063300</t>
  </si>
  <si>
    <t>Waena Jayapura</t>
  </si>
  <si>
    <t>Jayapura</t>
  </si>
  <si>
    <t>A-336</t>
  </si>
  <si>
    <t>Aryanto.B</t>
  </si>
  <si>
    <t xml:space="preserve">Liga Mas Indah Blok I No 2
Perdatam
Jakarta Selatan</t>
  </si>
  <si>
    <t>A-255</t>
  </si>
  <si>
    <t>Aryo</t>
  </si>
  <si>
    <t>A-256</t>
  </si>
  <si>
    <t xml:space="preserve">Jl. Cirebon No. 21
Menteng</t>
  </si>
  <si>
    <t>A-1126</t>
  </si>
  <si>
    <t>Djojohadikusumo</t>
  </si>
  <si>
    <t>A-1364</t>
  </si>
  <si>
    <t>Widiwardhono</t>
  </si>
  <si>
    <t>A-1874</t>
  </si>
  <si>
    <t>Aryono</t>
  </si>
  <si>
    <t>Hananto</t>
  </si>
  <si>
    <t>A-1287</t>
  </si>
  <si>
    <t>Asa</t>
  </si>
  <si>
    <t>Adhiyaksa</t>
  </si>
  <si>
    <t>Slipi</t>
  </si>
  <si>
    <t>A-2143</t>
  </si>
  <si>
    <t>Dahlan</t>
  </si>
  <si>
    <t>62816945993</t>
  </si>
  <si>
    <t>A-1474</t>
  </si>
  <si>
    <t>Asdin</t>
  </si>
  <si>
    <t>Muhammad</t>
  </si>
  <si>
    <t>A-1485</t>
  </si>
  <si>
    <t>Aseng</t>
  </si>
  <si>
    <t>A-1289</t>
  </si>
  <si>
    <t>Asep</t>
  </si>
  <si>
    <t>Irawan</t>
  </si>
  <si>
    <t>A-723</t>
  </si>
  <si>
    <t>Asfihani</t>
  </si>
  <si>
    <t>A-845</t>
  </si>
  <si>
    <t>Asha</t>
  </si>
  <si>
    <t>Calista</t>
  </si>
  <si>
    <t>A-393</t>
  </si>
  <si>
    <t>Ashadi</t>
  </si>
  <si>
    <t>A-1764</t>
  </si>
  <si>
    <t>Widyasa</t>
  </si>
  <si>
    <t>Kondominium Golf Karawaci</t>
  </si>
  <si>
    <t>A-1598</t>
  </si>
  <si>
    <t>Ashanty</t>
  </si>
  <si>
    <t>A-607</t>
  </si>
  <si>
    <t>Asharni</t>
  </si>
  <si>
    <t>M-1313</t>
  </si>
  <si>
    <t>Ashima</t>
  </si>
  <si>
    <t>Ray</t>
  </si>
  <si>
    <t>rayashima@gmail.com</t>
  </si>
  <si>
    <t>A-2313</t>
  </si>
  <si>
    <t>Ashley Johanna</t>
  </si>
  <si>
    <t>Hodges</t>
  </si>
  <si>
    <t>ashleyjrcis@gmail.com</t>
  </si>
  <si>
    <t>+18136142755</t>
  </si>
  <si>
    <t>Florida</t>
  </si>
  <si>
    <t>A-261</t>
  </si>
  <si>
    <t>Ashraff</t>
  </si>
  <si>
    <t>A-1834</t>
  </si>
  <si>
    <t>Ashwani</t>
  </si>
  <si>
    <t>Chowdhey</t>
  </si>
  <si>
    <t>6281510971812</t>
  </si>
  <si>
    <t>A-660</t>
  </si>
  <si>
    <t>Asih</t>
  </si>
  <si>
    <t>081932399779</t>
  </si>
  <si>
    <t>A-970</t>
  </si>
  <si>
    <t>Noor</t>
  </si>
  <si>
    <t>acihkue@yahoo.co.id</t>
  </si>
  <si>
    <t>HAWAII SERTANI KABUPATEN JAYAPURA PAPUA</t>
  </si>
  <si>
    <t>A-1478</t>
  </si>
  <si>
    <t>Rahayu</t>
  </si>
  <si>
    <t>Lebayoran Heights, Tangerang Selatan, Bintaro Jaya</t>
  </si>
  <si>
    <t>A-555</t>
  </si>
  <si>
    <t>Sujati</t>
  </si>
  <si>
    <t>A-1682</t>
  </si>
  <si>
    <t>Widiawati</t>
  </si>
  <si>
    <t>asih_widiawati@yahoo.com</t>
  </si>
  <si>
    <t>Casa De Parco</t>
  </si>
  <si>
    <t>A-629</t>
  </si>
  <si>
    <t>Asiong</t>
  </si>
  <si>
    <t>A-2083</t>
  </si>
  <si>
    <t>Askalia</t>
  </si>
  <si>
    <t>yulia.gagah@gmail.com</t>
  </si>
  <si>
    <t>Thamrin Executive Apartment Jakarta</t>
  </si>
  <si>
    <t>A-1557</t>
  </si>
  <si>
    <t>Askarina</t>
  </si>
  <si>
    <t>Daniswari</t>
  </si>
  <si>
    <t>A-671</t>
  </si>
  <si>
    <t>Asky</t>
  </si>
  <si>
    <t>Febrianti</t>
  </si>
  <si>
    <t>A-2006</t>
  </si>
  <si>
    <t>Asmadi</t>
  </si>
  <si>
    <t>A-1324</t>
  </si>
  <si>
    <t>Asmara</t>
  </si>
  <si>
    <t>Abigail Sumiskum</t>
  </si>
  <si>
    <t>6281290927836</t>
  </si>
  <si>
    <t xml:space="preserve">Jl.RE Martadinata Km 5 No.69 
Tangerang 15411 ,Banten</t>
  </si>
  <si>
    <t>A-1792</t>
  </si>
  <si>
    <t>Jaya</t>
  </si>
  <si>
    <t xml:space="preserve">Jalan Hj Dahlan no 78
Duren Sawit</t>
  </si>
  <si>
    <t>A-1924</t>
  </si>
  <si>
    <t>Siswandari</t>
  </si>
  <si>
    <t>kenes_andari@yahoo.com</t>
  </si>
  <si>
    <t>6281511240000</t>
  </si>
  <si>
    <t>Jl. Kebagusan Raya No.39 Unit N</t>
  </si>
  <si>
    <t>A-627</t>
  </si>
  <si>
    <t>Asmat</t>
  </si>
  <si>
    <t>A-884</t>
  </si>
  <si>
    <t>Asmawati</t>
  </si>
  <si>
    <t>Hafid</t>
  </si>
  <si>
    <t>Jalan Rawa Simprug Blok 1A No. 46A, Kebayoran Lama 12222</t>
  </si>
  <si>
    <t>A-832</t>
  </si>
  <si>
    <t>Asnat</t>
  </si>
  <si>
    <t>Dorothy</t>
  </si>
  <si>
    <t>Jl. Swadaya VIII No. 5A RT/RW 008/001, DUren Sawit, Jakarta Timur, 13440</t>
  </si>
  <si>
    <t>A-2109</t>
  </si>
  <si>
    <t>Asnath</t>
  </si>
  <si>
    <t>62818738903</t>
  </si>
  <si>
    <t>A-648</t>
  </si>
  <si>
    <t>Asnawi</t>
  </si>
  <si>
    <t>A-953</t>
  </si>
  <si>
    <t>Asni</t>
  </si>
  <si>
    <t>Juita</t>
  </si>
  <si>
    <t>Taman Puri Bintaro PB 33 No155A Bintaro Sektor 9</t>
  </si>
  <si>
    <t>A-2259</t>
  </si>
  <si>
    <t>DRG. Asni</t>
  </si>
  <si>
    <t>Utoro</t>
  </si>
  <si>
    <t>62811559778</t>
  </si>
  <si>
    <t>A-1209</t>
  </si>
  <si>
    <t>Asran</t>
  </si>
  <si>
    <t>A-1331</t>
  </si>
  <si>
    <t>Asri</t>
  </si>
  <si>
    <t>Damajanti</t>
  </si>
  <si>
    <t>A-1778</t>
  </si>
  <si>
    <t>62811903571</t>
  </si>
  <si>
    <t>A-2298</t>
  </si>
  <si>
    <t>Niputu</t>
  </si>
  <si>
    <t>6287880115222</t>
  </si>
  <si>
    <t>A-2193</t>
  </si>
  <si>
    <t>Astakhova</t>
  </si>
  <si>
    <t>Irina</t>
  </si>
  <si>
    <t>9860170@gmail.com</t>
  </si>
  <si>
    <t>+79626860170</t>
  </si>
  <si>
    <t>USSR</t>
  </si>
  <si>
    <t>A-2203</t>
  </si>
  <si>
    <t>Astamudin</t>
  </si>
  <si>
    <t>Asta</t>
  </si>
  <si>
    <t>6282190664939</t>
  </si>
  <si>
    <t>A-1350</t>
  </si>
  <si>
    <t>Astari</t>
  </si>
  <si>
    <t>A-1051</t>
  </si>
  <si>
    <t>astari.as@icloud.com</t>
  </si>
  <si>
    <t>A-1750</t>
  </si>
  <si>
    <t>A-2077</t>
  </si>
  <si>
    <t>Adiyanti</t>
  </si>
  <si>
    <t>Jalan Jamuju No.18</t>
  </si>
  <si>
    <t>A-992</t>
  </si>
  <si>
    <t>Napitupulu</t>
  </si>
  <si>
    <t>Jl Gading Kirana Timur, Kelapa Gading</t>
  </si>
  <si>
    <t>A-1079</t>
  </si>
  <si>
    <t>Asthiti</t>
  </si>
  <si>
    <t>Thania</t>
  </si>
  <si>
    <t>A-685</t>
  </si>
  <si>
    <t>Asti</t>
  </si>
  <si>
    <t>Hasdinata</t>
  </si>
  <si>
    <t>A-967</t>
  </si>
  <si>
    <t>Larasati</t>
  </si>
  <si>
    <t>+628129298188</t>
  </si>
  <si>
    <t xml:space="preserve">Apartemen Taman Rasuna 02/18 C
Jl. HR Rasuna said  Kuningan</t>
  </si>
  <si>
    <t>A-1966</t>
  </si>
  <si>
    <t>Situra</t>
  </si>
  <si>
    <t>A-271</t>
  </si>
  <si>
    <t>Astiningsih</t>
  </si>
  <si>
    <t>Perum. Sari Jimbaran</t>
  </si>
  <si>
    <t>Jl. Taman Baruna Blok C No. 45</t>
  </si>
  <si>
    <t>A-583</t>
  </si>
  <si>
    <t>Astraditya</t>
  </si>
  <si>
    <t>Bastar</t>
  </si>
  <si>
    <t>Jl. Rawa Gelam 1 Jakarta</t>
  </si>
  <si>
    <t>A-582</t>
  </si>
  <si>
    <t>Jl.Rawa Gelam I Jakarta</t>
  </si>
  <si>
    <t>A-1762</t>
  </si>
  <si>
    <t>Astria</t>
  </si>
  <si>
    <t>Oktavia</t>
  </si>
  <si>
    <t>A-577</t>
  </si>
  <si>
    <t>Astrid</t>
  </si>
  <si>
    <t>A-273</t>
  </si>
  <si>
    <t>A-017</t>
  </si>
  <si>
    <t>A-1113</t>
  </si>
  <si>
    <t>A-786</t>
  </si>
  <si>
    <t>+628118201447</t>
  </si>
  <si>
    <t>A-891</t>
  </si>
  <si>
    <t>Endah</t>
  </si>
  <si>
    <t xml:space="preserve">Tirtayasa Raya No 36
Kebayoran Baru 
Jak Sel</t>
  </si>
  <si>
    <t>M-1266</t>
  </si>
  <si>
    <t>Handojo</t>
  </si>
  <si>
    <t>A-2174</t>
  </si>
  <si>
    <t>Hermaini</t>
  </si>
  <si>
    <t>astrid.hermaini@gmail.com</t>
  </si>
  <si>
    <t>6282172701649</t>
  </si>
  <si>
    <t>Alam Asri XI /B610 Pondok Indah Jakarta</t>
  </si>
  <si>
    <t>A-1111</t>
  </si>
  <si>
    <t>Kaniasari</t>
  </si>
  <si>
    <t xml:space="preserve">Kebayoran Village 2 P3
Bintaro</t>
  </si>
  <si>
    <t>A-274</t>
  </si>
  <si>
    <t>Putrawan</t>
  </si>
  <si>
    <t>Jl. Kenanga 49 Kav. 9</t>
  </si>
  <si>
    <t>Kemang</t>
  </si>
  <si>
    <t>A-275</t>
  </si>
  <si>
    <t>Satwika</t>
  </si>
  <si>
    <t>astridsatwika@gmail.com</t>
  </si>
  <si>
    <t>Cirendeu</t>
  </si>
  <si>
    <t>A-612</t>
  </si>
  <si>
    <t>Suryatenggara</t>
  </si>
  <si>
    <t>A-183</t>
  </si>
  <si>
    <t>Warsito</t>
  </si>
  <si>
    <t>6281585861374</t>
  </si>
  <si>
    <t xml:space="preserve">Jl. Panglima POlim XII/8
Kebayoran Baru</t>
  </si>
  <si>
    <t>A-1446</t>
  </si>
  <si>
    <t>Astrini</t>
  </si>
  <si>
    <t>Wulandari</t>
  </si>
  <si>
    <t xml:space="preserve">Jl.Daksinapati Timur IV No.C3
Rawamangun Jak Tim</t>
  </si>
  <si>
    <t>A-1990</t>
  </si>
  <si>
    <t>Astry</t>
  </si>
  <si>
    <t>Wanda</t>
  </si>
  <si>
    <t>+6282111881150</t>
  </si>
  <si>
    <t xml:space="preserve">CINERE 05 NO.45
DEPOK - JAK-BAR</t>
  </si>
  <si>
    <t>A-402</t>
  </si>
  <si>
    <t>Astuti</t>
  </si>
  <si>
    <t>Bieri</t>
  </si>
  <si>
    <t>A-1585</t>
  </si>
  <si>
    <t>Dharma</t>
  </si>
  <si>
    <t>62816908189</t>
  </si>
  <si>
    <t>A-1972</t>
  </si>
  <si>
    <t>Aswad</t>
  </si>
  <si>
    <t>JL. Kormala 14-T Medan</t>
  </si>
  <si>
    <t>A-554</t>
  </si>
  <si>
    <t>Aswan</t>
  </si>
  <si>
    <t>Soedojo</t>
  </si>
  <si>
    <t>M-765</t>
  </si>
  <si>
    <t>Jl. Mangga III No. 36</t>
  </si>
  <si>
    <t>A-1394</t>
  </si>
  <si>
    <t>A-1685</t>
  </si>
  <si>
    <t>Asyma</t>
  </si>
  <si>
    <t>Sianipar</t>
  </si>
  <si>
    <t>A-2092</t>
  </si>
  <si>
    <t>Jonathan Tasso</t>
  </si>
  <si>
    <t>Atack</t>
  </si>
  <si>
    <t>jonathan@jtack.co.uk</t>
  </si>
  <si>
    <t>+447495682406</t>
  </si>
  <si>
    <t>United Kingdom of Great Britain and Northern Ireland</t>
  </si>
  <si>
    <t>A-1715</t>
  </si>
  <si>
    <t>Atam</t>
  </si>
  <si>
    <t>A-1769</t>
  </si>
  <si>
    <t>Atatius</t>
  </si>
  <si>
    <t>A-2176</t>
  </si>
  <si>
    <t>Athalia celina</t>
  </si>
  <si>
    <t>Djuhana</t>
  </si>
  <si>
    <t>6262909297</t>
  </si>
  <si>
    <t>Amerika Serikat</t>
  </si>
  <si>
    <t>A-547</t>
  </si>
  <si>
    <t>Atham</t>
  </si>
  <si>
    <t>A-2153</t>
  </si>
  <si>
    <t>Athilla</t>
  </si>
  <si>
    <t>Herald</t>
  </si>
  <si>
    <t>62811181688</t>
  </si>
  <si>
    <t>A-579</t>
  </si>
  <si>
    <t>Ati</t>
  </si>
  <si>
    <t>Soehoed</t>
  </si>
  <si>
    <t>A-1454</t>
  </si>
  <si>
    <t>Yusrotul</t>
  </si>
  <si>
    <t>A-631</t>
  </si>
  <si>
    <t>Atiek</t>
  </si>
  <si>
    <t>A-2071</t>
  </si>
  <si>
    <t>Anartati</t>
  </si>
  <si>
    <t xml:space="preserve">jl.Legenda wisata zona napoleon e356b
</t>
  </si>
  <si>
    <t>A-1482</t>
  </si>
  <si>
    <t>A-624</t>
  </si>
  <si>
    <t>Atik</t>
  </si>
  <si>
    <t>A-357</t>
  </si>
  <si>
    <t>Sutanto</t>
  </si>
  <si>
    <t>A-2300</t>
  </si>
  <si>
    <t>Atika</t>
  </si>
  <si>
    <t>tikaotika@gmail.com</t>
  </si>
  <si>
    <t>6281317567778</t>
  </si>
  <si>
    <t xml:space="preserve">Perumahan Green Garden blok N2 No 22 
Jakarta - Barat </t>
  </si>
  <si>
    <t>A-864</t>
  </si>
  <si>
    <t>Zairina</t>
  </si>
  <si>
    <t>Apt Hamptons Pondok Indah Tower C Unit 11K</t>
  </si>
  <si>
    <t>A-617</t>
  </si>
  <si>
    <t>Atmajaya</t>
  </si>
  <si>
    <t xml:space="preserve">Jl.Kumala 2 blok L.11,Kemang Pratama Regency
Bekasi Kota</t>
  </si>
  <si>
    <t>A-999</t>
  </si>
  <si>
    <t>Aton</t>
  </si>
  <si>
    <t>A-2307</t>
  </si>
  <si>
    <t>Karpov</t>
  </si>
  <si>
    <t>art.karpov2011@yandex.ru</t>
  </si>
  <si>
    <t>79277700002</t>
  </si>
  <si>
    <t>A-1732</t>
  </si>
  <si>
    <t>Atsiri</t>
  </si>
  <si>
    <t>Susatya</t>
  </si>
  <si>
    <t>A-989</t>
  </si>
  <si>
    <t>Atsushi</t>
  </si>
  <si>
    <t>Suzuki</t>
  </si>
  <si>
    <t>A-2069</t>
  </si>
  <si>
    <t>Atta</t>
  </si>
  <si>
    <t>A-670</t>
  </si>
  <si>
    <t>Attandi</t>
  </si>
  <si>
    <t>A-1564</t>
  </si>
  <si>
    <t>Attaubah</t>
  </si>
  <si>
    <t>Mufid</t>
  </si>
  <si>
    <t>+6281223453707</t>
  </si>
  <si>
    <t>Komplek the River Ville kav 3 no.28 Lebak Bulus, Jakarta Selatan</t>
  </si>
  <si>
    <t>A-358</t>
  </si>
  <si>
    <t>Atty</t>
  </si>
  <si>
    <t>A-2162</t>
  </si>
  <si>
    <t>Aubrey</t>
  </si>
  <si>
    <t>Manggala Gunardi</t>
  </si>
  <si>
    <t>aubreygunadi13@gmail.com</t>
  </si>
  <si>
    <t>6287790063666</t>
  </si>
  <si>
    <t>Jl. A Yani KM 11.2 Banjarmasin</t>
  </si>
  <si>
    <t>Banjarmasin</t>
  </si>
  <si>
    <t>A-472</t>
  </si>
  <si>
    <t>Aubry</t>
  </si>
  <si>
    <t>Beer</t>
  </si>
  <si>
    <t>A-1441</t>
  </si>
  <si>
    <t>Auddhi</t>
  </si>
  <si>
    <t>A-2101</t>
  </si>
  <si>
    <t>Audhrey</t>
  </si>
  <si>
    <t>Mizard</t>
  </si>
  <si>
    <t>Jalan Tanjungsari Asri Residence B1, Bandung</t>
  </si>
  <si>
    <t>A-1489</t>
  </si>
  <si>
    <t>Audie</t>
  </si>
  <si>
    <t>A-1613</t>
  </si>
  <si>
    <t>A-1727</t>
  </si>
  <si>
    <t>Audilia</t>
  </si>
  <si>
    <t>Tjokrosuharto</t>
  </si>
  <si>
    <t>Tampak Siring Indah No. 09</t>
  </si>
  <si>
    <t>A-719</t>
  </si>
  <si>
    <t>Audrey</t>
  </si>
  <si>
    <t>Kianjaya</t>
  </si>
  <si>
    <t>A-1610</t>
  </si>
  <si>
    <t>Patricia</t>
  </si>
  <si>
    <t>A-830</t>
  </si>
  <si>
    <t>Ratam</t>
  </si>
  <si>
    <t>62818119173</t>
  </si>
  <si>
    <t>A-1737</t>
  </si>
  <si>
    <t>Pasaribu</t>
  </si>
  <si>
    <t>A-959</t>
  </si>
  <si>
    <t>Audri</t>
  </si>
  <si>
    <t>Capital Residence Tower 1-21D, Jl. Jendral Sudirman Kav. 52-53 Lot. 24 SCBD</t>
  </si>
  <si>
    <t>A-2114</t>
  </si>
  <si>
    <t>Audrian</t>
  </si>
  <si>
    <t>benciseledribanget@yahoo.com</t>
  </si>
  <si>
    <t>+6287771851764</t>
  </si>
  <si>
    <t>BSD</t>
  </si>
  <si>
    <t>A-448</t>
  </si>
  <si>
    <t>Audrio</t>
  </si>
  <si>
    <t>A-1789</t>
  </si>
  <si>
    <t>Audy</t>
  </si>
  <si>
    <t>A-282</t>
  </si>
  <si>
    <t>A-281</t>
  </si>
  <si>
    <t>Audytha</t>
  </si>
  <si>
    <t>Wennas</t>
  </si>
  <si>
    <t xml:space="preserve">Jl.Gading Grande Blok 10 No.EA
Gading Grande Residence
Kelapa Gading</t>
  </si>
  <si>
    <t>Kelapa Gading</t>
  </si>
  <si>
    <t>A-395</t>
  </si>
  <si>
    <t>Aufar</t>
  </si>
  <si>
    <t>A-2021</t>
  </si>
  <si>
    <t>Augustianne</t>
  </si>
  <si>
    <t>Marbun</t>
  </si>
  <si>
    <t>+62811167822</t>
  </si>
  <si>
    <t>A-978</t>
  </si>
  <si>
    <t>Augustine</t>
  </si>
  <si>
    <t>augustine.susanto@gmail.com</t>
  </si>
  <si>
    <t>62817147147</t>
  </si>
  <si>
    <t>Jl Mandala Utara No.4</t>
  </si>
  <si>
    <t>A-1804</t>
  </si>
  <si>
    <t>Augustinus</t>
  </si>
  <si>
    <t>Pangaribuan</t>
  </si>
  <si>
    <t>A-1605</t>
  </si>
  <si>
    <t>Aulia</t>
  </si>
  <si>
    <t>A-2288</t>
  </si>
  <si>
    <t>auliamel93@gmail.com</t>
  </si>
  <si>
    <t>+6282186159878</t>
  </si>
  <si>
    <t>Jl H Agus salim No. 104 , Menteng</t>
  </si>
  <si>
    <t>A-1770</t>
  </si>
  <si>
    <t>Aulia basir</t>
  </si>
  <si>
    <t>081213333276</t>
  </si>
  <si>
    <t>A-1644</t>
  </si>
  <si>
    <t>Garcila</t>
  </si>
  <si>
    <t>6287874063330</t>
  </si>
  <si>
    <t>Danau Bogor Raya Blok A4 no.5</t>
  </si>
  <si>
    <t>A-1852</t>
  </si>
  <si>
    <t>Lusiana</t>
  </si>
  <si>
    <t>Jl. Teratai Putih No123</t>
  </si>
  <si>
    <t>A-473</t>
  </si>
  <si>
    <t>Huda</t>
  </si>
  <si>
    <t>A-1224</t>
  </si>
  <si>
    <t>Ulhaque</t>
  </si>
  <si>
    <t xml:space="preserve">Jl.Duren Sawit Raya Blok G/2 No.7
Jakarta Timur</t>
  </si>
  <si>
    <t>A-2339</t>
  </si>
  <si>
    <t>Auliana Callissta</t>
  </si>
  <si>
    <t>Dhiezaalissa</t>
  </si>
  <si>
    <t>doremi8283@gmail.com</t>
  </si>
  <si>
    <t>628170017007</t>
  </si>
  <si>
    <t>A-2076</t>
  </si>
  <si>
    <t>Aulina</t>
  </si>
  <si>
    <t>M-1258</t>
  </si>
  <si>
    <t>Aulivia</t>
  </si>
  <si>
    <t>Tandau</t>
  </si>
  <si>
    <t>A-1005</t>
  </si>
  <si>
    <t>Auly</t>
  </si>
  <si>
    <t>Rizkia</t>
  </si>
  <si>
    <t>-</t>
  </si>
  <si>
    <t>Jl. Citarum Krajan ,Dr Taruno No9 Rt 04 Rw 12 . Adiarsa</t>
  </si>
  <si>
    <t>Karawang</t>
  </si>
  <si>
    <t>A-1826</t>
  </si>
  <si>
    <t>Aura</t>
  </si>
  <si>
    <t>A-1664</t>
  </si>
  <si>
    <t>Auraliya</t>
  </si>
  <si>
    <t>Amadia</t>
  </si>
  <si>
    <t>A-1416</t>
  </si>
  <si>
    <t>Aurelia</t>
  </si>
  <si>
    <t>Carisa</t>
  </si>
  <si>
    <t>A-1250</t>
  </si>
  <si>
    <t>Aurelie</t>
  </si>
  <si>
    <t>Hermansyah</t>
  </si>
  <si>
    <t>6281122202000</t>
  </si>
  <si>
    <t xml:space="preserve">Jl.Taman Merkunus No.4
villa cinere mas RT 005/Rw 013 kelurahan pisangan kecamatan ciputat timur kabupaten tangerang selatan 15419</t>
  </si>
  <si>
    <t>A-373</t>
  </si>
  <si>
    <t>Aurella</t>
  </si>
  <si>
    <t>Ningsih</t>
  </si>
  <si>
    <t>Petojo Sabangan X No.2-24</t>
  </si>
  <si>
    <t>A-1973</t>
  </si>
  <si>
    <t>Sekar</t>
  </si>
  <si>
    <t>Sekaruella1170@gmail.com</t>
  </si>
  <si>
    <t>62811911107</t>
  </si>
  <si>
    <t>JL. KH Ridi NO.91 Cipayung - Depok</t>
  </si>
  <si>
    <t>A-398</t>
  </si>
  <si>
    <t>Aurellio</t>
  </si>
  <si>
    <t>Kaunang</t>
  </si>
  <si>
    <t>A-1436</t>
  </si>
  <si>
    <t>Avan</t>
  </si>
  <si>
    <t>A-1160</t>
  </si>
  <si>
    <t>Avay</t>
  </si>
  <si>
    <t>Oetomo</t>
  </si>
  <si>
    <t>Jl Musyawarah No.9 Tangerang Banten</t>
  </si>
  <si>
    <t>A-587</t>
  </si>
  <si>
    <t>Avianto</t>
  </si>
  <si>
    <t>Muhtadi</t>
  </si>
  <si>
    <t>A-2328</t>
  </si>
  <si>
    <t>Avila Moreno</t>
  </si>
  <si>
    <t>Mauricio Javier</t>
  </si>
  <si>
    <t>avila.mauricio1@gmail.com</t>
  </si>
  <si>
    <t>12103237073</t>
  </si>
  <si>
    <t>A-404</t>
  </si>
  <si>
    <t>Aviliani</t>
  </si>
  <si>
    <t>A-287</t>
  </si>
  <si>
    <t>Permata Mediterania Blok D1/77</t>
  </si>
  <si>
    <t>Kebok Jeruk, Jakarta Barat</t>
  </si>
  <si>
    <t>Jl. Pos Pengumbu</t>
  </si>
  <si>
    <t>A-859</t>
  </si>
  <si>
    <t>Avilliani</t>
  </si>
  <si>
    <t>A-1905</t>
  </si>
  <si>
    <t>Avin</t>
  </si>
  <si>
    <t>A-748</t>
  </si>
  <si>
    <t>Kirpalani</t>
  </si>
  <si>
    <t>A-2072</t>
  </si>
  <si>
    <t>Avirta</t>
  </si>
  <si>
    <t>Thyana</t>
  </si>
  <si>
    <t>A-574</t>
  </si>
  <si>
    <t>Avner</t>
  </si>
  <si>
    <t>Raweyal</t>
  </si>
  <si>
    <t>Kemang Timur 43A</t>
  </si>
  <si>
    <t>A-2061</t>
  </si>
  <si>
    <t>Avrillia</t>
  </si>
  <si>
    <t>Magdalena</t>
  </si>
  <si>
    <t>JL OTISTA RAYA</t>
  </si>
  <si>
    <t>A-822</t>
  </si>
  <si>
    <t>Awen</t>
  </si>
  <si>
    <t>A-288</t>
  </si>
  <si>
    <t>Awin</t>
  </si>
  <si>
    <t>Mawardi</t>
  </si>
  <si>
    <t>Jl. Kintamani I No. 2</t>
  </si>
  <si>
    <t>Perum. Bukit Gading Villa</t>
  </si>
  <si>
    <t>A-1369</t>
  </si>
  <si>
    <t>Axel</t>
  </si>
  <si>
    <t>Alaric</t>
  </si>
  <si>
    <t>A-1837</t>
  </si>
  <si>
    <t>iskandar</t>
  </si>
  <si>
    <t>Jl. Mandolin No.6</t>
  </si>
  <si>
    <t>A-1483</t>
  </si>
  <si>
    <t>Ay Tjhin</t>
  </si>
  <si>
    <t>Phan</t>
  </si>
  <si>
    <t>628111890408</t>
  </si>
  <si>
    <t xml:space="preserve">cisanggiri 4 no 3 
kebayoran baru 
jak 12170</t>
  </si>
  <si>
    <t>A-1882</t>
  </si>
  <si>
    <t>Ayahandayani</t>
  </si>
  <si>
    <t>A-753</t>
  </si>
  <si>
    <t>Ayami</t>
  </si>
  <si>
    <t>Tani</t>
  </si>
  <si>
    <t>bunkoronchan@gmail.com</t>
  </si>
  <si>
    <t>090-5136-2055</t>
  </si>
  <si>
    <t xml:space="preserve">Sendocho Kitaku Sakaicity Osaka
Japan</t>
  </si>
  <si>
    <t>Osaka</t>
  </si>
  <si>
    <t>A-1734</t>
  </si>
  <si>
    <t>Ayesha</t>
  </si>
  <si>
    <t>Allesandra</t>
  </si>
  <si>
    <t>Apart Bizlofts - U Residence, Kelapa Dua, Tangerang.</t>
  </si>
  <si>
    <t>A-1327</t>
  </si>
  <si>
    <t>Ayi</t>
  </si>
  <si>
    <t>Aristy</t>
  </si>
  <si>
    <t>+628111766664</t>
  </si>
  <si>
    <t>A-1504</t>
  </si>
  <si>
    <t>Berlian</t>
  </si>
  <si>
    <t>A-885</t>
  </si>
  <si>
    <t>Matawang</t>
  </si>
  <si>
    <t>A-1071</t>
  </si>
  <si>
    <t>Ayie</t>
  </si>
  <si>
    <t>A-1915</t>
  </si>
  <si>
    <t>Ayla</t>
  </si>
  <si>
    <t>aylaadjie@yahoo.com</t>
  </si>
  <si>
    <t>Jl Gaharau 3 No.5, Cilandak</t>
  </si>
  <si>
    <t>A-1328</t>
  </si>
  <si>
    <t>Dimitri</t>
  </si>
  <si>
    <t>6281294370022</t>
  </si>
  <si>
    <t>A-456</t>
  </si>
  <si>
    <t>Aylina</t>
  </si>
  <si>
    <t xml:space="preserve">Jl. Perak No.20
Permata Hijau</t>
  </si>
  <si>
    <t>A-1985</t>
  </si>
  <si>
    <t>Ayna</t>
  </si>
  <si>
    <t>susantoayna@yahoo.com</t>
  </si>
  <si>
    <t>Jl. Taman Cirendeu No.9 Perum.Taman Cirendeu</t>
  </si>
  <si>
    <t>A-688</t>
  </si>
  <si>
    <t>Ayong</t>
  </si>
  <si>
    <t>A-1396</t>
  </si>
  <si>
    <t>M-1163</t>
  </si>
  <si>
    <t>A-1385</t>
  </si>
  <si>
    <t>A-325</t>
  </si>
  <si>
    <t>A-1407</t>
  </si>
  <si>
    <t>A-1592</t>
  </si>
  <si>
    <t>Ayu Permata</t>
  </si>
  <si>
    <t>628170067778</t>
  </si>
  <si>
    <t>A-1741</t>
  </si>
  <si>
    <t>6281260025457</t>
  </si>
  <si>
    <t>A-2170</t>
  </si>
  <si>
    <t>Abhelia</t>
  </si>
  <si>
    <t>6282184096900</t>
  </si>
  <si>
    <t>A-538</t>
  </si>
  <si>
    <t>Amali</t>
  </si>
  <si>
    <t>A-2106</t>
  </si>
  <si>
    <t>Azhari</t>
  </si>
  <si>
    <t>081218815028</t>
  </si>
  <si>
    <t>A-1940</t>
  </si>
  <si>
    <t>Ayu Denisa</t>
  </si>
  <si>
    <t>Linggih</t>
  </si>
  <si>
    <t>ichalinggih@gmail.com</t>
  </si>
  <si>
    <t>+62811810828</t>
  </si>
  <si>
    <t xml:space="preserve">Jl. Dangin Uma no. 1
Denpasar 80221</t>
  </si>
  <si>
    <t>A-1241</t>
  </si>
  <si>
    <t>Deviarwati</t>
  </si>
  <si>
    <t>6281267725406</t>
  </si>
  <si>
    <t>A-1729</t>
  </si>
  <si>
    <t>Kusumawati</t>
  </si>
  <si>
    <t>A-1649</t>
  </si>
  <si>
    <t>A-2058</t>
  </si>
  <si>
    <t>Ayu Diandra</t>
  </si>
  <si>
    <t>+6281338333222</t>
  </si>
  <si>
    <t>A-1570</t>
  </si>
  <si>
    <t>Ellia</t>
  </si>
  <si>
    <t>A-2016</t>
  </si>
  <si>
    <t>Clover Hill Residence</t>
  </si>
  <si>
    <t>A-2338</t>
  </si>
  <si>
    <t>Gima</t>
  </si>
  <si>
    <t>ayoyo_pm@yahoo.com</t>
  </si>
  <si>
    <t>6282266662005</t>
  </si>
  <si>
    <t>Jl. H Kabun No.67 Bintaro</t>
  </si>
  <si>
    <t>Kalimantan Barat</t>
  </si>
  <si>
    <t>A-1345</t>
  </si>
  <si>
    <t>Cibodas I /12 Puri Cinere Depok 16514</t>
  </si>
  <si>
    <t>A-1470</t>
  </si>
  <si>
    <t>Kastella</t>
  </si>
  <si>
    <t>ayukastella@gmail.com</t>
  </si>
  <si>
    <t>A-2199</t>
  </si>
  <si>
    <t>Lesta</t>
  </si>
  <si>
    <t>6287880917182</t>
  </si>
  <si>
    <t>A-1878</t>
  </si>
  <si>
    <t>Masyita</t>
  </si>
  <si>
    <t>A-1675</t>
  </si>
  <si>
    <t>Ngurah</t>
  </si>
  <si>
    <t>+62811935639</t>
  </si>
  <si>
    <t>A-1220</t>
  </si>
  <si>
    <t>Picauly</t>
  </si>
  <si>
    <t>A-2249</t>
  </si>
  <si>
    <t>Ayu R</t>
  </si>
  <si>
    <t>Chariro</t>
  </si>
  <si>
    <t>6282298888789</t>
  </si>
  <si>
    <t>JL. Tulodong Bawah IV / 4 Jakarta</t>
  </si>
  <si>
    <t>A-507</t>
  </si>
  <si>
    <t>Rachmat</t>
  </si>
  <si>
    <t>ayu_rachmat@yahoo.com</t>
  </si>
  <si>
    <t>+62818700600</t>
  </si>
  <si>
    <t xml:space="preserve">Jl. Basuki No. 18
Jakarta 10310</t>
  </si>
  <si>
    <t>A-980</t>
  </si>
  <si>
    <t>A-1947</t>
  </si>
  <si>
    <t>Rismaliyanti</t>
  </si>
  <si>
    <t>6282124103455</t>
  </si>
  <si>
    <t>A-2266</t>
  </si>
  <si>
    <t>6282124704741</t>
  </si>
  <si>
    <t>A-298</t>
  </si>
  <si>
    <t>Sadiah</t>
  </si>
  <si>
    <t>Bellagio Mansion</t>
  </si>
  <si>
    <t>A-673</t>
  </si>
  <si>
    <t>A-911</t>
  </si>
  <si>
    <t>Tresna</t>
  </si>
  <si>
    <t>A-1803</t>
  </si>
  <si>
    <t>Ayudia</t>
  </si>
  <si>
    <t>Chaerani</t>
  </si>
  <si>
    <t>Sunset Sunrise Studio. Jalan Subak Daksina, Gang IV No.3, Tibubeneng, Kec. Kuta Utara</t>
  </si>
  <si>
    <t>A-1891</t>
  </si>
  <si>
    <t>Ayudya</t>
  </si>
  <si>
    <t>Kusumawardhani</t>
  </si>
  <si>
    <t>Mozia , Cluster Aure B18 No.5</t>
  </si>
  <si>
    <t>A-2038</t>
  </si>
  <si>
    <t>Ayumi</t>
  </si>
  <si>
    <t>Marina</t>
  </si>
  <si>
    <t>A-2215</t>
  </si>
  <si>
    <t>Ayunda</t>
  </si>
  <si>
    <t>Dwi Rahawati</t>
  </si>
  <si>
    <t>6281806079107</t>
  </si>
  <si>
    <t>A-2131</t>
  </si>
  <si>
    <t>Ayung</t>
  </si>
  <si>
    <t>A-052</t>
  </si>
  <si>
    <t>A-341</t>
  </si>
  <si>
    <t>Ayuphita</t>
  </si>
  <si>
    <t>Tiara</t>
  </si>
  <si>
    <t>A-2150</t>
  </si>
  <si>
    <t>Ayura</t>
  </si>
  <si>
    <t>ayurayura63@gmail.com</t>
  </si>
  <si>
    <t>6287777713643</t>
  </si>
  <si>
    <t>A-1321</t>
  </si>
  <si>
    <t>Azahra</t>
  </si>
  <si>
    <t>pejaten elok B1</t>
  </si>
  <si>
    <t>A-1926</t>
  </si>
  <si>
    <t>Azaria</t>
  </si>
  <si>
    <t>Windhita</t>
  </si>
  <si>
    <t xml:space="preserve">Delta Tiara No 77 
Delta Sari Batu Watu</t>
  </si>
  <si>
    <t>Sidoarjo</t>
  </si>
  <si>
    <t>A-1863</t>
  </si>
  <si>
    <t>Azary</t>
  </si>
  <si>
    <t>A-1235</t>
  </si>
  <si>
    <t>A-2294</t>
  </si>
  <si>
    <t>Aziz Saif Yahia</t>
  </si>
  <si>
    <t>Kassim</t>
  </si>
  <si>
    <t>KASSIMAZIZ@ GMAIL.COM</t>
  </si>
  <si>
    <t>1971526388889</t>
  </si>
  <si>
    <t>UNITED STATES</t>
  </si>
  <si>
    <t>A-2113</t>
  </si>
  <si>
    <t>Azizi</t>
  </si>
  <si>
    <t>+6281277771990</t>
  </si>
  <si>
    <t>50111</t>
  </si>
  <si>
    <t>A-1491</t>
  </si>
  <si>
    <t>Aziz</t>
  </si>
  <si>
    <t>Sattar</t>
  </si>
  <si>
    <t>A-1521</t>
  </si>
  <si>
    <t>Suharto</t>
  </si>
  <si>
    <t>Ciganjur, Jakarta Selatan 12630</t>
  </si>
  <si>
    <t>A-1431</t>
  </si>
  <si>
    <t>Azizah</t>
  </si>
  <si>
    <t>Zulkarnaen</t>
  </si>
  <si>
    <t>A-1059</t>
  </si>
  <si>
    <t>Azizia</t>
  </si>
  <si>
    <t>azizia19@gmail.com</t>
  </si>
  <si>
    <t>Matraman Raya 102</t>
  </si>
  <si>
    <t>A-1410</t>
  </si>
  <si>
    <t>Azwa</t>
  </si>
  <si>
    <t>Keswara</t>
  </si>
  <si>
    <t>A-540</t>
  </si>
  <si>
    <t>Azwan</t>
  </si>
  <si>
    <t>A-302</t>
  </si>
  <si>
    <t>Azwardi</t>
  </si>
  <si>
    <t>Azhar</t>
  </si>
  <si>
    <t>Jl. Tanah Mas II No. 75</t>
  </si>
  <si>
    <t>B-0282</t>
  </si>
  <si>
    <t>B-145</t>
  </si>
  <si>
    <t>B.</t>
  </si>
  <si>
    <t>Atmanto</t>
  </si>
  <si>
    <t>B-015</t>
  </si>
  <si>
    <t>W.</t>
  </si>
  <si>
    <t>B-047</t>
  </si>
  <si>
    <t>B.F</t>
  </si>
  <si>
    <t>Birrer</t>
  </si>
  <si>
    <t>( '+6221 ) 7655657</t>
  </si>
  <si>
    <t>JL. Nangka 2 No. 16</t>
  </si>
  <si>
    <t>B-0373</t>
  </si>
  <si>
    <t>B.Tambunan</t>
  </si>
  <si>
    <t>B-115</t>
  </si>
  <si>
    <t>Baaldan</t>
  </si>
  <si>
    <t>Battur</t>
  </si>
  <si>
    <t xml:space="preserve">Khan- uul Dist, GHreen Villa
Ulan Batur</t>
  </si>
  <si>
    <t>B-0610</t>
  </si>
  <si>
    <t>Babenkova</t>
  </si>
  <si>
    <t>l_irina_s@mail.ru</t>
  </si>
  <si>
    <t>+79161788643</t>
  </si>
  <si>
    <t>B-0617</t>
  </si>
  <si>
    <t>Babichenko</t>
  </si>
  <si>
    <t>annette.babichenko@gmail.com</t>
  </si>
  <si>
    <t>12018500911</t>
  </si>
  <si>
    <t>B-204</t>
  </si>
  <si>
    <t>Baby</t>
  </si>
  <si>
    <t>B-0591</t>
  </si>
  <si>
    <t>Baby margaretha</t>
  </si>
  <si>
    <t>Panderoot</t>
  </si>
  <si>
    <t>62816702491</t>
  </si>
  <si>
    <t>B-0582</t>
  </si>
  <si>
    <t>Jasmin Jennifer  Kurniawan</t>
  </si>
  <si>
    <t>Bachdim</t>
  </si>
  <si>
    <t>jennifer.bachdim@web.de</t>
  </si>
  <si>
    <t>+6282110582836</t>
  </si>
  <si>
    <t>Germany</t>
  </si>
  <si>
    <t>B-235</t>
  </si>
  <si>
    <t>Bachrumsjah</t>
  </si>
  <si>
    <t>Hamzah</t>
  </si>
  <si>
    <t>B-102</t>
  </si>
  <si>
    <t>Bachtiar</t>
  </si>
  <si>
    <t>B-0430</t>
  </si>
  <si>
    <t>Novianto</t>
  </si>
  <si>
    <t>tiarwatch@gmail.com</t>
  </si>
  <si>
    <t>+62818856824</t>
  </si>
  <si>
    <t>Jl. Cempaka Putih Tengah 16 No.10</t>
  </si>
  <si>
    <t>B-0341</t>
  </si>
  <si>
    <t>Baco</t>
  </si>
  <si>
    <t>Bosad</t>
  </si>
  <si>
    <t>B-129</t>
  </si>
  <si>
    <t>Badar</t>
  </si>
  <si>
    <t>B-0560</t>
  </si>
  <si>
    <t>Bader</t>
  </si>
  <si>
    <t>Matthias Georg</t>
  </si>
  <si>
    <t>matthiasb@gmx.eu</t>
  </si>
  <si>
    <t>491727319040</t>
  </si>
  <si>
    <t>B-0534</t>
  </si>
  <si>
    <t>Badzhadzh</t>
  </si>
  <si>
    <t>Nikita</t>
  </si>
  <si>
    <t>B-0428</t>
  </si>
  <si>
    <t>Baek</t>
  </si>
  <si>
    <t>Hanbit</t>
  </si>
  <si>
    <t>B-0565</t>
  </si>
  <si>
    <t>Bagaria Krishna</t>
  </si>
  <si>
    <t>Prasad</t>
  </si>
  <si>
    <t>kpbagaria@gmail.com</t>
  </si>
  <si>
    <t>+919830053770</t>
  </si>
  <si>
    <t>B-230</t>
  </si>
  <si>
    <t>Bagus</t>
  </si>
  <si>
    <t>B-0539</t>
  </si>
  <si>
    <t>Bramanti</t>
  </si>
  <si>
    <t>B-0496</t>
  </si>
  <si>
    <t>Gunantoro</t>
  </si>
  <si>
    <t>B-0406</t>
  </si>
  <si>
    <t>Panuntun</t>
  </si>
  <si>
    <t>goez06@gmail.com</t>
  </si>
  <si>
    <t>B-0314</t>
  </si>
  <si>
    <t>Purboyo</t>
  </si>
  <si>
    <t>B-0578</t>
  </si>
  <si>
    <t>Widjojo</t>
  </si>
  <si>
    <t>6281281404684</t>
  </si>
  <si>
    <t>B-0508</t>
  </si>
  <si>
    <t>Bagya</t>
  </si>
  <si>
    <t>Mulyanto</t>
  </si>
  <si>
    <t>B-0360</t>
  </si>
  <si>
    <t>Bahar</t>
  </si>
  <si>
    <t>Alamsjah</t>
  </si>
  <si>
    <t>6281288085602</t>
  </si>
  <si>
    <t>B-0549</t>
  </si>
  <si>
    <t>Bai</t>
  </si>
  <si>
    <t>Fengxiao</t>
  </si>
  <si>
    <t>baifengxiao123@163.com</t>
  </si>
  <si>
    <t>+6581492758</t>
  </si>
  <si>
    <t>B-0485</t>
  </si>
  <si>
    <t>Bains</t>
  </si>
  <si>
    <t>Farinder</t>
  </si>
  <si>
    <t>NEW ZEALAND</t>
  </si>
  <si>
    <t>B-0316</t>
  </si>
  <si>
    <t>Bairi</t>
  </si>
  <si>
    <t>B-0556</t>
  </si>
  <si>
    <t>Bajramovski</t>
  </si>
  <si>
    <t>Ferdi</t>
  </si>
  <si>
    <t>sirok10@yahoo.de</t>
  </si>
  <si>
    <t>+4917464055229</t>
  </si>
  <si>
    <t>Macedonia</t>
  </si>
  <si>
    <t>B-0592</t>
  </si>
  <si>
    <t>Malika</t>
  </si>
  <si>
    <t>Bakshiev</t>
  </si>
  <si>
    <t>malikusha@gmail.com</t>
  </si>
  <si>
    <t>+998880018882</t>
  </si>
  <si>
    <t>B-0260</t>
  </si>
  <si>
    <t>B-0509</t>
  </si>
  <si>
    <t>Balajadia</t>
  </si>
  <si>
    <t>Abesamis</t>
  </si>
  <si>
    <t>Philippine</t>
  </si>
  <si>
    <t>B-101</t>
  </si>
  <si>
    <t>Baldus</t>
  </si>
  <si>
    <t>Gedy</t>
  </si>
  <si>
    <t>B-0551</t>
  </si>
  <si>
    <t>Balharith,</t>
  </si>
  <si>
    <t>Ibrahim Mohammed H,</t>
  </si>
  <si>
    <t>imb@eccgraupksa.com</t>
  </si>
  <si>
    <t>966558974446</t>
  </si>
  <si>
    <t>B-0547</t>
  </si>
  <si>
    <t>Dana</t>
  </si>
  <si>
    <t>Baltabek</t>
  </si>
  <si>
    <t>danalifeb@gmail.com</t>
  </si>
  <si>
    <t>+77018800304</t>
  </si>
  <si>
    <t>Kazakhstan</t>
  </si>
  <si>
    <t>B-0311</t>
  </si>
  <si>
    <t>B-0338</t>
  </si>
  <si>
    <t>B-006</t>
  </si>
  <si>
    <t>Abimanyu</t>
  </si>
  <si>
    <t>B-107</t>
  </si>
  <si>
    <t>Alamsah</t>
  </si>
  <si>
    <t>B-146</t>
  </si>
  <si>
    <t>Alamsyah</t>
  </si>
  <si>
    <t>Jl. Melawai Raya No. 18-20 Kebayoran Baru</t>
  </si>
  <si>
    <t>B-0468</t>
  </si>
  <si>
    <t>Arifatmi</t>
  </si>
  <si>
    <t>bamarifatmi@gmail.com</t>
  </si>
  <si>
    <t>+628119998769</t>
  </si>
  <si>
    <t>Jl.Daksinapati Tenggara No.2</t>
  </si>
  <si>
    <t>B-237</t>
  </si>
  <si>
    <t>B-0484</t>
  </si>
  <si>
    <t>Widiarko</t>
  </si>
  <si>
    <t>B-0444</t>
  </si>
  <si>
    <t>,MD,Ph.D,SpB,SPOT,FICS</t>
  </si>
  <si>
    <t xml:space="preserve">7th Floor Suite 706
Rs.Gading Pluit 
Jl.Boulevard Timur Raya Kelapa Gading</t>
  </si>
  <si>
    <t>B-0579</t>
  </si>
  <si>
    <t>chen.apui1505@gmail.com</t>
  </si>
  <si>
    <t>+639693432254</t>
  </si>
  <si>
    <t>B-007</t>
  </si>
  <si>
    <t>Haryono</t>
  </si>
  <si>
    <t>Perum. Taman Kebon Jeruk</t>
  </si>
  <si>
    <t>Blok G-1 No. 3A</t>
  </si>
  <si>
    <t>B-100</t>
  </si>
  <si>
    <t>Iswanto</t>
  </si>
  <si>
    <t>B-122</t>
  </si>
  <si>
    <t>Mursalin</t>
  </si>
  <si>
    <t>B-189</t>
  </si>
  <si>
    <t>B-009</t>
  </si>
  <si>
    <t xml:space="preserve">Kemang dalam IX/F 27
Jakarta Selatan</t>
  </si>
  <si>
    <t>B-0513</t>
  </si>
  <si>
    <t>B-238</t>
  </si>
  <si>
    <t>B-0568</t>
  </si>
  <si>
    <t>Banay</t>
  </si>
  <si>
    <t>Yitzhak</t>
  </si>
  <si>
    <t>ibanay@live.com</t>
  </si>
  <si>
    <t>+35799009860</t>
  </si>
  <si>
    <t>Israel</t>
  </si>
  <si>
    <t>B-179</t>
  </si>
  <si>
    <t>Bandar</t>
  </si>
  <si>
    <t>B-0387</t>
  </si>
  <si>
    <t>Bane</t>
  </si>
  <si>
    <t>Manalo</t>
  </si>
  <si>
    <t>B-0281</t>
  </si>
  <si>
    <t>Bao</t>
  </si>
  <si>
    <t>B-010</t>
  </si>
  <si>
    <t>Er</t>
  </si>
  <si>
    <t>Mediterania Apt.</t>
  </si>
  <si>
    <t>Jl. Gajah Mada Blok A No. 267</t>
  </si>
  <si>
    <t>B-0569</t>
  </si>
  <si>
    <t>Mulong</t>
  </si>
  <si>
    <t>lovemuoy@gmail.com</t>
  </si>
  <si>
    <t>85257287677</t>
  </si>
  <si>
    <t>B-0462</t>
  </si>
  <si>
    <t>Baoru</t>
  </si>
  <si>
    <t>Liao</t>
  </si>
  <si>
    <t>B-0461</t>
  </si>
  <si>
    <t>Lzao</t>
  </si>
  <si>
    <t>B-0397</t>
  </si>
  <si>
    <t>Bapak</t>
  </si>
  <si>
    <t>Billy</t>
  </si>
  <si>
    <t>B-0425</t>
  </si>
  <si>
    <t>Indra</t>
  </si>
  <si>
    <t>B-0426</t>
  </si>
  <si>
    <t>Jimmy</t>
  </si>
  <si>
    <t>B-011</t>
  </si>
  <si>
    <t>Bara</t>
  </si>
  <si>
    <t>B-0517</t>
  </si>
  <si>
    <t xml:space="preserve">Jl, Teluk tiram darat Rt 28,No 122
kec: Banjarmasin Barat</t>
  </si>
  <si>
    <t>B-0502</t>
  </si>
  <si>
    <t>Barakauskiene</t>
  </si>
  <si>
    <t>Ruta</t>
  </si>
  <si>
    <t>LIETUVOS</t>
  </si>
  <si>
    <t>B-0559</t>
  </si>
  <si>
    <t>Barata</t>
  </si>
  <si>
    <t>Mahadewa</t>
  </si>
  <si>
    <t>+6281311004547</t>
  </si>
  <si>
    <t>Jl. Alkhaerat , Gg Kinara No22</t>
  </si>
  <si>
    <t>B-158</t>
  </si>
  <si>
    <t>Barbara</t>
  </si>
  <si>
    <t>Goluse</t>
  </si>
  <si>
    <t>B-0607</t>
  </si>
  <si>
    <t>Baring</t>
  </si>
  <si>
    <t>Ravandip Kaur</t>
  </si>
  <si>
    <t>ravanbaring@gmail.com</t>
  </si>
  <si>
    <t>14164513655</t>
  </si>
  <si>
    <t>Canada</t>
  </si>
  <si>
    <t>B-0527</t>
  </si>
  <si>
    <t>Barlian</t>
  </si>
  <si>
    <t>P</t>
  </si>
  <si>
    <t xml:space="preserve">ZP23 Residence Kav D
Jeruk Purut Cilandak</t>
  </si>
  <si>
    <t>B-161</t>
  </si>
  <si>
    <t>Barlianto</t>
  </si>
  <si>
    <t>Gunadi</t>
  </si>
  <si>
    <t>B-0486</t>
  </si>
  <si>
    <t>Barnas</t>
  </si>
  <si>
    <t>+6281332666855</t>
  </si>
  <si>
    <t>Jl.Raya BP Wetan No.22-24, Pulopancikan, Gresik, Kab.Gresik, Gresik Jawa Timur. 61111</t>
  </si>
  <si>
    <t>Gresik</t>
  </si>
  <si>
    <t>B-0256</t>
  </si>
  <si>
    <t>Barry</t>
  </si>
  <si>
    <t>Lumankun</t>
  </si>
  <si>
    <t>barry_a_L@yahoo.com</t>
  </si>
  <si>
    <t>Jl Muara Karang blok 0 2 Selatan no 6</t>
  </si>
  <si>
    <t>B-0521</t>
  </si>
  <si>
    <t>Chiang</t>
  </si>
  <si>
    <t>Cikupa Tangerang</t>
  </si>
  <si>
    <t>B-013</t>
  </si>
  <si>
    <t>Lesmana</t>
  </si>
  <si>
    <t>Jl. Taman Golf Timur II No. 19</t>
  </si>
  <si>
    <t>Pantai Indah Kapuk</t>
  </si>
  <si>
    <t>B-154</t>
  </si>
  <si>
    <t>Nimpuna</t>
  </si>
  <si>
    <t xml:space="preserve">Jalan Benda gang yahya no.18 RT 06/04
kemang jakarta-selatan</t>
  </si>
  <si>
    <t>B-0488</t>
  </si>
  <si>
    <t>Baruh</t>
  </si>
  <si>
    <t>Aslan</t>
  </si>
  <si>
    <t>B-0479</t>
  </si>
  <si>
    <t>Bashar</t>
  </si>
  <si>
    <t>Awadh</t>
  </si>
  <si>
    <t>B-0537</t>
  </si>
  <si>
    <t>Basil</t>
  </si>
  <si>
    <t>Gouge</t>
  </si>
  <si>
    <t>bazgouuge@hotmail.com</t>
  </si>
  <si>
    <t>B-0519</t>
  </si>
  <si>
    <t>Baskara</t>
  </si>
  <si>
    <t>Apartement Permata Senayan 1705</t>
  </si>
  <si>
    <t>B-0318</t>
  </si>
  <si>
    <t>Sukarya</t>
  </si>
  <si>
    <t>B-166</t>
  </si>
  <si>
    <t>Bastian</t>
  </si>
  <si>
    <t>Rambie</t>
  </si>
  <si>
    <t>B-0510</t>
  </si>
  <si>
    <t>Ramelan</t>
  </si>
  <si>
    <t>Jl. Kayu putih V /9</t>
  </si>
  <si>
    <t>B-0357</t>
  </si>
  <si>
    <t>Basuki</t>
  </si>
  <si>
    <t>The Kuningan Place I15/B5</t>
  </si>
  <si>
    <t>B-0377</t>
  </si>
  <si>
    <t>Oentoro</t>
  </si>
  <si>
    <t>B-105</t>
  </si>
  <si>
    <t>Prayitno</t>
  </si>
  <si>
    <t>B-0518</t>
  </si>
  <si>
    <t>Surodjo</t>
  </si>
  <si>
    <t>B-0286</t>
  </si>
  <si>
    <t>Bathari</t>
  </si>
  <si>
    <t>Saraswati</t>
  </si>
  <si>
    <t xml:space="preserve">Jl Delima No 254-255 Blok A Rt 001 Rw 006
Cinere</t>
  </si>
  <si>
    <t>B-0545</t>
  </si>
  <si>
    <t>Bausova</t>
  </si>
  <si>
    <t>Viktorija</t>
  </si>
  <si>
    <t>vb9992004400@gmail.com</t>
  </si>
  <si>
    <t>LATVIA</t>
  </si>
  <si>
    <t>B-0386</t>
  </si>
  <si>
    <t>Bayan</t>
  </si>
  <si>
    <t xml:space="preserve">Permata Hijau 
Jln.Limo 10</t>
  </si>
  <si>
    <t>B-0600</t>
  </si>
  <si>
    <t>Mussabayeva</t>
  </si>
  <si>
    <t>mussabayan753@gmail.com</t>
  </si>
  <si>
    <t>+6285870170203</t>
  </si>
  <si>
    <t>B-0395</t>
  </si>
  <si>
    <t>Bayeqin</t>
  </si>
  <si>
    <t>B-0615</t>
  </si>
  <si>
    <t>Bayona</t>
  </si>
  <si>
    <t>628111077334</t>
  </si>
  <si>
    <t>B-0498</t>
  </si>
  <si>
    <t>Bayu</t>
  </si>
  <si>
    <t>B-0349</t>
  </si>
  <si>
    <t>B-224</t>
  </si>
  <si>
    <t>Djokosoetono</t>
  </si>
  <si>
    <t>628159696051</t>
  </si>
  <si>
    <t>B-0420</t>
  </si>
  <si>
    <t>Felindra</t>
  </si>
  <si>
    <t>B-0456</t>
  </si>
  <si>
    <t>Indra w</t>
  </si>
  <si>
    <t>+6281330777113</t>
  </si>
  <si>
    <t xml:space="preserve">JL.TERATAI NO 12
PALU</t>
  </si>
  <si>
    <t>B-0391</t>
  </si>
  <si>
    <t>Jubido</t>
  </si>
  <si>
    <t>VBR Jl. Nias Blok S.1 no.30, Tangsel 15226 Banten, Indonesia</t>
  </si>
  <si>
    <t>B-0266</t>
  </si>
  <si>
    <t>Aryanto</t>
  </si>
  <si>
    <t>B-0304</t>
  </si>
  <si>
    <t>Pamungkas</t>
  </si>
  <si>
    <t>B-0396</t>
  </si>
  <si>
    <t>Prasatyo</t>
  </si>
  <si>
    <t>surabaya</t>
  </si>
  <si>
    <t>B-210</t>
  </si>
  <si>
    <t>Jalan Tambok II No. 24</t>
  </si>
  <si>
    <t>B-0550</t>
  </si>
  <si>
    <t>mdbayu11@gmail.com</t>
  </si>
  <si>
    <t>+6281936611594</t>
  </si>
  <si>
    <t>B-135</t>
  </si>
  <si>
    <t>Beatrice</t>
  </si>
  <si>
    <t>JL. Citra 3 Ext Blk A No.1</t>
  </si>
  <si>
    <t>B-0604</t>
  </si>
  <si>
    <t>Benly</t>
  </si>
  <si>
    <t>beatricepbenly@gmail.com</t>
  </si>
  <si>
    <t>6281241951111</t>
  </si>
  <si>
    <t>Regent Residence Unit 42N</t>
  </si>
  <si>
    <t>B-0292</t>
  </si>
  <si>
    <t>budi</t>
  </si>
  <si>
    <t xml:space="preserve">Jln. Gegerkalong wetan no.54
Bandung</t>
  </si>
  <si>
    <t>B-0595</t>
  </si>
  <si>
    <t>6281386333888</t>
  </si>
  <si>
    <t>B-0597</t>
  </si>
  <si>
    <t>Beatty Jennifer</t>
  </si>
  <si>
    <t>Joan</t>
  </si>
  <si>
    <t>jenbeatty33@gmail.com</t>
  </si>
  <si>
    <t>18145250041</t>
  </si>
  <si>
    <t>B-239</t>
  </si>
  <si>
    <t>Beautiyana</t>
  </si>
  <si>
    <t>B-0411</t>
  </si>
  <si>
    <t>Beautrix</t>
  </si>
  <si>
    <t>B-0258</t>
  </si>
  <si>
    <t>Beauty</t>
  </si>
  <si>
    <t>Oehmke</t>
  </si>
  <si>
    <t>beauty91@hotmail.com</t>
  </si>
  <si>
    <t xml:space="preserve">Jl. Cempaka 1 no 8 
Jl. SMP 87/8</t>
  </si>
  <si>
    <t>B-0515</t>
  </si>
  <si>
    <t>Beby</t>
  </si>
  <si>
    <t>Kby Village H-1</t>
  </si>
  <si>
    <t>Tanggerang Selatan</t>
  </si>
  <si>
    <t>B-0619</t>
  </si>
  <si>
    <t>Bedi</t>
  </si>
  <si>
    <t>Hariyanto</t>
  </si>
  <si>
    <t>bdy05mei@gmail.com</t>
  </si>
  <si>
    <t>6283870844656</t>
  </si>
  <si>
    <t>B-0499</t>
  </si>
  <si>
    <t>Bedjo</t>
  </si>
  <si>
    <t>Sarwono</t>
  </si>
  <si>
    <t>B-156</t>
  </si>
  <si>
    <t>Bee</t>
  </si>
  <si>
    <t>B-018</t>
  </si>
  <si>
    <t>Beflin</t>
  </si>
  <si>
    <t>B-0421</t>
  </si>
  <si>
    <t>Befri</t>
  </si>
  <si>
    <t>Jl. Bromo N0.26 A, RT/RW 003/007, Pesanggrahan</t>
  </si>
  <si>
    <t>B-114</t>
  </si>
  <si>
    <t>Behry</t>
  </si>
  <si>
    <t>Silaimi</t>
  </si>
  <si>
    <t>B-200</t>
  </si>
  <si>
    <t>Bejo</t>
  </si>
  <si>
    <t>Jl Merdeka Barat Sunter</t>
  </si>
  <si>
    <t>Jakarta barat</t>
  </si>
  <si>
    <t>B-209</t>
  </si>
  <si>
    <t>Belda</t>
  </si>
  <si>
    <t>Farika</t>
  </si>
  <si>
    <t>B-0259</t>
  </si>
  <si>
    <t>Marella</t>
  </si>
  <si>
    <t>beldamarella@gmail.com</t>
  </si>
  <si>
    <t>Sunter Mas Timur P/12</t>
  </si>
  <si>
    <t>B-0332</t>
  </si>
  <si>
    <t>Atman</t>
  </si>
  <si>
    <t>Pantai Mutiara YE 9</t>
  </si>
  <si>
    <t>B-0546</t>
  </si>
  <si>
    <t>Tjajadi</t>
  </si>
  <si>
    <t>08119888825</t>
  </si>
  <si>
    <t>Providence Park Unit #33A  / PH1 ~ Jl. Kalimaya No. 27, Jakarta Selatan, 12210</t>
  </si>
  <si>
    <t>B-020</t>
  </si>
  <si>
    <t>Bella</t>
  </si>
  <si>
    <t>B-0325</t>
  </si>
  <si>
    <t>B-0445</t>
  </si>
  <si>
    <t>bella.bellaa20@gmail.com</t>
  </si>
  <si>
    <t>6281366205746</t>
  </si>
  <si>
    <t>B-0535</t>
  </si>
  <si>
    <t>Agusti</t>
  </si>
  <si>
    <t>APARTEMENT CIPUTRA WORLD 2 TOWER ORCHARD</t>
  </si>
  <si>
    <t>B-0290</t>
  </si>
  <si>
    <t>Gabriella</t>
  </si>
  <si>
    <t>BellaGabriella@gmail.com</t>
  </si>
  <si>
    <t>Pelangi Utama A12/36</t>
  </si>
  <si>
    <t>B-0581</t>
  </si>
  <si>
    <t>M.Wibasari</t>
  </si>
  <si>
    <t>6281255485149</t>
  </si>
  <si>
    <t>B-0307</t>
  </si>
  <si>
    <t>Shintia</t>
  </si>
  <si>
    <t>B-0437</t>
  </si>
  <si>
    <t>Sintia</t>
  </si>
  <si>
    <t>B-0557</t>
  </si>
  <si>
    <t>Tanu</t>
  </si>
  <si>
    <t>bellatanu@gmail.com</t>
  </si>
  <si>
    <t>62818122155</t>
  </si>
  <si>
    <t>Jl. Pelangi 2 No.3 TangSel</t>
  </si>
  <si>
    <t>B-0588</t>
  </si>
  <si>
    <t>bellut97@gmail.com</t>
  </si>
  <si>
    <t>6287881667777</t>
  </si>
  <si>
    <t>B-0433</t>
  </si>
  <si>
    <t>Wina</t>
  </si>
  <si>
    <t>B-0596</t>
  </si>
  <si>
    <t>Yulisa</t>
  </si>
  <si>
    <t>62821283239856</t>
  </si>
  <si>
    <t>B-0353</t>
  </si>
  <si>
    <t>Belle</t>
  </si>
  <si>
    <t>Jl Sekolah Duta No 40 PONDOK PINANG JAK-SEL</t>
  </si>
  <si>
    <t>B-0558</t>
  </si>
  <si>
    <t>Belly</t>
  </si>
  <si>
    <t>Ferdiansyah</t>
  </si>
  <si>
    <t>belly_ferdiansyah@yahoo.com</t>
  </si>
  <si>
    <t>+62811105456</t>
  </si>
  <si>
    <t>B-0381</t>
  </si>
  <si>
    <t>Oscar</t>
  </si>
  <si>
    <t>B-0553</t>
  </si>
  <si>
    <t>Beltran</t>
  </si>
  <si>
    <t>Maria Criselda Margarita Tetangco</t>
  </si>
  <si>
    <t>criselda_tetangco888@yahoo.com</t>
  </si>
  <si>
    <t>639175362286</t>
  </si>
  <si>
    <t>B-0309</t>
  </si>
  <si>
    <t>Ben</t>
  </si>
  <si>
    <t>B-0398</t>
  </si>
  <si>
    <t>Lawson</t>
  </si>
  <si>
    <t>B-0275</t>
  </si>
  <si>
    <t>Ryu</t>
  </si>
  <si>
    <t>B-0424</t>
  </si>
  <si>
    <t>Benardo</t>
  </si>
  <si>
    <t>B-0583</t>
  </si>
  <si>
    <t>Benedicta</t>
  </si>
  <si>
    <t>Jocelyn</t>
  </si>
  <si>
    <t>+6281288089710</t>
  </si>
  <si>
    <t>B-0475</t>
  </si>
  <si>
    <t>Beni</t>
  </si>
  <si>
    <t>Johan</t>
  </si>
  <si>
    <t>B-0540</t>
  </si>
  <si>
    <t>Soetanto</t>
  </si>
  <si>
    <t>+628111334101</t>
  </si>
  <si>
    <t>B-021</t>
  </si>
  <si>
    <t>Benigna</t>
  </si>
  <si>
    <t>Maria</t>
  </si>
  <si>
    <t>Aston Rasuna Apt. Tower OB #25D</t>
  </si>
  <si>
    <t>Jl. HR. Rasuna Said Kav. 62</t>
  </si>
  <si>
    <t>B-0587</t>
  </si>
  <si>
    <t>Bening</t>
  </si>
  <si>
    <t>Via</t>
  </si>
  <si>
    <t>sulvia22@yahoo.co.id</t>
  </si>
  <si>
    <t>6281386822558</t>
  </si>
  <si>
    <t>Jl. Sungai Sambas</t>
  </si>
  <si>
    <t>B-227</t>
  </si>
  <si>
    <t>Benita</t>
  </si>
  <si>
    <t>B-0463</t>
  </si>
  <si>
    <t>Benjamin</t>
  </si>
  <si>
    <t>Herzog</t>
  </si>
  <si>
    <t>B-0263</t>
  </si>
  <si>
    <t>B-0375</t>
  </si>
  <si>
    <t>Long</t>
  </si>
  <si>
    <t>AUSTRALIA</t>
  </si>
  <si>
    <t>B-0564</t>
  </si>
  <si>
    <t>Wee</t>
  </si>
  <si>
    <t>benweez2@gmail.com</t>
  </si>
  <si>
    <t>62811194392</t>
  </si>
  <si>
    <t>B-0432</t>
  </si>
  <si>
    <t>Bennett</t>
  </si>
  <si>
    <t>Yin</t>
  </si>
  <si>
    <t>B-024</t>
  </si>
  <si>
    <t>Benni</t>
  </si>
  <si>
    <t>Adisaputro</t>
  </si>
  <si>
    <t>P.T. Mabua Hade Semarang</t>
  </si>
  <si>
    <t>B-025</t>
  </si>
  <si>
    <t>Bennie</t>
  </si>
  <si>
    <t>Brent</t>
  </si>
  <si>
    <t>B-0542</t>
  </si>
  <si>
    <t>Benny</t>
  </si>
  <si>
    <t>Papua Selatan</t>
  </si>
  <si>
    <t>B-027</t>
  </si>
  <si>
    <t>Situmorang</t>
  </si>
  <si>
    <t xml:space="preserve">PT. Jakarta Securities
Wisma Nusantara 5TH 
JL. M.H. Thamrin Kav. 59</t>
  </si>
  <si>
    <t>JKT</t>
  </si>
  <si>
    <t>B-0285</t>
  </si>
  <si>
    <t>B-131</t>
  </si>
  <si>
    <t>arifin</t>
  </si>
  <si>
    <t>B-0355</t>
  </si>
  <si>
    <t>Cahyadi</t>
  </si>
  <si>
    <t>B-111</t>
  </si>
  <si>
    <t>Apt. Puri Cassablanca</t>
  </si>
  <si>
    <t>B-0452</t>
  </si>
  <si>
    <t>Efran</t>
  </si>
  <si>
    <t>B-0514</t>
  </si>
  <si>
    <t>19406049730</t>
  </si>
  <si>
    <t>B-028</t>
  </si>
  <si>
    <t>Harman</t>
  </si>
  <si>
    <t xml:space="preserve">Jl. H. Sijan No.99
Lebak Bulus
Jakarta 12440</t>
  </si>
  <si>
    <t>B-184</t>
  </si>
  <si>
    <t>Benny Hastika</t>
  </si>
  <si>
    <t>Wicaksana Aroeman</t>
  </si>
  <si>
    <t>62811160470</t>
  </si>
  <si>
    <t>B-164</t>
  </si>
  <si>
    <t>B-0305</t>
  </si>
  <si>
    <t>Indrajaya</t>
  </si>
  <si>
    <t>B-0402</t>
  </si>
  <si>
    <t>bennykusuma@hotmail.com</t>
  </si>
  <si>
    <t>628111895789</t>
  </si>
  <si>
    <t>Jl. Pulau Putri Raya O1/36 Kota Modern</t>
  </si>
  <si>
    <t>B-218</t>
  </si>
  <si>
    <t>Lautan</t>
  </si>
  <si>
    <t>B-181</t>
  </si>
  <si>
    <t>Senduk</t>
  </si>
  <si>
    <t>B-029</t>
  </si>
  <si>
    <t>MM</t>
  </si>
  <si>
    <t>Jl. Raya Atrium Senen 6</t>
  </si>
  <si>
    <t>B-030</t>
  </si>
  <si>
    <t>Jl. Janur Asri 3 Blok Q No. 21</t>
  </si>
  <si>
    <t>B-0470</t>
  </si>
  <si>
    <t>B-0602</t>
  </si>
  <si>
    <t>bennytan@pf_dsp.com</t>
  </si>
  <si>
    <t>62815266646</t>
  </si>
  <si>
    <t>Pantai Mutiara Blok 2A No.5</t>
  </si>
  <si>
    <t>B-0439</t>
  </si>
  <si>
    <t>Wibisono</t>
  </si>
  <si>
    <t>628113499901</t>
  </si>
  <si>
    <t>B-0477</t>
  </si>
  <si>
    <t>Beny</t>
  </si>
  <si>
    <t>B-0342</t>
  </si>
  <si>
    <t>+6281399555555</t>
  </si>
  <si>
    <t>Jalan Batu Jajar No. 12, Kebon Kelapa, Jakarta Pusat 10210</t>
  </si>
  <si>
    <t>B-033</t>
  </si>
  <si>
    <t>JL. Raya Atrium No.6 senen</t>
  </si>
  <si>
    <t>B-0567</t>
  </si>
  <si>
    <t>widjojo_8989@hotmail.com</t>
  </si>
  <si>
    <t>62816945879</t>
  </si>
  <si>
    <t>B-0272</t>
  </si>
  <si>
    <t>Benyson</t>
  </si>
  <si>
    <t>B-0505</t>
  </si>
  <si>
    <t>Berezovski</t>
  </si>
  <si>
    <t>Illia</t>
  </si>
  <si>
    <t>B-195</t>
  </si>
  <si>
    <t>Berli</t>
  </si>
  <si>
    <t>berlinlee3@gmail.com</t>
  </si>
  <si>
    <t>Jln.Pangeran tubagus angke komplek taman permata indah 1 blok PL No.18</t>
  </si>
  <si>
    <t>B-0367</t>
  </si>
  <si>
    <t>Berlin</t>
  </si>
  <si>
    <t>berlinlee@gmail.com</t>
  </si>
  <si>
    <t>6281291191799</t>
  </si>
  <si>
    <t>Apartement Regatta Tower New York Jakarta Utara</t>
  </si>
  <si>
    <t>B-0476</t>
  </si>
  <si>
    <t>Bern</t>
  </si>
  <si>
    <t>Na</t>
  </si>
  <si>
    <t>AUSTRALIAN</t>
  </si>
  <si>
    <t>B-225</t>
  </si>
  <si>
    <t>Bernadette</t>
  </si>
  <si>
    <t>+628179364214</t>
  </si>
  <si>
    <t>O-0138</t>
  </si>
  <si>
    <t>Onnie</t>
  </si>
  <si>
    <t>Djatmiko</t>
  </si>
  <si>
    <t>+62818811223</t>
  </si>
  <si>
    <t>B-152</t>
  </si>
  <si>
    <t>B-0552</t>
  </si>
  <si>
    <t>Bernaditha</t>
  </si>
  <si>
    <t>bernadithaalamsyah@yahoo.com</t>
  </si>
  <si>
    <t>+6283892052331</t>
  </si>
  <si>
    <t>Jalan Melawai Raya 18</t>
  </si>
  <si>
    <t>B-0541</t>
  </si>
  <si>
    <t>Bernadus</t>
  </si>
  <si>
    <t>B-0352</t>
  </si>
  <si>
    <t>Bernando</t>
  </si>
  <si>
    <t>B-0563</t>
  </si>
  <si>
    <t>Bernard</t>
  </si>
  <si>
    <t>Dean</t>
  </si>
  <si>
    <t>6281805075900</t>
  </si>
  <si>
    <t>B-151</t>
  </si>
  <si>
    <t>Duc</t>
  </si>
  <si>
    <t>B-147</t>
  </si>
  <si>
    <t>B-040</t>
  </si>
  <si>
    <t>Jl. Permata Hijau Blok J-1 No. 16</t>
  </si>
  <si>
    <t>B-0449</t>
  </si>
  <si>
    <t>Bernikhe</t>
  </si>
  <si>
    <t>B-128</t>
  </si>
  <si>
    <t>Berry</t>
  </si>
  <si>
    <t>Jl. Taman Kencana Permai 5 Pondok Indah 12310</t>
  </si>
  <si>
    <t>B-0453</t>
  </si>
  <si>
    <t>B-0273</t>
  </si>
  <si>
    <t>B-0393</t>
  </si>
  <si>
    <t>Bertha</t>
  </si>
  <si>
    <t>Wijck</t>
  </si>
  <si>
    <t>B-0554</t>
  </si>
  <si>
    <t>Beta</t>
  </si>
  <si>
    <t>Purnama Sari</t>
  </si>
  <si>
    <t>6281333635541</t>
  </si>
  <si>
    <t>Green Hills Residence Jl.Bukit Flamboyan 3/12 Malang</t>
  </si>
  <si>
    <t>B-0372</t>
  </si>
  <si>
    <t>Bethsheba</t>
  </si>
  <si>
    <t>B-0495</t>
  </si>
  <si>
    <t>Betrand</t>
  </si>
  <si>
    <t>Tel</t>
  </si>
  <si>
    <t>B-0538</t>
  </si>
  <si>
    <t>Betrin</t>
  </si>
  <si>
    <t>B-0284</t>
  </si>
  <si>
    <t>Betti</t>
  </si>
  <si>
    <t>Ling</t>
  </si>
  <si>
    <t>628121338113</t>
  </si>
  <si>
    <t>B-0590</t>
  </si>
  <si>
    <t>B-231</t>
  </si>
  <si>
    <t>Betty</t>
  </si>
  <si>
    <t>B-219</t>
  </si>
  <si>
    <t>Ervina</t>
  </si>
  <si>
    <t>B-0443</t>
  </si>
  <si>
    <t>Kapantow</t>
  </si>
  <si>
    <t>B-207</t>
  </si>
  <si>
    <t>Atmodjo</t>
  </si>
  <si>
    <t xml:space="preserve">Jl.Dempo No.27 Pegangsaan
Menteng</t>
  </si>
  <si>
    <t>Jak Pus</t>
  </si>
  <si>
    <t>B-0448</t>
  </si>
  <si>
    <t>081262120966</t>
  </si>
  <si>
    <t>20111</t>
  </si>
  <si>
    <t>B-139</t>
  </si>
  <si>
    <t>Bety</t>
  </si>
  <si>
    <t>HJ</t>
  </si>
  <si>
    <t>B-0408</t>
  </si>
  <si>
    <t>Bevy</t>
  </si>
  <si>
    <t>Rinri</t>
  </si>
  <si>
    <t>Jl. Karet Raya 3 Jakarta Selatan</t>
  </si>
  <si>
    <t>B-0491</t>
  </si>
  <si>
    <t>Bhakti</t>
  </si>
  <si>
    <t>Manik</t>
  </si>
  <si>
    <t>B-137</t>
  </si>
  <si>
    <t>Manintan</t>
  </si>
  <si>
    <t xml:space="preserve">Jl. Rausin No95D Slipi 
Jakarta Barat</t>
  </si>
  <si>
    <t>B-197</t>
  </si>
  <si>
    <t>Bharat</t>
  </si>
  <si>
    <t>Metha</t>
  </si>
  <si>
    <t>B-0599</t>
  </si>
  <si>
    <t>Tami Tong</t>
  </si>
  <si>
    <t>Bhaumik</t>
  </si>
  <si>
    <t>tamiandsam@comcast.net</t>
  </si>
  <si>
    <t>14155098162</t>
  </si>
  <si>
    <t>536 Fordham Road, San Marco, CA 94402, USA</t>
  </si>
  <si>
    <t>B-0605</t>
  </si>
  <si>
    <t>Bhestadi</t>
  </si>
  <si>
    <t>Prayoga</t>
  </si>
  <si>
    <t>B-0460</t>
  </si>
  <si>
    <t>Bhindawati</t>
  </si>
  <si>
    <t>B-0543</t>
  </si>
  <si>
    <t>Bhintang</t>
  </si>
  <si>
    <t>6281273375123</t>
  </si>
  <si>
    <t>Jl.Bazoka No.1</t>
  </si>
  <si>
    <t>B-0345</t>
  </si>
  <si>
    <t>Bian</t>
  </si>
  <si>
    <t>B-0380</t>
  </si>
  <si>
    <t>Yaonan</t>
  </si>
  <si>
    <t>B-0504</t>
  </si>
  <si>
    <t>Yongtan</t>
  </si>
  <si>
    <t>B-0586</t>
  </si>
  <si>
    <t>Zichao</t>
  </si>
  <si>
    <t>6586169113</t>
  </si>
  <si>
    <t>Beijing</t>
  </si>
  <si>
    <t>B-0483</t>
  </si>
  <si>
    <t>Bianca</t>
  </si>
  <si>
    <t>Maryulis</t>
  </si>
  <si>
    <t>bmaryulis@gmail.com</t>
  </si>
  <si>
    <t>jl,putri mutiara V no,9</t>
  </si>
  <si>
    <t>B-0572</t>
  </si>
  <si>
    <t>Rulifa</t>
  </si>
  <si>
    <t>bianca_rulita@hotmail.com</t>
  </si>
  <si>
    <t>+6281287632253</t>
  </si>
  <si>
    <t>Pluit</t>
  </si>
  <si>
    <t>B-0503</t>
  </si>
  <si>
    <t>Biansy</t>
  </si>
  <si>
    <t>poetbiyan@gmail.com</t>
  </si>
  <si>
    <t>628118994118</t>
  </si>
  <si>
    <t>B-192</t>
  </si>
  <si>
    <t>Bichu</t>
  </si>
  <si>
    <t>B-0506</t>
  </si>
  <si>
    <t>BIGANOV</t>
  </si>
  <si>
    <t>MIKHAIL</t>
  </si>
  <si>
    <t>B-0614</t>
  </si>
  <si>
    <t>Bigson</t>
  </si>
  <si>
    <t>+628158891947</t>
  </si>
  <si>
    <t>B-0487</t>
  </si>
  <si>
    <t>Bila</t>
  </si>
  <si>
    <t>B-108</t>
  </si>
  <si>
    <t>Bilai</t>
  </si>
  <si>
    <t>Asif</t>
  </si>
  <si>
    <t>B-0472</t>
  </si>
  <si>
    <t>Bill</t>
  </si>
  <si>
    <t>Ong</t>
  </si>
  <si>
    <t>Jl. Situ Gede No.3d</t>
  </si>
  <si>
    <t>B-0526</t>
  </si>
  <si>
    <t>Anderson</t>
  </si>
  <si>
    <t>6281310757577</t>
  </si>
  <si>
    <t>B-0516</t>
  </si>
  <si>
    <t>Jl Dago Pakar Permai II No 72</t>
  </si>
  <si>
    <t>B-234</t>
  </si>
  <si>
    <t>Darmajaya</t>
  </si>
  <si>
    <t>B-0419</t>
  </si>
  <si>
    <t>Powa</t>
  </si>
  <si>
    <t>Taman Palem E819</t>
  </si>
  <si>
    <t>B-0507</t>
  </si>
  <si>
    <t>Syahputra</t>
  </si>
  <si>
    <t>6281288002627</t>
  </si>
  <si>
    <t>B-0302</t>
  </si>
  <si>
    <t>B-0435</t>
  </si>
  <si>
    <t>Bima</t>
  </si>
  <si>
    <t>B-0469</t>
  </si>
  <si>
    <t>B-0561</t>
  </si>
  <si>
    <t>Bimo</t>
  </si>
  <si>
    <t>Budihardjo</t>
  </si>
  <si>
    <t>Bimabudihardjo@Gmail.com</t>
  </si>
  <si>
    <t>628111902462</t>
  </si>
  <si>
    <t>B-0580</t>
  </si>
  <si>
    <t>Bima Cahya</t>
  </si>
  <si>
    <t>Gratama</t>
  </si>
  <si>
    <t>bima.cahya.g@gmail.com</t>
  </si>
  <si>
    <t>628111877798</t>
  </si>
  <si>
    <t>B-0573</t>
  </si>
  <si>
    <t>Kandi</t>
  </si>
  <si>
    <t>Nuranda</t>
  </si>
  <si>
    <t>6281242106818</t>
  </si>
  <si>
    <t>B-0255</t>
  </si>
  <si>
    <t>binanuranda@gmail.con</t>
  </si>
  <si>
    <t>62811948777</t>
  </si>
  <si>
    <t>Pantai indah Kapuk</t>
  </si>
  <si>
    <t>B-051</t>
  </si>
  <si>
    <t>Sumawijaya</t>
  </si>
  <si>
    <t>Jl. Panglima Polim Raya 19</t>
  </si>
  <si>
    <t>B-0289</t>
  </si>
  <si>
    <t>Yogha</t>
  </si>
  <si>
    <t>B-117</t>
  </si>
  <si>
    <t>Bimantoro</t>
  </si>
  <si>
    <t>B-0522</t>
  </si>
  <si>
    <t>Nirwana Estate Blok P No.3</t>
  </si>
  <si>
    <t>B-167</t>
  </si>
  <si>
    <t>B-0530</t>
  </si>
  <si>
    <t>Hardono</t>
  </si>
  <si>
    <t>B-124</t>
  </si>
  <si>
    <t>B-0446</t>
  </si>
  <si>
    <t>Wirjasoekarta</t>
  </si>
  <si>
    <t>B-0481</t>
  </si>
  <si>
    <t>B-222</t>
  </si>
  <si>
    <t>Zhang</t>
  </si>
  <si>
    <t>Shen Zhen Guangdong, China</t>
  </si>
  <si>
    <t>B-221</t>
  </si>
  <si>
    <t>Bina</t>
  </si>
  <si>
    <t>Kiswanti</t>
  </si>
  <si>
    <t>Binadessi@gmail.com</t>
  </si>
  <si>
    <t xml:space="preserve">Jl.Penjernihan I Komplek DepKeu
No 25 Pejompongan.</t>
  </si>
  <si>
    <t>B-054</t>
  </si>
  <si>
    <t>Bing</t>
  </si>
  <si>
    <t>(Klaten)</t>
  </si>
  <si>
    <t>B-0320</t>
  </si>
  <si>
    <t>Selamet</t>
  </si>
  <si>
    <t>M-1387</t>
  </si>
  <si>
    <t>Sun</t>
  </si>
  <si>
    <t>B-0566</t>
  </si>
  <si>
    <t>Bingquan</t>
  </si>
  <si>
    <t>Zhuang</t>
  </si>
  <si>
    <t>8615807220796</t>
  </si>
  <si>
    <t>Cina</t>
  </si>
  <si>
    <t>B-055</t>
  </si>
  <si>
    <t>B-138</t>
  </si>
  <si>
    <t>Bintan</t>
  </si>
  <si>
    <t>B-0603</t>
  </si>
  <si>
    <t>Syavira</t>
  </si>
  <si>
    <t>syafirabintang453@gmail.com</t>
  </si>
  <si>
    <t>+6285772355457</t>
  </si>
  <si>
    <t>Wang Residence</t>
  </si>
  <si>
    <t>B-0440</t>
  </si>
  <si>
    <t>Tiur Pinta</t>
  </si>
  <si>
    <t>Siagian</t>
  </si>
  <si>
    <t>+628121030788</t>
  </si>
  <si>
    <t xml:space="preserve">Bulak raya 28A, klender jakarta timur
BDAY Ibu Tiur 17 mei 1967</t>
  </si>
  <si>
    <t>B-0288</t>
  </si>
  <si>
    <t>Bintari</t>
  </si>
  <si>
    <t>bintari75@yahoo.com</t>
  </si>
  <si>
    <t>M-1455</t>
  </si>
  <si>
    <t>Bira.</t>
  </si>
  <si>
    <t>B-0531</t>
  </si>
  <si>
    <t>Bird</t>
  </si>
  <si>
    <t>B-0574</t>
  </si>
  <si>
    <t>Genevieve</t>
  </si>
  <si>
    <t>Bismop</t>
  </si>
  <si>
    <t>genbishop99@gmail.com</t>
  </si>
  <si>
    <t>61414966977</t>
  </si>
  <si>
    <t>B-0532</t>
  </si>
  <si>
    <t>Bisma</t>
  </si>
  <si>
    <t>B-057</t>
  </si>
  <si>
    <t>Biyan</t>
  </si>
  <si>
    <t>( 021 ) 724 8086</t>
  </si>
  <si>
    <t>JL. Sawo Kav 2C Villa Sawo Cipete Utara</t>
  </si>
  <si>
    <t>B-058</t>
  </si>
  <si>
    <t>Wanaatmadja</t>
  </si>
  <si>
    <t>Jl. Kemang Selatan VII No. 83A</t>
  </si>
  <si>
    <t>B-0474</t>
  </si>
  <si>
    <t>Blaskeviciene</t>
  </si>
  <si>
    <t>Birute</t>
  </si>
  <si>
    <t>Lietuva</t>
  </si>
  <si>
    <t>B-130</t>
  </si>
  <si>
    <t>Blenda</t>
  </si>
  <si>
    <t>B-0562</t>
  </si>
  <si>
    <t>Nina</t>
  </si>
  <si>
    <t>Blignaut</t>
  </si>
  <si>
    <t>ninablignaut@gmail.com</t>
  </si>
  <si>
    <t>27825797703</t>
  </si>
  <si>
    <t>South Africa</t>
  </si>
  <si>
    <t>B-0423</t>
  </si>
  <si>
    <t>Boaz</t>
  </si>
  <si>
    <t>SH</t>
  </si>
  <si>
    <t>B-060</t>
  </si>
  <si>
    <t>Bob</t>
  </si>
  <si>
    <t>B-0571</t>
  </si>
  <si>
    <t>Faroka</t>
  </si>
  <si>
    <t>6281333770808</t>
  </si>
  <si>
    <t>Manado</t>
  </si>
  <si>
    <t>B-245</t>
  </si>
  <si>
    <t>Bobby</t>
  </si>
  <si>
    <t>jalan pramuka</t>
  </si>
  <si>
    <t>jakarta timur</t>
  </si>
  <si>
    <t>B-0409</t>
  </si>
  <si>
    <t>Pantow</t>
  </si>
  <si>
    <t>B-0416</t>
  </si>
  <si>
    <t>Dawardi</t>
  </si>
  <si>
    <t>B-061</t>
  </si>
  <si>
    <t>Noya</t>
  </si>
  <si>
    <t>Perum. Taman Alfa Indah Blok F-1 No. 26</t>
  </si>
  <si>
    <t>B-172</t>
  </si>
  <si>
    <t>Boby</t>
  </si>
  <si>
    <t>B-193</t>
  </si>
  <si>
    <t>Boedi</t>
  </si>
  <si>
    <t>B-062</t>
  </si>
  <si>
    <t>Boediharta</t>
  </si>
  <si>
    <t>Winarta</t>
  </si>
  <si>
    <t>Perum. Green Garden Blok H-1 No.34</t>
  </si>
  <si>
    <t>B-063</t>
  </si>
  <si>
    <t>Boediono</t>
  </si>
  <si>
    <t>Tjiptodihardjo</t>
  </si>
  <si>
    <t>Jl. Pasir Putih III No. 4-6</t>
  </si>
  <si>
    <t>Ancol</t>
  </si>
  <si>
    <t>B-168</t>
  </si>
  <si>
    <t>Boen</t>
  </si>
  <si>
    <t>Sloe</t>
  </si>
  <si>
    <t>Jl. Kesehatan Raya No.17</t>
  </si>
  <si>
    <t>B-144</t>
  </si>
  <si>
    <t>Bogdan</t>
  </si>
  <si>
    <t>Raduca</t>
  </si>
  <si>
    <t>B-0512</t>
  </si>
  <si>
    <t>Bogdanov</t>
  </si>
  <si>
    <t>Aleksei</t>
  </si>
  <si>
    <t>Russian</t>
  </si>
  <si>
    <t>B-0429</t>
  </si>
  <si>
    <t>Boh</t>
  </si>
  <si>
    <t>Taniwan</t>
  </si>
  <si>
    <t>B-0489</t>
  </si>
  <si>
    <t>Bolduc</t>
  </si>
  <si>
    <t>Gabriel</t>
  </si>
  <si>
    <t>B-0376</t>
  </si>
  <si>
    <t>Bong</t>
  </si>
  <si>
    <t>B-0257</t>
  </si>
  <si>
    <t>Jl. Pluit Kencana Raya no 31</t>
  </si>
  <si>
    <t>B-0298</t>
  </si>
  <si>
    <t>Boniangga</t>
  </si>
  <si>
    <t>B-0548</t>
  </si>
  <si>
    <t>Bonita</t>
  </si>
  <si>
    <t>Effendi</t>
  </si>
  <si>
    <t>effendibonita@gmail.com</t>
  </si>
  <si>
    <t>+6287883303893</t>
  </si>
  <si>
    <t>B-0598</t>
  </si>
  <si>
    <t>nita.bonita2007@gmail.com</t>
  </si>
  <si>
    <t>6281311257990</t>
  </si>
  <si>
    <t>River Park Blok GE 2 No 3, Sektor 8, Bintaro Jaya 15223</t>
  </si>
  <si>
    <t>B-067</t>
  </si>
  <si>
    <t>Bonnie</t>
  </si>
  <si>
    <t>Nova</t>
  </si>
  <si>
    <t>( 0561 ) 761127</t>
  </si>
  <si>
    <t>JL. Putri Candra Midi GG. H.Sudi Hati No.11</t>
  </si>
  <si>
    <t>B-0528</t>
  </si>
  <si>
    <t>Borisov</t>
  </si>
  <si>
    <t>B-0482</t>
  </si>
  <si>
    <t>Borny</t>
  </si>
  <si>
    <t>Handriko</t>
  </si>
  <si>
    <t>Mampang prapatan XI</t>
  </si>
  <si>
    <t>B-0524</t>
  </si>
  <si>
    <t>Bossong</t>
  </si>
  <si>
    <t>Steven</t>
  </si>
  <si>
    <t>Ausrtralia</t>
  </si>
  <si>
    <t>B-0511</t>
  </si>
  <si>
    <t>Bouazza</t>
  </si>
  <si>
    <t>Hanine</t>
  </si>
  <si>
    <t>Tunisia</t>
  </si>
  <si>
    <t>B-0270</t>
  </si>
  <si>
    <t>Boy</t>
  </si>
  <si>
    <t>Alamri</t>
  </si>
  <si>
    <t>B-232</t>
  </si>
  <si>
    <t>Budiman</t>
  </si>
  <si>
    <t>widyaxtreta@yahoo.com</t>
  </si>
  <si>
    <t>B-0329</t>
  </si>
  <si>
    <t>022 7323067</t>
  </si>
  <si>
    <t xml:space="preserve">guntur 15 gatpt subroto
40265 bandung</t>
  </si>
  <si>
    <t>B-162</t>
  </si>
  <si>
    <t>Boya</t>
  </si>
  <si>
    <t>Alderson</t>
  </si>
  <si>
    <t>B-136</t>
  </si>
  <si>
    <t>Sudibyo</t>
  </si>
  <si>
    <t>Jl. Wijaya 1 no.17</t>
  </si>
  <si>
    <t>jakarta selatan</t>
  </si>
  <si>
    <t>B-0575</t>
  </si>
  <si>
    <t>Bozena</t>
  </si>
  <si>
    <t>Kaluza</t>
  </si>
  <si>
    <t>kaluzaintl@yahoo.com</t>
  </si>
  <si>
    <t>13058018363</t>
  </si>
  <si>
    <t>G-085</t>
  </si>
  <si>
    <t>Bpk</t>
  </si>
  <si>
    <t>B-0480</t>
  </si>
  <si>
    <t>.Amaris</t>
  </si>
  <si>
    <t>B-0405</t>
  </si>
  <si>
    <t>Bpk.</t>
  </si>
  <si>
    <t>B-074</t>
  </si>
  <si>
    <t>Brahim</t>
  </si>
  <si>
    <t>Rahmanto</t>
  </si>
  <si>
    <t>Jl. Margasatwa No. 21</t>
  </si>
  <si>
    <t>Pondok Labu</t>
  </si>
  <si>
    <t>B-113</t>
  </si>
  <si>
    <t>Brahmantini</t>
  </si>
  <si>
    <t>Jl. Utan Kayu No. 67 B</t>
  </si>
  <si>
    <t>B-175</t>
  </si>
  <si>
    <t>Bram</t>
  </si>
  <si>
    <t>6281534405842</t>
  </si>
  <si>
    <t xml:space="preserve">Jl Anggrek Rosaliana II Blok H No.120
Slipi, Jakarta Barat</t>
  </si>
  <si>
    <t>B-0394</t>
  </si>
  <si>
    <t>Kalianda</t>
  </si>
  <si>
    <t>B-075</t>
  </si>
  <si>
    <t xml:space="preserve">Tower A Apt 3CF
Hamptons Park
Pondok Indah</t>
  </si>
  <si>
    <t>B-0250</t>
  </si>
  <si>
    <t>Bramadi</t>
  </si>
  <si>
    <t>Mualim</t>
  </si>
  <si>
    <t xml:space="preserve">Komplek Taman Permata Buana
Jl Buana Bira IX Blok C16 No.30
Puri Kembangan</t>
  </si>
  <si>
    <t>B-0471</t>
  </si>
  <si>
    <t>Bramy</t>
  </si>
  <si>
    <t>B-0407</t>
  </si>
  <si>
    <t>Brando</t>
  </si>
  <si>
    <t>Phitoyo</t>
  </si>
  <si>
    <t>jl pantai kuta 1 no 18 jakarta 14430</t>
  </si>
  <si>
    <t>B-0442</t>
  </si>
  <si>
    <t>Brandon</t>
  </si>
  <si>
    <t>gunawanbrandon95@gmail.com</t>
  </si>
  <si>
    <t>6281111810595</t>
  </si>
  <si>
    <t>B-0585</t>
  </si>
  <si>
    <t>Hsiao</t>
  </si>
  <si>
    <t>brandon.p.hsiao@gmail.com</t>
  </si>
  <si>
    <t>+628119538289</t>
  </si>
  <si>
    <t>Jl. Dago Indah No.60</t>
  </si>
  <si>
    <t>B-201</t>
  </si>
  <si>
    <t>Jl Flamboyan 6 Pondok Indah</t>
  </si>
  <si>
    <t>B-076</t>
  </si>
  <si>
    <t>Kusumah</t>
  </si>
  <si>
    <t>B-0529</t>
  </si>
  <si>
    <t>Bravo</t>
  </si>
  <si>
    <t>Eduardo</t>
  </si>
  <si>
    <t>+17866600350</t>
  </si>
  <si>
    <t>Colombia</t>
  </si>
  <si>
    <t>B-0584</t>
  </si>
  <si>
    <t>Breend Benny</t>
  </si>
  <si>
    <t>Dharmawan</t>
  </si>
  <si>
    <t>6281391238030</t>
  </si>
  <si>
    <t>Sulawesi</t>
  </si>
  <si>
    <t>B-187</t>
  </si>
  <si>
    <t>Brenda Christie</t>
  </si>
  <si>
    <t>Setijo</t>
  </si>
  <si>
    <t>brendasetijo@gmail.com</t>
  </si>
  <si>
    <t>+6281317237700</t>
  </si>
  <si>
    <t>Katamaran Indah 11 no 22</t>
  </si>
  <si>
    <t>B-182</t>
  </si>
  <si>
    <t>Brenda</t>
  </si>
  <si>
    <t>Miliangan</t>
  </si>
  <si>
    <t>B-0404</t>
  </si>
  <si>
    <t>+628119787492</t>
  </si>
  <si>
    <t>L-1391</t>
  </si>
  <si>
    <t>Brenna</t>
  </si>
  <si>
    <t>E-0492</t>
  </si>
  <si>
    <t>Radjimin</t>
  </si>
  <si>
    <t>B-0418</t>
  </si>
  <si>
    <t>Bret</t>
  </si>
  <si>
    <t>Matthew</t>
  </si>
  <si>
    <t>B-0300</t>
  </si>
  <si>
    <t>Brett</t>
  </si>
  <si>
    <t>McGuire</t>
  </si>
  <si>
    <t>B-0608</t>
  </si>
  <si>
    <t>Brett Shane</t>
  </si>
  <si>
    <t>Bernstein</t>
  </si>
  <si>
    <t>bsb14@comcast.net</t>
  </si>
  <si>
    <t>13014370010</t>
  </si>
  <si>
    <t>Pennsylvania</t>
  </si>
  <si>
    <t>B-215</t>
  </si>
  <si>
    <t>Brian</t>
  </si>
  <si>
    <t>brian.budiman@gmail.com</t>
  </si>
  <si>
    <t>B-0467</t>
  </si>
  <si>
    <t>Minandi</t>
  </si>
  <si>
    <t xml:space="preserve">JL. PESANGGARAN, PERUM ISTANA REGENCY
BLOK U 1,80223
DENPASAR SELATAN
BALI</t>
  </si>
  <si>
    <t>B-0335</t>
  </si>
  <si>
    <t xml:space="preserve">Pakubuwono Residence B10 
Jl. Pakubuwono VI</t>
  </si>
  <si>
    <t>B-0385</t>
  </si>
  <si>
    <t>brigitawidjaja@yahoo.com</t>
  </si>
  <si>
    <t>Jl. Niaga Duta I/BB11</t>
  </si>
  <si>
    <t>B-078</t>
  </si>
  <si>
    <t>Brigitta</t>
  </si>
  <si>
    <t>Djingga</t>
  </si>
  <si>
    <t>Grand Marina Blok 5/56</t>
  </si>
  <si>
    <t>B-0308</t>
  </si>
  <si>
    <t>Briliant</t>
  </si>
  <si>
    <t>B-0609</t>
  </si>
  <si>
    <t>Bruletova</t>
  </si>
  <si>
    <t>bruletova.brual@gmail.com</t>
  </si>
  <si>
    <t>+35797777167</t>
  </si>
  <si>
    <t>B-216</t>
  </si>
  <si>
    <t>Bryan</t>
  </si>
  <si>
    <t>Palar</t>
  </si>
  <si>
    <t>bryan.palar@gmail.com</t>
  </si>
  <si>
    <t>Casablanca Raya Kav 88</t>
  </si>
  <si>
    <t>B-211</t>
  </si>
  <si>
    <t>Bryant</t>
  </si>
  <si>
    <t>Dun</t>
  </si>
  <si>
    <t>bryantdun@gmail.com</t>
  </si>
  <si>
    <t>133 Glorietta Blud</t>
  </si>
  <si>
    <t>Orinda</t>
  </si>
  <si>
    <t>B-0577</t>
  </si>
  <si>
    <t>Brynn Marie</t>
  </si>
  <si>
    <t>Raffensperge</t>
  </si>
  <si>
    <t>brynn.raffensperger@gmail.com</t>
  </si>
  <si>
    <t>13013467151</t>
  </si>
  <si>
    <t>B-0594</t>
  </si>
  <si>
    <t>Bryson</t>
  </si>
  <si>
    <t>Svetlana</t>
  </si>
  <si>
    <t>svetlana.brsn@gmail.com</t>
  </si>
  <si>
    <t>61435460654</t>
  </si>
  <si>
    <t>L-664</t>
  </si>
  <si>
    <t>Bu</t>
  </si>
  <si>
    <t>Lely</t>
  </si>
  <si>
    <t>M-1433</t>
  </si>
  <si>
    <t>Budhi</t>
  </si>
  <si>
    <t>Haryanto</t>
  </si>
  <si>
    <t>+628112789595</t>
  </si>
  <si>
    <t>B-0611</t>
  </si>
  <si>
    <t>budhidjunaid@yahoo.com</t>
  </si>
  <si>
    <t>62811882989</t>
  </si>
  <si>
    <t>Oakwood PIK Jakarta</t>
  </si>
  <si>
    <t>B-081</t>
  </si>
  <si>
    <t>B-213</t>
  </si>
  <si>
    <t>B-0362</t>
  </si>
  <si>
    <t>6215012025</t>
  </si>
  <si>
    <t>B-0536</t>
  </si>
  <si>
    <t>Asmarani</t>
  </si>
  <si>
    <t>B-174</t>
  </si>
  <si>
    <t>Atyasa</t>
  </si>
  <si>
    <t>B-160</t>
  </si>
  <si>
    <t>B-0612</t>
  </si>
  <si>
    <t>6285710246183</t>
  </si>
  <si>
    <t>B-0455</t>
  </si>
  <si>
    <t>B-0464</t>
  </si>
  <si>
    <t>B-0441</t>
  </si>
  <si>
    <t>B-0473</t>
  </si>
  <si>
    <t>budi@matasa.id</t>
  </si>
  <si>
    <t>B-0478</t>
  </si>
  <si>
    <t>B-0415</t>
  </si>
  <si>
    <t>B-116</t>
  </si>
  <si>
    <t>Kusno</t>
  </si>
  <si>
    <t>B-087</t>
  </si>
  <si>
    <t>B-0412</t>
  </si>
  <si>
    <t>ndriyani</t>
  </si>
  <si>
    <t>B-0324</t>
  </si>
  <si>
    <t>Jl Raya Kelapa Cengkir no 10</t>
  </si>
  <si>
    <t>jakarta</t>
  </si>
  <si>
    <t>B-0340</t>
  </si>
  <si>
    <t>B-0613</t>
  </si>
  <si>
    <t>Purnama</t>
  </si>
  <si>
    <t>6282130377346</t>
  </si>
  <si>
    <t>B-0620</t>
  </si>
  <si>
    <t>b.purnomo@taurus-gemilang.com</t>
  </si>
  <si>
    <t>6281934123235</t>
  </si>
  <si>
    <t>B-0264</t>
  </si>
  <si>
    <t>B-0368</t>
  </si>
  <si>
    <t>B-133</t>
  </si>
  <si>
    <t>Saritosa</t>
  </si>
  <si>
    <t>B-194</t>
  </si>
  <si>
    <t>gunadi</t>
  </si>
  <si>
    <t>Budisetiawan@gmail.com</t>
  </si>
  <si>
    <t>Jln Aw Syahrani Perumahan Villa tamara blok Ej No 1</t>
  </si>
  <si>
    <t>B-093</t>
  </si>
  <si>
    <t>B-0465</t>
  </si>
  <si>
    <t xml:space="preserve">Panglima Polim VII No.144
Kebayoran Baru</t>
  </si>
  <si>
    <t>B-0417</t>
  </si>
  <si>
    <t>B-0327</t>
  </si>
  <si>
    <t>B-0254</t>
  </si>
  <si>
    <t>budi.tandapranata@gmail.com</t>
  </si>
  <si>
    <t xml:space="preserve">Jl. Suryani Indah No.7
4'+'+62211</t>
  </si>
  <si>
    <t>B-106</t>
  </si>
  <si>
    <t>Plaza Asia unit 2 Jakarta Selatan</t>
  </si>
  <si>
    <t>B-0589</t>
  </si>
  <si>
    <t>Soesilo</t>
  </si>
  <si>
    <t>B-0501</t>
  </si>
  <si>
    <t>Budiana</t>
  </si>
  <si>
    <t>Gede</t>
  </si>
  <si>
    <t>Denpasar- Bali</t>
  </si>
  <si>
    <t>B-119</t>
  </si>
  <si>
    <t>Budiani</t>
  </si>
  <si>
    <t>B-0389</t>
  </si>
  <si>
    <t>Budiansyah</t>
  </si>
  <si>
    <t>Kamsi</t>
  </si>
  <si>
    <t>B-183</t>
  </si>
  <si>
    <t>Budianto</t>
  </si>
  <si>
    <t>B-0401</t>
  </si>
  <si>
    <t>Nata</t>
  </si>
  <si>
    <t>817198666</t>
  </si>
  <si>
    <t>B-121</t>
  </si>
  <si>
    <t>Purwahjo</t>
  </si>
  <si>
    <t>B-0434</t>
  </si>
  <si>
    <t>Budianto/</t>
  </si>
  <si>
    <t>Debby</t>
  </si>
  <si>
    <t>Jember - Jawa Timur</t>
  </si>
  <si>
    <t>B-088</t>
  </si>
  <si>
    <t>Budiharto</t>
  </si>
  <si>
    <t>62818888222</t>
  </si>
  <si>
    <t>B-0312</t>
  </si>
  <si>
    <t>Budihasin</t>
  </si>
  <si>
    <t>Sunanda</t>
  </si>
  <si>
    <t>Jl. Tunjung Biru No.9</t>
  </si>
  <si>
    <t>B-084</t>
  </si>
  <si>
    <t>Budijanto</t>
  </si>
  <si>
    <t>Jl. Taman Golf Timur</t>
  </si>
  <si>
    <t>Blok B4 no. 9</t>
  </si>
  <si>
    <t>B-212</t>
  </si>
  <si>
    <t>B-0403</t>
  </si>
  <si>
    <t>B-132</t>
  </si>
  <si>
    <t>+6281510109199</t>
  </si>
  <si>
    <t>B-085</t>
  </si>
  <si>
    <t>Poedirahardjo</t>
  </si>
  <si>
    <t>B-0533</t>
  </si>
  <si>
    <t>Jl. Kramat Gantung 28, Kel. Alon alon contong, Kec. Bubutan, Surabaya 60174</t>
  </si>
  <si>
    <t>B-0523</t>
  </si>
  <si>
    <t>Sungkana</t>
  </si>
  <si>
    <t xml:space="preserve">Jl.Rawa Kepa III/677 Tomang ,
Jakarta Barat</t>
  </si>
  <si>
    <t>B-0356</t>
  </si>
  <si>
    <t>Darmastono</t>
  </si>
  <si>
    <t>Jl. Bangka II 17A</t>
  </si>
  <si>
    <t>Cilandak</t>
  </si>
  <si>
    <t>B-0295</t>
  </si>
  <si>
    <t>Budiyento</t>
  </si>
  <si>
    <t>B-198</t>
  </si>
  <si>
    <t>B-0520</t>
  </si>
  <si>
    <t>Budko</t>
  </si>
  <si>
    <t>Olga</t>
  </si>
  <si>
    <t>B-0321</t>
  </si>
  <si>
    <t>Bugie</t>
  </si>
  <si>
    <t>Aryatmo</t>
  </si>
  <si>
    <t>B-199</t>
  </si>
  <si>
    <t>Bugis</t>
  </si>
  <si>
    <t>Nurjachman</t>
  </si>
  <si>
    <t>B-0576</t>
  </si>
  <si>
    <t>Bui</t>
  </si>
  <si>
    <t>Thi Hoa</t>
  </si>
  <si>
    <t>84989052977</t>
  </si>
  <si>
    <t>B-103</t>
  </si>
  <si>
    <t>Bulan</t>
  </si>
  <si>
    <t>B-0497</t>
  </si>
  <si>
    <t>Petrus</t>
  </si>
  <si>
    <t>bulanpetrus@gmail.com</t>
  </si>
  <si>
    <t>B-0492</t>
  </si>
  <si>
    <t>Bulgari</t>
  </si>
  <si>
    <t>Place</t>
  </si>
  <si>
    <t>pp@mogems.co.id</t>
  </si>
  <si>
    <t>Pacific Place Mall - GF Unit 35 A &amp; B</t>
  </si>
  <si>
    <t>B-0271</t>
  </si>
  <si>
    <t>Bvlgari Resort Bali</t>
  </si>
  <si>
    <t>nuno.dias@bulgarihotels.com</t>
  </si>
  <si>
    <t>+62318471000</t>
  </si>
  <si>
    <t>Jalan Goa Lempeh, Banjar Dinas Kangin Uluwatu</t>
  </si>
  <si>
    <t>B-0544</t>
  </si>
  <si>
    <t>Bumi</t>
  </si>
  <si>
    <t>B-0294</t>
  </si>
  <si>
    <t>Bun</t>
  </si>
  <si>
    <t>Victoria</t>
  </si>
  <si>
    <t>Primer Recidence No.70.Tangerang-Banten</t>
  </si>
  <si>
    <t>B-034</t>
  </si>
  <si>
    <t>Bunda</t>
  </si>
  <si>
    <t xml:space="preserve">Kemayoran Mediterania PLC
Jakarta</t>
  </si>
  <si>
    <t>B-0339</t>
  </si>
  <si>
    <t>Bung</t>
  </si>
  <si>
    <t>Mangraja</t>
  </si>
  <si>
    <t>B-249</t>
  </si>
  <si>
    <t>Bunga</t>
  </si>
  <si>
    <t>B-0570</t>
  </si>
  <si>
    <t>Firliani</t>
  </si>
  <si>
    <t xml:space="preserve">JL. Kota Bambu Selatan - Palmerah
Jakarta Barat</t>
  </si>
  <si>
    <t>B-0490</t>
  </si>
  <si>
    <t>Jl Raya Tengah No 22 Jakarta Timur</t>
  </si>
  <si>
    <t>B-246</t>
  </si>
  <si>
    <t>Burhan</t>
  </si>
  <si>
    <t>B-236</t>
  </si>
  <si>
    <t>Basori</t>
  </si>
  <si>
    <t>B-0606</t>
  </si>
  <si>
    <t>Burhanudin</t>
  </si>
  <si>
    <t>08118306676</t>
  </si>
  <si>
    <t>B-0525</t>
  </si>
  <si>
    <t>Burrows</t>
  </si>
  <si>
    <t>Heather</t>
  </si>
  <si>
    <t>B-149</t>
  </si>
  <si>
    <t>Busera</t>
  </si>
  <si>
    <t>B-170</t>
  </si>
  <si>
    <t>Bustami</t>
  </si>
  <si>
    <t>rustam</t>
  </si>
  <si>
    <t>B-180</t>
  </si>
  <si>
    <t>Buti</t>
  </si>
  <si>
    <t>A.Azhali</t>
  </si>
  <si>
    <t>butiazhali@gmail.com</t>
  </si>
  <si>
    <t>Jl. Citarum no 37</t>
  </si>
  <si>
    <t>B-0315</t>
  </si>
  <si>
    <t>Buyung</t>
  </si>
  <si>
    <t xml:space="preserve">Cipinang Cempedak $ No.33.
Jakarta.13340</t>
  </si>
  <si>
    <t>B-0593</t>
  </si>
  <si>
    <t>Buzhenitsa</t>
  </si>
  <si>
    <t>George,</t>
  </si>
  <si>
    <t>souchakova@hotmail.com</t>
  </si>
  <si>
    <t>+79265366033</t>
  </si>
  <si>
    <t>B-0601</t>
  </si>
  <si>
    <t>Byulah</t>
  </si>
  <si>
    <t>byulah@gmail.com</t>
  </si>
  <si>
    <t>6281385034885</t>
  </si>
  <si>
    <t xml:space="preserve">Bloomington Tower 0201
Kemang</t>
  </si>
  <si>
    <t>B-096</t>
  </si>
  <si>
    <t>Byung</t>
  </si>
  <si>
    <t>Puri Casablanca Apt. Tower A #1507</t>
  </si>
  <si>
    <t>C-6326</t>
  </si>
  <si>
    <t>C</t>
  </si>
  <si>
    <t>Widadi</t>
  </si>
  <si>
    <t>Magelang Semampir Baru  Muntilan</t>
  </si>
  <si>
    <t>K-278</t>
  </si>
  <si>
    <t>C Yasmin</t>
  </si>
  <si>
    <t>Goren</t>
  </si>
  <si>
    <t>+6281210909545</t>
  </si>
  <si>
    <t xml:space="preserve">Puri Bintaro PB2 No. 24 Sektor 9
Bintaro - Jak Sel</t>
  </si>
  <si>
    <t>C-223</t>
  </si>
  <si>
    <t>Ca</t>
  </si>
  <si>
    <t>Zhe</t>
  </si>
  <si>
    <t>C-0715</t>
  </si>
  <si>
    <t>Caecilia</t>
  </si>
  <si>
    <t>Krismini</t>
  </si>
  <si>
    <t>C-0675</t>
  </si>
  <si>
    <t>Sulistiowati</t>
  </si>
  <si>
    <t>+628161300404</t>
  </si>
  <si>
    <t>C-122</t>
  </si>
  <si>
    <t>Widiyaningsih</t>
  </si>
  <si>
    <t>Jl. Dempo No.18 Matraman</t>
  </si>
  <si>
    <t>C-6237</t>
  </si>
  <si>
    <t>Cesa</t>
  </si>
  <si>
    <t>6281287699980</t>
  </si>
  <si>
    <t>C-039</t>
  </si>
  <si>
    <t>C-6282</t>
  </si>
  <si>
    <t>Cahyanto</t>
  </si>
  <si>
    <t>banyuwangi</t>
  </si>
  <si>
    <t>C-6453</t>
  </si>
  <si>
    <t>Cai</t>
  </si>
  <si>
    <t>Xinting</t>
  </si>
  <si>
    <t>+18054705670</t>
  </si>
  <si>
    <t>C-6333</t>
  </si>
  <si>
    <t>Zhijia</t>
  </si>
  <si>
    <t>C-6391</t>
  </si>
  <si>
    <t>Cai,</t>
  </si>
  <si>
    <t>Kexin</t>
  </si>
  <si>
    <t>sakuraxiaomei@gmail.com</t>
  </si>
  <si>
    <t>+8613905744699</t>
  </si>
  <si>
    <t>C-6466</t>
  </si>
  <si>
    <t>Qingqing</t>
  </si>
  <si>
    <t>snow604@126.com</t>
  </si>
  <si>
    <t>8613681989986</t>
  </si>
  <si>
    <t>C-6236</t>
  </si>
  <si>
    <t>Caitlin</t>
  </si>
  <si>
    <t>lijing227@yahoo.com</t>
  </si>
  <si>
    <t>Ascott</t>
  </si>
  <si>
    <t>C-6517</t>
  </si>
  <si>
    <t>Caiyun</t>
  </si>
  <si>
    <t>Liu</t>
  </si>
  <si>
    <t>+8615998599927</t>
  </si>
  <si>
    <t>C-002</t>
  </si>
  <si>
    <t>Cakra</t>
  </si>
  <si>
    <t>S.H.</t>
  </si>
  <si>
    <t xml:space="preserve">MSS &amp; Co. Law Firm
MNC Tower 20th Floor
Jl. Kebon Sirih No. 17-19</t>
  </si>
  <si>
    <t>C-6312</t>
  </si>
  <si>
    <t>Califa</t>
  </si>
  <si>
    <t>Gerardo</t>
  </si>
  <si>
    <t>C-6508</t>
  </si>
  <si>
    <t>Putri Subrata</t>
  </si>
  <si>
    <t>calista.subrata@gmail.com</t>
  </si>
  <si>
    <t>+6281296968618</t>
  </si>
  <si>
    <t>Pakubuwono Spring Apartment C/6A</t>
  </si>
  <si>
    <t>C-266</t>
  </si>
  <si>
    <t>Calvi</t>
  </si>
  <si>
    <t>C-6450</t>
  </si>
  <si>
    <t>Calvien</t>
  </si>
  <si>
    <t>Tanujaya</t>
  </si>
  <si>
    <t>62817172757</t>
  </si>
  <si>
    <t>C-0666</t>
  </si>
  <si>
    <t>Calvin</t>
  </si>
  <si>
    <t>C-6403</t>
  </si>
  <si>
    <t>calvinexcited@gmail.com</t>
  </si>
  <si>
    <t>628117805997</t>
  </si>
  <si>
    <t>Jl. Basura - Tanjung Pandan - Belitung</t>
  </si>
  <si>
    <t>Belitung</t>
  </si>
  <si>
    <t>C-0643</t>
  </si>
  <si>
    <t>Loulno</t>
  </si>
  <si>
    <t>62816920230</t>
  </si>
  <si>
    <t>C-130</t>
  </si>
  <si>
    <t>Soelaiman</t>
  </si>
  <si>
    <t>C-260</t>
  </si>
  <si>
    <t>Calvina</t>
  </si>
  <si>
    <t>Karmoko</t>
  </si>
  <si>
    <t>Taman Kota Blok F1 No. 14</t>
  </si>
  <si>
    <t>C-6339</t>
  </si>
  <si>
    <t>Cameron</t>
  </si>
  <si>
    <t>Tough</t>
  </si>
  <si>
    <t>Jl. Kemang Timur XI Kav. Melati 5</t>
  </si>
  <si>
    <t>C-027</t>
  </si>
  <si>
    <t>Camille</t>
  </si>
  <si>
    <t xml:space="preserve">Jl. Kudus No.13
Menteng</t>
  </si>
  <si>
    <t>C-6495</t>
  </si>
  <si>
    <t>Can</t>
  </si>
  <si>
    <t>CHINA</t>
  </si>
  <si>
    <t>C-6400</t>
  </si>
  <si>
    <t>Candra</t>
  </si>
  <si>
    <t>+6282112948082</t>
  </si>
  <si>
    <t>C-6224</t>
  </si>
  <si>
    <t>Dewi</t>
  </si>
  <si>
    <t>candradw@yahoo.com</t>
  </si>
  <si>
    <t>Jl. Raya Uluwatu Pecatu No.70X</t>
  </si>
  <si>
    <t>C-0706</t>
  </si>
  <si>
    <t>C-6526</t>
  </si>
  <si>
    <t>Djoharsjari</t>
  </si>
  <si>
    <t>candra_hb@yahoo.co.id</t>
  </si>
  <si>
    <t>62811188113</t>
  </si>
  <si>
    <t>C-0364</t>
  </si>
  <si>
    <t>Candy</t>
  </si>
  <si>
    <t>C-6414</t>
  </si>
  <si>
    <t>Marcheline</t>
  </si>
  <si>
    <t>628158872698</t>
  </si>
  <si>
    <t>C-005</t>
  </si>
  <si>
    <t>Canti</t>
  </si>
  <si>
    <t>Jl. Sanjaya III No. 86</t>
  </si>
  <si>
    <t>C-6365</t>
  </si>
  <si>
    <t>Cantika</t>
  </si>
  <si>
    <t>THE AVANI BSD CIT CLUSTER CHADNA ANANTHA I-28</t>
  </si>
  <si>
    <t>TANGGERANG</t>
  </si>
  <si>
    <t>C-6226</t>
  </si>
  <si>
    <t>Cao</t>
  </si>
  <si>
    <t>Jun</t>
  </si>
  <si>
    <t>C-0439</t>
  </si>
  <si>
    <t>C-6348</t>
  </si>
  <si>
    <t>Cao,</t>
  </si>
  <si>
    <t>Mujing</t>
  </si>
  <si>
    <t>C-6440</t>
  </si>
  <si>
    <t>Caprisa Quisisana</t>
  </si>
  <si>
    <t>Lutvi</t>
  </si>
  <si>
    <t>+628123477788</t>
  </si>
  <si>
    <t>C-006</t>
  </si>
  <si>
    <t>Caramella</t>
  </si>
  <si>
    <t>C-0440</t>
  </si>
  <si>
    <t>Cardine</t>
  </si>
  <si>
    <t>C-6351</t>
  </si>
  <si>
    <t>Carina</t>
  </si>
  <si>
    <t>Hastari</t>
  </si>
  <si>
    <t>carinahastari@mail.com</t>
  </si>
  <si>
    <t>Jl. Emeralda Citra I Blok A No 33, Perigi</t>
  </si>
  <si>
    <t>Pondok Aren</t>
  </si>
  <si>
    <t>C-6395</t>
  </si>
  <si>
    <t>Carine</t>
  </si>
  <si>
    <t>Nadia</t>
  </si>
  <si>
    <t>6281258108517</t>
  </si>
  <si>
    <t>C-187</t>
  </si>
  <si>
    <t>Carissa</t>
  </si>
  <si>
    <t>C-6480</t>
  </si>
  <si>
    <t>Serrano</t>
  </si>
  <si>
    <t>628111379205</t>
  </si>
  <si>
    <t>C-0640</t>
  </si>
  <si>
    <t>Carlina</t>
  </si>
  <si>
    <t>Gozali</t>
  </si>
  <si>
    <t>C-195</t>
  </si>
  <si>
    <t>Tewu</t>
  </si>
  <si>
    <t>Jl.Taman Lebak Bulus V No.12</t>
  </si>
  <si>
    <t>C-0701</t>
  </si>
  <si>
    <t>Carline</t>
  </si>
  <si>
    <t>C-6474</t>
  </si>
  <si>
    <t>Carlo</t>
  </si>
  <si>
    <t>Bevilacqua</t>
  </si>
  <si>
    <t>carlo.bevilacqua@bulgarihotels.com</t>
  </si>
  <si>
    <t>+6881585249885</t>
  </si>
  <si>
    <t>C-6503</t>
  </si>
  <si>
    <t>Francia</t>
  </si>
  <si>
    <t>393402302448</t>
  </si>
  <si>
    <t>Italy</t>
  </si>
  <si>
    <t>C-6331</t>
  </si>
  <si>
    <t>Carlos</t>
  </si>
  <si>
    <t>Barbosa</t>
  </si>
  <si>
    <t>BRAZIL</t>
  </si>
  <si>
    <t>C-181</t>
  </si>
  <si>
    <t>C-0507</t>
  </si>
  <si>
    <t>Dharmo</t>
  </si>
  <si>
    <t>C-0359</t>
  </si>
  <si>
    <t>Carmelita</t>
  </si>
  <si>
    <t>Hartoto</t>
  </si>
  <si>
    <t>Menara Kadin</t>
  </si>
  <si>
    <t>C-113</t>
  </si>
  <si>
    <t>Carole</t>
  </si>
  <si>
    <t xml:space="preserve">Jl.Terusan Hang Lekir I / 12 A
12220</t>
  </si>
  <si>
    <t>C-184</t>
  </si>
  <si>
    <t>Carolina</t>
  </si>
  <si>
    <t>C-6476</t>
  </si>
  <si>
    <t>Daniswara</t>
  </si>
  <si>
    <t>6287700342648</t>
  </si>
  <si>
    <t>C-6274</t>
  </si>
  <si>
    <t>Dirdjohadi</t>
  </si>
  <si>
    <t>C-0358</t>
  </si>
  <si>
    <t>Thyssen</t>
  </si>
  <si>
    <t>C-270</t>
  </si>
  <si>
    <t>Mega kebon jeruk B3 No.2</t>
  </si>
  <si>
    <t>C-010</t>
  </si>
  <si>
    <t>Jl. Panglima Polim 8 No. 9</t>
  </si>
  <si>
    <t>C-6372</t>
  </si>
  <si>
    <t>08179942788</t>
  </si>
  <si>
    <t>C-0346</t>
  </si>
  <si>
    <t>C-0641</t>
  </si>
  <si>
    <t>Cokrodiharjo</t>
  </si>
  <si>
    <t>C-6423</t>
  </si>
  <si>
    <t>Djajadiningrat</t>
  </si>
  <si>
    <t>628111927788</t>
  </si>
  <si>
    <t>C-0694</t>
  </si>
  <si>
    <t>Natasya</t>
  </si>
  <si>
    <t>C-275</t>
  </si>
  <si>
    <t>Hadianti</t>
  </si>
  <si>
    <t>caroline.hadianti@gmail.com</t>
  </si>
  <si>
    <t xml:space="preserve">Perumahan puri mansion 
Jalan Hawai raya no 7</t>
  </si>
  <si>
    <t>C-0721</t>
  </si>
  <si>
    <t>Kartadinata</t>
  </si>
  <si>
    <t>Pluit Permai 4/10</t>
  </si>
  <si>
    <t>C-129</t>
  </si>
  <si>
    <t>Sumanto</t>
  </si>
  <si>
    <t>csumanto@ucsd.adu</t>
  </si>
  <si>
    <t>085174230332</t>
  </si>
  <si>
    <t>C-0338</t>
  </si>
  <si>
    <t>C-6430</t>
  </si>
  <si>
    <t>628128101010</t>
  </si>
  <si>
    <t>C-6406</t>
  </si>
  <si>
    <t>Thalia</t>
  </si>
  <si>
    <t>nathalie_lule@yahoo.com</t>
  </si>
  <si>
    <t>6282188993870</t>
  </si>
  <si>
    <t>C-0484</t>
  </si>
  <si>
    <t>Paviliun Golf H5-22 CitraLand</t>
  </si>
  <si>
    <t>C-6445</t>
  </si>
  <si>
    <t>Carolin</t>
  </si>
  <si>
    <t>olincarolin217@gmail.com</t>
  </si>
  <si>
    <t>6282298300121</t>
  </si>
  <si>
    <t>Grand Wisata River Town BC15 No. 8, Bekasi 17510</t>
  </si>
  <si>
    <t>C-0430</t>
  </si>
  <si>
    <t>Carolyn</t>
  </si>
  <si>
    <t>Alphonso</t>
  </si>
  <si>
    <t>M-668</t>
  </si>
  <si>
    <t>Guandinata</t>
  </si>
  <si>
    <t>C-6311</t>
  </si>
  <si>
    <t>Marsing</t>
  </si>
  <si>
    <t>carolyn.marsing@gmail.com</t>
  </si>
  <si>
    <t>+6287777179638</t>
  </si>
  <si>
    <t>Jl.Pluit Samudra 5 No.27 Jakrata</t>
  </si>
  <si>
    <t>C-0389</t>
  </si>
  <si>
    <t>Carra</t>
  </si>
  <si>
    <t>C-6235</t>
  </si>
  <si>
    <t>Carren</t>
  </si>
  <si>
    <t>C-6417</t>
  </si>
  <si>
    <t>Carrie</t>
  </si>
  <si>
    <t>Marriott</t>
  </si>
  <si>
    <t>12024121160</t>
  </si>
  <si>
    <t>United State of America</t>
  </si>
  <si>
    <t>C-6496</t>
  </si>
  <si>
    <t>Carrine</t>
  </si>
  <si>
    <t>Bay</t>
  </si>
  <si>
    <t>carrine93@gmail.com</t>
  </si>
  <si>
    <t>62816869193</t>
  </si>
  <si>
    <t>C-0444</t>
  </si>
  <si>
    <t>Carryl</t>
  </si>
  <si>
    <t>C-6344</t>
  </si>
  <si>
    <t>Carter</t>
  </si>
  <si>
    <t>Marshall</t>
  </si>
  <si>
    <t>United Stated of America</t>
  </si>
  <si>
    <t>C-224</t>
  </si>
  <si>
    <t>Carver</t>
  </si>
  <si>
    <t>Peter</t>
  </si>
  <si>
    <t xml:space="preserve">Jl. Kemang 3
No 12</t>
  </si>
  <si>
    <t>C-6416</t>
  </si>
  <si>
    <t>Cashtry</t>
  </si>
  <si>
    <t>Meher</t>
  </si>
  <si>
    <t>6281260552222</t>
  </si>
  <si>
    <t>C-6347</t>
  </si>
  <si>
    <t>Casmir</t>
  </si>
  <si>
    <t>Pekanbaru</t>
  </si>
  <si>
    <t>C-6276</t>
  </si>
  <si>
    <t>Cason</t>
  </si>
  <si>
    <t>Dr</t>
  </si>
  <si>
    <t>C-168</t>
  </si>
  <si>
    <t>Casper</t>
  </si>
  <si>
    <t>C-012</t>
  </si>
  <si>
    <t>Caterina</t>
  </si>
  <si>
    <t>Castellanos</t>
  </si>
  <si>
    <t>C-6369</t>
  </si>
  <si>
    <t>Caterine</t>
  </si>
  <si>
    <t>Luna</t>
  </si>
  <si>
    <t>Kemang Village Apartment</t>
  </si>
  <si>
    <t>C-125</t>
  </si>
  <si>
    <t>Catharina</t>
  </si>
  <si>
    <t>Themadjaja</t>
  </si>
  <si>
    <t>Nusantara VI Blok E No.12</t>
  </si>
  <si>
    <t>Jakarta 14350</t>
  </si>
  <si>
    <t>C-0736</t>
  </si>
  <si>
    <t>Catharine</t>
  </si>
  <si>
    <t>C-0681</t>
  </si>
  <si>
    <t>Catheline</t>
  </si>
  <si>
    <t>C-0425</t>
  </si>
  <si>
    <t>Catherina</t>
  </si>
  <si>
    <t>Eliza</t>
  </si>
  <si>
    <t>C-0682</t>
  </si>
  <si>
    <t>Catherine</t>
  </si>
  <si>
    <t>C-0611</t>
  </si>
  <si>
    <t>Christy</t>
  </si>
  <si>
    <t>C-0646</t>
  </si>
  <si>
    <t>Kho</t>
  </si>
  <si>
    <t>C-0447</t>
  </si>
  <si>
    <t>Leo</t>
  </si>
  <si>
    <t>C-6507</t>
  </si>
  <si>
    <t>Mangoh</t>
  </si>
  <si>
    <t>6281280401234</t>
  </si>
  <si>
    <t>Diamond Golf 72</t>
  </si>
  <si>
    <t>C-0688</t>
  </si>
  <si>
    <t>Sutandjati</t>
  </si>
  <si>
    <t>628119392177</t>
  </si>
  <si>
    <t>C-6388</t>
  </si>
  <si>
    <t>6281911017888</t>
  </si>
  <si>
    <t>C-6462</t>
  </si>
  <si>
    <t>Cathrine</t>
  </si>
  <si>
    <t>Nicole</t>
  </si>
  <si>
    <t>6281294207089</t>
  </si>
  <si>
    <t>C-6277</t>
  </si>
  <si>
    <t>Warouw</t>
  </si>
  <si>
    <t>C-192</t>
  </si>
  <si>
    <t>C-126</t>
  </si>
  <si>
    <t>Wilson</t>
  </si>
  <si>
    <t xml:space="preserve">APT. Patria Park
Jl. Jend D.I Panjaitan Jak-Tim</t>
  </si>
  <si>
    <t>C-6436</t>
  </si>
  <si>
    <t>Cathy</t>
  </si>
  <si>
    <t>Sukirno</t>
  </si>
  <si>
    <t xml:space="preserve">Residence 28 Unit 
Jalan Panjang No.28</t>
  </si>
  <si>
    <t>C-0567</t>
  </si>
  <si>
    <t>Catrine</t>
  </si>
  <si>
    <t>Marsie</t>
  </si>
  <si>
    <t>C-0608</t>
  </si>
  <si>
    <t>Catur</t>
  </si>
  <si>
    <t>Widysari</t>
  </si>
  <si>
    <t>C-0461</t>
  </si>
  <si>
    <t>Cayumi</t>
  </si>
  <si>
    <t>C-015</t>
  </si>
  <si>
    <t>Cecelia</t>
  </si>
  <si>
    <t>Maklis</t>
  </si>
  <si>
    <t>Apt. Kedoya Elok</t>
  </si>
  <si>
    <t>N 1905</t>
  </si>
  <si>
    <t>C-6272</t>
  </si>
  <si>
    <t>Cecep</t>
  </si>
  <si>
    <t>C-0651</t>
  </si>
  <si>
    <t>Cecile</t>
  </si>
  <si>
    <t>Novitry</t>
  </si>
  <si>
    <t xml:space="preserve">Jln. Belawan No.491
Blok -M 
Cinere Depok</t>
  </si>
  <si>
    <t>C-0725</t>
  </si>
  <si>
    <t>Cecilia</t>
  </si>
  <si>
    <t>Anandamaya Residence T1-59C, jakarta</t>
  </si>
  <si>
    <t>C-016</t>
  </si>
  <si>
    <t>Dewayanti</t>
  </si>
  <si>
    <t>Perum. Bukit Raflesia</t>
  </si>
  <si>
    <t>Blok B-1 No. 10</t>
  </si>
  <si>
    <t>C-0728</t>
  </si>
  <si>
    <t>Rumondang</t>
  </si>
  <si>
    <t>Jalan Wadas II no 9</t>
  </si>
  <si>
    <t>C-271</t>
  </si>
  <si>
    <t>C-0449</t>
  </si>
  <si>
    <t>Thenfong</t>
  </si>
  <si>
    <t>6282122101987</t>
  </si>
  <si>
    <t>Greenville 11510</t>
  </si>
  <si>
    <t>C-6255</t>
  </si>
  <si>
    <t>C-019</t>
  </si>
  <si>
    <t>Cedaryana</t>
  </si>
  <si>
    <t>C-6390</t>
  </si>
  <si>
    <t>Cedric</t>
  </si>
  <si>
    <t>Cabanero</t>
  </si>
  <si>
    <t>+6581493491</t>
  </si>
  <si>
    <t>singapore</t>
  </si>
  <si>
    <t>C-0727</t>
  </si>
  <si>
    <t>C-6378</t>
  </si>
  <si>
    <t>Celia</t>
  </si>
  <si>
    <t>6281285319728</t>
  </si>
  <si>
    <t>Cikarang</t>
  </si>
  <si>
    <t>C-6427</t>
  </si>
  <si>
    <t>Celina</t>
  </si>
  <si>
    <t>6281224456789</t>
  </si>
  <si>
    <t>C-6377</t>
  </si>
  <si>
    <t>Limanto</t>
  </si>
  <si>
    <t>Apartemen Pakubuwono Residence</t>
  </si>
  <si>
    <t>C-6447</t>
  </si>
  <si>
    <t>Celine</t>
  </si>
  <si>
    <t>Aurellia Wijaya</t>
  </si>
  <si>
    <t>celineaurellia@gmail.com</t>
  </si>
  <si>
    <t>+6282114115243</t>
  </si>
  <si>
    <t>Verde Two Apartment Unit 2807</t>
  </si>
  <si>
    <t>C-6358</t>
  </si>
  <si>
    <t>C-0726</t>
  </si>
  <si>
    <t>celinerimba@hotmail.com</t>
  </si>
  <si>
    <t>Taman Anggrek ,Jakarta Barat</t>
  </si>
  <si>
    <t>C-0327</t>
  </si>
  <si>
    <t>Lo</t>
  </si>
  <si>
    <t>arooncare@yahoo.com</t>
  </si>
  <si>
    <t>M-1453</t>
  </si>
  <si>
    <t>Celyn</t>
  </si>
  <si>
    <t>Angelia.</t>
  </si>
  <si>
    <t>celynangelia05@gmail,com</t>
  </si>
  <si>
    <t>C-020</t>
  </si>
  <si>
    <t>Cempaka</t>
  </si>
  <si>
    <t xml:space="preserve">Jl. Taman Sari Persada Raya Blok 4 No. 21
Jati Bening 17412</t>
  </si>
  <si>
    <t>C-180</t>
  </si>
  <si>
    <t>Cendy</t>
  </si>
  <si>
    <t>Heavy</t>
  </si>
  <si>
    <t>C-0697</t>
  </si>
  <si>
    <t>Cenni</t>
  </si>
  <si>
    <t>Gandha</t>
  </si>
  <si>
    <t>cenniemg@gmail.com</t>
  </si>
  <si>
    <t>Angke Jaya 13/2B</t>
  </si>
  <si>
    <t>C-0498</t>
  </si>
  <si>
    <t>Centao</t>
  </si>
  <si>
    <t>Qin</t>
  </si>
  <si>
    <t>Shanghai</t>
  </si>
  <si>
    <t>C-160</t>
  </si>
  <si>
    <t>Cerdik</t>
  </si>
  <si>
    <t>C-6335</t>
  </si>
  <si>
    <t>Cerlitan</t>
  </si>
  <si>
    <t>C-154</t>
  </si>
  <si>
    <t>Cery</t>
  </si>
  <si>
    <t>C-0319</t>
  </si>
  <si>
    <t>Cha</t>
  </si>
  <si>
    <t>acxq8H@gmail.com</t>
  </si>
  <si>
    <t>C-0668</t>
  </si>
  <si>
    <t>Cha-Woon</t>
  </si>
  <si>
    <t>sky6767@ymail.com</t>
  </si>
  <si>
    <t>jl.sultan syahrin No.50 Apartment Amartapura Tower B 23A</t>
  </si>
  <si>
    <t>C-6342</t>
  </si>
  <si>
    <t>Chaca</t>
  </si>
  <si>
    <t>Charoline</t>
  </si>
  <si>
    <t xml:space="preserve">Carlton Privet Resident
</t>
  </si>
  <si>
    <t>C-6269</t>
  </si>
  <si>
    <t>Chae</t>
  </si>
  <si>
    <t>Jiwon</t>
  </si>
  <si>
    <t>C-301</t>
  </si>
  <si>
    <t>Yong</t>
  </si>
  <si>
    <t>C-6399</t>
  </si>
  <si>
    <t>Yu jung</t>
  </si>
  <si>
    <t>Chae3631@naver.com</t>
  </si>
  <si>
    <t>82821035693631</t>
  </si>
  <si>
    <t>Korea</t>
  </si>
  <si>
    <t>C-0512</t>
  </si>
  <si>
    <t>Chaerany</t>
  </si>
  <si>
    <t>+6281314544960</t>
  </si>
  <si>
    <t>C-6511</t>
  </si>
  <si>
    <t>Chaeri</t>
  </si>
  <si>
    <t>Wardana</t>
  </si>
  <si>
    <t>0811930797</t>
  </si>
  <si>
    <t>C-021</t>
  </si>
  <si>
    <t>Diany</t>
  </si>
  <si>
    <t>021-5275237</t>
  </si>
  <si>
    <t>Jl. Denpasar IV No. 35</t>
  </si>
  <si>
    <t>Kuningan</t>
  </si>
  <si>
    <t>C-050</t>
  </si>
  <si>
    <t>Chaerul</t>
  </si>
  <si>
    <t>Krisnansyah</t>
  </si>
  <si>
    <t>C-6332</t>
  </si>
  <si>
    <t>Chai</t>
  </si>
  <si>
    <t>C-135</t>
  </si>
  <si>
    <t>Chairani</t>
  </si>
  <si>
    <t>Barkah</t>
  </si>
  <si>
    <t>C-0422</t>
  </si>
  <si>
    <t>Gusti</t>
  </si>
  <si>
    <t>M-1185</t>
  </si>
  <si>
    <t>Hutapea.</t>
  </si>
  <si>
    <t>C-0445</t>
  </si>
  <si>
    <t>Chairunissa</t>
  </si>
  <si>
    <t>C-6340</t>
  </si>
  <si>
    <t xml:space="preserve">KLENDER RT 04/01
GANG LELE - JAKARTA TIMUR</t>
  </si>
  <si>
    <t>C-0566</t>
  </si>
  <si>
    <t>Hanum</t>
  </si>
  <si>
    <t>C-6283</t>
  </si>
  <si>
    <t>6281212990002</t>
  </si>
  <si>
    <t>C-023</t>
  </si>
  <si>
    <t>Bilid</t>
  </si>
  <si>
    <t>C-024</t>
  </si>
  <si>
    <t>H.</t>
  </si>
  <si>
    <t>Jl. Pagandaran II No. 16</t>
  </si>
  <si>
    <t>C-6523</t>
  </si>
  <si>
    <t>Hendra</t>
  </si>
  <si>
    <t>628121092328</t>
  </si>
  <si>
    <t>C-025</t>
  </si>
  <si>
    <t>David</t>
  </si>
  <si>
    <t>C-0551</t>
  </si>
  <si>
    <t>Chand</t>
  </si>
  <si>
    <t>Parwez</t>
  </si>
  <si>
    <t>C-6522</t>
  </si>
  <si>
    <t>Chandheny</t>
  </si>
  <si>
    <t>628111520217</t>
  </si>
  <si>
    <t>C-0615</t>
  </si>
  <si>
    <t>Chandni</t>
  </si>
  <si>
    <t>Khiani</t>
  </si>
  <si>
    <t>C-0704</t>
  </si>
  <si>
    <t>C-0549</t>
  </si>
  <si>
    <t>Lindasari</t>
  </si>
  <si>
    <t>C-110</t>
  </si>
  <si>
    <t>Adisusanto</t>
  </si>
  <si>
    <t>C-0326</t>
  </si>
  <si>
    <t>Andriyana</t>
  </si>
  <si>
    <t>62811259188</t>
  </si>
  <si>
    <t>C-0724</t>
  </si>
  <si>
    <t>Buana</t>
  </si>
  <si>
    <t>chandrabuanaaa87@gmail.com</t>
  </si>
  <si>
    <t>C-148</t>
  </si>
  <si>
    <t>Pical</t>
  </si>
  <si>
    <t>dradchandra@yahoo.com</t>
  </si>
  <si>
    <t>+628118886888</t>
  </si>
  <si>
    <t xml:space="preserve">Apt Kempinski 55 D-E
Jl.MH Thamrin No.01</t>
  </si>
  <si>
    <t>C-6285</t>
  </si>
  <si>
    <t>C-6521</t>
  </si>
  <si>
    <t>Mahaputra</t>
  </si>
  <si>
    <t>+6281110898972</t>
  </si>
  <si>
    <t>C-273</t>
  </si>
  <si>
    <t>Muharam</t>
  </si>
  <si>
    <t>C-6298</t>
  </si>
  <si>
    <t>6281355700507</t>
  </si>
  <si>
    <t>M-1220</t>
  </si>
  <si>
    <t>62818916673</t>
  </si>
  <si>
    <t>C-0731</t>
  </si>
  <si>
    <t>Chandul</t>
  </si>
  <si>
    <t>Jayanti</t>
  </si>
  <si>
    <t>C-029</t>
  </si>
  <si>
    <t>Chang</t>
  </si>
  <si>
    <t>Pakubuwono Apt. Tower Ironwood #22C</t>
  </si>
  <si>
    <t>Jl. Pakubuwono VI No. 68</t>
  </si>
  <si>
    <t>C-0415</t>
  </si>
  <si>
    <t>Choi</t>
  </si>
  <si>
    <t>C-6408</t>
  </si>
  <si>
    <t>Changqi</t>
  </si>
  <si>
    <t>ciciqscn@163.com</t>
  </si>
  <si>
    <t>+6281380580723</t>
  </si>
  <si>
    <t>C-0524</t>
  </si>
  <si>
    <t>Won</t>
  </si>
  <si>
    <t>C-6379</t>
  </si>
  <si>
    <t>Myung</t>
  </si>
  <si>
    <t>Seoul, Gangnam</t>
  </si>
  <si>
    <t>C-6470</t>
  </si>
  <si>
    <t>Chien-Ying</t>
  </si>
  <si>
    <t>changchien@gmail.com</t>
  </si>
  <si>
    <t>886927526211</t>
  </si>
  <si>
    <t>Taiwan</t>
  </si>
  <si>
    <t>TAIWAN</t>
  </si>
  <si>
    <t>C-6357</t>
  </si>
  <si>
    <t>Chang,</t>
  </si>
  <si>
    <t>Chih-Hao</t>
  </si>
  <si>
    <t>crystal.c817@gmail.com</t>
  </si>
  <si>
    <t>C-6457</t>
  </si>
  <si>
    <t>Lihsing</t>
  </si>
  <si>
    <t>lixinbuding@163.com</t>
  </si>
  <si>
    <t>85255866880</t>
  </si>
  <si>
    <t>C-6346</t>
  </si>
  <si>
    <t>Chanho</t>
  </si>
  <si>
    <t>C-0709</t>
  </si>
  <si>
    <t>Chanya</t>
  </si>
  <si>
    <t>Nincham</t>
  </si>
  <si>
    <t>C-6297</t>
  </si>
  <si>
    <t>Chao</t>
  </si>
  <si>
    <t>Min</t>
  </si>
  <si>
    <t>C-0738</t>
  </si>
  <si>
    <t>Charisa</t>
  </si>
  <si>
    <t>charissa.tobing@gmail.com</t>
  </si>
  <si>
    <t>The pakubuwono Spring, C31C</t>
  </si>
  <si>
    <t>C-032</t>
  </si>
  <si>
    <t>Charise</t>
  </si>
  <si>
    <t>Kemang Timur XV/82C</t>
  </si>
  <si>
    <t>C-0426</t>
  </si>
  <si>
    <t>Charissa</t>
  </si>
  <si>
    <t>Janto</t>
  </si>
  <si>
    <t>Jl. Turi I No 17 Jakarta</t>
  </si>
  <si>
    <t>C-296</t>
  </si>
  <si>
    <t>Charlene</t>
  </si>
  <si>
    <t>Kumolantang</t>
  </si>
  <si>
    <t>charlenekumolantang@gmail.com</t>
  </si>
  <si>
    <t>62816230006</t>
  </si>
  <si>
    <t>C-6318</t>
  </si>
  <si>
    <t>Rohatta</t>
  </si>
  <si>
    <t>Makassar</t>
  </si>
  <si>
    <t>C-0661</t>
  </si>
  <si>
    <t>Charles</t>
  </si>
  <si>
    <t>C-212</t>
  </si>
  <si>
    <t>C-6438</t>
  </si>
  <si>
    <t>Angdiani</t>
  </si>
  <si>
    <t>Charles.angdiani@gmail.com</t>
  </si>
  <si>
    <t>6281381788168</t>
  </si>
  <si>
    <t>Maluku</t>
  </si>
  <si>
    <t>C-0652</t>
  </si>
  <si>
    <t>Huang</t>
  </si>
  <si>
    <t>NEW JERSEY USA</t>
  </si>
  <si>
    <t>C-033</t>
  </si>
  <si>
    <t>Jl. Gelong 71</t>
  </si>
  <si>
    <t>C-6449</t>
  </si>
  <si>
    <t>Marino</t>
  </si>
  <si>
    <t>Charlesmarino1@gmail.com</t>
  </si>
  <si>
    <t>6282341944430</t>
  </si>
  <si>
    <t>Indonesian</t>
  </si>
  <si>
    <t>C-6497</t>
  </si>
  <si>
    <t>Charles Nathan</t>
  </si>
  <si>
    <t>Bystock</t>
  </si>
  <si>
    <t>charles.bystock@windzr.com</t>
  </si>
  <si>
    <t>+821090066272</t>
  </si>
  <si>
    <t>Kentucky</t>
  </si>
  <si>
    <t>C-0707</t>
  </si>
  <si>
    <t>Perwata</t>
  </si>
  <si>
    <t>C-151</t>
  </si>
  <si>
    <t>C-0418</t>
  </si>
  <si>
    <t>Wijanarko</t>
  </si>
  <si>
    <t>Apt Royal Mediterania Tj.Duren Tower Lavender Lantai 28A Unit CV Jakarta Barat</t>
  </si>
  <si>
    <t>C-0479</t>
  </si>
  <si>
    <t>Charley</t>
  </si>
  <si>
    <t>Toalu</t>
  </si>
  <si>
    <t>C-112</t>
  </si>
  <si>
    <t>Simanjuntak</t>
  </si>
  <si>
    <t>charleyjuntak@gmail.com</t>
  </si>
  <si>
    <t>62811164729</t>
  </si>
  <si>
    <t xml:space="preserve">Apt 1@Cik Ditiro Menteng 10310 
Cik Ditiro 2 No 1 Unit 1F Menteng</t>
  </si>
  <si>
    <t>C-0662</t>
  </si>
  <si>
    <t>Charlie</t>
  </si>
  <si>
    <t>6281111831567</t>
  </si>
  <si>
    <t>C-0355</t>
  </si>
  <si>
    <t>chalie_chen@yahoo.com</t>
  </si>
  <si>
    <t xml:space="preserve">Johar Golf 1 No. 7
Birtday 29/04/1897</t>
  </si>
  <si>
    <t>C-0397</t>
  </si>
  <si>
    <t>62818811169</t>
  </si>
  <si>
    <t>Jl. Gudang Peluru Blok A49</t>
  </si>
  <si>
    <t>C-0710</t>
  </si>
  <si>
    <t>Charlina</t>
  </si>
  <si>
    <t>C-0509</t>
  </si>
  <si>
    <t>Charlotte</t>
  </si>
  <si>
    <t>Nagaria</t>
  </si>
  <si>
    <t>C-0379</t>
  </si>
  <si>
    <t>Charly</t>
  </si>
  <si>
    <t>Ko</t>
  </si>
  <si>
    <t>C-0333</t>
  </si>
  <si>
    <t>Charma</t>
  </si>
  <si>
    <t>Juinda</t>
  </si>
  <si>
    <t>C-0521</t>
  </si>
  <si>
    <t>Charry</t>
  </si>
  <si>
    <t>C-124</t>
  </si>
  <si>
    <t>Jl.Tanjung Karang</t>
  </si>
  <si>
    <t>C-0362</t>
  </si>
  <si>
    <t>Chasan</t>
  </si>
  <si>
    <t>C-6304</t>
  </si>
  <si>
    <t>Chatalina</t>
  </si>
  <si>
    <t>Rusmin</t>
  </si>
  <si>
    <t>6287766211010</t>
  </si>
  <si>
    <t xml:space="preserve">Sutera Palma Utama No.1 
Alm Sutra Banten</t>
  </si>
  <si>
    <t>C-196</t>
  </si>
  <si>
    <t>Chatrin</t>
  </si>
  <si>
    <t>C-0392</t>
  </si>
  <si>
    <t>Chatrine</t>
  </si>
  <si>
    <t>C-6426</t>
  </si>
  <si>
    <t>Chavia</t>
  </si>
  <si>
    <t>Tabitha</t>
  </si>
  <si>
    <t>6282125649933</t>
  </si>
  <si>
    <t>Cempaka Putih Tengah 27</t>
  </si>
  <si>
    <t>C-6290</t>
  </si>
  <si>
    <t>Chaz</t>
  </si>
  <si>
    <t>jason</t>
  </si>
  <si>
    <t>C-6384</t>
  </si>
  <si>
    <t>Cheah</t>
  </si>
  <si>
    <t>Wai</t>
  </si>
  <si>
    <t>cheahyuenwai@gmail.com</t>
  </si>
  <si>
    <t>Malaysia</t>
  </si>
  <si>
    <t>C-6471</t>
  </si>
  <si>
    <t>Chee</t>
  </si>
  <si>
    <t>debchee@gmail.com</t>
  </si>
  <si>
    <t>C-6412</t>
  </si>
  <si>
    <t>Peng</t>
  </si>
  <si>
    <t>Shih Hao</t>
  </si>
  <si>
    <t>allcosmos@gmail.com</t>
  </si>
  <si>
    <t>60197780495</t>
  </si>
  <si>
    <t>malaysia</t>
  </si>
  <si>
    <t>C-6498</t>
  </si>
  <si>
    <t>Cheery</t>
  </si>
  <si>
    <t>Prijatna</t>
  </si>
  <si>
    <t>0816933222</t>
  </si>
  <si>
    <t>C-0486</t>
  </si>
  <si>
    <t>Chella</t>
  </si>
  <si>
    <t>Lumoindong</t>
  </si>
  <si>
    <t>C-038</t>
  </si>
  <si>
    <t>Chelly</t>
  </si>
  <si>
    <t>Meidiana</t>
  </si>
  <si>
    <t>Perum. Legenda Wisata Zona Colombus</t>
  </si>
  <si>
    <t>Blok B-1 No. 18</t>
  </si>
  <si>
    <t>C-6451</t>
  </si>
  <si>
    <t>Chelsea</t>
  </si>
  <si>
    <t>6281388253452</t>
  </si>
  <si>
    <t>C-274</t>
  </si>
  <si>
    <t>chelseaureliem@gmail.com</t>
  </si>
  <si>
    <t xml:space="preserve">Lebak Bulus 2, Lebak Bulus Residence 88 no 88E 
Jl Lebak Bulus 2 CIlandak Barat</t>
  </si>
  <si>
    <t>C-6424</t>
  </si>
  <si>
    <t>Terriyanto</t>
  </si>
  <si>
    <t>terriyantochelsea@gmail.com</t>
  </si>
  <si>
    <t>6287777251812</t>
  </si>
  <si>
    <t>Batununggal Elok III No. 17, Bandung</t>
  </si>
  <si>
    <t>C-6482</t>
  </si>
  <si>
    <t>Chelsy</t>
  </si>
  <si>
    <t>Eleanor</t>
  </si>
  <si>
    <t>chelsyeleanor@gmail.com</t>
  </si>
  <si>
    <t>6281270268282</t>
  </si>
  <si>
    <t>C-0700</t>
  </si>
  <si>
    <t>C-0689</t>
  </si>
  <si>
    <t>CHINESE</t>
  </si>
  <si>
    <t>C-6494</t>
  </si>
  <si>
    <t>Chen Andy</t>
  </si>
  <si>
    <t>Kuan-Jung</t>
  </si>
  <si>
    <t>andychen192@gmail.com</t>
  </si>
  <si>
    <t>15105749834</t>
  </si>
  <si>
    <t>C-6223</t>
  </si>
  <si>
    <t>Lilik</t>
  </si>
  <si>
    <t>0818821331</t>
  </si>
  <si>
    <t>C-6303</t>
  </si>
  <si>
    <t>Chia</t>
  </si>
  <si>
    <t>C-0687</t>
  </si>
  <si>
    <t>Fu</t>
  </si>
  <si>
    <t>C-6329</t>
  </si>
  <si>
    <t>Gang</t>
  </si>
  <si>
    <t>C-6270</t>
  </si>
  <si>
    <t>Guo</t>
  </si>
  <si>
    <t>C-044</t>
  </si>
  <si>
    <t>Jln.Lodan II BLK B No.8</t>
  </si>
  <si>
    <t>C-6301</t>
  </si>
  <si>
    <t>Yi</t>
  </si>
  <si>
    <t>C-6280</t>
  </si>
  <si>
    <t>Jiangcheng</t>
  </si>
  <si>
    <t>C-6296</t>
  </si>
  <si>
    <t>Jing</t>
  </si>
  <si>
    <t>C-0678</t>
  </si>
  <si>
    <t>Jinlian</t>
  </si>
  <si>
    <t>C-6319</t>
  </si>
  <si>
    <t>Juan</t>
  </si>
  <si>
    <t>C-6281</t>
  </si>
  <si>
    <t>Lei</t>
  </si>
  <si>
    <t>C-0321</t>
  </si>
  <si>
    <t>Liping</t>
  </si>
  <si>
    <t>C-6240</t>
  </si>
  <si>
    <t>C-0645</t>
  </si>
  <si>
    <t>Lu</t>
  </si>
  <si>
    <t>KUNINGAN CITY DEPASSAR RESIDENCE UBUD LOBBY</t>
  </si>
  <si>
    <t>C-6456</t>
  </si>
  <si>
    <t>Meiling</t>
  </si>
  <si>
    <t>6281288283901</t>
  </si>
  <si>
    <t>C-6387</t>
  </si>
  <si>
    <t>Meishan</t>
  </si>
  <si>
    <t>081140908924</t>
  </si>
  <si>
    <t>C-6291</t>
  </si>
  <si>
    <t>Mengjie</t>
  </si>
  <si>
    <t>C-0344</t>
  </si>
  <si>
    <t>Yu</t>
  </si>
  <si>
    <t>00980858389@gmail.com</t>
  </si>
  <si>
    <t>C-6287</t>
  </si>
  <si>
    <t>Yeh</t>
  </si>
  <si>
    <t>C-220</t>
  </si>
  <si>
    <t>Qiong</t>
  </si>
  <si>
    <t>58 RM 1902 no. 13 Lane 555</t>
  </si>
  <si>
    <t>C-0543</t>
  </si>
  <si>
    <t>Shiqi</t>
  </si>
  <si>
    <t>+6287728361000</t>
  </si>
  <si>
    <t>CIANJUR</t>
  </si>
  <si>
    <t>C-6284</t>
  </si>
  <si>
    <t>Tsun Pao</t>
  </si>
  <si>
    <t>+6281120206985</t>
  </si>
  <si>
    <t>C-6437</t>
  </si>
  <si>
    <t>Pao</t>
  </si>
  <si>
    <t>C-6464</t>
  </si>
  <si>
    <t>Wenrui</t>
  </si>
  <si>
    <t>8618573332244</t>
  </si>
  <si>
    <t>C-6330</t>
  </si>
  <si>
    <t>Yacheng</t>
  </si>
  <si>
    <t>C-0674</t>
  </si>
  <si>
    <t>Chun</t>
  </si>
  <si>
    <t>8613610988823</t>
  </si>
  <si>
    <t>C-6519</t>
  </si>
  <si>
    <t>Mandy</t>
  </si>
  <si>
    <t>Yan</t>
  </si>
  <si>
    <t>351037064@qq.com</t>
  </si>
  <si>
    <t>627770978808</t>
  </si>
  <si>
    <t>C-6254</t>
  </si>
  <si>
    <t>Hao</t>
  </si>
  <si>
    <t>C-6490</t>
  </si>
  <si>
    <t>Aoxue</t>
  </si>
  <si>
    <t>924754905@qq.com</t>
  </si>
  <si>
    <t>66970398248</t>
  </si>
  <si>
    <t>C-6435</t>
  </si>
  <si>
    <t>Chi</t>
  </si>
  <si>
    <t>chi.one.chen@gmail.com</t>
  </si>
  <si>
    <t>+19175570439</t>
  </si>
  <si>
    <t>C-6320</t>
  </si>
  <si>
    <t>Cishan</t>
  </si>
  <si>
    <t>C-6483</t>
  </si>
  <si>
    <t>Daiwei</t>
  </si>
  <si>
    <t>798480@qq.com</t>
  </si>
  <si>
    <t>8618928957478</t>
  </si>
  <si>
    <t>C-6487</t>
  </si>
  <si>
    <t>Chen,</t>
  </si>
  <si>
    <t>Danyang</t>
  </si>
  <si>
    <t>39760717@qq.com</t>
  </si>
  <si>
    <t>+61420607808</t>
  </si>
  <si>
    <t>C-6444</t>
  </si>
  <si>
    <t>jingschannel@163.com</t>
  </si>
  <si>
    <t>8618221221231</t>
  </si>
  <si>
    <t>C-6383</t>
  </si>
  <si>
    <t>Jingxiang</t>
  </si>
  <si>
    <t>ashxlzheng@gmail.com</t>
  </si>
  <si>
    <t>C-6380</t>
  </si>
  <si>
    <t>Junjie</t>
  </si>
  <si>
    <t>jerry_chenjunjie@163.com</t>
  </si>
  <si>
    <t>Shanghai - China</t>
  </si>
  <si>
    <t>C-6352</t>
  </si>
  <si>
    <t>Republic of China</t>
  </si>
  <si>
    <t>C-6409</t>
  </si>
  <si>
    <t>Mengru</t>
  </si>
  <si>
    <t>8640034757</t>
  </si>
  <si>
    <t>C-6385</t>
  </si>
  <si>
    <t>Meihui</t>
  </si>
  <si>
    <t>carinachen928@gmail.com</t>
  </si>
  <si>
    <t>+8613916244189</t>
  </si>
  <si>
    <t>Guangdong - China</t>
  </si>
  <si>
    <t>C-6382</t>
  </si>
  <si>
    <t>Ming-Wen</t>
  </si>
  <si>
    <t>p690830@gmail.com</t>
  </si>
  <si>
    <t>Taiwan, China</t>
  </si>
  <si>
    <t>C-6439</t>
  </si>
  <si>
    <t>Mingshi</t>
  </si>
  <si>
    <t>chenmingshi2011@163.com</t>
  </si>
  <si>
    <t>8617633906996</t>
  </si>
  <si>
    <t>C-6360</t>
  </si>
  <si>
    <t>Pei-Yu</t>
  </si>
  <si>
    <t>C-6289</t>
  </si>
  <si>
    <t>CHEN,</t>
  </si>
  <si>
    <t>QINSONG</t>
  </si>
  <si>
    <t>ZHEJIANG, CHINESE</t>
  </si>
  <si>
    <t>C-6460</t>
  </si>
  <si>
    <t>Ting</t>
  </si>
  <si>
    <t>462149376@qq.com</t>
  </si>
  <si>
    <t>+6818684719366</t>
  </si>
  <si>
    <t>C-6258</t>
  </si>
  <si>
    <t>C-6524</t>
  </si>
  <si>
    <t>Wei</t>
  </si>
  <si>
    <t>yxf1881@qq.com</t>
  </si>
  <si>
    <t>+8613916990868</t>
  </si>
  <si>
    <t>C-6502</t>
  </si>
  <si>
    <t>Wei-Wei</t>
  </si>
  <si>
    <t>alohawei.wei@gmail.com</t>
  </si>
  <si>
    <t>886912802661</t>
  </si>
  <si>
    <t>Taiwan, Province Of China</t>
  </si>
  <si>
    <t>C-6402</t>
  </si>
  <si>
    <t>Xi</t>
  </si>
  <si>
    <t>xico816@gmail.com</t>
  </si>
  <si>
    <t>6583569955</t>
  </si>
  <si>
    <t>Ia Tyersall RD Singapore</t>
  </si>
  <si>
    <t>C-6328</t>
  </si>
  <si>
    <t>XIAOFENG</t>
  </si>
  <si>
    <t>C-6463</t>
  </si>
  <si>
    <t>Xing</t>
  </si>
  <si>
    <t>82977778@qq.com</t>
  </si>
  <si>
    <t>8613918817312</t>
  </si>
  <si>
    <t>C-6433</t>
  </si>
  <si>
    <t>Yanbing</t>
  </si>
  <si>
    <t>18407013417@139.com</t>
  </si>
  <si>
    <t>8618407013417</t>
  </si>
  <si>
    <t>C-6501</t>
  </si>
  <si>
    <t>Yesang</t>
  </si>
  <si>
    <t>969878724@39.com</t>
  </si>
  <si>
    <t>8615026607208</t>
  </si>
  <si>
    <t>C-6454</t>
  </si>
  <si>
    <t>237573483@qq.com</t>
  </si>
  <si>
    <t>+8618503053884</t>
  </si>
  <si>
    <t>C-6510</t>
  </si>
  <si>
    <t>Yuan Yuan</t>
  </si>
  <si>
    <t>nansan68@vip.siwa.com</t>
  </si>
  <si>
    <t>008613736719861</t>
  </si>
  <si>
    <t>C-6477</t>
  </si>
  <si>
    <t>Yun</t>
  </si>
  <si>
    <t>13701370512@139.com</t>
  </si>
  <si>
    <t>+13701370512</t>
  </si>
  <si>
    <t>C-6493</t>
  </si>
  <si>
    <t>Yuqing</t>
  </si>
  <si>
    <t>aaron23chen@me.com</t>
  </si>
  <si>
    <t>8618101699100</t>
  </si>
  <si>
    <t>C-6233</t>
  </si>
  <si>
    <t>Cheng</t>
  </si>
  <si>
    <t>Jiangeng</t>
  </si>
  <si>
    <t>85251393280</t>
  </si>
  <si>
    <t>C-6499</t>
  </si>
  <si>
    <t>Yuan Yi</t>
  </si>
  <si>
    <t>+85268383838</t>
  </si>
  <si>
    <t>C-6461</t>
  </si>
  <si>
    <t>Aijun</t>
  </si>
  <si>
    <t>290948919@qq.com</t>
  </si>
  <si>
    <t>8613795477496</t>
  </si>
  <si>
    <t>C-6488</t>
  </si>
  <si>
    <t>Cheng,</t>
  </si>
  <si>
    <t>jerrycheng@realmediahk.com</t>
  </si>
  <si>
    <t>C-6286</t>
  </si>
  <si>
    <t>Chenguang</t>
  </si>
  <si>
    <t>APT TAMAN ANGGREK,JAK BAR</t>
  </si>
  <si>
    <t>C-6242</t>
  </si>
  <si>
    <t>Chenji</t>
  </si>
  <si>
    <t>Srinivasan</t>
  </si>
  <si>
    <t>Jl. Metro Alam IV PE 17/18 Pondok Indah</t>
  </si>
  <si>
    <t>M-1189</t>
  </si>
  <si>
    <t>Chenli</t>
  </si>
  <si>
    <t>C-0331</t>
  </si>
  <si>
    <t>Chenyi</t>
  </si>
  <si>
    <t>C-6336</t>
  </si>
  <si>
    <t>Sergei</t>
  </si>
  <si>
    <t>Cheremisin</t>
  </si>
  <si>
    <t>79139602630</t>
  </si>
  <si>
    <t>C-6405</t>
  </si>
  <si>
    <t>Cherie</t>
  </si>
  <si>
    <t>Soehalim</t>
  </si>
  <si>
    <t>628111161972</t>
  </si>
  <si>
    <t>C-6299</t>
  </si>
  <si>
    <t>Chernodedov</t>
  </si>
  <si>
    <t>C-6465</t>
  </si>
  <si>
    <t>Cherry</t>
  </si>
  <si>
    <t>Fidia</t>
  </si>
  <si>
    <t>cherrylie247@gmail.com</t>
  </si>
  <si>
    <t>6281254553292</t>
  </si>
  <si>
    <t>Jl. Gajah Mada No.231 Pontianak</t>
  </si>
  <si>
    <t>C-6222</t>
  </si>
  <si>
    <t>Chery</t>
  </si>
  <si>
    <t>Amellia</t>
  </si>
  <si>
    <t>C-297</t>
  </si>
  <si>
    <t>Lasut</t>
  </si>
  <si>
    <t>C-0569</t>
  </si>
  <si>
    <t>Cheryl</t>
  </si>
  <si>
    <t>Valencia</t>
  </si>
  <si>
    <t xml:space="preserve">Jl.Kartini 6 No.3 
Jakarta Pusat</t>
  </si>
  <si>
    <t>C-6256</t>
  </si>
  <si>
    <t>Cheung</t>
  </si>
  <si>
    <t>Kong</t>
  </si>
  <si>
    <t>C-6314</t>
  </si>
  <si>
    <t>See</t>
  </si>
  <si>
    <t>C-282</t>
  </si>
  <si>
    <t>Cheverly</t>
  </si>
  <si>
    <t>C-6260</t>
  </si>
  <si>
    <t>Chhabria</t>
  </si>
  <si>
    <t>Rajesh</t>
  </si>
  <si>
    <t>C-6367</t>
  </si>
  <si>
    <t>Shih</t>
  </si>
  <si>
    <t>ex102121@gmail.com</t>
  </si>
  <si>
    <t>C-6512</t>
  </si>
  <si>
    <t>Chi,</t>
  </si>
  <si>
    <t>Mingming</t>
  </si>
  <si>
    <t>maomao840127@163.com</t>
  </si>
  <si>
    <t>+8613810430416</t>
  </si>
  <si>
    <t>C-0404</t>
  </si>
  <si>
    <t>Chiao</t>
  </si>
  <si>
    <t>Chuang</t>
  </si>
  <si>
    <t>13811386077@163.com</t>
  </si>
  <si>
    <t>Tian Jin</t>
  </si>
  <si>
    <t>A-997</t>
  </si>
  <si>
    <t>Chica</t>
  </si>
  <si>
    <t>rasyah98.tr@gmail.com</t>
  </si>
  <si>
    <t xml:space="preserve">BPR Palu Lokadana Utama
Jl.Moh hatta kav 45 no.3-4
Palu</t>
  </si>
  <si>
    <t>C-6231</t>
  </si>
  <si>
    <t>Chicco</t>
  </si>
  <si>
    <t>628119055168</t>
  </si>
  <si>
    <t>Harapan Baru Barat IV</t>
  </si>
  <si>
    <t>C-0545</t>
  </si>
  <si>
    <t>Chicha</t>
  </si>
  <si>
    <t>Koeswoyo</t>
  </si>
  <si>
    <t>Jl. Pertanian 1 No.5 RT 04 RW 04 Lebak Bulus</t>
  </si>
  <si>
    <t>C-0702</t>
  </si>
  <si>
    <t>ChiChi</t>
  </si>
  <si>
    <t>C-171</t>
  </si>
  <si>
    <t>Chika</t>
  </si>
  <si>
    <t>C-6359</t>
  </si>
  <si>
    <t>handoyochika@gmail.com</t>
  </si>
  <si>
    <t>Jl.Salak N0.12 rt/rw 004</t>
  </si>
  <si>
    <t>C-6472</t>
  </si>
  <si>
    <t>Timika</t>
  </si>
  <si>
    <t>partikadillyayu@gmail.com</t>
  </si>
  <si>
    <t>6281112203860</t>
  </si>
  <si>
    <t>Appartement Mediteranian Palace</t>
  </si>
  <si>
    <t>C-163</t>
  </si>
  <si>
    <t>Chiko</t>
  </si>
  <si>
    <t>C-034</t>
  </si>
  <si>
    <t>Bice</t>
  </si>
  <si>
    <t>C-0443</t>
  </si>
  <si>
    <t>Chilin</t>
  </si>
  <si>
    <t>Kangin</t>
  </si>
  <si>
    <t>Kupang Baru 2/14</t>
  </si>
  <si>
    <t>C-058</t>
  </si>
  <si>
    <t>Chilly</t>
  </si>
  <si>
    <t>Rumambi</t>
  </si>
  <si>
    <t>C-6492</t>
  </si>
  <si>
    <t>Chin</t>
  </si>
  <si>
    <t>628994967755</t>
  </si>
  <si>
    <t xml:space="preserve">Jl Gajah No 2 /2 A
Kel. Pandau Hulu 1, Kec Medan Kota Sumut 20211</t>
  </si>
  <si>
    <t>C-6432</t>
  </si>
  <si>
    <t>Kuo</t>
  </si>
  <si>
    <t>C-059</t>
  </si>
  <si>
    <t>Chindar</t>
  </si>
  <si>
    <t>SRM</t>
  </si>
  <si>
    <t>Jl. Indramayu 21</t>
  </si>
  <si>
    <t>Menteng</t>
  </si>
  <si>
    <t>C-0407</t>
  </si>
  <si>
    <t>Chindera</t>
  </si>
  <si>
    <t>Soewandy</t>
  </si>
  <si>
    <t>C-156</t>
  </si>
  <si>
    <t>Chinta</t>
  </si>
  <si>
    <t>Tahir</t>
  </si>
  <si>
    <t>C-127</t>
  </si>
  <si>
    <t>Chintia</t>
  </si>
  <si>
    <t>Virgo</t>
  </si>
  <si>
    <t xml:space="preserve">Komplek Cemara Asri
Jl. Seroja No.20</t>
  </si>
  <si>
    <t>C-229</t>
  </si>
  <si>
    <t>Chintiya</t>
  </si>
  <si>
    <t>chyn_bog@yahoo.com</t>
  </si>
  <si>
    <t>Sunter</t>
  </si>
  <si>
    <t>C-6469</t>
  </si>
  <si>
    <t>Chintya</t>
  </si>
  <si>
    <t>Tehdianto</t>
  </si>
  <si>
    <t>tehdiantochintya@gmail.com</t>
  </si>
  <si>
    <t>+6281808883105</t>
  </si>
  <si>
    <t>Sunter Paradise Tahap 1 Blok F 18 N0.23</t>
  </si>
  <si>
    <t>C-6316</t>
  </si>
  <si>
    <t>Chisselia</t>
  </si>
  <si>
    <t>Tirtadjaja</t>
  </si>
  <si>
    <t>+6281212608055</t>
  </si>
  <si>
    <t>C-6238</t>
  </si>
  <si>
    <t>Chitra</t>
  </si>
  <si>
    <t>Novian</t>
  </si>
  <si>
    <t>C-6368</t>
  </si>
  <si>
    <t>Roes</t>
  </si>
  <si>
    <t>C-287</t>
  </si>
  <si>
    <t>Dhini</t>
  </si>
  <si>
    <t>C-6514</t>
  </si>
  <si>
    <t>Chiu Cheuk Ying</t>
  </si>
  <si>
    <t>Stephanie</t>
  </si>
  <si>
    <t>stephania_chiu@live.com</t>
  </si>
  <si>
    <t>85260368050</t>
  </si>
  <si>
    <t>Hong Kong</t>
  </si>
  <si>
    <t>C-0718</t>
  </si>
  <si>
    <t>Chloe</t>
  </si>
  <si>
    <t>(82)1023698408</t>
  </si>
  <si>
    <t>C-0437</t>
  </si>
  <si>
    <t>Nam</t>
  </si>
  <si>
    <t>C-0313</t>
  </si>
  <si>
    <t>WS</t>
  </si>
  <si>
    <t>C-178</t>
  </si>
  <si>
    <t>+628118704366</t>
  </si>
  <si>
    <t>C-6307</t>
  </si>
  <si>
    <t>Heeenn</t>
  </si>
  <si>
    <t>South Korea</t>
  </si>
  <si>
    <t>C-6491</t>
  </si>
  <si>
    <t>Inyoung</t>
  </si>
  <si>
    <t>+6281252422597</t>
  </si>
  <si>
    <t>C-0647</t>
  </si>
  <si>
    <t>Songju</t>
  </si>
  <si>
    <t>C-204</t>
  </si>
  <si>
    <t>Kyong</t>
  </si>
  <si>
    <t>fauxnaif72@gmail.com</t>
  </si>
  <si>
    <t xml:space="preserve">Wisma Korindo 7th Floor
Jl.MT Haryono Kav.62
Pancoran</t>
  </si>
  <si>
    <t>C-139</t>
  </si>
  <si>
    <t>Choji</t>
  </si>
  <si>
    <t>Enomoto</t>
  </si>
  <si>
    <t>C-026</t>
  </si>
  <si>
    <t>Chol</t>
  </si>
  <si>
    <t>Sub</t>
  </si>
  <si>
    <t>C-6389</t>
  </si>
  <si>
    <t>Reni</t>
  </si>
  <si>
    <t>Cholakova</t>
  </si>
  <si>
    <t>reni.cholakova@gmail.com</t>
  </si>
  <si>
    <t>+359888666696</t>
  </si>
  <si>
    <t>Bulgaria</t>
  </si>
  <si>
    <t>bulgaria</t>
  </si>
  <si>
    <t>C-286</t>
  </si>
  <si>
    <t>Choliq</t>
  </si>
  <si>
    <t>C-177</t>
  </si>
  <si>
    <t>Chomsa</t>
  </si>
  <si>
    <t>Lina</t>
  </si>
  <si>
    <t>C-6363</t>
  </si>
  <si>
    <t>Chong</t>
  </si>
  <si>
    <t>C-138</t>
  </si>
  <si>
    <t>Choo</t>
  </si>
  <si>
    <t>Il</t>
  </si>
  <si>
    <t>C-6443</t>
  </si>
  <si>
    <t>Chory</t>
  </si>
  <si>
    <t>Illa</t>
  </si>
  <si>
    <t>illachory@gmail.com</t>
  </si>
  <si>
    <t>6281334082585</t>
  </si>
  <si>
    <t>Komplek Perumaan Bulog Pos Pengumben</t>
  </si>
  <si>
    <t>C-0544</t>
  </si>
  <si>
    <t>Chossy</t>
  </si>
  <si>
    <t>Latu</t>
  </si>
  <si>
    <t>C-6302</t>
  </si>
  <si>
    <t>Pratiwi</t>
  </si>
  <si>
    <t>628118102831</t>
  </si>
  <si>
    <t>Harapan Indah Bulevard Hijau Regency</t>
  </si>
  <si>
    <t>C-0320</t>
  </si>
  <si>
    <t>Chou</t>
  </si>
  <si>
    <t>Roger</t>
  </si>
  <si>
    <t>tk19751108@icloud.com</t>
  </si>
  <si>
    <t>C-0511</t>
  </si>
  <si>
    <t>C-6410</t>
  </si>
  <si>
    <t>Ta Wei</t>
  </si>
  <si>
    <t>check144@163.com</t>
  </si>
  <si>
    <t>8613564085037</t>
  </si>
  <si>
    <t>C-6322</t>
  </si>
  <si>
    <t>Chow</t>
  </si>
  <si>
    <t>Samantha</t>
  </si>
  <si>
    <t>C-068</t>
  </si>
  <si>
    <t>Chris</t>
  </si>
  <si>
    <t>Evans</t>
  </si>
  <si>
    <t>Jl. Let. Jend. TB. Simatupang 150B</t>
  </si>
  <si>
    <t>Jagakarsa</t>
  </si>
  <si>
    <t>C-069</t>
  </si>
  <si>
    <t>Fong</t>
  </si>
  <si>
    <t>C-218</t>
  </si>
  <si>
    <t>Tantis</t>
  </si>
  <si>
    <t>tantissgp@gmail.com</t>
  </si>
  <si>
    <t>C-6455</t>
  </si>
  <si>
    <t>6282122117974</t>
  </si>
  <si>
    <t>Jl. Siaga Raya no 2</t>
  </si>
  <si>
    <t>C-0680</t>
  </si>
  <si>
    <t>Umpleby</t>
  </si>
  <si>
    <t>C-114</t>
  </si>
  <si>
    <t>C-142</t>
  </si>
  <si>
    <t>Chrisian</t>
  </si>
  <si>
    <t>C-0396</t>
  </si>
  <si>
    <t>Chrisma</t>
  </si>
  <si>
    <t>Virawanti</t>
  </si>
  <si>
    <t>C-0684</t>
  </si>
  <si>
    <t>Chrismiina</t>
  </si>
  <si>
    <t>C-206</t>
  </si>
  <si>
    <t>Chrisna</t>
  </si>
  <si>
    <t>C-6381</t>
  </si>
  <si>
    <t>Chrisnawati</t>
  </si>
  <si>
    <t>+6281288020474</t>
  </si>
  <si>
    <t>Vila Galaxi Blok AA1 No 64</t>
  </si>
  <si>
    <t>C-225</t>
  </si>
  <si>
    <t>Christ</t>
  </si>
  <si>
    <t>Solitaire</t>
  </si>
  <si>
    <t>choulita78@gmail.com</t>
  </si>
  <si>
    <t>Jl Letkol R. E. Djaelani 12B</t>
  </si>
  <si>
    <t>C-6371</t>
  </si>
  <si>
    <t>Christa</t>
  </si>
  <si>
    <t>C-0669</t>
  </si>
  <si>
    <t>Handayani</t>
  </si>
  <si>
    <t>Pancoran Residence</t>
  </si>
  <si>
    <t>C-6243</t>
  </si>
  <si>
    <t>Christabel</t>
  </si>
  <si>
    <t>Queentha</t>
  </si>
  <si>
    <t>C-6251</t>
  </si>
  <si>
    <t>Winy</t>
  </si>
  <si>
    <t xml:space="preserve">Jl Raya Bogor 13N 
Kramat jati</t>
  </si>
  <si>
    <t>C-179</t>
  </si>
  <si>
    <t>Christell</t>
  </si>
  <si>
    <t>Eve</t>
  </si>
  <si>
    <t xml:space="preserve">Jl. Tanah Mas 2 no.12
Pulomas</t>
  </si>
  <si>
    <t>M-1394</t>
  </si>
  <si>
    <t>Christhe</t>
  </si>
  <si>
    <t>C-6354</t>
  </si>
  <si>
    <t>Christhy</t>
  </si>
  <si>
    <t>Simon</t>
  </si>
  <si>
    <t>C-285</t>
  </si>
  <si>
    <t xml:space="preserve">Jl.Zamrud 3 Block E no,114
Permata Hijau
jakarta 12210</t>
  </si>
  <si>
    <t>C-217</t>
  </si>
  <si>
    <t>C-0663</t>
  </si>
  <si>
    <t>C-0649</t>
  </si>
  <si>
    <t>Banno</t>
  </si>
  <si>
    <t>Jalan Asem 2, 60E Komplek Lembong , Cipete</t>
  </si>
  <si>
    <t>C-0483</t>
  </si>
  <si>
    <t>THE ICON ETERNITY L5/15</t>
  </si>
  <si>
    <t>C-6525</t>
  </si>
  <si>
    <t>6282221474295</t>
  </si>
  <si>
    <t>C-6268</t>
  </si>
  <si>
    <t>Pulau Tidung IV Blok B3/11</t>
  </si>
  <si>
    <t>C-6295</t>
  </si>
  <si>
    <t>628112723638</t>
  </si>
  <si>
    <t>C-0337</t>
  </si>
  <si>
    <t>Kangean</t>
  </si>
  <si>
    <t>C-0336</t>
  </si>
  <si>
    <t>C-6401</t>
  </si>
  <si>
    <t>6281806518000</t>
  </si>
  <si>
    <t>C-072</t>
  </si>
  <si>
    <t>Y</t>
  </si>
  <si>
    <t>625100500754</t>
  </si>
  <si>
    <t>JL. Karang Asem</t>
  </si>
  <si>
    <t>C-0446</t>
  </si>
  <si>
    <t>Stephanus</t>
  </si>
  <si>
    <t>C-0318</t>
  </si>
  <si>
    <t>Zelig</t>
  </si>
  <si>
    <t>christianzelig@gmail.com</t>
  </si>
  <si>
    <t>Singgasana Pradana Darmaloka no 1A</t>
  </si>
  <si>
    <t>C-6245</t>
  </si>
  <si>
    <t>Christianti</t>
  </si>
  <si>
    <t>C-0485</t>
  </si>
  <si>
    <t>Christianto</t>
  </si>
  <si>
    <t>csetyo@gmail.com</t>
  </si>
  <si>
    <t>Jl.Patal Senayan No.1 Senayan Residence Kav E 28-29 Jak sel</t>
  </si>
  <si>
    <t>C-136</t>
  </si>
  <si>
    <t>Christianty</t>
  </si>
  <si>
    <t>C-6315</t>
  </si>
  <si>
    <t>Jln,Danau  Sunter Selatan</t>
  </si>
  <si>
    <t>C-0654</t>
  </si>
  <si>
    <t>C-0352</t>
  </si>
  <si>
    <t>Nurman</t>
  </si>
  <si>
    <t>C-6459</t>
  </si>
  <si>
    <t>Christin</t>
  </si>
  <si>
    <t>Winata Halim</t>
  </si>
  <si>
    <t>6281294162436</t>
  </si>
  <si>
    <t>C-0722</t>
  </si>
  <si>
    <t>Wirantono</t>
  </si>
  <si>
    <t>Jl. Prof Dr Mustopo no.199, Surabaya 60285</t>
  </si>
  <si>
    <t>C-0719</t>
  </si>
  <si>
    <t>C-6271</t>
  </si>
  <si>
    <t>Christinawati</t>
  </si>
  <si>
    <t>+6281380205885</t>
  </si>
  <si>
    <t>C-158</t>
  </si>
  <si>
    <t>C-6232</t>
  </si>
  <si>
    <t>Anakins</t>
  </si>
  <si>
    <t>C-0650</t>
  </si>
  <si>
    <t>6281219195079</t>
  </si>
  <si>
    <t>C-6275</t>
  </si>
  <si>
    <t>62811861125</t>
  </si>
  <si>
    <t>C-075</t>
  </si>
  <si>
    <t xml:space="preserve">Karang Anyar 53-54
Blok D no.24</t>
  </si>
  <si>
    <t>C-0412</t>
  </si>
  <si>
    <t>Harapan</t>
  </si>
  <si>
    <t>+628158876675</t>
  </si>
  <si>
    <t>C-176</t>
  </si>
  <si>
    <t>C-076</t>
  </si>
  <si>
    <t>clim@haritasec.com</t>
  </si>
  <si>
    <t xml:space="preserve">The Pakubuwono Residence 
Tower Ironwood 
Unit 26E</t>
  </si>
  <si>
    <t>C-077</t>
  </si>
  <si>
    <t>Malonda</t>
  </si>
  <si>
    <t>Jl. Tebet Dalam I D No. 10</t>
  </si>
  <si>
    <t>C-6263</t>
  </si>
  <si>
    <t>Mazziota</t>
  </si>
  <si>
    <t>Deutschland</t>
  </si>
  <si>
    <t>C-0712</t>
  </si>
  <si>
    <t>Martana</t>
  </si>
  <si>
    <t>cmar.soo888@gmail.com</t>
  </si>
  <si>
    <t>M-734</t>
  </si>
  <si>
    <t xml:space="preserve">Pantai Indah Kapuk
Komplek Longbeach D21 Jakarta Utara</t>
  </si>
  <si>
    <t>C-0735</t>
  </si>
  <si>
    <t>Tedjo</t>
  </si>
  <si>
    <t>Taman Kebon Jeruk Blok L1 No.43, Intercon</t>
  </si>
  <si>
    <t>C-6337</t>
  </si>
  <si>
    <t>Christine</t>
  </si>
  <si>
    <t>C-0586</t>
  </si>
  <si>
    <t>C-0659</t>
  </si>
  <si>
    <t>C-6479</t>
  </si>
  <si>
    <t>cherrypie_cc@yahoo.com</t>
  </si>
  <si>
    <t>+62811899383</t>
  </si>
  <si>
    <t>Pantai Indak Kapuk , Jakarta</t>
  </si>
  <si>
    <t>C-6292</t>
  </si>
  <si>
    <t xml:space="preserve">WeWork revenue ,My Venus Office floor 20th SCBD.
Jln.Jenderal Sudirman No.52-53.Senayan.Jakarta</t>
  </si>
  <si>
    <t>C-0381</t>
  </si>
  <si>
    <t>Dwiasmorojati</t>
  </si>
  <si>
    <t>C-6265</t>
  </si>
  <si>
    <t>C-0592</t>
  </si>
  <si>
    <t>Hutabarat</t>
  </si>
  <si>
    <t>C-0622</t>
  </si>
  <si>
    <t>C-0463</t>
  </si>
  <si>
    <t>C-0648</t>
  </si>
  <si>
    <t>C-267</t>
  </si>
  <si>
    <t>Natalya</t>
  </si>
  <si>
    <t>C-080</t>
  </si>
  <si>
    <t>Posuma</t>
  </si>
  <si>
    <t>Komp. Mediterania Z-3 No. 16</t>
  </si>
  <si>
    <t>C-6362</t>
  </si>
  <si>
    <t>Lavon 1, Tangerang</t>
  </si>
  <si>
    <t>C-0481</t>
  </si>
  <si>
    <t>C-0670</t>
  </si>
  <si>
    <t>Ranice</t>
  </si>
  <si>
    <t>C-6509</t>
  </si>
  <si>
    <t>Suh</t>
  </si>
  <si>
    <t>6282211110505</t>
  </si>
  <si>
    <t>C-081</t>
  </si>
  <si>
    <t>Tansah</t>
  </si>
  <si>
    <t>ctansah@gmail.com</t>
  </si>
  <si>
    <t>Kertajaya Indah Timur P-351</t>
  </si>
  <si>
    <t>C-6228</t>
  </si>
  <si>
    <t>Wang</t>
  </si>
  <si>
    <t>Tembabau dili 3V Medan 20111</t>
  </si>
  <si>
    <t>C-6305</t>
  </si>
  <si>
    <t>Watadipraja</t>
  </si>
  <si>
    <t>C-6309</t>
  </si>
  <si>
    <t>Christine,</t>
  </si>
  <si>
    <t>Cust</t>
  </si>
  <si>
    <t>C-6323</t>
  </si>
  <si>
    <t>Christmasi</t>
  </si>
  <si>
    <t>Brawijaya</t>
  </si>
  <si>
    <t xml:space="preserve">The Bukit Blok CSE 22 
JAKARTA UTARA</t>
  </si>
  <si>
    <t>C-227</t>
  </si>
  <si>
    <t>Christoper</t>
  </si>
  <si>
    <t>C-0720</t>
  </si>
  <si>
    <t>Rahardjo</t>
  </si>
  <si>
    <t>+19177270758</t>
  </si>
  <si>
    <t>C-0309</t>
  </si>
  <si>
    <t>Christophanie</t>
  </si>
  <si>
    <t>christophanie@ME.com</t>
  </si>
  <si>
    <t>Melinjo 20A (Asem Dua), Cipete selatan</t>
  </si>
  <si>
    <t>C-6249</t>
  </si>
  <si>
    <t>Hinds</t>
  </si>
  <si>
    <t>C-120</t>
  </si>
  <si>
    <t>Coupe</t>
  </si>
  <si>
    <t>C-6374</t>
  </si>
  <si>
    <t>Lheman</t>
  </si>
  <si>
    <t>+6218998510</t>
  </si>
  <si>
    <t>Jl.Jeruk Merah J3/18</t>
  </si>
  <si>
    <t>C-6431</t>
  </si>
  <si>
    <t>Christhoper</t>
  </si>
  <si>
    <t>cjtanw@gmail.com</t>
  </si>
  <si>
    <t>62818770188</t>
  </si>
  <si>
    <t>Apt Providence Park #32B Jl.Kalimaya No27</t>
  </si>
  <si>
    <t>C-6505</t>
  </si>
  <si>
    <t>christy.kitty1202@gmail.com</t>
  </si>
  <si>
    <t>+6281298214729</t>
  </si>
  <si>
    <t>Chopin 2 No.12 Golf Island Jakarta - Utara</t>
  </si>
  <si>
    <t>C-134</t>
  </si>
  <si>
    <t>Elaine</t>
  </si>
  <si>
    <t>christy.elaine90@gmail.com</t>
  </si>
  <si>
    <t>628567895572</t>
  </si>
  <si>
    <t>C-6393</t>
  </si>
  <si>
    <t>charissemchristy@gmail.com</t>
  </si>
  <si>
    <t>+6281808923131</t>
  </si>
  <si>
    <t>Gading Kirana</t>
  </si>
  <si>
    <t>C-6267</t>
  </si>
  <si>
    <t>Liman</t>
  </si>
  <si>
    <t>C-6364</t>
  </si>
  <si>
    <t>Christy Putri</t>
  </si>
  <si>
    <t>Sarah Pandu</t>
  </si>
  <si>
    <t>christypanduu@gmail.com</t>
  </si>
  <si>
    <t>+6281314447849</t>
  </si>
  <si>
    <t>JL MAWAR V NO.17 - TANGERANG</t>
  </si>
  <si>
    <t>C-6325</t>
  </si>
  <si>
    <t>Sundari</t>
  </si>
  <si>
    <t>Jl, Bambu Larangan</t>
  </si>
  <si>
    <t>C-167</t>
  </si>
  <si>
    <t>Chrisye</t>
  </si>
  <si>
    <t>Subono</t>
  </si>
  <si>
    <t>C-6366</t>
  </si>
  <si>
    <t>Chryestella</t>
  </si>
  <si>
    <t>Apt Royal Mediterania,37</t>
  </si>
  <si>
    <t>C-209</t>
  </si>
  <si>
    <t>Chu</t>
  </si>
  <si>
    <t>Drianto</t>
  </si>
  <si>
    <t>chudrianto@yahoo.com</t>
  </si>
  <si>
    <t>C-6428</t>
  </si>
  <si>
    <t>Chu Hong</t>
  </si>
  <si>
    <t>Park</t>
  </si>
  <si>
    <t>62811371419</t>
  </si>
  <si>
    <t>C-0491</t>
  </si>
  <si>
    <t>C-269</t>
  </si>
  <si>
    <t>yanli</t>
  </si>
  <si>
    <t>chuyanli@hotmail.com</t>
  </si>
  <si>
    <t>Shanghai, China</t>
  </si>
  <si>
    <t>C-6300</t>
  </si>
  <si>
    <t>Chua</t>
  </si>
  <si>
    <t>C-6485</t>
  </si>
  <si>
    <t>Jing Hui</t>
  </si>
  <si>
    <t>60166073360</t>
  </si>
  <si>
    <t>C-6500</t>
  </si>
  <si>
    <t>Yao-Hsien</t>
  </si>
  <si>
    <t>xo1003xo@yahoo.com.tw</t>
  </si>
  <si>
    <t>886926262193</t>
  </si>
  <si>
    <t>C-6293</t>
  </si>
  <si>
    <t>Jeeyoung</t>
  </si>
  <si>
    <t>C-0428</t>
  </si>
  <si>
    <t>Chung</t>
  </si>
  <si>
    <t>Ok</t>
  </si>
  <si>
    <t>C-6420</t>
  </si>
  <si>
    <t>Seungwoo</t>
  </si>
  <si>
    <t>mschung.b@gmail.com</t>
  </si>
  <si>
    <t>821071015163</t>
  </si>
  <si>
    <t>Korea Selatan</t>
  </si>
  <si>
    <t>C-6370</t>
  </si>
  <si>
    <t>Sung</t>
  </si>
  <si>
    <t>C-6415</t>
  </si>
  <si>
    <t>Chunli</t>
  </si>
  <si>
    <t>Li</t>
  </si>
  <si>
    <t>62812888833889</t>
  </si>
  <si>
    <t>C-0409</t>
  </si>
  <si>
    <t>Chynthia</t>
  </si>
  <si>
    <t>C-6356</t>
  </si>
  <si>
    <t>Cia</t>
  </si>
  <si>
    <t>Ie</t>
  </si>
  <si>
    <t>C-6398</t>
  </si>
  <si>
    <t>Cially</t>
  </si>
  <si>
    <t>Than</t>
  </si>
  <si>
    <t>ciallytan85@gmail.com</t>
  </si>
  <si>
    <t>6282260585825</t>
  </si>
  <si>
    <t>PIK</t>
  </si>
  <si>
    <t>C-6376</t>
  </si>
  <si>
    <t>Cica</t>
  </si>
  <si>
    <t>Misbach</t>
  </si>
  <si>
    <t>cicamisbach27@gamai.com</t>
  </si>
  <si>
    <t>C-152</t>
  </si>
  <si>
    <t>Cici</t>
  </si>
  <si>
    <t>Suka Subur no.08 Medan</t>
  </si>
  <si>
    <t>C-0698</t>
  </si>
  <si>
    <t>Oktaviani</t>
  </si>
  <si>
    <t>+81280003008</t>
  </si>
  <si>
    <t xml:space="preserve">JL YDPP SELATAN NO.A3
CILANDAK BARAT - JAKARTA SELATAN 12430</t>
  </si>
  <si>
    <t>C-0713</t>
  </si>
  <si>
    <t>Cicilia</t>
  </si>
  <si>
    <t>C-6355</t>
  </si>
  <si>
    <t>C-6264</t>
  </si>
  <si>
    <t>Ginung</t>
  </si>
  <si>
    <t>C-6473</t>
  </si>
  <si>
    <t>6287888003582</t>
  </si>
  <si>
    <t>C-128</t>
  </si>
  <si>
    <t>Green Garden G1 No.12</t>
  </si>
  <si>
    <t>C-0683</t>
  </si>
  <si>
    <t>628118889173</t>
  </si>
  <si>
    <t>C-166</t>
  </si>
  <si>
    <t>Cicillia</t>
  </si>
  <si>
    <t>C-103</t>
  </si>
  <si>
    <t>Cicing</t>
  </si>
  <si>
    <t>Suryati</t>
  </si>
  <si>
    <t xml:space="preserve">Jl. Gusti Hamzah No.10C
Pontianak, 78116</t>
  </si>
  <si>
    <t>C-131</t>
  </si>
  <si>
    <t>Ciecie</t>
  </si>
  <si>
    <t>C-6239</t>
  </si>
  <si>
    <t>Cien</t>
  </si>
  <si>
    <t>C-303</t>
  </si>
  <si>
    <t>Cilvia</t>
  </si>
  <si>
    <t xml:space="preserve">Perumahan Taman Nirwana
Jl. Pondok Timur Raya Blok C no.1/2
Bekasi Timur  - Depan Giant</t>
  </si>
  <si>
    <t>C-6230</t>
  </si>
  <si>
    <t>Cincin</t>
  </si>
  <si>
    <t>C-245</t>
  </si>
  <si>
    <t>Cindiana</t>
  </si>
  <si>
    <t>C-088</t>
  </si>
  <si>
    <t>Cindralela</t>
  </si>
  <si>
    <t>Darsia</t>
  </si>
  <si>
    <t>Jl. Cipaku 6 No. 10</t>
  </si>
  <si>
    <t>C-262</t>
  </si>
  <si>
    <t>Cindy</t>
  </si>
  <si>
    <t xml:space="preserve">Apt. Pesona Bahari Lt.1-D
Topaz</t>
  </si>
  <si>
    <t>C-0642</t>
  </si>
  <si>
    <t>Sunter jakarta utara</t>
  </si>
  <si>
    <t>C-228</t>
  </si>
  <si>
    <t>M-1392</t>
  </si>
  <si>
    <t>Agnesti.</t>
  </si>
  <si>
    <t>C-251</t>
  </si>
  <si>
    <t>cindyamelia@hotmail.com</t>
  </si>
  <si>
    <t>Puri Mansion, Edinburg2 No II no 11</t>
  </si>
  <si>
    <t>Jakarta Bar</t>
  </si>
  <si>
    <t>C-6452</t>
  </si>
  <si>
    <t>628111999776</t>
  </si>
  <si>
    <t>C-0655</t>
  </si>
  <si>
    <t>Antoinette</t>
  </si>
  <si>
    <t>C-6353</t>
  </si>
  <si>
    <t>Arlita</t>
  </si>
  <si>
    <t>C-6327</t>
  </si>
  <si>
    <t>cindyaulia90600@gmail.com</t>
  </si>
  <si>
    <t>Taman Modern, Jakarta Timur</t>
  </si>
  <si>
    <t>M-1359</t>
  </si>
  <si>
    <t>Brace.</t>
  </si>
  <si>
    <t>C-6248</t>
  </si>
  <si>
    <t>C-147</t>
  </si>
  <si>
    <t>Jl. Petojo Sabangan 4 No. 1</t>
  </si>
  <si>
    <t>C-6486</t>
  </si>
  <si>
    <t>c_the94@yahoo.com</t>
  </si>
  <si>
    <t>+628113511288</t>
  </si>
  <si>
    <t>Sulawesi Selatan</t>
  </si>
  <si>
    <t>C-6413</t>
  </si>
  <si>
    <t>Claudia</t>
  </si>
  <si>
    <t>6281382012627</t>
  </si>
  <si>
    <t>C-207</t>
  </si>
  <si>
    <t>Karauwan</t>
  </si>
  <si>
    <t>M-1389</t>
  </si>
  <si>
    <t>Darmadi</t>
  </si>
  <si>
    <t>Owner of Grand Hyatt</t>
  </si>
  <si>
    <t>C-189</t>
  </si>
  <si>
    <t>Djojonegoro</t>
  </si>
  <si>
    <t>C-0360</t>
  </si>
  <si>
    <t>Herlambang</t>
  </si>
  <si>
    <t>C-0488</t>
  </si>
  <si>
    <t>Jowono</t>
  </si>
  <si>
    <t>C-0315</t>
  </si>
  <si>
    <t>cindy.juanda@hotmail.com</t>
  </si>
  <si>
    <t>C-6308</t>
  </si>
  <si>
    <t>6282218181992</t>
  </si>
  <si>
    <t xml:space="preserve">Jl.Taman Kota F1/14 
Jakarta 11610</t>
  </si>
  <si>
    <t>C-0408</t>
  </si>
  <si>
    <t>628179819311</t>
  </si>
  <si>
    <t>C-0703</t>
  </si>
  <si>
    <t>Kirstie</t>
  </si>
  <si>
    <t>Jl.Kelapang Utara I No.1</t>
  </si>
  <si>
    <t>C-6520</t>
  </si>
  <si>
    <t>Malik</t>
  </si>
  <si>
    <t>info.cindypriscilla@gmail.com</t>
  </si>
  <si>
    <t>6281219958236</t>
  </si>
  <si>
    <t>Gandaria</t>
  </si>
  <si>
    <t>C-0708</t>
  </si>
  <si>
    <t>Jakarta - Bali</t>
  </si>
  <si>
    <t>C-6434</t>
  </si>
  <si>
    <t>cindynatalia198@yahoo.com</t>
  </si>
  <si>
    <t>6282130201998</t>
  </si>
  <si>
    <t>Setra Duta Block L5 no 11</t>
  </si>
  <si>
    <t>C-188</t>
  </si>
  <si>
    <t>C-070</t>
  </si>
  <si>
    <t>Pantouw</t>
  </si>
  <si>
    <t>Jl. Pulo Nangka III A/14, Jakarta 13260</t>
  </si>
  <si>
    <t>C-0570</t>
  </si>
  <si>
    <t>Phantow</t>
  </si>
  <si>
    <t>+6287876261616</t>
  </si>
  <si>
    <t>C-6458</t>
  </si>
  <si>
    <t>Pitaloka</t>
  </si>
  <si>
    <t>6281361700146</t>
  </si>
  <si>
    <t>Avezza The Mozia No 11</t>
  </si>
  <si>
    <t>C-6273</t>
  </si>
  <si>
    <t>cindy.tachibana@gmail.com</t>
  </si>
  <si>
    <t>+628129407777</t>
  </si>
  <si>
    <t>C-299</t>
  </si>
  <si>
    <t>Rahmadia</t>
  </si>
  <si>
    <t>rahmadia_cindi@yahoo.com</t>
  </si>
  <si>
    <t>Pulomas Residence Blok A No.5</t>
  </si>
  <si>
    <t>C-6257</t>
  </si>
  <si>
    <t>Rahmalia</t>
  </si>
  <si>
    <t>Pulomas Residence A5 Jakarta</t>
  </si>
  <si>
    <t>C-6397</t>
  </si>
  <si>
    <t>cindysalim123@gmail.com</t>
  </si>
  <si>
    <t>628118072599</t>
  </si>
  <si>
    <t>C-182</t>
  </si>
  <si>
    <t>cindyslsalim@yahoo.com</t>
  </si>
  <si>
    <t>Jl. Hayam Wuruk 2505</t>
  </si>
  <si>
    <t>C-0737</t>
  </si>
  <si>
    <t>Savanty</t>
  </si>
  <si>
    <t>C-6516</t>
  </si>
  <si>
    <t>Sontani</t>
  </si>
  <si>
    <t>cindy.sontani@gmail.com</t>
  </si>
  <si>
    <t>628111382301</t>
  </si>
  <si>
    <t>C-6262</t>
  </si>
  <si>
    <t>Wijayanti</t>
  </si>
  <si>
    <t xml:space="preserve">JL KUTA INDAH NO.08
BUKIT GADING VILLA
JAKARTA UTARA</t>
  </si>
  <si>
    <t>C-6227</t>
  </si>
  <si>
    <t>Cindy/</t>
  </si>
  <si>
    <t>Tjahyo</t>
  </si>
  <si>
    <t>C-6513</t>
  </si>
  <si>
    <t>Cindiyana</t>
  </si>
  <si>
    <t>Puspa Dewi</t>
  </si>
  <si>
    <t>6281283883381</t>
  </si>
  <si>
    <t>C-089</t>
  </si>
  <si>
    <t>Cindyawati</t>
  </si>
  <si>
    <t>Insani</t>
  </si>
  <si>
    <t>Jl. Tebet Mas Indah V No. 137</t>
  </si>
  <si>
    <t>C-298</t>
  </si>
  <si>
    <t>Cindynatta</t>
  </si>
  <si>
    <t>Jl. Malang No. 11 Menteng</t>
  </si>
  <si>
    <t>C-0657</t>
  </si>
  <si>
    <t>Cinndy</t>
  </si>
  <si>
    <t>C-0660</t>
  </si>
  <si>
    <t>Cinta</t>
  </si>
  <si>
    <t>Kiehl</t>
  </si>
  <si>
    <t xml:space="preserve">jl. MPR II No.4
Jakarta</t>
  </si>
  <si>
    <t>C-172</t>
  </si>
  <si>
    <t>Trisno</t>
  </si>
  <si>
    <t>C-0690</t>
  </si>
  <si>
    <t>Trisulo</t>
  </si>
  <si>
    <t>C-202</t>
  </si>
  <si>
    <t>Cinthia</t>
  </si>
  <si>
    <t>C-6338</t>
  </si>
  <si>
    <t>Cinthya</t>
  </si>
  <si>
    <t>C-0676</t>
  </si>
  <si>
    <t>Ruli</t>
  </si>
  <si>
    <t>C-170</t>
  </si>
  <si>
    <t>Cintya</t>
  </si>
  <si>
    <t>C-6253</t>
  </si>
  <si>
    <t>Cipry</t>
  </si>
  <si>
    <t>Tjan</t>
  </si>
  <si>
    <t>C-261</t>
  </si>
  <si>
    <t>Cipta</t>
  </si>
  <si>
    <t>cipta.chandra@hotmail.com</t>
  </si>
  <si>
    <t>Mangga Besar 6 Selatan no 66</t>
  </si>
  <si>
    <t>C-6225</t>
  </si>
  <si>
    <t>C-6350</t>
  </si>
  <si>
    <t>Ciradhammo</t>
  </si>
  <si>
    <t>C-092</t>
  </si>
  <si>
    <t>Cirlande</t>
  </si>
  <si>
    <t>Jl. Sahadewa 8A</t>
  </si>
  <si>
    <t>Kerobokan</t>
  </si>
  <si>
    <t>C-292</t>
  </si>
  <si>
    <t>Cisca</t>
  </si>
  <si>
    <t>widjaja</t>
  </si>
  <si>
    <t>C-6375</t>
  </si>
  <si>
    <t>Cisyanto</t>
  </si>
  <si>
    <t>cisyanto001@gmail.com</t>
  </si>
  <si>
    <t>JL. AUP Pasar Minggu</t>
  </si>
  <si>
    <t>C-0561</t>
  </si>
  <si>
    <t>Cita</t>
  </si>
  <si>
    <t>6281316467884</t>
  </si>
  <si>
    <t>C-0539</t>
  </si>
  <si>
    <t>citta_rahayu@yahoo.cm</t>
  </si>
  <si>
    <t>C-146</t>
  </si>
  <si>
    <t>Citra</t>
  </si>
  <si>
    <t>Senayan Residence</t>
  </si>
  <si>
    <t>C-6468</t>
  </si>
  <si>
    <t>Sibarani</t>
  </si>
  <si>
    <t>Jln. Praja 6 No. 65 A, Jakarta Selatan</t>
  </si>
  <si>
    <t>C-161</t>
  </si>
  <si>
    <t>Bangun</t>
  </si>
  <si>
    <t>Jl. Teuku Umar No.54</t>
  </si>
  <si>
    <t>C-6484</t>
  </si>
  <si>
    <t>Citra Bianca</t>
  </si>
  <si>
    <t>821099212319</t>
  </si>
  <si>
    <t>C-6343</t>
  </si>
  <si>
    <t>Jufita</t>
  </si>
  <si>
    <t>Morizen Residence Summarecon Bekasi</t>
  </si>
  <si>
    <t>C-6334</t>
  </si>
  <si>
    <t>Kartawinarti</t>
  </si>
  <si>
    <t xml:space="preserve">Jalan Penataran Agung no. 1, Kedonganan.
badung, Bali.</t>
  </si>
  <si>
    <t>C-6373</t>
  </si>
  <si>
    <t>Mega</t>
  </si>
  <si>
    <t>citrams01@gmail.com</t>
  </si>
  <si>
    <t>Pinang ranti</t>
  </si>
  <si>
    <t>C-0448</t>
  </si>
  <si>
    <t>Noviasari</t>
  </si>
  <si>
    <t>C-0714</t>
  </si>
  <si>
    <t>Claire</t>
  </si>
  <si>
    <t>C-6244</t>
  </si>
  <si>
    <t>Tjiputra</t>
  </si>
  <si>
    <t>C-6446</t>
  </si>
  <si>
    <t>Clairene</t>
  </si>
  <si>
    <t>clairetam123@gmail.com</t>
  </si>
  <si>
    <t>6281188882392</t>
  </si>
  <si>
    <t>C-0723</t>
  </si>
  <si>
    <t>Clara</t>
  </si>
  <si>
    <t>6281110679628</t>
  </si>
  <si>
    <t>C-6392</t>
  </si>
  <si>
    <t>agathaclara95@gmail.com</t>
  </si>
  <si>
    <t>Citra 2</t>
  </si>
  <si>
    <t>C-6421</t>
  </si>
  <si>
    <t>Bernadeth</t>
  </si>
  <si>
    <t>628179617771</t>
  </si>
  <si>
    <t>M-1429</t>
  </si>
  <si>
    <t>Siboe.</t>
  </si>
  <si>
    <t>C-211</t>
  </si>
  <si>
    <t>Suhardi</t>
  </si>
  <si>
    <t>C-6478</t>
  </si>
  <si>
    <t>Clareta</t>
  </si>
  <si>
    <t>Subekti</t>
  </si>
  <si>
    <t>claretasubakti@gmail.com</t>
  </si>
  <si>
    <t>62811165465</t>
  </si>
  <si>
    <t>PLN Dalam Bandung 40255</t>
  </si>
  <si>
    <t>C-0604</t>
  </si>
  <si>
    <t>Clarine</t>
  </si>
  <si>
    <t>C-0686</t>
  </si>
  <si>
    <t>Clarissa</t>
  </si>
  <si>
    <t>elmira</t>
  </si>
  <si>
    <t>C-6506</t>
  </si>
  <si>
    <t>clarissa.indrawan@gmail.com</t>
  </si>
  <si>
    <t>6282115500776</t>
  </si>
  <si>
    <t>Jl. Kintamani II</t>
  </si>
  <si>
    <t>C-0705</t>
  </si>
  <si>
    <t>c.kurniawan@hotmail.com</t>
  </si>
  <si>
    <t xml:space="preserve">Jl. Pakubuwono V No.68
Pakubuwono Residence E17D</t>
  </si>
  <si>
    <t>C-0399</t>
  </si>
  <si>
    <t>Mannuel</t>
  </si>
  <si>
    <t>C-0420</t>
  </si>
  <si>
    <t>N</t>
  </si>
  <si>
    <t>Jl.Sutora Pelangi 8 No.16</t>
  </si>
  <si>
    <t>C-6386</t>
  </si>
  <si>
    <t>Putri Suseno</t>
  </si>
  <si>
    <t>082218041993</t>
  </si>
  <si>
    <t>C-0741</t>
  </si>
  <si>
    <t>Sumasto</t>
  </si>
  <si>
    <t>clarissa.sumasto@gmail,com</t>
  </si>
  <si>
    <t>Teluk Betung 45C</t>
  </si>
  <si>
    <t>C-6429</t>
  </si>
  <si>
    <t>6281511105539</t>
  </si>
  <si>
    <t>C-0573</t>
  </si>
  <si>
    <t>C-0406</t>
  </si>
  <si>
    <t>Apriliant</t>
  </si>
  <si>
    <t>6281585028118</t>
  </si>
  <si>
    <t>Mayang Permai, 14460</t>
  </si>
  <si>
    <t>C-0729</t>
  </si>
  <si>
    <t>C-6341</t>
  </si>
  <si>
    <t>Johandi</t>
  </si>
  <si>
    <t xml:space="preserve">JL.Surya Bahagia 1 Blok 20/47 
Jakarta 11520</t>
  </si>
  <si>
    <t>C-0414</t>
  </si>
  <si>
    <t>Nunez</t>
  </si>
  <si>
    <t>C-0525</t>
  </si>
  <si>
    <t>C-0667</t>
  </si>
  <si>
    <t>Sastrawidjaja</t>
  </si>
  <si>
    <t>Wang Residence Apartment 16F</t>
  </si>
  <si>
    <t>C-6425</t>
  </si>
  <si>
    <t>Warni</t>
  </si>
  <si>
    <t>62811928242</t>
  </si>
  <si>
    <t>C-6246</t>
  </si>
  <si>
    <t>6287888804533</t>
  </si>
  <si>
    <t>C-230</t>
  </si>
  <si>
    <t>Claudien</t>
  </si>
  <si>
    <t>C-6489</t>
  </si>
  <si>
    <t>Claudio</t>
  </si>
  <si>
    <t>C-6252</t>
  </si>
  <si>
    <t>Claudior</t>
  </si>
  <si>
    <t>Marcus</t>
  </si>
  <si>
    <t>C-0523</t>
  </si>
  <si>
    <t>Claudius</t>
  </si>
  <si>
    <t>+6287876358999</t>
  </si>
  <si>
    <t>C-193</t>
  </si>
  <si>
    <t>Claudy</t>
  </si>
  <si>
    <t>C-0679</t>
  </si>
  <si>
    <t>Claudya</t>
  </si>
  <si>
    <t>Taman Golf Timur 1 no.B1/No.29</t>
  </si>
  <si>
    <t>C-0421</t>
  </si>
  <si>
    <t>Parsons</t>
  </si>
  <si>
    <t>Residence 8L.60A Tower 2 (SCBD)</t>
  </si>
  <si>
    <t>C-6404</t>
  </si>
  <si>
    <t>Terry</t>
  </si>
  <si>
    <t>claudya_terry@yahoo.com</t>
  </si>
  <si>
    <t>+62811235608</t>
  </si>
  <si>
    <t>C-132</t>
  </si>
  <si>
    <t>Clefy</t>
  </si>
  <si>
    <t xml:space="preserve">The Icon Simpli city A8 / 43
BSD</t>
  </si>
  <si>
    <t>C-0621</t>
  </si>
  <si>
    <t>Clement</t>
  </si>
  <si>
    <t>Alis</t>
  </si>
  <si>
    <t>C-6250</t>
  </si>
  <si>
    <t>C-6422</t>
  </si>
  <si>
    <t>Cliff</t>
  </si>
  <si>
    <t>Geraldio</t>
  </si>
  <si>
    <t>62812860555</t>
  </si>
  <si>
    <t>Komplek Grand City Resort Blok A7, Makassar, Sulawesi Selatan 90135</t>
  </si>
  <si>
    <t>C-0691</t>
  </si>
  <si>
    <t>C-0620</t>
  </si>
  <si>
    <t>Clifford</t>
  </si>
  <si>
    <t>Wuisan</t>
  </si>
  <si>
    <t>C-234</t>
  </si>
  <si>
    <t>Rees</t>
  </si>
  <si>
    <t>cliff_rees@yahoo.com</t>
  </si>
  <si>
    <t>+62811822053</t>
  </si>
  <si>
    <t>C-0541</t>
  </si>
  <si>
    <t>Cludia</t>
  </si>
  <si>
    <t>C-6310</t>
  </si>
  <si>
    <t>Coco</t>
  </si>
  <si>
    <t>C-097</t>
  </si>
  <si>
    <t>C-0677</t>
  </si>
  <si>
    <t>Condro</t>
  </si>
  <si>
    <t>Jl.Raya Sentani Waena</t>
  </si>
  <si>
    <t>C-0369</t>
  </si>
  <si>
    <t>Cong</t>
  </si>
  <si>
    <t>Lin</t>
  </si>
  <si>
    <t>C-0730</t>
  </si>
  <si>
    <t>Connie</t>
  </si>
  <si>
    <t>Budiawati</t>
  </si>
  <si>
    <t>C-0490</t>
  </si>
  <si>
    <t>F.E.Turangan</t>
  </si>
  <si>
    <t>C-6234</t>
  </si>
  <si>
    <t>connie_5580@yahoo.com</t>
  </si>
  <si>
    <t>628126525350</t>
  </si>
  <si>
    <t>Camar Indah 4 No.23 Jakarta Utara</t>
  </si>
  <si>
    <t>C-0330</t>
  </si>
  <si>
    <t>Conny</t>
  </si>
  <si>
    <t>C-6448</t>
  </si>
  <si>
    <t>628129062939</t>
  </si>
  <si>
    <t>C-259</t>
  </si>
  <si>
    <t>Constanse</t>
  </si>
  <si>
    <t>Perry</t>
  </si>
  <si>
    <t>C-6407</t>
  </si>
  <si>
    <t>Conte</t>
  </si>
  <si>
    <t>Jean-Pierre Louis</t>
  </si>
  <si>
    <t>14159902362</t>
  </si>
  <si>
    <t>C-6345</t>
  </si>
  <si>
    <t>Cony</t>
  </si>
  <si>
    <t>C-6418</t>
  </si>
  <si>
    <t>Cook Hung Lok</t>
  </si>
  <si>
    <t>cookhunglok@gmail.com</t>
  </si>
  <si>
    <t>+85297363006</t>
  </si>
  <si>
    <t>Hongkong</t>
  </si>
  <si>
    <t>D-1061</t>
  </si>
  <si>
    <t>Corina</t>
  </si>
  <si>
    <t>Selamat Loefti</t>
  </si>
  <si>
    <t>62811175585</t>
  </si>
  <si>
    <t>Taman Resort Mediterania Blok Z5 No. 5, PIK</t>
  </si>
  <si>
    <t>C-0699</t>
  </si>
  <si>
    <t>Corinna</t>
  </si>
  <si>
    <t>Faustine</t>
  </si>
  <si>
    <t>C-6442</t>
  </si>
  <si>
    <t>Cornelia</t>
  </si>
  <si>
    <t>Jalan Kubis No. 52D, Makassar</t>
  </si>
  <si>
    <t>C-6394</t>
  </si>
  <si>
    <t>Cornelius</t>
  </si>
  <si>
    <t>Patria</t>
  </si>
  <si>
    <t>C-0489</t>
  </si>
  <si>
    <t>Corrie</t>
  </si>
  <si>
    <t>C-0696</t>
  </si>
  <si>
    <t>Cosa</t>
  </si>
  <si>
    <t>C-6411</t>
  </si>
  <si>
    <t>Crespi Morbio</t>
  </si>
  <si>
    <t>Fabrizio</t>
  </si>
  <si>
    <t>f.crespi@step.it</t>
  </si>
  <si>
    <t>393487085657</t>
  </si>
  <si>
    <t>C-290</t>
  </si>
  <si>
    <t>Crissinda</t>
  </si>
  <si>
    <t>Suta</t>
  </si>
  <si>
    <t>crissinda@yahoo.com</t>
  </si>
  <si>
    <t xml:space="preserve">Jalan Manunggal Jaya 30
Lebak Bulus</t>
  </si>
  <si>
    <t>C-6306</t>
  </si>
  <si>
    <t>Goean</t>
  </si>
  <si>
    <t>christine_t2@yahoo.com</t>
  </si>
  <si>
    <t>628125452523</t>
  </si>
  <si>
    <t xml:space="preserve">Taman Beverly Golf
Jl,Danau golf no,08 lippo - karawaci</t>
  </si>
  <si>
    <t>C-173</t>
  </si>
  <si>
    <t>Cristine</t>
  </si>
  <si>
    <t>C-0394</t>
  </si>
  <si>
    <t>6282177787777</t>
  </si>
  <si>
    <t>C-6419</t>
  </si>
  <si>
    <t>Cruz</t>
  </si>
  <si>
    <t>Andrea Manes</t>
  </si>
  <si>
    <t>sherylene_180@yahoo.com.ph</t>
  </si>
  <si>
    <t>61449685000</t>
  </si>
  <si>
    <t>C-0658</t>
  </si>
  <si>
    <t>Cu</t>
  </si>
  <si>
    <t>Cing</t>
  </si>
  <si>
    <t xml:space="preserve">Mahkota Ancol Blok D / 37
Jl. RE Martadinata</t>
  </si>
  <si>
    <t>C-0733</t>
  </si>
  <si>
    <t>Cucu</t>
  </si>
  <si>
    <t>Jalan Durasi 18</t>
  </si>
  <si>
    <t>C-239</t>
  </si>
  <si>
    <t>Cui</t>
  </si>
  <si>
    <t>Liang</t>
  </si>
  <si>
    <t>CuiLiang@huawei.com</t>
  </si>
  <si>
    <t>Taman Anggrek Apartement Tower 4 Unit 28A</t>
  </si>
  <si>
    <t>C-6317</t>
  </si>
  <si>
    <t>CUI</t>
  </si>
  <si>
    <t>SHANSHAN</t>
  </si>
  <si>
    <t>C-6261</t>
  </si>
  <si>
    <t>C-6481</t>
  </si>
  <si>
    <t>Xiaoqing</t>
  </si>
  <si>
    <t>nizhi89@gmail.com</t>
  </si>
  <si>
    <t>8613539991606</t>
  </si>
  <si>
    <t>C-0577</t>
  </si>
  <si>
    <t>Cul</t>
  </si>
  <si>
    <t>Ying</t>
  </si>
  <si>
    <t>C-0311</t>
  </si>
  <si>
    <t>Cumpu</t>
  </si>
  <si>
    <t>Made</t>
  </si>
  <si>
    <t>Satyaadicumpu@yahoo.com</t>
  </si>
  <si>
    <t xml:space="preserve">Lingkungan Taman Griya, Jl, Bougenville Ungu 1/4
Jimbaran</t>
  </si>
  <si>
    <t>Kuta Selatan</t>
  </si>
  <si>
    <t>C-0305</t>
  </si>
  <si>
    <t>Cun</t>
  </si>
  <si>
    <t>Heuw</t>
  </si>
  <si>
    <t xml:space="preserve">Gd.Sentral Senayan 1 Lt.15
Jl.Asia Afrika No.8</t>
  </si>
  <si>
    <t>C-0732</t>
  </si>
  <si>
    <t>Cung</t>
  </si>
  <si>
    <t>Tjhung</t>
  </si>
  <si>
    <t>C-0740</t>
  </si>
  <si>
    <t>Cunnarto</t>
  </si>
  <si>
    <t>Ngadio</t>
  </si>
  <si>
    <t>M-1267</t>
  </si>
  <si>
    <t>Cuo</t>
  </si>
  <si>
    <t>Jie</t>
  </si>
  <si>
    <t>C-0378</t>
  </si>
  <si>
    <t>CUPLIS</t>
  </si>
  <si>
    <t>JL.KUBURAN BLOK C NO.58</t>
  </si>
  <si>
    <t>C-6278</t>
  </si>
  <si>
    <t>Currie</t>
  </si>
  <si>
    <t>Louise</t>
  </si>
  <si>
    <t>C-6518</t>
  </si>
  <si>
    <t>Cut</t>
  </si>
  <si>
    <t>C-0535</t>
  </si>
  <si>
    <t>Zainufar</t>
  </si>
  <si>
    <t xml:space="preserve">Jl Bazoka III Blok U No, 5 Joglo 
Jak Bar
11640</t>
  </si>
  <si>
    <t>C-6441</t>
  </si>
  <si>
    <t>Cut Dewi</t>
  </si>
  <si>
    <t>cutdewilestari91@gmail.com</t>
  </si>
  <si>
    <t>628116878889</t>
  </si>
  <si>
    <t>C-6288</t>
  </si>
  <si>
    <t>Elliyzar</t>
  </si>
  <si>
    <t>C-0560</t>
  </si>
  <si>
    <t>Fazalia</t>
  </si>
  <si>
    <t>cfazalia@igm,co,id</t>
  </si>
  <si>
    <t xml:space="preserve">Bukit Golf Cluster Terrace Boulevar
Cimanggis</t>
  </si>
  <si>
    <t>C-6313</t>
  </si>
  <si>
    <t>Lista</t>
  </si>
  <si>
    <t>Pondok Indah Jl.Metro Raya</t>
  </si>
  <si>
    <t>C-137</t>
  </si>
  <si>
    <t>Marlia</t>
  </si>
  <si>
    <t>C-6515</t>
  </si>
  <si>
    <t>Cut Riva</t>
  </si>
  <si>
    <t>Habibah</t>
  </si>
  <si>
    <t>cutrivakhn299@gmail.com</t>
  </si>
  <si>
    <t>6285361127999</t>
  </si>
  <si>
    <t>Banda Aceh</t>
  </si>
  <si>
    <t>C-235</t>
  </si>
  <si>
    <t>Azimah</t>
  </si>
  <si>
    <t>C-0739</t>
  </si>
  <si>
    <t>Sjahrifa</t>
  </si>
  <si>
    <t>C-6396</t>
  </si>
  <si>
    <t>Yanti Nora</t>
  </si>
  <si>
    <t>yanti.haniv@yahoo.com</t>
  </si>
  <si>
    <t>+628118820503</t>
  </si>
  <si>
    <t>Jl. Brawijaya II No.3 Kebayoran Baru</t>
  </si>
  <si>
    <t>C-164</t>
  </si>
  <si>
    <t>Cyhthia</t>
  </si>
  <si>
    <t>Hambali</t>
  </si>
  <si>
    <t>C-6247</t>
  </si>
  <si>
    <t>Cynhtia</t>
  </si>
  <si>
    <t>Hardi</t>
  </si>
  <si>
    <t>C-6321</t>
  </si>
  <si>
    <t>Cynthia</t>
  </si>
  <si>
    <t>C-155</t>
  </si>
  <si>
    <t>6281221288868</t>
  </si>
  <si>
    <t>C-6349</t>
  </si>
  <si>
    <t>cynthia.anwar85@gmail.com</t>
  </si>
  <si>
    <t>C-6467</t>
  </si>
  <si>
    <t>cyapriliahan@gmail.com</t>
  </si>
  <si>
    <t>C-232</t>
  </si>
  <si>
    <t>Consita</t>
  </si>
  <si>
    <t>Jln. Parahyangan golf No.60 Mediteriania I Sentul City</t>
  </si>
  <si>
    <t>C-105</t>
  </si>
  <si>
    <t>C-0477</t>
  </si>
  <si>
    <t>C-219</t>
  </si>
  <si>
    <t>nadiakukie@yahoo.com</t>
  </si>
  <si>
    <t xml:space="preserve">Jl. Villa No B21
Komplek Polri
Gatot Subroto</t>
  </si>
  <si>
    <t>C-0579</t>
  </si>
  <si>
    <t>Nevelona</t>
  </si>
  <si>
    <t>C-6475</t>
  </si>
  <si>
    <t>Permatasari</t>
  </si>
  <si>
    <t>6289653335585</t>
  </si>
  <si>
    <t>C-6241</t>
  </si>
  <si>
    <t>jl.senopati no.8</t>
  </si>
  <si>
    <t>C-215</t>
  </si>
  <si>
    <t>C-6361</t>
  </si>
  <si>
    <t>Sinaga</t>
  </si>
  <si>
    <t>BEVERL GOLF,JL DANAU SEMAYANG NO,2</t>
  </si>
  <si>
    <t>TANGERANG</t>
  </si>
  <si>
    <t>C-208</t>
  </si>
  <si>
    <t>C-0316</t>
  </si>
  <si>
    <t>Cyntia</t>
  </si>
  <si>
    <t>Mahadevi</t>
  </si>
  <si>
    <t>cynzzzzia@yahoo.co.uk</t>
  </si>
  <si>
    <t>Jalan Mojo 4 No 27</t>
  </si>
  <si>
    <t>C-0371</t>
  </si>
  <si>
    <t>Cyril</t>
  </si>
  <si>
    <t>C-6504</t>
  </si>
  <si>
    <t>Cyzu</t>
  </si>
  <si>
    <t>Herly</t>
  </si>
  <si>
    <t>geprekpetir@gmail.com</t>
  </si>
  <si>
    <t>082349694174</t>
  </si>
  <si>
    <t>D-610</t>
  </si>
  <si>
    <t>D.</t>
  </si>
  <si>
    <t>Sefian</t>
  </si>
  <si>
    <t>D-180</t>
  </si>
  <si>
    <t>daaniel</t>
  </si>
  <si>
    <t>D-1171</t>
  </si>
  <si>
    <t>Dachlia</t>
  </si>
  <si>
    <t>Lizar</t>
  </si>
  <si>
    <t>D-548</t>
  </si>
  <si>
    <t>Dadang</t>
  </si>
  <si>
    <t>D-0931</t>
  </si>
  <si>
    <t>Dafa</t>
  </si>
  <si>
    <t>Dzikri</t>
  </si>
  <si>
    <t>D-1055</t>
  </si>
  <si>
    <t>Dafi</t>
  </si>
  <si>
    <t>D-1090</t>
  </si>
  <si>
    <t>Dafid</t>
  </si>
  <si>
    <t>manusia.baru@gmail.com</t>
  </si>
  <si>
    <t>Perumahan Taman Grisenda Blok D2 No.1</t>
  </si>
  <si>
    <t>D-1284</t>
  </si>
  <si>
    <t>Dafit</t>
  </si>
  <si>
    <t>Hie</t>
  </si>
  <si>
    <t>+628119185677</t>
  </si>
  <si>
    <t>Jembatan III SC</t>
  </si>
  <si>
    <t>D-1378</t>
  </si>
  <si>
    <t>Dahlia</t>
  </si>
  <si>
    <t>Savitri</t>
  </si>
  <si>
    <t>dahliabamsch88@icloud.com</t>
  </si>
  <si>
    <t>+6281281086758</t>
  </si>
  <si>
    <t>D-237</t>
  </si>
  <si>
    <t>tarjoto</t>
  </si>
  <si>
    <t>D-0664</t>
  </si>
  <si>
    <t>Dahrin</t>
  </si>
  <si>
    <t>Yasin</t>
  </si>
  <si>
    <t xml:space="preserve">Jl. Jend Sudirman no 10 
RT 005 
Pasar Pagi</t>
  </si>
  <si>
    <t>D-1402</t>
  </si>
  <si>
    <t>Dai</t>
  </si>
  <si>
    <t>Linhao</t>
  </si>
  <si>
    <t>342303931@qq.com</t>
  </si>
  <si>
    <t>861881678054418816780544</t>
  </si>
  <si>
    <t>D-1275</t>
  </si>
  <si>
    <t>Dai,</t>
  </si>
  <si>
    <t>Yijia</t>
  </si>
  <si>
    <t>D-580</t>
  </si>
  <si>
    <t>Daisuke</t>
  </si>
  <si>
    <t>Nanjo</t>
  </si>
  <si>
    <t>D-0744</t>
  </si>
  <si>
    <t>Daisy</t>
  </si>
  <si>
    <t>daisy.oktavia@gmail.com</t>
  </si>
  <si>
    <t>Villa Serpong Jl. Purimoro II</t>
  </si>
  <si>
    <t>D-1328</t>
  </si>
  <si>
    <t>Dajiang</t>
  </si>
  <si>
    <t>8615021967848</t>
  </si>
  <si>
    <t>D-1232</t>
  </si>
  <si>
    <t>Dakhlallah</t>
  </si>
  <si>
    <t>Lebanon</t>
  </si>
  <si>
    <t>D-008</t>
  </si>
  <si>
    <t>Dale</t>
  </si>
  <si>
    <t>Felicians</t>
  </si>
  <si>
    <t xml:space="preserve">#6 Lynx St. Village East
Cainta Rizal</t>
  </si>
  <si>
    <t>D-1358</t>
  </si>
  <si>
    <t>Dalilah</t>
  </si>
  <si>
    <t>Abdat</t>
  </si>
  <si>
    <t>6287870797401</t>
  </si>
  <si>
    <t>D-0995</t>
  </si>
  <si>
    <t>Dallen</t>
  </si>
  <si>
    <t>Doke</t>
  </si>
  <si>
    <t>D-0713</t>
  </si>
  <si>
    <t>Dally</t>
  </si>
  <si>
    <t>Cibubur Kota Wisata C/S Central Park C2</t>
  </si>
  <si>
    <t>D-521</t>
  </si>
  <si>
    <t>Dalyono</t>
  </si>
  <si>
    <t>Nimpuno</t>
  </si>
  <si>
    <t xml:space="preserve">Jalan Jambu  No.3A 
Pejaten Barat 2, Kemang Timur</t>
  </si>
  <si>
    <t>D-1207</t>
  </si>
  <si>
    <t>Damai</t>
  </si>
  <si>
    <t>Kasih</t>
  </si>
  <si>
    <t>damaikasih12@gmail.com</t>
  </si>
  <si>
    <t>Jl. Lapangan Koni 2 No 28 Depok Jawa Barat</t>
  </si>
  <si>
    <t>D-1297</t>
  </si>
  <si>
    <t>Damar</t>
  </si>
  <si>
    <t>+972559752394</t>
  </si>
  <si>
    <t>D-0907</t>
  </si>
  <si>
    <t>D-0957</t>
  </si>
  <si>
    <t>Shafira</t>
  </si>
  <si>
    <t>Komp Taman Cileunyi Blok 2E No.148</t>
  </si>
  <si>
    <t>D-1100</t>
  </si>
  <si>
    <t>Damita</t>
  </si>
  <si>
    <t>D-1247</t>
  </si>
  <si>
    <t>Damiyanti</t>
  </si>
  <si>
    <t>D-574</t>
  </si>
  <si>
    <t>Dammy</t>
  </si>
  <si>
    <t>Kamil</t>
  </si>
  <si>
    <t>D-1354</t>
  </si>
  <si>
    <t>Afriza</t>
  </si>
  <si>
    <t>62816225099</t>
  </si>
  <si>
    <t>D-0716</t>
  </si>
  <si>
    <t>Iriani</t>
  </si>
  <si>
    <t>62816815920</t>
  </si>
  <si>
    <t>D-1167</t>
  </si>
  <si>
    <t>Danah</t>
  </si>
  <si>
    <t>Almutairi</t>
  </si>
  <si>
    <t>Danamu97@gmail.com</t>
  </si>
  <si>
    <t>D-1263</t>
  </si>
  <si>
    <t>Danang</t>
  </si>
  <si>
    <t>Prastikto</t>
  </si>
  <si>
    <t>D-1081</t>
  </si>
  <si>
    <t>Dandy</t>
  </si>
  <si>
    <t>D-1385</t>
  </si>
  <si>
    <t>Daneshrad Shannon</t>
  </si>
  <si>
    <t>Nasim</t>
  </si>
  <si>
    <t>sdaneshrad@yahoo.com</t>
  </si>
  <si>
    <t>181826339167</t>
  </si>
  <si>
    <t>California</t>
  </si>
  <si>
    <t>America</t>
  </si>
  <si>
    <t>D-1029</t>
  </si>
  <si>
    <t>Dani</t>
  </si>
  <si>
    <t>D-1190</t>
  </si>
  <si>
    <t>Dania</t>
  </si>
  <si>
    <t>Chrisantia</t>
  </si>
  <si>
    <t>Pondok indah</t>
  </si>
  <si>
    <t>D-1007</t>
  </si>
  <si>
    <t>Latief</t>
  </si>
  <si>
    <t>D-541</t>
  </si>
  <si>
    <t>D-0747</t>
  </si>
  <si>
    <t>Daniar</t>
  </si>
  <si>
    <t>Kodama</t>
  </si>
  <si>
    <t>Katamakan Indah IIA No.25 Jakarta</t>
  </si>
  <si>
    <t>D-1162</t>
  </si>
  <si>
    <t>D-584</t>
  </si>
  <si>
    <t>D-1283</t>
  </si>
  <si>
    <t>Odniel</t>
  </si>
  <si>
    <t>danielalexandernapitupulu@gmail.com</t>
  </si>
  <si>
    <t>+6282211191719</t>
  </si>
  <si>
    <t>Harapan Indah Blok CE No.1</t>
  </si>
  <si>
    <t>D-1364</t>
  </si>
  <si>
    <t>Daniel Ashraf</t>
  </si>
  <si>
    <t>Teo</t>
  </si>
  <si>
    <t>danielashrafteo@gmail.com</t>
  </si>
  <si>
    <t>6591059311</t>
  </si>
  <si>
    <t>D-012</t>
  </si>
  <si>
    <t>Jl. Bunga Cempaka Raya 49C</t>
  </si>
  <si>
    <t>D-503</t>
  </si>
  <si>
    <t>Pardameon</t>
  </si>
  <si>
    <t>+6285287902380</t>
  </si>
  <si>
    <t xml:space="preserve">Jln. Sekolah Duta III No.17
Pondok Indah 12310</t>
  </si>
  <si>
    <t>D-015</t>
  </si>
  <si>
    <t>D-013</t>
  </si>
  <si>
    <t>Kustiono</t>
  </si>
  <si>
    <t>Jl. Danau Kerinci 20</t>
  </si>
  <si>
    <t>Lippo Karawaci</t>
  </si>
  <si>
    <t>D-014</t>
  </si>
  <si>
    <t>Kwee</t>
  </si>
  <si>
    <t>dankwee@live.com</t>
  </si>
  <si>
    <t xml:space="preserve">Jl. Bangbayang Selatan No,48
BANDUNG 40134 JABAR
Indonesia</t>
  </si>
  <si>
    <t>D-0651</t>
  </si>
  <si>
    <t>danielnugroho86@yahoo.com</t>
  </si>
  <si>
    <t>Jl. Tembaga No. 1</t>
  </si>
  <si>
    <t>D-0960</t>
  </si>
  <si>
    <t>Ongkowijaja</t>
  </si>
  <si>
    <t>D-623</t>
  </si>
  <si>
    <t>Prichard</t>
  </si>
  <si>
    <t>Jalan Sepat No. 34 Kebagusan 12520</t>
  </si>
  <si>
    <t>D-1393</t>
  </si>
  <si>
    <t>Rembeth</t>
  </si>
  <si>
    <t>daniel.rembeth@gmail.com</t>
  </si>
  <si>
    <t>62811883520</t>
  </si>
  <si>
    <t>D-181</t>
  </si>
  <si>
    <t>Seraget</t>
  </si>
  <si>
    <t>+628136508222</t>
  </si>
  <si>
    <t>D-0869</t>
  </si>
  <si>
    <t>Saragat</t>
  </si>
  <si>
    <t>daniels@cbn.net.id</t>
  </si>
  <si>
    <t>6281365082222</t>
  </si>
  <si>
    <t>D-0986</t>
  </si>
  <si>
    <t>Sukamto</t>
  </si>
  <si>
    <t>D-0899</t>
  </si>
  <si>
    <t>Tandi</t>
  </si>
  <si>
    <t>D-0978</t>
  </si>
  <si>
    <t>Turnip</t>
  </si>
  <si>
    <t>D-0731</t>
  </si>
  <si>
    <t>Vigone</t>
  </si>
  <si>
    <t>danielvigone@gmail.com</t>
  </si>
  <si>
    <t>Kemang Raya 58</t>
  </si>
  <si>
    <t>D-0932</t>
  </si>
  <si>
    <t>6281223399909</t>
  </si>
  <si>
    <t>Kond. Taman Anggrek 7-35B</t>
  </si>
  <si>
    <t>D-1264</t>
  </si>
  <si>
    <t>Bellmount Residence, Kebon Jeruk</t>
  </si>
  <si>
    <t>D-1132</t>
  </si>
  <si>
    <t>Daniela</t>
  </si>
  <si>
    <t>Seeliger</t>
  </si>
  <si>
    <t>Hebbelstr 83</t>
  </si>
  <si>
    <t>Koln</t>
  </si>
  <si>
    <t>D-0914</t>
  </si>
  <si>
    <t>Danisworo</t>
  </si>
  <si>
    <t>D-1380</t>
  </si>
  <si>
    <t>Daniyanti</t>
  </si>
  <si>
    <t>6281396678888</t>
  </si>
  <si>
    <t>D-1186</t>
  </si>
  <si>
    <t>Dankovskaia</t>
  </si>
  <si>
    <t>Mariia</t>
  </si>
  <si>
    <t>D-0966</t>
  </si>
  <si>
    <t>Danniel</t>
  </si>
  <si>
    <t>D-494</t>
  </si>
  <si>
    <t>Danno</t>
  </si>
  <si>
    <t>D-0874</t>
  </si>
  <si>
    <t>Danny</t>
  </si>
  <si>
    <t xml:space="preserve">Metropolitan tower lt 18 jakarta selatan
 12430</t>
  </si>
  <si>
    <t>D-1350</t>
  </si>
  <si>
    <t>62816833676</t>
  </si>
  <si>
    <t>D-1408</t>
  </si>
  <si>
    <t>Danovan</t>
  </si>
  <si>
    <t>Putra Albino</t>
  </si>
  <si>
    <t>Albino2003@gmail.com</t>
  </si>
  <si>
    <t>6282377302323</t>
  </si>
  <si>
    <t>Metro Permata 2 Blok B2 No. 15</t>
  </si>
  <si>
    <t>Bengkulu</t>
  </si>
  <si>
    <t>D-433</t>
  </si>
  <si>
    <t>Danty</t>
  </si>
  <si>
    <t>Rukmana</t>
  </si>
  <si>
    <t>D-219</t>
  </si>
  <si>
    <t>Danu</t>
  </si>
  <si>
    <t>D-614</t>
  </si>
  <si>
    <t>sexi.dk89@gmail.com</t>
  </si>
  <si>
    <t>D-1000</t>
  </si>
  <si>
    <t>Dara</t>
  </si>
  <si>
    <t>D-569</t>
  </si>
  <si>
    <t>D-0676</t>
  </si>
  <si>
    <t>Tehusijarana</t>
  </si>
  <si>
    <t>daratehu@gmail.com</t>
  </si>
  <si>
    <t xml:space="preserve">Menteng Residence FC 6/2
Bintaro Jaya, Sektor 7</t>
  </si>
  <si>
    <t>D-1367</t>
  </si>
  <si>
    <t>Daria</t>
  </si>
  <si>
    <t>daryacherkasova023@gmail.com</t>
  </si>
  <si>
    <t>+971502342398</t>
  </si>
  <si>
    <t>D-1133</t>
  </si>
  <si>
    <t>Kiseleva</t>
  </si>
  <si>
    <t>D-1109</t>
  </si>
  <si>
    <t>D-0829</t>
  </si>
  <si>
    <t>Darman</t>
  </si>
  <si>
    <t>D-1039</t>
  </si>
  <si>
    <t>D-585</t>
  </si>
  <si>
    <t>Sukendro</t>
  </si>
  <si>
    <t xml:space="preserve">Somerset Apartment Unit 1505 Kav 1
Jl Prof Dr. Satrio
Kuningan</t>
  </si>
  <si>
    <t>D-0985</t>
  </si>
  <si>
    <t>D-1340</t>
  </si>
  <si>
    <t>Mukharror</t>
  </si>
  <si>
    <t>gharank@gmail.com</t>
  </si>
  <si>
    <t>628115420156</t>
  </si>
  <si>
    <t>Jati Padang Utara 36</t>
  </si>
  <si>
    <t>D-567</t>
  </si>
  <si>
    <t>D-0863</t>
  </si>
  <si>
    <t>Darno</t>
  </si>
  <si>
    <t>D-446</t>
  </si>
  <si>
    <t>Darojatun</t>
  </si>
  <si>
    <t>D-1176</t>
  </si>
  <si>
    <t>Darren</t>
  </si>
  <si>
    <t>D-1304</t>
  </si>
  <si>
    <t>Addison</t>
  </si>
  <si>
    <t>darrenaddison@ymail.com</t>
  </si>
  <si>
    <t>+6281233916828</t>
  </si>
  <si>
    <t>Jl Kemang Utara 1A</t>
  </si>
  <si>
    <t>D-1218</t>
  </si>
  <si>
    <t>Darshan</t>
  </si>
  <si>
    <t>Walia</t>
  </si>
  <si>
    <t>mansi.bedi@gmail.com</t>
  </si>
  <si>
    <t>Pintu Air Raya 24 A/B</t>
  </si>
  <si>
    <t>D-1241</t>
  </si>
  <si>
    <t>Darul</t>
  </si>
  <si>
    <t>Siska</t>
  </si>
  <si>
    <t>Jl.Alam Pesanggrahan IV Blok OJ No 29</t>
  </si>
  <si>
    <t>D-1108</t>
  </si>
  <si>
    <t>Daruma</t>
  </si>
  <si>
    <t>D-488</t>
  </si>
  <si>
    <t>Darwan</t>
  </si>
  <si>
    <t>D-0819</t>
  </si>
  <si>
    <t>Laode</t>
  </si>
  <si>
    <t>D-1404</t>
  </si>
  <si>
    <t>Darwin Ferdinan</t>
  </si>
  <si>
    <t>628128116916</t>
  </si>
  <si>
    <t>D-1346</t>
  </si>
  <si>
    <t>Gannie</t>
  </si>
  <si>
    <t>darwingannie@gmail.com</t>
  </si>
  <si>
    <t>62811827879</t>
  </si>
  <si>
    <t>D-1116</t>
  </si>
  <si>
    <t>darwin.wijaya@yahoo.com</t>
  </si>
  <si>
    <t>D-263</t>
  </si>
  <si>
    <t>Daryatmo</t>
  </si>
  <si>
    <t>saroso</t>
  </si>
  <si>
    <t>D-0941</t>
  </si>
  <si>
    <t>Daryl</t>
  </si>
  <si>
    <t>D-426</t>
  </si>
  <si>
    <t>Daryono</t>
  </si>
  <si>
    <t>D-443</t>
  </si>
  <si>
    <t>Dasa</t>
  </si>
  <si>
    <t>D-191</t>
  </si>
  <si>
    <t>Dasaad</t>
  </si>
  <si>
    <t>D-1398</t>
  </si>
  <si>
    <t>Das'at</t>
  </si>
  <si>
    <t>6281212222298</t>
  </si>
  <si>
    <t>D-185</t>
  </si>
  <si>
    <t>Dasih</t>
  </si>
  <si>
    <t xml:space="preserve">Komp. Kebayoran Heights KR A3/6
Bintaro Jakarta- Sel;atan</t>
  </si>
  <si>
    <t>D-1099</t>
  </si>
  <si>
    <t>Dasril</t>
  </si>
  <si>
    <t>628111071713</t>
  </si>
  <si>
    <t>D-618</t>
  </si>
  <si>
    <t>Datin</t>
  </si>
  <si>
    <t>Mahadi</t>
  </si>
  <si>
    <t>D-020</t>
  </si>
  <si>
    <t>Shahrasi</t>
  </si>
  <si>
    <t>No. 102 Beverly Heights</t>
  </si>
  <si>
    <t>KL</t>
  </si>
  <si>
    <t>Ampang 68000</t>
  </si>
  <si>
    <t>D-023</t>
  </si>
  <si>
    <t>Daud</t>
  </si>
  <si>
    <t>Samudra</t>
  </si>
  <si>
    <t>D-1080</t>
  </si>
  <si>
    <t>Daulad</t>
  </si>
  <si>
    <t>D-1019</t>
  </si>
  <si>
    <t>D-246</t>
  </si>
  <si>
    <t>D-024</t>
  </si>
  <si>
    <t>Jl. Budisari V No. 7</t>
  </si>
  <si>
    <t>D-1077</t>
  </si>
  <si>
    <t>M-1159</t>
  </si>
  <si>
    <t>D-544</t>
  </si>
  <si>
    <t>D-025</t>
  </si>
  <si>
    <t>Angkawidjaya</t>
  </si>
  <si>
    <t>Semanggi Apt. #2303</t>
  </si>
  <si>
    <t>D-1177</t>
  </si>
  <si>
    <t>Butcher</t>
  </si>
  <si>
    <t>D-028</t>
  </si>
  <si>
    <t>D-0827</t>
  </si>
  <si>
    <t>David Handani</t>
  </si>
  <si>
    <t>Sastro utomo</t>
  </si>
  <si>
    <t>6283878693898</t>
  </si>
  <si>
    <t>D-1014</t>
  </si>
  <si>
    <t>D-1343</t>
  </si>
  <si>
    <t>Jethrokusumo</t>
  </si>
  <si>
    <t>628125277777</t>
  </si>
  <si>
    <t>D-1043</t>
  </si>
  <si>
    <t>kweedavid@ymail.com</t>
  </si>
  <si>
    <t>D-1122</t>
  </si>
  <si>
    <t>628126061388</t>
  </si>
  <si>
    <t>Komplek Graha Metropolitan</t>
  </si>
  <si>
    <t>D-030</t>
  </si>
  <si>
    <t>0411-5050989</t>
  </si>
  <si>
    <t>MAKASAR</t>
  </si>
  <si>
    <t>D-1178</t>
  </si>
  <si>
    <t>Lius</t>
  </si>
  <si>
    <t>Jl Ametis Raya, Blok G no.1</t>
  </si>
  <si>
    <t>D-1203</t>
  </si>
  <si>
    <t>Pirzada</t>
  </si>
  <si>
    <t>Davidpirzada@gmail.com</t>
  </si>
  <si>
    <t>Jl . Sriwijaya V No 1 Jakarta</t>
  </si>
  <si>
    <t>D-1153</t>
  </si>
  <si>
    <t>D-404</t>
  </si>
  <si>
    <t>S.Y</t>
  </si>
  <si>
    <t>PIK Jakarta Barat</t>
  </si>
  <si>
    <t>D-407</t>
  </si>
  <si>
    <t>+628119420788</t>
  </si>
  <si>
    <t>D-0938</t>
  </si>
  <si>
    <t>Suryadi</t>
  </si>
  <si>
    <t>D-0830</t>
  </si>
  <si>
    <t>Sutandar</t>
  </si>
  <si>
    <t>62816884523</t>
  </si>
  <si>
    <t>D-1274</t>
  </si>
  <si>
    <t>D-1078</t>
  </si>
  <si>
    <t>Winata</t>
  </si>
  <si>
    <t>D.WINATA@OUTLOOK&gt;com</t>
  </si>
  <si>
    <t>D-0805</t>
  </si>
  <si>
    <t>Yausep</t>
  </si>
  <si>
    <t>D-1180</t>
  </si>
  <si>
    <t>Davies</t>
  </si>
  <si>
    <t>D-0760</t>
  </si>
  <si>
    <t>Davin</t>
  </si>
  <si>
    <t>6281399988189</t>
  </si>
  <si>
    <t>D-1103</t>
  </si>
  <si>
    <t>Davy</t>
  </si>
  <si>
    <t>Kurniadi</t>
  </si>
  <si>
    <t>D-507</t>
  </si>
  <si>
    <t>Meilano</t>
  </si>
  <si>
    <t>D-1295</t>
  </si>
  <si>
    <t>Davydova</t>
  </si>
  <si>
    <t>belitskaya06@mail.ru</t>
  </si>
  <si>
    <t>+79188549707</t>
  </si>
  <si>
    <t>D-1238</t>
  </si>
  <si>
    <t>Dawam</t>
  </si>
  <si>
    <t>Hermaja</t>
  </si>
  <si>
    <t>D-0671</t>
  </si>
  <si>
    <t>Suroso</t>
  </si>
  <si>
    <t>dawams@ymail.com</t>
  </si>
  <si>
    <t>Pesona Khayangan blok FH no 1</t>
  </si>
  <si>
    <t>D-0758</t>
  </si>
  <si>
    <t>Sri Dayawati</t>
  </si>
  <si>
    <t>Hadisuwito</t>
  </si>
  <si>
    <t>dayahadisuwito@gmail.com</t>
  </si>
  <si>
    <t>+621220785566</t>
  </si>
  <si>
    <t xml:space="preserve">Jl.Alexandri No.7 A
Bandung</t>
  </si>
  <si>
    <t>D-1313</t>
  </si>
  <si>
    <t>Dayinta</t>
  </si>
  <si>
    <t>Adi Dyaksa</t>
  </si>
  <si>
    <t>dayintaadidyaksa@gmail.com</t>
  </si>
  <si>
    <t>6282113974525</t>
  </si>
  <si>
    <t xml:space="preserve">JCluster Golf Mediterania 2. 
Jl. Pamanukan No.2, Sentul City, Bogor</t>
  </si>
  <si>
    <t>D-1243</t>
  </si>
  <si>
    <t>Dayri</t>
  </si>
  <si>
    <t>Prawira</t>
  </si>
  <si>
    <t>JL KENANGA NO 36A RC VETERAN - BINTARO SELATAN</t>
  </si>
  <si>
    <t>D-1419</t>
  </si>
  <si>
    <t>Dayu</t>
  </si>
  <si>
    <t>Saras</t>
  </si>
  <si>
    <t>gekdwik09@gmail.com</t>
  </si>
  <si>
    <t>6281933155101</t>
  </si>
  <si>
    <t>D-036</t>
  </si>
  <si>
    <t>Dayvi</t>
  </si>
  <si>
    <t>Yanti</t>
  </si>
  <si>
    <t>D-1352</t>
  </si>
  <si>
    <t>De Almeida Azevedo Goncalves</t>
  </si>
  <si>
    <t>Barbosa Carlos Filipe</t>
  </si>
  <si>
    <t>cbarbosa@estg.ipvc.pt</t>
  </si>
  <si>
    <t>351935389039</t>
  </si>
  <si>
    <t>Portuguesa</t>
  </si>
  <si>
    <t>D-1379</t>
  </si>
  <si>
    <t>Rafaela</t>
  </si>
  <si>
    <t>DEARAUJOHACZKIE</t>
  </si>
  <si>
    <t>rafaehgaige@gmail.com</t>
  </si>
  <si>
    <t>5551999306181</t>
  </si>
  <si>
    <t>D-1316</t>
  </si>
  <si>
    <t>De Bella</t>
  </si>
  <si>
    <t>Olimdo</t>
  </si>
  <si>
    <t>6287886036883</t>
  </si>
  <si>
    <t>Jalan Kesejahteraan No. 18</t>
  </si>
  <si>
    <t>D-1235</t>
  </si>
  <si>
    <t>De</t>
  </si>
  <si>
    <t>Fabia</t>
  </si>
  <si>
    <t>D-1173</t>
  </si>
  <si>
    <t>De Villa</t>
  </si>
  <si>
    <t>olimdodevilla@gmail.com</t>
  </si>
  <si>
    <t>+6281280892398</t>
  </si>
  <si>
    <t>D-186</t>
  </si>
  <si>
    <t>Dea</t>
  </si>
  <si>
    <t>D-0722</t>
  </si>
  <si>
    <t>D-525</t>
  </si>
  <si>
    <t>6281399932330</t>
  </si>
  <si>
    <t>D-1417</t>
  </si>
  <si>
    <t>Arnoli</t>
  </si>
  <si>
    <t>+6281267643405</t>
  </si>
  <si>
    <t>Thamrin Residences</t>
  </si>
  <si>
    <t>D-1302</t>
  </si>
  <si>
    <t>Lacinda</t>
  </si>
  <si>
    <t>6287769954849</t>
  </si>
  <si>
    <t>D-447</t>
  </si>
  <si>
    <t>Mahendra</t>
  </si>
  <si>
    <t xml:space="preserve">Jl.Brawijaya Raya No.7
Kebayoran baru Jakarta Selatan
12160</t>
  </si>
  <si>
    <t>G-0482</t>
  </si>
  <si>
    <t>Murty</t>
  </si>
  <si>
    <t>+62811297997</t>
  </si>
  <si>
    <t>D-1008</t>
  </si>
  <si>
    <t>Rahma</t>
  </si>
  <si>
    <t>D-1259</t>
  </si>
  <si>
    <t>Rahmawati</t>
  </si>
  <si>
    <t>D-1219</t>
  </si>
  <si>
    <t>Roriza</t>
  </si>
  <si>
    <t>dearoriz@gmail.com</t>
  </si>
  <si>
    <t>6282216963277</t>
  </si>
  <si>
    <t>Kav DDN No.175 Depok</t>
  </si>
  <si>
    <t>D-1166</t>
  </si>
  <si>
    <t>Ruben</t>
  </si>
  <si>
    <t>azariaruben1504@gmail.com</t>
  </si>
  <si>
    <t>D-272</t>
  </si>
  <si>
    <t>6281318189898</t>
  </si>
  <si>
    <t>Jl.Albasia Raya FA-3 Taman Kedoya Baru</t>
  </si>
  <si>
    <t>D-1079</t>
  </si>
  <si>
    <t>Deasy</t>
  </si>
  <si>
    <t>D-1110</t>
  </si>
  <si>
    <t>D-0875</t>
  </si>
  <si>
    <t>D-1040</t>
  </si>
  <si>
    <t>Ady</t>
  </si>
  <si>
    <t>628111866858</t>
  </si>
  <si>
    <t>D-1202</t>
  </si>
  <si>
    <t>Bouman</t>
  </si>
  <si>
    <t>BSD NavaPark Lancewood LDII No.19</t>
  </si>
  <si>
    <t>D-1405</t>
  </si>
  <si>
    <t>Deasy Febrianti</t>
  </si>
  <si>
    <t>deasyfebriantii@gmail.com</t>
  </si>
  <si>
    <t>6282281818118</t>
  </si>
  <si>
    <t>D-266</t>
  </si>
  <si>
    <t>Indrajit</t>
  </si>
  <si>
    <t>D-0802</t>
  </si>
  <si>
    <t>Natalina</t>
  </si>
  <si>
    <t>6281288001212</t>
  </si>
  <si>
    <t xml:space="preserve">Fountain Park APT.
Jakarta 12780. Inddonesia</t>
  </si>
  <si>
    <t>D-506</t>
  </si>
  <si>
    <t>Debbie</t>
  </si>
  <si>
    <t>Jl. Umalas I no. 90 Banjar Umalas Kauh Kerobokan</t>
  </si>
  <si>
    <t>D-0739</t>
  </si>
  <si>
    <t xml:space="preserve">jl.lebak bulus II panorama kav 9
12440</t>
  </si>
  <si>
    <t>D-1369</t>
  </si>
  <si>
    <t>Debbie Laurencia</t>
  </si>
  <si>
    <t>628111929902</t>
  </si>
  <si>
    <t>Ruko Wonghang Arteri Pondok Indah 99F, Jakarta Selatan</t>
  </si>
  <si>
    <t>D-1135</t>
  </si>
  <si>
    <t>Nisiho</t>
  </si>
  <si>
    <t>D-0668</t>
  </si>
  <si>
    <t>Robert</t>
  </si>
  <si>
    <t>debbie@prontosignage.com</t>
  </si>
  <si>
    <t>Jl. Hidup Baru no 8</t>
  </si>
  <si>
    <t>D-0832</t>
  </si>
  <si>
    <t>D-0837</t>
  </si>
  <si>
    <t>D-582</t>
  </si>
  <si>
    <t>debb.17@hotmail.com</t>
  </si>
  <si>
    <t xml:space="preserve">Apartment Essence Darmawangsa
Tower East Unit 16BN</t>
  </si>
  <si>
    <t>D-1326</t>
  </si>
  <si>
    <t>Elisabeth</t>
  </si>
  <si>
    <t>6281514049590</t>
  </si>
  <si>
    <t>Park Cluster Heliconia</t>
  </si>
  <si>
    <t>D-0737</t>
  </si>
  <si>
    <t>D-0662</t>
  </si>
  <si>
    <t>L</t>
  </si>
  <si>
    <t>D-524</t>
  </si>
  <si>
    <t>D-0779</t>
  </si>
  <si>
    <t>Setiawaty</t>
  </si>
  <si>
    <t>debbysetiawaty@gmail.com</t>
  </si>
  <si>
    <t>6282187777787</t>
  </si>
  <si>
    <t xml:space="preserve">JL ALLE RAYA NO.102
REMPOA. JAK -SEL</t>
  </si>
  <si>
    <t>D-0672</t>
  </si>
  <si>
    <t>Tjen</t>
  </si>
  <si>
    <t>dby-pooh@yahoo.com</t>
  </si>
  <si>
    <t>6281288888890</t>
  </si>
  <si>
    <t>D-1205</t>
  </si>
  <si>
    <t>Debora</t>
  </si>
  <si>
    <t>Jl,Tiara barat 3 no,2 the Tiara</t>
  </si>
  <si>
    <t>Gading serpong</t>
  </si>
  <si>
    <t>D-0707</t>
  </si>
  <si>
    <t>Aprt. Greenbay Tower A17BK Jak-Ut</t>
  </si>
  <si>
    <t>D-0727</t>
  </si>
  <si>
    <t>Tanoyo</t>
  </si>
  <si>
    <t>D-1127</t>
  </si>
  <si>
    <t>Gatot</t>
  </si>
  <si>
    <t>D-1136</t>
  </si>
  <si>
    <t>Hancock</t>
  </si>
  <si>
    <t>D-1196</t>
  </si>
  <si>
    <t>Kardinal</t>
  </si>
  <si>
    <t>dborahjessica@gmail.com</t>
  </si>
  <si>
    <t>D-244</t>
  </si>
  <si>
    <t>Deby</t>
  </si>
  <si>
    <t>D-1094</t>
  </si>
  <si>
    <t>D-1298</t>
  </si>
  <si>
    <t>Deby Riana</t>
  </si>
  <si>
    <t>debysix@yahoo..com</t>
  </si>
  <si>
    <t>+6281369224162</t>
  </si>
  <si>
    <t>Macan Kumbang IX, IXA</t>
  </si>
  <si>
    <t>30111</t>
  </si>
  <si>
    <t>D-1414</t>
  </si>
  <si>
    <t>Deby Yoana</t>
  </si>
  <si>
    <t>Parangin Angin</t>
  </si>
  <si>
    <t>6285837867770</t>
  </si>
  <si>
    <t>D-1296</t>
  </si>
  <si>
    <t>Decky</t>
  </si>
  <si>
    <t>Andinata</t>
  </si>
  <si>
    <t>deckyandinata@gmail.com</t>
  </si>
  <si>
    <t>+6282220568854</t>
  </si>
  <si>
    <t>D-1188</t>
  </si>
  <si>
    <t>Decy</t>
  </si>
  <si>
    <t>62816937705</t>
  </si>
  <si>
    <t>D-1063</t>
  </si>
  <si>
    <t>Deddy</t>
  </si>
  <si>
    <t>D-457</t>
  </si>
  <si>
    <t>D-462</t>
  </si>
  <si>
    <t>Corbuzier</t>
  </si>
  <si>
    <t>D-592</t>
  </si>
  <si>
    <t>Freddy</t>
  </si>
  <si>
    <t>D-0715</t>
  </si>
  <si>
    <t>Nababan</t>
  </si>
  <si>
    <t>deddy.nababan@gmail.com</t>
  </si>
  <si>
    <t>D-518</t>
  </si>
  <si>
    <t>Radiansyah</t>
  </si>
  <si>
    <t>mydedie@gmail.com</t>
  </si>
  <si>
    <t xml:space="preserve">Royal Spring residences Blok Platinum no.2
Jlan raya Ragunan</t>
  </si>
  <si>
    <t>D-0849</t>
  </si>
  <si>
    <t>Hadiatmo</t>
  </si>
  <si>
    <t>D-543</t>
  </si>
  <si>
    <t>Dede</t>
  </si>
  <si>
    <t>D-1321</t>
  </si>
  <si>
    <t>Fachry</t>
  </si>
  <si>
    <t>62811818196</t>
  </si>
  <si>
    <t>D-0905</t>
  </si>
  <si>
    <t>Legian</t>
  </si>
  <si>
    <t>D-1361</t>
  </si>
  <si>
    <t>Noviansyah</t>
  </si>
  <si>
    <t>denov82@gmail.com</t>
  </si>
  <si>
    <t>6281287432088</t>
  </si>
  <si>
    <t>D-046</t>
  </si>
  <si>
    <t>Rasidi</t>
  </si>
  <si>
    <t>D-1418</t>
  </si>
  <si>
    <t>Suhendar</t>
  </si>
  <si>
    <t>dedealfiansuhendra007@gmail.com</t>
  </si>
  <si>
    <t>6289652255465</t>
  </si>
  <si>
    <t>D-0712</t>
  </si>
  <si>
    <t>D-184</t>
  </si>
  <si>
    <t>Dedeh</t>
  </si>
  <si>
    <t>KH</t>
  </si>
  <si>
    <t>Jl.Jend Sudirman Kav. 55</t>
  </si>
  <si>
    <t>D-214</t>
  </si>
  <si>
    <t>Hotimah</t>
  </si>
  <si>
    <t xml:space="preserve">Jl. Jend Sudirman No. 55
Jakarta</t>
  </si>
  <si>
    <t>D-554</t>
  </si>
  <si>
    <t>Dedi</t>
  </si>
  <si>
    <t>Ekasa</t>
  </si>
  <si>
    <t>+6287892542437</t>
  </si>
  <si>
    <t>D-467</t>
  </si>
  <si>
    <t>Sukanto</t>
  </si>
  <si>
    <t>D-1317</t>
  </si>
  <si>
    <t>Komarudin</t>
  </si>
  <si>
    <t>vankomrad@gmail.com</t>
  </si>
  <si>
    <t>6281933122946</t>
  </si>
  <si>
    <t>D-1174</t>
  </si>
  <si>
    <t>dediindralesmana@gmail.com</t>
  </si>
  <si>
    <t>Jalan Kedoya Albasia Raya C8/3</t>
  </si>
  <si>
    <t>D-0812</t>
  </si>
  <si>
    <t>Mahardi</t>
  </si>
  <si>
    <t>D-0777</t>
  </si>
  <si>
    <t>Nuralamsyah</t>
  </si>
  <si>
    <t>D-459</t>
  </si>
  <si>
    <t>Liesthi</t>
  </si>
  <si>
    <t>D-1215</t>
  </si>
  <si>
    <t>Dedy</t>
  </si>
  <si>
    <t>dedythe@yahoo.com</t>
  </si>
  <si>
    <t>Jl. Bahtera Permai 2A No 11</t>
  </si>
  <si>
    <t>D-493</t>
  </si>
  <si>
    <t>Asmiraldy</t>
  </si>
  <si>
    <t>D-045</t>
  </si>
  <si>
    <t>(Medan)</t>
  </si>
  <si>
    <t>Jl. Taman Setia Budi Blok RR No. 90</t>
  </si>
  <si>
    <t>D-047</t>
  </si>
  <si>
    <t>Jl. Raffles Hill</t>
  </si>
  <si>
    <t>D-597</t>
  </si>
  <si>
    <t>Tanara</t>
  </si>
  <si>
    <t>edward_tanara@yahoo.com</t>
  </si>
  <si>
    <t>D-1179</t>
  </si>
  <si>
    <t>D-238</t>
  </si>
  <si>
    <t>Deeby</t>
  </si>
  <si>
    <t>D-0665</t>
  </si>
  <si>
    <t>Deepika</t>
  </si>
  <si>
    <t>D-395</t>
  </si>
  <si>
    <t>Deetje</t>
  </si>
  <si>
    <t>Sarundajang</t>
  </si>
  <si>
    <t>D-0673</t>
  </si>
  <si>
    <t>Defina</t>
  </si>
  <si>
    <t>Fatimah</t>
  </si>
  <si>
    <t>Jl. Kesehatan 4 No 21, Cideng</t>
  </si>
  <si>
    <t>D-409</t>
  </si>
  <si>
    <t>Definna</t>
  </si>
  <si>
    <t>D-201</t>
  </si>
  <si>
    <t>Dei</t>
  </si>
  <si>
    <t>Vina</t>
  </si>
  <si>
    <t>628179800831</t>
  </si>
  <si>
    <t>D-1138</t>
  </si>
  <si>
    <t>Deimeter</t>
  </si>
  <si>
    <t>Vaubell</t>
  </si>
  <si>
    <t>D-1139</t>
  </si>
  <si>
    <t>Deinara</t>
  </si>
  <si>
    <t>PAKUBUWONO - JAK SEL</t>
  </si>
  <si>
    <t>D-048</t>
  </si>
  <si>
    <t>Deine</t>
  </si>
  <si>
    <t>Mohede</t>
  </si>
  <si>
    <t>D-514</t>
  </si>
  <si>
    <t>Deisy</t>
  </si>
  <si>
    <t>deisy_cici@hotmail.com</t>
  </si>
  <si>
    <t xml:space="preserve">Jl. Bangka VIII B No B2
Pela Mampang</t>
  </si>
  <si>
    <t>D-1222</t>
  </si>
  <si>
    <t>deisy0390@gmail.com</t>
  </si>
  <si>
    <t>+6287885356139</t>
  </si>
  <si>
    <t>Villa Gading Indah Blok F no.39 Rt 001/014</t>
  </si>
  <si>
    <t>D-1028</t>
  </si>
  <si>
    <t>D-571</t>
  </si>
  <si>
    <t>D-049</t>
  </si>
  <si>
    <t>Deky</t>
  </si>
  <si>
    <t>Rulian</t>
  </si>
  <si>
    <t>gellatto08@yahoo.com</t>
  </si>
  <si>
    <t>Jl. Johar Baru No. 9</t>
  </si>
  <si>
    <t>D-1280</t>
  </si>
  <si>
    <t>Dela</t>
  </si>
  <si>
    <t>Dwinanda</t>
  </si>
  <si>
    <t>dwinanda.dela@gmail.com</t>
  </si>
  <si>
    <t>Jl. H.Batong 3 No.8</t>
  </si>
  <si>
    <t>D-492</t>
  </si>
  <si>
    <t>Indria</t>
  </si>
  <si>
    <t>Jl. Gersik No.17 RT 21/08</t>
  </si>
  <si>
    <t>Palembang 30113</t>
  </si>
  <si>
    <t>D-1338</t>
  </si>
  <si>
    <t>Delaina</t>
  </si>
  <si>
    <t>Annur</t>
  </si>
  <si>
    <t>6282188886097</t>
  </si>
  <si>
    <t>Pesona Taman Dahlia</t>
  </si>
  <si>
    <t>D-1389</t>
  </si>
  <si>
    <t>Delfina</t>
  </si>
  <si>
    <t>Adora</t>
  </si>
  <si>
    <t>delfinaadora@outlook.com</t>
  </si>
  <si>
    <t>6287877918522</t>
  </si>
  <si>
    <t>Semanggi</t>
  </si>
  <si>
    <t>D-520</t>
  </si>
  <si>
    <t>Deli</t>
  </si>
  <si>
    <t>Makmur</t>
  </si>
  <si>
    <t xml:space="preserve">House of Fame
Jl.Cikajang No.48</t>
  </si>
  <si>
    <t>Jak-Sel</t>
  </si>
  <si>
    <t>D-469</t>
  </si>
  <si>
    <t>Delia</t>
  </si>
  <si>
    <t>Devi</t>
  </si>
  <si>
    <t>Jl Bangka 9 Jakarta Selatan</t>
  </si>
  <si>
    <t>D-628</t>
  </si>
  <si>
    <t>Jl Mangkubumi 125</t>
  </si>
  <si>
    <t>Jogyakarta</t>
  </si>
  <si>
    <t>D-234</t>
  </si>
  <si>
    <t>Griya Indah 300 Jl. Godean Km 1 Yogyakarta</t>
  </si>
  <si>
    <t>D-051</t>
  </si>
  <si>
    <t>Deliana</t>
  </si>
  <si>
    <t>Ismudjoko</t>
  </si>
  <si>
    <t xml:space="preserve">Jl. Bona Indah A9 No. 10
Lebak Bulus</t>
  </si>
  <si>
    <t>D-1149</t>
  </si>
  <si>
    <t>Delima</t>
  </si>
  <si>
    <t>Permata Negara</t>
  </si>
  <si>
    <t>dpermatanegara@gmail.com</t>
  </si>
  <si>
    <t>081315665929</t>
  </si>
  <si>
    <t>Elements Apartment J. HR. Rasuna Said</t>
  </si>
  <si>
    <t>D-0820</t>
  </si>
  <si>
    <t>Delivia</t>
  </si>
  <si>
    <t>D-0801</t>
  </si>
  <si>
    <t>Della</t>
  </si>
  <si>
    <t>D-1251</t>
  </si>
  <si>
    <t>Gracia</t>
  </si>
  <si>
    <t>dellamgracia@gmail.com</t>
  </si>
  <si>
    <t>D-1373</t>
  </si>
  <si>
    <t>dellasetiadi@gmail.com</t>
  </si>
  <si>
    <t>6287882886200</t>
  </si>
  <si>
    <t>Denpasar Residence , Tower kintamani K-17AF ,</t>
  </si>
  <si>
    <t>D-224</t>
  </si>
  <si>
    <t>Delly</t>
  </si>
  <si>
    <t>ariany</t>
  </si>
  <si>
    <t xml:space="preserve">Jl. Empu Sendok No. 26
Kebayoran Baru
Jakarta Selatan</t>
  </si>
  <si>
    <t>D-011</t>
  </si>
  <si>
    <t>Dellyanna</t>
  </si>
  <si>
    <t>62816922026</t>
  </si>
  <si>
    <t>D-053</t>
  </si>
  <si>
    <t>Delta</t>
  </si>
  <si>
    <t>Yulisawitry</t>
  </si>
  <si>
    <t>D-437</t>
  </si>
  <si>
    <t>Delvina</t>
  </si>
  <si>
    <t>Pluit Timur I/17</t>
  </si>
  <si>
    <t>D-1360</t>
  </si>
  <si>
    <t>Delvintor</t>
  </si>
  <si>
    <t>Alfarizi</t>
  </si>
  <si>
    <t>alfarizidelvintor@gmail.com</t>
  </si>
  <si>
    <t>6281267034421</t>
  </si>
  <si>
    <t>Jl. Raden Saleh, Central Jakarta</t>
  </si>
  <si>
    <t>D-1248</t>
  </si>
  <si>
    <t>Delwyn</t>
  </si>
  <si>
    <t>sukamto.delwyn@gmail.com</t>
  </si>
  <si>
    <t>D-0702</t>
  </si>
  <si>
    <t>Delyana</t>
  </si>
  <si>
    <t>Santolalindo</t>
  </si>
  <si>
    <t>Taman Grisenda PIK</t>
  </si>
  <si>
    <t>D-0970</t>
  </si>
  <si>
    <t>Demetria</t>
  </si>
  <si>
    <t>Indriyani</t>
  </si>
  <si>
    <t>6281226355555</t>
  </si>
  <si>
    <t xml:space="preserve">Jalan Mawar no 40 Badran RT 005/009 PURWOSARI
</t>
  </si>
  <si>
    <t>D-0946</t>
  </si>
  <si>
    <t>Demmy</t>
  </si>
  <si>
    <t>Indranugroho</t>
  </si>
  <si>
    <t>D-1168</t>
  </si>
  <si>
    <t>Dena</t>
  </si>
  <si>
    <t xml:space="preserve">Permata Puri Laguna Blok C2 No.5
Mekarsari, Cimanggis</t>
  </si>
  <si>
    <t>D-643</t>
  </si>
  <si>
    <t>Dendi</t>
  </si>
  <si>
    <t>Danianto</t>
  </si>
  <si>
    <t>D-055</t>
  </si>
  <si>
    <t>Dendy</t>
  </si>
  <si>
    <t>D-1229</t>
  </si>
  <si>
    <t>Deng</t>
  </si>
  <si>
    <t>Maosheng</t>
  </si>
  <si>
    <t>EE2644484</t>
  </si>
  <si>
    <t>M-1248</t>
  </si>
  <si>
    <t>Huan</t>
  </si>
  <si>
    <t>D-1278</t>
  </si>
  <si>
    <t>6281288769051</t>
  </si>
  <si>
    <t>D-1234</t>
  </si>
  <si>
    <t>Deng,</t>
  </si>
  <si>
    <t>Jianbin</t>
  </si>
  <si>
    <t>D-1286</t>
  </si>
  <si>
    <t>Deniary</t>
  </si>
  <si>
    <t>628117722770</t>
  </si>
  <si>
    <t>kembang Harum Utama DI/19.Puri Indah Kembangan</t>
  </si>
  <si>
    <t>D-1199</t>
  </si>
  <si>
    <t>Denis</t>
  </si>
  <si>
    <t>D-0773</t>
  </si>
  <si>
    <t>D-1403</t>
  </si>
  <si>
    <t>Nazarov</t>
  </si>
  <si>
    <t>79055555918</t>
  </si>
  <si>
    <t>D-1183</t>
  </si>
  <si>
    <t>Razumov</t>
  </si>
  <si>
    <t>D-1197</t>
  </si>
  <si>
    <t>Zateev</t>
  </si>
  <si>
    <t>0817113025</t>
  </si>
  <si>
    <t>D-1236</t>
  </si>
  <si>
    <t>Denisa</t>
  </si>
  <si>
    <t>Tahirovic</t>
  </si>
  <si>
    <t>Czech Republic</t>
  </si>
  <si>
    <t>D-1142</t>
  </si>
  <si>
    <t>Dennis</t>
  </si>
  <si>
    <t>Winter</t>
  </si>
  <si>
    <t>Dennis@wsmt.group</t>
  </si>
  <si>
    <t>Bvlgari Villa 70</t>
  </si>
  <si>
    <t>D-374</t>
  </si>
  <si>
    <t>Megawe</t>
  </si>
  <si>
    <t>D-1368</t>
  </si>
  <si>
    <t>Pratoyo</t>
  </si>
  <si>
    <t>dennispratoyo@gmail.com</t>
  </si>
  <si>
    <t>6281294167229</t>
  </si>
  <si>
    <t>Pulomas</t>
  </si>
  <si>
    <t>D-1315</t>
  </si>
  <si>
    <t>Dennisa</t>
  </si>
  <si>
    <t>6281999810800</t>
  </si>
  <si>
    <t>D-174</t>
  </si>
  <si>
    <t>Denny</t>
  </si>
  <si>
    <t>D-434</t>
  </si>
  <si>
    <t>D-056</t>
  </si>
  <si>
    <t>D-0689</t>
  </si>
  <si>
    <t>Jl.Alpen Pilatus No.1 Cluster Hiltop,Sentul City-Bogor</t>
  </si>
  <si>
    <t>D-0690</t>
  </si>
  <si>
    <t>D-450</t>
  </si>
  <si>
    <t>Asalim</t>
  </si>
  <si>
    <t>D-1141</t>
  </si>
  <si>
    <t>Hanubrata</t>
  </si>
  <si>
    <t>dennyshanubrata@yahoo.com</t>
  </si>
  <si>
    <t>D-491</t>
  </si>
  <si>
    <t>D-057</t>
  </si>
  <si>
    <t>Mulyono</t>
  </si>
  <si>
    <t>62811813456</t>
  </si>
  <si>
    <t>D-0964</t>
  </si>
  <si>
    <t>Yuliariini</t>
  </si>
  <si>
    <t>Taman Lagna Blok C/10</t>
  </si>
  <si>
    <t>D-058</t>
  </si>
  <si>
    <t>D-059</t>
  </si>
  <si>
    <t>Dany</t>
  </si>
  <si>
    <t>62818888029</t>
  </si>
  <si>
    <t>Dupak 65, A-07</t>
  </si>
  <si>
    <t>D-279</t>
  </si>
  <si>
    <t>Tjens</t>
  </si>
  <si>
    <t>D-630</t>
  </si>
  <si>
    <t>Deny</t>
  </si>
  <si>
    <t>Agust</t>
  </si>
  <si>
    <t>D-0667</t>
  </si>
  <si>
    <t>Kosasih</t>
  </si>
  <si>
    <t>deny.3f@yahoo.com</t>
  </si>
  <si>
    <t>Jl. Prancis Raja Perum Griya Blok C2-10</t>
  </si>
  <si>
    <t>D-1410</t>
  </si>
  <si>
    <t>O. K</t>
  </si>
  <si>
    <t>+6282298100206</t>
  </si>
  <si>
    <t>D-260</t>
  </si>
  <si>
    <t>Petojo Utara I no.34A</t>
  </si>
  <si>
    <t>D-474</t>
  </si>
  <si>
    <t>Yuswantini</t>
  </si>
  <si>
    <t>D-1195</t>
  </si>
  <si>
    <t>Deo</t>
  </si>
  <si>
    <t>Cordial</t>
  </si>
  <si>
    <t>Panorama Serpong</t>
  </si>
  <si>
    <t>D-255</t>
  </si>
  <si>
    <t>Depaf</t>
  </si>
  <si>
    <t>Reguna</t>
  </si>
  <si>
    <t>D-486</t>
  </si>
  <si>
    <t>Dera</t>
  </si>
  <si>
    <t>D-1065</t>
  </si>
  <si>
    <t>Derda</t>
  </si>
  <si>
    <t>Ariesza</t>
  </si>
  <si>
    <t xml:space="preserve">Cipinang Indah II
Jl.Belibis Blok u-10 Pondok Bambu</t>
  </si>
  <si>
    <t>D-1287</t>
  </si>
  <si>
    <t>Derian</t>
  </si>
  <si>
    <t>Kowara</t>
  </si>
  <si>
    <t>deriankowara@gmail.com</t>
  </si>
  <si>
    <t>+6287876940505</t>
  </si>
  <si>
    <t>D-451</t>
  </si>
  <si>
    <t>arthajayaprima@yahoo.co.id</t>
  </si>
  <si>
    <t>Artha Gading villa blok E 22</t>
  </si>
  <si>
    <t>D-1052</t>
  </si>
  <si>
    <t>Deriandra</t>
  </si>
  <si>
    <t>Muhyiddin</t>
  </si>
  <si>
    <t>Jl.Aipda Ks Tubun No.130B</t>
  </si>
  <si>
    <t>D-477</t>
  </si>
  <si>
    <t>Dermawan</t>
  </si>
  <si>
    <t>D-591</t>
  </si>
  <si>
    <t>D-061</t>
  </si>
  <si>
    <t>Salihin</t>
  </si>
  <si>
    <t>D-062</t>
  </si>
  <si>
    <t>Dermawati</t>
  </si>
  <si>
    <t>D-063</t>
  </si>
  <si>
    <t>Dermawaty</t>
  </si>
  <si>
    <t>62811149833</t>
  </si>
  <si>
    <t xml:space="preserve">Jl. Gn. Nangka No. 16
Taman Himalaya
Lippo Karawaci</t>
  </si>
  <si>
    <t>D-1194</t>
  </si>
  <si>
    <t>Derrek</t>
  </si>
  <si>
    <t>Jones</t>
  </si>
  <si>
    <t>djjjones50@yahoo.co.uk</t>
  </si>
  <si>
    <t>D-411</t>
  </si>
  <si>
    <t>Derrick</t>
  </si>
  <si>
    <t>PT. TEBLA</t>
  </si>
  <si>
    <t>D-0944</t>
  </si>
  <si>
    <t>Daidhirawa</t>
  </si>
  <si>
    <t>samara village</t>
  </si>
  <si>
    <t>D-0892</t>
  </si>
  <si>
    <t>D-064</t>
  </si>
  <si>
    <t>D-425</t>
  </si>
  <si>
    <t>Derry</t>
  </si>
  <si>
    <t>D-1020</t>
  </si>
  <si>
    <t>Kiemas</t>
  </si>
  <si>
    <t>D-480</t>
  </si>
  <si>
    <t>Derwaman</t>
  </si>
  <si>
    <t>D-240</t>
  </si>
  <si>
    <t>Dery</t>
  </si>
  <si>
    <t>D-0785</t>
  </si>
  <si>
    <t>Des</t>
  </si>
  <si>
    <t>D-1401</t>
  </si>
  <si>
    <t>Desak</t>
  </si>
  <si>
    <t>Ayu Triyuni</t>
  </si>
  <si>
    <t>6281237817154</t>
  </si>
  <si>
    <t>D-065</t>
  </si>
  <si>
    <t>Desano</t>
  </si>
  <si>
    <t>Sakti</t>
  </si>
  <si>
    <t>Jl. Duta Niaga Raya Blok TL No. 19</t>
  </si>
  <si>
    <t>D-1239</t>
  </si>
  <si>
    <t>Desca</t>
  </si>
  <si>
    <t>desca.kwok@gmail.com</t>
  </si>
  <si>
    <t>Taman Kencana Blok E7/11, Jakarta Barat</t>
  </si>
  <si>
    <t>M-1243</t>
  </si>
  <si>
    <t>Desi</t>
  </si>
  <si>
    <t>D-0674</t>
  </si>
  <si>
    <t>D-0949</t>
  </si>
  <si>
    <t>62811901122</t>
  </si>
  <si>
    <t>D-458</t>
  </si>
  <si>
    <t>desi_agustin278@yahoo.com</t>
  </si>
  <si>
    <t>Apt. Kelapa Gading Square Tower HWD 0806.</t>
  </si>
  <si>
    <t>D-400</t>
  </si>
  <si>
    <t>Guntara</t>
  </si>
  <si>
    <t>D-1146</t>
  </si>
  <si>
    <t>Kemala</t>
  </si>
  <si>
    <t>D-1254</t>
  </si>
  <si>
    <t>Irsyam</t>
  </si>
  <si>
    <t>Matahari No.3 Jakarta Utara</t>
  </si>
  <si>
    <t>D-1066</t>
  </si>
  <si>
    <t>D-1070</t>
  </si>
  <si>
    <t>Prakasiwi</t>
  </si>
  <si>
    <t>D-1349</t>
  </si>
  <si>
    <t>Prihatini</t>
  </si>
  <si>
    <t>desiprihatini1@gmail.com</t>
  </si>
  <si>
    <t>491627434076</t>
  </si>
  <si>
    <t>D-1390</t>
  </si>
  <si>
    <t>Desiree</t>
  </si>
  <si>
    <t>6281388001010</t>
  </si>
  <si>
    <t>D-0865</t>
  </si>
  <si>
    <t>Desiana</t>
  </si>
  <si>
    <t>D-1244</t>
  </si>
  <si>
    <t>oey</t>
  </si>
  <si>
    <t>D-604</t>
  </si>
  <si>
    <t>Desideria</t>
  </si>
  <si>
    <t>Hildegardis</t>
  </si>
  <si>
    <t>Jl.Jagakarsa Raya No.10C</t>
  </si>
  <si>
    <t>D-398</t>
  </si>
  <si>
    <t>Desijanti</t>
  </si>
  <si>
    <t>D-376</t>
  </si>
  <si>
    <t>Desita</t>
  </si>
  <si>
    <t>D-066</t>
  </si>
  <si>
    <t>D-606</t>
  </si>
  <si>
    <t>Desmon</t>
  </si>
  <si>
    <t>Ismael</t>
  </si>
  <si>
    <t>Perum taman century I Blok F 18 Pekayon Jaya Bekasi Selatan 17149</t>
  </si>
  <si>
    <t>D-068</t>
  </si>
  <si>
    <t>Ismail</t>
  </si>
  <si>
    <t xml:space="preserve">Jl. Mimosa Raya F 18
Kompleks Taman Century I
Pekayon Raya</t>
  </si>
  <si>
    <t>D-1175</t>
  </si>
  <si>
    <t>Desmond</t>
  </si>
  <si>
    <t>D-626</t>
  </si>
  <si>
    <t>Desny</t>
  </si>
  <si>
    <t>Tjung</t>
  </si>
  <si>
    <t>deznyy@gmail.com</t>
  </si>
  <si>
    <t>628111461654</t>
  </si>
  <si>
    <t xml:space="preserve">CASA GRANDE RESIDENCE TOWER MIRAGE 2908
KOTA KASABLANCA
JAKARTA SELATAN 12870
bday : 29 desember 1984</t>
  </si>
  <si>
    <t>D-412</t>
  </si>
  <si>
    <t>Desri</t>
  </si>
  <si>
    <t xml:space="preserve">Royal palace A/19
Jl.Prof Dr Soepomo
Jakarta Selatan</t>
  </si>
  <si>
    <t>D-0984</t>
  </si>
  <si>
    <t>Dessi</t>
  </si>
  <si>
    <t>DES_ANTHONI@yahoo.co.id</t>
  </si>
  <si>
    <t>D-1420</t>
  </si>
  <si>
    <t>Willia</t>
  </si>
  <si>
    <t>Dessiwillia1990@gmail.com</t>
  </si>
  <si>
    <t>6281324901890</t>
  </si>
  <si>
    <t>D-0655</t>
  </si>
  <si>
    <t>Dessy</t>
  </si>
  <si>
    <t>6287804514329</t>
  </si>
  <si>
    <t>D-0680</t>
  </si>
  <si>
    <t>Afriyanti</t>
  </si>
  <si>
    <t>Pesona Depok Estate Blok AE No.1</t>
  </si>
  <si>
    <t>D-178</t>
  </si>
  <si>
    <t>D-1148</t>
  </si>
  <si>
    <t>D-1160</t>
  </si>
  <si>
    <t>Thiani</t>
  </si>
  <si>
    <t>dessyeviet@gmail.com</t>
  </si>
  <si>
    <t>D-0686</t>
  </si>
  <si>
    <t>Fadjriaty</t>
  </si>
  <si>
    <t>Jl Bangka VIII A No.32</t>
  </si>
  <si>
    <t>D-069</t>
  </si>
  <si>
    <t>IIsanty</t>
  </si>
  <si>
    <t>D-0844</t>
  </si>
  <si>
    <t>Nursani</t>
  </si>
  <si>
    <t>F.333cy@yahoo.com</t>
  </si>
  <si>
    <t>Sekolah Duta VI No32 B</t>
  </si>
  <si>
    <t>D-1158</t>
  </si>
  <si>
    <t>D-1027</t>
  </si>
  <si>
    <t>jl. cipinang cempedak I no.8</t>
  </si>
  <si>
    <t>D-555</t>
  </si>
  <si>
    <t>Thio</t>
  </si>
  <si>
    <t>D-1397</t>
  </si>
  <si>
    <t>6283892199595</t>
  </si>
  <si>
    <t>D-490</t>
  </si>
  <si>
    <t>Dessy.I</t>
  </si>
  <si>
    <t>D-637</t>
  </si>
  <si>
    <t>Desty</t>
  </si>
  <si>
    <t>Uwais</t>
  </si>
  <si>
    <t>D-1384</t>
  </si>
  <si>
    <t>destykartikasari93@gmail.com</t>
  </si>
  <si>
    <t>Greenland Healfuliving</t>
  </si>
  <si>
    <t>D-0860</t>
  </si>
  <si>
    <t>Desy</t>
  </si>
  <si>
    <t>D-0714</t>
  </si>
  <si>
    <t>Sandy</t>
  </si>
  <si>
    <t>D-0857</t>
  </si>
  <si>
    <t>6281366370345</t>
  </si>
  <si>
    <t>Danau Indah Barat B3/18, Sunter jakarta Utara 14350</t>
  </si>
  <si>
    <t>D-0843</t>
  </si>
  <si>
    <t xml:space="preserve">Pesona Khayangan Blok C V/6
Depok</t>
  </si>
  <si>
    <t>D-0810</t>
  </si>
  <si>
    <t>Novianty</t>
  </si>
  <si>
    <t>D-538</t>
  </si>
  <si>
    <t>Setiawati</t>
  </si>
  <si>
    <t>Jl. Puri Gading Jimbaran</t>
  </si>
  <si>
    <t>D-278</t>
  </si>
  <si>
    <t>Supargo</t>
  </si>
  <si>
    <t>D-636</t>
  </si>
  <si>
    <t>Desyani</t>
  </si>
  <si>
    <t>Rosadi</t>
  </si>
  <si>
    <t xml:space="preserve">Janur Indah IV LA14/19. jakarta .
14240</t>
  </si>
  <si>
    <t>D-276</t>
  </si>
  <si>
    <t>Detn</t>
  </si>
  <si>
    <t xml:space="preserve">Jl. Bangka VIII B No.132
Pela Mampang
Jakarta Selatan</t>
  </si>
  <si>
    <t>D-430</t>
  </si>
  <si>
    <t>Detri</t>
  </si>
  <si>
    <t>D-1314</t>
  </si>
  <si>
    <t>Deuis</t>
  </si>
  <si>
    <t>Rina Rosy</t>
  </si>
  <si>
    <t>deuisrinarosy4@gmail.com</t>
  </si>
  <si>
    <t>6285245500094</t>
  </si>
  <si>
    <t>Perum. Eden Haus blok B38, Tanjung Mas Raya, Tj. Barat, Jagakarsa, Jaksel.</t>
  </si>
  <si>
    <t>D-1026</t>
  </si>
  <si>
    <t>Devael</t>
  </si>
  <si>
    <t>D-442</t>
  </si>
  <si>
    <t>Devan</t>
  </si>
  <si>
    <t>D-1395</t>
  </si>
  <si>
    <t>Devanka</t>
  </si>
  <si>
    <t>Callista</t>
  </si>
  <si>
    <t>6281337552145</t>
  </si>
  <si>
    <t>D-1121</t>
  </si>
  <si>
    <t>Silvia</t>
  </si>
  <si>
    <t>6285711882888</t>
  </si>
  <si>
    <t>Jl.Daud no.17</t>
  </si>
  <si>
    <t>D-1107</t>
  </si>
  <si>
    <t>D-0859</t>
  </si>
  <si>
    <t>asmarasari</t>
  </si>
  <si>
    <t>devirony@yahoo.com</t>
  </si>
  <si>
    <t>Kompleks Senayan residence Kav E-16</t>
  </si>
  <si>
    <t>D-1044</t>
  </si>
  <si>
    <t>Doana</t>
  </si>
  <si>
    <t>D-227</t>
  </si>
  <si>
    <t>Gradini</t>
  </si>
  <si>
    <t>D-1204</t>
  </si>
  <si>
    <t>D-1214</t>
  </si>
  <si>
    <t>Juliet</t>
  </si>
  <si>
    <t>D-1165</t>
  </si>
  <si>
    <t>Krisnadi</t>
  </si>
  <si>
    <t>devi.krisnadi.com</t>
  </si>
  <si>
    <t>D-1308</t>
  </si>
  <si>
    <t>Kumala</t>
  </si>
  <si>
    <t>devikumala2110@gmail.com</t>
  </si>
  <si>
    <t>6285296665555</t>
  </si>
  <si>
    <t>D-1096</t>
  </si>
  <si>
    <t xml:space="preserve">Perumahan Bukit Barisan 
Blok A4 No 18</t>
  </si>
  <si>
    <t>D-1329</t>
  </si>
  <si>
    <t>Mulyani</t>
  </si>
  <si>
    <t>D-076</t>
  </si>
  <si>
    <t>Mega Kuningan Barat III/18</t>
  </si>
  <si>
    <t>D-0824</t>
  </si>
  <si>
    <t>Ryanti</t>
  </si>
  <si>
    <t>Mangga Besar</t>
  </si>
  <si>
    <t>D-205</t>
  </si>
  <si>
    <t>Simatupang</t>
  </si>
  <si>
    <t>D-0956</t>
  </si>
  <si>
    <t>Gold Coast Avenue No.25 PIK</t>
  </si>
  <si>
    <t>D-1145</t>
  </si>
  <si>
    <t>Rizal</t>
  </si>
  <si>
    <t xml:space="preserve">GRAND PINANG RESIDENCE NO.1B
JAK - SEL</t>
  </si>
  <si>
    <t>D-0757</t>
  </si>
  <si>
    <t>Deviana</t>
  </si>
  <si>
    <t>D-496</t>
  </si>
  <si>
    <t>D-218</t>
  </si>
  <si>
    <t>Devid</t>
  </si>
  <si>
    <t>Maramis</t>
  </si>
  <si>
    <t xml:space="preserve">Jl. Tikala Ares 1 No. 6
Manado 95124</t>
  </si>
  <si>
    <t>D-1281</t>
  </si>
  <si>
    <t>Devie</t>
  </si>
  <si>
    <t>Hernawati</t>
  </si>
  <si>
    <t>devie.herwati26@gmail.com</t>
  </si>
  <si>
    <t>6281322261109</t>
  </si>
  <si>
    <t>The Zora Cluster Kimora C2/22 BSD</t>
  </si>
  <si>
    <t>D-1305</t>
  </si>
  <si>
    <t>Devin</t>
  </si>
  <si>
    <t>devinwijaya@gmail.com</t>
  </si>
  <si>
    <t>6282122849204</t>
  </si>
  <si>
    <t>D-1307</t>
  </si>
  <si>
    <t>Devina</t>
  </si>
  <si>
    <t>devina12agustina@gmail.com</t>
  </si>
  <si>
    <t>6282166005400</t>
  </si>
  <si>
    <t>Sutera Onyx 8/2 Alam Sutera Tangerang Selatan 15320</t>
  </si>
  <si>
    <t>D-1291</t>
  </si>
  <si>
    <t>Djamaludin</t>
  </si>
  <si>
    <t>devina.djamaludin@gmail.com</t>
  </si>
  <si>
    <t>+6281904307381</t>
  </si>
  <si>
    <t>Bukit Gading Villa, Jalan Kuta Raya No. 27</t>
  </si>
  <si>
    <t>D-1198</t>
  </si>
  <si>
    <t>Kelvianto</t>
  </si>
  <si>
    <t>Jl,Taman mediterania AF/6</t>
  </si>
  <si>
    <t>D-1092</t>
  </si>
  <si>
    <t>Sukmawati</t>
  </si>
  <si>
    <t>Erlangga I No.14 Senopati</t>
  </si>
  <si>
    <t>D-1261</t>
  </si>
  <si>
    <t>Deviyanti</t>
  </si>
  <si>
    <t>D-1045</t>
  </si>
  <si>
    <t>Devon</t>
  </si>
  <si>
    <t>Sugianto</t>
  </si>
  <si>
    <t>D-1383</t>
  </si>
  <si>
    <t>Devy</t>
  </si>
  <si>
    <t>Jasmine</t>
  </si>
  <si>
    <t>62811101598</t>
  </si>
  <si>
    <t>D-1250</t>
  </si>
  <si>
    <t>Mutia pishesha</t>
  </si>
  <si>
    <t>devimutiapishesa@gmail.com</t>
  </si>
  <si>
    <t>+6282240191900</t>
  </si>
  <si>
    <t>Jalan Sharon Raya Barat No. 23, Bandung 40292</t>
  </si>
  <si>
    <t>D-0653</t>
  </si>
  <si>
    <t>Dewanggana</t>
  </si>
  <si>
    <t>D-645</t>
  </si>
  <si>
    <t>Dewanto</t>
  </si>
  <si>
    <t>D-635</t>
  </si>
  <si>
    <t>D-1097</t>
  </si>
  <si>
    <t>D-085</t>
  </si>
  <si>
    <t>D-204</t>
  </si>
  <si>
    <t>D-470</t>
  </si>
  <si>
    <t>D-1025</t>
  </si>
  <si>
    <t>D-1003</t>
  </si>
  <si>
    <t>+628118213333</t>
  </si>
  <si>
    <t>D-1151</t>
  </si>
  <si>
    <t>D-0867</t>
  </si>
  <si>
    <t>D-0962</t>
  </si>
  <si>
    <t>D-1169</t>
  </si>
  <si>
    <t>Andayani</t>
  </si>
  <si>
    <t>D-1206</t>
  </si>
  <si>
    <t>Jatinegara Indah Blok AE No.5 Jl.Radjiman wedyodingrat . Jakarta Timur</t>
  </si>
  <si>
    <t>D-223</t>
  </si>
  <si>
    <t>Ariyani</t>
  </si>
  <si>
    <t xml:space="preserve">Jl.Pinguin VI CM-12 Sektor 3 Kavling Villa 
Bintaro Jaya</t>
  </si>
  <si>
    <t>D-0979</t>
  </si>
  <si>
    <t>Dewiary1991@gmail.com</t>
  </si>
  <si>
    <t>62816776556</t>
  </si>
  <si>
    <t>D-1255</t>
  </si>
  <si>
    <t>D-079</t>
  </si>
  <si>
    <t>D-1056</t>
  </si>
  <si>
    <t>Vila Pondok Indah</t>
  </si>
  <si>
    <t>D-444</t>
  </si>
  <si>
    <t>Angraini</t>
  </si>
  <si>
    <t>D-0670</t>
  </si>
  <si>
    <t>Cempaka Putih Tengah 27A/F24</t>
  </si>
  <si>
    <t>D-1106</t>
  </si>
  <si>
    <t>Budjo</t>
  </si>
  <si>
    <t>budiantodjohan@gmail.com</t>
  </si>
  <si>
    <t>JL.Karya Wisata Komp Citrawisata Blok 8 no 40 20143</t>
  </si>
  <si>
    <t>D-190</t>
  </si>
  <si>
    <t>628211210009</t>
  </si>
  <si>
    <t>D-1413</t>
  </si>
  <si>
    <t>Chandrawati</t>
  </si>
  <si>
    <t>D-0861</t>
  </si>
  <si>
    <t>Chendrawati</t>
  </si>
  <si>
    <t>D-1415</t>
  </si>
  <si>
    <t>Chintami</t>
  </si>
  <si>
    <t>dewi.chintami@gmail.com</t>
  </si>
  <si>
    <t>6281294051575</t>
  </si>
  <si>
    <t>D-080</t>
  </si>
  <si>
    <t>Cuaca</t>
  </si>
  <si>
    <t>Jl. Walet Indah IV No. 5</t>
  </si>
  <si>
    <t>D-0786</t>
  </si>
  <si>
    <t>D-1123</t>
  </si>
  <si>
    <t>Febriana</t>
  </si>
  <si>
    <t>Jl.Raya Kerobokan 777,Ruko4. Denpasar</t>
  </si>
  <si>
    <t>D-473</t>
  </si>
  <si>
    <t>Gita</t>
  </si>
  <si>
    <t>Jln.Pinang Perak IX/20</t>
  </si>
  <si>
    <t>D-0884</t>
  </si>
  <si>
    <t>Alamanda I Blok B2/6 GRAHA CANDI GOLF</t>
  </si>
  <si>
    <t>D-0742</t>
  </si>
  <si>
    <t>Lokanata</t>
  </si>
  <si>
    <t>6281511682005</t>
  </si>
  <si>
    <t>D-231</t>
  </si>
  <si>
    <t>D-175</t>
  </si>
  <si>
    <t>Hermanus</t>
  </si>
  <si>
    <t xml:space="preserve">Jl. Kencana Indah IV 7A
12310</t>
  </si>
  <si>
    <t>D-1033</t>
  </si>
  <si>
    <t>+62811239797</t>
  </si>
  <si>
    <t>D-617</t>
  </si>
  <si>
    <t xml:space="preserve">crown mansion 2 no 16, crown golf . PIK 
birthday 19/06/81</t>
  </si>
  <si>
    <t>D-1048</t>
  </si>
  <si>
    <t>Is Anwar</t>
  </si>
  <si>
    <t>6282125168173</t>
  </si>
  <si>
    <t>D-202</t>
  </si>
  <si>
    <t>Jacobs</t>
  </si>
  <si>
    <t>D-379</t>
  </si>
  <si>
    <t>Jade</t>
  </si>
  <si>
    <t>Jl. Permata Berlian Blok Q No.22 Permata Hijau Jakarta Selatan</t>
  </si>
  <si>
    <t>D-0698</t>
  </si>
  <si>
    <t>Laya</t>
  </si>
  <si>
    <t>6281905366901</t>
  </si>
  <si>
    <t>D-1034</t>
  </si>
  <si>
    <t>Apt French Walk Mall of indonesia</t>
  </si>
  <si>
    <t>D-449</t>
  </si>
  <si>
    <t xml:space="preserve">Jalan Bulus No.61 Rt.007/03
JAKA SETIA, GALAKSI</t>
  </si>
  <si>
    <t>BEKASI SELATAN</t>
  </si>
  <si>
    <t>D-210</t>
  </si>
  <si>
    <t>D-1120</t>
  </si>
  <si>
    <t>6287819781228</t>
  </si>
  <si>
    <t>D-0989</t>
  </si>
  <si>
    <t>Mellia</t>
  </si>
  <si>
    <t>D-394</t>
  </si>
  <si>
    <t>Fatmawati - Jak Sel</t>
  </si>
  <si>
    <t>D-593</t>
  </si>
  <si>
    <t>Mutiawati</t>
  </si>
  <si>
    <t>D-0972</t>
  </si>
  <si>
    <t>Normawati</t>
  </si>
  <si>
    <t>D-1161</t>
  </si>
  <si>
    <t>Octafiany</t>
  </si>
  <si>
    <t>D-1011</t>
  </si>
  <si>
    <t>Palupi</t>
  </si>
  <si>
    <t>Jl. Purnawarman 122, Kebayoran Baru, Jaksel</t>
  </si>
  <si>
    <t>D-0840</t>
  </si>
  <si>
    <t>Pringgodani</t>
  </si>
  <si>
    <t>D-1182</t>
  </si>
  <si>
    <t>Puri</t>
  </si>
  <si>
    <t>Kemayoran</t>
  </si>
  <si>
    <t>D-0971</t>
  </si>
  <si>
    <t>Jl.Wallet Indah 3 No.11 Jakarta</t>
  </si>
  <si>
    <t>D-471</t>
  </si>
  <si>
    <t>Purnamawati</t>
  </si>
  <si>
    <t>D-1225</t>
  </si>
  <si>
    <t>setiawatidewi1992@gmail.com</t>
  </si>
  <si>
    <t>6281311202818</t>
  </si>
  <si>
    <t>Jln. Taman Surya 1 Blok S1/6</t>
  </si>
  <si>
    <t>D-1119</t>
  </si>
  <si>
    <t>Ratu</t>
  </si>
  <si>
    <t>D-515</t>
  </si>
  <si>
    <t>Renta</t>
  </si>
  <si>
    <t>D-0845</t>
  </si>
  <si>
    <t>Retnowati</t>
  </si>
  <si>
    <t>D-1159</t>
  </si>
  <si>
    <t>Aquasari</t>
  </si>
  <si>
    <t xml:space="preserve">Jln.Laut Maluku Blok C1 NO.3 Kav AL
</t>
  </si>
  <si>
    <t>JAKARTA TIMUR</t>
  </si>
  <si>
    <t>D-0923</t>
  </si>
  <si>
    <t>D-452</t>
  </si>
  <si>
    <t>D-0925</t>
  </si>
  <si>
    <t>Saptina</t>
  </si>
  <si>
    <t>Dewi@DJM.co.id</t>
  </si>
  <si>
    <t>D-0750</t>
  </si>
  <si>
    <t>D-0993</t>
  </si>
  <si>
    <t>Sekarsari</t>
  </si>
  <si>
    <t>nathalie.sekarsari@gmail.com</t>
  </si>
  <si>
    <t>6287814914019</t>
  </si>
  <si>
    <t>D-594</t>
  </si>
  <si>
    <t>22/02/1982</t>
  </si>
  <si>
    <t xml:space="preserve">Taman Pesona Townhouse Kav.H
Jl Tawes No.06 
Pasar Minggu</t>
  </si>
  <si>
    <t>D-383</t>
  </si>
  <si>
    <t>Dewi Siswanti</t>
  </si>
  <si>
    <t>Sulim</t>
  </si>
  <si>
    <t>628161959279</t>
  </si>
  <si>
    <t>Artha gading villa blok A. No.1A</t>
  </si>
  <si>
    <t>D-605</t>
  </si>
  <si>
    <t>Soegiarto</t>
  </si>
  <si>
    <t>D-1363</t>
  </si>
  <si>
    <t>Sondari</t>
  </si>
  <si>
    <t>sondari@gmail.com</t>
  </si>
  <si>
    <t>628118433033</t>
  </si>
  <si>
    <t>D-1038</t>
  </si>
  <si>
    <t>Dewi Sri</t>
  </si>
  <si>
    <t>Hartati</t>
  </si>
  <si>
    <t>dewihartati_21@yahoo.com</t>
  </si>
  <si>
    <t>628151829123</t>
  </si>
  <si>
    <t>D-436</t>
  </si>
  <si>
    <t>Srilina</t>
  </si>
  <si>
    <t>Jl.Gunung Manis No.6 Lippo Karawaci</t>
  </si>
  <si>
    <t>D-1211</t>
  </si>
  <si>
    <t>Suci</t>
  </si>
  <si>
    <t>D-0749</t>
  </si>
  <si>
    <t>Koike</t>
  </si>
  <si>
    <t>koikedewi14@gmail.com</t>
  </si>
  <si>
    <t>Permata Gandaria Apartment Unit PH03, Jakarta</t>
  </si>
  <si>
    <t>D-1282</t>
  </si>
  <si>
    <t>Suwardjo</t>
  </si>
  <si>
    <t>dewi.suwardjo@gmail.com</t>
  </si>
  <si>
    <t>+6281314113041</t>
  </si>
  <si>
    <t>Senopati Suites 2 unit 28B Jakarta 12140</t>
  </si>
  <si>
    <t>D-1303</t>
  </si>
  <si>
    <t>Teguh</t>
  </si>
  <si>
    <t>6281291647777</t>
  </si>
  <si>
    <t>Metro Alam III</t>
  </si>
  <si>
    <t>D-512</t>
  </si>
  <si>
    <t>628121861585</t>
  </si>
  <si>
    <t>D-1311</t>
  </si>
  <si>
    <t>628128052445</t>
  </si>
  <si>
    <t>D-1105</t>
  </si>
  <si>
    <t>JL.Bilal Ujung n0 179/88</t>
  </si>
  <si>
    <t>D-523</t>
  </si>
  <si>
    <t>w_lan18@yahoo.com</t>
  </si>
  <si>
    <t>Ruko Asia Plaza Blok E no 7.8</t>
  </si>
  <si>
    <t>D-090</t>
  </si>
  <si>
    <t>Yul</t>
  </si>
  <si>
    <t>Jl. Mandar Utama Blok DE-2 No. 82</t>
  </si>
  <si>
    <t>D-0913</t>
  </si>
  <si>
    <t>Nurfaizi</t>
  </si>
  <si>
    <t>D-0763</t>
  </si>
  <si>
    <t>Yuniarti</t>
  </si>
  <si>
    <t>D-1163</t>
  </si>
  <si>
    <t>D-270</t>
  </si>
  <si>
    <t>Dewinta</t>
  </si>
  <si>
    <t>Sumartono</t>
  </si>
  <si>
    <t>Jl. Mandar IX - Bintaro</t>
  </si>
  <si>
    <t>D-431</t>
  </si>
  <si>
    <t>Dewita</t>
  </si>
  <si>
    <t>Anggraeni Saraswati</t>
  </si>
  <si>
    <t>dewita.anggraeni@gmail.com</t>
  </si>
  <si>
    <t>62818141814</t>
  </si>
  <si>
    <t>Jalan Jeruk Purut No. 1A, Kemang</t>
  </si>
  <si>
    <t>D-0909</t>
  </si>
  <si>
    <t>Restati</t>
  </si>
  <si>
    <t>D-1128</t>
  </si>
  <si>
    <t>Zainal</t>
  </si>
  <si>
    <t xml:space="preserve">Green Garden N9/36
11520
</t>
  </si>
  <si>
    <t>D-1209</t>
  </si>
  <si>
    <t>Dewiti</t>
  </si>
  <si>
    <t>Wiyanto</t>
  </si>
  <si>
    <t>+628128288999</t>
  </si>
  <si>
    <t>D-091</t>
  </si>
  <si>
    <t>Dewy</t>
  </si>
  <si>
    <t>Balley</t>
  </si>
  <si>
    <t>Jl. Patra Kuningan X No. 3</t>
  </si>
  <si>
    <t>D-197</t>
  </si>
  <si>
    <t>D-1085</t>
  </si>
  <si>
    <t>Dexter</t>
  </si>
  <si>
    <t>Pagayonan</t>
  </si>
  <si>
    <t>dexteryp@yahoo.com</t>
  </si>
  <si>
    <t>M-1481</t>
  </si>
  <si>
    <t>Dhanie</t>
  </si>
  <si>
    <t>Tri.</t>
  </si>
  <si>
    <t>D-1134</t>
  </si>
  <si>
    <t>Dhaniel</t>
  </si>
  <si>
    <t>Fernando</t>
  </si>
  <si>
    <t>6287877275275</t>
  </si>
  <si>
    <t>villa cooper,sanur bali</t>
  </si>
  <si>
    <t>D-1341</t>
  </si>
  <si>
    <t>Dhantie</t>
  </si>
  <si>
    <t>Widianty</t>
  </si>
  <si>
    <t>dhantie177@yahoo.com</t>
  </si>
  <si>
    <t>628161915675</t>
  </si>
  <si>
    <t>D-1345</t>
  </si>
  <si>
    <t>Dhany</t>
  </si>
  <si>
    <t>dhanyhariyanto@gmail.com</t>
  </si>
  <si>
    <t>6281314006157</t>
  </si>
  <si>
    <t>Jl Janur Elok Raya QB.18 No.4</t>
  </si>
  <si>
    <t>D-504</t>
  </si>
  <si>
    <t>D-0708</t>
  </si>
  <si>
    <t>Dharu</t>
  </si>
  <si>
    <t>D-0741</t>
  </si>
  <si>
    <t>Dhea</t>
  </si>
  <si>
    <t>D-1073</t>
  </si>
  <si>
    <t>Dheasy</t>
  </si>
  <si>
    <t>Suzanti</t>
  </si>
  <si>
    <t>D-539</t>
  </si>
  <si>
    <t>Dheeraj</t>
  </si>
  <si>
    <t>D-549</t>
  </si>
  <si>
    <t>Dhenty</t>
  </si>
  <si>
    <t>Marthania</t>
  </si>
  <si>
    <t>D-0922</t>
  </si>
  <si>
    <t>D-0882</t>
  </si>
  <si>
    <t>Dhesty</t>
  </si>
  <si>
    <t xml:space="preserve">Taman Royal 1 Jl. Mahoni ! No.102
Tangerangf</t>
  </si>
  <si>
    <t>D-0901</t>
  </si>
  <si>
    <t>Dheviana</t>
  </si>
  <si>
    <t>Reypandi</t>
  </si>
  <si>
    <t>D-029</t>
  </si>
  <si>
    <t>Dhian</t>
  </si>
  <si>
    <t>Ratmawati</t>
  </si>
  <si>
    <t>D-1054</t>
  </si>
  <si>
    <t>nasution</t>
  </si>
  <si>
    <t>D-0784</t>
  </si>
  <si>
    <t>Dhistiya</t>
  </si>
  <si>
    <t>Septiani</t>
  </si>
  <si>
    <t>dhitia.septiani@gmail.com</t>
  </si>
  <si>
    <t>+62811841695</t>
  </si>
  <si>
    <t xml:space="preserve">Bintaro sektor 1 No.14
Jakarta</t>
  </si>
  <si>
    <t>D-1301</t>
  </si>
  <si>
    <t>Dhita</t>
  </si>
  <si>
    <t>Meitriana</t>
  </si>
  <si>
    <t>62811272066</t>
  </si>
  <si>
    <t>D-481</t>
  </si>
  <si>
    <t>Soebroto</t>
  </si>
  <si>
    <t>D-508</t>
  </si>
  <si>
    <t>Dhohir</t>
  </si>
  <si>
    <t>Farisi</t>
  </si>
  <si>
    <t xml:space="preserve">Gaharu I no35F
cipete</t>
  </si>
  <si>
    <t>Jak - sel</t>
  </si>
  <si>
    <t>D-595</t>
  </si>
  <si>
    <t>Dhyta</t>
  </si>
  <si>
    <t>Ramschie</t>
  </si>
  <si>
    <t>D-0710</t>
  </si>
  <si>
    <t>D-0764</t>
  </si>
  <si>
    <t>D-1087</t>
  </si>
  <si>
    <t>D-095</t>
  </si>
  <si>
    <t>D-0658</t>
  </si>
  <si>
    <t>Arintowati</t>
  </si>
  <si>
    <t>diaharintowati@gmail.com</t>
  </si>
  <si>
    <t>Menteng Residence Blok FC1/6, Bintaro</t>
  </si>
  <si>
    <t>D-097</t>
  </si>
  <si>
    <t>6281231001919</t>
  </si>
  <si>
    <t>Brawijaya Apt. Lt. 8/1803</t>
  </si>
  <si>
    <t>D-609</t>
  </si>
  <si>
    <t>Indriani</t>
  </si>
  <si>
    <t>D-098</t>
  </si>
  <si>
    <t xml:space="preserve">Jl.Raya kelapa lilin Blok LA21/6 
Kelapa Gading Permai</t>
  </si>
  <si>
    <t>D-193</t>
  </si>
  <si>
    <t>D-0918</t>
  </si>
  <si>
    <t>Santika</t>
  </si>
  <si>
    <t>D-1101</t>
  </si>
  <si>
    <t>Rahmaputri</t>
  </si>
  <si>
    <t>D-1129</t>
  </si>
  <si>
    <t>D-1030</t>
  </si>
  <si>
    <t>Newley</t>
  </si>
  <si>
    <t>D-0794</t>
  </si>
  <si>
    <t>Soemedi</t>
  </si>
  <si>
    <t>D-0765</t>
  </si>
  <si>
    <t>D-535</t>
  </si>
  <si>
    <t>Utari</t>
  </si>
  <si>
    <t>D-0775</t>
  </si>
  <si>
    <t>Wahyuni</t>
  </si>
  <si>
    <t>D-1064</t>
  </si>
  <si>
    <t>Dialina</t>
  </si>
  <si>
    <t>D-0889</t>
  </si>
  <si>
    <t>Diameta</t>
  </si>
  <si>
    <t>Jl. Haji Jaya I N0.12 unit A8 12430</t>
  </si>
  <si>
    <t>D-598</t>
  </si>
  <si>
    <t>Dian</t>
  </si>
  <si>
    <t>D-1155</t>
  </si>
  <si>
    <t>D-1157</t>
  </si>
  <si>
    <t>Adiwaskitarini</t>
  </si>
  <si>
    <t>Jl Tman Widya Chandra No.4</t>
  </si>
  <si>
    <t>D-497</t>
  </si>
  <si>
    <t>Waluyo</t>
  </si>
  <si>
    <t>D-1272</t>
  </si>
  <si>
    <t>Jl. Cemara Raya Kav 14/I</t>
  </si>
  <si>
    <t>D-229</t>
  </si>
  <si>
    <t xml:space="preserve">Permata Mediterania Raya 37
Kebon Jeruk</t>
  </si>
  <si>
    <t>D-620</t>
  </si>
  <si>
    <t>D-466</t>
  </si>
  <si>
    <t>Andyasuri</t>
  </si>
  <si>
    <t>dian.andyasuri@shell.com</t>
  </si>
  <si>
    <t xml:space="preserve">Emerald Residence blok J-19
Bintaro Sektor 9</t>
  </si>
  <si>
    <t>D-1067</t>
  </si>
  <si>
    <t>D-0814</t>
  </si>
  <si>
    <t>D-1051</t>
  </si>
  <si>
    <t>Maniti</t>
  </si>
  <si>
    <t>dian_maniti@yahoo.co.id</t>
  </si>
  <si>
    <t>Jakarta Garden City Cassia 196 Jakarta</t>
  </si>
  <si>
    <t>D-587</t>
  </si>
  <si>
    <t>Budiargo</t>
  </si>
  <si>
    <t>dianbudiargo@gmail.com</t>
  </si>
  <si>
    <t xml:space="preserve">Villa Cinere Mas 
Venus dalam 13</t>
  </si>
  <si>
    <t>D-382</t>
  </si>
  <si>
    <t>ciputra</t>
  </si>
  <si>
    <t>D-1253</t>
  </si>
  <si>
    <t>D-1147</t>
  </si>
  <si>
    <t>Evany</t>
  </si>
  <si>
    <t>6281310071389</t>
  </si>
  <si>
    <t>Padang</t>
  </si>
  <si>
    <t>D-1017</t>
  </si>
  <si>
    <t>D-0755</t>
  </si>
  <si>
    <t>Febriandri</t>
  </si>
  <si>
    <t>D-1058</t>
  </si>
  <si>
    <t>Fiona</t>
  </si>
  <si>
    <t>6281315554777</t>
  </si>
  <si>
    <t>D-1288</t>
  </si>
  <si>
    <t>Dian Fithri</t>
  </si>
  <si>
    <t>Fadila Fachrudin</t>
  </si>
  <si>
    <t>dinafach@yahoo.com</t>
  </si>
  <si>
    <t>0811835460</t>
  </si>
  <si>
    <t>Jl. Remaja No.2 Jakarta Timur</t>
  </si>
  <si>
    <t>D-424</t>
  </si>
  <si>
    <t>Hoed</t>
  </si>
  <si>
    <t>D-1089</t>
  </si>
  <si>
    <t>Aryati</t>
  </si>
  <si>
    <t>jln. toga asri III A no. D4 Jakarta Timur</t>
  </si>
  <si>
    <t>D-0872</t>
  </si>
  <si>
    <t>K</t>
  </si>
  <si>
    <t>D-1396</t>
  </si>
  <si>
    <t>Kartawidjaja</t>
  </si>
  <si>
    <t>diandra.kartawidjaja@gmail.com</t>
  </si>
  <si>
    <t>628170729415</t>
  </si>
  <si>
    <t>D-1172</t>
  </si>
  <si>
    <t xml:space="preserve">SWADAYA 7 BLOK U NO.5i
JAKARTA BARAT</t>
  </si>
  <si>
    <t>D-0834</t>
  </si>
  <si>
    <t>Laraswati</t>
  </si>
  <si>
    <t>D-111</t>
  </si>
  <si>
    <t>D-397</t>
  </si>
  <si>
    <t>Sindoro</t>
  </si>
  <si>
    <t xml:space="preserve">Taman Golf Kav.253
Lippo Karawaci</t>
  </si>
  <si>
    <t>D-1223</t>
  </si>
  <si>
    <t>Hasnawaty</t>
  </si>
  <si>
    <t>Komp RJA DPR RI Blok B1-133</t>
  </si>
  <si>
    <t>D-1412</t>
  </si>
  <si>
    <t>Nur Indah</t>
  </si>
  <si>
    <t>dian.aulia80@yahoo.com</t>
  </si>
  <si>
    <t>6281390855972</t>
  </si>
  <si>
    <t>D-1246</t>
  </si>
  <si>
    <t>Messy Paramita</t>
  </si>
  <si>
    <t>628121251276</t>
  </si>
  <si>
    <t>D-1104</t>
  </si>
  <si>
    <t>D-0825</t>
  </si>
  <si>
    <t>Pujiastuti</t>
  </si>
  <si>
    <t>D-0871</t>
  </si>
  <si>
    <t>D-1075</t>
  </si>
  <si>
    <t>utami</t>
  </si>
  <si>
    <t>D-1022</t>
  </si>
  <si>
    <t>Rijanto</t>
  </si>
  <si>
    <t>D-0772</t>
  </si>
  <si>
    <t>Adawiyah</t>
  </si>
  <si>
    <t xml:space="preserve">villa lima no. II 
jatipadang</t>
  </si>
  <si>
    <t>jak sel</t>
  </si>
  <si>
    <t>D-1375</t>
  </si>
  <si>
    <t>+6281289666194</t>
  </si>
  <si>
    <t>D-1217</t>
  </si>
  <si>
    <t>+628111919634</t>
  </si>
  <si>
    <t>D-1115</t>
  </si>
  <si>
    <t>D-1046</t>
  </si>
  <si>
    <t>Sandita</t>
  </si>
  <si>
    <t>dslenitasari@gmail.com</t>
  </si>
  <si>
    <t xml:space="preserve">Jl. Mertilang XIX KD2/7
Bintaro</t>
  </si>
  <si>
    <t>D-641</t>
  </si>
  <si>
    <t>D-0848</t>
  </si>
  <si>
    <t>Shah</t>
  </si>
  <si>
    <t>D-1285</t>
  </si>
  <si>
    <t>Suryani</t>
  </si>
  <si>
    <t>Diansuryani9@gmail.com</t>
  </si>
  <si>
    <t>0811224346</t>
  </si>
  <si>
    <t>D-1335</t>
  </si>
  <si>
    <t xml:space="preserve">Jakarta Selatan, 
kemang</t>
  </si>
  <si>
    <t>D-116</t>
  </si>
  <si>
    <t>Perum. Bukit Permai Cibubur</t>
  </si>
  <si>
    <t>Jl. Tidar Blok A-5 No. 11</t>
  </si>
  <si>
    <t>D-165</t>
  </si>
  <si>
    <t>Dradjat</t>
  </si>
  <si>
    <t xml:space="preserve">Jl. Tidar A5 No.11
Bukit Permai</t>
  </si>
  <si>
    <t>D-438</t>
  </si>
  <si>
    <t>Vebrianty</t>
  </si>
  <si>
    <t>D-1201</t>
  </si>
  <si>
    <t>D-0943</t>
  </si>
  <si>
    <t>D-0818</t>
  </si>
  <si>
    <t>Nazli</t>
  </si>
  <si>
    <t>D-532</t>
  </si>
  <si>
    <t>Diana</t>
  </si>
  <si>
    <t>D-0898</t>
  </si>
  <si>
    <t>D-0981</t>
  </si>
  <si>
    <t>D-0728</t>
  </si>
  <si>
    <t>D-1112</t>
  </si>
  <si>
    <t>D-1324</t>
  </si>
  <si>
    <t>Ana Buhna</t>
  </si>
  <si>
    <t>62881025788611</t>
  </si>
  <si>
    <t>D-1060</t>
  </si>
  <si>
    <t>MANDARA INDAH 3 U8/11 - MANYAR - PIK</t>
  </si>
  <si>
    <t>D-225</t>
  </si>
  <si>
    <t>D-0669</t>
  </si>
  <si>
    <t>Riena</t>
  </si>
  <si>
    <t>diananggraini1412@gmail.com</t>
  </si>
  <si>
    <t>6287780006262</t>
  </si>
  <si>
    <t xml:space="preserve">Grand Orchad Kelapa Gading 
Clover Residence Blok BG 10</t>
  </si>
  <si>
    <t>D-1337</t>
  </si>
  <si>
    <t>Bhornlerts</t>
  </si>
  <si>
    <t>bhornlerts@gmail.com</t>
  </si>
  <si>
    <t>6281510178899</t>
  </si>
  <si>
    <t xml:space="preserve">Jl Kimangunsarkoro
Menteng</t>
  </si>
  <si>
    <t>D-216</t>
  </si>
  <si>
    <t>Hertanto</t>
  </si>
  <si>
    <t xml:space="preserve">Jl. Cempaka Putih Tengah 27 No 12
Jakarta 10510</t>
  </si>
  <si>
    <t>D-1334</t>
  </si>
  <si>
    <t>6281317896904</t>
  </si>
  <si>
    <t>Gading Putih IV SC 1 No 14</t>
  </si>
  <si>
    <t>D-1164</t>
  </si>
  <si>
    <t>Ekawati</t>
  </si>
  <si>
    <t>diana_eka7179@yahoo.com</t>
  </si>
  <si>
    <t>Perumahan Senayan 1, Tangerang Selatan 15227</t>
  </si>
  <si>
    <t>D-101</t>
  </si>
  <si>
    <t>Eng</t>
  </si>
  <si>
    <t xml:space="preserve">Jl. Pejabat Barat 2 Kav. 63 Unit G
Palma</t>
  </si>
  <si>
    <t>D-0659</t>
  </si>
  <si>
    <t>dianafn.77@gmail.com</t>
  </si>
  <si>
    <t>VMG E2 NO.31 -BEKASI</t>
  </si>
  <si>
    <t>BEKASI</t>
  </si>
  <si>
    <t>D-105</t>
  </si>
  <si>
    <t>Frawan</t>
  </si>
  <si>
    <t>D-102</t>
  </si>
  <si>
    <t>Geovanie</t>
  </si>
  <si>
    <t>JL. Simprug Golf XI, No. 154 Jakarta Selatan</t>
  </si>
  <si>
    <t>D-0821</t>
  </si>
  <si>
    <t>dianahalim97@gmail.com</t>
  </si>
  <si>
    <t>Reqatta, monte carlo 2B</t>
  </si>
  <si>
    <t>D-389</t>
  </si>
  <si>
    <t>halim</t>
  </si>
  <si>
    <t>D-103</t>
  </si>
  <si>
    <t>Hariyadi</t>
  </si>
  <si>
    <t>Jl. Bojonegoro 8</t>
  </si>
  <si>
    <t>D-0910</t>
  </si>
  <si>
    <t>D-454</t>
  </si>
  <si>
    <t>D-570</t>
  </si>
  <si>
    <t>Dewati</t>
  </si>
  <si>
    <t>D-104</t>
  </si>
  <si>
    <t>Leovita</t>
  </si>
  <si>
    <t>Siaga Baru, Komp</t>
  </si>
  <si>
    <t>Siaga Baru III/15, Pejatan, Pasar Minggu</t>
  </si>
  <si>
    <t>D-1374</t>
  </si>
  <si>
    <t>dliem77@gmail.com</t>
  </si>
  <si>
    <t>62816539060</t>
  </si>
  <si>
    <t>D-1233</t>
  </si>
  <si>
    <t>Linnata</t>
  </si>
  <si>
    <t>6281394399777</t>
  </si>
  <si>
    <t>Taman Giri Loka BLok Q/10 BSD - SERPONG (15321)</t>
  </si>
  <si>
    <t>D-1306</t>
  </si>
  <si>
    <t>Liyanto</t>
  </si>
  <si>
    <t>6281281133382</t>
  </si>
  <si>
    <t>D-1357</t>
  </si>
  <si>
    <t>Mandagie</t>
  </si>
  <si>
    <t>diana.mandagie@gmail.com</t>
  </si>
  <si>
    <t>6281398030303</t>
  </si>
  <si>
    <t>Prima Lingkar Asri A2/24</t>
  </si>
  <si>
    <t>D-1348</t>
  </si>
  <si>
    <t>Nurkartika</t>
  </si>
  <si>
    <t>dian_mrs@yahoo.com</t>
  </si>
  <si>
    <t>628132182888</t>
  </si>
  <si>
    <t>D-482</t>
  </si>
  <si>
    <t>Pawito</t>
  </si>
  <si>
    <t xml:space="preserve">JL.Danau Indah Barat II Blok B2/GB
Jakarta Utara.</t>
  </si>
  <si>
    <t>D-1271</t>
  </si>
  <si>
    <t>Prasetio</t>
  </si>
  <si>
    <t>Jl. Pantai Mutiara Blok R. 38 Jakarta Utara</t>
  </si>
  <si>
    <t>D-0661</t>
  </si>
  <si>
    <t>prawiro</t>
  </si>
  <si>
    <t>anasthasia-d@yahoo.com</t>
  </si>
  <si>
    <t>Jl.Danau Indah Barat II Blok B2 1 GB</t>
  </si>
  <si>
    <t>D-107</t>
  </si>
  <si>
    <t>D-0969</t>
  </si>
  <si>
    <t>Bernardina</t>
  </si>
  <si>
    <t>Taman Duren Sawit blok E4/18, Duren Sawit</t>
  </si>
  <si>
    <t>D-108</t>
  </si>
  <si>
    <t>S.</t>
  </si>
  <si>
    <t>Jl. Tanjung Duren Utara IV No. 58</t>
  </si>
  <si>
    <t>D-1394</t>
  </si>
  <si>
    <t>Sajin</t>
  </si>
  <si>
    <t>905375858998</t>
  </si>
  <si>
    <t>D-417</t>
  </si>
  <si>
    <t>Shanty</t>
  </si>
  <si>
    <t>D-1325</t>
  </si>
  <si>
    <t>diana.sinaga30@gmail.com</t>
  </si>
  <si>
    <t>6281211110092</t>
  </si>
  <si>
    <t>Jl.Sawo IV No.18</t>
  </si>
  <si>
    <t>D-419</t>
  </si>
  <si>
    <t>Soesanto</t>
  </si>
  <si>
    <t>D-1095</t>
  </si>
  <si>
    <t>Syarifah</t>
  </si>
  <si>
    <t>diana.sya11@gmail.com</t>
  </si>
  <si>
    <t xml:space="preserve">Jl.Kertanegara No.59 kebayoran baru 
jak sel</t>
  </si>
  <si>
    <t>D-277</t>
  </si>
  <si>
    <t>Taufik</t>
  </si>
  <si>
    <t xml:space="preserve">Jl. Gatot Subroto Kav 53
Apartement Semanggi jakarta</t>
  </si>
  <si>
    <t>D-110</t>
  </si>
  <si>
    <t>Jl. H. Agus Salim No. 60</t>
  </si>
  <si>
    <t>D-1262</t>
  </si>
  <si>
    <t>D-403</t>
  </si>
  <si>
    <t>Winarno</t>
  </si>
  <si>
    <t>D-638</t>
  </si>
  <si>
    <t>Jl. Cakrawijaya I/8. Jakarta</t>
  </si>
  <si>
    <t>D-198</t>
  </si>
  <si>
    <t>Wirawan</t>
  </si>
  <si>
    <t>+62816864162</t>
  </si>
  <si>
    <t>D-1323</t>
  </si>
  <si>
    <t>Yohana</t>
  </si>
  <si>
    <t>628126030005</t>
  </si>
  <si>
    <t>D-640</t>
  </si>
  <si>
    <t>DianaGunawan</t>
  </si>
  <si>
    <t>D-1224</t>
  </si>
  <si>
    <t>Dianawaty</t>
  </si>
  <si>
    <t>+628159661156</t>
  </si>
  <si>
    <t>Pulau Matahari 2 Blok A5 No. 31, Permata Buana, Jakarta Barat</t>
  </si>
  <si>
    <t>D-169</t>
  </si>
  <si>
    <t>Diane</t>
  </si>
  <si>
    <t>D-1318</t>
  </si>
  <si>
    <t>Utama Hadi Surya</t>
  </si>
  <si>
    <t>diane_uhs@yahoo.com</t>
  </si>
  <si>
    <t>628161166800</t>
  </si>
  <si>
    <t>D-502</t>
  </si>
  <si>
    <t>Dianko</t>
  </si>
  <si>
    <t>D-1191</t>
  </si>
  <si>
    <t>Dianta</t>
  </si>
  <si>
    <t>Pinem</t>
  </si>
  <si>
    <t>Bogor Baru F6 Tegalega Bogor</t>
  </si>
  <si>
    <t>D-1257</t>
  </si>
  <si>
    <t>M-1285</t>
  </si>
  <si>
    <t>Dias</t>
  </si>
  <si>
    <t>D-505</t>
  </si>
  <si>
    <t>Diatri</t>
  </si>
  <si>
    <t>D-0740</t>
  </si>
  <si>
    <t>Diaz</t>
  </si>
  <si>
    <t>D-572</t>
  </si>
  <si>
    <t>Diba</t>
  </si>
  <si>
    <t>Yosandi</t>
  </si>
  <si>
    <t>contact@dibayosandi.com</t>
  </si>
  <si>
    <t xml:space="preserve">Jl. Kartika Utara BF 06 no.109
Pondok Indah
birth day 18 Jan 1995</t>
  </si>
  <si>
    <t>D-410</t>
  </si>
  <si>
    <t>Dick</t>
  </si>
  <si>
    <t>chandra</t>
  </si>
  <si>
    <t>D-1319</t>
  </si>
  <si>
    <t>Dickson</t>
  </si>
  <si>
    <t>Angka WIjaya</t>
  </si>
  <si>
    <t>dicksonwijaya@gmail.com</t>
  </si>
  <si>
    <t>+85256876196</t>
  </si>
  <si>
    <t>888 S Hope ST Unit 704, Los Angeles California USA</t>
  </si>
  <si>
    <t>D-590</t>
  </si>
  <si>
    <t>Dicky</t>
  </si>
  <si>
    <t>D-1181</t>
  </si>
  <si>
    <t>dicky.halim@gmail.com</t>
  </si>
  <si>
    <t xml:space="preserve">JL PLUIT KARANG MANIS XIII NO.34
JAKARTA - 14450</t>
  </si>
  <si>
    <t>D-0681</t>
  </si>
  <si>
    <t>Kartawinata</t>
  </si>
  <si>
    <t>D-0704</t>
  </si>
  <si>
    <t>D-0751</t>
  </si>
  <si>
    <t>Soejatna</t>
  </si>
  <si>
    <t>D-0967</t>
  </si>
  <si>
    <t>D-119</t>
  </si>
  <si>
    <t>Dico</t>
  </si>
  <si>
    <t>Ganinduto</t>
  </si>
  <si>
    <t>Apartment Pakubuwono Residence Eaglewood 26E</t>
  </si>
  <si>
    <t>D-0998</t>
  </si>
  <si>
    <t>Dida</t>
  </si>
  <si>
    <t>Hardiansyah</t>
  </si>
  <si>
    <t>dida.hardiansyah@gmail.com</t>
  </si>
  <si>
    <t>D-1411</t>
  </si>
  <si>
    <t>Sarkan</t>
  </si>
  <si>
    <t>62811199098</t>
  </si>
  <si>
    <t>D-0997</t>
  </si>
  <si>
    <t>Didi</t>
  </si>
  <si>
    <t>D-545</t>
  </si>
  <si>
    <t>Dawis</t>
  </si>
  <si>
    <t>6281567896936</t>
  </si>
  <si>
    <t>D-267</t>
  </si>
  <si>
    <t>Kusumayati</t>
  </si>
  <si>
    <t>D-1042</t>
  </si>
  <si>
    <t>Rustadi</t>
  </si>
  <si>
    <t>didir_86@yahoo.com</t>
  </si>
  <si>
    <t>Gading Residence ,Kelapa Gading, Jakarta</t>
  </si>
  <si>
    <t>D-1362</t>
  </si>
  <si>
    <t>Didier</t>
  </si>
  <si>
    <t>Brun</t>
  </si>
  <si>
    <t>62878676770</t>
  </si>
  <si>
    <t>D-187</t>
  </si>
  <si>
    <t>Didik</t>
  </si>
  <si>
    <t>D-220</t>
  </si>
  <si>
    <t>Didik.</t>
  </si>
  <si>
    <t>HN</t>
  </si>
  <si>
    <t>D-0942</t>
  </si>
  <si>
    <t>Didin</t>
  </si>
  <si>
    <t>D-0724</t>
  </si>
  <si>
    <t>Didit</t>
  </si>
  <si>
    <t>D-0813</t>
  </si>
  <si>
    <t>Arsjad</t>
  </si>
  <si>
    <t>+6281290911451</t>
  </si>
  <si>
    <t>D-1189</t>
  </si>
  <si>
    <t>Hediprasetyo</t>
  </si>
  <si>
    <t>D-1185</t>
  </si>
  <si>
    <t>+628121056945</t>
  </si>
  <si>
    <t>D-121</t>
  </si>
  <si>
    <t>Okiandi</t>
  </si>
  <si>
    <t>D-422</t>
  </si>
  <si>
    <t>Prabudi</t>
  </si>
  <si>
    <t>D-0663</t>
  </si>
  <si>
    <t>Dido</t>
  </si>
  <si>
    <t>Vionita</t>
  </si>
  <si>
    <t>rvionita@yahoo.com</t>
  </si>
  <si>
    <t>628111333015</t>
  </si>
  <si>
    <t>Jl,Pejaten Raya Komplek Depdikbud Blok B3/6</t>
  </si>
  <si>
    <t>D-1230</t>
  </si>
  <si>
    <t>Diego</t>
  </si>
  <si>
    <t>+6281286233833</t>
  </si>
  <si>
    <t>D-1124</t>
  </si>
  <si>
    <t>Diena</t>
  </si>
  <si>
    <t>Aryantie</t>
  </si>
  <si>
    <t>Jln.Babakan Priangan VII N0.11</t>
  </si>
  <si>
    <t>H-1307</t>
  </si>
  <si>
    <t>H. Dier</t>
  </si>
  <si>
    <t>Mr</t>
  </si>
  <si>
    <t>6282288079999</t>
  </si>
  <si>
    <t>D-533</t>
  </si>
  <si>
    <t>Diiba</t>
  </si>
  <si>
    <t>D-0858</t>
  </si>
  <si>
    <t>Dila</t>
  </si>
  <si>
    <t>D-0717</t>
  </si>
  <si>
    <t>Dila Mutiara</t>
  </si>
  <si>
    <t>Ainsyah</t>
  </si>
  <si>
    <t>dilamutiaraa@yahoo.com</t>
  </si>
  <si>
    <t>628179170793</t>
  </si>
  <si>
    <t>D-0693</t>
  </si>
  <si>
    <t>Rahmatulgina</t>
  </si>
  <si>
    <t>D-122</t>
  </si>
  <si>
    <t>D-551</t>
  </si>
  <si>
    <t>D-1370</t>
  </si>
  <si>
    <t>6287882222327</t>
  </si>
  <si>
    <t>Residence 8, Senopati</t>
  </si>
  <si>
    <t>D-0977</t>
  </si>
  <si>
    <t>Putranto</t>
  </si>
  <si>
    <t>D-1409</t>
  </si>
  <si>
    <t>628971569901</t>
  </si>
  <si>
    <t>D-0762</t>
  </si>
  <si>
    <t>Supartono</t>
  </si>
  <si>
    <t>dadibputra@gmail.com</t>
  </si>
  <si>
    <t>Cisanggiri V no: 17 Blok S Jakarta Selatan</t>
  </si>
  <si>
    <t>D-483</t>
  </si>
  <si>
    <t>D-1076</t>
  </si>
  <si>
    <t>Willemar</t>
  </si>
  <si>
    <t>D-489</t>
  </si>
  <si>
    <t>Dina</t>
  </si>
  <si>
    <t>D-124</t>
  </si>
  <si>
    <t>Jl. Bangka II No. 11C</t>
  </si>
  <si>
    <t>D-0688</t>
  </si>
  <si>
    <t>D-0945</t>
  </si>
  <si>
    <t>D-179</t>
  </si>
  <si>
    <t>Ardananeswari</t>
  </si>
  <si>
    <t>dina.ardananeswari@yahoo.com</t>
  </si>
  <si>
    <t>Jl. Kelapa Kuning IV Blok AN/3</t>
  </si>
  <si>
    <t>D-0781</t>
  </si>
  <si>
    <t>D-1114</t>
  </si>
  <si>
    <t>Baluel</t>
  </si>
  <si>
    <t>62811186437</t>
  </si>
  <si>
    <t>D-0940</t>
  </si>
  <si>
    <t>Carol</t>
  </si>
  <si>
    <t>D-0711</t>
  </si>
  <si>
    <t>Dewijayanti Setjhahusada</t>
  </si>
  <si>
    <t>dinasetjahusada@yahoo.com</t>
  </si>
  <si>
    <t>6281283502355</t>
  </si>
  <si>
    <t xml:space="preserve">Srondol Bumi Indah Blok D-12A
Semarang</t>
  </si>
  <si>
    <t>D-621</t>
  </si>
  <si>
    <t>Humaira</t>
  </si>
  <si>
    <t>D-1356</t>
  </si>
  <si>
    <t>+6281218777999</t>
  </si>
  <si>
    <t>D-423</t>
  </si>
  <si>
    <t>62811990444</t>
  </si>
  <si>
    <t>D-1292</t>
  </si>
  <si>
    <t>Mediawati</t>
  </si>
  <si>
    <t>+6285282809350</t>
  </si>
  <si>
    <t>D-123</t>
  </si>
  <si>
    <t>Mirza</t>
  </si>
  <si>
    <t xml:space="preserve">Jl. Madrasah No. 12
Perum. Mutiara Kemang A-7</t>
  </si>
  <si>
    <t>D-1387</t>
  </si>
  <si>
    <t>paneangeliana@gmail.com</t>
  </si>
  <si>
    <t>6285172252607</t>
  </si>
  <si>
    <t>D-1032</t>
  </si>
  <si>
    <t>Rahardian</t>
  </si>
  <si>
    <t>D-127</t>
  </si>
  <si>
    <t>Rildo</t>
  </si>
  <si>
    <t>Jl. Kembang Raya Selatan 152B</t>
  </si>
  <si>
    <t>D-465</t>
  </si>
  <si>
    <t>Sabur</t>
  </si>
  <si>
    <t>D-0965</t>
  </si>
  <si>
    <t>Perum studio alam indah no 20 rt 02/10 sukmajaya depok</t>
  </si>
  <si>
    <t>D-0734</t>
  </si>
  <si>
    <t>D-631</t>
  </si>
  <si>
    <t>Sunarto</t>
  </si>
  <si>
    <t>(Jl Metro Kencana V/12, Pondok Indah) (Date of birth 18-12-58)</t>
  </si>
  <si>
    <t>D-0752</t>
  </si>
  <si>
    <t>Yosalinda</t>
  </si>
  <si>
    <t>D-0754</t>
  </si>
  <si>
    <t>Dinah</t>
  </si>
  <si>
    <t>Noerdin</t>
  </si>
  <si>
    <t>D-1276</t>
  </si>
  <si>
    <t>Dinar</t>
  </si>
  <si>
    <t>D-461</t>
  </si>
  <si>
    <t>Dinara</t>
  </si>
  <si>
    <t>D-126</t>
  </si>
  <si>
    <t>Dinariama</t>
  </si>
  <si>
    <t>Perum. Taman Galaxi</t>
  </si>
  <si>
    <t>Jl. Bougenville Blok 1 No. 2</t>
  </si>
  <si>
    <t>D-1392</t>
  </si>
  <si>
    <t>Dincer</t>
  </si>
  <si>
    <t>Ahmet Enis</t>
  </si>
  <si>
    <t>enisdincer@yahoo.com</t>
  </si>
  <si>
    <t>905322252665</t>
  </si>
  <si>
    <t>D-0774</t>
  </si>
  <si>
    <t>Dinda</t>
  </si>
  <si>
    <t>D-0792</t>
  </si>
  <si>
    <t>Ardita</t>
  </si>
  <si>
    <t>628170029090</t>
  </si>
  <si>
    <t>D-1249</t>
  </si>
  <si>
    <t>Dinzy</t>
  </si>
  <si>
    <t>dindafbusiness@gmail.com</t>
  </si>
  <si>
    <t>CIBUBUR</t>
  </si>
  <si>
    <t>D-128</t>
  </si>
  <si>
    <t>Hardianto</t>
  </si>
  <si>
    <t>D-0733</t>
  </si>
  <si>
    <t>Herawati</t>
  </si>
  <si>
    <t>6281311412513</t>
  </si>
  <si>
    <t>D-1093</t>
  </si>
  <si>
    <t>dinda.monica.mkt@gmail.com</t>
  </si>
  <si>
    <t>D-0939</t>
  </si>
  <si>
    <t>Purbasari</t>
  </si>
  <si>
    <t>D-1320</t>
  </si>
  <si>
    <t>6282287878795</t>
  </si>
  <si>
    <t xml:space="preserve">Pacific Place Resident Tower1 8A, Jakarta Pusat
</t>
  </si>
  <si>
    <t>D-1143</t>
  </si>
  <si>
    <t>Dinesvara</t>
  </si>
  <si>
    <t>Airlangga</t>
  </si>
  <si>
    <t>dinesvara@gmail.com</t>
  </si>
  <si>
    <t>D-1267</t>
  </si>
  <si>
    <t>Ding</t>
  </si>
  <si>
    <t>Yuling</t>
  </si>
  <si>
    <t>dingyuling2004@163.com</t>
  </si>
  <si>
    <t>D-1268</t>
  </si>
  <si>
    <t>Ding,</t>
  </si>
  <si>
    <t>D-1184</t>
  </si>
  <si>
    <t>Dinha</t>
  </si>
  <si>
    <t>D-387</t>
  </si>
  <si>
    <t>Dini</t>
  </si>
  <si>
    <t>D-613</t>
  </si>
  <si>
    <t>Komplek Sandang</t>
  </si>
  <si>
    <t>D-396</t>
  </si>
  <si>
    <t>Ardnan</t>
  </si>
  <si>
    <t>D-0660</t>
  </si>
  <si>
    <t>diniadhelia@yahoo.com</t>
  </si>
  <si>
    <t xml:space="preserve">Foresta , Cluster Fiore Blok b6 no 2
Bsd Tanggerang</t>
  </si>
  <si>
    <t>D-1200</t>
  </si>
  <si>
    <t>dinifebriani.df45@gmail.com</t>
  </si>
  <si>
    <t>082111902700</t>
  </si>
  <si>
    <t>D-177</t>
  </si>
  <si>
    <t>D-130</t>
  </si>
  <si>
    <t>Hurlianti</t>
  </si>
  <si>
    <t>D-0756</t>
  </si>
  <si>
    <t>D-1240</t>
  </si>
  <si>
    <t>D-0885</t>
  </si>
  <si>
    <t>Makmun</t>
  </si>
  <si>
    <t>D-0959</t>
  </si>
  <si>
    <t>Maryono</t>
  </si>
  <si>
    <t>+62818989687</t>
  </si>
  <si>
    <t>D-1332</t>
  </si>
  <si>
    <t>Sunarko</t>
  </si>
  <si>
    <t>dnsnrko@gmail.com</t>
  </si>
  <si>
    <t>+628128544705</t>
  </si>
  <si>
    <t>D-472</t>
  </si>
  <si>
    <t>Vidyasari</t>
  </si>
  <si>
    <t>D-583</t>
  </si>
  <si>
    <t>Dinnoor</t>
  </si>
  <si>
    <t>Muwardi</t>
  </si>
  <si>
    <t xml:space="preserve">Jl. Janur 4 Blok F No.12 A
Villa Kelapa Dua
Kebon Jeruk</t>
  </si>
  <si>
    <t>D-562</t>
  </si>
  <si>
    <t>Dino</t>
  </si>
  <si>
    <t>D-578</t>
  </si>
  <si>
    <t>Dio</t>
  </si>
  <si>
    <t>Samsoeri</t>
  </si>
  <si>
    <t>dio.alexander.samsoeri@gmail.com</t>
  </si>
  <si>
    <t>D-0868</t>
  </si>
  <si>
    <t>Ika</t>
  </si>
  <si>
    <t>Isnania</t>
  </si>
  <si>
    <t>ikaisnania@yahoo.id</t>
  </si>
  <si>
    <t>6281288991058</t>
  </si>
  <si>
    <t>D-0952</t>
  </si>
  <si>
    <t>Avico</t>
  </si>
  <si>
    <t>D-0657</t>
  </si>
  <si>
    <t>Dion</t>
  </si>
  <si>
    <t>Sugjarto</t>
  </si>
  <si>
    <t>ren_dion@yahoo.com</t>
  </si>
  <si>
    <t>Jl. DR. Wahidin no. 52</t>
  </si>
  <si>
    <t>M-1203</t>
  </si>
  <si>
    <t>Dion.</t>
  </si>
  <si>
    <t>D-0833</t>
  </si>
  <si>
    <t>Dionisius</t>
  </si>
  <si>
    <t>Hudaya</t>
  </si>
  <si>
    <t>D-0678</t>
  </si>
  <si>
    <t>Dipo</t>
  </si>
  <si>
    <t>reforafiudin98@gmail.com</t>
  </si>
  <si>
    <t>6281299898185</t>
  </si>
  <si>
    <t>D-170</t>
  </si>
  <si>
    <t>Dipta</t>
  </si>
  <si>
    <t>D-1126</t>
  </si>
  <si>
    <t>Diravita</t>
  </si>
  <si>
    <t>D-0878</t>
  </si>
  <si>
    <t>Dirgafajar</t>
  </si>
  <si>
    <t>Putro</t>
  </si>
  <si>
    <t>D-1372</t>
  </si>
  <si>
    <t>Dirgatama</t>
  </si>
  <si>
    <t>Jl. Kesari II, Gg Pohon, No.1 ( Rumah Solas ) Sanur, Denpasar Selatan, Bali 80228</t>
  </si>
  <si>
    <t>D-1252</t>
  </si>
  <si>
    <t>Dirgo</t>
  </si>
  <si>
    <t>Atmadji</t>
  </si>
  <si>
    <t xml:space="preserve">ANGGREK EMAS 1, BLOK F NO.11
BATAM - RIAU</t>
  </si>
  <si>
    <t>RIAU</t>
  </si>
  <si>
    <t>D-1388</t>
  </si>
  <si>
    <t>Disa</t>
  </si>
  <si>
    <t>Soraya</t>
  </si>
  <si>
    <t>disabahajad211@gmail.com</t>
  </si>
  <si>
    <t>62811894555</t>
  </si>
  <si>
    <t>D-1273</t>
  </si>
  <si>
    <t>Disha</t>
  </si>
  <si>
    <t>Hasnuryadi</t>
  </si>
  <si>
    <t>dee.hasnur@gmail.com</t>
  </si>
  <si>
    <t>JL ARTERI PONDOK INDAH, APARTEMENT BOTANICA -  JAKARTA SELATAN</t>
  </si>
  <si>
    <t>D-1210</t>
  </si>
  <si>
    <t>Dissa</t>
  </si>
  <si>
    <t>Maya</t>
  </si>
  <si>
    <t>dissadaisy@hotmail.com</t>
  </si>
  <si>
    <t>Kalibata Pancoran, Jakarta</t>
  </si>
  <si>
    <t>D-222</t>
  </si>
  <si>
    <t>Dita</t>
  </si>
  <si>
    <t>D-0906</t>
  </si>
  <si>
    <t>Rizkita</t>
  </si>
  <si>
    <t>Jalan Salemba Tengah no 40</t>
  </si>
  <si>
    <t>D-608</t>
  </si>
  <si>
    <t>Juanita</t>
  </si>
  <si>
    <t>D-373</t>
  </si>
  <si>
    <t>Dito</t>
  </si>
  <si>
    <t>Ganindito</t>
  </si>
  <si>
    <t>Menara Imperium 10fl</t>
  </si>
  <si>
    <t>D-1322</t>
  </si>
  <si>
    <t>Ditta</t>
  </si>
  <si>
    <t>Triwidianti</t>
  </si>
  <si>
    <t>6287780801882</t>
  </si>
  <si>
    <t>D-1021</t>
  </si>
  <si>
    <t>Ditya</t>
  </si>
  <si>
    <t>D-468</t>
  </si>
  <si>
    <t>Diva</t>
  </si>
  <si>
    <t>nurhayati1845@yahoo.com</t>
  </si>
  <si>
    <t>D-1258</t>
  </si>
  <si>
    <t>The New Ambassador Suite Tower, Jalan St. Moritz Apartment, Kembangan 11610</t>
  </si>
  <si>
    <t>D-1068</t>
  </si>
  <si>
    <t>Wasaraka</t>
  </si>
  <si>
    <t>diva.wasaraka02@gmail.com</t>
  </si>
  <si>
    <t>+6281311645791</t>
  </si>
  <si>
    <t>D-0828</t>
  </si>
  <si>
    <t>Divachallista</t>
  </si>
  <si>
    <t>Teosantoi</t>
  </si>
  <si>
    <t>divachallista@gmail.com</t>
  </si>
  <si>
    <t>62816509969</t>
  </si>
  <si>
    <t>D-1266</t>
  </si>
  <si>
    <t>Divya</t>
  </si>
  <si>
    <t>+62818158085</t>
  </si>
  <si>
    <t>Pakubuuwono Residence</t>
  </si>
  <si>
    <t>D-1047</t>
  </si>
  <si>
    <t>Diyah</t>
  </si>
  <si>
    <t>D-568</t>
  </si>
  <si>
    <t>wahyuningsing</t>
  </si>
  <si>
    <t>D-1279</t>
  </si>
  <si>
    <t>Diyana</t>
  </si>
  <si>
    <t>diyanasuci67@gmail.com</t>
  </si>
  <si>
    <t>082220302007</t>
  </si>
  <si>
    <t>D-134</t>
  </si>
  <si>
    <t>Diyanita</t>
  </si>
  <si>
    <t>D-399</t>
  </si>
  <si>
    <t>Joesoel</t>
  </si>
  <si>
    <t>D-566</t>
  </si>
  <si>
    <t>Djamel</t>
  </si>
  <si>
    <t>Derguini</t>
  </si>
  <si>
    <t>D-0953</t>
  </si>
  <si>
    <t>Djana</t>
  </si>
  <si>
    <t>D-0902</t>
  </si>
  <si>
    <t>Djarwaji</t>
  </si>
  <si>
    <t>D-0937</t>
  </si>
  <si>
    <t>Djie</t>
  </si>
  <si>
    <t>D-0991</t>
  </si>
  <si>
    <t>Djiu</t>
  </si>
  <si>
    <t>D-647</t>
  </si>
  <si>
    <t>Djoe</t>
  </si>
  <si>
    <t>D-1193</t>
  </si>
  <si>
    <t>Djohan</t>
  </si>
  <si>
    <t>Djohanlau@hotmail.com</t>
  </si>
  <si>
    <t xml:space="preserve">JL.Rajawali no 96i Kompleks Cemara asri Kec Percut sei Tuan Kab Deli Serdang 20371 
sumatra utara </t>
  </si>
  <si>
    <t>D-235</t>
  </si>
  <si>
    <t>Djohanis</t>
  </si>
  <si>
    <t>Hardjo</t>
  </si>
  <si>
    <t>Jl. Puri Indah Blok G5 No. 64</t>
  </si>
  <si>
    <t>D-402</t>
  </si>
  <si>
    <t>Djojo</t>
  </si>
  <si>
    <t>djojo.hartono@gmail.com</t>
  </si>
  <si>
    <t>JL. Pluit Raya 1 No. 1 14440  JKT</t>
  </si>
  <si>
    <t>D-649</t>
  </si>
  <si>
    <t>Djoko</t>
  </si>
  <si>
    <t>D-0780</t>
  </si>
  <si>
    <t>D-1024</t>
  </si>
  <si>
    <t>Josef</t>
  </si>
  <si>
    <t>D-378</t>
  </si>
  <si>
    <t>Mukti</t>
  </si>
  <si>
    <t>D-199</t>
  </si>
  <si>
    <t>J-188</t>
  </si>
  <si>
    <t>Jl. Tentara Pelajar 7 Yogyakarta</t>
  </si>
  <si>
    <t>D-137</t>
  </si>
  <si>
    <t>Sip</t>
  </si>
  <si>
    <t xml:space="preserve">Puri Cikeas Indah No,11 Cibubur
Bogor</t>
  </si>
  <si>
    <t>D-138</t>
  </si>
  <si>
    <t>Djoni</t>
  </si>
  <si>
    <t>Gui</t>
  </si>
  <si>
    <t>Kondominium Taman Anggrek</t>
  </si>
  <si>
    <t>Tower 3 Unit 17E</t>
  </si>
  <si>
    <t>J-0806</t>
  </si>
  <si>
    <t>Djonnie</t>
  </si>
  <si>
    <t>Rahmat</t>
  </si>
  <si>
    <t>62811882007</t>
  </si>
  <si>
    <t>D-392</t>
  </si>
  <si>
    <t>Djuliana</t>
  </si>
  <si>
    <t>+628129956626</t>
  </si>
  <si>
    <t>Jl.Semangat Raya No.68A Komplek Ruko BJI Mangga Dua</t>
  </si>
  <si>
    <t>D-632</t>
  </si>
  <si>
    <t>Djulianto</t>
  </si>
  <si>
    <t>Ryadi</t>
  </si>
  <si>
    <t>ianryadi@gmail.com</t>
  </si>
  <si>
    <t xml:space="preserve">Jl. Layar Permai 4C No. 30 
Pantai Indah Kapuk</t>
  </si>
  <si>
    <t>D-1237</t>
  </si>
  <si>
    <t>Djulita</t>
  </si>
  <si>
    <t>Mariko</t>
  </si>
  <si>
    <t>62818157364</t>
  </si>
  <si>
    <t>Pondok Indah Residence</t>
  </si>
  <si>
    <t>D-142</t>
  </si>
  <si>
    <t>Djun</t>
  </si>
  <si>
    <t>Limit</t>
  </si>
  <si>
    <t>Jl. Griya Manikan Blok G No. 7</t>
  </si>
  <si>
    <t>Sunter Agung</t>
  </si>
  <si>
    <t>D-0652</t>
  </si>
  <si>
    <t>Djunaedi</t>
  </si>
  <si>
    <t>Hadiwidjaja</t>
  </si>
  <si>
    <t>D-1228</t>
  </si>
  <si>
    <t>Djuriatun</t>
  </si>
  <si>
    <t>D-004</t>
  </si>
  <si>
    <t>Dmity</t>
  </si>
  <si>
    <t>Privacow</t>
  </si>
  <si>
    <t>D-1289</t>
  </si>
  <si>
    <t>Alexandra Vladimirnova</t>
  </si>
  <si>
    <t>Dmitrieva</t>
  </si>
  <si>
    <t>0406@usa.com</t>
  </si>
  <si>
    <t>+971508050406</t>
  </si>
  <si>
    <t>D-1381</t>
  </si>
  <si>
    <t>Dmytro</t>
  </si>
  <si>
    <t>Chekhovskyi</t>
  </si>
  <si>
    <t>zaetsu.dc@gmail.com</t>
  </si>
  <si>
    <t>62811329329</t>
  </si>
  <si>
    <t>Casa Grande</t>
  </si>
  <si>
    <t>D-1355</t>
  </si>
  <si>
    <t>Do</t>
  </si>
  <si>
    <t>My Linh</t>
  </si>
  <si>
    <t>mylinhdo@gmail.com</t>
  </si>
  <si>
    <t>84972882016</t>
  </si>
  <si>
    <t>vietnam</t>
  </si>
  <si>
    <t>D-1359</t>
  </si>
  <si>
    <t>Maria De Lourdes Do Nascimento</t>
  </si>
  <si>
    <t>Magalhaes</t>
  </si>
  <si>
    <t>lumagalhaes123@icloud.com</t>
  </si>
  <si>
    <t>+5511989621429</t>
  </si>
  <si>
    <t>D-1131</t>
  </si>
  <si>
    <t>Dobson</t>
  </si>
  <si>
    <t>Eileen</t>
  </si>
  <si>
    <t>juliedobson@hotmail.com</t>
  </si>
  <si>
    <t>D-1344</t>
  </si>
  <si>
    <t>Michael Richard</t>
  </si>
  <si>
    <t>Dodd</t>
  </si>
  <si>
    <t>michael@aurumpacific.com.au</t>
  </si>
  <si>
    <t>61411885837</t>
  </si>
  <si>
    <t>D-1242</t>
  </si>
  <si>
    <t>James</t>
  </si>
  <si>
    <t>+61434278079</t>
  </si>
  <si>
    <t>D-0679</t>
  </si>
  <si>
    <t>Doddy</t>
  </si>
  <si>
    <t>628117872466</t>
  </si>
  <si>
    <t>D-0720</t>
  </si>
  <si>
    <t>D-1006</t>
  </si>
  <si>
    <t>Bahrudin</t>
  </si>
  <si>
    <t>Apartement taman Rasuna 1722A</t>
  </si>
  <si>
    <t>D-144</t>
  </si>
  <si>
    <t>75908253/0811834231</t>
  </si>
  <si>
    <t>Jl. Duta Indah III Blok TC No. 34</t>
  </si>
  <si>
    <t>D-495</t>
  </si>
  <si>
    <t>Hanggodo</t>
  </si>
  <si>
    <t>D-145</t>
  </si>
  <si>
    <t>Setyadi</t>
  </si>
  <si>
    <t>26th Fl. BRI II Bldg.</t>
  </si>
  <si>
    <t>Jl. Jend. Sudirman Kav. 42-46</t>
  </si>
  <si>
    <t>D-601</t>
  </si>
  <si>
    <t>D-261</t>
  </si>
  <si>
    <t>Dodi</t>
  </si>
  <si>
    <t>D-577</t>
  </si>
  <si>
    <t>D-1213</t>
  </si>
  <si>
    <t>D-1265</t>
  </si>
  <si>
    <t>Dody</t>
  </si>
  <si>
    <t>D-0982</t>
  </si>
  <si>
    <t>Tapi</t>
  </si>
  <si>
    <t>D-268</t>
  </si>
  <si>
    <t>Prawironegoro</t>
  </si>
  <si>
    <t>D-1221</t>
  </si>
  <si>
    <t>Doeh</t>
  </si>
  <si>
    <t>D-1366</t>
  </si>
  <si>
    <t>Dogmoch</t>
  </si>
  <si>
    <t>Dalia</t>
  </si>
  <si>
    <t>D-1004</t>
  </si>
  <si>
    <t>Dola</t>
  </si>
  <si>
    <t>D-1407</t>
  </si>
  <si>
    <t>Dolfiand</t>
  </si>
  <si>
    <t>dolfiand@icloud.com</t>
  </si>
  <si>
    <t>6281357773721</t>
  </si>
  <si>
    <t>D-552</t>
  </si>
  <si>
    <t>Doli</t>
  </si>
  <si>
    <t>D-0936</t>
  </si>
  <si>
    <t>Dolly</t>
  </si>
  <si>
    <t>D-1377</t>
  </si>
  <si>
    <t>Prameswari</t>
  </si>
  <si>
    <t>6281295271464</t>
  </si>
  <si>
    <t>D-1406</t>
  </si>
  <si>
    <t>Efize</t>
  </si>
  <si>
    <t>Tope Domingo</t>
  </si>
  <si>
    <t>efidomingo@gmail.com</t>
  </si>
  <si>
    <t>2347062642972</t>
  </si>
  <si>
    <t>D-147</t>
  </si>
  <si>
    <t>Dominic</t>
  </si>
  <si>
    <t>Pohacis</t>
  </si>
  <si>
    <t>Jl. Batu 1 No. 19</t>
  </si>
  <si>
    <t>Komp. Gang Arab, Ps. Minggu</t>
  </si>
  <si>
    <t>D-0935</t>
  </si>
  <si>
    <t>Domy</t>
  </si>
  <si>
    <t>D-531</t>
  </si>
  <si>
    <t>Dona</t>
  </si>
  <si>
    <t>Hasanah</t>
  </si>
  <si>
    <t>dhonnaona02@yahoo.com</t>
  </si>
  <si>
    <t>Perumahan Bogor Baru Blok D5 No. 18</t>
  </si>
  <si>
    <t>D-217</t>
  </si>
  <si>
    <t>D-388</t>
  </si>
  <si>
    <t>D-648</t>
  </si>
  <si>
    <t>Donald</t>
  </si>
  <si>
    <t>Apartment Ambassador 2 Lt.12 unit No.06</t>
  </si>
  <si>
    <t>D-148</t>
  </si>
  <si>
    <t>Donaldi</t>
  </si>
  <si>
    <t>Taman Kedoya Baru B 1/ No. 3</t>
  </si>
  <si>
    <t>D-1231</t>
  </si>
  <si>
    <t>Donella</t>
  </si>
  <si>
    <t>Obordo</t>
  </si>
  <si>
    <t>db.obordo@gmail.com</t>
  </si>
  <si>
    <t>D-1310</t>
  </si>
  <si>
    <t>Dong</t>
  </si>
  <si>
    <t>Dandan</t>
  </si>
  <si>
    <t>+8618257812979</t>
  </si>
  <si>
    <t>D-0666</t>
  </si>
  <si>
    <t>He</t>
  </si>
  <si>
    <t>D-1309</t>
  </si>
  <si>
    <t>Dong Eun</t>
  </si>
  <si>
    <t>Oh</t>
  </si>
  <si>
    <t>eunyjin@gmail.com</t>
  </si>
  <si>
    <t>821055830003</t>
  </si>
  <si>
    <t>D-1256</t>
  </si>
  <si>
    <t>Hua</t>
  </si>
  <si>
    <t>6282122229998</t>
  </si>
  <si>
    <t>D-1154</t>
  </si>
  <si>
    <t>D-0983</t>
  </si>
  <si>
    <t>Shon</t>
  </si>
  <si>
    <t>D-0706</t>
  </si>
  <si>
    <t>kim</t>
  </si>
  <si>
    <t>D-1227</t>
  </si>
  <si>
    <t>Dong,</t>
  </si>
  <si>
    <t>BEIJING</t>
  </si>
  <si>
    <t>D-1086</t>
  </si>
  <si>
    <t>Donggyu</t>
  </si>
  <si>
    <t>6281289398938</t>
  </si>
  <si>
    <t>D-1391</t>
  </si>
  <si>
    <t>Dongxiu</t>
  </si>
  <si>
    <t>dong.xiu0805@163.com</t>
  </si>
  <si>
    <t>6281210808951</t>
  </si>
  <si>
    <t>M-1219</t>
  </si>
  <si>
    <t>Doni</t>
  </si>
  <si>
    <t>D-0738</t>
  </si>
  <si>
    <t>epicentrum apartement tower 14 lt 6 unit B</t>
  </si>
  <si>
    <t>D-1082</t>
  </si>
  <si>
    <t>Jl N A Perintis LK II</t>
  </si>
  <si>
    <t>D-1277</t>
  </si>
  <si>
    <t>Rinaldy</t>
  </si>
  <si>
    <t>D-1382</t>
  </si>
  <si>
    <t>Donisyah</t>
  </si>
  <si>
    <t>Yudistika</t>
  </si>
  <si>
    <t>628159545000</t>
  </si>
  <si>
    <t>D-1294</t>
  </si>
  <si>
    <t>Donna</t>
  </si>
  <si>
    <t>Emilia</t>
  </si>
  <si>
    <t>+628159162092</t>
  </si>
  <si>
    <t>Jl.Cabe Rawit I/15, RawaBuaya</t>
  </si>
  <si>
    <t>D-478</t>
  </si>
  <si>
    <t>faroek</t>
  </si>
  <si>
    <t>D-642</t>
  </si>
  <si>
    <t>D-633</t>
  </si>
  <si>
    <t>Liauw</t>
  </si>
  <si>
    <t>D-550</t>
  </si>
  <si>
    <t>Donni</t>
  </si>
  <si>
    <t>D-464</t>
  </si>
  <si>
    <t>Prananto</t>
  </si>
  <si>
    <t xml:space="preserve">Jl.Pekayon 1 no.3 Town House CASSEA KAV 10
Pejaten Barat
Jakarta Selatan</t>
  </si>
  <si>
    <t>D-239</t>
  </si>
  <si>
    <t>prananto@yahoo.com</t>
  </si>
  <si>
    <t xml:space="preserve">Jl. Pekayon 1 no 3 Town house Cassea Kav 10 
Pejaten Barat</t>
  </si>
  <si>
    <t>D-1111</t>
  </si>
  <si>
    <t>Donny</t>
  </si>
  <si>
    <t>D-0732</t>
  </si>
  <si>
    <t>D-0987</t>
  </si>
  <si>
    <t>D-0769</t>
  </si>
  <si>
    <t>Priambodo</t>
  </si>
  <si>
    <t>terusan rasuna said 20 jak-sel 12710</t>
  </si>
  <si>
    <t>D-1113</t>
  </si>
  <si>
    <t>Pringadi</t>
  </si>
  <si>
    <t>D-0911</t>
  </si>
  <si>
    <t>Dony</t>
  </si>
  <si>
    <t>D-1336</t>
  </si>
  <si>
    <t>628124888891</t>
  </si>
  <si>
    <t>D-0912</t>
  </si>
  <si>
    <t>D-150</t>
  </si>
  <si>
    <t>Dony.M.Oekon</t>
  </si>
  <si>
    <t>JL. TB. Simatupang No.19</t>
  </si>
  <si>
    <t>D-0963</t>
  </si>
  <si>
    <t>Dora</t>
  </si>
  <si>
    <t>D-151</t>
  </si>
  <si>
    <t>Ismiarso</t>
  </si>
  <si>
    <t>Jl. Kebon Nanas II/9</t>
  </si>
  <si>
    <t>D-1365</t>
  </si>
  <si>
    <t>John David</t>
  </si>
  <si>
    <t>Dorchak</t>
  </si>
  <si>
    <t>jdorchak59@gmail.com</t>
  </si>
  <si>
    <t>+17063158068</t>
  </si>
  <si>
    <t>D-526</t>
  </si>
  <si>
    <t>Dorene</t>
  </si>
  <si>
    <t>Jong</t>
  </si>
  <si>
    <t xml:space="preserve">Mediterania Boulevard florence 5/62 
Pantai Indah kapuk</t>
  </si>
  <si>
    <t>D-1339</t>
  </si>
  <si>
    <t>Doris</t>
  </si>
  <si>
    <t>Lai</t>
  </si>
  <si>
    <t>628121049931</t>
  </si>
  <si>
    <t>D-152</t>
  </si>
  <si>
    <t>Dorothea</t>
  </si>
  <si>
    <t>Samola</t>
  </si>
  <si>
    <t>D-1216</t>
  </si>
  <si>
    <t>Douglas</t>
  </si>
  <si>
    <t>Liagian</t>
  </si>
  <si>
    <t>douglasrinaldsiagian@gmail.com</t>
  </si>
  <si>
    <t>D-0976</t>
  </si>
  <si>
    <t>Simamora</t>
  </si>
  <si>
    <t>628160207002</t>
  </si>
  <si>
    <t>D-1150</t>
  </si>
  <si>
    <t>Doyle</t>
  </si>
  <si>
    <t>John</t>
  </si>
  <si>
    <t>D-1187</t>
  </si>
  <si>
    <t>Badali</t>
  </si>
  <si>
    <t>Eduard</t>
  </si>
  <si>
    <t>DEUTSCH</t>
  </si>
  <si>
    <t>D-1083</t>
  </si>
  <si>
    <t>Prianto</t>
  </si>
  <si>
    <t>Aritonang</t>
  </si>
  <si>
    <t>6281213563272</t>
  </si>
  <si>
    <t>D-0856</t>
  </si>
  <si>
    <t>Vita</t>
  </si>
  <si>
    <t>andriani.vita@yahoo.com</t>
  </si>
  <si>
    <t>Kota Wisata</t>
  </si>
  <si>
    <t>D-0954</t>
  </si>
  <si>
    <t>Dr.</t>
  </si>
  <si>
    <t>D-1023</t>
  </si>
  <si>
    <t>Anggana</t>
  </si>
  <si>
    <t>D-1220</t>
  </si>
  <si>
    <t>M.E.A</t>
  </si>
  <si>
    <t>Jl. Kayu Putih III A/16, Pulo Gadung, Jakarta Timur</t>
  </si>
  <si>
    <t>D-1331</t>
  </si>
  <si>
    <t>Dr. Fransisca</t>
  </si>
  <si>
    <t>Nadya Santoso</t>
  </si>
  <si>
    <t>fnssantoso@gmail.com</t>
  </si>
  <si>
    <t>6282173718989</t>
  </si>
  <si>
    <t>Batam</t>
  </si>
  <si>
    <t>D-1226</t>
  </si>
  <si>
    <t>Jusoh</t>
  </si>
  <si>
    <t>Casa Setia No. 13</t>
  </si>
  <si>
    <t>Shah Alam</t>
  </si>
  <si>
    <t>D-1386</t>
  </si>
  <si>
    <t>DR. Li-Thomalla</t>
  </si>
  <si>
    <t>honglid@hotmail.com</t>
  </si>
  <si>
    <t>+491772558908</t>
  </si>
  <si>
    <t>D-453</t>
  </si>
  <si>
    <t>Bachrun</t>
  </si>
  <si>
    <t>D-1117</t>
  </si>
  <si>
    <t>DR.</t>
  </si>
  <si>
    <t>Yesiana</t>
  </si>
  <si>
    <t xml:space="preserve">Perum Mojoroto Indah 1-18 
Kediri Kota</t>
  </si>
  <si>
    <t>D-1170</t>
  </si>
  <si>
    <t>Prihutama</t>
  </si>
  <si>
    <t>rianyoshua@gmail.com</t>
  </si>
  <si>
    <t>Jl. Tumpang IX / 7</t>
  </si>
  <si>
    <t>D-0870</t>
  </si>
  <si>
    <t>D-1059</t>
  </si>
  <si>
    <t>Suarman</t>
  </si>
  <si>
    <t>D-1069</t>
  </si>
  <si>
    <t>Radjak</t>
  </si>
  <si>
    <t xml:space="preserve">Jl. Kayu Putih Utara No.7, 
Jakarta Timur</t>
  </si>
  <si>
    <t>D-155</t>
  </si>
  <si>
    <t>Masdulhak Garden No.38</t>
  </si>
  <si>
    <t>D-513</t>
  </si>
  <si>
    <t>Dr.Eva</t>
  </si>
  <si>
    <t>Yuzaifa</t>
  </si>
  <si>
    <t>dreva01@gmail.com</t>
  </si>
  <si>
    <t>Jalan Prapanca buntu no.119B</t>
  </si>
  <si>
    <t>D-1371</t>
  </si>
  <si>
    <t>Faida</t>
  </si>
  <si>
    <t>Bin Thalib</t>
  </si>
  <si>
    <t>+6281559988999</t>
  </si>
  <si>
    <t>D-509</t>
  </si>
  <si>
    <t>Dr.Jonny</t>
  </si>
  <si>
    <t>D-0743</t>
  </si>
  <si>
    <t>Dr.Soliman</t>
  </si>
  <si>
    <t>Guingis</t>
  </si>
  <si>
    <t>D-1140</t>
  </si>
  <si>
    <t>Thorausch</t>
  </si>
  <si>
    <t>Kurt</t>
  </si>
  <si>
    <t>D-1269</t>
  </si>
  <si>
    <t>Drean</t>
  </si>
  <si>
    <t>Binu</t>
  </si>
  <si>
    <t>Apartment SCBD Suites #10D</t>
  </si>
  <si>
    <t>D-1330</t>
  </si>
  <si>
    <t>Drg</t>
  </si>
  <si>
    <t>Berliana</t>
  </si>
  <si>
    <t>D-0800</t>
  </si>
  <si>
    <t>Drg.</t>
  </si>
  <si>
    <t>SH,M</t>
  </si>
  <si>
    <t xml:space="preserve">Jl. Dewi Sartika No 14  007/007
Cililitan Kramat Jati</t>
  </si>
  <si>
    <t>D-634</t>
  </si>
  <si>
    <t>Drs</t>
  </si>
  <si>
    <t>Suriansyah</t>
  </si>
  <si>
    <t>D-517</t>
  </si>
  <si>
    <t>Sianturi</t>
  </si>
  <si>
    <t xml:space="preserve">Pomdok Pekayon Indah 
Jl. Elang VI 
Blok B5 14 Kel Pekayon Jaya</t>
  </si>
  <si>
    <t>D-385</t>
  </si>
  <si>
    <t>Drs.Dagiadha</t>
  </si>
  <si>
    <t>D-1333</t>
  </si>
  <si>
    <t>Veronika</t>
  </si>
  <si>
    <t>Druzhishcheva</t>
  </si>
  <si>
    <t>veronika.dru@gmail.com</t>
  </si>
  <si>
    <t>79213297956</t>
  </si>
  <si>
    <t>D-0921</t>
  </si>
  <si>
    <t>DTH</t>
  </si>
  <si>
    <t>Nainggolan</t>
  </si>
  <si>
    <t>D-0766</t>
  </si>
  <si>
    <t>Du</t>
  </si>
  <si>
    <t>D-1144</t>
  </si>
  <si>
    <t>Rene</t>
  </si>
  <si>
    <t>D-1416</t>
  </si>
  <si>
    <t>Duan Fu Zhong</t>
  </si>
  <si>
    <t>Zhong</t>
  </si>
  <si>
    <t>ale466236@gmail.com</t>
  </si>
  <si>
    <t>+9515368616016</t>
  </si>
  <si>
    <t>Myanmar</t>
  </si>
  <si>
    <t>D-1293</t>
  </si>
  <si>
    <t>Duan</t>
  </si>
  <si>
    <t>Yihan</t>
  </si>
  <si>
    <t>cantaguayi@126.com</t>
  </si>
  <si>
    <t>+8615604819999</t>
  </si>
  <si>
    <t>Beijing - China</t>
  </si>
  <si>
    <t>D-1245</t>
  </si>
  <si>
    <t>Duck</t>
  </si>
  <si>
    <t>djqq.choi@gmail.com</t>
  </si>
  <si>
    <t>Pakubowono Spring Jakarta C52A</t>
  </si>
  <si>
    <t>D-1351</t>
  </si>
  <si>
    <t>Dudhie</t>
  </si>
  <si>
    <t>Murod</t>
  </si>
  <si>
    <t>D-1192</t>
  </si>
  <si>
    <t>Dudung</t>
  </si>
  <si>
    <t>D-0695</t>
  </si>
  <si>
    <t>Dudy</t>
  </si>
  <si>
    <t>Purwagandhi</t>
  </si>
  <si>
    <t>D-1290</t>
  </si>
  <si>
    <t>Laurent,Joseph</t>
  </si>
  <si>
    <t>Dumasdelage</t>
  </si>
  <si>
    <t>laurent.dumasdelage@orange.fc</t>
  </si>
  <si>
    <t>+33613957435</t>
  </si>
  <si>
    <t>france</t>
  </si>
  <si>
    <t>France</t>
  </si>
  <si>
    <t>D-195</t>
  </si>
  <si>
    <t>Dumawati</t>
  </si>
  <si>
    <t>Jl. Cigadung Selatan 9</t>
  </si>
  <si>
    <t>D-1327</t>
  </si>
  <si>
    <t>Dummy</t>
  </si>
  <si>
    <t>D-1312</t>
  </si>
  <si>
    <t>Ducan</t>
  </si>
  <si>
    <t>Darcie Kay</t>
  </si>
  <si>
    <t>darcie@teamduncan.com</t>
  </si>
  <si>
    <t>19417251589</t>
  </si>
  <si>
    <t>D-0703</t>
  </si>
  <si>
    <t>Dunya</t>
  </si>
  <si>
    <t>Mugijanto</t>
  </si>
  <si>
    <t>628161945405</t>
  </si>
  <si>
    <t>D-405</t>
  </si>
  <si>
    <t>Affan</t>
  </si>
  <si>
    <t>D-1376</t>
  </si>
  <si>
    <t>Duran</t>
  </si>
  <si>
    <t>+6285179718169</t>
  </si>
  <si>
    <t>D-1270</t>
  </si>
  <si>
    <t>Duta</t>
  </si>
  <si>
    <t>D-0719</t>
  </si>
  <si>
    <t>Dwi</t>
  </si>
  <si>
    <t>D-156</t>
  </si>
  <si>
    <t>Jl. Janur Elok VI</t>
  </si>
  <si>
    <t>D-203</t>
  </si>
  <si>
    <t xml:space="preserve">Garden II No.05
Perum Kedoya Garden
Kebon Jeruk 11610</t>
  </si>
  <si>
    <t>D-1342</t>
  </si>
  <si>
    <t>Dwi aprilia isma</t>
  </si>
  <si>
    <t>Rahmadhawaty</t>
  </si>
  <si>
    <t>628119112119</t>
  </si>
  <si>
    <t>D-1009</t>
  </si>
  <si>
    <t>Asruri</t>
  </si>
  <si>
    <t>D-1102</t>
  </si>
  <si>
    <t>Binpuan Sera</t>
  </si>
  <si>
    <t>6282225439409</t>
  </si>
  <si>
    <t>Kebon Kacang 20 No 40 Jakarta</t>
  </si>
  <si>
    <t>D-1062</t>
  </si>
  <si>
    <t>D</t>
  </si>
  <si>
    <t>D-1347</t>
  </si>
  <si>
    <t>Handa</t>
  </si>
  <si>
    <t>6282298443000</t>
  </si>
  <si>
    <t>D-603</t>
  </si>
  <si>
    <t>D-1137</t>
  </si>
  <si>
    <t>D-1013</t>
  </si>
  <si>
    <t>Indah</t>
  </si>
  <si>
    <t>6281992727279</t>
  </si>
  <si>
    <t>B-0388</t>
  </si>
  <si>
    <t>D-0873</t>
  </si>
  <si>
    <t>+6287777500699</t>
  </si>
  <si>
    <t>D-0692</t>
  </si>
  <si>
    <t>D-1152</t>
  </si>
  <si>
    <t>6281188876759</t>
  </si>
  <si>
    <t>D-196</t>
  </si>
  <si>
    <t>Koryanto</t>
  </si>
  <si>
    <t>D-0782</t>
  </si>
  <si>
    <t>Permadi</t>
  </si>
  <si>
    <t>D-157</t>
  </si>
  <si>
    <t>Prastoeti</t>
  </si>
  <si>
    <t>D-1037</t>
  </si>
  <si>
    <t>628114600789</t>
  </si>
  <si>
    <t>D-0958</t>
  </si>
  <si>
    <t>Ratna</t>
  </si>
  <si>
    <t>62813105555360</t>
  </si>
  <si>
    <t xml:space="preserve">Gading V BLok D 16 
VillLa Permata Gading , KeLapa gading
Jakarta utara</t>
  </si>
  <si>
    <t>D-0705</t>
  </si>
  <si>
    <t>Safarina</t>
  </si>
  <si>
    <t>62811991526</t>
  </si>
  <si>
    <t xml:space="preserve">Jl.Daksa I No.2 Unit B1-1
Keb.Baru
Birthday 15.06</t>
  </si>
  <si>
    <t>D-616</t>
  </si>
  <si>
    <t>Jl HR Said Kav B1 Wisma Bakrie 1 Lt 3</t>
  </si>
  <si>
    <t>D-1260</t>
  </si>
  <si>
    <t>Suherriyadi</t>
  </si>
  <si>
    <t>D-1208</t>
  </si>
  <si>
    <t>Vianasari</t>
  </si>
  <si>
    <t>Denpasar Residence Tower Kintamani Lt.26 Jaksel</t>
  </si>
  <si>
    <t>D-1399</t>
  </si>
  <si>
    <t>Dwi Wahyuni</t>
  </si>
  <si>
    <t>Djero</t>
  </si>
  <si>
    <t>6281237726699</t>
  </si>
  <si>
    <t>D-1098</t>
  </si>
  <si>
    <t>Dwiasi</t>
  </si>
  <si>
    <t>Wiyatputera</t>
  </si>
  <si>
    <t>D-615</t>
  </si>
  <si>
    <t>Dwie</t>
  </si>
  <si>
    <t>D-1130</t>
  </si>
  <si>
    <t>Dwinta</t>
  </si>
  <si>
    <t xml:space="preserve">Perum Taman Sari Bukit Bandung
Jl Mahameru 4, Blok 11 no.13, Mandalajati</t>
  </si>
  <si>
    <t>D-1299</t>
  </si>
  <si>
    <t>Dwinta Septania</t>
  </si>
  <si>
    <t>6287883836767</t>
  </si>
  <si>
    <t>Jl. Pantai Mutiara Blok 2H7</t>
  </si>
  <si>
    <t>D-1071</t>
  </si>
  <si>
    <t>Dwitha</t>
  </si>
  <si>
    <t>riskyana</t>
  </si>
  <si>
    <t>D-1300</t>
  </si>
  <si>
    <t>Dwiwati</t>
  </si>
  <si>
    <t>+6281282751469</t>
  </si>
  <si>
    <t>Komp. Griya Metropolitan B3/17, Bekasi</t>
  </si>
  <si>
    <t>D-1091</t>
  </si>
  <si>
    <t>Dyah</t>
  </si>
  <si>
    <t>D-0888</t>
  </si>
  <si>
    <t>D-561</t>
  </si>
  <si>
    <t>Indrastuti</t>
  </si>
  <si>
    <t>62811911767</t>
  </si>
  <si>
    <t>D-510</t>
  </si>
  <si>
    <t>Indrawati</t>
  </si>
  <si>
    <t>Jl. Suralaya X11 No 15</t>
  </si>
  <si>
    <t>BANDUNG</t>
  </si>
  <si>
    <t>D-0700</t>
  </si>
  <si>
    <t>Madya</t>
  </si>
  <si>
    <t>D-233</t>
  </si>
  <si>
    <t>Mayastuti</t>
  </si>
  <si>
    <t xml:space="preserve">Cempaka 2/20 Ciputat
Tangerang</t>
  </si>
  <si>
    <t>D-0980</t>
  </si>
  <si>
    <t>Prastyorini</t>
  </si>
  <si>
    <t>6281102423</t>
  </si>
  <si>
    <t>D-420</t>
  </si>
  <si>
    <t>Kardiningsih</t>
  </si>
  <si>
    <t>D-009</t>
  </si>
  <si>
    <t>Riaswati</t>
  </si>
  <si>
    <t>Jl.Batu Indah III No.38 Bandung</t>
  </si>
  <si>
    <t>D-1212</t>
  </si>
  <si>
    <t>Shintawati</t>
  </si>
  <si>
    <t>+81804275000</t>
  </si>
  <si>
    <t>CASA GOYA RESIDENCE BLOK K NO,9</t>
  </si>
  <si>
    <t>D-1156</t>
  </si>
  <si>
    <t>M-1351</t>
  </si>
  <si>
    <t>Dyah.</t>
  </si>
  <si>
    <t>D-440</t>
  </si>
  <si>
    <t>Dyemi</t>
  </si>
  <si>
    <t>Nayoan</t>
  </si>
  <si>
    <t>D-0961</t>
  </si>
  <si>
    <t>Dylan</t>
  </si>
  <si>
    <t>Jl. Surya Timur A/12A</t>
  </si>
  <si>
    <t>D-1074</t>
  </si>
  <si>
    <t>Ross</t>
  </si>
  <si>
    <t>D-0759</t>
  </si>
  <si>
    <t>Dymas</t>
  </si>
  <si>
    <t>Satrioprojo</t>
  </si>
  <si>
    <t xml:space="preserve">BSD Kecana Loka
Jln Tiara Kencana H2 No.11</t>
  </si>
  <si>
    <t>D-160</t>
  </si>
  <si>
    <t>Dyna</t>
  </si>
  <si>
    <t>Grant</t>
  </si>
  <si>
    <t>Jl. Kebagusan I No. 1 Kav. A2</t>
  </si>
  <si>
    <t>Ps. Minggu</t>
  </si>
  <si>
    <t>D-0955</t>
  </si>
  <si>
    <t>Dyni</t>
  </si>
  <si>
    <t>D-161</t>
  </si>
  <si>
    <t>Dynno</t>
  </si>
  <si>
    <t>D-0847</t>
  </si>
  <si>
    <t>Dzaky</t>
  </si>
  <si>
    <t>D-414</t>
  </si>
  <si>
    <t>Dzulkarnain</t>
  </si>
  <si>
    <t>E-0670</t>
  </si>
  <si>
    <t>E.</t>
  </si>
  <si>
    <t>Hasmi</t>
  </si>
  <si>
    <t>E-086</t>
  </si>
  <si>
    <t>E.P.Tumpal</t>
  </si>
  <si>
    <t>(0761) 23759</t>
  </si>
  <si>
    <t>JL.KH.Ahmad Dahlan No.50 Riau</t>
  </si>
  <si>
    <t>Pekanbaru ( riau )</t>
  </si>
  <si>
    <t>E-0908</t>
  </si>
  <si>
    <t>Eacy Agnes</t>
  </si>
  <si>
    <t>Wongso Sihono</t>
  </si>
  <si>
    <t>eacy8120@gmail.com</t>
  </si>
  <si>
    <t>628118701856</t>
  </si>
  <si>
    <t>Crown Golf Mansion2/8</t>
  </si>
  <si>
    <t>E-288</t>
  </si>
  <si>
    <t>Echa</t>
  </si>
  <si>
    <t>E-386</t>
  </si>
  <si>
    <t>Kemang Village Residence, #2906</t>
  </si>
  <si>
    <t>E-0875</t>
  </si>
  <si>
    <t>Pramezwari</t>
  </si>
  <si>
    <t>0811880404</t>
  </si>
  <si>
    <t>E-0825</t>
  </si>
  <si>
    <t>Echevvery</t>
  </si>
  <si>
    <t>E-156</t>
  </si>
  <si>
    <t>Echi</t>
  </si>
  <si>
    <t>E-0757</t>
  </si>
  <si>
    <t>Echo</t>
  </si>
  <si>
    <t>E-0784</t>
  </si>
  <si>
    <t>Ecotrisno</t>
  </si>
  <si>
    <t>ecotrisno@gmail.com</t>
  </si>
  <si>
    <t>E-138</t>
  </si>
  <si>
    <t>Eda</t>
  </si>
  <si>
    <t xml:space="preserve">Jl. Daksa I no.9 RT4/2
Kebayoran Baru
Jakarta Selatan</t>
  </si>
  <si>
    <t>E-0596</t>
  </si>
  <si>
    <t>Eddi</t>
  </si>
  <si>
    <t>E-315</t>
  </si>
  <si>
    <t>Eddie</t>
  </si>
  <si>
    <t>eddiewdjauhari@yahoo.com</t>
  </si>
  <si>
    <t>E-0629</t>
  </si>
  <si>
    <t>Eddie.R.Soeriaatmadja</t>
  </si>
  <si>
    <t>E-275</t>
  </si>
  <si>
    <t>Eddrian</t>
  </si>
  <si>
    <t>Tjhia</t>
  </si>
  <si>
    <t>eddriantjhia@yahoo.com</t>
  </si>
  <si>
    <t>628119930778</t>
  </si>
  <si>
    <t>MEDITERANIA GAJAH MADA RESIDENCE TOWER BETA 0615 BETA</t>
  </si>
  <si>
    <t>E-008</t>
  </si>
  <si>
    <t>Eddy</t>
  </si>
  <si>
    <t>E-0882</t>
  </si>
  <si>
    <t>+628121199494</t>
  </si>
  <si>
    <t>E-0583</t>
  </si>
  <si>
    <t>Eddy Allan</t>
  </si>
  <si>
    <t>+6281338408941</t>
  </si>
  <si>
    <t>E-250</t>
  </si>
  <si>
    <t>eddybetty@ymail.com</t>
  </si>
  <si>
    <t xml:space="preserve">Jl.Taman Radio Dalam V No.14
Jakarta Selatan 12140</t>
  </si>
  <si>
    <t>E-264</t>
  </si>
  <si>
    <t>Kawasan pergudangan taman tekno blok k3 no.41</t>
  </si>
  <si>
    <t>serpong</t>
  </si>
  <si>
    <t>E-218</t>
  </si>
  <si>
    <t>Chatib</t>
  </si>
  <si>
    <t>E-0723</t>
  </si>
  <si>
    <t>egiorange@yahoo.com</t>
  </si>
  <si>
    <t>E-137</t>
  </si>
  <si>
    <t>Kemang, Jakarta Selatan</t>
  </si>
  <si>
    <t>E-241</t>
  </si>
  <si>
    <t>Harjono</t>
  </si>
  <si>
    <t>+628170012345</t>
  </si>
  <si>
    <t>E-007</t>
  </si>
  <si>
    <t>Perum. Citra Garden 3</t>
  </si>
  <si>
    <t>Blok C-10 No. 8B</t>
  </si>
  <si>
    <t>E-168</t>
  </si>
  <si>
    <t xml:space="preserve">Taman Kebon Jeruk No.10 A
Meruya Ilir
Jakarta Barat</t>
  </si>
  <si>
    <t>E-0755</t>
  </si>
  <si>
    <t>Phou</t>
  </si>
  <si>
    <t>Eddysanjaya57@gmail.com</t>
  </si>
  <si>
    <t>Taman Duta Mas Blok A2 No.11</t>
  </si>
  <si>
    <t>E-0479</t>
  </si>
  <si>
    <t>Suhero</t>
  </si>
  <si>
    <t>E-335</t>
  </si>
  <si>
    <t>E-0651</t>
  </si>
  <si>
    <t>62811158999</t>
  </si>
  <si>
    <t>E-0449</t>
  </si>
  <si>
    <t>eddytanamal.widjaja@yahoo.com</t>
  </si>
  <si>
    <t>Wisma Argo Manunggal</t>
  </si>
  <si>
    <t>E-0626</t>
  </si>
  <si>
    <t>Tjahyadi</t>
  </si>
  <si>
    <t>E-270</t>
  </si>
  <si>
    <t>E-0904</t>
  </si>
  <si>
    <t>Eden</t>
  </si>
  <si>
    <t>Jayadi</t>
  </si>
  <si>
    <t>62818681819</t>
  </si>
  <si>
    <t>E-0813</t>
  </si>
  <si>
    <t>Edgina</t>
  </si>
  <si>
    <t>E-246</t>
  </si>
  <si>
    <t>Edi</t>
  </si>
  <si>
    <t>Djan</t>
  </si>
  <si>
    <t>E-014</t>
  </si>
  <si>
    <t>KLurniawan</t>
  </si>
  <si>
    <t>E-0499</t>
  </si>
  <si>
    <t>bday 3-4-1964</t>
  </si>
  <si>
    <t>E-170</t>
  </si>
  <si>
    <t>Prahmatika</t>
  </si>
  <si>
    <t>E-0888</t>
  </si>
  <si>
    <t>6281285525220</t>
  </si>
  <si>
    <t>E-0901</t>
  </si>
  <si>
    <t>Putri Sugito</t>
  </si>
  <si>
    <t>ediputri@gmail.com</t>
  </si>
  <si>
    <t>+6287740153392</t>
  </si>
  <si>
    <t>D.I Panjaitan Kav 11 Jakarta</t>
  </si>
  <si>
    <t>E-0780</t>
  </si>
  <si>
    <t>+6287838881666</t>
  </si>
  <si>
    <t xml:space="preserve">GADING SERPONG CLUSTER EDISON TIMUR 7 NO.3
TANGERANG SELATAN - BANTEN
</t>
  </si>
  <si>
    <t>E-0926</t>
  </si>
  <si>
    <t>Satriadi</t>
  </si>
  <si>
    <t>6281382400223</t>
  </si>
  <si>
    <t>E-329</t>
  </si>
  <si>
    <t>Sulaiman</t>
  </si>
  <si>
    <t>E-016</t>
  </si>
  <si>
    <t>E-013</t>
  </si>
  <si>
    <t>Edijanto</t>
  </si>
  <si>
    <t>(SURABAYA)</t>
  </si>
  <si>
    <t>Puri Matahari Apt. #1707</t>
  </si>
  <si>
    <t>E-0765</t>
  </si>
  <si>
    <t>Edison</t>
  </si>
  <si>
    <t>E-0785</t>
  </si>
  <si>
    <t>Pantai Mutiara Block U no.6</t>
  </si>
  <si>
    <t>E-0572</t>
  </si>
  <si>
    <t>Edith</t>
  </si>
  <si>
    <t>Kusumo</t>
  </si>
  <si>
    <t>E-0463</t>
  </si>
  <si>
    <t>Rosmayati</t>
  </si>
  <si>
    <t>E-435</t>
  </si>
  <si>
    <t>Ediwarna</t>
  </si>
  <si>
    <t>Giriloka II Blok D-22, BSD</t>
  </si>
  <si>
    <t>E-342</t>
  </si>
  <si>
    <t>Edmond</t>
  </si>
  <si>
    <t>E-0489</t>
  </si>
  <si>
    <t>Edmont</t>
  </si>
  <si>
    <t>edmont_ho@yahoo.com</t>
  </si>
  <si>
    <t>E-309</t>
  </si>
  <si>
    <t>Edmund</t>
  </si>
  <si>
    <t>Darmo Harapan III EG12</t>
  </si>
  <si>
    <t>E-0869</t>
  </si>
  <si>
    <t>Edo</t>
  </si>
  <si>
    <t>edotwinsng@gmail.com</t>
  </si>
  <si>
    <t>0811188869</t>
  </si>
  <si>
    <t>Ancol Mansion Town House</t>
  </si>
  <si>
    <t>E-0774</t>
  </si>
  <si>
    <t>Edo Soetan</t>
  </si>
  <si>
    <t>Moeis</t>
  </si>
  <si>
    <t>6281335522168</t>
  </si>
  <si>
    <t>Taman Angrek Residence</t>
  </si>
  <si>
    <t>E-0967</t>
  </si>
  <si>
    <t>6281351529903</t>
  </si>
  <si>
    <t>E-0927</t>
  </si>
  <si>
    <t>Edoardus</t>
  </si>
  <si>
    <t>ewindoe@yahoo.com</t>
  </si>
  <si>
    <t>+628170050907</t>
  </si>
  <si>
    <t>Jl. Cibitung I/3 Jakarta</t>
  </si>
  <si>
    <t>E-0712</t>
  </si>
  <si>
    <t>Edriic</t>
  </si>
  <si>
    <t>E-0853</t>
  </si>
  <si>
    <t>Edu</t>
  </si>
  <si>
    <t>edu.puza@gmail.com</t>
  </si>
  <si>
    <t>LAVENUE APARTEMEN S 190</t>
  </si>
  <si>
    <t>E-0730</t>
  </si>
  <si>
    <t>Edward</t>
  </si>
  <si>
    <t>E-0442</t>
  </si>
  <si>
    <t>edwardang1903@gmail.com</t>
  </si>
  <si>
    <t>E-0693</t>
  </si>
  <si>
    <t>Bark</t>
  </si>
  <si>
    <t>E-395</t>
  </si>
  <si>
    <t>Subiakto</t>
  </si>
  <si>
    <t>Jl. Kemang Selatan Raya No.8</t>
  </si>
  <si>
    <t>E-0771</t>
  </si>
  <si>
    <t>E-0840</t>
  </si>
  <si>
    <t>Surya Utama Blk V/17 Jakarta Barat</t>
  </si>
  <si>
    <t>E-234</t>
  </si>
  <si>
    <t>Jalan H. Agus Salim No. 72, Menteng, Jakarta Pusat, 10350</t>
  </si>
  <si>
    <t>E-020</t>
  </si>
  <si>
    <t>Lontoh</t>
  </si>
  <si>
    <t>Jl. HOS Cokroaminoto 47</t>
  </si>
  <si>
    <t>E-0615</t>
  </si>
  <si>
    <t>Pinisi Permai 2 No. p Pantai Indah Kapuk</t>
  </si>
  <si>
    <t>E-0859</t>
  </si>
  <si>
    <t>Zo</t>
  </si>
  <si>
    <t>eycprodco7@gmail.com</t>
  </si>
  <si>
    <t>15107898841</t>
  </si>
  <si>
    <t>E-022</t>
  </si>
  <si>
    <t>Edwin</t>
  </si>
  <si>
    <t>Jl. Tanah Mas II Blok H No. 77</t>
  </si>
  <si>
    <t>E-353</t>
  </si>
  <si>
    <t>E-0864</t>
  </si>
  <si>
    <t>Adhiprakasha</t>
  </si>
  <si>
    <t>JL,BIDURI BULAN 1 J2/20 - PERMATA HIJAU</t>
  </si>
  <si>
    <t>E-339</t>
  </si>
  <si>
    <t>Aprihandono</t>
  </si>
  <si>
    <t>aprihandono@gmail.com</t>
  </si>
  <si>
    <t xml:space="preserve">Komplek DPR RI Blok C4 No 242
Kalibata</t>
  </si>
  <si>
    <t>E-0476</t>
  </si>
  <si>
    <t>E-0810</t>
  </si>
  <si>
    <t>Limantara</t>
  </si>
  <si>
    <t>E-0679</t>
  </si>
  <si>
    <t>Rival</t>
  </si>
  <si>
    <t>E-0734</t>
  </si>
  <si>
    <t>Shabriy</t>
  </si>
  <si>
    <t>edwinshabriy@gmail.com</t>
  </si>
  <si>
    <t>THE ORCHAD SUMMARECON - BEKASI</t>
  </si>
  <si>
    <t>E-0708</t>
  </si>
  <si>
    <t>Tanbowi</t>
  </si>
  <si>
    <t>E-423</t>
  </si>
  <si>
    <t>Tanihaha</t>
  </si>
  <si>
    <t>E-0832</t>
  </si>
  <si>
    <t>Tedja</t>
  </si>
  <si>
    <t xml:space="preserve">PURI BOTANICAL RESIDENCE G1/18
JAKARTA 11640</t>
  </si>
  <si>
    <t>E-0861</t>
  </si>
  <si>
    <t>Edwina</t>
  </si>
  <si>
    <t>Chairmanda</t>
  </si>
  <si>
    <t>62859106973262</t>
  </si>
  <si>
    <t>Taman Palem Lestari A18/1</t>
  </si>
  <si>
    <t>E-0543</t>
  </si>
  <si>
    <t>Edy</t>
  </si>
  <si>
    <t>E-0630</t>
  </si>
  <si>
    <t>E-428</t>
  </si>
  <si>
    <t>Soetrisno</t>
  </si>
  <si>
    <t>report.korlap@gmail.com</t>
  </si>
  <si>
    <t>Apt. Taman Anggrek Tower 4 - 33I</t>
  </si>
  <si>
    <t>E-230</t>
  </si>
  <si>
    <t>Sukmoro</t>
  </si>
  <si>
    <t>E-349</t>
  </si>
  <si>
    <t>E-228</t>
  </si>
  <si>
    <t>E-343</t>
  </si>
  <si>
    <t>Edyanto</t>
  </si>
  <si>
    <t>Tedy</t>
  </si>
  <si>
    <t>M-1222</t>
  </si>
  <si>
    <t>Efeline</t>
  </si>
  <si>
    <t>628129512997</t>
  </si>
  <si>
    <t>Y-189</t>
  </si>
  <si>
    <t>Efendi</t>
  </si>
  <si>
    <t>E-0768</t>
  </si>
  <si>
    <t>Efendy</t>
  </si>
  <si>
    <t>efendyhalim@gmail.com</t>
  </si>
  <si>
    <t>jl. Walikota no 15 Medan 20152</t>
  </si>
  <si>
    <t>E-0620</t>
  </si>
  <si>
    <t>M-1086</t>
  </si>
  <si>
    <t>Effendi.</t>
  </si>
  <si>
    <t>E-363</t>
  </si>
  <si>
    <t>Apartemen Kedoya Elok Unit S703 Jalan Panjang No.1 RT 11 RW 04.Kedoya Selatan</t>
  </si>
  <si>
    <t>E-255</t>
  </si>
  <si>
    <t>effendylim@yahoo.com</t>
  </si>
  <si>
    <t xml:space="preserve">Jl.Panjang No 01
Kedoya Selatan,Kebon jeruk</t>
  </si>
  <si>
    <t>E-0858</t>
  </si>
  <si>
    <t>Effie</t>
  </si>
  <si>
    <t>Masyitha</t>
  </si>
  <si>
    <t>E-0846</t>
  </si>
  <si>
    <t>Efi</t>
  </si>
  <si>
    <t>E-028</t>
  </si>
  <si>
    <t>(Semarang)</t>
  </si>
  <si>
    <t>E-358</t>
  </si>
  <si>
    <t>Efilia</t>
  </si>
  <si>
    <t>efiliasutanto@yahoo.co.id</t>
  </si>
  <si>
    <t xml:space="preserve">Komplek Villa Danau Biru
Jl. Danau Biru Utara No.11
Tanjung Bunga</t>
  </si>
  <si>
    <t>E-0965</t>
  </si>
  <si>
    <t>Efremov</t>
  </si>
  <si>
    <t>Igor</t>
  </si>
  <si>
    <t>megan9999@gmail.com</t>
  </si>
  <si>
    <t>79096784767</t>
  </si>
  <si>
    <t>E-0521</t>
  </si>
  <si>
    <t>Efri</t>
  </si>
  <si>
    <t>Idayanti</t>
  </si>
  <si>
    <t>Jl.Kerinci 8/23</t>
  </si>
  <si>
    <t>E-0936</t>
  </si>
  <si>
    <t>Efrossini</t>
  </si>
  <si>
    <t>Hajioannou</t>
  </si>
  <si>
    <t>smeva.ph@gmail.com</t>
  </si>
  <si>
    <t>306958009155</t>
  </si>
  <si>
    <t>Greece</t>
  </si>
  <si>
    <t>E-0610</t>
  </si>
  <si>
    <t>Efsi</t>
  </si>
  <si>
    <t>Hayati</t>
  </si>
  <si>
    <t>Budi Murni No.44</t>
  </si>
  <si>
    <t>E-0498</t>
  </si>
  <si>
    <t>Ega</t>
  </si>
  <si>
    <t>Jln. R. Ikik Wiradikarta No.10</t>
  </si>
  <si>
    <t>E-0897</t>
  </si>
  <si>
    <t>Efrillany</t>
  </si>
  <si>
    <t>egaefrillany@gmail.com</t>
  </si>
  <si>
    <t>6281322982007</t>
  </si>
  <si>
    <t>E-0496</t>
  </si>
  <si>
    <t>Moart</t>
  </si>
  <si>
    <t>E-0526</t>
  </si>
  <si>
    <t>Egidius</t>
  </si>
  <si>
    <t>E-0951</t>
  </si>
  <si>
    <t>Mandourah</t>
  </si>
  <si>
    <t>Ehsan Hussain A</t>
  </si>
  <si>
    <t>966555356787</t>
  </si>
  <si>
    <t>E-0787</t>
  </si>
  <si>
    <t>eileenyl8008@gmail.com</t>
  </si>
  <si>
    <t>E-0966</t>
  </si>
  <si>
    <t>Einchner</t>
  </si>
  <si>
    <t>JanJuree</t>
  </si>
  <si>
    <t>janjureeeichner@gmail.com</t>
  </si>
  <si>
    <t>13035851778</t>
  </si>
  <si>
    <t>American</t>
  </si>
  <si>
    <t>E-0929</t>
  </si>
  <si>
    <t>Eirene Ivana</t>
  </si>
  <si>
    <t>eirenelasut@ymail.com</t>
  </si>
  <si>
    <t>628119409993</t>
  </si>
  <si>
    <t>E-0909</t>
  </si>
  <si>
    <t>Eja</t>
  </si>
  <si>
    <t>6285217334876</t>
  </si>
  <si>
    <t>E-0490</t>
  </si>
  <si>
    <t>E-0866</t>
  </si>
  <si>
    <t>Andriawan</t>
  </si>
  <si>
    <t>E-0608</t>
  </si>
  <si>
    <t>E-0698</t>
  </si>
  <si>
    <t>yunita</t>
  </si>
  <si>
    <t>E-0767</t>
  </si>
  <si>
    <t>Eka Chandra</t>
  </si>
  <si>
    <t>Yunita</t>
  </si>
  <si>
    <t>628119940601</t>
  </si>
  <si>
    <t>Daerah Istimewa Yogyakarta</t>
  </si>
  <si>
    <t>E-0676</t>
  </si>
  <si>
    <t>Clarawati</t>
  </si>
  <si>
    <t>62811176865</t>
  </si>
  <si>
    <t>Jl Teuku Umar no 4</t>
  </si>
  <si>
    <t>E-0716</t>
  </si>
  <si>
    <t>E-392</t>
  </si>
  <si>
    <t>ekabagoes2000@gmail.com</t>
  </si>
  <si>
    <t xml:space="preserve">Komp Polri Pondok Karya no D20 
Pela Mampang</t>
  </si>
  <si>
    <t>E-034</t>
  </si>
  <si>
    <t>Karet Pedurenan 27</t>
  </si>
  <si>
    <t>E-0538</t>
  </si>
  <si>
    <t>E-0718</t>
  </si>
  <si>
    <t>windry.kartika@gmail.com</t>
  </si>
  <si>
    <t>jl. garuda 1 no 2 jakarta</t>
  </si>
  <si>
    <t>E-0968</t>
  </si>
  <si>
    <t>Mardiyanti Jafisa</t>
  </si>
  <si>
    <t>ekamardijafisa@gmail.com</t>
  </si>
  <si>
    <t>628129521886</t>
  </si>
  <si>
    <t>Jl. Tiner II No.27 Jakarta</t>
  </si>
  <si>
    <t>E-210</t>
  </si>
  <si>
    <t>Mason</t>
  </si>
  <si>
    <t>Jl. Kenanga No.50A Ampera Kemang</t>
  </si>
  <si>
    <t>E-0643</t>
  </si>
  <si>
    <t>mulyati</t>
  </si>
  <si>
    <t>E-271</t>
  </si>
  <si>
    <t>Nusantoro</t>
  </si>
  <si>
    <t>pika_cn@yahoo.com</t>
  </si>
  <si>
    <t>Pluit Timur blk U utara No.59/61</t>
  </si>
  <si>
    <t>E-0845</t>
  </si>
  <si>
    <t>permatasari</t>
  </si>
  <si>
    <t>eka.permatasari93@yahoo.co.id</t>
  </si>
  <si>
    <t>6281277331993</t>
  </si>
  <si>
    <t>Eternity Tower Destrict 8 Apt</t>
  </si>
  <si>
    <t>E-0684</t>
  </si>
  <si>
    <t>E-132</t>
  </si>
  <si>
    <t>Bhuwana</t>
  </si>
  <si>
    <t>E-0850</t>
  </si>
  <si>
    <t>Meylani</t>
  </si>
  <si>
    <t>E-0962</t>
  </si>
  <si>
    <t>Ruswanti</t>
  </si>
  <si>
    <t>eka@acam.asia</t>
  </si>
  <si>
    <t>6285711650968</t>
  </si>
  <si>
    <t>The Mansion at Kemang Apartment</t>
  </si>
  <si>
    <t>E-0973</t>
  </si>
  <si>
    <t>6285183074831</t>
  </si>
  <si>
    <t>E-0558</t>
  </si>
  <si>
    <t>Selvya</t>
  </si>
  <si>
    <t>Casablanca Mansion #1821</t>
  </si>
  <si>
    <t>E-0724</t>
  </si>
  <si>
    <t>081313613606</t>
  </si>
  <si>
    <t>Jl. Khusaeri No.36, RT007/015 Kel. Halim Perdana Kusuma, Kec. Makasar, Jak - Tim</t>
  </si>
  <si>
    <t>E-037</t>
  </si>
  <si>
    <t>Putera</t>
  </si>
  <si>
    <t>20th FL. Menara Global Bldg.</t>
  </si>
  <si>
    <t>Jl. Gatot Subroto Kav. 27</t>
  </si>
  <si>
    <t>E-0753</t>
  </si>
  <si>
    <t>E-038</t>
  </si>
  <si>
    <t>Widianto</t>
  </si>
  <si>
    <t>Jl. Sekolah Duta V No. 43</t>
  </si>
  <si>
    <t>E-0517</t>
  </si>
  <si>
    <t>Yolanda</t>
  </si>
  <si>
    <t>E-0970</t>
  </si>
  <si>
    <t>Yudaningsih</t>
  </si>
  <si>
    <t>ekayudaning@gmail.com</t>
  </si>
  <si>
    <t>6281329742233</t>
  </si>
  <si>
    <t>M-1346</t>
  </si>
  <si>
    <t>Eka.</t>
  </si>
  <si>
    <t>E-035</t>
  </si>
  <si>
    <t>Ekana</t>
  </si>
  <si>
    <t>Basarah</t>
  </si>
  <si>
    <t>Ekanabasarah@hotmail.com</t>
  </si>
  <si>
    <t xml:space="preserve">Tata Corporation
Jl. Tiang Bendera V No 38 C</t>
  </si>
  <si>
    <t>E-0834</t>
  </si>
  <si>
    <t>6281122222931</t>
  </si>
  <si>
    <t>E-265</t>
  </si>
  <si>
    <t>Ekaputri</t>
  </si>
  <si>
    <t>Suciani</t>
  </si>
  <si>
    <t>E-0806</t>
  </si>
  <si>
    <t>Ekaterina</t>
  </si>
  <si>
    <t>Aistova</t>
  </si>
  <si>
    <t>E-0922</t>
  </si>
  <si>
    <t>Sezonova</t>
  </si>
  <si>
    <t>79055435726</t>
  </si>
  <si>
    <t>E-0495</t>
  </si>
  <si>
    <t>Pesona khayangan EY8</t>
  </si>
  <si>
    <t>DEPOK</t>
  </si>
  <si>
    <t>E-0512</t>
  </si>
  <si>
    <t>Ekii</t>
  </si>
  <si>
    <t>Isogawa</t>
  </si>
  <si>
    <t>E-0668</t>
  </si>
  <si>
    <t>Eko</t>
  </si>
  <si>
    <t>E-0641</t>
  </si>
  <si>
    <t>Jl. Ciranjang 16 Kebayoran Baru</t>
  </si>
  <si>
    <t>E-0453</t>
  </si>
  <si>
    <t>Priyanto</t>
  </si>
  <si>
    <t>donny@meslo-sn.com</t>
  </si>
  <si>
    <t xml:space="preserve">Serenia Hills W.20
Perumahan Serenia / Jalan Delima Utara 2, Lobak Bulus Cilandak
(Date Of Birth 22-08-1973) (Anniversary 13-12-1998)
(Ika Dian Islami A, Mrs. 081935468987)</t>
  </si>
  <si>
    <t>E-0952</t>
  </si>
  <si>
    <t>Aqrie</t>
  </si>
  <si>
    <t>E-0893</t>
  </si>
  <si>
    <t>Eko Budi</t>
  </si>
  <si>
    <t>6281802678077</t>
  </si>
  <si>
    <t>E-388</t>
  </si>
  <si>
    <t>62881011417869</t>
  </si>
  <si>
    <t>E-0959</t>
  </si>
  <si>
    <t>082225219723</t>
  </si>
  <si>
    <t>E-0821</t>
  </si>
  <si>
    <t>Kresno</t>
  </si>
  <si>
    <t>62811178424</t>
  </si>
  <si>
    <t>E-0961</t>
  </si>
  <si>
    <t>6281905057906</t>
  </si>
  <si>
    <t>E-0532</t>
  </si>
  <si>
    <t>Primananda</t>
  </si>
  <si>
    <t>E-040</t>
  </si>
  <si>
    <t>Rusdiyantoso</t>
  </si>
  <si>
    <t>M-1357</t>
  </si>
  <si>
    <t>E-0856</t>
  </si>
  <si>
    <t>E-0939</t>
  </si>
  <si>
    <t>Eko Taufik</t>
  </si>
  <si>
    <t>ekotaufik@yahoo.com</t>
  </si>
  <si>
    <t>628111230166</t>
  </si>
  <si>
    <t>E-286</t>
  </si>
  <si>
    <t>eko_wibowo@hotmail.com</t>
  </si>
  <si>
    <t xml:space="preserve">Komp Ancol Timur 
Jl.Pasir putih 4 No.8
Jakarta Utara</t>
  </si>
  <si>
    <t>E-167</t>
  </si>
  <si>
    <t>Yupian</t>
  </si>
  <si>
    <t>E-0534</t>
  </si>
  <si>
    <t>Ektafian</t>
  </si>
  <si>
    <t xml:space="preserve">Komplek Griya Kayu Putih
Jl. Kayu Mas Raya No. 1 N</t>
  </si>
  <si>
    <t>E-0811</t>
  </si>
  <si>
    <t>El</t>
  </si>
  <si>
    <t>Arabella</t>
  </si>
  <si>
    <t>E-0522</t>
  </si>
  <si>
    <t>Ela</t>
  </si>
  <si>
    <t>E-0777</t>
  </si>
  <si>
    <t>E-259</t>
  </si>
  <si>
    <t>E-0953</t>
  </si>
  <si>
    <t>Elang</t>
  </si>
  <si>
    <t>Rudyadi</t>
  </si>
  <si>
    <t>E-0789</t>
  </si>
  <si>
    <t>Elda</t>
  </si>
  <si>
    <t>Sichera</t>
  </si>
  <si>
    <t xml:space="preserve">JL PEMBANGUNAN 3
PERUMAHAN TAMAN ADHILOKA
TANGERANG</t>
  </si>
  <si>
    <t>E-374</t>
  </si>
  <si>
    <t>Eddy Ellyus</t>
  </si>
  <si>
    <t>Ellyus</t>
  </si>
  <si>
    <t>628121055233</t>
  </si>
  <si>
    <t>Jalan Sisingamangaraja No. 5, Jakarta</t>
  </si>
  <si>
    <t>E-0642</t>
  </si>
  <si>
    <t>Dumatubun</t>
  </si>
  <si>
    <t>6281342840007</t>
  </si>
  <si>
    <t>E-0475</t>
  </si>
  <si>
    <t>Elen</t>
  </si>
  <si>
    <t>E-360</t>
  </si>
  <si>
    <t>Elena</t>
  </si>
  <si>
    <t>Chebotar</t>
  </si>
  <si>
    <t>E-0938</t>
  </si>
  <si>
    <t>Kokhrina</t>
  </si>
  <si>
    <t>eg@wtwli.com</t>
  </si>
  <si>
    <t>+31646496256</t>
  </si>
  <si>
    <t>E-181</t>
  </si>
  <si>
    <t>Tsavera</t>
  </si>
  <si>
    <t>E-0603</t>
  </si>
  <si>
    <t>Eleran</t>
  </si>
  <si>
    <t>Suryanto</t>
  </si>
  <si>
    <t>E-0553</t>
  </si>
  <si>
    <t>Elfira</t>
  </si>
  <si>
    <t>E-0552</t>
  </si>
  <si>
    <t>E-0838</t>
  </si>
  <si>
    <t>ElfiSyahmiar</t>
  </si>
  <si>
    <t>E-0560</t>
  </si>
  <si>
    <t>Elga</t>
  </si>
  <si>
    <t>E-0536</t>
  </si>
  <si>
    <t>Eli</t>
  </si>
  <si>
    <t>Evi</t>
  </si>
  <si>
    <t>Grand Orchid Clover 7 Blok BI/1</t>
  </si>
  <si>
    <t>E-430</t>
  </si>
  <si>
    <t>Hendrawan</t>
  </si>
  <si>
    <t>6281246237777</t>
  </si>
  <si>
    <t>E-0836</t>
  </si>
  <si>
    <t>Elia</t>
  </si>
  <si>
    <t>Dauhiong</t>
  </si>
  <si>
    <t>E-213</t>
  </si>
  <si>
    <t>Eliana</t>
  </si>
  <si>
    <t>E-0857</t>
  </si>
  <si>
    <t>6281290090007</t>
  </si>
  <si>
    <t>Jl. Pariaman No.10 Setia Budi, Jaksel.</t>
  </si>
  <si>
    <t>E-0574</t>
  </si>
  <si>
    <t>eleana435@gmail.com</t>
  </si>
  <si>
    <t xml:space="preserve">Jl.Pariaman No.10
Setiabudi</t>
  </si>
  <si>
    <t>E-0876</t>
  </si>
  <si>
    <t>Elianna</t>
  </si>
  <si>
    <t>eliannafebruary@gmail.com</t>
  </si>
  <si>
    <t>+6282211115782</t>
  </si>
  <si>
    <t>E-0482</t>
  </si>
  <si>
    <t>Elies</t>
  </si>
  <si>
    <t xml:space="preserve">jl.Pelindung Hewan no.42A
RT003 RW 009</t>
  </si>
  <si>
    <t>E-0729</t>
  </si>
  <si>
    <t>Elim</t>
  </si>
  <si>
    <t>62811883278</t>
  </si>
  <si>
    <t>E-146</t>
  </si>
  <si>
    <t>Elin</t>
  </si>
  <si>
    <t>E-0682</t>
  </si>
  <si>
    <t>6281517285033</t>
  </si>
  <si>
    <t>E-425</t>
  </si>
  <si>
    <t>Jl.Pandan Raya No.23 Perum 1</t>
  </si>
  <si>
    <t>E-0950</t>
  </si>
  <si>
    <t>yuanbao_huang@icloud.com</t>
  </si>
  <si>
    <t>62811997106</t>
  </si>
  <si>
    <t>E-0937</t>
  </si>
  <si>
    <t>Elin Nur</t>
  </si>
  <si>
    <t>Juningtias</t>
  </si>
  <si>
    <t>6282264787878</t>
  </si>
  <si>
    <t>Jalan Palbatu 5</t>
  </si>
  <si>
    <t>E-043</t>
  </si>
  <si>
    <t>Elina</t>
  </si>
  <si>
    <t>Taman Kencana Blok A 13 No. 12</t>
  </si>
  <si>
    <t>E-0860</t>
  </si>
  <si>
    <t>Pak</t>
  </si>
  <si>
    <t>E-0898</t>
  </si>
  <si>
    <t>Vagina</t>
  </si>
  <si>
    <t>v_elina89@mail.ru</t>
  </si>
  <si>
    <t>+6285219879129</t>
  </si>
  <si>
    <t>E-0923</t>
  </si>
  <si>
    <t>Eling</t>
  </si>
  <si>
    <t>6281802000212</t>
  </si>
  <si>
    <t>E-0954</t>
  </si>
  <si>
    <t>Elis</t>
  </si>
  <si>
    <t>E-0747</t>
  </si>
  <si>
    <t>Endrawati</t>
  </si>
  <si>
    <t>E-045</t>
  </si>
  <si>
    <t>Ismaya</t>
  </si>
  <si>
    <t>JL. AT Taqwa Utama Jakarta</t>
  </si>
  <si>
    <t>E-0778</t>
  </si>
  <si>
    <t>Minawati</t>
  </si>
  <si>
    <t>+628121891789</t>
  </si>
  <si>
    <t>Gardenia Boulevard</t>
  </si>
  <si>
    <t>E-0504</t>
  </si>
  <si>
    <t>Rita</t>
  </si>
  <si>
    <t>E-434</t>
  </si>
  <si>
    <t>Suhartini</t>
  </si>
  <si>
    <t>PT INSITE MEDIA, Graha Chantia Ground Floor, Jl. Bangka Raya No. 6, Kemang</t>
  </si>
  <si>
    <t>E-391</t>
  </si>
  <si>
    <t>Elisa</t>
  </si>
  <si>
    <t>E-0687</t>
  </si>
  <si>
    <t>Ermasari</t>
  </si>
  <si>
    <t>E-0899</t>
  </si>
  <si>
    <t>Elizabeth</t>
  </si>
  <si>
    <t>Jacquline</t>
  </si>
  <si>
    <t>628111866388</t>
  </si>
  <si>
    <t>E-044</t>
  </si>
  <si>
    <t>Pribady</t>
  </si>
  <si>
    <t>E-0830</t>
  </si>
  <si>
    <t>Kifli</t>
  </si>
  <si>
    <t>els.clau@hotmail.com</t>
  </si>
  <si>
    <t>Apt. Gold Goast PIK Unit H20G Jakarta Utara</t>
  </si>
  <si>
    <t>E-0446</t>
  </si>
  <si>
    <t>elisanovita0411@yahoo.com</t>
  </si>
  <si>
    <t xml:space="preserve">Pondok Hijau Golf- Cluster Jade 
Jade Selatan 1 no 7</t>
  </si>
  <si>
    <t>E-0944</t>
  </si>
  <si>
    <t>Elisabet</t>
  </si>
  <si>
    <t>Vinola</t>
  </si>
  <si>
    <t>best_vin@yahoo.com</t>
  </si>
  <si>
    <t>+6281806892629</t>
  </si>
  <si>
    <t>E-0725</t>
  </si>
  <si>
    <t>E-0606</t>
  </si>
  <si>
    <t>Hofstetten</t>
  </si>
  <si>
    <t>E-0826</t>
  </si>
  <si>
    <t>Tania</t>
  </si>
  <si>
    <t>E-0808</t>
  </si>
  <si>
    <t>Elisawati</t>
  </si>
  <si>
    <t>DH1 BLOK KK NO 98</t>
  </si>
  <si>
    <t>E-399</t>
  </si>
  <si>
    <t>Elisia</t>
  </si>
  <si>
    <t>Chuardy</t>
  </si>
  <si>
    <t>elisiachuardy@yahoo.com</t>
  </si>
  <si>
    <t>BSD City</t>
  </si>
  <si>
    <t>Serpong</t>
  </si>
  <si>
    <t>E-0852</t>
  </si>
  <si>
    <t>Eliswati</t>
  </si>
  <si>
    <t>Jl. Florence Grande No.3 PIK</t>
  </si>
  <si>
    <t>E-0835</t>
  </si>
  <si>
    <t>Elita</t>
  </si>
  <si>
    <t>Louisa</t>
  </si>
  <si>
    <t>elita.lou@gamil.com</t>
  </si>
  <si>
    <t>628111558677</t>
  </si>
  <si>
    <t>Aprt Mitra Bahari</t>
  </si>
  <si>
    <t>S-1600</t>
  </si>
  <si>
    <t>E-0564</t>
  </si>
  <si>
    <t>E-347</t>
  </si>
  <si>
    <t>elineliza@gmail.com</t>
  </si>
  <si>
    <t>Pluit Utara 4/20 Jakarta</t>
  </si>
  <si>
    <t>E-194</t>
  </si>
  <si>
    <t>Thalieb</t>
  </si>
  <si>
    <t>E-0782</t>
  </si>
  <si>
    <t>Eliza Ennio</t>
  </si>
  <si>
    <t>eliza_ennio@yahoo.com</t>
  </si>
  <si>
    <t>62816899898</t>
  </si>
  <si>
    <t>E-050</t>
  </si>
  <si>
    <t>Sariadmadja</t>
  </si>
  <si>
    <t>Jl. Lumajang No 1 Menteng</t>
  </si>
  <si>
    <t>E-361</t>
  </si>
  <si>
    <t>E-282</t>
  </si>
  <si>
    <t>E-0946</t>
  </si>
  <si>
    <t>E-279</t>
  </si>
  <si>
    <t>Gelael</t>
  </si>
  <si>
    <t>E-308</t>
  </si>
  <si>
    <t>Linda</t>
  </si>
  <si>
    <t>E-296</t>
  </si>
  <si>
    <t>R.W</t>
  </si>
  <si>
    <t>E-0443</t>
  </si>
  <si>
    <t>Schlatter</t>
  </si>
  <si>
    <t>elizabethschlatter@ig.com.br</t>
  </si>
  <si>
    <t>AV Juruce 144 AP 111</t>
  </si>
  <si>
    <t>Sao Paulo</t>
  </si>
  <si>
    <t>E-0824</t>
  </si>
  <si>
    <t>Siauw</t>
  </si>
  <si>
    <t>+6281222286300</t>
  </si>
  <si>
    <t>Sutera Aruna IV No 17</t>
  </si>
  <si>
    <t>E-049</t>
  </si>
  <si>
    <t>Gong</t>
  </si>
  <si>
    <t>E-0974</t>
  </si>
  <si>
    <t>Elizaveta</t>
  </si>
  <si>
    <t>Kozlova</t>
  </si>
  <si>
    <t>elizaveta_osipova_com@mail.id</t>
  </si>
  <si>
    <t>+79935928533</t>
  </si>
  <si>
    <t>E-158</t>
  </si>
  <si>
    <t>Elizia</t>
  </si>
  <si>
    <t>E-0934</t>
  </si>
  <si>
    <t>Ella</t>
  </si>
  <si>
    <t>E-253</t>
  </si>
  <si>
    <t>Cullum</t>
  </si>
  <si>
    <t>E-0652</t>
  </si>
  <si>
    <t>Hartatik</t>
  </si>
  <si>
    <t>E-0883</t>
  </si>
  <si>
    <t>yudi.dipo3103@gmail.com</t>
  </si>
  <si>
    <t>6281288090854</t>
  </si>
  <si>
    <t>Jl. Haji Gari No. 25 A Pesanggrahan</t>
  </si>
  <si>
    <t>E-0527</t>
  </si>
  <si>
    <t>E-310</t>
  </si>
  <si>
    <t>sungkar</t>
  </si>
  <si>
    <t xml:space="preserve">Jl.Madrasah 2 No.3B Ampera Kemang 
Birthday 15.03.49</t>
  </si>
  <si>
    <t>E-244</t>
  </si>
  <si>
    <t>Ellana</t>
  </si>
  <si>
    <t>E-338</t>
  </si>
  <si>
    <t>Elleen</t>
  </si>
  <si>
    <t>elleen@decorama.org</t>
  </si>
  <si>
    <t>JL Cilandak 2 No 86</t>
  </si>
  <si>
    <t>E-0612</t>
  </si>
  <si>
    <t>Ellen</t>
  </si>
  <si>
    <t>E-0839</t>
  </si>
  <si>
    <t>Kelapa Gading, Jln Kelapa Hibrida 4</t>
  </si>
  <si>
    <t>E-247</t>
  </si>
  <si>
    <t>E-396</t>
  </si>
  <si>
    <t>Jl. Senopati Raya N0.8, Tower 2 Residence 8</t>
  </si>
  <si>
    <t>E-0523</t>
  </si>
  <si>
    <t>Octaviany</t>
  </si>
  <si>
    <t>62818672003</t>
  </si>
  <si>
    <t>E-0803</t>
  </si>
  <si>
    <t>E-0947</t>
  </si>
  <si>
    <t>Elleonore Mayline</t>
  </si>
  <si>
    <t>16267660869</t>
  </si>
  <si>
    <t>E-0867</t>
  </si>
  <si>
    <t>Elli</t>
  </si>
  <si>
    <t>E-382</t>
  </si>
  <si>
    <t>62816787787</t>
  </si>
  <si>
    <t>E-307</t>
  </si>
  <si>
    <t>Yulia</t>
  </si>
  <si>
    <t>Jalan Industri Kapal Dalam No.15</t>
  </si>
  <si>
    <t>E-325</t>
  </si>
  <si>
    <t>Ellie</t>
  </si>
  <si>
    <t>E-0632</t>
  </si>
  <si>
    <t>Ellien</t>
  </si>
  <si>
    <t>Tirtana</t>
  </si>
  <si>
    <t>628111585959</t>
  </si>
  <si>
    <t>E-0807</t>
  </si>
  <si>
    <t>Ellin</t>
  </si>
  <si>
    <t>Apartemen Tamansari Semanggi</t>
  </si>
  <si>
    <t>E-262</t>
  </si>
  <si>
    <t>Ellina</t>
  </si>
  <si>
    <t>E-0924</t>
  </si>
  <si>
    <t>Ellis</t>
  </si>
  <si>
    <t>ellis.widjaja@gmail.com</t>
  </si>
  <si>
    <t>628121105660</t>
  </si>
  <si>
    <t>Perum VIP Jl.Darmawangsa No.5</t>
  </si>
  <si>
    <t>E-0592</t>
  </si>
  <si>
    <t>+62816768443</t>
  </si>
  <si>
    <t>E-0599</t>
  </si>
  <si>
    <t>Ellizadila</t>
  </si>
  <si>
    <t>E-0786</t>
  </si>
  <si>
    <t>Ellsy</t>
  </si>
  <si>
    <t>E-416</t>
  </si>
  <si>
    <t>Elly</t>
  </si>
  <si>
    <t>E-0500</t>
  </si>
  <si>
    <t>PT Bumi Tama Gunajaya Agro</t>
  </si>
  <si>
    <t>E-0505</t>
  </si>
  <si>
    <t>Gozal</t>
  </si>
  <si>
    <t>62811140807</t>
  </si>
  <si>
    <t>E-0448</t>
  </si>
  <si>
    <t>M-717</t>
  </si>
  <si>
    <t>J.</t>
  </si>
  <si>
    <t>E-0759</t>
  </si>
  <si>
    <t>Jaurissa</t>
  </si>
  <si>
    <t>E-0637</t>
  </si>
  <si>
    <t>6281973025553</t>
  </si>
  <si>
    <t>F-0408</t>
  </si>
  <si>
    <t>Lewa</t>
  </si>
  <si>
    <t>Jalan Cideng Barat No. 37</t>
  </si>
  <si>
    <t>E-0462</t>
  </si>
  <si>
    <t>Maryuni</t>
  </si>
  <si>
    <t>E-0605</t>
  </si>
  <si>
    <t>Sufriadi</t>
  </si>
  <si>
    <t>E-054</t>
  </si>
  <si>
    <t>Jl. Kemanggisan Utama VI No. 23-25</t>
  </si>
  <si>
    <t>E-0766</t>
  </si>
  <si>
    <t>s</t>
  </si>
  <si>
    <t>ellyws92@yahoo.com</t>
  </si>
  <si>
    <t>Jl. Masjid Al Hidayah 1A, Pejaten Barat 12510, Jakarta Selatan</t>
  </si>
  <si>
    <t>E-277</t>
  </si>
  <si>
    <t>E-0742</t>
  </si>
  <si>
    <t>E-328</t>
  </si>
  <si>
    <t>Rissa</t>
  </si>
  <si>
    <t>E-0915</t>
  </si>
  <si>
    <t>Ellyana</t>
  </si>
  <si>
    <t>ch.ellana@ahoo.com</t>
  </si>
  <si>
    <t>628179800808</t>
  </si>
  <si>
    <t>E-0827</t>
  </si>
  <si>
    <t>Ellyfang</t>
  </si>
  <si>
    <t>E-053</t>
  </si>
  <si>
    <t>Ellysa</t>
  </si>
  <si>
    <t>Sjuriah</t>
  </si>
  <si>
    <t>Muara Karang Blok H2 Utara No. 5</t>
  </si>
  <si>
    <t>E-0928</t>
  </si>
  <si>
    <t>Ellyzia</t>
  </si>
  <si>
    <t>6282113881855</t>
  </si>
  <si>
    <t>E-354</t>
  </si>
  <si>
    <t>Ellyzabeth</t>
  </si>
  <si>
    <t>Jl Kemuning No 57</t>
  </si>
  <si>
    <t>E-165</t>
  </si>
  <si>
    <t>Elsa</t>
  </si>
  <si>
    <t>E-0809</t>
  </si>
  <si>
    <t>+6281514888399</t>
  </si>
  <si>
    <t>E-0633</t>
  </si>
  <si>
    <t>Adhim</t>
  </si>
  <si>
    <t>E-0941</t>
  </si>
  <si>
    <t>Lailani</t>
  </si>
  <si>
    <t>gushaalesyaa@gmail.com</t>
  </si>
  <si>
    <t>6281222222789</t>
  </si>
  <si>
    <t>Jl. Cibeber III No.6</t>
  </si>
  <si>
    <t>E-0704</t>
  </si>
  <si>
    <t>Mundisari</t>
  </si>
  <si>
    <t>Jl. Kemang Selatan VII No 83C</t>
  </si>
  <si>
    <t>E-0762</t>
  </si>
  <si>
    <t>E-0833</t>
  </si>
  <si>
    <t>Tadjudin</t>
  </si>
  <si>
    <t>6281332000509</t>
  </si>
  <si>
    <t>Jl.Tirtayasa X No.6</t>
  </si>
  <si>
    <t>E-0533</t>
  </si>
  <si>
    <t>Elsiana</t>
  </si>
  <si>
    <t>Kasmir</t>
  </si>
  <si>
    <t>E-0943</t>
  </si>
  <si>
    <t>Elsie</t>
  </si>
  <si>
    <t>Theardy</t>
  </si>
  <si>
    <t>628122380380</t>
  </si>
  <si>
    <t>Jalan Kamuning No.10</t>
  </si>
  <si>
    <t>E-0969</t>
  </si>
  <si>
    <t>Elsje</t>
  </si>
  <si>
    <t>elsjerusli@yahoo.com</t>
  </si>
  <si>
    <t>62811134068</t>
  </si>
  <si>
    <t>E-0877</t>
  </si>
  <si>
    <t>Elsya</t>
  </si>
  <si>
    <t>elsyadiva@gmail.com</t>
  </si>
  <si>
    <t>+6281285778567</t>
  </si>
  <si>
    <t>E-243</t>
  </si>
  <si>
    <t>Elsye</t>
  </si>
  <si>
    <t xml:space="preserve">DISTRICT 8
INFINITY TOWER 16BC NO.21
SENOPATI 8
JAKARTA SELATAN 12190</t>
  </si>
  <si>
    <t>E-0960</t>
  </si>
  <si>
    <t>Elva</t>
  </si>
  <si>
    <t>Josephine</t>
  </si>
  <si>
    <t>josephineelva@gmail.com</t>
  </si>
  <si>
    <t>+6281999012511</t>
  </si>
  <si>
    <t>E-0467</t>
  </si>
  <si>
    <t>Elvi</t>
  </si>
  <si>
    <t>Balfas</t>
  </si>
  <si>
    <t>E-174</t>
  </si>
  <si>
    <t>E-0921</t>
  </si>
  <si>
    <t>Elviani</t>
  </si>
  <si>
    <t>6282370701997</t>
  </si>
  <si>
    <t>E-0469</t>
  </si>
  <si>
    <t>Elvida</t>
  </si>
  <si>
    <t>Nataya</t>
  </si>
  <si>
    <t>E-334</t>
  </si>
  <si>
    <t>Elvie</t>
  </si>
  <si>
    <t>E-0949</t>
  </si>
  <si>
    <t>Elvien</t>
  </si>
  <si>
    <t>6281293588222</t>
  </si>
  <si>
    <t>E-0862</t>
  </si>
  <si>
    <t>Elviena</t>
  </si>
  <si>
    <t>Christyani</t>
  </si>
  <si>
    <t>E_Christyani@yahoo.com</t>
  </si>
  <si>
    <t>Pearl Golf 1/29 PIK</t>
  </si>
  <si>
    <t>E-0905</t>
  </si>
  <si>
    <t>Elviera</t>
  </si>
  <si>
    <t>Deswandhy</t>
  </si>
  <si>
    <t>6281194909024</t>
  </si>
  <si>
    <t>E-057</t>
  </si>
  <si>
    <t>Reskinanti</t>
  </si>
  <si>
    <t>Jl. Bangka II-15 No. 4A</t>
  </si>
  <si>
    <t>E-0602</t>
  </si>
  <si>
    <t>RezkiNanti</t>
  </si>
  <si>
    <t>E-294</t>
  </si>
  <si>
    <t>Elvina</t>
  </si>
  <si>
    <t>Mokoginta</t>
  </si>
  <si>
    <t>E-0797</t>
  </si>
  <si>
    <t>Silviany</t>
  </si>
  <si>
    <t>E-0707</t>
  </si>
  <si>
    <t>Elvina kartika</t>
  </si>
  <si>
    <t>elvinayue83@gmail.com</t>
  </si>
  <si>
    <t>6282213147255</t>
  </si>
  <si>
    <t>E-0815</t>
  </si>
  <si>
    <t>Elvira</t>
  </si>
  <si>
    <t>Arijanti</t>
  </si>
  <si>
    <t>E-324</t>
  </si>
  <si>
    <t>Fanda</t>
  </si>
  <si>
    <t xml:space="preserve">Bangka Kemang Town House&gt;Kav 9A
Bangka IX/22C</t>
  </si>
  <si>
    <t>E-0847</t>
  </si>
  <si>
    <t>Green Lake City Europe Boulevard 36</t>
  </si>
  <si>
    <t>E-385</t>
  </si>
  <si>
    <t>Elvita</t>
  </si>
  <si>
    <t>E-0625</t>
  </si>
  <si>
    <t>Elvy</t>
  </si>
  <si>
    <t>Arjanti</t>
  </si>
  <si>
    <t>Raya Darmahusada Indah No.53</t>
  </si>
  <si>
    <t>E-0945</t>
  </si>
  <si>
    <t>Elwiana</t>
  </si>
  <si>
    <t>6281387725358</t>
  </si>
  <si>
    <t>E-0793</t>
  </si>
  <si>
    <t>Elxi</t>
  </si>
  <si>
    <t>E-0957</t>
  </si>
  <si>
    <t>Ely</t>
  </si>
  <si>
    <t>E-0736</t>
  </si>
  <si>
    <t>Elysah</t>
  </si>
  <si>
    <t>E-0837</t>
  </si>
  <si>
    <t>Elyse</t>
  </si>
  <si>
    <t>Edlin</t>
  </si>
  <si>
    <t>MUARA KARANG BLOK L7.U/21</t>
  </si>
  <si>
    <t>JAKARTA UTARA</t>
  </si>
  <si>
    <t>E-268</t>
  </si>
  <si>
    <t>Elza</t>
  </si>
  <si>
    <t xml:space="preserve">Taman Kebon Jeruk Intercon 
Blok J7 No10A
Jakarta Barat</t>
  </si>
  <si>
    <t>E-226</t>
  </si>
  <si>
    <t>Ema</t>
  </si>
  <si>
    <t>E-0802</t>
  </si>
  <si>
    <t>Fajar</t>
  </si>
  <si>
    <t>Benoa Town House Jeruk Purut</t>
  </si>
  <si>
    <t>E-0450</t>
  </si>
  <si>
    <t>Emad</t>
  </si>
  <si>
    <t>Elghandour</t>
  </si>
  <si>
    <t>E-287</t>
  </si>
  <si>
    <t>Eman</t>
  </si>
  <si>
    <t>E-306</t>
  </si>
  <si>
    <t>Emanuel</t>
  </si>
  <si>
    <t>E-0445</t>
  </si>
  <si>
    <t>Emanuele</t>
  </si>
  <si>
    <t>Novi</t>
  </si>
  <si>
    <t>Puri Casablanca Apartment B3308</t>
  </si>
  <si>
    <t>E-0890</t>
  </si>
  <si>
    <t>Emay</t>
  </si>
  <si>
    <t>Humaeroh</t>
  </si>
  <si>
    <t>stemayhumaeroh@gmail.com</t>
  </si>
  <si>
    <t>628121039979</t>
  </si>
  <si>
    <t>Summarecon Bekasi</t>
  </si>
  <si>
    <t>E-060</t>
  </si>
  <si>
    <t>Emeed</t>
  </si>
  <si>
    <t>Alshaalan</t>
  </si>
  <si>
    <t>E-304</t>
  </si>
  <si>
    <t>Emellia</t>
  </si>
  <si>
    <t>62816814203</t>
  </si>
  <si>
    <t>E-0460</t>
  </si>
  <si>
    <t>Emelyn</t>
  </si>
  <si>
    <t>Spalding</t>
  </si>
  <si>
    <t>Kemang Village</t>
  </si>
  <si>
    <t>E-323</t>
  </si>
  <si>
    <t>Emerra</t>
  </si>
  <si>
    <t>E-0545</t>
  </si>
  <si>
    <t>Emerya</t>
  </si>
  <si>
    <t>Wongso</t>
  </si>
  <si>
    <t xml:space="preserve">Apart. Botanica tower 1 unit 8 BH Jaksel
Birthday 04-Des-1992</t>
  </si>
  <si>
    <t>E-0582</t>
  </si>
  <si>
    <t>Ardinoto</t>
  </si>
  <si>
    <t>6281288331639</t>
  </si>
  <si>
    <t>E-179</t>
  </si>
  <si>
    <t>Josaki</t>
  </si>
  <si>
    <t>Jl. Paanglima Polim 6/119</t>
  </si>
  <si>
    <t>E-062</t>
  </si>
  <si>
    <t>Emil</t>
  </si>
  <si>
    <t>27th Fl. Menara Karya</t>
  </si>
  <si>
    <t>Jl. HR. Rasuna Said V-5 Kav. 1-2</t>
  </si>
  <si>
    <t>E-0659</t>
  </si>
  <si>
    <t>E-133</t>
  </si>
  <si>
    <t>emil_n@yahoo.com</t>
  </si>
  <si>
    <t>Jl. Pinang 1 Barat 19D</t>
  </si>
  <si>
    <t>E-337</t>
  </si>
  <si>
    <t>E-0477</t>
  </si>
  <si>
    <t>Jl. Pendidikan Gang Penghulu No. 14A</t>
  </si>
  <si>
    <t>E-0503</t>
  </si>
  <si>
    <t>E-415</t>
  </si>
  <si>
    <t>Hioe</t>
  </si>
  <si>
    <t>E-0748</t>
  </si>
  <si>
    <t xml:space="preserve">Puri Widya Kencana K5/17, Lakarsantri, Citraland.
Surabaya Barat</t>
  </si>
  <si>
    <t>E-0958</t>
  </si>
  <si>
    <t>Nurhayati</t>
  </si>
  <si>
    <t>+6282211221524</t>
  </si>
  <si>
    <t>Anandamaya Residence Tower 1 Unit 15B</t>
  </si>
  <si>
    <t>E-0568</t>
  </si>
  <si>
    <t>Suwardji</t>
  </si>
  <si>
    <t>E-0703</t>
  </si>
  <si>
    <t>Susie</t>
  </si>
  <si>
    <t>628161166166</t>
  </si>
  <si>
    <t>E-0694</t>
  </si>
  <si>
    <t>Tjia</t>
  </si>
  <si>
    <t>E-0792</t>
  </si>
  <si>
    <t>Tjongkono</t>
  </si>
  <si>
    <t>6281242428282</t>
  </si>
  <si>
    <t>E-0468</t>
  </si>
  <si>
    <t>Emiliana</t>
  </si>
  <si>
    <t>Eryolanda</t>
  </si>
  <si>
    <t>E-0600</t>
  </si>
  <si>
    <t>Kurniati</t>
  </si>
  <si>
    <t>Green Garden C1/42 Daan Mogot</t>
  </si>
  <si>
    <t>E-0706</t>
  </si>
  <si>
    <t>Emilio</t>
  </si>
  <si>
    <t>E-0547</t>
  </si>
  <si>
    <t>Yunizal</t>
  </si>
  <si>
    <t>emilio.yunizal@gmail.com</t>
  </si>
  <si>
    <t>Jl. Jati Murni</t>
  </si>
  <si>
    <t>E-0478</t>
  </si>
  <si>
    <t>Emillia</t>
  </si>
  <si>
    <t>E-189</t>
  </si>
  <si>
    <t>M-1336</t>
  </si>
  <si>
    <t>Emily</t>
  </si>
  <si>
    <t>E-0842</t>
  </si>
  <si>
    <t>Bonosusatya</t>
  </si>
  <si>
    <t>Simprug Golf Raya XII No.163</t>
  </si>
  <si>
    <t>Jakarta Selatam</t>
  </si>
  <si>
    <t>E-438</t>
  </si>
  <si>
    <t>mitramuliapratama@yahoo.com</t>
  </si>
  <si>
    <t>E-439</t>
  </si>
  <si>
    <t>E-135</t>
  </si>
  <si>
    <t>Emilyana</t>
  </si>
  <si>
    <t>Suriana</t>
  </si>
  <si>
    <t>E-066</t>
  </si>
  <si>
    <t>Emir</t>
  </si>
  <si>
    <t>E-185</t>
  </si>
  <si>
    <t>Emirianti</t>
  </si>
  <si>
    <t>E-0691</t>
  </si>
  <si>
    <t>Emma</t>
  </si>
  <si>
    <t>E-0741</t>
  </si>
  <si>
    <t>E-0871</t>
  </si>
  <si>
    <t>emapurnama88@yahoo.com.au</t>
  </si>
  <si>
    <t>+628119925259</t>
  </si>
  <si>
    <t>E-332</t>
  </si>
  <si>
    <t>+6281222294388</t>
  </si>
  <si>
    <t>18A Hegar manaha</t>
  </si>
  <si>
    <t>E-340</t>
  </si>
  <si>
    <t>Emmanuel</t>
  </si>
  <si>
    <t>E-0618</t>
  </si>
  <si>
    <t>Alvino</t>
  </si>
  <si>
    <t>emmanuelalvino@yahoo.com</t>
  </si>
  <si>
    <t>Graha Taman Blok HC8 no.4B Bintaro Jaya Sektor 9</t>
  </si>
  <si>
    <t>E-0497</t>
  </si>
  <si>
    <t>Emmy</t>
  </si>
  <si>
    <t>6285217171505</t>
  </si>
  <si>
    <t>E-0639</t>
  </si>
  <si>
    <t>Fadil</t>
  </si>
  <si>
    <t>emmy_fadil@yahoo.com</t>
  </si>
  <si>
    <t>Jl.Kemanggisan Ilir</t>
  </si>
  <si>
    <t>E-0872</t>
  </si>
  <si>
    <t>Muchlis</t>
  </si>
  <si>
    <t>+6281586235799</t>
  </si>
  <si>
    <t>Pejaten Barat IV no 9</t>
  </si>
  <si>
    <t>E-0677</t>
  </si>
  <si>
    <t>628118000078</t>
  </si>
  <si>
    <t>E-291</t>
  </si>
  <si>
    <t>Ranoewidjojo</t>
  </si>
  <si>
    <t>E-0464</t>
  </si>
  <si>
    <t>Sonny</t>
  </si>
  <si>
    <t>E-387</t>
  </si>
  <si>
    <t>Emy</t>
  </si>
  <si>
    <t>KJ</t>
  </si>
  <si>
    <t>E-070</t>
  </si>
  <si>
    <t>Emyliana</t>
  </si>
  <si>
    <t>Christio</t>
  </si>
  <si>
    <t>E-389</t>
  </si>
  <si>
    <t>Encik</t>
  </si>
  <si>
    <t>E-238</t>
  </si>
  <si>
    <t>Enda</t>
  </si>
  <si>
    <t>E-0588</t>
  </si>
  <si>
    <t>Jl.Dharmawangsa XI / 11 kebayoran baru jaksel</t>
  </si>
  <si>
    <t>E-0758</t>
  </si>
  <si>
    <t>Pindiarti</t>
  </si>
  <si>
    <t>628111881310</t>
  </si>
  <si>
    <t xml:space="preserve">The Royal Residences blok D2/3 
Cakung</t>
  </si>
  <si>
    <t>E-0699</t>
  </si>
  <si>
    <t>Prasetyorini</t>
  </si>
  <si>
    <t>E-0578</t>
  </si>
  <si>
    <t>E-0816</t>
  </si>
  <si>
    <t>Astatik</t>
  </si>
  <si>
    <t>6285100898501</t>
  </si>
  <si>
    <t>Komp.Gardan House Jl.Gardenia 1 No.31, PIK</t>
  </si>
  <si>
    <t>E-336</t>
  </si>
  <si>
    <t>Cornain</t>
  </si>
  <si>
    <t>Jln.Mataram no.23 kebayoran baru</t>
  </si>
  <si>
    <t>E-197</t>
  </si>
  <si>
    <t>Desrica</t>
  </si>
  <si>
    <t>Regency Tebet Mas Blok A/26</t>
  </si>
  <si>
    <t>E-0662</t>
  </si>
  <si>
    <t xml:space="preserve">Jl. Masjid At Taqwa No.98, RT.001/RW.017, Kel.Jatirangga, Kec. Jatisampurna, Kota Bekasi 17433
</t>
  </si>
  <si>
    <t>E-0820</t>
  </si>
  <si>
    <t>Erarini</t>
  </si>
  <si>
    <t>E-0546</t>
  </si>
  <si>
    <t>E-242</t>
  </si>
  <si>
    <t>Purwati</t>
  </si>
  <si>
    <t>E-0761</t>
  </si>
  <si>
    <t>Hariman</t>
  </si>
  <si>
    <t>E-368</t>
  </si>
  <si>
    <t>Merdeka</t>
  </si>
  <si>
    <t>endangmerdekaa@yahoo.com</t>
  </si>
  <si>
    <t xml:space="preserve">Villa Pejaten Mas
Jl Raya Pejaten Kav. A.29
Pasar Minggu</t>
  </si>
  <si>
    <t>E-0783</t>
  </si>
  <si>
    <t>Sarwo asih</t>
  </si>
  <si>
    <t>62811111867</t>
  </si>
  <si>
    <t>E-143</t>
  </si>
  <si>
    <t>Soegomo</t>
  </si>
  <si>
    <t>E-155</t>
  </si>
  <si>
    <t>Sulistyani</t>
  </si>
  <si>
    <t>E-223</t>
  </si>
  <si>
    <t>Sumual</t>
  </si>
  <si>
    <t>628129019651</t>
  </si>
  <si>
    <t>E-0575</t>
  </si>
  <si>
    <t>Suwarya</t>
  </si>
  <si>
    <t>E-0719</t>
  </si>
  <si>
    <t>Titisari</t>
  </si>
  <si>
    <t>Emeral View Blok H 19 Bintaro 9</t>
  </si>
  <si>
    <t>M-1179</t>
  </si>
  <si>
    <t>endang</t>
  </si>
  <si>
    <t>sriani</t>
  </si>
  <si>
    <t>E-0461</t>
  </si>
  <si>
    <t>Widjajanti</t>
  </si>
  <si>
    <t>E-075</t>
  </si>
  <si>
    <t>Endarto</t>
  </si>
  <si>
    <t>Jl. Petojo Binatu VII Blok B No. 3</t>
  </si>
  <si>
    <t>RT. 005 / 007, Kel. Petojo Utara</t>
  </si>
  <si>
    <t>E-205</t>
  </si>
  <si>
    <t>Enday</t>
  </si>
  <si>
    <t>saerang</t>
  </si>
  <si>
    <t>E-0855</t>
  </si>
  <si>
    <t>Endhu</t>
  </si>
  <si>
    <t>Silvani</t>
  </si>
  <si>
    <t>dia_arca@yahoo.com</t>
  </si>
  <si>
    <t>E-0556</t>
  </si>
  <si>
    <t>Endik</t>
  </si>
  <si>
    <t>E-0510</t>
  </si>
  <si>
    <t>Endika</t>
  </si>
  <si>
    <t>E-320</t>
  </si>
  <si>
    <t>Endiyanti</t>
  </si>
  <si>
    <t>E-0727</t>
  </si>
  <si>
    <t>Wirastuti</t>
  </si>
  <si>
    <t>E-421</t>
  </si>
  <si>
    <t>Endo</t>
  </si>
  <si>
    <t>E-0823</t>
  </si>
  <si>
    <t>Endra</t>
  </si>
  <si>
    <t>Masagung</t>
  </si>
  <si>
    <t>62818968088</t>
  </si>
  <si>
    <t>E-076</t>
  </si>
  <si>
    <t>Endrico</t>
  </si>
  <si>
    <t>Tjokrosaputro</t>
  </si>
  <si>
    <t>E-0733</t>
  </si>
  <si>
    <t>Endrio</t>
  </si>
  <si>
    <t xml:space="preserve">JL.PAK GATOT II/26
KAPD - BANDUNG</t>
  </si>
  <si>
    <t>E-0709</t>
  </si>
  <si>
    <t>Endy</t>
  </si>
  <si>
    <t>Fernandez</t>
  </si>
  <si>
    <t>E-272</t>
  </si>
  <si>
    <t>NataWijaya</t>
  </si>
  <si>
    <t>E-207</t>
  </si>
  <si>
    <t>Subiantoro</t>
  </si>
  <si>
    <t>E-0955</t>
  </si>
  <si>
    <t>Enes</t>
  </si>
  <si>
    <t>Triyani</t>
  </si>
  <si>
    <t>6282181491168</t>
  </si>
  <si>
    <t>E-0658</t>
  </si>
  <si>
    <t>Engel glendy</t>
  </si>
  <si>
    <t>Sahanggamu</t>
  </si>
  <si>
    <t>6281317717711</t>
  </si>
  <si>
    <t>Pondok Indah-Jakarta Selatan</t>
  </si>
  <si>
    <t>E-079</t>
  </si>
  <si>
    <t>Englianah</t>
  </si>
  <si>
    <t>E-142</t>
  </si>
  <si>
    <t>Eni</t>
  </si>
  <si>
    <t>Joesoef</t>
  </si>
  <si>
    <t>E-0848</t>
  </si>
  <si>
    <t>Enkh</t>
  </si>
  <si>
    <t>Od</t>
  </si>
  <si>
    <t>sooko0626@gmail.com</t>
  </si>
  <si>
    <t>E-232</t>
  </si>
  <si>
    <t>Enne</t>
  </si>
  <si>
    <t>E-204</t>
  </si>
  <si>
    <t>E-0580</t>
  </si>
  <si>
    <t>Yeny</t>
  </si>
  <si>
    <t>628112810555</t>
  </si>
  <si>
    <t>Jln. Kwitang Timur No.4 Bungur</t>
  </si>
  <si>
    <t>E-350</t>
  </si>
  <si>
    <t>E-171</t>
  </si>
  <si>
    <t xml:space="preserve">Jl. Bangka XI / 67
Jakarta Selatan 12730</t>
  </si>
  <si>
    <t>E-082</t>
  </si>
  <si>
    <t>Then</t>
  </si>
  <si>
    <t>Green Vile R/48</t>
  </si>
  <si>
    <t>E-0906</t>
  </si>
  <si>
    <t>Enrico</t>
  </si>
  <si>
    <t>Winaldy</t>
  </si>
  <si>
    <t>6281282293388</t>
  </si>
  <si>
    <t>Green Garden</t>
  </si>
  <si>
    <t>E-0873</t>
  </si>
  <si>
    <t>Enrique</t>
  </si>
  <si>
    <t>Voltaire Pingol</t>
  </si>
  <si>
    <t>epingol@gmail.com</t>
  </si>
  <si>
    <t>+639171500085</t>
  </si>
  <si>
    <t>MANILA</t>
  </si>
  <si>
    <t>E-0870</t>
  </si>
  <si>
    <t>Ensri</t>
  </si>
  <si>
    <t>Meiliasari</t>
  </si>
  <si>
    <t>+6285974748989</t>
  </si>
  <si>
    <t>Jl. Raya Pos PengumbenNo.1C</t>
  </si>
  <si>
    <t>E-144</t>
  </si>
  <si>
    <t>Entin</t>
  </si>
  <si>
    <t>Hirota</t>
  </si>
  <si>
    <t>E-0491</t>
  </si>
  <si>
    <t>Sutini</t>
  </si>
  <si>
    <t>E-0624</t>
  </si>
  <si>
    <t>Entu</t>
  </si>
  <si>
    <t>Nuraeni</t>
  </si>
  <si>
    <t>E-0769</t>
  </si>
  <si>
    <t>Enwie</t>
  </si>
  <si>
    <t>E-316</t>
  </si>
  <si>
    <t>Eny</t>
  </si>
  <si>
    <t>enylukito@gmail.com</t>
  </si>
  <si>
    <t>62815131031120</t>
  </si>
  <si>
    <t xml:space="preserve">Jl. Walet Elok 6 NO. 11 A
Pantai Indah Kapuk</t>
  </si>
  <si>
    <t>E-0619</t>
  </si>
  <si>
    <t>eny_erza@yahoo.com</t>
  </si>
  <si>
    <t>62811284333</t>
  </si>
  <si>
    <t>Jl. DR. Supomo 23</t>
  </si>
  <si>
    <t>E-084</t>
  </si>
  <si>
    <t>Susanty</t>
  </si>
  <si>
    <t>Perum. Tanjung Mas Raya Estate</t>
  </si>
  <si>
    <t>Jl. Elang Mas I Blok C-6 No. 21</t>
  </si>
  <si>
    <t>E-0940</t>
  </si>
  <si>
    <t>Waluyani</t>
  </si>
  <si>
    <t>waluyanie58@gmail.com</t>
  </si>
  <si>
    <t>6282133193333</t>
  </si>
  <si>
    <t>Jl. Albisindo No. 17 RT 001 RW 005, Gandosari, Kudus</t>
  </si>
  <si>
    <t>Kudus</t>
  </si>
  <si>
    <t>E-085</t>
  </si>
  <si>
    <t>Epline</t>
  </si>
  <si>
    <t>Eswono</t>
  </si>
  <si>
    <t xml:space="preserve">Janur Elok IV QD 5/4
Kelapa Gading</t>
  </si>
  <si>
    <t>E-367</t>
  </si>
  <si>
    <t>Epy</t>
  </si>
  <si>
    <t>E-0593</t>
  </si>
  <si>
    <t>Era</t>
  </si>
  <si>
    <t>Effianto</t>
  </si>
  <si>
    <t>E-0585</t>
  </si>
  <si>
    <t>Erawaty</t>
  </si>
  <si>
    <t>E-0628</t>
  </si>
  <si>
    <t>Erbit</t>
  </si>
  <si>
    <t>E-327</t>
  </si>
  <si>
    <t>Erco</t>
  </si>
  <si>
    <t>kosasih</t>
  </si>
  <si>
    <t>Jalan Alang Alang Lebar ,Komplek Citra grand city somerset east,Blok D2 No.15</t>
  </si>
  <si>
    <t>E-088</t>
  </si>
  <si>
    <t>Erdana</t>
  </si>
  <si>
    <t>Jl. Hang Tuah II No. 8</t>
  </si>
  <si>
    <t>E-0912</t>
  </si>
  <si>
    <t>Erdem</t>
  </si>
  <si>
    <t>Ceren</t>
  </si>
  <si>
    <t>erdem.ceren@icloud.com</t>
  </si>
  <si>
    <t>+905416967691</t>
  </si>
  <si>
    <t>E-314</t>
  </si>
  <si>
    <t>Erdwin</t>
  </si>
  <si>
    <t>Suhanda</t>
  </si>
  <si>
    <t>erdwinsuhanda@gmail.com</t>
  </si>
  <si>
    <t>E-0577</t>
  </si>
  <si>
    <t>Erdy</t>
  </si>
  <si>
    <t>Muluk</t>
  </si>
  <si>
    <t>E-190</t>
  </si>
  <si>
    <t>Eric</t>
  </si>
  <si>
    <t>E-348</t>
  </si>
  <si>
    <t>E-0812</t>
  </si>
  <si>
    <t>Desman</t>
  </si>
  <si>
    <t>E-0518</t>
  </si>
  <si>
    <t>Caang</t>
  </si>
  <si>
    <t>ekychang@hotmail.com</t>
  </si>
  <si>
    <t>E-0863</t>
  </si>
  <si>
    <t>Tenda</t>
  </si>
  <si>
    <t>ericdanieltenda@yahoo.com</t>
  </si>
  <si>
    <t>E-0891</t>
  </si>
  <si>
    <t>Epc</t>
  </si>
  <si>
    <t>6282261116111</t>
  </si>
  <si>
    <t>E-426</t>
  </si>
  <si>
    <t>Eric.gunawan1@gmail.com</t>
  </si>
  <si>
    <t xml:space="preserve">Jl. Raya Venesia Blok EA No.18 
Komp. Bukit Gading Mediterania.
Kelapa Gading. 14240</t>
  </si>
  <si>
    <t>E-0770</t>
  </si>
  <si>
    <t>E-0646</t>
  </si>
  <si>
    <t>E-278</t>
  </si>
  <si>
    <t>Nemitz</t>
  </si>
  <si>
    <t>E-299</t>
  </si>
  <si>
    <t>Pui</t>
  </si>
  <si>
    <t>eric.pui@hotmail.com</t>
  </si>
  <si>
    <t xml:space="preserve">jl.sawahilo raya no.738
Jembatan 5</t>
  </si>
  <si>
    <t>E-0483</t>
  </si>
  <si>
    <t>Erick</t>
  </si>
  <si>
    <t>ericputrawijaya@gmail.com</t>
  </si>
  <si>
    <t>08122879229</t>
  </si>
  <si>
    <t>Garden House GI 2 No. 1A</t>
  </si>
  <si>
    <t>E-0887</t>
  </si>
  <si>
    <t>Reanaldy</t>
  </si>
  <si>
    <t>nine_wishes@yahoo.co.id</t>
  </si>
  <si>
    <t>6285245993989</t>
  </si>
  <si>
    <t>U Raya No.21</t>
  </si>
  <si>
    <t>E-420</t>
  </si>
  <si>
    <t>E-398</t>
  </si>
  <si>
    <t>E-402</t>
  </si>
  <si>
    <t>Eric Sumartono</t>
  </si>
  <si>
    <t>+62811812117</t>
  </si>
  <si>
    <t>E-355</t>
  </si>
  <si>
    <t>Tandry</t>
  </si>
  <si>
    <t>erictandry@gmail.com</t>
  </si>
  <si>
    <t>muara karang block A35/28</t>
  </si>
  <si>
    <t>E-292</t>
  </si>
  <si>
    <t>E-0454</t>
  </si>
  <si>
    <t>Eric(Korea)</t>
  </si>
  <si>
    <t>E-0796</t>
  </si>
  <si>
    <t>Erica</t>
  </si>
  <si>
    <t>E-0506</t>
  </si>
  <si>
    <t>Erice</t>
  </si>
  <si>
    <t>erice.ong@gmail.com</t>
  </si>
  <si>
    <t>the green - vineyard DB3/11 BSD</t>
  </si>
  <si>
    <t>E-0481</t>
  </si>
  <si>
    <t>Erich</t>
  </si>
  <si>
    <t>Cuandi</t>
  </si>
  <si>
    <t>E-090</t>
  </si>
  <si>
    <t>Ericha</t>
  </si>
  <si>
    <t>Aiko</t>
  </si>
  <si>
    <t>Jl. Kartini II No. 11 Lt. 206</t>
  </si>
  <si>
    <t>E-0690</t>
  </si>
  <si>
    <t>The Ritz Carlton Pacific Place, Jakarta '+'+622187</t>
  </si>
  <si>
    <t>E-0686</t>
  </si>
  <si>
    <t>Feisal</t>
  </si>
  <si>
    <t>E-208</t>
  </si>
  <si>
    <t>E-377</t>
  </si>
  <si>
    <t>E-0485</t>
  </si>
  <si>
    <t>Luwia</t>
  </si>
  <si>
    <t>+628119883384</t>
  </si>
  <si>
    <t>E-362</t>
  </si>
  <si>
    <t>nonnanita21@yahoo.com</t>
  </si>
  <si>
    <t>Summarecon Bekasi Clutser Magnolia Blok EC no.27</t>
  </si>
  <si>
    <t>E-0447</t>
  </si>
  <si>
    <t>Ericson</t>
  </si>
  <si>
    <t>Kuintarius</t>
  </si>
  <si>
    <t>ercsnkuin@ymail.com</t>
  </si>
  <si>
    <t>E-0511</t>
  </si>
  <si>
    <t>Erie</t>
  </si>
  <si>
    <t>62818983304</t>
  </si>
  <si>
    <t>E-0902</t>
  </si>
  <si>
    <t>Erik Bangun</t>
  </si>
  <si>
    <t>Prakasa</t>
  </si>
  <si>
    <t>erikbangun6101@gmail.com</t>
  </si>
  <si>
    <t>628179952006</t>
  </si>
  <si>
    <t>E-359</t>
  </si>
  <si>
    <t>eunasius@gmail.com</t>
  </si>
  <si>
    <t>Bukit Gading Mediterania EA 15</t>
  </si>
  <si>
    <t>E-0528</t>
  </si>
  <si>
    <t>erikmeido@gmail.com</t>
  </si>
  <si>
    <t>E-0654</t>
  </si>
  <si>
    <t>0818150388</t>
  </si>
  <si>
    <t>F-0485</t>
  </si>
  <si>
    <t>Roesli</t>
  </si>
  <si>
    <t>erik@haritamineral.com</t>
  </si>
  <si>
    <t>E-0798</t>
  </si>
  <si>
    <t>E-0613</t>
  </si>
  <si>
    <t>E-0841</t>
  </si>
  <si>
    <t>Erika</t>
  </si>
  <si>
    <t>Alimin</t>
  </si>
  <si>
    <t>6281388365409</t>
  </si>
  <si>
    <t>Cluster Chopin Signature 3 No.16</t>
  </si>
  <si>
    <t>E-0772</t>
  </si>
  <si>
    <t>E-0673</t>
  </si>
  <si>
    <t>Idris</t>
  </si>
  <si>
    <t>E-0910</t>
  </si>
  <si>
    <t>Rhika</t>
  </si>
  <si>
    <t>Purwaningsih</t>
  </si>
  <si>
    <t>6285333374969</t>
  </si>
  <si>
    <t>E-093</t>
  </si>
  <si>
    <t>E-0763</t>
  </si>
  <si>
    <t>E-295</t>
  </si>
  <si>
    <t>Weinzinger</t>
  </si>
  <si>
    <t xml:space="preserve">Jl. Margasatwa Raya Pondok Labu
Komp. Margasatwa Baru A15</t>
  </si>
  <si>
    <t>E-095</t>
  </si>
  <si>
    <t>Erin</t>
  </si>
  <si>
    <t>E-409</t>
  </si>
  <si>
    <t>E-248</t>
  </si>
  <si>
    <t>Eriska</t>
  </si>
  <si>
    <t>E-098</t>
  </si>
  <si>
    <t>Erita</t>
  </si>
  <si>
    <t>Perum. Citra 2 Blok J-6 No. 9</t>
  </si>
  <si>
    <t>E-379</t>
  </si>
  <si>
    <t>Eriwaty</t>
  </si>
  <si>
    <t>Sutjipto</t>
  </si>
  <si>
    <t>E-0819</t>
  </si>
  <si>
    <t>Erizal</t>
  </si>
  <si>
    <t>Pangadegan Timur III</t>
  </si>
  <si>
    <t>E-413</t>
  </si>
  <si>
    <t>Erlangga</t>
  </si>
  <si>
    <t>E-0918</t>
  </si>
  <si>
    <t>628159248161</t>
  </si>
  <si>
    <t>E-100</t>
  </si>
  <si>
    <t>Erli</t>
  </si>
  <si>
    <t xml:space="preserve">Pluit Mas Selatan IV
Blok P No.22</t>
  </si>
  <si>
    <t>South Jakarta</t>
  </si>
  <si>
    <t>E-0920</t>
  </si>
  <si>
    <t>Erliana</t>
  </si>
  <si>
    <t>Calista Dewangga</t>
  </si>
  <si>
    <t>ercalista@gmail.com</t>
  </si>
  <si>
    <t>6287878582608</t>
  </si>
  <si>
    <t>E-0764</t>
  </si>
  <si>
    <t>Erlien</t>
  </si>
  <si>
    <t>E-0854</t>
  </si>
  <si>
    <t>Erliena</t>
  </si>
  <si>
    <t>E-283</t>
  </si>
  <si>
    <t>Erlin</t>
  </si>
  <si>
    <t>E-0674</t>
  </si>
  <si>
    <t>Erlina</t>
  </si>
  <si>
    <t>E-0647</t>
  </si>
  <si>
    <t xml:space="preserve">Jl.Kemang No.60
Komplek Arco.Depok</t>
  </si>
  <si>
    <t>E-267</t>
  </si>
  <si>
    <t>Esti</t>
  </si>
  <si>
    <t xml:space="preserve">Jl Kerinci VIII/53
Kebayoran Baru</t>
  </si>
  <si>
    <t>E-0457</t>
  </si>
  <si>
    <t>E-0696</t>
  </si>
  <si>
    <t>Lamita</t>
  </si>
  <si>
    <t>6281282025997</t>
  </si>
  <si>
    <t>E-0542</t>
  </si>
  <si>
    <t>Elliott</t>
  </si>
  <si>
    <t>Apt. Setiabudi 10-03</t>
  </si>
  <si>
    <t>E-216</t>
  </si>
  <si>
    <t>Erlinda</t>
  </si>
  <si>
    <t>Calangi</t>
  </si>
  <si>
    <t>E-0653</t>
  </si>
  <si>
    <t>Erlisa</t>
  </si>
  <si>
    <t>E-195</t>
  </si>
  <si>
    <t>Erlita</t>
  </si>
  <si>
    <t>Febriyanti</t>
  </si>
  <si>
    <t xml:space="preserve">Fame 74, Rukan Tendean Square
Jl. Wolter Mongonsidi 122-124</t>
  </si>
  <si>
    <t>E-0885</t>
  </si>
  <si>
    <t>Erliyanti</t>
  </si>
  <si>
    <t>Zainal Abidin</t>
  </si>
  <si>
    <t>t.erliyanti@gmail.com</t>
  </si>
  <si>
    <t>+628129999679</t>
  </si>
  <si>
    <t>Jl. Gading Kirana Blok H8/12A</t>
  </si>
  <si>
    <t>E-0907</t>
  </si>
  <si>
    <t>Erllexsy</t>
  </si>
  <si>
    <t>Anjarwati</t>
  </si>
  <si>
    <t>boazakaria@gmail.com</t>
  </si>
  <si>
    <t>6281912864860</t>
  </si>
  <si>
    <t>Apt Callia #3507</t>
  </si>
  <si>
    <t>E-184</t>
  </si>
  <si>
    <t>Erma</t>
  </si>
  <si>
    <t>E-154</t>
  </si>
  <si>
    <t>Je</t>
  </si>
  <si>
    <t>E-0672</t>
  </si>
  <si>
    <t>Rahmatillah</t>
  </si>
  <si>
    <t>E-0484</t>
  </si>
  <si>
    <t>Ermawan</t>
  </si>
  <si>
    <t>E-0874</t>
  </si>
  <si>
    <t>Ermidawati</t>
  </si>
  <si>
    <t>E-366</t>
  </si>
  <si>
    <t>Ermy</t>
  </si>
  <si>
    <t>Yusfa</t>
  </si>
  <si>
    <t>E-0561</t>
  </si>
  <si>
    <t>Erna</t>
  </si>
  <si>
    <t>SIRCON 67</t>
  </si>
  <si>
    <t>E-0650</t>
  </si>
  <si>
    <t>E-0737</t>
  </si>
  <si>
    <t>Firdaus</t>
  </si>
  <si>
    <t>E-0975</t>
  </si>
  <si>
    <t>Haryanti</t>
  </si>
  <si>
    <t>6287878123000</t>
  </si>
  <si>
    <t>E-0515</t>
  </si>
  <si>
    <t xml:space="preserve">Green Lake City
Australia 1 No.39</t>
  </si>
  <si>
    <t>E-400</t>
  </si>
  <si>
    <t>rna_st@yahoo.com</t>
  </si>
  <si>
    <t>Jl.Jambon No.73</t>
  </si>
  <si>
    <t>yogyakarta</t>
  </si>
  <si>
    <t>E-269</t>
  </si>
  <si>
    <t>RisRisvayani</t>
  </si>
  <si>
    <t xml:space="preserve">TamanSari Persadaraya blok 12-8
Jati bening 
Bekasi</t>
  </si>
  <si>
    <t>E-390</t>
  </si>
  <si>
    <t>Prasena</t>
  </si>
  <si>
    <t>E-276</t>
  </si>
  <si>
    <t>Suparto</t>
  </si>
  <si>
    <t>E-0889</t>
  </si>
  <si>
    <t>Erni</t>
  </si>
  <si>
    <t>Wati</t>
  </si>
  <si>
    <t>628161844221</t>
  </si>
  <si>
    <t>Gunung Sahari No. 2A</t>
  </si>
  <si>
    <t>E-0595</t>
  </si>
  <si>
    <t>Ernawati</t>
  </si>
  <si>
    <t>Trenggono</t>
  </si>
  <si>
    <t>62811913234</t>
  </si>
  <si>
    <t>Jalan Cendana Raya 89</t>
  </si>
  <si>
    <t>E-0911</t>
  </si>
  <si>
    <t>+61401596787</t>
  </si>
  <si>
    <t>E-257</t>
  </si>
  <si>
    <t>E-440</t>
  </si>
  <si>
    <t>Tahang</t>
  </si>
  <si>
    <t>E-233</t>
  </si>
  <si>
    <t>Ernes</t>
  </si>
  <si>
    <t>Saudjana</t>
  </si>
  <si>
    <t>E-0879</t>
  </si>
  <si>
    <t>Ernest</t>
  </si>
  <si>
    <t>628121323304</t>
  </si>
  <si>
    <t>Jl.Terong Gg.Berlin 3 No.10 Kec Metro Timur,Kel Iring Mulyo,Kota Metro ,Lampung</t>
  </si>
  <si>
    <t>34112</t>
  </si>
  <si>
    <t>E-0661</t>
  </si>
  <si>
    <t>Prayuda</t>
  </si>
  <si>
    <t>E-0756</t>
  </si>
  <si>
    <t>Jelambar Baru Raya No.1A</t>
  </si>
  <si>
    <t>E-0697</t>
  </si>
  <si>
    <t>Djumsar</t>
  </si>
  <si>
    <t>E-0745</t>
  </si>
  <si>
    <t>Pantai Mutiara Townhouse AB No,10 Jakarta Utara</t>
  </si>
  <si>
    <t>E-0919</t>
  </si>
  <si>
    <t>628111588896</t>
  </si>
  <si>
    <t>E-175</t>
  </si>
  <si>
    <t>Ernie</t>
  </si>
  <si>
    <t>E-101</t>
  </si>
  <si>
    <t>E-0444</t>
  </si>
  <si>
    <t>tjia.ernie@yahoo.com</t>
  </si>
  <si>
    <t>Jl. Perak blok B/18 Permata Hijau</t>
  </si>
  <si>
    <t>E-0956</t>
  </si>
  <si>
    <t>Ernizar</t>
  </si>
  <si>
    <t>nizaatanjung@gmail.com</t>
  </si>
  <si>
    <t>6282189898924</t>
  </si>
  <si>
    <t>Jl. Sakti III / 10 , kemanggisan</t>
  </si>
  <si>
    <t>E-433</t>
  </si>
  <si>
    <t>Erny</t>
  </si>
  <si>
    <t>E-0554</t>
  </si>
  <si>
    <t xml:space="preserve">TAMAN PURI BINTARO PB33/155
TANGERANG SELATAn 15413</t>
  </si>
  <si>
    <t>E-0623</t>
  </si>
  <si>
    <t>Deciany</t>
  </si>
  <si>
    <t>Jl Janur Indah 6 LA 17 NO.12 kelapa Gading</t>
  </si>
  <si>
    <t>E-0744</t>
  </si>
  <si>
    <t>Nurima</t>
  </si>
  <si>
    <t>E-0458</t>
  </si>
  <si>
    <t>Henny</t>
  </si>
  <si>
    <t>628126078800</t>
  </si>
  <si>
    <t>E-254</t>
  </si>
  <si>
    <t>Erry</t>
  </si>
  <si>
    <t>E-411</t>
  </si>
  <si>
    <t>E-176</t>
  </si>
  <si>
    <t>Ersa</t>
  </si>
  <si>
    <t>Hanifan</t>
  </si>
  <si>
    <t xml:space="preserve">Jl. Karbela 1 No. 18
Jakarta Selatan</t>
  </si>
  <si>
    <t>E-0913</t>
  </si>
  <si>
    <t>Ersam</t>
  </si>
  <si>
    <t>Ersamagussalim@gmail.com</t>
  </si>
  <si>
    <t>E-0667</t>
  </si>
  <si>
    <t>Erta</t>
  </si>
  <si>
    <t>Merviane</t>
  </si>
  <si>
    <t>E-209</t>
  </si>
  <si>
    <t>Erti</t>
  </si>
  <si>
    <t>Susilawati</t>
  </si>
  <si>
    <t>E-0948</t>
  </si>
  <si>
    <t>Erusenko</t>
  </si>
  <si>
    <t>alena.eat088@gmail.com</t>
  </si>
  <si>
    <t>+89381099421</t>
  </si>
  <si>
    <t>E-240</t>
  </si>
  <si>
    <t>Ervan</t>
  </si>
  <si>
    <t>Jl.Kirana Barat Kelapa gading</t>
  </si>
  <si>
    <t>E-0822</t>
  </si>
  <si>
    <t>Ervi</t>
  </si>
  <si>
    <t>E-166</t>
  </si>
  <si>
    <t>Tuti</t>
  </si>
  <si>
    <t>E-164</t>
  </si>
  <si>
    <t>Ervin</t>
  </si>
  <si>
    <t>Coenraad</t>
  </si>
  <si>
    <t xml:space="preserve">Jl. Hj. Batong Raya No 32
Jakarta - Selatan</t>
  </si>
  <si>
    <t>E-0884</t>
  </si>
  <si>
    <t>ervinaevi@yahoo.com</t>
  </si>
  <si>
    <t>628176749008</t>
  </si>
  <si>
    <t>Layar Permai 2 No.32C PIK JAKARTA</t>
  </si>
  <si>
    <t>E-0749</t>
  </si>
  <si>
    <t>diahervinak@gmail.com</t>
  </si>
  <si>
    <t>Prima Harapan Regency, Bekasi, 17123</t>
  </si>
  <si>
    <t>E-152</t>
  </si>
  <si>
    <t>E-0743</t>
  </si>
  <si>
    <t>Ervinna</t>
  </si>
  <si>
    <t>Tjuatja</t>
  </si>
  <si>
    <t>E-169</t>
  </si>
  <si>
    <t>Erwadi</t>
  </si>
  <si>
    <t>E-0700</t>
  </si>
  <si>
    <t>Erwan</t>
  </si>
  <si>
    <t>E-0586</t>
  </si>
  <si>
    <t>Erwanti</t>
  </si>
  <si>
    <t>E-397</t>
  </si>
  <si>
    <t>Erwin</t>
  </si>
  <si>
    <t>E-237</t>
  </si>
  <si>
    <t>E-0480</t>
  </si>
  <si>
    <t>M-1403</t>
  </si>
  <si>
    <t>E-422</t>
  </si>
  <si>
    <t>E-106</t>
  </si>
  <si>
    <t>Budhijanto</t>
  </si>
  <si>
    <t>Perum. Taman Cendana Golf</t>
  </si>
  <si>
    <t>Lippo Karawaci, Tangerang</t>
  </si>
  <si>
    <t>Jl. Cemara Golf 85</t>
  </si>
  <si>
    <t>E-148</t>
  </si>
  <si>
    <t>E-178</t>
  </si>
  <si>
    <t>E-0717</t>
  </si>
  <si>
    <t>Jefri</t>
  </si>
  <si>
    <t>6281278479316</t>
  </si>
  <si>
    <t>E-319</t>
  </si>
  <si>
    <t>Jouw</t>
  </si>
  <si>
    <t>62811972208</t>
  </si>
  <si>
    <t>Jl. Green Garden H3 No. 18, Kedoya Utara, Jakarta Barat</t>
  </si>
  <si>
    <t>E-406</t>
  </si>
  <si>
    <t>E-0903</t>
  </si>
  <si>
    <t>6281350005500</t>
  </si>
  <si>
    <t>E-0525</t>
  </si>
  <si>
    <t>Parengkuan</t>
  </si>
  <si>
    <t>E-408</t>
  </si>
  <si>
    <t>Jl, Taman Lebak Bulus III Blok X No 8</t>
  </si>
  <si>
    <t>E-0488</t>
  </si>
  <si>
    <t>E-0640</t>
  </si>
  <si>
    <t xml:space="preserve">Jl pantai indah Timur, taman Grisenda Blok D No.11
PIK</t>
  </si>
  <si>
    <t>M-1124</t>
  </si>
  <si>
    <t>Tanudjaja</t>
  </si>
  <si>
    <t>6282113500139</t>
  </si>
  <si>
    <t>E-356</t>
  </si>
  <si>
    <t>E-0621</t>
  </si>
  <si>
    <t>Hasiholan</t>
  </si>
  <si>
    <t>E-107</t>
  </si>
  <si>
    <t>E-0664</t>
  </si>
  <si>
    <t>E-108</t>
  </si>
  <si>
    <t>Yosef</t>
  </si>
  <si>
    <t>10th FL. Graha Kirana Bldg #1008</t>
  </si>
  <si>
    <t>Jl. Yos Sudarso 88</t>
  </si>
  <si>
    <t>E-252</t>
  </si>
  <si>
    <t>Erwina</t>
  </si>
  <si>
    <t>E-0657</t>
  </si>
  <si>
    <t>Ery</t>
  </si>
  <si>
    <t>E-0916</t>
  </si>
  <si>
    <t>Ery Santi</t>
  </si>
  <si>
    <t>Nelda</t>
  </si>
  <si>
    <t>erynelda1980@gmail.com</t>
  </si>
  <si>
    <t>6281297229963</t>
  </si>
  <si>
    <t>Casa De Ross Residence Jl.Kai 1 No6 Jagakarsa</t>
  </si>
  <si>
    <t>E-220</t>
  </si>
  <si>
    <t>JL. Gereja Theresia I8</t>
  </si>
  <si>
    <t>E-417</t>
  </si>
  <si>
    <t>Yunasri</t>
  </si>
  <si>
    <t>E-0509</t>
  </si>
  <si>
    <t>Esa</t>
  </si>
  <si>
    <t>E-0738</t>
  </si>
  <si>
    <t>Esa Bagus</t>
  </si>
  <si>
    <t>Ariesta</t>
  </si>
  <si>
    <t>+628121860048</t>
  </si>
  <si>
    <t xml:space="preserve">kelapa puan timur 2 No.42, blok NB3
kelapa gading</t>
  </si>
  <si>
    <t>E-147</t>
  </si>
  <si>
    <t>E-0791</t>
  </si>
  <si>
    <t>Escalante</t>
  </si>
  <si>
    <t>Bvlgari Villa #45</t>
  </si>
  <si>
    <t>E-0790</t>
  </si>
  <si>
    <t>Paula</t>
  </si>
  <si>
    <t>Bvlgari Villa #44</t>
  </si>
  <si>
    <t>E-0473</t>
  </si>
  <si>
    <t>Escy</t>
  </si>
  <si>
    <t>Soeleiman</t>
  </si>
  <si>
    <t>E-0831</t>
  </si>
  <si>
    <t>Esi</t>
  </si>
  <si>
    <t xml:space="preserve">Jl.Tebet Timur Dalam 1G No.2
Jaksel</t>
  </si>
  <si>
    <t>E-0805</t>
  </si>
  <si>
    <t>Eskiocak</t>
  </si>
  <si>
    <t>Sezin</t>
  </si>
  <si>
    <t>E-0751</t>
  </si>
  <si>
    <t>Esmeralda</t>
  </si>
  <si>
    <t>Rosita</t>
  </si>
  <si>
    <t>Jalan cipayung 1 no.20 Rawabarat</t>
  </si>
  <si>
    <t>E-159</t>
  </si>
  <si>
    <t>Esperanza</t>
  </si>
  <si>
    <t>Castibianco</t>
  </si>
  <si>
    <t>E-217</t>
  </si>
  <si>
    <t>Estelita</t>
  </si>
  <si>
    <t>E-0539</t>
  </si>
  <si>
    <t>E-0814</t>
  </si>
  <si>
    <t>E-0493</t>
  </si>
  <si>
    <t>Chatarina</t>
  </si>
  <si>
    <t>E-157</t>
  </si>
  <si>
    <t>Lusia</t>
  </si>
  <si>
    <t>E-139</t>
  </si>
  <si>
    <t>Mellana</t>
  </si>
  <si>
    <t>E-193</t>
  </si>
  <si>
    <t>Tanzil</t>
  </si>
  <si>
    <t>E-0971</t>
  </si>
  <si>
    <t>628118844236</t>
  </si>
  <si>
    <t>E-0844</t>
  </si>
  <si>
    <t>Estharia</t>
  </si>
  <si>
    <t>Eliazar</t>
  </si>
  <si>
    <t>estharia_e98@yahoo.com</t>
  </si>
  <si>
    <t xml:space="preserve">Appart. Kedoya Elok S1704
Jakarta - Barat 11520</t>
  </si>
  <si>
    <t>E-0544</t>
  </si>
  <si>
    <t>Esther</t>
  </si>
  <si>
    <t>Jl. Gading Griya Lestari CI/79</t>
  </si>
  <si>
    <t>E-261</t>
  </si>
  <si>
    <t>Darmaris</t>
  </si>
  <si>
    <t>Apt. Pacific Place</t>
  </si>
  <si>
    <t>E-0880</t>
  </si>
  <si>
    <t>Polii</t>
  </si>
  <si>
    <t>E-0655</t>
  </si>
  <si>
    <t>Arimi Putri</t>
  </si>
  <si>
    <t>62811840612</t>
  </si>
  <si>
    <t>E-0562</t>
  </si>
  <si>
    <t>Dwiyanti</t>
  </si>
  <si>
    <t>E-0942</t>
  </si>
  <si>
    <t>estirahayu281195@gmail.com</t>
  </si>
  <si>
    <t>+6281289747165</t>
  </si>
  <si>
    <t>E-0702</t>
  </si>
  <si>
    <t>Estrella</t>
  </si>
  <si>
    <t>Advensia</t>
  </si>
  <si>
    <t>E-344</t>
  </si>
  <si>
    <t>Esty</t>
  </si>
  <si>
    <t>E-0829</t>
  </si>
  <si>
    <t>Etha</t>
  </si>
  <si>
    <t>Rimba</t>
  </si>
  <si>
    <t>Senayan Golf Residence East Point No.1 A</t>
  </si>
  <si>
    <t>E-376</t>
  </si>
  <si>
    <t>Eti</t>
  </si>
  <si>
    <t>Eryani</t>
  </si>
  <si>
    <t>kith_905@yahoo.com</t>
  </si>
  <si>
    <t>Apartement Sherwood Residence tower Richmond . no 605</t>
  </si>
  <si>
    <t>kelapa gading jask sel</t>
  </si>
  <si>
    <t>E-113</t>
  </si>
  <si>
    <t>Etika</t>
  </si>
  <si>
    <t>E-0715</t>
  </si>
  <si>
    <t>Widiarti</t>
  </si>
  <si>
    <t>Tebet Jakarta- Indonesia 12820</t>
  </si>
  <si>
    <t>E-290</t>
  </si>
  <si>
    <t>Etriel</t>
  </si>
  <si>
    <t>Moslim</t>
  </si>
  <si>
    <t>E-114</t>
  </si>
  <si>
    <t>Etta</t>
  </si>
  <si>
    <t xml:space="preserve">Komplek Marinir
Jl.Usman 4 Cilandak</t>
  </si>
  <si>
    <t>E-0750</t>
  </si>
  <si>
    <t>Etty</t>
  </si>
  <si>
    <t>Albugis</t>
  </si>
  <si>
    <t>E-183</t>
  </si>
  <si>
    <t>Bachrie</t>
  </si>
  <si>
    <t>62811809809</t>
  </si>
  <si>
    <t>E-117</t>
  </si>
  <si>
    <t>E-351</t>
  </si>
  <si>
    <t>Ety</t>
  </si>
  <si>
    <t>E-0781</t>
  </si>
  <si>
    <t>Eugene</t>
  </si>
  <si>
    <t>Darsono</t>
  </si>
  <si>
    <t>eugene121705@gmail.com</t>
  </si>
  <si>
    <t>E-0894</t>
  </si>
  <si>
    <t>Euibum</t>
  </si>
  <si>
    <t>ebum0814@gmail.com</t>
  </si>
  <si>
    <t>628113219287</t>
  </si>
  <si>
    <t>E-0828</t>
  </si>
  <si>
    <t>Euis</t>
  </si>
  <si>
    <t>E-0931</t>
  </si>
  <si>
    <t>euisade_27@yahoo.com</t>
  </si>
  <si>
    <t>628128582011</t>
  </si>
  <si>
    <t>Jl. Masjid I No. 6, Jakarta Pusat</t>
  </si>
  <si>
    <t>E-0594</t>
  </si>
  <si>
    <t>Mulyati</t>
  </si>
  <si>
    <t>JL Wirajati I/Y-13 Waringin Permai , Cipinang Melayu</t>
  </si>
  <si>
    <t>E-163</t>
  </si>
  <si>
    <t>Wahyuningrum</t>
  </si>
  <si>
    <t xml:space="preserve">Jl. Bangka IXB No.2
Jakarta 12720</t>
  </si>
  <si>
    <t>E-118</t>
  </si>
  <si>
    <t>Eum</t>
  </si>
  <si>
    <t>( +6221 ) 2750 5283</t>
  </si>
  <si>
    <t>Residence Pakubuwono Bass Wood 11 E</t>
  </si>
  <si>
    <t>E-0964</t>
  </si>
  <si>
    <t>Eun David</t>
  </si>
  <si>
    <t>Hyunbin</t>
  </si>
  <si>
    <t>davideunkorea@gmail.com</t>
  </si>
  <si>
    <t>19172802780</t>
  </si>
  <si>
    <t>E-0963</t>
  </si>
  <si>
    <t>Eun Jeong</t>
  </si>
  <si>
    <t>ehonia20012@naver.com</t>
  </si>
  <si>
    <t>+821029870866</t>
  </si>
  <si>
    <t>E-341</t>
  </si>
  <si>
    <t>Eun</t>
  </si>
  <si>
    <t>Jeoung</t>
  </si>
  <si>
    <t>E-0695</t>
  </si>
  <si>
    <t>leeeunkyoung35@gmail.com</t>
  </si>
  <si>
    <t xml:space="preserve">50 B  Pakubuwono Signature .
Jl, Pakubuwono</t>
  </si>
  <si>
    <t>E-0752</t>
  </si>
  <si>
    <t>eunlee7586@gmail.com</t>
  </si>
  <si>
    <t>+6281382287586</t>
  </si>
  <si>
    <t>E-0671</t>
  </si>
  <si>
    <t>E-0760</t>
  </si>
  <si>
    <t>Eunbee</t>
  </si>
  <si>
    <t>Joung</t>
  </si>
  <si>
    <t>E-0465</t>
  </si>
  <si>
    <t>Eunice</t>
  </si>
  <si>
    <t>E-0851</t>
  </si>
  <si>
    <t>Euniceliman21@gmail.com</t>
  </si>
  <si>
    <t>6281902888885</t>
  </si>
  <si>
    <t>Jl. Kapten Tendean No. 7</t>
  </si>
  <si>
    <t>E-0865</t>
  </si>
  <si>
    <t>Eunju</t>
  </si>
  <si>
    <t>ju1923@naver.com</t>
  </si>
  <si>
    <t>E-437</t>
  </si>
  <si>
    <t>Eva</t>
  </si>
  <si>
    <t>E-321</t>
  </si>
  <si>
    <t>Adilya</t>
  </si>
  <si>
    <t>E-0776</t>
  </si>
  <si>
    <t>+6281288893249</t>
  </si>
  <si>
    <t>E-121</t>
  </si>
  <si>
    <t>E-373</t>
  </si>
  <si>
    <t xml:space="preserve">JL. Kembangan Raya 
Permata Puri Media Blok B6 No.34</t>
  </si>
  <si>
    <t>E-136</t>
  </si>
  <si>
    <t>E-0514</t>
  </si>
  <si>
    <t>wibisono</t>
  </si>
  <si>
    <t>E-122</t>
  </si>
  <si>
    <t>Hera</t>
  </si>
  <si>
    <t>62818199990</t>
  </si>
  <si>
    <t>Jl. Asemdua No. 59B</t>
  </si>
  <si>
    <t>E-0609</t>
  </si>
  <si>
    <t>Kurniaty</t>
  </si>
  <si>
    <t>628121116333</t>
  </si>
  <si>
    <t>E-0896</t>
  </si>
  <si>
    <t>Shafa</t>
  </si>
  <si>
    <t>Komplek Baros, Jl. Hasanudin Blok H No. 190, Cimahi, Bandung 40521</t>
  </si>
  <si>
    <t>E-211</t>
  </si>
  <si>
    <t>628121007099</t>
  </si>
  <si>
    <t>E-0644</t>
  </si>
  <si>
    <t>E-0788</t>
  </si>
  <si>
    <t>Sahara</t>
  </si>
  <si>
    <t>6287777112172</t>
  </si>
  <si>
    <t xml:space="preserve">Jl.Sekolah Duta 3 PC 26
Pondok Indah</t>
  </si>
  <si>
    <t>12310</t>
  </si>
  <si>
    <t>M-1447</t>
  </si>
  <si>
    <t>Samihah.</t>
  </si>
  <si>
    <t>E-0570</t>
  </si>
  <si>
    <t>Sasingen</t>
  </si>
  <si>
    <t>Jl Bengawan solo 188</t>
  </si>
  <si>
    <t>E-427</t>
  </si>
  <si>
    <t>Selpiana</t>
  </si>
  <si>
    <t>eva03.selpiana@gmail.com</t>
  </si>
  <si>
    <t>Jln Teuku Cik Ditiro no.20 Apartmen Menteng Residence</t>
  </si>
  <si>
    <t>E-0801</t>
  </si>
  <si>
    <t>E-0683</t>
  </si>
  <si>
    <t>Jadeite residence</t>
  </si>
  <si>
    <t>E-0617</t>
  </si>
  <si>
    <t>Evan</t>
  </si>
  <si>
    <t>Hutono</t>
  </si>
  <si>
    <t>E-0559</t>
  </si>
  <si>
    <t>Candid</t>
  </si>
  <si>
    <t>E-0914</t>
  </si>
  <si>
    <t>Leslie</t>
  </si>
  <si>
    <t>6287882536777</t>
  </si>
  <si>
    <t>Villa Permata Gading Jl. Jamrud III Blok G No. 51</t>
  </si>
  <si>
    <t>E-0843</t>
  </si>
  <si>
    <t>Evanawati</t>
  </si>
  <si>
    <t>Sarkawi</t>
  </si>
  <si>
    <t>sarkawi14@yahoo.com</t>
  </si>
  <si>
    <t>Jl. Pluit Permai 8 No 1</t>
  </si>
  <si>
    <t>E-124</t>
  </si>
  <si>
    <t>Evayanti</t>
  </si>
  <si>
    <t>evayantiAN@yahoo.com</t>
  </si>
  <si>
    <t>Jl. Cendana no 7B</t>
  </si>
  <si>
    <t>M-1439</t>
  </si>
  <si>
    <t>62811829254</t>
  </si>
  <si>
    <t>E-0705</t>
  </si>
  <si>
    <t>Evelin</t>
  </si>
  <si>
    <t>E-172</t>
  </si>
  <si>
    <t>E-0645</t>
  </si>
  <si>
    <t>Evelin Angriani</t>
  </si>
  <si>
    <t>Angara</t>
  </si>
  <si>
    <t>+62816852824</t>
  </si>
  <si>
    <t xml:space="preserve">Apartment Capital Residence Unit 3-26C
Kawasan SCBD</t>
  </si>
  <si>
    <t>M-1265</t>
  </si>
  <si>
    <t>Kargito</t>
  </si>
  <si>
    <t>E-0935</t>
  </si>
  <si>
    <t>Evelina Dichupa</t>
  </si>
  <si>
    <t>Juaneza</t>
  </si>
  <si>
    <t>evelinajuaneza@yhaoo.com</t>
  </si>
  <si>
    <t>639778496743</t>
  </si>
  <si>
    <t>E-404</t>
  </si>
  <si>
    <t>Evelina</t>
  </si>
  <si>
    <t>Petruschka</t>
  </si>
  <si>
    <t>E-0571</t>
  </si>
  <si>
    <t>Eveline</t>
  </si>
  <si>
    <t>E-0513</t>
  </si>
  <si>
    <t>E-0817</t>
  </si>
  <si>
    <t>Evelyn</t>
  </si>
  <si>
    <t>The Royale Spring hill residences, tower Magnolia, 9A Pademangan</t>
  </si>
  <si>
    <t>E-274</t>
  </si>
  <si>
    <t>E-0917</t>
  </si>
  <si>
    <t>Hadi</t>
  </si>
  <si>
    <t>6281332275888</t>
  </si>
  <si>
    <t>Manyar Kertoarjo 3 No. 47, Kelurahan Manyar Sabrangan, Kecamatan Mulyorejo, Kode Pos 60116</t>
  </si>
  <si>
    <t>E-0529</t>
  </si>
  <si>
    <t>Oktavianti</t>
  </si>
  <si>
    <t>E-0576</t>
  </si>
  <si>
    <t>E-0878</t>
  </si>
  <si>
    <t>evelynchr@yahoo.com</t>
  </si>
  <si>
    <t>+6282243888828</t>
  </si>
  <si>
    <t>E-0933</t>
  </si>
  <si>
    <t>Ronny</t>
  </si>
  <si>
    <t>6281360932900</t>
  </si>
  <si>
    <t>Sumatera</t>
  </si>
  <si>
    <t>E-0881</t>
  </si>
  <si>
    <t>Susantyo</t>
  </si>
  <si>
    <t>628111080610</t>
  </si>
  <si>
    <t>E-0689</t>
  </si>
  <si>
    <t>Viany</t>
  </si>
  <si>
    <t>E-333</t>
  </si>
  <si>
    <t>Evert</t>
  </si>
  <si>
    <t>E-0900</t>
  </si>
  <si>
    <t>Evgeniia</t>
  </si>
  <si>
    <t>Reinbakh</t>
  </si>
  <si>
    <t>+79119628384</t>
  </si>
  <si>
    <t>E-0710</t>
  </si>
  <si>
    <t>E-312</t>
  </si>
  <si>
    <t>E-0868</t>
  </si>
  <si>
    <t>+6281806118718</t>
  </si>
  <si>
    <t xml:space="preserve">KPAD Cijantung II Jl. Anyelir F1 (Depan TK Kartika Pasar Rebo) Jakarta Timur 13760
</t>
  </si>
  <si>
    <t>E-0930</t>
  </si>
  <si>
    <t>Agustina Wijaya</t>
  </si>
  <si>
    <t>eviagustina@way.gmail.com</t>
  </si>
  <si>
    <t>6287770777831</t>
  </si>
  <si>
    <t>Pantai Mutiara, Jakarta</t>
  </si>
  <si>
    <t>E-0775</t>
  </si>
  <si>
    <t>cvimdp@yahoo.com</t>
  </si>
  <si>
    <t>Jl.Cendrawasih no.15</t>
  </si>
  <si>
    <t>E-0685</t>
  </si>
  <si>
    <t>E-126</t>
  </si>
  <si>
    <t>Jl. Taman Duta Mas Blok C-5 No. 12</t>
  </si>
  <si>
    <t>E-0537</t>
  </si>
  <si>
    <t>Hendrawati</t>
  </si>
  <si>
    <t>Jl.Kaswari Gg.III A NO.9</t>
  </si>
  <si>
    <t>E-127</t>
  </si>
  <si>
    <t>Jl. Taman Modern Blok C2 No. 30</t>
  </si>
  <si>
    <t>E-0614</t>
  </si>
  <si>
    <t>Irmayanti</t>
  </si>
  <si>
    <t>E-0800</t>
  </si>
  <si>
    <t>Kumendang</t>
  </si>
  <si>
    <t>E-0663</t>
  </si>
  <si>
    <t>Leonora</t>
  </si>
  <si>
    <t>E-285</t>
  </si>
  <si>
    <t>E-0895</t>
  </si>
  <si>
    <t>Evi Mariani</t>
  </si>
  <si>
    <t>Tay</t>
  </si>
  <si>
    <t>evimarianitay@gmail.com</t>
  </si>
  <si>
    <t>+6281270885588</t>
  </si>
  <si>
    <t>Jl.Bukit Asri XII ,Perumahan Citra 1 Jakarta Barat</t>
  </si>
  <si>
    <t>E-418</t>
  </si>
  <si>
    <t>Gunardi</t>
  </si>
  <si>
    <t>Jl. Pangeran Antasari Komplek Executive Paradise Blok E.4 Cilandak</t>
  </si>
  <si>
    <t>E-0795</t>
  </si>
  <si>
    <t>Nofianty</t>
  </si>
  <si>
    <t>tambun</t>
  </si>
  <si>
    <t>bekasi</t>
  </si>
  <si>
    <t>E-414</t>
  </si>
  <si>
    <t>pangestu2309@yahoo.com</t>
  </si>
  <si>
    <t>E-429</t>
  </si>
  <si>
    <t>Santi</t>
  </si>
  <si>
    <t>eviesantrie@yahoo.com</t>
  </si>
  <si>
    <t>E-128</t>
  </si>
  <si>
    <t>Sofyar</t>
  </si>
  <si>
    <t xml:space="preserve">Jl. Mesjid Baitul Ula No. 45
Cirendeu, Ciputat</t>
  </si>
  <si>
    <t>E-229</t>
  </si>
  <si>
    <t>E-0680</t>
  </si>
  <si>
    <t>Tjandranimpuno</t>
  </si>
  <si>
    <t>evi6775@gmail.com</t>
  </si>
  <si>
    <t>6281584003888</t>
  </si>
  <si>
    <t>E-0925</t>
  </si>
  <si>
    <t>6281315966666</t>
  </si>
  <si>
    <t>E-0635</t>
  </si>
  <si>
    <t>Eviana</t>
  </si>
  <si>
    <t>Warella</t>
  </si>
  <si>
    <t>E-161</t>
  </si>
  <si>
    <t>Evie</t>
  </si>
  <si>
    <t>Iswan</t>
  </si>
  <si>
    <t>E-407</t>
  </si>
  <si>
    <t>Jovi</t>
  </si>
  <si>
    <t>evijovi@gmail.com</t>
  </si>
  <si>
    <t>Apartement Park Royale Tower 2 Jl.Gatsu Kav 35</t>
  </si>
  <si>
    <t>E-0799</t>
  </si>
  <si>
    <t>Tata</t>
  </si>
  <si>
    <t>E-182</t>
  </si>
  <si>
    <t>Wardhani</t>
  </si>
  <si>
    <t xml:space="preserve">Apt. Mediterania Palace Kemayoran
Tower B#7C/C Jl. Landas Pacu Utara Selatan</t>
  </si>
  <si>
    <t>E-0711</t>
  </si>
  <si>
    <t>Evilin</t>
  </si>
  <si>
    <t>E-0731</t>
  </si>
  <si>
    <t>Evita</t>
  </si>
  <si>
    <t>Baliana</t>
  </si>
  <si>
    <t>Villa 25</t>
  </si>
  <si>
    <t>E-0849</t>
  </si>
  <si>
    <t>Sujianto</t>
  </si>
  <si>
    <t>082157607272</t>
  </si>
  <si>
    <t>E-436</t>
  </si>
  <si>
    <t>E-0581</t>
  </si>
  <si>
    <t>Evizal</t>
  </si>
  <si>
    <t>Murin</t>
  </si>
  <si>
    <t>E-0557</t>
  </si>
  <si>
    <t>Evone</t>
  </si>
  <si>
    <t>Susan</t>
  </si>
  <si>
    <t>E-0732</t>
  </si>
  <si>
    <t>Evy</t>
  </si>
  <si>
    <t>E-0452</t>
  </si>
  <si>
    <t>Firdayanti</t>
  </si>
  <si>
    <t>E-0818</t>
  </si>
  <si>
    <t>E-0675</t>
  </si>
  <si>
    <t>Pramita</t>
  </si>
  <si>
    <t>evy_pramita@yahoo.com</t>
  </si>
  <si>
    <t>+62811133634</t>
  </si>
  <si>
    <t>E-293</t>
  </si>
  <si>
    <t>Budiarty</t>
  </si>
  <si>
    <t>Rungkut Asri Barat 7/19</t>
  </si>
  <si>
    <t>E-0587</t>
  </si>
  <si>
    <t>Puri Nirwana 1 B;ok C. 17-18</t>
  </si>
  <si>
    <t>E-0601</t>
  </si>
  <si>
    <t>Suryadinata</t>
  </si>
  <si>
    <t>+62811831873</t>
  </si>
  <si>
    <t>E-0579</t>
  </si>
  <si>
    <t>puspamaliki@yahoo.com</t>
  </si>
  <si>
    <t xml:space="preserve">Jl Kecapi V
Villa Padi no. PW 04
Jagakarsa
Jakarta Selatan</t>
  </si>
  <si>
    <t>E-266</t>
  </si>
  <si>
    <t>yulinda</t>
  </si>
  <si>
    <t>E-0804</t>
  </si>
  <si>
    <t>Ewadus</t>
  </si>
  <si>
    <t>Marjan</t>
  </si>
  <si>
    <t>Jl.Perigi No.21 RT 07/08. Kelurahan Nyomplong. Kecamatan Warudoyong.</t>
  </si>
  <si>
    <t>Sukabumi</t>
  </si>
  <si>
    <t>E-0932</t>
  </si>
  <si>
    <t>Exacty</t>
  </si>
  <si>
    <t>Sryantoro</t>
  </si>
  <si>
    <t>itasahid@gmail.com</t>
  </si>
  <si>
    <t>E-0660</t>
  </si>
  <si>
    <t>Eyke</t>
  </si>
  <si>
    <t>E-0972</t>
  </si>
  <si>
    <t>Eyleny</t>
  </si>
  <si>
    <t>eylenymaisyahfitri.dv@gmail.com</t>
  </si>
  <si>
    <t>62812880880189</t>
  </si>
  <si>
    <t>E-0566</t>
  </si>
  <si>
    <t>Ezra</t>
  </si>
  <si>
    <t>Soetopo</t>
  </si>
  <si>
    <t>E-0892</t>
  </si>
  <si>
    <t>Ezy Fauzy</t>
  </si>
  <si>
    <t>Abdillah</t>
  </si>
  <si>
    <t>+6281316325216</t>
  </si>
  <si>
    <t>F-0383</t>
  </si>
  <si>
    <t>Omas</t>
  </si>
  <si>
    <t>Taman Bromo Jl Garang Hijau No 19 Lippo Village Tangerang</t>
  </si>
  <si>
    <t>F-0607</t>
  </si>
  <si>
    <t>fxbambang@yahoo.com</t>
  </si>
  <si>
    <t>62811385672</t>
  </si>
  <si>
    <t>F-0663</t>
  </si>
  <si>
    <t>F.</t>
  </si>
  <si>
    <t>I</t>
  </si>
  <si>
    <t>F-0671</t>
  </si>
  <si>
    <t>F-0645</t>
  </si>
  <si>
    <t>Fabella</t>
  </si>
  <si>
    <t>The Orchad Sumarecon</t>
  </si>
  <si>
    <t>F-134</t>
  </si>
  <si>
    <t>Fabian</t>
  </si>
  <si>
    <t>F-180</t>
  </si>
  <si>
    <t>F-0799</t>
  </si>
  <si>
    <t>Widiyantono</t>
  </si>
  <si>
    <t>6285704753192</t>
  </si>
  <si>
    <t>Jl. Porselin</t>
  </si>
  <si>
    <t>F-0821</t>
  </si>
  <si>
    <t>Fabien</t>
  </si>
  <si>
    <t>Risse</t>
  </si>
  <si>
    <t>gabienrisse@me.com</t>
  </si>
  <si>
    <t>41796162842</t>
  </si>
  <si>
    <t>F-0804</t>
  </si>
  <si>
    <t>Febio</t>
  </si>
  <si>
    <t>Fabio</t>
  </si>
  <si>
    <t>6285283077218</t>
  </si>
  <si>
    <t>F-0746</t>
  </si>
  <si>
    <t>+6281558908989</t>
  </si>
  <si>
    <t>F-0813</t>
  </si>
  <si>
    <t>Fabiola</t>
  </si>
  <si>
    <t>Cressentia</t>
  </si>
  <si>
    <t>fabiola.cressentia2f@gmail.com</t>
  </si>
  <si>
    <t>6282119880088</t>
  </si>
  <si>
    <t>F-0728</t>
  </si>
  <si>
    <t>Waya</t>
  </si>
  <si>
    <t>F-0828</t>
  </si>
  <si>
    <t>Jauwanto</t>
  </si>
  <si>
    <t>lolaafabiolla@gmail.com</t>
  </si>
  <si>
    <t>6281211077137</t>
  </si>
  <si>
    <t>F-262</t>
  </si>
  <si>
    <t>Fabrice</t>
  </si>
  <si>
    <t>Honore</t>
  </si>
  <si>
    <t>F-0593</t>
  </si>
  <si>
    <t>Fachri</t>
  </si>
  <si>
    <t>F-0581</t>
  </si>
  <si>
    <t>Fachrudin</t>
  </si>
  <si>
    <t xml:space="preserve">VILLA BUKIT REGENCY PC6/23
SURABAYA</t>
  </si>
  <si>
    <t>F-0574</t>
  </si>
  <si>
    <t>F-270</t>
  </si>
  <si>
    <t>Fachrul</t>
  </si>
  <si>
    <t>Rozi</t>
  </si>
  <si>
    <t>F-153</t>
  </si>
  <si>
    <t>Fadhil</t>
  </si>
  <si>
    <t>satria</t>
  </si>
  <si>
    <t>F-0508</t>
  </si>
  <si>
    <t>Fadhila</t>
  </si>
  <si>
    <t>Hijrya</t>
  </si>
  <si>
    <t>Jl Asem Dua No. 50</t>
  </si>
  <si>
    <t>F-0687</t>
  </si>
  <si>
    <t>Fadillah</t>
  </si>
  <si>
    <t>F-116</t>
  </si>
  <si>
    <t>Fadjraa</t>
  </si>
  <si>
    <t>Oemar</t>
  </si>
  <si>
    <t>F-0655</t>
  </si>
  <si>
    <t>Fadlan</t>
  </si>
  <si>
    <t>Holau</t>
  </si>
  <si>
    <t xml:space="preserve">Bukit Cantika no 21
Kp Makasar</t>
  </si>
  <si>
    <t>F-0497</t>
  </si>
  <si>
    <t>Fadli</t>
  </si>
  <si>
    <t>Suwondo</t>
  </si>
  <si>
    <t>Casa Jardin D6/8</t>
  </si>
  <si>
    <t>F-0817</t>
  </si>
  <si>
    <t>6282288000088</t>
  </si>
  <si>
    <t>F-0535</t>
  </si>
  <si>
    <t>Fadlun</t>
  </si>
  <si>
    <t>F-120</t>
  </si>
  <si>
    <t>Umar</t>
  </si>
  <si>
    <t>F-003</t>
  </si>
  <si>
    <t>Fadly</t>
  </si>
  <si>
    <t>Jl. Panglima Polim Raya 116</t>
  </si>
  <si>
    <t>F-0626</t>
  </si>
  <si>
    <t>Kalibata Utara II, Jakarta</t>
  </si>
  <si>
    <t>F-0530</t>
  </si>
  <si>
    <t>Jl. Batu Mustika Perum Bukit Sira Blok E No. 3 Pengawu</t>
  </si>
  <si>
    <t>F-0747</t>
  </si>
  <si>
    <t>Samad</t>
  </si>
  <si>
    <t>F-0577</t>
  </si>
  <si>
    <t>Fadoua</t>
  </si>
  <si>
    <t>F-127</t>
  </si>
  <si>
    <t>Fahad</t>
  </si>
  <si>
    <t>F-321</t>
  </si>
  <si>
    <t>Alemizi</t>
  </si>
  <si>
    <t>F-0615</t>
  </si>
  <si>
    <t>Fahmeed</t>
  </si>
  <si>
    <t>Farooq</t>
  </si>
  <si>
    <t>F-0517</t>
  </si>
  <si>
    <t>F-005</t>
  </si>
  <si>
    <t>F-0504</t>
  </si>
  <si>
    <t>F-0769</t>
  </si>
  <si>
    <t>Aulani</t>
  </si>
  <si>
    <t>aulanifahmi@gmail.com</t>
  </si>
  <si>
    <t>+6285777771420</t>
  </si>
  <si>
    <t>F-0374</t>
  </si>
  <si>
    <t>Fahreja</t>
  </si>
  <si>
    <t>F-006</t>
  </si>
  <si>
    <t>Fahri</t>
  </si>
  <si>
    <t>F-0425</t>
  </si>
  <si>
    <t>Fahrina</t>
  </si>
  <si>
    <t>Tjong</t>
  </si>
  <si>
    <t>+62816771902</t>
  </si>
  <si>
    <t xml:space="preserve">Taman Kedoya Baru Residence Blok F2 No. 16, Jakarta Barat 11520
</t>
  </si>
  <si>
    <t>F-0516</t>
  </si>
  <si>
    <t>Fahriyandi</t>
  </si>
  <si>
    <t xml:space="preserve">Jl Tulodong bawah 2 No.2, Kebayoran baru
Jaksel</t>
  </si>
  <si>
    <t>F-0353</t>
  </si>
  <si>
    <t>Fahrizal</t>
  </si>
  <si>
    <t>fahrizalakpol@gmail.com</t>
  </si>
  <si>
    <t>Jl. Pukat III No.24</t>
  </si>
  <si>
    <t>F-150</t>
  </si>
  <si>
    <t>Zein</t>
  </si>
  <si>
    <t>F-0660</t>
  </si>
  <si>
    <t>Fahrul</t>
  </si>
  <si>
    <t>fahrul_roche@yahoo.com</t>
  </si>
  <si>
    <t>+628111042283</t>
  </si>
  <si>
    <t>F-263</t>
  </si>
  <si>
    <t>Fahrur</t>
  </si>
  <si>
    <t>Perumahan Permata Mediterania</t>
  </si>
  <si>
    <t>F-0489</t>
  </si>
  <si>
    <t>Faiez</t>
  </si>
  <si>
    <t>Pisal</t>
  </si>
  <si>
    <t>F-0460</t>
  </si>
  <si>
    <t>Fairid</t>
  </si>
  <si>
    <t>Naparin</t>
  </si>
  <si>
    <t>F-0685</t>
  </si>
  <si>
    <t>Fairino</t>
  </si>
  <si>
    <t>Priya</t>
  </si>
  <si>
    <t>F-164</t>
  </si>
  <si>
    <t>Fairus</t>
  </si>
  <si>
    <t>F-0653</t>
  </si>
  <si>
    <t>Fairuz chairunisa</t>
  </si>
  <si>
    <t>Chairunisa</t>
  </si>
  <si>
    <t>+6281380022448</t>
  </si>
  <si>
    <t>F-0732</t>
  </si>
  <si>
    <t>Fairuz</t>
  </si>
  <si>
    <t>El Fouz</t>
  </si>
  <si>
    <t>+6282217170616</t>
  </si>
  <si>
    <t>Kota Wisata Cibubur, Bogor 16968</t>
  </si>
  <si>
    <t>F-009</t>
  </si>
  <si>
    <t>Fais</t>
  </si>
  <si>
    <t>Nasareth</t>
  </si>
  <si>
    <t>Jl. Raya Lenteng Agung 42</t>
  </si>
  <si>
    <t>F-0778</t>
  </si>
  <si>
    <t>Alamoudi</t>
  </si>
  <si>
    <t>966507650924</t>
  </si>
  <si>
    <t>F-0629</t>
  </si>
  <si>
    <t>Jl.Mayor Oking Kristal Garden D2 No.5</t>
  </si>
  <si>
    <t>F-0424</t>
  </si>
  <si>
    <t>F-007</t>
  </si>
  <si>
    <t>Benda Residence No. 7B, Jalan Benda Atas, Kemang Selatan</t>
  </si>
  <si>
    <t>F-261</t>
  </si>
  <si>
    <t>Faisol</t>
  </si>
  <si>
    <t>Riza</t>
  </si>
  <si>
    <t>Casa Royal unit 5 Jl. Asem dua, Cipete</t>
  </si>
  <si>
    <t>F-0780</t>
  </si>
  <si>
    <t>Faith</t>
  </si>
  <si>
    <t>Rosenfeld</t>
  </si>
  <si>
    <t>Faith@peapond.net</t>
  </si>
  <si>
    <t>19142347702</t>
  </si>
  <si>
    <t>F-0567</t>
  </si>
  <si>
    <t>Faizal</t>
  </si>
  <si>
    <t>F-0571</t>
  </si>
  <si>
    <t xml:space="preserve">Jl.Lintas Sumatra no.10
Gunung Sugih Baru
Tegineneng - Pesawaran - Lampung 35363</t>
  </si>
  <si>
    <t>F-178</t>
  </si>
  <si>
    <t>F-0724</t>
  </si>
  <si>
    <t>F-0575</t>
  </si>
  <si>
    <t>F-0707</t>
  </si>
  <si>
    <t>F-0695</t>
  </si>
  <si>
    <t>Jl.Kartini No. 46A Purworejo</t>
  </si>
  <si>
    <t>F-0786</t>
  </si>
  <si>
    <t>Bosjar</t>
  </si>
  <si>
    <t>6282111133328</t>
  </si>
  <si>
    <t>F-0731</t>
  </si>
  <si>
    <t>Jl.Pademangan 2 Gang 4 No.21 Jakarta Utara</t>
  </si>
  <si>
    <t>F-0810</t>
  </si>
  <si>
    <t>fjrmd71@gmail.com</t>
  </si>
  <si>
    <t>628111903986</t>
  </si>
  <si>
    <t>Jl. Nimun Raya No.14 Jakarta</t>
  </si>
  <si>
    <t>F-0815</t>
  </si>
  <si>
    <t>F-306</t>
  </si>
  <si>
    <t>Ramadhan</t>
  </si>
  <si>
    <t>fajarmuliaramadhan@yahoo.co.id</t>
  </si>
  <si>
    <t>aceh</t>
  </si>
  <si>
    <t>F-0753</t>
  </si>
  <si>
    <t>Nur</t>
  </si>
  <si>
    <t>6282143036253</t>
  </si>
  <si>
    <t>F-0784</t>
  </si>
  <si>
    <t>Oktafiani</t>
  </si>
  <si>
    <t>6281212577777</t>
  </si>
  <si>
    <t>Cempaka Putih Barat Jakarta</t>
  </si>
  <si>
    <t>F-0372</t>
  </si>
  <si>
    <t>F-0441</t>
  </si>
  <si>
    <t>Shodik</t>
  </si>
  <si>
    <t>F-010</t>
  </si>
  <si>
    <t>Soeweno</t>
  </si>
  <si>
    <t>Jl. Kebon Besar I No. 7</t>
  </si>
  <si>
    <t>F-0837</t>
  </si>
  <si>
    <t>Mostenne</t>
  </si>
  <si>
    <t>Pascal Fajardo</t>
  </si>
  <si>
    <t>pascalfajardo@hotmail.com</t>
  </si>
  <si>
    <t>32476480739</t>
  </si>
  <si>
    <t>Belgium</t>
  </si>
  <si>
    <t>F-0775</t>
  </si>
  <si>
    <t>Fakhri</t>
  </si>
  <si>
    <t>Alfisyahr</t>
  </si>
  <si>
    <t>fakhrialfisyahr2@gmail.com</t>
  </si>
  <si>
    <t>6282115364382</t>
  </si>
  <si>
    <t>F-011</t>
  </si>
  <si>
    <t>Fakihi</t>
  </si>
  <si>
    <t>(Lombok)</t>
  </si>
  <si>
    <t>F-0719</t>
  </si>
  <si>
    <t>Faldo</t>
  </si>
  <si>
    <t>Wattilete</t>
  </si>
  <si>
    <t>Jl.Mangga No.208 Blok A Cinere</t>
  </si>
  <si>
    <t>F-012</t>
  </si>
  <si>
    <t>Faliana</t>
  </si>
  <si>
    <t>Cutnyadien 28</t>
  </si>
  <si>
    <t>F-0346</t>
  </si>
  <si>
    <t>Falina</t>
  </si>
  <si>
    <t>Kokasih</t>
  </si>
  <si>
    <t>jl.danau permai timur 2 blok c1 no.16 sunter</t>
  </si>
  <si>
    <t>F-282</t>
  </si>
  <si>
    <t>Famella</t>
  </si>
  <si>
    <t>Frospenta</t>
  </si>
  <si>
    <t>famous_famell@yahoo.com</t>
  </si>
  <si>
    <t xml:space="preserve">Komplek Polri Pengadengan Barat 8
Blok F - 4</t>
  </si>
  <si>
    <t>F-0401</t>
  </si>
  <si>
    <t>Fan</t>
  </si>
  <si>
    <t>F-0754</t>
  </si>
  <si>
    <t>Jinsheng</t>
  </si>
  <si>
    <t>F-0706</t>
  </si>
  <si>
    <t>Fan,</t>
  </si>
  <si>
    <t>Chenxi</t>
  </si>
  <si>
    <t>xixi2277cc@126.com</t>
  </si>
  <si>
    <t>F-177</t>
  </si>
  <si>
    <t>Fanaty</t>
  </si>
  <si>
    <t>Lionardi</t>
  </si>
  <si>
    <t>F-166</t>
  </si>
  <si>
    <t>Fandi</t>
  </si>
  <si>
    <t xml:space="preserve">Jl. Meruya illir no.88 Business park
Kebon Jeruk Blok E1 No.11/12
Jakarta-Barat</t>
  </si>
  <si>
    <t>F-0825</t>
  </si>
  <si>
    <t>Fang</t>
  </si>
  <si>
    <t>Chun Wen</t>
  </si>
  <si>
    <t>6281252039999</t>
  </si>
  <si>
    <t>F-211</t>
  </si>
  <si>
    <t>F-0708</t>
  </si>
  <si>
    <t>Xiuxian</t>
  </si>
  <si>
    <t>F-0359</t>
  </si>
  <si>
    <t>Qing</t>
  </si>
  <si>
    <t>jessica_jiang215@hotmail.com</t>
  </si>
  <si>
    <t>Yu Yao Road No. 630 No. 1 Room 703</t>
  </si>
  <si>
    <t>F-0832</t>
  </si>
  <si>
    <t>Xinwen</t>
  </si>
  <si>
    <t>149912777@qq.com</t>
  </si>
  <si>
    <t>8618602120120</t>
  </si>
  <si>
    <t>F-0684</t>
  </si>
  <si>
    <t>Lyu</t>
  </si>
  <si>
    <t>F-0618</t>
  </si>
  <si>
    <t>Fangky</t>
  </si>
  <si>
    <t>Indraguna</t>
  </si>
  <si>
    <t>F-322</t>
  </si>
  <si>
    <t>Fani</t>
  </si>
  <si>
    <t>F-223</t>
  </si>
  <si>
    <t>F-0342</t>
  </si>
  <si>
    <t>Fanina</t>
  </si>
  <si>
    <t>Prawiro</t>
  </si>
  <si>
    <t>F-0486</t>
  </si>
  <si>
    <t>Fanly</t>
  </si>
  <si>
    <t>Tanto</t>
  </si>
  <si>
    <t xml:space="preserve">Perumahan Green Lake City Cluster East Asia 
Jl.East Asia Boulevard No.11,
Petir ,Cipondoh 15141
</t>
  </si>
  <si>
    <t>F-0682</t>
  </si>
  <si>
    <t>Fanni</t>
  </si>
  <si>
    <t>Djongkang</t>
  </si>
  <si>
    <t>F-0447</t>
  </si>
  <si>
    <t>Fanny</t>
  </si>
  <si>
    <t>F-0409</t>
  </si>
  <si>
    <t>F-0405</t>
  </si>
  <si>
    <t>suryawidjaya.fanny@gmail.com</t>
  </si>
  <si>
    <t>banununggak jelita IV no.5</t>
  </si>
  <si>
    <t>F-0760</t>
  </si>
  <si>
    <t>6285820135800</t>
  </si>
  <si>
    <t>Jl. Pasar Minggu KM 18 No 8 Jak sel</t>
  </si>
  <si>
    <t>F-0589</t>
  </si>
  <si>
    <t xml:space="preserve">Jl Ratu Nusa Indah 5F no 10
Jakarta - Barat</t>
  </si>
  <si>
    <t>F-0391</t>
  </si>
  <si>
    <t>fanny.angela89@gmail.com</t>
  </si>
  <si>
    <t>(Date Of Birth 20-06-89)</t>
  </si>
  <si>
    <t>F-0816</t>
  </si>
  <si>
    <t>6281248180999</t>
  </si>
  <si>
    <t>F-0826</t>
  </si>
  <si>
    <t>fannycan8@gmail.com</t>
  </si>
  <si>
    <t>6281212167038</t>
  </si>
  <si>
    <t>F-0722</t>
  </si>
  <si>
    <t>F-014</t>
  </si>
  <si>
    <t>Jl. Teuku Umar</t>
  </si>
  <si>
    <t>F-102</t>
  </si>
  <si>
    <t>Pontiafny</t>
  </si>
  <si>
    <t>62811965952</t>
  </si>
  <si>
    <t xml:space="preserve">Jl Bajubang No.08
Rawamangun</t>
  </si>
  <si>
    <t>F-197</t>
  </si>
  <si>
    <t>Fenny</t>
  </si>
  <si>
    <t>fennysantoso63@gmail.com</t>
  </si>
  <si>
    <t>62811995189</t>
  </si>
  <si>
    <t>F-0556</t>
  </si>
  <si>
    <t>Sindika</t>
  </si>
  <si>
    <t>F-0519</t>
  </si>
  <si>
    <t>6281806660139</t>
  </si>
  <si>
    <t>Pluit Karang Jelita 7 no.11 Jakut 14450</t>
  </si>
  <si>
    <t>F-0427</t>
  </si>
  <si>
    <t>Tunggadjaja</t>
  </si>
  <si>
    <t>F-0795</t>
  </si>
  <si>
    <t>6281908208000</t>
  </si>
  <si>
    <t>F-119</t>
  </si>
  <si>
    <t>F-0734</t>
  </si>
  <si>
    <t>Fanous</t>
  </si>
  <si>
    <t>F-0670</t>
  </si>
  <si>
    <t>Fany</t>
  </si>
  <si>
    <t>F-0466</t>
  </si>
  <si>
    <t>F-0673</t>
  </si>
  <si>
    <t>Celestia</t>
  </si>
  <si>
    <t>F-0744</t>
  </si>
  <si>
    <t>Fara</t>
  </si>
  <si>
    <t>Komp.Deltamas 2 Blok A2/10. Makasar</t>
  </si>
  <si>
    <t>F-0604</t>
  </si>
  <si>
    <t>Fauziah</t>
  </si>
  <si>
    <t>6282211777728</t>
  </si>
  <si>
    <t>I-300</t>
  </si>
  <si>
    <t xml:space="preserve">PT. Lumbung Padi Indonesia
One Pacific Place 10th Floor#1011
SCBD Jl. Jendral Sudirman</t>
  </si>
  <si>
    <t>F-0385</t>
  </si>
  <si>
    <t>Mazlan</t>
  </si>
  <si>
    <t>F-0807</t>
  </si>
  <si>
    <t>Faraditha</t>
  </si>
  <si>
    <t>Maisara</t>
  </si>
  <si>
    <t>6281917051989</t>
  </si>
  <si>
    <t>Jalan Wadas II / 26</t>
  </si>
  <si>
    <t>F-0587</t>
  </si>
  <si>
    <t>Faradilla</t>
  </si>
  <si>
    <t>Latuconsina</t>
  </si>
  <si>
    <t>F-218</t>
  </si>
  <si>
    <t>Farah</t>
  </si>
  <si>
    <t xml:space="preserve">Jl Janur Asri IV
Blok QK 8/2 Kelapa Gading
Jakarta Utara</t>
  </si>
  <si>
    <t>F-0371</t>
  </si>
  <si>
    <t>F-0737</t>
  </si>
  <si>
    <t>Satira</t>
  </si>
  <si>
    <t xml:space="preserve">Jalan Batu Pandan Sutra No.38
Jakarta Timur</t>
  </si>
  <si>
    <t>F-159</t>
  </si>
  <si>
    <t>Liza</t>
  </si>
  <si>
    <t>62811130751</t>
  </si>
  <si>
    <t>F-015</t>
  </si>
  <si>
    <t>Jl. Janur Asri IV. Blk Q</t>
  </si>
  <si>
    <t>K 8/2, Kelapa Gading</t>
  </si>
  <si>
    <t>F-271</t>
  </si>
  <si>
    <t>F-0547</t>
  </si>
  <si>
    <t>Nahlia</t>
  </si>
  <si>
    <t>M-1384</t>
  </si>
  <si>
    <t xml:space="preserve">Jl.Sriwijaya Raya no.39 , Selong Kebayoran Baru
Jakarta Selatan</t>
  </si>
  <si>
    <t>F-0584</t>
  </si>
  <si>
    <t>Shanti Surahputra</t>
  </si>
  <si>
    <t>62818741100</t>
  </si>
  <si>
    <t>F-0665</t>
  </si>
  <si>
    <t>Sidik</t>
  </si>
  <si>
    <t>F-332</t>
  </si>
  <si>
    <t>farah.total@gmail.com</t>
  </si>
  <si>
    <t>08111661918</t>
  </si>
  <si>
    <t xml:space="preserve">Kemang Village Residence 
Tower Tiffany #3702 
Kemang 12150</t>
  </si>
  <si>
    <t>F-0788</t>
  </si>
  <si>
    <t>Fardinal</t>
  </si>
  <si>
    <t>fardinal@gmail.com</t>
  </si>
  <si>
    <t>+6281510259000</t>
  </si>
  <si>
    <t>Bumi Mutiara j6-9/28, Kab. Bogor, 16969</t>
  </si>
  <si>
    <t>F-016</t>
  </si>
  <si>
    <t>Ferederick</t>
  </si>
  <si>
    <t>ST Siahaan</t>
  </si>
  <si>
    <t>628161862827</t>
  </si>
  <si>
    <t>F-163</t>
  </si>
  <si>
    <t>Jl. Teuku Umar no. 3 Menteng</t>
  </si>
  <si>
    <t>F-152</t>
  </si>
  <si>
    <t>Jl Kemiri No 24 Rt 04/03 Gondangdia Menteng</t>
  </si>
  <si>
    <t>F-0457</t>
  </si>
  <si>
    <t>Fari</t>
  </si>
  <si>
    <t>F-0829</t>
  </si>
  <si>
    <t>Farian</t>
  </si>
  <si>
    <t>628176568898</t>
  </si>
  <si>
    <t>F-0384</t>
  </si>
  <si>
    <t>Fariaty</t>
  </si>
  <si>
    <t>F-299</t>
  </si>
  <si>
    <t>Farid</t>
  </si>
  <si>
    <t>Ganio Tjokrosoeseno</t>
  </si>
  <si>
    <t>faridganio@gmail.com</t>
  </si>
  <si>
    <t>62816924713</t>
  </si>
  <si>
    <t>JL Kemang Timur No 49, Jakarta 12730</t>
  </si>
  <si>
    <t>F-0696</t>
  </si>
  <si>
    <t>628161862885</t>
  </si>
  <si>
    <t>M-1409</t>
  </si>
  <si>
    <t>Tarmidin</t>
  </si>
  <si>
    <t>faridtarmidin@yahoo.co.id</t>
  </si>
  <si>
    <t>F-0650</t>
  </si>
  <si>
    <t>Jln. Wijaya Kusuma II/26</t>
  </si>
  <si>
    <t>F-0354</t>
  </si>
  <si>
    <t>+62816968788</t>
  </si>
  <si>
    <t>F-0350</t>
  </si>
  <si>
    <t>farnaen@yahoo.com</t>
  </si>
  <si>
    <t>F-0358</t>
  </si>
  <si>
    <t>Aisya</t>
  </si>
  <si>
    <t xml:space="preserve">Coasteville SC 17/16
Kota wisata, Cibubur</t>
  </si>
  <si>
    <t>Bday 09 feb</t>
  </si>
  <si>
    <t>F-0592</t>
  </si>
  <si>
    <t>Helianti</t>
  </si>
  <si>
    <t>F-339</t>
  </si>
  <si>
    <t>F-0470</t>
  </si>
  <si>
    <t>Irnawati</t>
  </si>
  <si>
    <t>F-294</t>
  </si>
  <si>
    <t>Nurbani</t>
  </si>
  <si>
    <t xml:space="preserve">Jl. Mampang Prapatan XI No.4 Rt 009/01 (HOME)
INSPEKTORAT JENDRAL kemdibud Gedung B lt.1 
Jln. Jendral Sudirman Senaya Jakarta pusat (kantor)</t>
  </si>
  <si>
    <t>F-0787</t>
  </si>
  <si>
    <t>Sjafiani</t>
  </si>
  <si>
    <t>Syafianif@yahoo.com</t>
  </si>
  <si>
    <t>6281296764456</t>
  </si>
  <si>
    <t>JL. Tener Raya No.4</t>
  </si>
  <si>
    <t>F-225</t>
  </si>
  <si>
    <t>Faridah</t>
  </si>
  <si>
    <t>Mon</t>
  </si>
  <si>
    <t>F-0797</t>
  </si>
  <si>
    <t>Farih</t>
  </si>
  <si>
    <t>Romdoni</t>
  </si>
  <si>
    <t>628113640712</t>
  </si>
  <si>
    <t xml:space="preserve">Jl Prapanca II No.19 
Pulo . Kebayoran Baru</t>
  </si>
  <si>
    <t>F-318</t>
  </si>
  <si>
    <t>Farina</t>
  </si>
  <si>
    <t>F-0686</t>
  </si>
  <si>
    <t>Fairuza</t>
  </si>
  <si>
    <t xml:space="preserve">B Cempaka II/5 Cipete Sebitan
Jakarta Selatan
12410</t>
  </si>
  <si>
    <t>F-0637</t>
  </si>
  <si>
    <t>SP</t>
  </si>
  <si>
    <t>Fannysoeleiman@gmail,com</t>
  </si>
  <si>
    <t>Jl. Banyumas No.3</t>
  </si>
  <si>
    <t>F-184</t>
  </si>
  <si>
    <t>Faris</t>
  </si>
  <si>
    <t>Saiman</t>
  </si>
  <si>
    <t>F-0525</t>
  </si>
  <si>
    <t>Fariz</t>
  </si>
  <si>
    <t>F-0554</t>
  </si>
  <si>
    <t>Harijanto</t>
  </si>
  <si>
    <t>628126900800</t>
  </si>
  <si>
    <t>F-220</t>
  </si>
  <si>
    <t>Farouk</t>
  </si>
  <si>
    <t>F-0654</t>
  </si>
  <si>
    <t>Farrel</t>
  </si>
  <si>
    <t xml:space="preserve">Taman diponogoro Jl.Gunung Arjuna No.58 
tangerang</t>
  </si>
  <si>
    <t>F-182</t>
  </si>
  <si>
    <t>Farrida</t>
  </si>
  <si>
    <t>Irawati</t>
  </si>
  <si>
    <t xml:space="preserve">Perumahan Bumi Karang Indah 
Jl karang Asri 3 blok C6 no 14 
Lebak bulus</t>
  </si>
  <si>
    <t>F-0652</t>
  </si>
  <si>
    <t>Farros</t>
  </si>
  <si>
    <t>Nahren</t>
  </si>
  <si>
    <t>farrosnahren21@gmail.com</t>
  </si>
  <si>
    <t>Budisari no.23, Pekanbaru</t>
  </si>
  <si>
    <t>F-170</t>
  </si>
  <si>
    <t>Farry</t>
  </si>
  <si>
    <t>Ongko</t>
  </si>
  <si>
    <t>F-334</t>
  </si>
  <si>
    <t>6281511989817</t>
  </si>
  <si>
    <t>F-0819</t>
  </si>
  <si>
    <t>Fatemah</t>
  </si>
  <si>
    <t>Karimollahi</t>
  </si>
  <si>
    <t>fatemah@karimollahigmail.com</t>
  </si>
  <si>
    <t>989727358299</t>
  </si>
  <si>
    <t>Iran</t>
  </si>
  <si>
    <t>Iraq</t>
  </si>
  <si>
    <t>F-0348</t>
  </si>
  <si>
    <t>Faten</t>
  </si>
  <si>
    <t>Rehani</t>
  </si>
  <si>
    <t>fyhalabi@gmail.com</t>
  </si>
  <si>
    <t xml:space="preserve">Sekola Duta 2 House No.35
Pondok Indah</t>
  </si>
  <si>
    <t>F-242</t>
  </si>
  <si>
    <t>Fathia</t>
  </si>
  <si>
    <t>F-0520</t>
  </si>
  <si>
    <t>Raisya</t>
  </si>
  <si>
    <t>fathiaraisya@gmail.com</t>
  </si>
  <si>
    <t>The Eminent New Vivacia H2-16 BSD City</t>
  </si>
  <si>
    <t>F-0720</t>
  </si>
  <si>
    <t>Fathiha</t>
  </si>
  <si>
    <t>Jl kemangisan utara</t>
  </si>
  <si>
    <t>DKI Jakarta</t>
  </si>
  <si>
    <t>F-0749</t>
  </si>
  <si>
    <t>Fathina</t>
  </si>
  <si>
    <t>fathin.balweel@gmail.com</t>
  </si>
  <si>
    <t>62817777461</t>
  </si>
  <si>
    <t>Jalan Matraman Dalam II no 22 H</t>
  </si>
  <si>
    <t>F-0694</t>
  </si>
  <si>
    <t>Fathur</t>
  </si>
  <si>
    <t>cosmopolitanparker@gmail.com</t>
  </si>
  <si>
    <t>6281298261320</t>
  </si>
  <si>
    <t>F-020</t>
  </si>
  <si>
    <t>F-126</t>
  </si>
  <si>
    <t>F-0642</t>
  </si>
  <si>
    <t>Alhammadi</t>
  </si>
  <si>
    <t>F-0761</t>
  </si>
  <si>
    <t>Fatkhur</t>
  </si>
  <si>
    <t>+6281248659402</t>
  </si>
  <si>
    <t>F-333</t>
  </si>
  <si>
    <t>Fatma</t>
  </si>
  <si>
    <t>Hermawaty</t>
  </si>
  <si>
    <t>Jl. Hangtuah Raya No.6 12120</t>
  </si>
  <si>
    <t>F-208</t>
  </si>
  <si>
    <t>Fatmawati</t>
  </si>
  <si>
    <t>F-160</t>
  </si>
  <si>
    <t>Azalie</t>
  </si>
  <si>
    <t>F-023</t>
  </si>
  <si>
    <t>Fatonah</t>
  </si>
  <si>
    <t>F-136</t>
  </si>
  <si>
    <t>Faty</t>
  </si>
  <si>
    <t>F-276</t>
  </si>
  <si>
    <t>Fatya</t>
  </si>
  <si>
    <t>Faizanur</t>
  </si>
  <si>
    <t>faizanur.fatya@gmail.com</t>
  </si>
  <si>
    <t xml:space="preserve">Jl.Tulodong Bawah X/15
Kebayoran baru
Jakarta Selatan 12190</t>
  </si>
  <si>
    <t>F-293</t>
  </si>
  <si>
    <t>Azlika</t>
  </si>
  <si>
    <t xml:space="preserve">Jl, Bangka XI C No 18
Kemang</t>
  </si>
  <si>
    <t>F-0805</t>
  </si>
  <si>
    <t>Faulina</t>
  </si>
  <si>
    <t>62818707222</t>
  </si>
  <si>
    <t>F-025</t>
  </si>
  <si>
    <t>Faullin</t>
  </si>
  <si>
    <t>Jl. Teluk Betung 36</t>
  </si>
  <si>
    <t>F-0553</t>
  </si>
  <si>
    <t>Fauzan</t>
  </si>
  <si>
    <t>F-0705</t>
  </si>
  <si>
    <t>Fauzana</t>
  </si>
  <si>
    <t>Kartikajati</t>
  </si>
  <si>
    <t>F-0366</t>
  </si>
  <si>
    <t>Fauzi</t>
  </si>
  <si>
    <t xml:space="preserve">Jl. Gurila No. 80 FD
Medan</t>
  </si>
  <si>
    <t>F-243</t>
  </si>
  <si>
    <t>Fadian</t>
  </si>
  <si>
    <t>F-203</t>
  </si>
  <si>
    <t>Uci</t>
  </si>
  <si>
    <t>F-316</t>
  </si>
  <si>
    <t>ivofauziash@gmail.com</t>
  </si>
  <si>
    <t xml:space="preserve">Griya Mandiri No 1
Jl. Purnawarman , Cirendeu</t>
  </si>
  <si>
    <t>F-0549</t>
  </si>
  <si>
    <t>Jalan Jati Padang No 10B</t>
  </si>
  <si>
    <t>F-0757</t>
  </si>
  <si>
    <t>Arsiyanti</t>
  </si>
  <si>
    <t>fauziah9arsiyanti@gmail.com</t>
  </si>
  <si>
    <t>+62811988731</t>
  </si>
  <si>
    <t>Jl. Kemang Selatan 1D/14</t>
  </si>
  <si>
    <t>M-1225</t>
  </si>
  <si>
    <t>sari</t>
  </si>
  <si>
    <t>F-185</t>
  </si>
  <si>
    <t>Rulida</t>
  </si>
  <si>
    <t>pipih.mail@gmail.com</t>
  </si>
  <si>
    <t>628111636878</t>
  </si>
  <si>
    <t>Gading Park view ZE 15 no 1</t>
  </si>
  <si>
    <t>F-0781</t>
  </si>
  <si>
    <t>Fauzil</t>
  </si>
  <si>
    <t>Syafar</t>
  </si>
  <si>
    <t>089521868599</t>
  </si>
  <si>
    <t>F-0730</t>
  </si>
  <si>
    <t>Fauzul</t>
  </si>
  <si>
    <t>Umran</t>
  </si>
  <si>
    <t>F-0583</t>
  </si>
  <si>
    <t>Fauzy</t>
  </si>
  <si>
    <t>F-0648</t>
  </si>
  <si>
    <t>Siddiqiy</t>
  </si>
  <si>
    <t>F-0820</t>
  </si>
  <si>
    <t>fawzia</t>
  </si>
  <si>
    <t>628111179118</t>
  </si>
  <si>
    <t>F-0667</t>
  </si>
  <si>
    <t>Fawziya</t>
  </si>
  <si>
    <t>Sulaiti</t>
  </si>
  <si>
    <t>F-029</t>
  </si>
  <si>
    <t>Fay</t>
  </si>
  <si>
    <t>Radza</t>
  </si>
  <si>
    <t>F-0674</t>
  </si>
  <si>
    <t>Faye</t>
  </si>
  <si>
    <t>F-0774</t>
  </si>
  <si>
    <t>Sugito</t>
  </si>
  <si>
    <t>faye@adisaputro.net</t>
  </si>
  <si>
    <t>628170071071</t>
  </si>
  <si>
    <t>F-0611</t>
  </si>
  <si>
    <t>Fayoung</t>
  </si>
  <si>
    <t>young_accs@yahoo.com</t>
  </si>
  <si>
    <t>F-030</t>
  </si>
  <si>
    <t>Fazila</t>
  </si>
  <si>
    <t>Bakar</t>
  </si>
  <si>
    <t>F-0823</t>
  </si>
  <si>
    <t>Febby</t>
  </si>
  <si>
    <t>Rastanty</t>
  </si>
  <si>
    <t>Febby.Rastanty@gmaill.com</t>
  </si>
  <si>
    <t>6281215894838</t>
  </si>
  <si>
    <t>F-0362</t>
  </si>
  <si>
    <t>Febe</t>
  </si>
  <si>
    <t>Wirjadi</t>
  </si>
  <si>
    <t>febewirjadi@yahoo.com</t>
  </si>
  <si>
    <t xml:space="preserve">JLN.SUMENEP NO 19
JAKARTA PUSAT</t>
  </si>
  <si>
    <t>F-224</t>
  </si>
  <si>
    <t>Feberina</t>
  </si>
  <si>
    <t>Irianty</t>
  </si>
  <si>
    <t>ffebe83@yahoo.com</t>
  </si>
  <si>
    <t xml:space="preserve">Villa Permata Gading Blok A5/47
Kelapa Gading</t>
  </si>
  <si>
    <t>F-0436</t>
  </si>
  <si>
    <t>Febi</t>
  </si>
  <si>
    <t>febi.festia@gmail.com</t>
  </si>
  <si>
    <t>F-0662</t>
  </si>
  <si>
    <t>Febiola</t>
  </si>
  <si>
    <t>Raseliana</t>
  </si>
  <si>
    <t>F-0721</t>
  </si>
  <si>
    <t>Febri</t>
  </si>
  <si>
    <t>F-0413</t>
  </si>
  <si>
    <t>Yahya</t>
  </si>
  <si>
    <t>628158200989</t>
  </si>
  <si>
    <t>F-0370</t>
  </si>
  <si>
    <t>Febria</t>
  </si>
  <si>
    <t>Komplek bumi sarinah estale</t>
  </si>
  <si>
    <t>F-0559</t>
  </si>
  <si>
    <t>Febrian</t>
  </si>
  <si>
    <t>F-0407</t>
  </si>
  <si>
    <t>JL. KH Wahid Hasyim N0. 67 JAKARTA</t>
  </si>
  <si>
    <t>F-110</t>
  </si>
  <si>
    <t>Febrianda</t>
  </si>
  <si>
    <t xml:space="preserve">Jl. Kelapa Dua No.18
RT 06/06</t>
  </si>
  <si>
    <t>F-0415</t>
  </si>
  <si>
    <t>Febrianus</t>
  </si>
  <si>
    <t>Erydani</t>
  </si>
  <si>
    <t>F-0542</t>
  </si>
  <si>
    <t>Febriati</t>
  </si>
  <si>
    <t>nadira</t>
  </si>
  <si>
    <t>F-0630</t>
  </si>
  <si>
    <t>Febrico</t>
  </si>
  <si>
    <t>febrico1275@gmail.com</t>
  </si>
  <si>
    <t xml:space="preserve">Taman Century 2
Jl. Tanjung III Blok E/17 Pekayon</t>
  </si>
  <si>
    <t>F-0773</t>
  </si>
  <si>
    <t>Febrilidya</t>
  </si>
  <si>
    <t>Ginting suka</t>
  </si>
  <si>
    <t>febrigs@yahoocom</t>
  </si>
  <si>
    <t>628111092023</t>
  </si>
  <si>
    <t>JlLayur No.28 , Jakarta Timur</t>
  </si>
  <si>
    <t>F-0614</t>
  </si>
  <si>
    <t>Febrina</t>
  </si>
  <si>
    <t>F-0421</t>
  </si>
  <si>
    <t>F-0712</t>
  </si>
  <si>
    <t>Emilia Putri</t>
  </si>
  <si>
    <t>febrina.putri@live.com</t>
  </si>
  <si>
    <t>62816371890</t>
  </si>
  <si>
    <t>F-0393</t>
  </si>
  <si>
    <t>Tanex</t>
  </si>
  <si>
    <t>Royal Mediterania</t>
  </si>
  <si>
    <t>F-0709</t>
  </si>
  <si>
    <t>Febrinda</t>
  </si>
  <si>
    <t>F-0624</t>
  </si>
  <si>
    <t>F-288</t>
  </si>
  <si>
    <t>Febrizal</t>
  </si>
  <si>
    <t>F-0426</t>
  </si>
  <si>
    <t>Febry</t>
  </si>
  <si>
    <t>Tetelepta</t>
  </si>
  <si>
    <t xml:space="preserve">Taman Himalaya Jl.Gunung Duri 
Lippo Karawaci ,Tangerang</t>
  </si>
  <si>
    <t>F-0790</t>
  </si>
  <si>
    <t>Febry Mitha Claudia</t>
  </si>
  <si>
    <t>Valenti</t>
  </si>
  <si>
    <t>6281281034400</t>
  </si>
  <si>
    <t>Jalan Teratai No. 16, Jakarta Utara 14240</t>
  </si>
  <si>
    <t>F-0783</t>
  </si>
  <si>
    <t>Siswanto</t>
  </si>
  <si>
    <t>6287862695433</t>
  </si>
  <si>
    <t>F-0601</t>
  </si>
  <si>
    <t>Feby</t>
  </si>
  <si>
    <t>F-032</t>
  </si>
  <si>
    <t>JL. ARCO Raya 37, Puri Mutiara</t>
  </si>
  <si>
    <t>Cipete</t>
  </si>
  <si>
    <t>F-233</t>
  </si>
  <si>
    <t>F-0599</t>
  </si>
  <si>
    <t>fb_bld@yahoo.com</t>
  </si>
  <si>
    <t>628118119177</t>
  </si>
  <si>
    <t>F-0386</t>
  </si>
  <si>
    <t>Sahroni</t>
  </si>
  <si>
    <t>F-0561</t>
  </si>
  <si>
    <t>F-230</t>
  </si>
  <si>
    <t>pramana_feby@hotmail.com</t>
  </si>
  <si>
    <t xml:space="preserve">Apartment Green bay Pluit C27CA
Pluit Karang Ayu</t>
  </si>
  <si>
    <t>F-0355</t>
  </si>
  <si>
    <t>Rudi</t>
  </si>
  <si>
    <t>62811183003</t>
  </si>
  <si>
    <t xml:space="preserve">Taman Metro Alam I
PG-14
Pondok Indah
(Dete Of Birth 14-02)
(Wedding Anniversary 06-12-1989)</t>
  </si>
  <si>
    <t>F-0495</t>
  </si>
  <si>
    <t>Fedric</t>
  </si>
  <si>
    <t>Flamminy</t>
  </si>
  <si>
    <t>F-0531</t>
  </si>
  <si>
    <t>Fedriko</t>
  </si>
  <si>
    <t>Ekha</t>
  </si>
  <si>
    <t>Rikobest@outlook.com</t>
  </si>
  <si>
    <t>Apartemen Belezza 7/8A</t>
  </si>
  <si>
    <t>F-240</t>
  </si>
  <si>
    <t>Feederick</t>
  </si>
  <si>
    <t>F-0369</t>
  </si>
  <si>
    <t>Fefi</t>
  </si>
  <si>
    <t>Al-Aqsar</t>
  </si>
  <si>
    <t>F-239</t>
  </si>
  <si>
    <t>Fei</t>
  </si>
  <si>
    <t>F-033</t>
  </si>
  <si>
    <t>Feiny</t>
  </si>
  <si>
    <t xml:space="preserve">Lotus Palace Y4-11
Pantai Indah Kapuk</t>
  </si>
  <si>
    <t>F-255</t>
  </si>
  <si>
    <t>Felecia</t>
  </si>
  <si>
    <t>total.felecia@gmail.com</t>
  </si>
  <si>
    <t>Wolter Monginsidi 52</t>
  </si>
  <si>
    <t>F-327</t>
  </si>
  <si>
    <t>V.S</t>
  </si>
  <si>
    <t>F-0418</t>
  </si>
  <si>
    <t>Apt Taman Anggrek 8 / 16 E</t>
  </si>
  <si>
    <t>F-0725</t>
  </si>
  <si>
    <t>Kawilarang</t>
  </si>
  <si>
    <t>628121024424</t>
  </si>
  <si>
    <t>F-0766</t>
  </si>
  <si>
    <t>felicialeonardo12@gmail.com</t>
  </si>
  <si>
    <t>+6287868885168</t>
  </si>
  <si>
    <t>Pluit Karang Manis XI No.24 Jakarta Utara</t>
  </si>
  <si>
    <t>F-245</t>
  </si>
  <si>
    <t>Njoto</t>
  </si>
  <si>
    <t>F-0570</t>
  </si>
  <si>
    <t>F-0803</t>
  </si>
  <si>
    <t>felicde@gmail.com</t>
  </si>
  <si>
    <t>6282122220898</t>
  </si>
  <si>
    <t>F-0506</t>
  </si>
  <si>
    <t>62818129484</t>
  </si>
  <si>
    <t>F-0482</t>
  </si>
  <si>
    <t>Tandyono</t>
  </si>
  <si>
    <t>F-311</t>
  </si>
  <si>
    <t>Wanandi</t>
  </si>
  <si>
    <t>fwanandi@yahoo.com</t>
  </si>
  <si>
    <t>+628121072929</t>
  </si>
  <si>
    <t>F-309</t>
  </si>
  <si>
    <t>Wintery</t>
  </si>
  <si>
    <t>Jl. Rawa kepa x1 198</t>
  </si>
  <si>
    <t>F-0546</t>
  </si>
  <si>
    <t>Felipi</t>
  </si>
  <si>
    <t>Baeros</t>
  </si>
  <si>
    <t>Jl. Senopati 8</t>
  </si>
  <si>
    <t>F-0718</t>
  </si>
  <si>
    <t>Felisia</t>
  </si>
  <si>
    <t>Jesika</t>
  </si>
  <si>
    <t>F-310</t>
  </si>
  <si>
    <t>Felita</t>
  </si>
  <si>
    <t>felita_222@hotmail.com</t>
  </si>
  <si>
    <t xml:space="preserve">Jl. Kintamani 1 No.17
Kelapa Gading 
Jakarta 14240</t>
  </si>
  <si>
    <t>F-0375</t>
  </si>
  <si>
    <t>Felix</t>
  </si>
  <si>
    <t>felixxun@gmail.com</t>
  </si>
  <si>
    <t>F-0403</t>
  </si>
  <si>
    <t>F-162</t>
  </si>
  <si>
    <t>F-0621</t>
  </si>
  <si>
    <t>F-0379</t>
  </si>
  <si>
    <t>6281385219313</t>
  </si>
  <si>
    <t xml:space="preserve">Jl.Menteng Wadas Timur unit E no.7
Jakarta selatan</t>
  </si>
  <si>
    <t>F-0743</t>
  </si>
  <si>
    <t>Fella</t>
  </si>
  <si>
    <t>Ivory Residences No.35C</t>
  </si>
  <si>
    <t>F-157</t>
  </si>
  <si>
    <t>Femira</t>
  </si>
  <si>
    <t>F.AA</t>
  </si>
  <si>
    <t>F-290</t>
  </si>
  <si>
    <t>Femmy</t>
  </si>
  <si>
    <t>mitzy.casey@yahoo.co.id</t>
  </si>
  <si>
    <t xml:space="preserve">Sutra Jingga 6/2.Sutera sitara.
Alam sutera-Serpong
banten</t>
  </si>
  <si>
    <t>Tangerang selatan</t>
  </si>
  <si>
    <t>F-0751</t>
  </si>
  <si>
    <t>Femy</t>
  </si>
  <si>
    <t>+6281802015822</t>
  </si>
  <si>
    <t>F-0658</t>
  </si>
  <si>
    <t>Fendi</t>
  </si>
  <si>
    <t>Jalan Pajak Inpress No 39</t>
  </si>
  <si>
    <t>F-226</t>
  </si>
  <si>
    <t>Fendy</t>
  </si>
  <si>
    <t>F-202</t>
  </si>
  <si>
    <t>F-0838</t>
  </si>
  <si>
    <t>fendy.tjia@yahoo.com</t>
  </si>
  <si>
    <t>62811879758</t>
  </si>
  <si>
    <t>F-0691</t>
  </si>
  <si>
    <t>F-0345</t>
  </si>
  <si>
    <t>Yudho</t>
  </si>
  <si>
    <t>fendy.winarno@yahoo.co.id</t>
  </si>
  <si>
    <t>628170767149</t>
  </si>
  <si>
    <t xml:space="preserve">Jl Tebet Barat Dalam  no 27
Jakarta Selatan</t>
  </si>
  <si>
    <t>F-0416</t>
  </si>
  <si>
    <t>Fenestya</t>
  </si>
  <si>
    <t>F-0429</t>
  </si>
  <si>
    <t>Feng</t>
  </si>
  <si>
    <t>F-0349</t>
  </si>
  <si>
    <t>Yujia</t>
  </si>
  <si>
    <t>yukisan2224@yahoo.com.sg</t>
  </si>
  <si>
    <t>F-0487</t>
  </si>
  <si>
    <t>Fengzhau</t>
  </si>
  <si>
    <t>F-192</t>
  </si>
  <si>
    <t>Feni</t>
  </si>
  <si>
    <t>F-0767</t>
  </si>
  <si>
    <t>Fenika</t>
  </si>
  <si>
    <t>+639162249797</t>
  </si>
  <si>
    <t>F-0800</t>
  </si>
  <si>
    <t>6281510708200</t>
  </si>
  <si>
    <t>F-0368</t>
  </si>
  <si>
    <t>Fenni</t>
  </si>
  <si>
    <t>Thamr</t>
  </si>
  <si>
    <t>F-0639</t>
  </si>
  <si>
    <t>F-0580</t>
  </si>
  <si>
    <t>F-0390</t>
  </si>
  <si>
    <t>F-0376</t>
  </si>
  <si>
    <t>Avianty</t>
  </si>
  <si>
    <t>PIK, Mediterania Blok Z1/18, Jakarta 14460</t>
  </si>
  <si>
    <t>F-0450</t>
  </si>
  <si>
    <t>Dwias</t>
  </si>
  <si>
    <t>fenny.bong007@gmail.com</t>
  </si>
  <si>
    <t>6281990001800</t>
  </si>
  <si>
    <t>F-038</t>
  </si>
  <si>
    <t>Perum. Taman Pesona Mediteran Blok C No. 25</t>
  </si>
  <si>
    <t>F-0794</t>
  </si>
  <si>
    <t>+6287877778857</t>
  </si>
  <si>
    <t>F-0392</t>
  </si>
  <si>
    <t>F-0808</t>
  </si>
  <si>
    <t>Hiu</t>
  </si>
  <si>
    <t>alexandra.fanny@gmail.com</t>
  </si>
  <si>
    <t>6281267887711</t>
  </si>
  <si>
    <t>F-0801</t>
  </si>
  <si>
    <t>fenny.liemm@gmail.com</t>
  </si>
  <si>
    <t>6281381119567</t>
  </si>
  <si>
    <t>California B2/7</t>
  </si>
  <si>
    <t>F-131</t>
  </si>
  <si>
    <t>62816743753</t>
  </si>
  <si>
    <t>Jl. Sungai Sambas 8 no.5</t>
  </si>
  <si>
    <t>F-0352</t>
  </si>
  <si>
    <t>F-0791</t>
  </si>
  <si>
    <t>6281311546883</t>
  </si>
  <si>
    <t>F-0678</t>
  </si>
  <si>
    <t>6282210008000</t>
  </si>
  <si>
    <t xml:space="preserve">NIRWANA SUNTER ASRI 3 BLOK I NO.11
SUNTER - JAKARTA UTARA 14340</t>
  </si>
  <si>
    <t>F-0672</t>
  </si>
  <si>
    <t>Yosefin Tjoeng</t>
  </si>
  <si>
    <t>+62819888109</t>
  </si>
  <si>
    <t>Jalan Kenari Hijau Raya No 12</t>
  </si>
  <si>
    <t>F-0609</t>
  </si>
  <si>
    <t>Fenti</t>
  </si>
  <si>
    <t>F-313</t>
  </si>
  <si>
    <t>F-114</t>
  </si>
  <si>
    <t>Fenty</t>
  </si>
  <si>
    <t xml:space="preserve">THE PEAK APARTMENT
JAKARTA SELATAN</t>
  </si>
  <si>
    <t>F-283</t>
  </si>
  <si>
    <t>Feny</t>
  </si>
  <si>
    <t>faradillans@yahoo.co.id</t>
  </si>
  <si>
    <t xml:space="preserve">Taman Pesona Mediteran
Blok C No 23-25
Dago Pasteur</t>
  </si>
  <si>
    <t>F-229</t>
  </si>
  <si>
    <t>fenyr17@gmail.com</t>
  </si>
  <si>
    <t xml:space="preserve">APT. Sunter Icon ,
East Tower 2116
Birthday 17/02/90</t>
  </si>
  <si>
    <t>F-0690</t>
  </si>
  <si>
    <t>Fera</t>
  </si>
  <si>
    <t>Feriska</t>
  </si>
  <si>
    <t>6287886858579</t>
  </si>
  <si>
    <t>F-0343</t>
  </si>
  <si>
    <t>F-273</t>
  </si>
  <si>
    <t>Paramita</t>
  </si>
  <si>
    <t>hendra.atan88@gmail.com</t>
  </si>
  <si>
    <t>F-0399</t>
  </si>
  <si>
    <t>Rajawali Selatan 4 # 6</t>
  </si>
  <si>
    <t>F-0666</t>
  </si>
  <si>
    <t>Ferald</t>
  </si>
  <si>
    <t>Syafrudin</t>
  </si>
  <si>
    <t>F-280</t>
  </si>
  <si>
    <t>Ferameishella</t>
  </si>
  <si>
    <t xml:space="preserve">Komp.Batu Nunnggal Buah Batu, Bandung
Blok G</t>
  </si>
  <si>
    <t>F-187</t>
  </si>
  <si>
    <t>Ferawati</t>
  </si>
  <si>
    <t>F-0363</t>
  </si>
  <si>
    <t>Gg Suniaaraja Bandung</t>
  </si>
  <si>
    <t>F-0623</t>
  </si>
  <si>
    <t>F-0632</t>
  </si>
  <si>
    <t>Ferdie</t>
  </si>
  <si>
    <t>Bernardy</t>
  </si>
  <si>
    <t>Kebayoran Baru Kerinci</t>
  </si>
  <si>
    <t>F-232</t>
  </si>
  <si>
    <t>Ferdinand</t>
  </si>
  <si>
    <t>Apartemen Taman Anggrek TWR 7 Unit 36A</t>
  </si>
  <si>
    <t>F-0762</t>
  </si>
  <si>
    <t>Sakti Ferdinand Suryo</t>
  </si>
  <si>
    <t>+628112901973</t>
  </si>
  <si>
    <t>F-0772</t>
  </si>
  <si>
    <t>Ferdinandus</t>
  </si>
  <si>
    <t>Reiner</t>
  </si>
  <si>
    <t>reinertanuwijaya@gmail.com</t>
  </si>
  <si>
    <t>6282177777529</t>
  </si>
  <si>
    <t>F-300</t>
  </si>
  <si>
    <t>Ferdine</t>
  </si>
  <si>
    <t>Pattiwael</t>
  </si>
  <si>
    <t>F-291</t>
  </si>
  <si>
    <t>erlika_derina@yahoo.com</t>
  </si>
  <si>
    <t>Jalan Goa Lempeh, Br. Dinas Kangin, Uluwatu 80364</t>
  </si>
  <si>
    <t>BALI</t>
  </si>
  <si>
    <t>F-040</t>
  </si>
  <si>
    <t>Ferdy</t>
  </si>
  <si>
    <t>Jl. Menceng Raya Blok C-2 No. 17</t>
  </si>
  <si>
    <t>F-0717</t>
  </si>
  <si>
    <t>628118895555</t>
  </si>
  <si>
    <t>F-193</t>
  </si>
  <si>
    <t>Siahaan</t>
  </si>
  <si>
    <t>F-0395</t>
  </si>
  <si>
    <t>Ferhat</t>
  </si>
  <si>
    <t>Afkak</t>
  </si>
  <si>
    <t>F-0578</t>
  </si>
  <si>
    <t>Afkar</t>
  </si>
  <si>
    <t>F-301</t>
  </si>
  <si>
    <t>Feri</t>
  </si>
  <si>
    <t>F-0792</t>
  </si>
  <si>
    <t>6281222264688</t>
  </si>
  <si>
    <t>F-161</t>
  </si>
  <si>
    <t>Feria</t>
  </si>
  <si>
    <t>F-0600</t>
  </si>
  <si>
    <t>Feriani</t>
  </si>
  <si>
    <t>Yurika</t>
  </si>
  <si>
    <t>081219990057</t>
  </si>
  <si>
    <t>F-138</t>
  </si>
  <si>
    <t>Ferina</t>
  </si>
  <si>
    <t>F-0836</t>
  </si>
  <si>
    <t>ferina.iphone@gmail.com</t>
  </si>
  <si>
    <t>6281250025007</t>
  </si>
  <si>
    <t>F-0488</t>
  </si>
  <si>
    <t>Ferita</t>
  </si>
  <si>
    <t>62818892499</t>
  </si>
  <si>
    <t>F-042</t>
  </si>
  <si>
    <t>Kanter</t>
  </si>
  <si>
    <t>Jl. Bungur Dalam No.12</t>
  </si>
  <si>
    <t>F-0683</t>
  </si>
  <si>
    <t>Ferlany</t>
  </si>
  <si>
    <t>Suminto</t>
  </si>
  <si>
    <t>Jl. Kembang Agung 6 F4/9</t>
  </si>
  <si>
    <t>F-315</t>
  </si>
  <si>
    <t>Ferlauna</t>
  </si>
  <si>
    <t>ferlaunaalona13@yahoo.com</t>
  </si>
  <si>
    <t xml:space="preserve">Apart permata hijau eksekutif
birthday 14/08/1996</t>
  </si>
  <si>
    <t>F-0699</t>
  </si>
  <si>
    <t>Ferly</t>
  </si>
  <si>
    <t>Dewihantana</t>
  </si>
  <si>
    <t>F-250</t>
  </si>
  <si>
    <t>Fermana</t>
  </si>
  <si>
    <t>F-0558</t>
  </si>
  <si>
    <t>Ferna</t>
  </si>
  <si>
    <t>Kinata</t>
  </si>
  <si>
    <t>F-0545</t>
  </si>
  <si>
    <t>Fernanda</t>
  </si>
  <si>
    <t>VILLA 21</t>
  </si>
  <si>
    <t>INDONESIA</t>
  </si>
  <si>
    <t>F-0835</t>
  </si>
  <si>
    <t>Fifian</t>
  </si>
  <si>
    <t>628116585288</t>
  </si>
  <si>
    <t>L. Guru Patimpus, Silalas, Kec. Medan Barat, Kota Medan - Sumatera Utara 20111 (Apartement Podomoro Tower Empire, Titip Lobby Unit 19C)</t>
  </si>
  <si>
    <t>F-043</t>
  </si>
  <si>
    <t>Gil</t>
  </si>
  <si>
    <t>F-256</t>
  </si>
  <si>
    <t>Ongki</t>
  </si>
  <si>
    <t>F-045</t>
  </si>
  <si>
    <t>Ferni</t>
  </si>
  <si>
    <t>Meiske</t>
  </si>
  <si>
    <t xml:space="preserve">Apartemen Kedoya Elok N.1901
Jl.Panjang No.1 Kedoya Jakarta Barat</t>
  </si>
  <si>
    <t>F-0568</t>
  </si>
  <si>
    <t>Novianti</t>
  </si>
  <si>
    <t>6282111892580</t>
  </si>
  <si>
    <t>Taman Aster 7 N0.20</t>
  </si>
  <si>
    <t>F-196</t>
  </si>
  <si>
    <t>Feronia</t>
  </si>
  <si>
    <t>wibowo</t>
  </si>
  <si>
    <t>F-0669</t>
  </si>
  <si>
    <t>Ferra</t>
  </si>
  <si>
    <t>F-0440</t>
  </si>
  <si>
    <t>Ferrel</t>
  </si>
  <si>
    <t>F-0723</t>
  </si>
  <si>
    <t>Ferron</t>
  </si>
  <si>
    <t>F-238</t>
  </si>
  <si>
    <t>Ferry</t>
  </si>
  <si>
    <t>F-247</t>
  </si>
  <si>
    <t>F-0475</t>
  </si>
  <si>
    <t>+628122139999</t>
  </si>
  <si>
    <t>F-047</t>
  </si>
  <si>
    <t>F-268</t>
  </si>
  <si>
    <t>Efriandy</t>
  </si>
  <si>
    <t>F-292</t>
  </si>
  <si>
    <t>Kadi</t>
  </si>
  <si>
    <t>ferrykadi@gmail.com</t>
  </si>
  <si>
    <t>F-046</t>
  </si>
  <si>
    <t>Kangsadjaja</t>
  </si>
  <si>
    <t>F-0582</t>
  </si>
  <si>
    <t>Kono</t>
  </si>
  <si>
    <t>Sigura-gura II/4, Duren Tiga, Jakarta Selatan 12760 Indonesia</t>
  </si>
  <si>
    <t>F-323</t>
  </si>
  <si>
    <t>F-118</t>
  </si>
  <si>
    <t>F-0698</t>
  </si>
  <si>
    <t>F-0389</t>
  </si>
  <si>
    <t>F-048</t>
  </si>
  <si>
    <t>Perum. Citra 3</t>
  </si>
  <si>
    <t>Blok A-9 No. 10, Kalideres</t>
  </si>
  <si>
    <t>F-0689</t>
  </si>
  <si>
    <t>F-0537</t>
  </si>
  <si>
    <t>Sinar</t>
  </si>
  <si>
    <t>F-179</t>
  </si>
  <si>
    <t>6281298089888</t>
  </si>
  <si>
    <t>M-1323</t>
  </si>
  <si>
    <t>F-0631</t>
  </si>
  <si>
    <t>Ferryka</t>
  </si>
  <si>
    <t>Budiastreani</t>
  </si>
  <si>
    <t>F-308</t>
  </si>
  <si>
    <t>Fers</t>
  </si>
  <si>
    <t>F-281</t>
  </si>
  <si>
    <t>Ferti</t>
  </si>
  <si>
    <t>Wirati</t>
  </si>
  <si>
    <t>F-0463</t>
  </si>
  <si>
    <t>Wiratih</t>
  </si>
  <si>
    <t>F-0598</t>
  </si>
  <si>
    <t>Fery/</t>
  </si>
  <si>
    <t>Jannah</t>
  </si>
  <si>
    <t>F-0513</t>
  </si>
  <si>
    <t>Fessy</t>
  </si>
  <si>
    <t>F-195</t>
  </si>
  <si>
    <t>Fhe</t>
  </si>
  <si>
    <t>dewanto</t>
  </si>
  <si>
    <t>F-0802</t>
  </si>
  <si>
    <t>Fianca</t>
  </si>
  <si>
    <t>Folaya</t>
  </si>
  <si>
    <t>fiancaf@gmail.com</t>
  </si>
  <si>
    <t>6285770310782</t>
  </si>
  <si>
    <t>F-0776</t>
  </si>
  <si>
    <t>Videl</t>
  </si>
  <si>
    <t>Rafi</t>
  </si>
  <si>
    <t>6285719380597</t>
  </si>
  <si>
    <t>F-0716</t>
  </si>
  <si>
    <t>Fidelia</t>
  </si>
  <si>
    <t>Fitriani</t>
  </si>
  <si>
    <t>628119230303</t>
  </si>
  <si>
    <t>Harapan Baru Barat IV Bekasi</t>
  </si>
  <si>
    <t>F-052</t>
  </si>
  <si>
    <t>F-0739</t>
  </si>
  <si>
    <t>Fido</t>
  </si>
  <si>
    <t>Gregory</t>
  </si>
  <si>
    <t>F-266</t>
  </si>
  <si>
    <t>Fidya</t>
  </si>
  <si>
    <t>F-0759</t>
  </si>
  <si>
    <t>N Wooy</t>
  </si>
  <si>
    <t>fnwooy@yahoo.com</t>
  </si>
  <si>
    <t>+6281218163163</t>
  </si>
  <si>
    <t>The Mansion Jasmine Tapilano Jakarta Utara</t>
  </si>
  <si>
    <t>F-0768</t>
  </si>
  <si>
    <t>Fiera</t>
  </si>
  <si>
    <t>Artanto</t>
  </si>
  <si>
    <t>fiera.artanto@gmail.com</t>
  </si>
  <si>
    <t>+628129266662</t>
  </si>
  <si>
    <t>Jl.Kembang Ayu 7 Blok E8/25.Puri Indah</t>
  </si>
  <si>
    <t>F-0373</t>
  </si>
  <si>
    <t>Fiesta</t>
  </si>
  <si>
    <t>Jalan Angsana Raya No. 1</t>
  </si>
  <si>
    <t>F-284</t>
  </si>
  <si>
    <t>Fifi</t>
  </si>
  <si>
    <t>F-0605</t>
  </si>
  <si>
    <t>F-055</t>
  </si>
  <si>
    <t>Buwono</t>
  </si>
  <si>
    <t>F-254</t>
  </si>
  <si>
    <t>Bunaryo</t>
  </si>
  <si>
    <t>F-0509</t>
  </si>
  <si>
    <t>6281119625777</t>
  </si>
  <si>
    <t xml:space="preserve">Kenari Hijau 1/38
BGM PIK</t>
  </si>
  <si>
    <t>F-0430</t>
  </si>
  <si>
    <t>Graha Family T.109</t>
  </si>
  <si>
    <t>F-269</t>
  </si>
  <si>
    <t>Muliadi</t>
  </si>
  <si>
    <t>ffnmsh@cbn.net.id</t>
  </si>
  <si>
    <t xml:space="preserve">Menara Marina Condominium 
Tower Atlantic 
Unit 16D 
Jl. Pluit Samudra II 
Pantai Mutiara</t>
  </si>
  <si>
    <t>F-0550</t>
  </si>
  <si>
    <t>F-228</t>
  </si>
  <si>
    <t>fifinovita81@gmail.com</t>
  </si>
  <si>
    <t>Komplek Berdikari Sentosa Blok I No.15</t>
  </si>
  <si>
    <t>F-319</t>
  </si>
  <si>
    <t>M-1329</t>
  </si>
  <si>
    <t>Fifi.</t>
  </si>
  <si>
    <t>F-0573</t>
  </si>
  <si>
    <t>Fifie</t>
  </si>
  <si>
    <t>Villa 18</t>
  </si>
  <si>
    <t>F-101</t>
  </si>
  <si>
    <t>Sofia</t>
  </si>
  <si>
    <t>Jl.Tanjung No.58 Menteng</t>
  </si>
  <si>
    <t>F-0700</t>
  </si>
  <si>
    <t>Jl. Tanjung 58</t>
  </si>
  <si>
    <t>F-0356</t>
  </si>
  <si>
    <t>Suharly</t>
  </si>
  <si>
    <t>62811184958</t>
  </si>
  <si>
    <t xml:space="preserve">Jimbaran Residence Blok E6J no.8
Ancol Timur
Jakarta - Utara</t>
  </si>
  <si>
    <t>F-0809</t>
  </si>
  <si>
    <t>Fify</t>
  </si>
  <si>
    <t>Chairy</t>
  </si>
  <si>
    <t>ffchairy@gmail.com</t>
  </si>
  <si>
    <t>628127520528</t>
  </si>
  <si>
    <t>F-0693</t>
  </si>
  <si>
    <t>Figo</t>
  </si>
  <si>
    <t>F-0576</t>
  </si>
  <si>
    <t>Fika</t>
  </si>
  <si>
    <t>F-0616</t>
  </si>
  <si>
    <t>Pranesya</t>
  </si>
  <si>
    <t>F-0541</t>
  </si>
  <si>
    <t>Wathan</t>
  </si>
  <si>
    <t>F-0484</t>
  </si>
  <si>
    <t>Minata Wathan</t>
  </si>
  <si>
    <t>fkunsri07@gmail.com</t>
  </si>
  <si>
    <t>+6281212971990</t>
  </si>
  <si>
    <t xml:space="preserve">Jl. Bangka IX Kemang Bangka Town House 22C
Kav 10 Jakarta Selatan</t>
  </si>
  <si>
    <t>F-167</t>
  </si>
  <si>
    <t>p.fikamuti@yahoo.com</t>
  </si>
  <si>
    <t xml:space="preserve">Jln.Manunggal Juang No.2 antasari
ciledug</t>
  </si>
  <si>
    <t>F-0752</t>
  </si>
  <si>
    <t>Fikha</t>
  </si>
  <si>
    <t>Rendra</t>
  </si>
  <si>
    <t>F-0711</t>
  </si>
  <si>
    <t>Widasari</t>
  </si>
  <si>
    <t>fikhawidasari26</t>
  </si>
  <si>
    <t>6281232329988</t>
  </si>
  <si>
    <t>F-0793</t>
  </si>
  <si>
    <t>Fikri</t>
  </si>
  <si>
    <t>62895410765400</t>
  </si>
  <si>
    <t>F-0675</t>
  </si>
  <si>
    <t>Fila</t>
  </si>
  <si>
    <t>F-0657</t>
  </si>
  <si>
    <t>Filatova</t>
  </si>
  <si>
    <t>Sofya</t>
  </si>
  <si>
    <t>son.filatova1508@yanolex.ru</t>
  </si>
  <si>
    <t>F-0764</t>
  </si>
  <si>
    <t>Filicia</t>
  </si>
  <si>
    <t>62811110809</t>
  </si>
  <si>
    <t>F-0419</t>
  </si>
  <si>
    <t>Fillon</t>
  </si>
  <si>
    <t>Jl. Bumi Ayu gang Jasmine no. 6 Sanur</t>
  </si>
  <si>
    <t>F-0745</t>
  </si>
  <si>
    <t>Filza</t>
  </si>
  <si>
    <t>F-289</t>
  </si>
  <si>
    <t>Fina</t>
  </si>
  <si>
    <t>F-0449</t>
  </si>
  <si>
    <t>F-0710</t>
  </si>
  <si>
    <t>Kasman</t>
  </si>
  <si>
    <t xml:space="preserve">Perumahan Jakarta Garden City
Cluster Cassia No 79 
cakung </t>
  </si>
  <si>
    <t>F-137</t>
  </si>
  <si>
    <t>Findira</t>
  </si>
  <si>
    <t>Ranendra</t>
  </si>
  <si>
    <t xml:space="preserve">Jl. Terusan Hang Lekir IV/31
Kebayoran Baru 12220</t>
  </si>
  <si>
    <t>F-0763</t>
  </si>
  <si>
    <t>Findra</t>
  </si>
  <si>
    <t>Arianty</t>
  </si>
  <si>
    <t>6281230016985</t>
  </si>
  <si>
    <t>F-174</t>
  </si>
  <si>
    <t>Fing</t>
  </si>
  <si>
    <t>F-0782</t>
  </si>
  <si>
    <t>Finna</t>
  </si>
  <si>
    <t>Agnesty</t>
  </si>
  <si>
    <t>6281222888148</t>
  </si>
  <si>
    <t>F-0560</t>
  </si>
  <si>
    <t>Finnix</t>
  </si>
  <si>
    <t>Supangkat</t>
  </si>
  <si>
    <t>F-0414</t>
  </si>
  <si>
    <t>Finy</t>
  </si>
  <si>
    <t xml:space="preserve">Jl.Kembang Abadi VI Blok A 13/6
Puri Indah</t>
  </si>
  <si>
    <t>F-0397</t>
  </si>
  <si>
    <t>Fiola</t>
  </si>
  <si>
    <t>F-0569</t>
  </si>
  <si>
    <t>F-0533</t>
  </si>
  <si>
    <t>F-0512</t>
  </si>
  <si>
    <t>F-0464</t>
  </si>
  <si>
    <t>F-0439</t>
  </si>
  <si>
    <t>F-0496</t>
  </si>
  <si>
    <t>fiona_anthony_dewi@yahoo.com</t>
  </si>
  <si>
    <t>kemang village residence, the inferno 23-c9</t>
  </si>
  <si>
    <t>F-0585</t>
  </si>
  <si>
    <t>Charvia</t>
  </si>
  <si>
    <t>6285881006660</t>
  </si>
  <si>
    <t>F-0640</t>
  </si>
  <si>
    <t>F-0411</t>
  </si>
  <si>
    <t>Griya inti Sentosa Blok A No. 2</t>
  </si>
  <si>
    <t>F-155</t>
  </si>
  <si>
    <t>F-0406</t>
  </si>
  <si>
    <t>Jaury</t>
  </si>
  <si>
    <t>F-303</t>
  </si>
  <si>
    <t xml:space="preserve">Jl.M Khafi 1 no.21
Ciganjur - Jakarta selatan</t>
  </si>
  <si>
    <t>F-0396</t>
  </si>
  <si>
    <t>Fionne</t>
  </si>
  <si>
    <t>Lengkong</t>
  </si>
  <si>
    <t>F-0738</t>
  </si>
  <si>
    <t>Fionny</t>
  </si>
  <si>
    <t>fionnyhui@hotmail.com</t>
  </si>
  <si>
    <t>Apt Pesona Bahari,Diamonds Tower ,P1/B</t>
  </si>
  <si>
    <t>F-057</t>
  </si>
  <si>
    <t>Fiorentina</t>
  </si>
  <si>
    <t>Hasanuddin</t>
  </si>
  <si>
    <t xml:space="preserve">Apartemen Mediterania Lagoon
Tower B/12/J
Kemayoran</t>
  </si>
  <si>
    <t>F-328</t>
  </si>
  <si>
    <t>Fiqadarmawanty</t>
  </si>
  <si>
    <t>F-0622</t>
  </si>
  <si>
    <t>Firawati</t>
  </si>
  <si>
    <t>F-0367</t>
  </si>
  <si>
    <t>Firda</t>
  </si>
  <si>
    <t>Athira</t>
  </si>
  <si>
    <t>F-0644</t>
  </si>
  <si>
    <t>Frida</t>
  </si>
  <si>
    <t>frida.athira0305@gmail.com</t>
  </si>
  <si>
    <t>6281223338888</t>
  </si>
  <si>
    <t xml:space="preserve">Jl. Wijaya V No.19,
Kebayoran Baru 12160</t>
  </si>
  <si>
    <t>F-0499</t>
  </si>
  <si>
    <t>F-0479</t>
  </si>
  <si>
    <t>Djaelani</t>
  </si>
  <si>
    <t>F-0714</t>
  </si>
  <si>
    <t>F-0692</t>
  </si>
  <si>
    <t>F-0770</t>
  </si>
  <si>
    <t>628892121251</t>
  </si>
  <si>
    <t>M-1224</t>
  </si>
  <si>
    <t>Kaharputra</t>
  </si>
  <si>
    <t>F-156</t>
  </si>
  <si>
    <t>F-0740</t>
  </si>
  <si>
    <t>Firzi</t>
  </si>
  <si>
    <t>Fashan</t>
  </si>
  <si>
    <t>C-0629</t>
  </si>
  <si>
    <t>Fisesta</t>
  </si>
  <si>
    <t>Sagitaria</t>
  </si>
  <si>
    <t>+6285282218689</t>
  </si>
  <si>
    <t xml:space="preserve">Jl. Kalibata Tengah 9 no H 14
Pancoran, jakarta</t>
  </si>
  <si>
    <t>F-0613</t>
  </si>
  <si>
    <t>Fita</t>
  </si>
  <si>
    <t>Nanda</t>
  </si>
  <si>
    <t>F-219</t>
  </si>
  <si>
    <t>Afina</t>
  </si>
  <si>
    <t>6281320559513</t>
  </si>
  <si>
    <t>F-312</t>
  </si>
  <si>
    <t>Fitara</t>
  </si>
  <si>
    <t>andychandra4545@yahoo.com</t>
  </si>
  <si>
    <t>62811712017</t>
  </si>
  <si>
    <t xml:space="preserve">jl.mangkanegara, Komplek tirta lestari indah Blok B NO.5
BIRTHDAY 04/05/1965</t>
  </si>
  <si>
    <t>F-0755</t>
  </si>
  <si>
    <t>Fitha</t>
  </si>
  <si>
    <t>Dinata</t>
  </si>
  <si>
    <t>F-0758</t>
  </si>
  <si>
    <t>Fithri</t>
  </si>
  <si>
    <t>6287888309538</t>
  </si>
  <si>
    <t>Jl. Aditiawarman</t>
  </si>
  <si>
    <t>F-331</t>
  </si>
  <si>
    <t>Fitrachur</t>
  </si>
  <si>
    <t>F-217</t>
  </si>
  <si>
    <t>F-0602</t>
  </si>
  <si>
    <t>F-062</t>
  </si>
  <si>
    <t>666 770 16</t>
  </si>
  <si>
    <t>F-0659</t>
  </si>
  <si>
    <t>ani</t>
  </si>
  <si>
    <t>F-0410</t>
  </si>
  <si>
    <t>Jl. Bongsay Raya No.17</t>
  </si>
  <si>
    <t>F-0834</t>
  </si>
  <si>
    <t>Fitri Ayu</t>
  </si>
  <si>
    <t>Ramadhini</t>
  </si>
  <si>
    <t>628119194414</t>
  </si>
  <si>
    <t>F-0564</t>
  </si>
  <si>
    <t>Jl. Menteng Raya Rt 012/008</t>
  </si>
  <si>
    <t>F-320</t>
  </si>
  <si>
    <t>Fusfitasari</t>
  </si>
  <si>
    <t>F-061</t>
  </si>
  <si>
    <t>JL. Danau Sentani C8/2</t>
  </si>
  <si>
    <t>Bogor Baru</t>
  </si>
  <si>
    <t>F-0361</t>
  </si>
  <si>
    <t>Johnson</t>
  </si>
  <si>
    <t>F-0412</t>
  </si>
  <si>
    <t>Junaidi</t>
  </si>
  <si>
    <t>The Concept Building Boutique &amp; Lt 2 B2, Jl. Teuku Umar No.8, Sungai Kunjang - Samarinda, Kalimantan Timur.</t>
  </si>
  <si>
    <t>F-0831</t>
  </si>
  <si>
    <t>Fitri Kitria</t>
  </si>
  <si>
    <t>Galene</t>
  </si>
  <si>
    <t>nunaarmy88@gmail.com</t>
  </si>
  <si>
    <t>6281818888022</t>
  </si>
  <si>
    <t>F-0341</t>
  </si>
  <si>
    <t>F-0661</t>
  </si>
  <si>
    <t>Linggani</t>
  </si>
  <si>
    <t>62817168739</t>
  </si>
  <si>
    <t>F-0456</t>
  </si>
  <si>
    <t>Medang Lestari BLOK A II/B.1 PANDEGLANG</t>
  </si>
  <si>
    <t>F-063</t>
  </si>
  <si>
    <t xml:space="preserve">Jalan Gandaria IV/II
kebayoran baru</t>
  </si>
  <si>
    <t>F-0477</t>
  </si>
  <si>
    <t>Nursanti</t>
  </si>
  <si>
    <t>F-154</t>
  </si>
  <si>
    <t>Poernomo</t>
  </si>
  <si>
    <t>F-0451</t>
  </si>
  <si>
    <t>F-125</t>
  </si>
  <si>
    <t>Fitria</t>
  </si>
  <si>
    <t>F-207</t>
  </si>
  <si>
    <t>F-0664</t>
  </si>
  <si>
    <t>Jl. Sawo No.2, Menteng</t>
  </si>
  <si>
    <t>F-0785</t>
  </si>
  <si>
    <t>Al habsi</t>
  </si>
  <si>
    <t>6281290001056</t>
  </si>
  <si>
    <t>F-0814</t>
  </si>
  <si>
    <t>Fitria Feirel</t>
  </si>
  <si>
    <t>Yunarti Yunan</t>
  </si>
  <si>
    <t>6281355417551</t>
  </si>
  <si>
    <t>Jl. Pejaten Barat No. 34 abc</t>
  </si>
  <si>
    <t>F-236</t>
  </si>
  <si>
    <t>handiarto</t>
  </si>
  <si>
    <t>F-176</t>
  </si>
  <si>
    <t>Jln. bukit hijau ,pondok indah</t>
  </si>
  <si>
    <t>Jakata Selatan</t>
  </si>
  <si>
    <t>F-0612</t>
  </si>
  <si>
    <t>Fitriawati</t>
  </si>
  <si>
    <t>F-0741</t>
  </si>
  <si>
    <t>Fitrie</t>
  </si>
  <si>
    <t>Voorstad</t>
  </si>
  <si>
    <t>Rumah Jabatan Wabup Nunukan</t>
  </si>
  <si>
    <t>F-0536</t>
  </si>
  <si>
    <t>F-336</t>
  </si>
  <si>
    <t>Fitrisya</t>
  </si>
  <si>
    <t xml:space="preserve">Villa Melati Mas Blok U11 No 21
BSD Serpong</t>
  </si>
  <si>
    <t>F-064</t>
  </si>
  <si>
    <t>Fitriyani</t>
  </si>
  <si>
    <t>(021) 362839</t>
  </si>
  <si>
    <t>JL. Danau Sentani Blok C VIII No.2 Perumm Duta Pakuan</t>
  </si>
  <si>
    <t>F-0433</t>
  </si>
  <si>
    <t>fitrisudirlan@yahoo.com</t>
  </si>
  <si>
    <t>628158230499</t>
  </si>
  <si>
    <t xml:space="preserve">Jl.Kelinci III no.IV
Kebayoran Baru
Jakarta SElatan 12120</t>
  </si>
  <si>
    <t>Kalimantan Selatan</t>
  </si>
  <si>
    <t>F-227</t>
  </si>
  <si>
    <t>Fitriyanto</t>
  </si>
  <si>
    <t>jalan kebagusan besar pasar minggu</t>
  </si>
  <si>
    <t>L-268</t>
  </si>
  <si>
    <t>Flora</t>
  </si>
  <si>
    <t>626262626262</t>
  </si>
  <si>
    <t>F-0474</t>
  </si>
  <si>
    <t>Manurung</t>
  </si>
  <si>
    <t>F-267</t>
  </si>
  <si>
    <t>Racchi</t>
  </si>
  <si>
    <t>F-0619</t>
  </si>
  <si>
    <t>Floren</t>
  </si>
  <si>
    <t>F-340</t>
  </si>
  <si>
    <t>Florena</t>
  </si>
  <si>
    <t>Mahardika</t>
  </si>
  <si>
    <t>email4jobflorena@gmail.com</t>
  </si>
  <si>
    <t>Jl. simpang Laksada Adi Sucipto III B4</t>
  </si>
  <si>
    <t>F-165</t>
  </si>
  <si>
    <t>Florence</t>
  </si>
  <si>
    <t>F-0765</t>
  </si>
  <si>
    <t>TM/BB92 PIK</t>
  </si>
  <si>
    <t>F-130</t>
  </si>
  <si>
    <t>F-277</t>
  </si>
  <si>
    <t>F-214</t>
  </si>
  <si>
    <t>Florencia</t>
  </si>
  <si>
    <t>F-0608</t>
  </si>
  <si>
    <t>6281235004499</t>
  </si>
  <si>
    <t>F-0827</t>
  </si>
  <si>
    <t>Irena</t>
  </si>
  <si>
    <t>firena96@gmail.com</t>
  </si>
  <si>
    <t>6282299565219</t>
  </si>
  <si>
    <t>Villa Meruya Blok C5 no.36</t>
  </si>
  <si>
    <t>F-0818</t>
  </si>
  <si>
    <t>Florencia.steph@gmail.com</t>
  </si>
  <si>
    <t>6282112110618</t>
  </si>
  <si>
    <t>F-329</t>
  </si>
  <si>
    <t>Florensi</t>
  </si>
  <si>
    <t>p</t>
  </si>
  <si>
    <t>Jl Bangunan Brat No IA Pulomas</t>
  </si>
  <si>
    <t>F-0750</t>
  </si>
  <si>
    <t>Siciliwu</t>
  </si>
  <si>
    <t>Jl. Alpen Elbrus No. 11</t>
  </si>
  <si>
    <t>F-065</t>
  </si>
  <si>
    <t>Florensia</t>
  </si>
  <si>
    <t xml:space="preserve">Pantai Mansion 2H20.
Jakarta Utara</t>
  </si>
  <si>
    <t>F-0594</t>
  </si>
  <si>
    <t>FLorentina</t>
  </si>
  <si>
    <t>JL.Rasuna said kav 6 no 8</t>
  </si>
  <si>
    <t>F-0360</t>
  </si>
  <si>
    <t>Florina</t>
  </si>
  <si>
    <t>Yasmin</t>
  </si>
  <si>
    <t>florinayasmin@gmail.com</t>
  </si>
  <si>
    <t xml:space="preserve">Jl. Jati Padang Utara 45A
Pejaten</t>
  </si>
  <si>
    <t>F-066</t>
  </si>
  <si>
    <t>Florine</t>
  </si>
  <si>
    <t>F-0789</t>
  </si>
  <si>
    <t>Florisa</t>
  </si>
  <si>
    <t>Renanthera</t>
  </si>
  <si>
    <t>florisa.rena@gmail.com</t>
  </si>
  <si>
    <t>6282125988879</t>
  </si>
  <si>
    <t>HangLekir X No.8 Jakarta Selatan</t>
  </si>
  <si>
    <t>F-0638</t>
  </si>
  <si>
    <t>Florynn</t>
  </si>
  <si>
    <t>Kwan</t>
  </si>
  <si>
    <t>Jln. petula 2 no 29 20153</t>
  </si>
  <si>
    <t>F-0442</t>
  </si>
  <si>
    <t>Focoriyena</t>
  </si>
  <si>
    <t>Mendrofa</t>
  </si>
  <si>
    <t>drpetrasama@yahoo.com</t>
  </si>
  <si>
    <t>F-181</t>
  </si>
  <si>
    <t>Foeng Foeng</t>
  </si>
  <si>
    <t>62816856949</t>
  </si>
  <si>
    <t xml:space="preserve">APARTEMENT SLIPI TOWER 2 UNIT 1B
RT.001/004
PAL MERAH - JAKARTA BARAT</t>
  </si>
  <si>
    <t>F-0806</t>
  </si>
  <si>
    <t>Follie</t>
  </si>
  <si>
    <t>6287855565078</t>
  </si>
  <si>
    <t xml:space="preserve">Sutera Renata Aruna 5 no 1
Alam Sutera</t>
  </si>
  <si>
    <t>F-0727</t>
  </si>
  <si>
    <t>Folwell</t>
  </si>
  <si>
    <t>Michael</t>
  </si>
  <si>
    <t>Austalia</t>
  </si>
  <si>
    <t>F-0596</t>
  </si>
  <si>
    <t>Fonda</t>
  </si>
  <si>
    <t>Tantomo</t>
  </si>
  <si>
    <t>fondatantomo@gmail.com</t>
  </si>
  <si>
    <t>628118673100</t>
  </si>
  <si>
    <t>Walet Permai V No. 50</t>
  </si>
  <si>
    <t>F-0635</t>
  </si>
  <si>
    <t>Mei</t>
  </si>
  <si>
    <t>F-117</t>
  </si>
  <si>
    <t>Fonny</t>
  </si>
  <si>
    <t>Jl. Imam Bonjol No.13</t>
  </si>
  <si>
    <t>F-0552</t>
  </si>
  <si>
    <t>F-0382</t>
  </si>
  <si>
    <t>F-0756</t>
  </si>
  <si>
    <t>Virgoria</t>
  </si>
  <si>
    <t>+628112953058</t>
  </si>
  <si>
    <t>F-0591</t>
  </si>
  <si>
    <t>+628118619000</t>
  </si>
  <si>
    <t>Jl. Utama Sakti VIII No. 10A-E, Wijaya Kesuma, Jelambar</t>
  </si>
  <si>
    <t>F-0677</t>
  </si>
  <si>
    <t>F-0551</t>
  </si>
  <si>
    <t>Fony</t>
  </si>
  <si>
    <t>Kurniadjaja</t>
  </si>
  <si>
    <t>F-0688</t>
  </si>
  <si>
    <t>Foo</t>
  </si>
  <si>
    <t>Pin</t>
  </si>
  <si>
    <t>F-213</t>
  </si>
  <si>
    <t>Huei</t>
  </si>
  <si>
    <t>F-0701</t>
  </si>
  <si>
    <t>Fran</t>
  </si>
  <si>
    <t>Dikdo</t>
  </si>
  <si>
    <t>F-0503</t>
  </si>
  <si>
    <t>Frances</t>
  </si>
  <si>
    <t>F-0822</t>
  </si>
  <si>
    <t>FRANCIN ep. COHEN-BACRIE,</t>
  </si>
  <si>
    <t>Pierre-Alexandre, Claude, Henrl</t>
  </si>
  <si>
    <t>pa.francin@gmail.com</t>
  </si>
  <si>
    <t>+33672071076</t>
  </si>
  <si>
    <t>F-0702</t>
  </si>
  <si>
    <t>Francine</t>
  </si>
  <si>
    <t>Shinie</t>
  </si>
  <si>
    <t>6281388883310</t>
  </si>
  <si>
    <t>F-135</t>
  </si>
  <si>
    <t>Francis</t>
  </si>
  <si>
    <t>F-070</t>
  </si>
  <si>
    <t>F-235</t>
  </si>
  <si>
    <t>F-0476</t>
  </si>
  <si>
    <t>F-200</t>
  </si>
  <si>
    <t>Francisco</t>
  </si>
  <si>
    <t>fsoetopo mac.com</t>
  </si>
  <si>
    <t>+62816868516</t>
  </si>
  <si>
    <t>Kebun Jeruk Intercon</t>
  </si>
  <si>
    <t>F-198</t>
  </si>
  <si>
    <t>6281908208999</t>
  </si>
  <si>
    <t>F-189</t>
  </si>
  <si>
    <t>Francisca</t>
  </si>
  <si>
    <t>F-0344</t>
  </si>
  <si>
    <t>Indriati</t>
  </si>
  <si>
    <t>s15ka2000@yahoo.com</t>
  </si>
  <si>
    <t xml:space="preserve">Apartment Mediterania Marina Ancol C 17 BJ
Jakarta Utara 14440</t>
  </si>
  <si>
    <t>bday ; 15.02.1975</t>
  </si>
  <si>
    <t>F-0777</t>
  </si>
  <si>
    <t>Fransisca</t>
  </si>
  <si>
    <t>Nurwati</t>
  </si>
  <si>
    <t>francisca.nurwati@gmail.com</t>
  </si>
  <si>
    <t>62811107875</t>
  </si>
  <si>
    <t>F-0523</t>
  </si>
  <si>
    <t>Franciscs</t>
  </si>
  <si>
    <t>Tanumihardja</t>
  </si>
  <si>
    <t>F-0400</t>
  </si>
  <si>
    <t>Franciska</t>
  </si>
  <si>
    <t>Puri Mansion Jl Bukingham 1 No.7 Kembangan</t>
  </si>
  <si>
    <t>F-0588</t>
  </si>
  <si>
    <t>Franck</t>
  </si>
  <si>
    <t>Galzy</t>
  </si>
  <si>
    <t>F-0726</t>
  </si>
  <si>
    <t>Frangky</t>
  </si>
  <si>
    <t>6281221111111</t>
  </si>
  <si>
    <t>F-0704</t>
  </si>
  <si>
    <t>Franjou</t>
  </si>
  <si>
    <t>Pascal</t>
  </si>
  <si>
    <t>F-0606</t>
  </si>
  <si>
    <t>Frank</t>
  </si>
  <si>
    <t>F-0603</t>
  </si>
  <si>
    <t>Witte</t>
  </si>
  <si>
    <t>F-0402</t>
  </si>
  <si>
    <t>Franki</t>
  </si>
  <si>
    <t>Yosep</t>
  </si>
  <si>
    <t>F-073</t>
  </si>
  <si>
    <t>Franky</t>
  </si>
  <si>
    <t>Perum. Sunter Paradise II</t>
  </si>
  <si>
    <t>Blok J No. 44</t>
  </si>
  <si>
    <t>F-204</t>
  </si>
  <si>
    <t>F-0697</t>
  </si>
  <si>
    <t>F-074</t>
  </si>
  <si>
    <t>Karundeng</t>
  </si>
  <si>
    <t>F-075</t>
  </si>
  <si>
    <t>Sinatra</t>
  </si>
  <si>
    <t>F-0634</t>
  </si>
  <si>
    <t>Frans</t>
  </si>
  <si>
    <t>F-0378</t>
  </si>
  <si>
    <t>Werf</t>
  </si>
  <si>
    <t>F-278</t>
  </si>
  <si>
    <t>Fransciskus</t>
  </si>
  <si>
    <t>Jl. Kebun Melati No 51</t>
  </si>
  <si>
    <t>F-248</t>
  </si>
  <si>
    <t>F-285</t>
  </si>
  <si>
    <t>F-0715</t>
  </si>
  <si>
    <t>fransisca.aria@gmail.com</t>
  </si>
  <si>
    <t>Kyai masa no,77B</t>
  </si>
  <si>
    <t>F-0643</t>
  </si>
  <si>
    <t>s170pping@gmail/com</t>
  </si>
  <si>
    <t>F-295</t>
  </si>
  <si>
    <t>F-0649</t>
  </si>
  <si>
    <t>Indrasari</t>
  </si>
  <si>
    <t xml:space="preserve">Apartement Belleza
Permata Hijau tower Louvre LT 21/1
Jalam Letjen Soepeno No .34
Arteri Permata Hijau
</t>
  </si>
  <si>
    <t>F-0423</t>
  </si>
  <si>
    <t>F-168</t>
  </si>
  <si>
    <t>F-297</t>
  </si>
  <si>
    <t>Mayer</t>
  </si>
  <si>
    <t>087877670009</t>
  </si>
  <si>
    <t>F-0656</t>
  </si>
  <si>
    <t>F-0610</t>
  </si>
  <si>
    <t>Fransisca R</t>
  </si>
  <si>
    <t>Momuat</t>
  </si>
  <si>
    <t>62818145002</t>
  </si>
  <si>
    <t>F-076</t>
  </si>
  <si>
    <t>Sali</t>
  </si>
  <si>
    <t>Jl. Gedung Hijau Raya 51</t>
  </si>
  <si>
    <t>F-0454</t>
  </si>
  <si>
    <t>Widyawati</t>
  </si>
  <si>
    <t>F-279</t>
  </si>
  <si>
    <t>Fransisco</t>
  </si>
  <si>
    <t>Ortega</t>
  </si>
  <si>
    <t>f.ortega.vasquez@gmail.com</t>
  </si>
  <si>
    <t>F-0478</t>
  </si>
  <si>
    <t>Fransiscus</t>
  </si>
  <si>
    <t>F-0736</t>
  </si>
  <si>
    <t>Nurwono</t>
  </si>
  <si>
    <t>Apt. Bintaro Park View A0636</t>
  </si>
  <si>
    <t>F-0357</t>
  </si>
  <si>
    <t>Fransiska</t>
  </si>
  <si>
    <t>Jl. Wijaya III/9</t>
  </si>
  <si>
    <t>F-0565</t>
  </si>
  <si>
    <t>6281282520070</t>
  </si>
  <si>
    <t>F-0651</t>
  </si>
  <si>
    <t>dessy</t>
  </si>
  <si>
    <t>Puri Bintaro, Bintaro jaya</t>
  </si>
  <si>
    <t>F-0839</t>
  </si>
  <si>
    <t>Dewiana</t>
  </si>
  <si>
    <t>62818131604</t>
  </si>
  <si>
    <t>F-0735</t>
  </si>
  <si>
    <t>Pluit Karang Indah VII Blok Q8T/32</t>
  </si>
  <si>
    <t>Jakarta utara</t>
  </si>
  <si>
    <t>F-078</t>
  </si>
  <si>
    <t>Setiabudi Apt. #1005</t>
  </si>
  <si>
    <t>Jl. RS. Aini, Setiabudi</t>
  </si>
  <si>
    <t>F-0676</t>
  </si>
  <si>
    <t>Fransiskus</t>
  </si>
  <si>
    <t>Virnilim</t>
  </si>
  <si>
    <t>F-0351</t>
  </si>
  <si>
    <t>Franssisca</t>
  </si>
  <si>
    <t>F-0812</t>
  </si>
  <si>
    <t>Fransway</t>
  </si>
  <si>
    <t>Marilyn Jean</t>
  </si>
  <si>
    <t>mfransway@yahoo.com</t>
  </si>
  <si>
    <t>+12626642699</t>
  </si>
  <si>
    <t>F-0679</t>
  </si>
  <si>
    <t>Franz</t>
  </si>
  <si>
    <t>F-0620</t>
  </si>
  <si>
    <t>F-324</t>
  </si>
  <si>
    <t>freddy8702@yahoo.co.id</t>
  </si>
  <si>
    <t>F-234</t>
  </si>
  <si>
    <t>F-246</t>
  </si>
  <si>
    <t>gunawanfreddy@hotmail.com</t>
  </si>
  <si>
    <t>Jl. Setraduta Lavida No.6</t>
  </si>
  <si>
    <t>F-081</t>
  </si>
  <si>
    <t>Jl. Hegarmanah Wetan No. 14</t>
  </si>
  <si>
    <t>F-0748</t>
  </si>
  <si>
    <t>Tedjasasmita</t>
  </si>
  <si>
    <t>F-237</t>
  </si>
  <si>
    <t>Frederick</t>
  </si>
  <si>
    <t>Batong</t>
  </si>
  <si>
    <t>F-286</t>
  </si>
  <si>
    <t>Fredericus</t>
  </si>
  <si>
    <t>Radix</t>
  </si>
  <si>
    <t>radix.fr@gmail.com</t>
  </si>
  <si>
    <t>F-183</t>
  </si>
  <si>
    <t>Fredik</t>
  </si>
  <si>
    <t>F-082</t>
  </si>
  <si>
    <t>Freedy</t>
  </si>
  <si>
    <t>F-0680</t>
  </si>
  <si>
    <t>Freesia</t>
  </si>
  <si>
    <t>Tambalean</t>
  </si>
  <si>
    <t>F-260</t>
  </si>
  <si>
    <t>Frenc</t>
  </si>
  <si>
    <t>Tumanggor</t>
  </si>
  <si>
    <t>F-083</t>
  </si>
  <si>
    <t>Frenky</t>
  </si>
  <si>
    <t>(021) 75912645</t>
  </si>
  <si>
    <t>JL. Niaga Hijau Raya No. 79 Pondok Indah</t>
  </si>
  <si>
    <t>F-0729</t>
  </si>
  <si>
    <t>Fresco</t>
  </si>
  <si>
    <t>Parone</t>
  </si>
  <si>
    <t>F-0465</t>
  </si>
  <si>
    <t>F-0492</t>
  </si>
  <si>
    <t>Saragih</t>
  </si>
  <si>
    <t>F-0833</t>
  </si>
  <si>
    <t>Fridman</t>
  </si>
  <si>
    <t>annaserop89@gmail.com</t>
  </si>
  <si>
    <t>19179691374</t>
  </si>
  <si>
    <t>F-175</t>
  </si>
  <si>
    <t>Frieda</t>
  </si>
  <si>
    <t xml:space="preserve">JL. Bulevard Palem Raya  2115
Lippo Village 15811.</t>
  </si>
  <si>
    <t>F-0469</t>
  </si>
  <si>
    <t>Frieda.R</t>
  </si>
  <si>
    <t>F-0771</t>
  </si>
  <si>
    <t>Frisca</t>
  </si>
  <si>
    <t>Friska.anastasya@yahoo.com</t>
  </si>
  <si>
    <t>6285218105500</t>
  </si>
  <si>
    <t>Casa Grande Residence</t>
  </si>
  <si>
    <t>F-0681</t>
  </si>
  <si>
    <t>F-0668</t>
  </si>
  <si>
    <t>Friska</t>
  </si>
  <si>
    <t>+6281908352108</t>
  </si>
  <si>
    <t>Alexandrite Utara No.28</t>
  </si>
  <si>
    <t>F-0824</t>
  </si>
  <si>
    <t>Fardiaz</t>
  </si>
  <si>
    <t>+628177777808</t>
  </si>
  <si>
    <t>F-215</t>
  </si>
  <si>
    <t>Monita</t>
  </si>
  <si>
    <t>6285890222888</t>
  </si>
  <si>
    <t>Jl.Pondasi No.67 ,Kayu Putih</t>
  </si>
  <si>
    <t>F-0468</t>
  </si>
  <si>
    <t>Frits</t>
  </si>
  <si>
    <t>Suling</t>
  </si>
  <si>
    <t>Jl Durian D22 Jakarta</t>
  </si>
  <si>
    <t>F-0647</t>
  </si>
  <si>
    <t>F-0830</t>
  </si>
  <si>
    <t>Fu Hua</t>
  </si>
  <si>
    <t>Jin</t>
  </si>
  <si>
    <t>kimfuhua@naver.com</t>
  </si>
  <si>
    <t>8618053296646</t>
  </si>
  <si>
    <t>F-0388</t>
  </si>
  <si>
    <t>Teng</t>
  </si>
  <si>
    <t>F-0641</t>
  </si>
  <si>
    <t>Rong</t>
  </si>
  <si>
    <t>F-0798</t>
  </si>
  <si>
    <t>Xinrong</t>
  </si>
  <si>
    <t>6817718177925</t>
  </si>
  <si>
    <t>W-0831</t>
  </si>
  <si>
    <t>Weitang</t>
  </si>
  <si>
    <t>richard0073@hotmail.com</t>
  </si>
  <si>
    <t>+85260684107</t>
  </si>
  <si>
    <t>F-0713</t>
  </si>
  <si>
    <t>Fu,</t>
  </si>
  <si>
    <t>Xiapo</t>
  </si>
  <si>
    <t>ZHEJIANG</t>
  </si>
  <si>
    <t>F-0703</t>
  </si>
  <si>
    <t>Fuji</t>
  </si>
  <si>
    <t>F-090</t>
  </si>
  <si>
    <t>Kuningan Resident No. 49</t>
  </si>
  <si>
    <t>F-252</t>
  </si>
  <si>
    <t>Shinji</t>
  </si>
  <si>
    <t>F-139</t>
  </si>
  <si>
    <t>Fujimoto</t>
  </si>
  <si>
    <t>Chizuru</t>
  </si>
  <si>
    <t>F-186</t>
  </si>
  <si>
    <t>Fujita</t>
  </si>
  <si>
    <t>F-0742</t>
  </si>
  <si>
    <t>F-096</t>
  </si>
  <si>
    <t>Fumihiro</t>
  </si>
  <si>
    <t>Irie</t>
  </si>
  <si>
    <t>F-0779</t>
  </si>
  <si>
    <t>Takahashi</t>
  </si>
  <si>
    <t>6282124860712</t>
  </si>
  <si>
    <t>F-0563</t>
  </si>
  <si>
    <t>Funny</t>
  </si>
  <si>
    <t>Aster</t>
  </si>
  <si>
    <t>F-0811</t>
  </si>
  <si>
    <t>Furukawa</t>
  </si>
  <si>
    <t>Tomoki</t>
  </si>
  <si>
    <t>lovelymissmelon2004@yahoo.com</t>
  </si>
  <si>
    <t>8109028298535</t>
  </si>
  <si>
    <t>Jepang</t>
  </si>
  <si>
    <t>F-0733</t>
  </si>
  <si>
    <t>Utsumi</t>
  </si>
  <si>
    <t>JAPAN</t>
  </si>
  <si>
    <t>F-253</t>
  </si>
  <si>
    <t>Fusako</t>
  </si>
  <si>
    <t>Tsuboi</t>
  </si>
  <si>
    <t xml:space="preserve">Shizuokaken Hamamatsu City
Kitaku, Mikatahanacho</t>
  </si>
  <si>
    <t>F-0579</t>
  </si>
  <si>
    <t>FX.</t>
  </si>
  <si>
    <t>fxferry@gmail.com</t>
  </si>
  <si>
    <t xml:space="preserve">Jl. Berlian I No.29 Cilandak. Jakarta Selatan
12430</t>
  </si>
  <si>
    <t>G-141</t>
  </si>
  <si>
    <t>G.</t>
  </si>
  <si>
    <t xml:space="preserve">jl. darmawangsa xii/14
keb. Baru</t>
  </si>
  <si>
    <t>G-147</t>
  </si>
  <si>
    <t>G.A</t>
  </si>
  <si>
    <t>Tumilar</t>
  </si>
  <si>
    <t xml:space="preserve">Jl. Bukit Hijau IINo 5 
Pondok Indah</t>
  </si>
  <si>
    <t>G-066</t>
  </si>
  <si>
    <t>Gabby</t>
  </si>
  <si>
    <t>G-128</t>
  </si>
  <si>
    <t>gabriella.gusta@hotmail.com</t>
  </si>
  <si>
    <t>G-0392</t>
  </si>
  <si>
    <t>Higuera</t>
  </si>
  <si>
    <t>G-0474</t>
  </si>
  <si>
    <t>Reyner</t>
  </si>
  <si>
    <t>6282267892789</t>
  </si>
  <si>
    <t>G-0378</t>
  </si>
  <si>
    <t xml:space="preserve">The Green Blossom, Ville J23 No.7
BSD City</t>
  </si>
  <si>
    <t>G-0439</t>
  </si>
  <si>
    <t>Gabriela</t>
  </si>
  <si>
    <t>621289151387</t>
  </si>
  <si>
    <t>G-0168</t>
  </si>
  <si>
    <t>Gabriele</t>
  </si>
  <si>
    <t>Valentina</t>
  </si>
  <si>
    <t>gabrieleyudha@gmail.cim</t>
  </si>
  <si>
    <t>Jl Kemanggisan Ilir No 39</t>
  </si>
  <si>
    <t>G-0363</t>
  </si>
  <si>
    <t xml:space="preserve">Sudirman Town House Blok D9
Jalan Jenderal Sudirman</t>
  </si>
  <si>
    <t>G-0408</t>
  </si>
  <si>
    <t>G-0434</t>
  </si>
  <si>
    <t>Nayla</t>
  </si>
  <si>
    <t>ilovebluenyou@gmail.com</t>
  </si>
  <si>
    <t>6282219615550</t>
  </si>
  <si>
    <t>Jln Cibulan Raya No.16 Kebayoran Baru</t>
  </si>
  <si>
    <t>G-0398</t>
  </si>
  <si>
    <t>gabriellavaniawiajaya@gmail.com</t>
  </si>
  <si>
    <t xml:space="preserve">Jalan Jemursari Selatan 4/4 D
Wonosari</t>
  </si>
  <si>
    <t>G-123</t>
  </si>
  <si>
    <t>Witdarmono</t>
  </si>
  <si>
    <t>G-0214</t>
  </si>
  <si>
    <t>Gabrilla</t>
  </si>
  <si>
    <t>Ilham</t>
  </si>
  <si>
    <t>G-0239</t>
  </si>
  <si>
    <t>G-0180</t>
  </si>
  <si>
    <t>Lissa</t>
  </si>
  <si>
    <t>G-115</t>
  </si>
  <si>
    <t>Gading</t>
  </si>
  <si>
    <t>Marten</t>
  </si>
  <si>
    <t>Green Andara Residence blok D3/19</t>
  </si>
  <si>
    <t>G-0194</t>
  </si>
  <si>
    <t>Gadis</t>
  </si>
  <si>
    <t>Melina</t>
  </si>
  <si>
    <t>(Date Of Birth 24-05-87) (Komp Gading Regensi/ Gading Utama Barat.</t>
  </si>
  <si>
    <t>G-103</t>
  </si>
  <si>
    <t>Gadiza</t>
  </si>
  <si>
    <t>G-0355</t>
  </si>
  <si>
    <t>Gajovic</t>
  </si>
  <si>
    <t>Marija</t>
  </si>
  <si>
    <t>Serbia</t>
  </si>
  <si>
    <t>G-0445</t>
  </si>
  <si>
    <t>Galanternik</t>
  </si>
  <si>
    <t>Sebastian Gonzalo Ary</t>
  </si>
  <si>
    <t>Zutiqus@gmail.com</t>
  </si>
  <si>
    <t>5491123079257</t>
  </si>
  <si>
    <t>Argentina</t>
  </si>
  <si>
    <t>G-162</t>
  </si>
  <si>
    <t>Galih</t>
  </si>
  <si>
    <t>Jl. Raya Ceger No. 7</t>
  </si>
  <si>
    <t>G-0319</t>
  </si>
  <si>
    <t>M-1378</t>
  </si>
  <si>
    <t>Ginting.</t>
  </si>
  <si>
    <t>G-0480</t>
  </si>
  <si>
    <t>Galina</t>
  </si>
  <si>
    <t>Lasmana</t>
  </si>
  <si>
    <t>G.Galina@gmail.com</t>
  </si>
  <si>
    <t>6281319821188</t>
  </si>
  <si>
    <t>G-0337</t>
  </si>
  <si>
    <t>Gan</t>
  </si>
  <si>
    <t>Chaode</t>
  </si>
  <si>
    <t>G-0397</t>
  </si>
  <si>
    <t>Gana</t>
  </si>
  <si>
    <t>Febrana</t>
  </si>
  <si>
    <t>gana.febrana@gmail.com</t>
  </si>
  <si>
    <t>Kumala Living Jakarta 12210</t>
  </si>
  <si>
    <t>G-0428</t>
  </si>
  <si>
    <t>Ganda</t>
  </si>
  <si>
    <t>+6281373281945</t>
  </si>
  <si>
    <t>G-106</t>
  </si>
  <si>
    <t xml:space="preserve">Jl.Bunga rampai  6No.25 RT2/8 perum Klender
Jakarta Timur</t>
  </si>
  <si>
    <t>G-059</t>
  </si>
  <si>
    <t>Rania</t>
  </si>
  <si>
    <t>Gisella</t>
  </si>
  <si>
    <t>raniagisella24@gmail.com</t>
  </si>
  <si>
    <t>+62811924051</t>
  </si>
  <si>
    <t>G-0381</t>
  </si>
  <si>
    <t>Ganediwal</t>
  </si>
  <si>
    <t>Yashwardhan</t>
  </si>
  <si>
    <t>yganediwal@gmail.com</t>
  </si>
  <si>
    <t>G-102</t>
  </si>
  <si>
    <t>Ganefo</t>
  </si>
  <si>
    <t>Sutan</t>
  </si>
  <si>
    <t>G-0352</t>
  </si>
  <si>
    <t>G-0462</t>
  </si>
  <si>
    <t>Ganindra</t>
  </si>
  <si>
    <t>6281299889998</t>
  </si>
  <si>
    <t>G-108</t>
  </si>
  <si>
    <t>Ganny</t>
  </si>
  <si>
    <t>G-081</t>
  </si>
  <si>
    <t>Gao</t>
  </si>
  <si>
    <t>G-0395</t>
  </si>
  <si>
    <t>545498814@qq.com</t>
  </si>
  <si>
    <t>Apt.Taman Rasuna</t>
  </si>
  <si>
    <t>G-0399</t>
  </si>
  <si>
    <t>G-0414</t>
  </si>
  <si>
    <t>Qunhui</t>
  </si>
  <si>
    <t>G-0479</t>
  </si>
  <si>
    <t>Shengyue</t>
  </si>
  <si>
    <t>23686589g@gmail.com</t>
  </si>
  <si>
    <t>8680965988</t>
  </si>
  <si>
    <t>G-0421</t>
  </si>
  <si>
    <t>Yifei</t>
  </si>
  <si>
    <t>G-0473</t>
  </si>
  <si>
    <t>sophiegao1995@gmail.com</t>
  </si>
  <si>
    <t>+85261609099</t>
  </si>
  <si>
    <t>G-0443</t>
  </si>
  <si>
    <t>60129318888</t>
  </si>
  <si>
    <t>G-0413</t>
  </si>
  <si>
    <t>Gao,</t>
  </si>
  <si>
    <t>Qianya</t>
  </si>
  <si>
    <t>G-0406</t>
  </si>
  <si>
    <t>Ziting</t>
  </si>
  <si>
    <t>1228268423@qq.com</t>
  </si>
  <si>
    <t>Z-0774</t>
  </si>
  <si>
    <t>Gaole</t>
  </si>
  <si>
    <t>784234916@qq.com</t>
  </si>
  <si>
    <t>8613861210022</t>
  </si>
  <si>
    <t>G-0484</t>
  </si>
  <si>
    <t>Izabella</t>
  </si>
  <si>
    <t>+12014943645</t>
  </si>
  <si>
    <t>G-0435</t>
  </si>
  <si>
    <t>Garibov</t>
  </si>
  <si>
    <t>Afgan</t>
  </si>
  <si>
    <t>afgan.gariboff@gmail.com</t>
  </si>
  <si>
    <t>79362110011</t>
  </si>
  <si>
    <t>G-0296</t>
  </si>
  <si>
    <t>Garick</t>
  </si>
  <si>
    <t>Huriyanto</t>
  </si>
  <si>
    <t>G-003</t>
  </si>
  <si>
    <t>Garnadi</t>
  </si>
  <si>
    <t>Dharmaputra</t>
  </si>
  <si>
    <t xml:space="preserve">JL. Lebak Bulus 2 No. 75 
Cilandak</t>
  </si>
  <si>
    <t>G-0368</t>
  </si>
  <si>
    <t>Garrett</t>
  </si>
  <si>
    <t>Denise</t>
  </si>
  <si>
    <t>G-0419</t>
  </si>
  <si>
    <t>Garry</t>
  </si>
  <si>
    <t>Franklin</t>
  </si>
  <si>
    <t>G-005</t>
  </si>
  <si>
    <t>Tisnantono</t>
  </si>
  <si>
    <t>G-0456</t>
  </si>
  <si>
    <t>Garshtya</t>
  </si>
  <si>
    <t>Dmitry</t>
  </si>
  <si>
    <t>79859986300</t>
  </si>
  <si>
    <t>G-0326</t>
  </si>
  <si>
    <t>Gary</t>
  </si>
  <si>
    <t>G-0383</t>
  </si>
  <si>
    <t>Gataullin</t>
  </si>
  <si>
    <t>Linar</t>
  </si>
  <si>
    <t>G-0288</t>
  </si>
  <si>
    <t>G-008</t>
  </si>
  <si>
    <t>Raffles Hills Blok C 1 No. 9 Cibubur</t>
  </si>
  <si>
    <t>G-065</t>
  </si>
  <si>
    <t>Gatri</t>
  </si>
  <si>
    <t>G-0377</t>
  </si>
  <si>
    <t>Gatsaev</t>
  </si>
  <si>
    <t>Umarkhan</t>
  </si>
  <si>
    <t>G-0341</t>
  </si>
  <si>
    <t>Gavin</t>
  </si>
  <si>
    <t>G-0386</t>
  </si>
  <si>
    <t>Gede NGR</t>
  </si>
  <si>
    <t>62811997466</t>
  </si>
  <si>
    <t>G-0267</t>
  </si>
  <si>
    <t>Gea</t>
  </si>
  <si>
    <t>G-0411</t>
  </si>
  <si>
    <t>Gecho</t>
  </si>
  <si>
    <t>United States Of America</t>
  </si>
  <si>
    <t>G-010</t>
  </si>
  <si>
    <t>Koriartha</t>
  </si>
  <si>
    <t>Jl. Sekar Jepun VII No. 9</t>
  </si>
  <si>
    <t>G-0422</t>
  </si>
  <si>
    <t>Sastra</t>
  </si>
  <si>
    <t>G-0429</t>
  </si>
  <si>
    <t>Geidina</t>
  </si>
  <si>
    <t>milluss2022@icloud.com</t>
  </si>
  <si>
    <t>+971545566158</t>
  </si>
  <si>
    <t>G-104</t>
  </si>
  <si>
    <t>Gelar</t>
  </si>
  <si>
    <t>Puspa</t>
  </si>
  <si>
    <t>G-0166</t>
  </si>
  <si>
    <t>Gemala</t>
  </si>
  <si>
    <t>Rifa</t>
  </si>
  <si>
    <t>G-0412</t>
  </si>
  <si>
    <t>Gendis</t>
  </si>
  <si>
    <t>Hatmanti</t>
  </si>
  <si>
    <t>G-0361</t>
  </si>
  <si>
    <t>Geng</t>
  </si>
  <si>
    <t>Yidan</t>
  </si>
  <si>
    <t>G-0475</t>
  </si>
  <si>
    <t>Shan</t>
  </si>
  <si>
    <t>278760763@qq.com</t>
  </si>
  <si>
    <t>8618792407333</t>
  </si>
  <si>
    <t>G-075</t>
  </si>
  <si>
    <t>Geni</t>
  </si>
  <si>
    <t>G-0469</t>
  </si>
  <si>
    <t>Genoveva</t>
  </si>
  <si>
    <t>genovevafenny17@gmail.com</t>
  </si>
  <si>
    <t>6289632851577</t>
  </si>
  <si>
    <t>Cluster Carson , Selatan 3 No.32</t>
  </si>
  <si>
    <t>G-0359</t>
  </si>
  <si>
    <t>Gentha</t>
  </si>
  <si>
    <t>G-0191</t>
  </si>
  <si>
    <t>George</t>
  </si>
  <si>
    <t>Mogi</t>
  </si>
  <si>
    <t>0818116890</t>
  </si>
  <si>
    <t>G-0374</t>
  </si>
  <si>
    <t>G-109</t>
  </si>
  <si>
    <t>G-014</t>
  </si>
  <si>
    <t>Monje</t>
  </si>
  <si>
    <t>G-0172</t>
  </si>
  <si>
    <t>Gerald</t>
  </si>
  <si>
    <t>Hendrick</t>
  </si>
  <si>
    <t>(Wedding Anniversary 25 Jan)</t>
  </si>
  <si>
    <t>G-0391</t>
  </si>
  <si>
    <t>Geraldine</t>
  </si>
  <si>
    <t>Prisca</t>
  </si>
  <si>
    <t>Jl Nangka No.108</t>
  </si>
  <si>
    <t>G-129</t>
  </si>
  <si>
    <t>G-0493</t>
  </si>
  <si>
    <t>Gerasimon</t>
  </si>
  <si>
    <t>Perdikaris</t>
  </si>
  <si>
    <t>628111360099</t>
  </si>
  <si>
    <t>G-142</t>
  </si>
  <si>
    <t>Gerlinde</t>
  </si>
  <si>
    <t>G-063</t>
  </si>
  <si>
    <t>German</t>
  </si>
  <si>
    <t>G-0173</t>
  </si>
  <si>
    <t>Gerrit</t>
  </si>
  <si>
    <t>Hueting</t>
  </si>
  <si>
    <t>ghueting1202@gmail.com</t>
  </si>
  <si>
    <t>villa 27 jalan moonlight bay</t>
  </si>
  <si>
    <t>G-0486</t>
  </si>
  <si>
    <t>Ghueting1202@gmail.com</t>
  </si>
  <si>
    <t>G-089</t>
  </si>
  <si>
    <t>Gerry</t>
  </si>
  <si>
    <t>G-0300</t>
  </si>
  <si>
    <t>Mbatemooy</t>
  </si>
  <si>
    <t>G-017</t>
  </si>
  <si>
    <t>Jl. Bangunan Timur 14</t>
  </si>
  <si>
    <t>G-0340</t>
  </si>
  <si>
    <t>Stevanus</t>
  </si>
  <si>
    <t>G-0440</t>
  </si>
  <si>
    <t>Gesti</t>
  </si>
  <si>
    <t>628118953751</t>
  </si>
  <si>
    <t>G-0333</t>
  </si>
  <si>
    <t>Geum</t>
  </si>
  <si>
    <t>G-0451</t>
  </si>
  <si>
    <t>Ghaneemah A A A</t>
  </si>
  <si>
    <t>Alkandari</t>
  </si>
  <si>
    <t>gkmfta9@gmail.com</t>
  </si>
  <si>
    <t>96966989191</t>
  </si>
  <si>
    <t xml:space="preserve">Block 4 Street 402 H.2 Alshuhada
Kuwait</t>
  </si>
  <si>
    <t>G-0350</t>
  </si>
  <si>
    <t>Ghania</t>
  </si>
  <si>
    <t>Nurizzati</t>
  </si>
  <si>
    <t>Prima Lingkar Asri B1/4 Kota bekasi</t>
  </si>
  <si>
    <t>G-0495</t>
  </si>
  <si>
    <t>Gharya</t>
  </si>
  <si>
    <t>Wahyuni Mappe</t>
  </si>
  <si>
    <t>gharyawahyuni.mappe@yahoo.com</t>
  </si>
  <si>
    <t>6281280144709</t>
  </si>
  <si>
    <t>Jl.Kebon Kacang VI No.51</t>
  </si>
  <si>
    <t>G-146</t>
  </si>
  <si>
    <t>Ghazali</t>
  </si>
  <si>
    <t>Rasad</t>
  </si>
  <si>
    <t>G-0373</t>
  </si>
  <si>
    <t>Ghea</t>
  </si>
  <si>
    <t>coklatkuning46@gmail.com</t>
  </si>
  <si>
    <t>G-0388</t>
  </si>
  <si>
    <t>Appartement Nine Resident</t>
  </si>
  <si>
    <t>G-097</t>
  </si>
  <si>
    <t>G-018</t>
  </si>
  <si>
    <t>gheapanggadean@gmail.com</t>
  </si>
  <si>
    <t>jalan teuku umar no.23 menteng jakpus</t>
  </si>
  <si>
    <t>G-0472</t>
  </si>
  <si>
    <t>Ghianina</t>
  </si>
  <si>
    <t>628118164405</t>
  </si>
  <si>
    <t>K-0589</t>
  </si>
  <si>
    <t>Ghina</t>
  </si>
  <si>
    <t>Izzati</t>
  </si>
  <si>
    <t xml:space="preserve">JL.AR Hakim, Gg Panorama II no.18
Bandar Lampung</t>
  </si>
  <si>
    <t>G-0492</t>
  </si>
  <si>
    <t>Ghisya</t>
  </si>
  <si>
    <t>Larina</t>
  </si>
  <si>
    <t>6285121268636</t>
  </si>
  <si>
    <t>Bukit Permai Cibubur</t>
  </si>
  <si>
    <t>G-0415</t>
  </si>
  <si>
    <t>Ghita</t>
  </si>
  <si>
    <t>Larasanthi</t>
  </si>
  <si>
    <t>6281314095000</t>
  </si>
  <si>
    <t>G-019</t>
  </si>
  <si>
    <t>Ghontor</t>
  </si>
  <si>
    <t xml:space="preserve">Taman Berdikari Sentosa Blok L No.15
Rawamangun</t>
  </si>
  <si>
    <t>G-0365</t>
  </si>
  <si>
    <t>Ghoson</t>
  </si>
  <si>
    <t>Ziad</t>
  </si>
  <si>
    <t>Saint Lucia</t>
  </si>
  <si>
    <t>G-0401</t>
  </si>
  <si>
    <t>Ghufron</t>
  </si>
  <si>
    <t>Cempaka putih barat</t>
  </si>
  <si>
    <t>jakarta pusat</t>
  </si>
  <si>
    <t>G-027</t>
  </si>
  <si>
    <t>Gi</t>
  </si>
  <si>
    <t>Kwack</t>
  </si>
  <si>
    <t>Kemang Raya Apt 2108</t>
  </si>
  <si>
    <t>G-020</t>
  </si>
  <si>
    <t>Gia</t>
  </si>
  <si>
    <t>Komp. Bona Indah Plaza Blok A-2 / A-11</t>
  </si>
  <si>
    <t>Jl. Karang Tengah Raya. Lebak Bulus</t>
  </si>
  <si>
    <t>G-0382</t>
  </si>
  <si>
    <t>Wimboyon</t>
  </si>
  <si>
    <t>G-0336</t>
  </si>
  <si>
    <t>Gian</t>
  </si>
  <si>
    <t>Tanada</t>
  </si>
  <si>
    <t>gian.tanada@gmail.com</t>
  </si>
  <si>
    <t>M-1150</t>
  </si>
  <si>
    <t>Giat</t>
  </si>
  <si>
    <t>Persero)</t>
  </si>
  <si>
    <t>G-0367</t>
  </si>
  <si>
    <t>Gibbens</t>
  </si>
  <si>
    <t>Bvlgari Villa 12</t>
  </si>
  <si>
    <t>G-0325</t>
  </si>
  <si>
    <t>Gideon</t>
  </si>
  <si>
    <t>Karsyono</t>
  </si>
  <si>
    <t>gkarsyono@yahoo.com</t>
  </si>
  <si>
    <t>Jl. BNI BLOK 44 NO 12</t>
  </si>
  <si>
    <t>G-0292</t>
  </si>
  <si>
    <t>Giedre</t>
  </si>
  <si>
    <t>G-158</t>
  </si>
  <si>
    <t>Gigih</t>
  </si>
  <si>
    <t>Arleedstanto</t>
  </si>
  <si>
    <t>Jl. Tebet Barat Raya No. 25B</t>
  </si>
  <si>
    <t>G-056</t>
  </si>
  <si>
    <t>Gigin</t>
  </si>
  <si>
    <t>G-0303</t>
  </si>
  <si>
    <t xml:space="preserve">Jl. Pinang Perak VII No.5
RT 13/ RW 16 Kec. Kebayoran Lama</t>
  </si>
  <si>
    <t>G-080</t>
  </si>
  <si>
    <t>Gihon</t>
  </si>
  <si>
    <t>Jules</t>
  </si>
  <si>
    <t>6287877438438</t>
  </si>
  <si>
    <t>G-0423</t>
  </si>
  <si>
    <t>Gihza</t>
  </si>
  <si>
    <t>G-090</t>
  </si>
  <si>
    <t>Schneider</t>
  </si>
  <si>
    <t>G-121</t>
  </si>
  <si>
    <t>Gilang</t>
  </si>
  <si>
    <t>Empinang</t>
  </si>
  <si>
    <t>aroempinang@gmail.com</t>
  </si>
  <si>
    <t xml:space="preserve">Kartika Utama BG.7 No.125 
Pondok Indah 
Jakarta Selatan</t>
  </si>
  <si>
    <t>G-125</t>
  </si>
  <si>
    <t>Hutagaol</t>
  </si>
  <si>
    <t>6287888830310</t>
  </si>
  <si>
    <t>G-0313</t>
  </si>
  <si>
    <t>G-0450</t>
  </si>
  <si>
    <t>Gilda</t>
  </si>
  <si>
    <t>Janice</t>
  </si>
  <si>
    <t>628112883992</t>
  </si>
  <si>
    <t>G-0170</t>
  </si>
  <si>
    <t>Gim</t>
  </si>
  <si>
    <t>Jl Punak No 20A</t>
  </si>
  <si>
    <t>G-0167</t>
  </si>
  <si>
    <t>Gina</t>
  </si>
  <si>
    <t>ginaaditya10@gmail.com</t>
  </si>
  <si>
    <t xml:space="preserve">Jl.Kasutri I Blok H/A 3 No.8
Bday 10 07 92</t>
  </si>
  <si>
    <t>G-0410</t>
  </si>
  <si>
    <t>Almaida</t>
  </si>
  <si>
    <t>Residences 8 Senopati 2/16C Jak Sel</t>
  </si>
  <si>
    <t>G-0212</t>
  </si>
  <si>
    <t>jalan Kuricang Raya 6B 1/15 Sektor 3A Bintaro Jaya Tangerang Banten</t>
  </si>
  <si>
    <t>G-0467</t>
  </si>
  <si>
    <t>Kulsum Rohaeni</t>
  </si>
  <si>
    <t>+62818717061</t>
  </si>
  <si>
    <t>JL . Puri Kencana no 39 Jakarta - Selatan</t>
  </si>
  <si>
    <t>G-0210</t>
  </si>
  <si>
    <t>luntungan</t>
  </si>
  <si>
    <t>G-0284</t>
  </si>
  <si>
    <t>Margiani</t>
  </si>
  <si>
    <t xml:space="preserve">Taman Botanik B9
Jl.Moch Kahfi 1 No.21 Jagakarsa</t>
  </si>
  <si>
    <t>G-0197</t>
  </si>
  <si>
    <t>Resania</t>
  </si>
  <si>
    <t>G-0407</t>
  </si>
  <si>
    <t>Ginna</t>
  </si>
  <si>
    <t>G-0223</t>
  </si>
  <si>
    <t>Ginny</t>
  </si>
  <si>
    <t>6282136666126</t>
  </si>
  <si>
    <t>G-025</t>
  </si>
  <si>
    <t>G-0233</t>
  </si>
  <si>
    <t>Giofanka</t>
  </si>
  <si>
    <t>Nerri</t>
  </si>
  <si>
    <t>G-160</t>
  </si>
  <si>
    <t>Gioffredo</t>
  </si>
  <si>
    <t xml:space="preserve">Jalan Pelita #16 Cipete 12410
Jakarta</t>
  </si>
  <si>
    <t>G-064</t>
  </si>
  <si>
    <t>maxime</t>
  </si>
  <si>
    <t>G-0409</t>
  </si>
  <si>
    <t>Giorgadze</t>
  </si>
  <si>
    <t>Aleksandre</t>
  </si>
  <si>
    <t>Georgia</t>
  </si>
  <si>
    <t>M-1327</t>
  </si>
  <si>
    <t>Gioshia</t>
  </si>
  <si>
    <t>G-0322</t>
  </si>
  <si>
    <t>Giovanni</t>
  </si>
  <si>
    <t>Marco</t>
  </si>
  <si>
    <t>G-0327</t>
  </si>
  <si>
    <t>Favian</t>
  </si>
  <si>
    <t>G-0339</t>
  </si>
  <si>
    <t>Giovanny</t>
  </si>
  <si>
    <t>G-0460</t>
  </si>
  <si>
    <t>Giovano</t>
  </si>
  <si>
    <t>Dhivaldi Susanto</t>
  </si>
  <si>
    <t>dhivaldi@gmail.com</t>
  </si>
  <si>
    <t>628111919060</t>
  </si>
  <si>
    <t>Jl. Niaga Hijau IV No. 6, Jakarta Selatan</t>
  </si>
  <si>
    <t>G-026</t>
  </si>
  <si>
    <t>Giri</t>
  </si>
  <si>
    <t>(Bogor)</t>
  </si>
  <si>
    <t>Jl. Ashari Jaya II No. 26</t>
  </si>
  <si>
    <t>G-0447</t>
  </si>
  <si>
    <t>Valen</t>
  </si>
  <si>
    <t>6281339998996</t>
  </si>
  <si>
    <t>Jl Putri Candramidi No. 23, Pontianak, Kalimantan Barat</t>
  </si>
  <si>
    <t>G-150</t>
  </si>
  <si>
    <t>Gisva</t>
  </si>
  <si>
    <t xml:space="preserve">Apartement Royal Mediterania Garden ResidenceTower Margold unit 31AC
central park</t>
  </si>
  <si>
    <t>G-0312</t>
  </si>
  <si>
    <t>gita-sasti@yahoo.com</t>
  </si>
  <si>
    <t xml:space="preserve">Madison Park Residence,Jakarta Barat.
Lobby Mahogani</t>
  </si>
  <si>
    <t>G-0202</t>
  </si>
  <si>
    <t>Taman Kenari  Blok C1 No.7</t>
  </si>
  <si>
    <t>G-0176</t>
  </si>
  <si>
    <t>g_permatasari81@yahoo.com</t>
  </si>
  <si>
    <t xml:space="preserve">Balikpapan
Balik Papan,BDI Ciputra</t>
  </si>
  <si>
    <t>G-0380</t>
  </si>
  <si>
    <t>Yosika</t>
  </si>
  <si>
    <t>G-0426</t>
  </si>
  <si>
    <t>Gitary</t>
  </si>
  <si>
    <t>Marsella</t>
  </si>
  <si>
    <t>Ebony Golf V No.31A Jakarta</t>
  </si>
  <si>
    <t>G-0387</t>
  </si>
  <si>
    <t>Githa</t>
  </si>
  <si>
    <t>Nafeeza</t>
  </si>
  <si>
    <t>622111111649</t>
  </si>
  <si>
    <t>BSD CITY</t>
  </si>
  <si>
    <t>G-028</t>
  </si>
  <si>
    <t>G-0203</t>
  </si>
  <si>
    <t>Gitta</t>
  </si>
  <si>
    <t>Djuwadz</t>
  </si>
  <si>
    <t>Sanur indah 54 kelapa gading jak utara</t>
  </si>
  <si>
    <t>G-029</t>
  </si>
  <si>
    <t>Gladis</t>
  </si>
  <si>
    <t>G-0302</t>
  </si>
  <si>
    <t>Gladys</t>
  </si>
  <si>
    <t>Tumewa</t>
  </si>
  <si>
    <t>G-0347</t>
  </si>
  <si>
    <t>Clarisa</t>
  </si>
  <si>
    <t>Siwalankertu- Surabaya</t>
  </si>
  <si>
    <t>G-120</t>
  </si>
  <si>
    <t>Glen</t>
  </si>
  <si>
    <t>Glenardi</t>
  </si>
  <si>
    <t>Jl.Kemang Timur XII/II Jak Sel</t>
  </si>
  <si>
    <t>G-0283</t>
  </si>
  <si>
    <t>Marthen Pontoh</t>
  </si>
  <si>
    <t>+628111998585</t>
  </si>
  <si>
    <t>G-060</t>
  </si>
  <si>
    <t>Glenn</t>
  </si>
  <si>
    <t>Sudarto</t>
  </si>
  <si>
    <t>G-031</t>
  </si>
  <si>
    <t>Glenny</t>
  </si>
  <si>
    <t>Jl. Dharma Husada Indah Barat III Blok A No. 190</t>
  </si>
  <si>
    <t>G-0390</t>
  </si>
  <si>
    <t>Gultom</t>
  </si>
  <si>
    <t>gloriajessuca.gultom@gmail.com</t>
  </si>
  <si>
    <t>Komp. Bumi Sarinah Estate no. L-15, Cikoko, Pancoran</t>
  </si>
  <si>
    <t>G-0477</t>
  </si>
  <si>
    <t>Gloria Maria</t>
  </si>
  <si>
    <t>Carreno Alvarez</t>
  </si>
  <si>
    <t>gloriacarreno@me.com</t>
  </si>
  <si>
    <t>34671351756</t>
  </si>
  <si>
    <t>G-0432</t>
  </si>
  <si>
    <t>Glory</t>
  </si>
  <si>
    <t>lasmana.glory@gmail.com</t>
  </si>
  <si>
    <t>08119970222</t>
  </si>
  <si>
    <t>G-072</t>
  </si>
  <si>
    <t>seng</t>
  </si>
  <si>
    <t>G-136</t>
  </si>
  <si>
    <t>Seng</t>
  </si>
  <si>
    <t>G-0189</t>
  </si>
  <si>
    <t>Goby</t>
  </si>
  <si>
    <t>G-0393</t>
  </si>
  <si>
    <t>Goh</t>
  </si>
  <si>
    <t>Guan</t>
  </si>
  <si>
    <t>REPUBLIC OF SINGAPORE</t>
  </si>
  <si>
    <t>G-0290</t>
  </si>
  <si>
    <t>G-0317</t>
  </si>
  <si>
    <t>Waty</t>
  </si>
  <si>
    <t>G-0199</t>
  </si>
  <si>
    <t>Goku</t>
  </si>
  <si>
    <t>Shikara</t>
  </si>
  <si>
    <t>G-0182</t>
  </si>
  <si>
    <t>Golfina</t>
  </si>
  <si>
    <t>Kusmarningrum</t>
  </si>
  <si>
    <t>62811984898</t>
  </si>
  <si>
    <t>Jl. Duren Tiga Barat 1/1A</t>
  </si>
  <si>
    <t>G-0403</t>
  </si>
  <si>
    <t>Golub</t>
  </si>
  <si>
    <t>G-0457</t>
  </si>
  <si>
    <t>svet.go@inbox.ru</t>
  </si>
  <si>
    <t>79295769869</t>
  </si>
  <si>
    <t>G-0204</t>
  </si>
  <si>
    <t>Gondo</t>
  </si>
  <si>
    <t>Jl. Gaya Motor III No.3</t>
  </si>
  <si>
    <t>G-0366</t>
  </si>
  <si>
    <t>Yiyang</t>
  </si>
  <si>
    <t>G-0424</t>
  </si>
  <si>
    <t>13862207955@163.com</t>
  </si>
  <si>
    <t>G-0453</t>
  </si>
  <si>
    <t>Yuanfang</t>
  </si>
  <si>
    <t>8618118118926</t>
  </si>
  <si>
    <t>G-0488</t>
  </si>
  <si>
    <t>Huanqing</t>
  </si>
  <si>
    <t>1635495826@qq.com</t>
  </si>
  <si>
    <t>8613488193910</t>
  </si>
  <si>
    <t>G-0362</t>
  </si>
  <si>
    <t>Gong,</t>
  </si>
  <si>
    <t>Shize</t>
  </si>
  <si>
    <t>G-0458</t>
  </si>
  <si>
    <t>Gorelov</t>
  </si>
  <si>
    <t>Victor</t>
  </si>
  <si>
    <t>sa8tari@gmail.com</t>
  </si>
  <si>
    <t>79933339301</t>
  </si>
  <si>
    <t>G-0235</t>
  </si>
  <si>
    <t>Gouw</t>
  </si>
  <si>
    <t>G-0476</t>
  </si>
  <si>
    <t>Govind Hari</t>
  </si>
  <si>
    <t>Srinivasan Sri</t>
  </si>
  <si>
    <t>harigo@outlook.com</t>
  </si>
  <si>
    <t>12067473407</t>
  </si>
  <si>
    <t>G-0455</t>
  </si>
  <si>
    <t>Govindasamy</t>
  </si>
  <si>
    <t>Dinakaran</t>
  </si>
  <si>
    <t>dina@doctorpackindia.com</t>
  </si>
  <si>
    <t>919591665747</t>
  </si>
  <si>
    <t>G-039</t>
  </si>
  <si>
    <t>Govindha</t>
  </si>
  <si>
    <t>Jl. Buluh 22</t>
  </si>
  <si>
    <t>Condet</t>
  </si>
  <si>
    <t>G-0360</t>
  </si>
  <si>
    <t>G-0496</t>
  </si>
  <si>
    <t>Gozde</t>
  </si>
  <si>
    <t>Ozturk</t>
  </si>
  <si>
    <t>goezole.oezmen@outlook.de</t>
  </si>
  <si>
    <t>4917624986143</t>
  </si>
  <si>
    <t>G-0379</t>
  </si>
  <si>
    <t>Grace</t>
  </si>
  <si>
    <t>G-148</t>
  </si>
  <si>
    <t>G-0372</t>
  </si>
  <si>
    <t>Sopo Del Tower LT-22</t>
  </si>
  <si>
    <t>G-0219</t>
  </si>
  <si>
    <t>G-0236</t>
  </si>
  <si>
    <t>G-112</t>
  </si>
  <si>
    <t>G.diana.widjayanto@gmail.com</t>
  </si>
  <si>
    <t xml:space="preserve">Jl.Kartini VIII/8-10
Jakarta Pusat</t>
  </si>
  <si>
    <t>G-0206</t>
  </si>
  <si>
    <t>Saerang</t>
  </si>
  <si>
    <t>G-0329</t>
  </si>
  <si>
    <t>Ekarto</t>
  </si>
  <si>
    <t>G-0332</t>
  </si>
  <si>
    <t>G-0174</t>
  </si>
  <si>
    <t>Gahung</t>
  </si>
  <si>
    <t>ggcintact2015@gmail.com</t>
  </si>
  <si>
    <t>G-0449</t>
  </si>
  <si>
    <t>G-0490</t>
  </si>
  <si>
    <t>Katuari</t>
  </si>
  <si>
    <t>6281510609966</t>
  </si>
  <si>
    <t>G-0471</t>
  </si>
  <si>
    <t>Lacanilao</t>
  </si>
  <si>
    <t>gracey_lacanilao@yahoo.com</t>
  </si>
  <si>
    <t>628111945883</t>
  </si>
  <si>
    <t>G-0348</t>
  </si>
  <si>
    <t>G-0357</t>
  </si>
  <si>
    <t>6281806054233</t>
  </si>
  <si>
    <t>M-1544</t>
  </si>
  <si>
    <t>Loekman</t>
  </si>
  <si>
    <t>Kayu Putih</t>
  </si>
  <si>
    <t>G-0489</t>
  </si>
  <si>
    <t>Marlina Winata</t>
  </si>
  <si>
    <t>gracemw.rnd@gmail.com</t>
  </si>
  <si>
    <t>6281519189565</t>
  </si>
  <si>
    <t>Green Ville AO No.28</t>
  </si>
  <si>
    <t>G-0364</t>
  </si>
  <si>
    <t>Octavia</t>
  </si>
  <si>
    <t xml:space="preserve">BOULEVARD HIJAU
JL PALEM RAYA BLOK H 1/10
HARAPAN INDAH - BEKASI 17131</t>
  </si>
  <si>
    <t>G-0463</t>
  </si>
  <si>
    <t>Tang</t>
  </si>
  <si>
    <t>garcetang2480@gmail.com</t>
  </si>
  <si>
    <t>Jl Pekapuran Raya No.17A</t>
  </si>
  <si>
    <t>G-078</t>
  </si>
  <si>
    <t>G-0207</t>
  </si>
  <si>
    <t>Sandra</t>
  </si>
  <si>
    <t>+6281908080309</t>
  </si>
  <si>
    <t>The Springs Gading Serpong, Cluster Pelican , Pelican Timur Polos No.9 , Cihuni Pagedangan Banten 15332</t>
  </si>
  <si>
    <t>G-116</t>
  </si>
  <si>
    <t>G-0454</t>
  </si>
  <si>
    <t>Sutandyo</t>
  </si>
  <si>
    <t>+628158829339</t>
  </si>
  <si>
    <t>G-0215</t>
  </si>
  <si>
    <t>G-042</t>
  </si>
  <si>
    <t>Perum. Bumi Serpong Damai</t>
  </si>
  <si>
    <t>Victoria River Park Blok A-9 No. 5</t>
  </si>
  <si>
    <t>G-157</t>
  </si>
  <si>
    <t>Tjeng</t>
  </si>
  <si>
    <t>G-134</t>
  </si>
  <si>
    <t>Gracea</t>
  </si>
  <si>
    <t>Shirley</t>
  </si>
  <si>
    <t xml:space="preserve">Perumahaan Daan Mogot Baru Blok LB 28
Kompleks Kintamani</t>
  </si>
  <si>
    <t>G-154</t>
  </si>
  <si>
    <t>G-074</t>
  </si>
  <si>
    <t>Moningka</t>
  </si>
  <si>
    <t>The Belezza Apt #17 VS 7 Jakarta</t>
  </si>
  <si>
    <t>G-0417</t>
  </si>
  <si>
    <t>Vallentine</t>
  </si>
  <si>
    <t>G-0487</t>
  </si>
  <si>
    <t>Ruth</t>
  </si>
  <si>
    <t>graciaruthtks29@gmail.com</t>
  </si>
  <si>
    <t>6282338915930</t>
  </si>
  <si>
    <t>G-0354</t>
  </si>
  <si>
    <t>gracia.shintadevi@gmail.com</t>
  </si>
  <si>
    <t>+6282298989191</t>
  </si>
  <si>
    <t>G-0470</t>
  </si>
  <si>
    <t>Susanna</t>
  </si>
  <si>
    <t>628179818818</t>
  </si>
  <si>
    <t>G-0351</t>
  </si>
  <si>
    <t>Graham</t>
  </si>
  <si>
    <t>Doggart</t>
  </si>
  <si>
    <t>G-0405</t>
  </si>
  <si>
    <t>Gran</t>
  </si>
  <si>
    <t>Mendoza</t>
  </si>
  <si>
    <t>G-067</t>
  </si>
  <si>
    <t>Graziano</t>
  </si>
  <si>
    <t>Capone</t>
  </si>
  <si>
    <t>G-099</t>
  </si>
  <si>
    <t>Greek</t>
  </si>
  <si>
    <t>Davidson</t>
  </si>
  <si>
    <t>G-091</t>
  </si>
  <si>
    <t>Greg</t>
  </si>
  <si>
    <t>G-0323</t>
  </si>
  <si>
    <t>+62816828665</t>
  </si>
  <si>
    <t>G-0342</t>
  </si>
  <si>
    <t>Vasili Villa Canggu</t>
  </si>
  <si>
    <t>G-0259</t>
  </si>
  <si>
    <t>Darmono</t>
  </si>
  <si>
    <t>G-119</t>
  </si>
  <si>
    <t>U</t>
  </si>
  <si>
    <t>G-0277</t>
  </si>
  <si>
    <t>6287877585811</t>
  </si>
  <si>
    <t>G-093</t>
  </si>
  <si>
    <t>Griese</t>
  </si>
  <si>
    <t>G-0485</t>
  </si>
  <si>
    <t>Griselda</t>
  </si>
  <si>
    <t>Iwandi</t>
  </si>
  <si>
    <t>griselda.iwandi@yahoo.com</t>
  </si>
  <si>
    <t>628121007537</t>
  </si>
  <si>
    <t>Taman Alfa Indah</t>
  </si>
  <si>
    <t>G-0400</t>
  </si>
  <si>
    <t>Jl.Kemang selatan 1/M8</t>
  </si>
  <si>
    <t>G-0478</t>
  </si>
  <si>
    <t>Ludmila</t>
  </si>
  <si>
    <t>Gromovenko</t>
  </si>
  <si>
    <t>lgromovenko@yahoo.com</t>
  </si>
  <si>
    <t>393336548332</t>
  </si>
  <si>
    <t>G-107</t>
  </si>
  <si>
    <t>Grosse</t>
  </si>
  <si>
    <t>Helen</t>
  </si>
  <si>
    <t>G-0430</t>
  </si>
  <si>
    <t>Groznov</t>
  </si>
  <si>
    <t>Vitalii</t>
  </si>
  <si>
    <t>+79854200080</t>
  </si>
  <si>
    <t>G-0444</t>
  </si>
  <si>
    <t>Yonah</t>
  </si>
  <si>
    <t>Grunhut</t>
  </si>
  <si>
    <t>13473975764</t>
  </si>
  <si>
    <t>G-127</t>
  </si>
  <si>
    <t>Gu</t>
  </si>
  <si>
    <t>G-0438</t>
  </si>
  <si>
    <t>Ran</t>
  </si>
  <si>
    <t>86822727377</t>
  </si>
  <si>
    <t>G-0281</t>
  </si>
  <si>
    <t>So Young</t>
  </si>
  <si>
    <t>628119843453</t>
  </si>
  <si>
    <t xml:space="preserve">Pakubuwono Residence 
Iron Wood 12C</t>
  </si>
  <si>
    <t>G-0358</t>
  </si>
  <si>
    <t>C-0556</t>
  </si>
  <si>
    <t>Lingfei</t>
  </si>
  <si>
    <t>G-0459</t>
  </si>
  <si>
    <t>Yizhen</t>
  </si>
  <si>
    <t>zhouqi815@hotmail.com</t>
  </si>
  <si>
    <t>8618621937259</t>
  </si>
  <si>
    <t>G-0427</t>
  </si>
  <si>
    <t>Gu,</t>
  </si>
  <si>
    <t>mint1112@163.com</t>
  </si>
  <si>
    <t>G-0416</t>
  </si>
  <si>
    <t>Yunyi</t>
  </si>
  <si>
    <t>G-0328</t>
  </si>
  <si>
    <t>Hongwen</t>
  </si>
  <si>
    <t>G-0464</t>
  </si>
  <si>
    <t>Guangtao</t>
  </si>
  <si>
    <t>6281218195208</t>
  </si>
  <si>
    <t>G-058</t>
  </si>
  <si>
    <t>Guanglin</t>
  </si>
  <si>
    <t>G-0483</t>
  </si>
  <si>
    <t>Gudimarti</t>
  </si>
  <si>
    <t>6281311341301</t>
  </si>
  <si>
    <t>G-0442</t>
  </si>
  <si>
    <t>Gugun</t>
  </si>
  <si>
    <t>Gumilar</t>
  </si>
  <si>
    <t>G-0402</t>
  </si>
  <si>
    <t>G-0425</t>
  </si>
  <si>
    <t>G-0452</t>
  </si>
  <si>
    <t>G-0356</t>
  </si>
  <si>
    <t>Gulbakhram</t>
  </si>
  <si>
    <t>Ayazbayeva</t>
  </si>
  <si>
    <t>628164892888</t>
  </si>
  <si>
    <t>G-0344</t>
  </si>
  <si>
    <t>Gulzhan,</t>
  </si>
  <si>
    <t>Rakhimbekova</t>
  </si>
  <si>
    <t>rgulzhan@gmail.com</t>
  </si>
  <si>
    <t>G-0179</t>
  </si>
  <si>
    <t>ChrisTianto</t>
  </si>
  <si>
    <t>M-1195</t>
  </si>
  <si>
    <t>Gunarijah</t>
  </si>
  <si>
    <t>G-0276</t>
  </si>
  <si>
    <t>G-0287</t>
  </si>
  <si>
    <t>G-111</t>
  </si>
  <si>
    <t>G-094</t>
  </si>
  <si>
    <t>G-069</t>
  </si>
  <si>
    <t>G-048</t>
  </si>
  <si>
    <t>G-0396</t>
  </si>
  <si>
    <t>Budirahardjo</t>
  </si>
  <si>
    <t>G-049</t>
  </si>
  <si>
    <t>gunawan_dimas@yahoo.co.id</t>
  </si>
  <si>
    <t xml:space="preserve">The Sunan Hotel
jl A yani 40</t>
  </si>
  <si>
    <t>G-133</t>
  </si>
  <si>
    <t>Djojoutomo</t>
  </si>
  <si>
    <t>Senayan Residences</t>
  </si>
  <si>
    <t>G-0346</t>
  </si>
  <si>
    <t>Kwandau</t>
  </si>
  <si>
    <t>gunawankwandau@gmail.com</t>
  </si>
  <si>
    <t xml:space="preserve">Geen Vile Blok H/14 
jakarta barat</t>
  </si>
  <si>
    <t>G-0433</t>
  </si>
  <si>
    <t>Muljadi</t>
  </si>
  <si>
    <t>6285921862460</t>
  </si>
  <si>
    <t>G-113</t>
  </si>
  <si>
    <t>Suswantoro</t>
  </si>
  <si>
    <t>gunawan366@yahoo.com</t>
  </si>
  <si>
    <t>Kota Wisata Cibubur</t>
  </si>
  <si>
    <t>G-051</t>
  </si>
  <si>
    <t>G-0331</t>
  </si>
  <si>
    <t>Tungredjo</t>
  </si>
  <si>
    <t>G-086</t>
  </si>
  <si>
    <t>A-1161</t>
  </si>
  <si>
    <t>628123008234</t>
  </si>
  <si>
    <t xml:space="preserve">Jl.Mirah Siam
Permata Hijau C3 n0.30
Jakarta Selatan</t>
  </si>
  <si>
    <t>G-0370</t>
  </si>
  <si>
    <t>G-0466</t>
  </si>
  <si>
    <t>Gunnar</t>
  </si>
  <si>
    <t>Beckers</t>
  </si>
  <si>
    <t>gunbecks@gmail.com</t>
  </si>
  <si>
    <t>+6281130707234</t>
  </si>
  <si>
    <t>G-0418</t>
  </si>
  <si>
    <t>Utama</t>
  </si>
  <si>
    <t>guntur.utama@gmail.com</t>
  </si>
  <si>
    <t>G-0298</t>
  </si>
  <si>
    <t>guntur_susanto@yahoo.com</t>
  </si>
  <si>
    <t>G-079</t>
  </si>
  <si>
    <t>Trimarau Permai 3 No.9</t>
  </si>
  <si>
    <t>G-0304</t>
  </si>
  <si>
    <t>gwinarta89@gmail.com</t>
  </si>
  <si>
    <t>08118008888</t>
  </si>
  <si>
    <t xml:space="preserve">PT.Prima Laksana Mandiri
Menara Thamrin 
JL.MH Thamrin kav 3-jakarta Pusat</t>
  </si>
  <si>
    <t>G-0314</t>
  </si>
  <si>
    <t>Gunung</t>
  </si>
  <si>
    <t>Kartiko</t>
  </si>
  <si>
    <t>628112987777</t>
  </si>
  <si>
    <t xml:space="preserve">BSD Cluster The Anthea B6/5
Serpong</t>
  </si>
  <si>
    <t>G-0241</t>
  </si>
  <si>
    <t>Hanbing</t>
  </si>
  <si>
    <t>G-0335</t>
  </si>
  <si>
    <t>Jiajun</t>
  </si>
  <si>
    <t xml:space="preserve">PT BANGKA TIN INDUSTRY
Kawasan Industri Jelitik, Sungailiat
Bangka Belitung - Indonesia 33215</t>
  </si>
  <si>
    <t>G-0441</t>
  </si>
  <si>
    <t>Lilan</t>
  </si>
  <si>
    <t>litchi_guo@jolysport.com</t>
  </si>
  <si>
    <t>8613788844076</t>
  </si>
  <si>
    <t>G-0321</t>
  </si>
  <si>
    <t>G-0461</t>
  </si>
  <si>
    <t>Xiang</t>
  </si>
  <si>
    <t>8618733584532</t>
  </si>
  <si>
    <t>G-0324</t>
  </si>
  <si>
    <t>Xiangwu</t>
  </si>
  <si>
    <t>G-0349</t>
  </si>
  <si>
    <t>G-0385</t>
  </si>
  <si>
    <t>Guo,</t>
  </si>
  <si>
    <t>Junyan</t>
  </si>
  <si>
    <t>G-0491</t>
  </si>
  <si>
    <t>Tianen</t>
  </si>
  <si>
    <t>2755939269@qq.com</t>
  </si>
  <si>
    <t>8615355026805</t>
  </si>
  <si>
    <t>G-0481</t>
  </si>
  <si>
    <t>Ni</t>
  </si>
  <si>
    <t>Tiantian</t>
  </si>
  <si>
    <t>guoxiuzjmsa@163.com</t>
  </si>
  <si>
    <t>8613666661889</t>
  </si>
  <si>
    <t>G-0437</t>
  </si>
  <si>
    <t>Zhengyi</t>
  </si>
  <si>
    <t>52008825@88.com</t>
  </si>
  <si>
    <t>8613918918938</t>
  </si>
  <si>
    <t>G-0376</t>
  </si>
  <si>
    <t>Guraish</t>
  </si>
  <si>
    <t>Aldjufrie</t>
  </si>
  <si>
    <t>G-0465</t>
  </si>
  <si>
    <t>Gurichev</t>
  </si>
  <si>
    <t>Konstantin</t>
  </si>
  <si>
    <t>gurichev@mail.com</t>
  </si>
  <si>
    <t>79263026122</t>
  </si>
  <si>
    <t>G-0177</t>
  </si>
  <si>
    <t>G-061</t>
  </si>
  <si>
    <t>Gusdian</t>
  </si>
  <si>
    <t xml:space="preserve">Apt. Essence Tower I no 1206
Jl. Darmawangsa X 86
JKT 72760</t>
  </si>
  <si>
    <t>G-0420</t>
  </si>
  <si>
    <t>Guseynov</t>
  </si>
  <si>
    <t>Mekhradzh</t>
  </si>
  <si>
    <t>vv5803@mail.ru</t>
  </si>
  <si>
    <t>G-0217</t>
  </si>
  <si>
    <t>Gusfarita</t>
  </si>
  <si>
    <t>ita72sa@yahoo.com</t>
  </si>
  <si>
    <t>6285278246465</t>
  </si>
  <si>
    <t>Jl. Masjid Darul Mualimin No.57 Pondok Kacang Timur,Kecamatan Pondok Aren,Kota Tangerang Selatan Banten 15222</t>
  </si>
  <si>
    <t>G-0369</t>
  </si>
  <si>
    <t>Suwarniti</t>
  </si>
  <si>
    <t>Banjar Tampak Kerep badung bali</t>
  </si>
  <si>
    <t>G-070</t>
  </si>
  <si>
    <t xml:space="preserve">Jl. Kebalen 2 No 48 Blok  S
Jakarta 12180</t>
  </si>
  <si>
    <t>G-0431</t>
  </si>
  <si>
    <t>Gusti Dhia</t>
  </si>
  <si>
    <t>gustidhia@gmail.com</t>
  </si>
  <si>
    <t>+62811686838</t>
  </si>
  <si>
    <t>Jl.Gandaria VI No.11G ,Kebayoran Baru , Jakarta Selatan</t>
  </si>
  <si>
    <t>G-0375</t>
  </si>
  <si>
    <t>Karima</t>
  </si>
  <si>
    <t>6281288002288</t>
  </si>
  <si>
    <t>Apt.1 Park Residence JAKARTA 12130</t>
  </si>
  <si>
    <t>G-114</t>
  </si>
  <si>
    <t>gustiindrakusnadi@gmail.com</t>
  </si>
  <si>
    <t>G-052</t>
  </si>
  <si>
    <t>G-0301</t>
  </si>
  <si>
    <t>Anom</t>
  </si>
  <si>
    <t>G-143</t>
  </si>
  <si>
    <t>Wirasusanto</t>
  </si>
  <si>
    <t>G-0394</t>
  </si>
  <si>
    <t>Gustia Astri</t>
  </si>
  <si>
    <t>Rajnikania</t>
  </si>
  <si>
    <t>628118771188</t>
  </si>
  <si>
    <t>G-0334</t>
  </si>
  <si>
    <t>Gustia</t>
  </si>
  <si>
    <t>Ninella</t>
  </si>
  <si>
    <t>+628126735095</t>
  </si>
  <si>
    <t>Komp.Mega Asri Hills No.52</t>
  </si>
  <si>
    <t>G-0446</t>
  </si>
  <si>
    <t>Gusvira</t>
  </si>
  <si>
    <t>Winoto</t>
  </si>
  <si>
    <t>gusvira winoto@gmail.com</t>
  </si>
  <si>
    <t>628567095228</t>
  </si>
  <si>
    <t>Jl. Raya Mediterana BA.6</t>
  </si>
  <si>
    <t>G-0389</t>
  </si>
  <si>
    <t>Guzenko</t>
  </si>
  <si>
    <t>G-0345</t>
  </si>
  <si>
    <t>Gv</t>
  </si>
  <si>
    <t>gabrielsusan27@gmail.com</t>
  </si>
  <si>
    <t>Janur Kuning Residence,</t>
  </si>
  <si>
    <t>G-0371</t>
  </si>
  <si>
    <t>Gwen</t>
  </si>
  <si>
    <t>G-0353</t>
  </si>
  <si>
    <t>Gwenny/</t>
  </si>
  <si>
    <t>Sutera Mentari 7 No 5</t>
  </si>
  <si>
    <t>G-0316</t>
  </si>
  <si>
    <t>Gyeong bog</t>
  </si>
  <si>
    <t>628118773158</t>
  </si>
  <si>
    <t>H-591</t>
  </si>
  <si>
    <t>H-0659</t>
  </si>
  <si>
    <t>H-0894</t>
  </si>
  <si>
    <t>H-439</t>
  </si>
  <si>
    <t>H-649</t>
  </si>
  <si>
    <t>Wismansyah</t>
  </si>
  <si>
    <t>Jl. Sinar Hati No.1 Kota Tangerang</t>
  </si>
  <si>
    <t>H-134</t>
  </si>
  <si>
    <t xml:space="preserve">Komp Bank Niaga
Jl. Bank 14
Pejaten Barat</t>
  </si>
  <si>
    <t>H-1074</t>
  </si>
  <si>
    <t>Nushar</t>
  </si>
  <si>
    <t>M-1582</t>
  </si>
  <si>
    <t>Mini</t>
  </si>
  <si>
    <t xml:space="preserve">Apartement The Mansion Bougenville Tower Emerald Unit BE 12 N1, Jakarta Utara 14410
</t>
  </si>
  <si>
    <t>H-153</t>
  </si>
  <si>
    <t>Jl. Cempaka Putih Tengah VI No. 3</t>
  </si>
  <si>
    <t>H-198</t>
  </si>
  <si>
    <t>Faidah</t>
  </si>
  <si>
    <t>Jl. A.W Syahrani Perum Pondok Alam Indah</t>
  </si>
  <si>
    <t>H-1104</t>
  </si>
  <si>
    <t>Ilyas</t>
  </si>
  <si>
    <t>Jalan Panlima Aim GG Bahari Mas No 1</t>
  </si>
  <si>
    <t>H-237</t>
  </si>
  <si>
    <t>H.Abdul</t>
  </si>
  <si>
    <t>S.SI</t>
  </si>
  <si>
    <t>Jl.Khairil Anwar Kolaks Sul Tra</t>
  </si>
  <si>
    <t>H-618</t>
  </si>
  <si>
    <t>H.Alvin</t>
  </si>
  <si>
    <t xml:space="preserve">Jl.Kemang Selatan 8,Kompleks Kemang Jaya Kav A14
Kemang , Jakarta Selatan</t>
  </si>
  <si>
    <t>H-0711</t>
  </si>
  <si>
    <t>H.Andi</t>
  </si>
  <si>
    <t>Yakin</t>
  </si>
  <si>
    <t>H-255</t>
  </si>
  <si>
    <t>H.Chairul</t>
  </si>
  <si>
    <t>H-616</t>
  </si>
  <si>
    <t>H.Dwi</t>
  </si>
  <si>
    <t>H.Winarno</t>
  </si>
  <si>
    <t>H-1019</t>
  </si>
  <si>
    <t>H.E</t>
  </si>
  <si>
    <t>Mirzayav</t>
  </si>
  <si>
    <t>vabdullaeva@yahoo.com</t>
  </si>
  <si>
    <t>H-1174</t>
  </si>
  <si>
    <t>H.H.Prince</t>
  </si>
  <si>
    <t>Saud</t>
  </si>
  <si>
    <t>ksaud.529777@guest.booking.com</t>
  </si>
  <si>
    <t>Kingdom of Saudi Arabia</t>
  </si>
  <si>
    <t>H-205</t>
  </si>
  <si>
    <t>H.Imam</t>
  </si>
  <si>
    <t>Sudo</t>
  </si>
  <si>
    <t>H-328</t>
  </si>
  <si>
    <t>H.Iskandar</t>
  </si>
  <si>
    <t>H-472</t>
  </si>
  <si>
    <t>H.Jauharuddin</t>
  </si>
  <si>
    <t>H-1120</t>
  </si>
  <si>
    <t>H.M</t>
  </si>
  <si>
    <t>Sirod</t>
  </si>
  <si>
    <t>H-1326</t>
  </si>
  <si>
    <t>H.R.H.Prince</t>
  </si>
  <si>
    <t>Kingdom Of Saudi Arabia</t>
  </si>
  <si>
    <t>H-1103</t>
  </si>
  <si>
    <t>H.Rudi</t>
  </si>
  <si>
    <t>jl,panglima aim Gg bahari mas no,1</t>
  </si>
  <si>
    <t>H-0700</t>
  </si>
  <si>
    <t>H.Syahlan</t>
  </si>
  <si>
    <t>Hardjono</t>
  </si>
  <si>
    <t xml:space="preserve">RM. Ayam Goreng Ny. Suharti
Jl. Kapten Tendean No.13
Mampang</t>
  </si>
  <si>
    <t>H-004</t>
  </si>
  <si>
    <t>Ha</t>
  </si>
  <si>
    <t>H-231</t>
  </si>
  <si>
    <t>Dae</t>
  </si>
  <si>
    <t>H-0940</t>
  </si>
  <si>
    <t>Habib</t>
  </si>
  <si>
    <t>Usman</t>
  </si>
  <si>
    <t xml:space="preserve">Jl. Bunga Flamboyan No.9
Cipete </t>
  </si>
  <si>
    <t>H-1246</t>
  </si>
  <si>
    <t>Habibi</t>
  </si>
  <si>
    <t>6285695975222</t>
  </si>
  <si>
    <t>H-585</t>
  </si>
  <si>
    <t>Hood</t>
  </si>
  <si>
    <t>habibi.hood@gmail.com</t>
  </si>
  <si>
    <t>Otista III Kompleks 6 no 9</t>
  </si>
  <si>
    <t>Jakarta timur</t>
  </si>
  <si>
    <t>L-685</t>
  </si>
  <si>
    <t>H-0830</t>
  </si>
  <si>
    <t>H-0953</t>
  </si>
  <si>
    <t>H-0954</t>
  </si>
  <si>
    <t>HADI</t>
  </si>
  <si>
    <t>H-0688</t>
  </si>
  <si>
    <t>H-002</t>
  </si>
  <si>
    <t>Jl. Pluit Utara I No. 12</t>
  </si>
  <si>
    <t>H-572</t>
  </si>
  <si>
    <t>Karyono</t>
  </si>
  <si>
    <t>H-0842</t>
  </si>
  <si>
    <t>H-181</t>
  </si>
  <si>
    <t>H-0799</t>
  </si>
  <si>
    <t>H-308</t>
  </si>
  <si>
    <t>Hadrianus</t>
  </si>
  <si>
    <t>H-476</t>
  </si>
  <si>
    <t>Hady</t>
  </si>
  <si>
    <t>Kuswanto</t>
  </si>
  <si>
    <t>H-1034</t>
  </si>
  <si>
    <t>Silalahi</t>
  </si>
  <si>
    <t>H-192</t>
  </si>
  <si>
    <t>Sujanto</t>
  </si>
  <si>
    <t>H-1072</t>
  </si>
  <si>
    <t>Haeyeon</t>
  </si>
  <si>
    <t>H-0824</t>
  </si>
  <si>
    <t>Hafish</t>
  </si>
  <si>
    <t>Sadiq</t>
  </si>
  <si>
    <t>H-0770</t>
  </si>
  <si>
    <t>Hafiza</t>
  </si>
  <si>
    <t>H-313</t>
  </si>
  <si>
    <t xml:space="preserve">Dukuh patra V/44
Kuningan</t>
  </si>
  <si>
    <t>M-1274</t>
  </si>
  <si>
    <t>Hafizan</t>
  </si>
  <si>
    <t>Ishak</t>
  </si>
  <si>
    <t>H-007</t>
  </si>
  <si>
    <t>Hafzan</t>
  </si>
  <si>
    <t xml:space="preserve">Jl. Duta Indah III-TC-33
Pondok Pinang</t>
  </si>
  <si>
    <t>H-0710</t>
  </si>
  <si>
    <t>Haidir</t>
  </si>
  <si>
    <t>H-0886</t>
  </si>
  <si>
    <t>H-0718</t>
  </si>
  <si>
    <t>Haifa</t>
  </si>
  <si>
    <t>H-520</t>
  </si>
  <si>
    <t>Haig</t>
  </si>
  <si>
    <t>Babikian</t>
  </si>
  <si>
    <t>Jl.Darmawangsa Essence Apt.</t>
  </si>
  <si>
    <t>H-1147</t>
  </si>
  <si>
    <t>Hailkal</t>
  </si>
  <si>
    <t>H-1021</t>
  </si>
  <si>
    <t>Haiyu</t>
  </si>
  <si>
    <t>Jiang</t>
  </si>
  <si>
    <t>H-0875</t>
  </si>
  <si>
    <t>Haizhong</t>
  </si>
  <si>
    <t>H-0762</t>
  </si>
  <si>
    <t>Hajar</t>
  </si>
  <si>
    <t xml:space="preserve">Jl. H. Abu  No.9 RT 005/007
Cipete Selatan</t>
  </si>
  <si>
    <t>H-008</t>
  </si>
  <si>
    <t>Hajer</t>
  </si>
  <si>
    <t>Kachour</t>
  </si>
  <si>
    <t>hajeruty@yahoo.com</t>
  </si>
  <si>
    <t>+6281385926852</t>
  </si>
  <si>
    <t xml:space="preserve">Taman Diponegoro Jl.Atlantik No.98 Lippo Karawaci 
</t>
  </si>
  <si>
    <t>H-0988</t>
  </si>
  <si>
    <t>Haein</t>
  </si>
  <si>
    <t>08119147989</t>
  </si>
  <si>
    <t>H-0828</t>
  </si>
  <si>
    <t>Hajjah</t>
  </si>
  <si>
    <t>Nurhidayah</t>
  </si>
  <si>
    <t>H-259</t>
  </si>
  <si>
    <t>H-1274</t>
  </si>
  <si>
    <t>Haldy HS</t>
  </si>
  <si>
    <t>Sabri</t>
  </si>
  <si>
    <t>6281212862352</t>
  </si>
  <si>
    <t>H-1288</t>
  </si>
  <si>
    <t>Haley</t>
  </si>
  <si>
    <t>Moss</t>
  </si>
  <si>
    <t>haleybmoss@gmail.com</t>
  </si>
  <si>
    <t>+19798201259</t>
  </si>
  <si>
    <t>United Stated</t>
  </si>
  <si>
    <t>H-1283</t>
  </si>
  <si>
    <t>Bin Mat Nayan</t>
  </si>
  <si>
    <t>60129693424</t>
  </si>
  <si>
    <t>H-012</t>
  </si>
  <si>
    <t>Kalla</t>
  </si>
  <si>
    <t>H-0966</t>
  </si>
  <si>
    <t>Karyanto</t>
  </si>
  <si>
    <t>H-631</t>
  </si>
  <si>
    <t>Tacigan</t>
  </si>
  <si>
    <t>halim.tacigan@gmail.com</t>
  </si>
  <si>
    <t>H-1115</t>
  </si>
  <si>
    <t>Halimah</t>
  </si>
  <si>
    <t>H-1136</t>
  </si>
  <si>
    <t>Hall</t>
  </si>
  <si>
    <t>nathanhall8828@yahoo.com</t>
  </si>
  <si>
    <t>H-1270</t>
  </si>
  <si>
    <t>Tara Janeen</t>
  </si>
  <si>
    <t>tararodriguez@hotmail.com</t>
  </si>
  <si>
    <t>14436999749</t>
  </si>
  <si>
    <t>H-267</t>
  </si>
  <si>
    <t>Ham</t>
  </si>
  <si>
    <t>H-277</t>
  </si>
  <si>
    <t>Hamdan</t>
  </si>
  <si>
    <t>Sati</t>
  </si>
  <si>
    <t>H-458</t>
  </si>
  <si>
    <t>H-1148</t>
  </si>
  <si>
    <t>H-0656</t>
  </si>
  <si>
    <t>Hamdarian</t>
  </si>
  <si>
    <t>hamdarian_94@yahoo.com</t>
  </si>
  <si>
    <t xml:space="preserve">Kompleks Bumi Permata Indah A1 No.3
Karang Mulia Ciledug</t>
  </si>
  <si>
    <t>H-1323</t>
  </si>
  <si>
    <t>Hamellia</t>
  </si>
  <si>
    <t>+6282350909912</t>
  </si>
  <si>
    <t>H-546</t>
  </si>
  <si>
    <t>Hamidah</t>
  </si>
  <si>
    <t>Idham</t>
  </si>
  <si>
    <t xml:space="preserve">Jl.Swasembada Barat VI no.25
Kebon - Bawang
Jakarta - Utara 14320</t>
  </si>
  <si>
    <t>H-016</t>
  </si>
  <si>
    <t>Sangadji</t>
  </si>
  <si>
    <t>Komp. Timah Blok DD-I No. 14, Kelapa Dua</t>
  </si>
  <si>
    <t>Cimanggis</t>
  </si>
  <si>
    <t>H-0740</t>
  </si>
  <si>
    <t>H-1247</t>
  </si>
  <si>
    <t>Chaelin</t>
  </si>
  <si>
    <t>hcl0804@naver.com</t>
  </si>
  <si>
    <t>821099428624</t>
  </si>
  <si>
    <t>H-341</t>
  </si>
  <si>
    <t>Fe</t>
  </si>
  <si>
    <t>q4192526@qq.com</t>
  </si>
  <si>
    <t>H-1166</t>
  </si>
  <si>
    <t>En</t>
  </si>
  <si>
    <t>A-2182</t>
  </si>
  <si>
    <t>6281333881198</t>
  </si>
  <si>
    <t>H-033</t>
  </si>
  <si>
    <t>Wicardy</t>
  </si>
  <si>
    <t>H-1171</t>
  </si>
  <si>
    <t>Xiao</t>
  </si>
  <si>
    <t>+8613811358076</t>
  </si>
  <si>
    <t>Chinese</t>
  </si>
  <si>
    <t>H-1275</t>
  </si>
  <si>
    <t>Hongxi</t>
  </si>
  <si>
    <t>6282162525996</t>
  </si>
  <si>
    <t>H-1150</t>
  </si>
  <si>
    <t>Han,</t>
  </si>
  <si>
    <t>Huibing</t>
  </si>
  <si>
    <t>H-1295</t>
  </si>
  <si>
    <t>Jingyuan</t>
  </si>
  <si>
    <t>997853883@qq.com</t>
  </si>
  <si>
    <t>8618347923075</t>
  </si>
  <si>
    <t>H-1212</t>
  </si>
  <si>
    <t>Wen</t>
  </si>
  <si>
    <t>tinaisababy@gmail.com</t>
  </si>
  <si>
    <t>+4407988700008</t>
  </si>
  <si>
    <t>H-1203</t>
  </si>
  <si>
    <t>Wenji</t>
  </si>
  <si>
    <t>hanwenji@foxmail.com</t>
  </si>
  <si>
    <t>H-1228</t>
  </si>
  <si>
    <t>XiangLian</t>
  </si>
  <si>
    <t>8613201720000</t>
  </si>
  <si>
    <t>H-1127</t>
  </si>
  <si>
    <t>Hana</t>
  </si>
  <si>
    <t>Pakubuwono Residence</t>
  </si>
  <si>
    <t>H-1273</t>
  </si>
  <si>
    <t>Rahmad</t>
  </si>
  <si>
    <t>Balikpapan</t>
  </si>
  <si>
    <t>H-1226</t>
  </si>
  <si>
    <t>Herianti</t>
  </si>
  <si>
    <t>hana.herianti@gmail.com</t>
  </si>
  <si>
    <t>6281289999825</t>
  </si>
  <si>
    <t xml:space="preserve">ARUMAYA RESIDENCE UNIT 20J
JAKARTA - SELATAN</t>
  </si>
  <si>
    <t>H-1256</t>
  </si>
  <si>
    <t>Pergiwati</t>
  </si>
  <si>
    <t>628161936795</t>
  </si>
  <si>
    <t>H-1186</t>
  </si>
  <si>
    <t>Salsabilah</t>
  </si>
  <si>
    <t>Jalan Sandrapuri Kavling 15 Depok</t>
  </si>
  <si>
    <t>H-018</t>
  </si>
  <si>
    <t>Soedarjo)</t>
  </si>
  <si>
    <t xml:space="preserve">Jl Panglima polim III no.92
Kebayoran Lama
Jakarta Selatan 21260</t>
  </si>
  <si>
    <t>H-017</t>
  </si>
  <si>
    <t>Wibi</t>
  </si>
  <si>
    <t>H-1267</t>
  </si>
  <si>
    <t>Hanchanlert</t>
  </si>
  <si>
    <t>Prapasri</t>
  </si>
  <si>
    <t>628119696111</t>
  </si>
  <si>
    <t>Thailand, Bangkok</t>
  </si>
  <si>
    <t>H-1320</t>
  </si>
  <si>
    <t>eline_hany2000@yahoo.com</t>
  </si>
  <si>
    <t>6281282787979</t>
  </si>
  <si>
    <t>Jl Palm V Blok 6/56</t>
  </si>
  <si>
    <t>Sumatera Selatan</t>
  </si>
  <si>
    <t>H-453</t>
  </si>
  <si>
    <t>Kiroyan</t>
  </si>
  <si>
    <t>H-019</t>
  </si>
  <si>
    <t>Handayani(MANDIRI)</t>
  </si>
  <si>
    <t xml:space="preserve">Plaza Mandiri 18th Fl.
Jl. Gatot Subroto Kav. 36-38</t>
  </si>
  <si>
    <t>H-1286</t>
  </si>
  <si>
    <t>Handi</t>
  </si>
  <si>
    <t>handi.bahar@gmail.com</t>
  </si>
  <si>
    <t>6281382442459</t>
  </si>
  <si>
    <t>H-020</t>
  </si>
  <si>
    <t>Jatna</t>
  </si>
  <si>
    <t>Jl. Brantas No. 1</t>
  </si>
  <si>
    <t>H-021</t>
  </si>
  <si>
    <t>Tandiyono</t>
  </si>
  <si>
    <t>( +6221 ) 45858326</t>
  </si>
  <si>
    <t>Villa Permata Gading Blok J / 7</t>
  </si>
  <si>
    <t>H-0989</t>
  </si>
  <si>
    <t>Handini</t>
  </si>
  <si>
    <t>Wulan</t>
  </si>
  <si>
    <t>H-609</t>
  </si>
  <si>
    <t>Handjojo</t>
  </si>
  <si>
    <t>Rustanto</t>
  </si>
  <si>
    <t>handjojorustanto@yahoo.com</t>
  </si>
  <si>
    <t>H-0985</t>
  </si>
  <si>
    <t>H-0889</t>
  </si>
  <si>
    <t>Kristyanto</t>
  </si>
  <si>
    <t>H-022</t>
  </si>
  <si>
    <t>S Muljadi</t>
  </si>
  <si>
    <t>62818713225</t>
  </si>
  <si>
    <t>H-318</t>
  </si>
  <si>
    <t>H-515</t>
  </si>
  <si>
    <t>Omar</t>
  </si>
  <si>
    <t>H-1248</t>
  </si>
  <si>
    <t>handoko.taslim@gmail.com</t>
  </si>
  <si>
    <t>628197998888</t>
  </si>
  <si>
    <t>H-203</t>
  </si>
  <si>
    <t>Handri</t>
  </si>
  <si>
    <t>H-592</t>
  </si>
  <si>
    <t>Handy</t>
  </si>
  <si>
    <t>H-467</t>
  </si>
  <si>
    <t>H-1188</t>
  </si>
  <si>
    <t>Englo</t>
  </si>
  <si>
    <t>handyenglo@yahoo.com.sg</t>
  </si>
  <si>
    <t>H-0895</t>
  </si>
  <si>
    <t>H-0804</t>
  </si>
  <si>
    <t>6281511708999</t>
  </si>
  <si>
    <t>H-1056</t>
  </si>
  <si>
    <t>handy_k@gmail.com</t>
  </si>
  <si>
    <t xml:space="preserve">GRIYA PERMATA BLOK C1/25
GONDRONG - PETIR - TANGERANG</t>
  </si>
  <si>
    <t>H-1105</t>
  </si>
  <si>
    <t>Laksmana</t>
  </si>
  <si>
    <t>H-615</t>
  </si>
  <si>
    <t>Suryadji</t>
  </si>
  <si>
    <t>H-1310</t>
  </si>
  <si>
    <t>628192202888</t>
  </si>
  <si>
    <t>H-1268</t>
  </si>
  <si>
    <t>Jeffery</t>
  </si>
  <si>
    <t>Hang</t>
  </si>
  <si>
    <t>jeffhang@gmail.com</t>
  </si>
  <si>
    <t>6598976701</t>
  </si>
  <si>
    <t>H-026</t>
  </si>
  <si>
    <t>Hangky</t>
  </si>
  <si>
    <t>H-1012</t>
  </si>
  <si>
    <t>Hani</t>
  </si>
  <si>
    <t>628111685151</t>
  </si>
  <si>
    <t>H-240</t>
  </si>
  <si>
    <t>Almojel</t>
  </si>
  <si>
    <t>H-1253</t>
  </si>
  <si>
    <t>Destia</t>
  </si>
  <si>
    <t>6285695633855</t>
  </si>
  <si>
    <t>H-199</t>
  </si>
  <si>
    <t>H-588</t>
  </si>
  <si>
    <t>H-1211</t>
  </si>
  <si>
    <t>Hanif</t>
  </si>
  <si>
    <t>hnfpermana@gmail.com</t>
  </si>
  <si>
    <t>081297951135</t>
  </si>
  <si>
    <t xml:space="preserve">JL.GEDUNG HIJAU 1NO.51
JAKARTA - SELATAN</t>
  </si>
  <si>
    <t>H-1015</t>
  </si>
  <si>
    <t>Prananda</t>
  </si>
  <si>
    <t>H-0983</t>
  </si>
  <si>
    <t>Hanifah</t>
  </si>
  <si>
    <t>Ambadar</t>
  </si>
  <si>
    <t>62811889447</t>
  </si>
  <si>
    <t>H-1265</t>
  </si>
  <si>
    <t>Hanindio</t>
  </si>
  <si>
    <t>6281932412110</t>
  </si>
  <si>
    <t>H-027</t>
  </si>
  <si>
    <t>Hanita</t>
  </si>
  <si>
    <t>Jl. Puspita Loka Blok AC No. 28</t>
  </si>
  <si>
    <t>Bumi Serpong Damai</t>
  </si>
  <si>
    <t>H-577</t>
  </si>
  <si>
    <t>H-1080</t>
  </si>
  <si>
    <t>Djajaatmadja</t>
  </si>
  <si>
    <t>Jl. pulo raya 7 no.6</t>
  </si>
  <si>
    <t>H-1133</t>
  </si>
  <si>
    <t>H-1158</t>
  </si>
  <si>
    <t>628161854906</t>
  </si>
  <si>
    <t>Komp Executive Paradise F.1B</t>
  </si>
  <si>
    <t>H-1219</t>
  </si>
  <si>
    <t>+628119114620</t>
  </si>
  <si>
    <t xml:space="preserve">JL.JENDRAL SUDIRMAN KAV 52-53
APRT KUSUMA CANDRA TOWER III UNIT 15M. JJAK- SEL</t>
  </si>
  <si>
    <t>H-0714</t>
  </si>
  <si>
    <t xml:space="preserve">Komp. Permata Buana 
Jl. Pulau Genteng blok Q1 No 23</t>
  </si>
  <si>
    <t>H-1181</t>
  </si>
  <si>
    <t>Nursalim</t>
  </si>
  <si>
    <t>JL.Biduri Bulan 1, J2/27, Permata Hijau, Jakarta Selatan</t>
  </si>
  <si>
    <t>H-1152</t>
  </si>
  <si>
    <t>Roul8</t>
  </si>
  <si>
    <t>hanna.christabel@gmail.com</t>
  </si>
  <si>
    <t>628111652708</t>
  </si>
  <si>
    <t>Janur Indah IV LA 1313</t>
  </si>
  <si>
    <t>H-217</t>
  </si>
  <si>
    <t>Jl. Ki Mangunsarkoro No.68 Jakarta Pusat 10310</t>
  </si>
  <si>
    <t>H-1063</t>
  </si>
  <si>
    <t>Hannah</t>
  </si>
  <si>
    <t>Bindl</t>
  </si>
  <si>
    <t>H-1005</t>
  </si>
  <si>
    <t>Hanny</t>
  </si>
  <si>
    <t>hanny.su799@gmail.com</t>
  </si>
  <si>
    <t xml:space="preserve">Greenlake City
Cluster Asia 5,no12
Jakarta Barat</t>
  </si>
  <si>
    <t>H-0766</t>
  </si>
  <si>
    <t>Abrielle</t>
  </si>
  <si>
    <t>hanny.abrielle@gmail.com</t>
  </si>
  <si>
    <t>+6285286768833</t>
  </si>
  <si>
    <t>H-447</t>
  </si>
  <si>
    <t>Chabila</t>
  </si>
  <si>
    <t>jl. Pengairan Raya Blok E/30</t>
  </si>
  <si>
    <t>H-0723</t>
  </si>
  <si>
    <t>Goenadi</t>
  </si>
  <si>
    <t>H-1218</t>
  </si>
  <si>
    <t>Hanny Joost</t>
  </si>
  <si>
    <t>Pajouw</t>
  </si>
  <si>
    <t>+6281244499246</t>
  </si>
  <si>
    <t>Marriot Executive Apartment</t>
  </si>
  <si>
    <t>H-531</t>
  </si>
  <si>
    <t>Luciana</t>
  </si>
  <si>
    <t xml:space="preserve">Mediterania Resor Z13/6
Pantai Indah Kapuk</t>
  </si>
  <si>
    <t>H-233</t>
  </si>
  <si>
    <t>H-339</t>
  </si>
  <si>
    <t>Salimin</t>
  </si>
  <si>
    <t>+628161938339</t>
  </si>
  <si>
    <t xml:space="preserve">Durian Raya No 139 
Jagakarsa</t>
  </si>
  <si>
    <t>H-0682</t>
  </si>
  <si>
    <t xml:space="preserve">Blossom Residence Blok B No.3
Jl.Landas Pacu Timur D5, Kemayoran
Birthday 03.06.1979</t>
  </si>
  <si>
    <t>H-0673</t>
  </si>
  <si>
    <t>6281319065371</t>
  </si>
  <si>
    <t>Jl. Raya Kapal No.11</t>
  </si>
  <si>
    <t>H-511</t>
  </si>
  <si>
    <t>Winarnie</t>
  </si>
  <si>
    <t>H-0902</t>
  </si>
  <si>
    <t>Hanoor</t>
  </si>
  <si>
    <t xml:space="preserve">Jalan Cendana 7B ,
Menteng</t>
  </si>
  <si>
    <t>H-269</t>
  </si>
  <si>
    <t>Hanry</t>
  </si>
  <si>
    <t>H-1124</t>
  </si>
  <si>
    <t>Hans</t>
  </si>
  <si>
    <t>H-283</t>
  </si>
  <si>
    <t>H-1100</t>
  </si>
  <si>
    <t>Danial</t>
  </si>
  <si>
    <t>H-0926</t>
  </si>
  <si>
    <t>hans.perdana@rocketmail.com</t>
  </si>
  <si>
    <t>H-450</t>
  </si>
  <si>
    <t>H-0661</t>
  </si>
  <si>
    <t>H-1050</t>
  </si>
  <si>
    <t>Hansen</t>
  </si>
  <si>
    <t>JALAN KRAMAT JAYA BARU</t>
  </si>
  <si>
    <t>H-288</t>
  </si>
  <si>
    <t>Hanshen</t>
  </si>
  <si>
    <t>Oe</t>
  </si>
  <si>
    <t xml:space="preserve">Komp. BP Blok K2/01
Kaltim</t>
  </si>
  <si>
    <t>H-0692</t>
  </si>
  <si>
    <t>Hany</t>
  </si>
  <si>
    <t>Birthday 21.04.89</t>
  </si>
  <si>
    <t>H-460</t>
  </si>
  <si>
    <t>Rich</t>
  </si>
  <si>
    <t>H-590</t>
  </si>
  <si>
    <t xml:space="preserve">RM 502 Minmetals Plaza No 3
Chaoyanmen North Ave 
Beijing China</t>
  </si>
  <si>
    <t>H-0704</t>
  </si>
  <si>
    <t>H-1325</t>
  </si>
  <si>
    <t>Haoxiang</t>
  </si>
  <si>
    <t>Luo</t>
  </si>
  <si>
    <t>2976394544@qq.com</t>
  </si>
  <si>
    <t>+8618368668286</t>
  </si>
  <si>
    <t>H-1278</t>
  </si>
  <si>
    <t>Happy Novita</t>
  </si>
  <si>
    <t>happy@els.id</t>
  </si>
  <si>
    <t>628112642632</t>
  </si>
  <si>
    <t>Jalan C Simanjuntak 38, Gondokusuman Yogyakarta</t>
  </si>
  <si>
    <t>H-224</t>
  </si>
  <si>
    <t>Happy</t>
  </si>
  <si>
    <t>Salma</t>
  </si>
  <si>
    <t>H-1185</t>
  </si>
  <si>
    <t>6281280434378</t>
  </si>
  <si>
    <t>Jl. Kencana Indah III/3 JakSel</t>
  </si>
  <si>
    <t>H-0943</t>
  </si>
  <si>
    <t>H-614</t>
  </si>
  <si>
    <t>H-235</t>
  </si>
  <si>
    <t>Sigid</t>
  </si>
  <si>
    <t>H-644</t>
  </si>
  <si>
    <t>Haqi</t>
  </si>
  <si>
    <t>H-036</t>
  </si>
  <si>
    <t>Jl. Gunung Sahari VII A No. 22</t>
  </si>
  <si>
    <t>H-1173</t>
  </si>
  <si>
    <t>H-468</t>
  </si>
  <si>
    <t>H-1069</t>
  </si>
  <si>
    <t>Hardie</t>
  </si>
  <si>
    <t>Widarma</t>
  </si>
  <si>
    <t>hardiewidarma@gmail.com</t>
  </si>
  <si>
    <t>Jalan Lotus Indah Blok Y6/3A Pantai Indah Kapuk</t>
  </si>
  <si>
    <t>H-0699</t>
  </si>
  <si>
    <t>Hardjanto</t>
  </si>
  <si>
    <t>H-1028</t>
  </si>
  <si>
    <t>Hargianto</t>
  </si>
  <si>
    <t>sutan_hargianto@yahoo.co.id</t>
  </si>
  <si>
    <t>H-1001</t>
  </si>
  <si>
    <t>Hari</t>
  </si>
  <si>
    <t>H-232</t>
  </si>
  <si>
    <t>H-578</t>
  </si>
  <si>
    <t>H-0870</t>
  </si>
  <si>
    <t>H-471</t>
  </si>
  <si>
    <t>H-479</t>
  </si>
  <si>
    <t>Soegijanto</t>
  </si>
  <si>
    <t>H-1194</t>
  </si>
  <si>
    <t>Hariadhi</t>
  </si>
  <si>
    <t>A. Kadrisman</t>
  </si>
  <si>
    <t>6281288736011</t>
  </si>
  <si>
    <t>Ampera Raya No.6</t>
  </si>
  <si>
    <t>H-0890</t>
  </si>
  <si>
    <t>Hariadi</t>
  </si>
  <si>
    <t>H-0942</t>
  </si>
  <si>
    <t>harianto.aliung@gmail.com</t>
  </si>
  <si>
    <t>Jl. Jelambar Madya Blok E No.1225</t>
  </si>
  <si>
    <t>H-038</t>
  </si>
  <si>
    <t xml:space="preserve">Jl. P. Matahari X Blok A7 No. 3
Taman Permata Buana</t>
  </si>
  <si>
    <t>H-039</t>
  </si>
  <si>
    <t>Hariara</t>
  </si>
  <si>
    <t>H-1143</t>
  </si>
  <si>
    <t>Hariawan</t>
  </si>
  <si>
    <t>H-605</t>
  </si>
  <si>
    <t>Harijadi</t>
  </si>
  <si>
    <t>Marijono</t>
  </si>
  <si>
    <t>+0818180262</t>
  </si>
  <si>
    <t>Thamrin Executive Residence 15th Floor Suite A</t>
  </si>
  <si>
    <t>H-040</t>
  </si>
  <si>
    <t>H-444</t>
  </si>
  <si>
    <t>Harina</t>
  </si>
  <si>
    <t>Soekirno</t>
  </si>
  <si>
    <t xml:space="preserve">Jl.Rawamangun Muka Timur No.27 
Rawamangun</t>
  </si>
  <si>
    <t>H-0748</t>
  </si>
  <si>
    <t>Hario</t>
  </si>
  <si>
    <t>Sueprobo</t>
  </si>
  <si>
    <t>H-617</t>
  </si>
  <si>
    <t>44 7821 823899</t>
  </si>
  <si>
    <t>H-1083</t>
  </si>
  <si>
    <t>628116732006</t>
  </si>
  <si>
    <t>H-1272</t>
  </si>
  <si>
    <t>919871488001</t>
  </si>
  <si>
    <t>H-1084</t>
  </si>
  <si>
    <t>Satiadi</t>
  </si>
  <si>
    <t>Jl.Kaji N0.50 - Petojo Utara, Gambir, JakPus 10130</t>
  </si>
  <si>
    <t>H-042</t>
  </si>
  <si>
    <t>Sudarno</t>
  </si>
  <si>
    <t>H-0822</t>
  </si>
  <si>
    <t>Tokan</t>
  </si>
  <si>
    <t>H-0959</t>
  </si>
  <si>
    <t>Turbin</t>
  </si>
  <si>
    <t>H-1140</t>
  </si>
  <si>
    <t>Haristh</t>
  </si>
  <si>
    <t>H-043</t>
  </si>
  <si>
    <t>Harizal</t>
  </si>
  <si>
    <t>H-620</t>
  </si>
  <si>
    <t>Harjadi</t>
  </si>
  <si>
    <t>Hadis</t>
  </si>
  <si>
    <t>H-469</t>
  </si>
  <si>
    <t>Harjani</t>
  </si>
  <si>
    <t>harjani.widjaja@gmail.com</t>
  </si>
  <si>
    <t xml:space="preserve">Jl. Sekolah Duta I/8 
pondok Indah</t>
  </si>
  <si>
    <t>H-0655</t>
  </si>
  <si>
    <t>Harjanti</t>
  </si>
  <si>
    <t>Hudaja</t>
  </si>
  <si>
    <t>haryantihudaya@yahoo.com</t>
  </si>
  <si>
    <t>Kupang Sudah 17 No.41</t>
  </si>
  <si>
    <t>H-0838</t>
  </si>
  <si>
    <t>Budiharsawa</t>
  </si>
  <si>
    <t>Jl.Tulodong Bawah IV/12A</t>
  </si>
  <si>
    <t>H-045</t>
  </si>
  <si>
    <t>Lumanto</t>
  </si>
  <si>
    <t>(+6221) 56967259</t>
  </si>
  <si>
    <t>JL. Kepa duri mas Blok SS No.47A</t>
  </si>
  <si>
    <t>H-268</t>
  </si>
  <si>
    <t>Harjuno</t>
  </si>
  <si>
    <t>Wiwoho</t>
  </si>
  <si>
    <t>H-542</t>
  </si>
  <si>
    <t>Harmanto</t>
  </si>
  <si>
    <t>Setya</t>
  </si>
  <si>
    <t>Tebet</t>
  </si>
  <si>
    <t>H-0716</t>
  </si>
  <si>
    <t>Harmawan</t>
  </si>
  <si>
    <t>Raharjo</t>
  </si>
  <si>
    <t>H-292</t>
  </si>
  <si>
    <t>Harmoko</t>
  </si>
  <si>
    <t>H-1094</t>
  </si>
  <si>
    <t>Harmoni</t>
  </si>
  <si>
    <t>Sparman Cambbridge condo</t>
  </si>
  <si>
    <t>medan</t>
  </si>
  <si>
    <t>H-519</t>
  </si>
  <si>
    <t>Harno</t>
  </si>
  <si>
    <t xml:space="preserve">Apartemen Rasuna Said 
Tower 5 unit GFD</t>
  </si>
  <si>
    <t>H-046</t>
  </si>
  <si>
    <t>Haroon</t>
  </si>
  <si>
    <t>Ulama</t>
  </si>
  <si>
    <t>haroon@aresco.ae</t>
  </si>
  <si>
    <t>PO BOX 2</t>
  </si>
  <si>
    <t>H-612</t>
  </si>
  <si>
    <t>Harriman</t>
  </si>
  <si>
    <t>Hasmoro</t>
  </si>
  <si>
    <t>harrimanhasmoro@yahoo.com</t>
  </si>
  <si>
    <t>Jl. Jambu No 15 Menteng</t>
  </si>
  <si>
    <t>H-449</t>
  </si>
  <si>
    <t>H-1254</t>
  </si>
  <si>
    <t>Javed</t>
  </si>
  <si>
    <t>6281356896966</t>
  </si>
  <si>
    <t>H-645</t>
  </si>
  <si>
    <t>Sarana</t>
  </si>
  <si>
    <t xml:space="preserve">Komp Putri Delta mas Blok 1/32
jl Bandengan selatan no 43 Jkt-utara</t>
  </si>
  <si>
    <t>H-1217</t>
  </si>
  <si>
    <t>Sebastian</t>
  </si>
  <si>
    <t>+628111010955</t>
  </si>
  <si>
    <t>H-1315</t>
  </si>
  <si>
    <t>Victor Layton</t>
  </si>
  <si>
    <t>vic@sent.com</t>
  </si>
  <si>
    <t>+971504289609</t>
  </si>
  <si>
    <t>H-1297</t>
  </si>
  <si>
    <t>Harris@neosis.id</t>
  </si>
  <si>
    <t>62817833338</t>
  </si>
  <si>
    <t>H-0899</t>
  </si>
  <si>
    <t>Harry</t>
  </si>
  <si>
    <t>H-1102</t>
  </si>
  <si>
    <t>H-0712</t>
  </si>
  <si>
    <t>62816890731</t>
  </si>
  <si>
    <t>H-238</t>
  </si>
  <si>
    <t>62811882127</t>
  </si>
  <si>
    <t>H-299</t>
  </si>
  <si>
    <t>H-048</t>
  </si>
  <si>
    <t>Angkiriwang</t>
  </si>
  <si>
    <t>H-0717</t>
  </si>
  <si>
    <t>+628128128020</t>
  </si>
  <si>
    <t>H-596</t>
  </si>
  <si>
    <t>Julistyo</t>
  </si>
  <si>
    <t>harry@besindoms.com</t>
  </si>
  <si>
    <t>Jl. Pinang No.33 Rawamangun</t>
  </si>
  <si>
    <t>H-0650</t>
  </si>
  <si>
    <t>Rusmana</t>
  </si>
  <si>
    <t>Provence Park Land F-15</t>
  </si>
  <si>
    <t>H-282</t>
  </si>
  <si>
    <t>Sanchez</t>
  </si>
  <si>
    <t>yulietasanchez@yahoo.com</t>
  </si>
  <si>
    <t xml:space="preserve">Albergo Tower, Room 1111 Belezza Suites
Jl.Letjen Soepeno #34 
Arteri Permata Hijau</t>
  </si>
  <si>
    <t>Jakarta selatan</t>
  </si>
  <si>
    <t>H-0818</t>
  </si>
  <si>
    <t>Sudarma</t>
  </si>
  <si>
    <t xml:space="preserve">The Mansion Jasmine Aurora JA 25N
Jakarta Pusat 14410</t>
  </si>
  <si>
    <t>H-272</t>
  </si>
  <si>
    <t>H-050</t>
  </si>
  <si>
    <t>Syamsudin</t>
  </si>
  <si>
    <t>Taman Imam Bonjol Riau 55</t>
  </si>
  <si>
    <t>H-1239</t>
  </si>
  <si>
    <t>+628176855678</t>
  </si>
  <si>
    <t>H-051</t>
  </si>
  <si>
    <t>Tousa</t>
  </si>
  <si>
    <t>H-638</t>
  </si>
  <si>
    <t>H-221</t>
  </si>
  <si>
    <t>Widjaksono</t>
  </si>
  <si>
    <t>H-0707</t>
  </si>
  <si>
    <t>Thamrin Recidence Apt</t>
  </si>
  <si>
    <t>H-230</t>
  </si>
  <si>
    <t>Witjaksono</t>
  </si>
  <si>
    <t>H-465</t>
  </si>
  <si>
    <t>Harryadi</t>
  </si>
  <si>
    <t>H-0747</t>
  </si>
  <si>
    <t>H-052</t>
  </si>
  <si>
    <t>H-448</t>
  </si>
  <si>
    <t>Harsya</t>
  </si>
  <si>
    <t>Suryo</t>
  </si>
  <si>
    <t>H-564</t>
  </si>
  <si>
    <t>harsya.prasetyo@gmail.com</t>
  </si>
  <si>
    <t>H-1306</t>
  </si>
  <si>
    <t>Hertama</t>
  </si>
  <si>
    <t>628159036320</t>
  </si>
  <si>
    <t>H-320</t>
  </si>
  <si>
    <t>Hartanti</t>
  </si>
  <si>
    <t>JL Kencana Permai No.7 Pondok Indah</t>
  </si>
  <si>
    <t>H-0829</t>
  </si>
  <si>
    <t>HONGKONG</t>
  </si>
  <si>
    <t>H-0976</t>
  </si>
  <si>
    <t>Sugeng</t>
  </si>
  <si>
    <t>H-1082</t>
  </si>
  <si>
    <t>Hartarto</t>
  </si>
  <si>
    <t>hartartozhang@yahoo.com</t>
  </si>
  <si>
    <t xml:space="preserve">Mutiara Mediterania Residence Blok D no.8D
Jakarta Utara</t>
  </si>
  <si>
    <t>H-1027</t>
  </si>
  <si>
    <t>H-1262</t>
  </si>
  <si>
    <t>Hadisulistyo</t>
  </si>
  <si>
    <t>628129471535</t>
  </si>
  <si>
    <t>Jl. Puri Pesanggrahan I/9, Depok, Indonesia</t>
  </si>
  <si>
    <t>H-0956</t>
  </si>
  <si>
    <t>Suman</t>
  </si>
  <si>
    <t>H-342</t>
  </si>
  <si>
    <t>hartman</t>
  </si>
  <si>
    <t>H-1093</t>
  </si>
  <si>
    <t>Harto</t>
  </si>
  <si>
    <t>Moliyo</t>
  </si>
  <si>
    <t>harto.myhome@gmail.com</t>
  </si>
  <si>
    <t>Jl. WR, Supratman No.33</t>
  </si>
  <si>
    <t>H-053</t>
  </si>
  <si>
    <t>H-512</t>
  </si>
  <si>
    <t>hartono240869@yahoo.com</t>
  </si>
  <si>
    <t xml:space="preserve">Puri mansion ,Atlanta I No.10
Jakarta Barat</t>
  </si>
  <si>
    <t>H-0921</t>
  </si>
  <si>
    <t>Condo GreenBay</t>
  </si>
  <si>
    <t>H-314</t>
  </si>
  <si>
    <t>kusnan</t>
  </si>
  <si>
    <t>H-1289</t>
  </si>
  <si>
    <t>kcm18188@gmail.com</t>
  </si>
  <si>
    <t>62811939168</t>
  </si>
  <si>
    <t>H-637</t>
  </si>
  <si>
    <t>Harumi</t>
  </si>
  <si>
    <t>Sudrajad</t>
  </si>
  <si>
    <t>H-604</t>
  </si>
  <si>
    <t>Harun</t>
  </si>
  <si>
    <t>Jl. H Abu 33 Cipete</t>
  </si>
  <si>
    <t>H-321</t>
  </si>
  <si>
    <t>Rasyid</t>
  </si>
  <si>
    <t>H-055</t>
  </si>
  <si>
    <t>Ngadimin</t>
  </si>
  <si>
    <t>Jl. Parang Tritis Raya No. 18</t>
  </si>
  <si>
    <t>H-1285</t>
  </si>
  <si>
    <t>Sitohang</t>
  </si>
  <si>
    <t>6281337229942</t>
  </si>
  <si>
    <t>H-0900</t>
  </si>
  <si>
    <t>Hary</t>
  </si>
  <si>
    <t>H-064</t>
  </si>
  <si>
    <t>Jl. Trunojoyo 101</t>
  </si>
  <si>
    <t>H-0998</t>
  </si>
  <si>
    <t>H-574</t>
  </si>
  <si>
    <t>Soebagio</t>
  </si>
  <si>
    <t>H-1304</t>
  </si>
  <si>
    <t>628156756668</t>
  </si>
  <si>
    <t>H-067</t>
  </si>
  <si>
    <t>Tantono</t>
  </si>
  <si>
    <t>H-241</t>
  </si>
  <si>
    <t>H-509</t>
  </si>
  <si>
    <t>Priscila</t>
  </si>
  <si>
    <t>H-622</t>
  </si>
  <si>
    <t>H-1251</t>
  </si>
  <si>
    <t>h_muliaman@hotmail.com</t>
  </si>
  <si>
    <t>628129010090</t>
  </si>
  <si>
    <t>H-0862</t>
  </si>
  <si>
    <t>H-063</t>
  </si>
  <si>
    <t>Rudiaswara)</t>
  </si>
  <si>
    <t>Perum. Buaran Regency Blok C No. 26-27</t>
  </si>
  <si>
    <t>Pondok Kelapa, Duren Sawit</t>
  </si>
  <si>
    <t>H-061</t>
  </si>
  <si>
    <t>Jl. Liman 3 No.3</t>
  </si>
  <si>
    <t>H-343</t>
  </si>
  <si>
    <t>Kanjaya</t>
  </si>
  <si>
    <t>Taman Duta Mas Blok C no12</t>
  </si>
  <si>
    <t>H-0724</t>
  </si>
  <si>
    <t>H-1095</t>
  </si>
  <si>
    <t>Romeli</t>
  </si>
  <si>
    <t>H-0993</t>
  </si>
  <si>
    <t>Haryantp</t>
  </si>
  <si>
    <t>H-560</t>
  </si>
  <si>
    <t>Haryo</t>
  </si>
  <si>
    <t>haryo.sutanto@hotmail.com</t>
  </si>
  <si>
    <t>Jl. Tampak Siring Indah no 9</t>
  </si>
  <si>
    <t>H-065</t>
  </si>
  <si>
    <t>E</t>
  </si>
  <si>
    <t>Jl.Marga Satwa Barat Y2</t>
  </si>
  <si>
    <t>H-066</t>
  </si>
  <si>
    <t>Tirtohadiguno</t>
  </si>
  <si>
    <t>H-298</t>
  </si>
  <si>
    <t>H-220</t>
  </si>
  <si>
    <t>H-576</t>
  </si>
  <si>
    <t xml:space="preserve">Jl.Bank IV /3
jakarta</t>
  </si>
  <si>
    <t>H-0678</t>
  </si>
  <si>
    <t>Nasbi</t>
  </si>
  <si>
    <t>H-1043</t>
  </si>
  <si>
    <t>Hasan,</t>
  </si>
  <si>
    <t>H-0839</t>
  </si>
  <si>
    <t>H-480</t>
  </si>
  <si>
    <t>Tisi</t>
  </si>
  <si>
    <t xml:space="preserve">Jalan Pondok Merah Mas 1 Blok H5/15
Pondok Timur Mas , Galaksi</t>
  </si>
  <si>
    <t>H-0735</t>
  </si>
  <si>
    <t>H-0775</t>
  </si>
  <si>
    <t>Hasina</t>
  </si>
  <si>
    <t>Pokardas</t>
  </si>
  <si>
    <t>Apt Taman Pasadenia</t>
  </si>
  <si>
    <t>H-1023</t>
  </si>
  <si>
    <t>Hasita</t>
  </si>
  <si>
    <t>hasita.koandi121805@gmail.com</t>
  </si>
  <si>
    <t xml:space="preserve">Bukit Gading Vila Tampak Siring Raya No.24
Kelapa Gading</t>
  </si>
  <si>
    <t>H-1232</t>
  </si>
  <si>
    <t>Haslinda</t>
  </si>
  <si>
    <t>628112504668</t>
  </si>
  <si>
    <t>H-1010</t>
  </si>
  <si>
    <t>Hasna</t>
  </si>
  <si>
    <t>H-633</t>
  </si>
  <si>
    <t>Shahab</t>
  </si>
  <si>
    <t>62811853733</t>
  </si>
  <si>
    <t>H-0832</t>
  </si>
  <si>
    <t>Hasni</t>
  </si>
  <si>
    <t>H-215</t>
  </si>
  <si>
    <t>H-071</t>
  </si>
  <si>
    <t>Marhalim</t>
  </si>
  <si>
    <t>(+6221) 5884595</t>
  </si>
  <si>
    <t>JL. Walet Elok 8 No. 28</t>
  </si>
  <si>
    <t>H-506</t>
  </si>
  <si>
    <t>H-1213</t>
  </si>
  <si>
    <t>Karsono</t>
  </si>
  <si>
    <t>haskarso@gmail.com</t>
  </si>
  <si>
    <t>+628161898371</t>
  </si>
  <si>
    <t>H-0955</t>
  </si>
  <si>
    <t>Hasniah</t>
  </si>
  <si>
    <t>Hamsah</t>
  </si>
  <si>
    <t>Sebengkok AL RT.6 no.26 ( Toko Restu ) Tarakan , Kalimantan Utara Kecamatan Tarakan Tengah Kodepos 77114</t>
  </si>
  <si>
    <t>H-201</t>
  </si>
  <si>
    <t>Hasnil</t>
  </si>
  <si>
    <t>H-316</t>
  </si>
  <si>
    <t>Hasti</t>
  </si>
  <si>
    <t>H-317</t>
  </si>
  <si>
    <t>Hasto</t>
  </si>
  <si>
    <t>H-072</t>
  </si>
  <si>
    <t>Hasyim</t>
  </si>
  <si>
    <t>H-474</t>
  </si>
  <si>
    <t>Hatika</t>
  </si>
  <si>
    <t>Jl. Basuki Rachmat No.29</t>
  </si>
  <si>
    <t>H-1290</t>
  </si>
  <si>
    <t>Pertiwi</t>
  </si>
  <si>
    <t>pertiwi_Hartika@icloud.com</t>
  </si>
  <si>
    <t>62812364777</t>
  </si>
  <si>
    <t>H-304</t>
  </si>
  <si>
    <t>Hatiza</t>
  </si>
  <si>
    <t>Fadel</t>
  </si>
  <si>
    <t>H-1183</t>
  </si>
  <si>
    <t>Hatma</t>
  </si>
  <si>
    <t>H-1216</t>
  </si>
  <si>
    <t>Cornecius</t>
  </si>
  <si>
    <t>Haug</t>
  </si>
  <si>
    <t>haug@gmx.mct</t>
  </si>
  <si>
    <t>+41797651322</t>
  </si>
  <si>
    <t>H-073</t>
  </si>
  <si>
    <t>Havid</t>
  </si>
  <si>
    <t>Sirat</t>
  </si>
  <si>
    <t>Jl. Hayam Wuruk 25-26</t>
  </si>
  <si>
    <t>H-1176</t>
  </si>
  <si>
    <t>Hawin</t>
  </si>
  <si>
    <t>Santiyah</t>
  </si>
  <si>
    <t>H-1163</t>
  </si>
  <si>
    <t>Hawke</t>
  </si>
  <si>
    <t>H-216</t>
  </si>
  <si>
    <t>Hayasaka</t>
  </si>
  <si>
    <t>Kazoo</t>
  </si>
  <si>
    <t>H-275</t>
  </si>
  <si>
    <t>Hayfa</t>
  </si>
  <si>
    <t>Graha candi golf B6-29 semarang</t>
  </si>
  <si>
    <t>H-1233</t>
  </si>
  <si>
    <t>Hayu</t>
  </si>
  <si>
    <t>Shelomita</t>
  </si>
  <si>
    <t>62811896767</t>
  </si>
  <si>
    <t>H-340</t>
  </si>
  <si>
    <t>Hazel</t>
  </si>
  <si>
    <t>41 tanglin Halt RD # 02-179</t>
  </si>
  <si>
    <t>H-0759</t>
  </si>
  <si>
    <t>Hazelle</t>
  </si>
  <si>
    <t>Lao</t>
  </si>
  <si>
    <t>KPBD Teras Kav 3C RT 3 /3</t>
  </si>
  <si>
    <t>H-0757</t>
  </si>
  <si>
    <t>Hazman</t>
  </si>
  <si>
    <t>H-643</t>
  </si>
  <si>
    <t>HD</t>
  </si>
  <si>
    <t>Apartemen permata Eksekutif</t>
  </si>
  <si>
    <t>H-1088</t>
  </si>
  <si>
    <t>H-1159</t>
  </si>
  <si>
    <t>Jingjing</t>
  </si>
  <si>
    <t>M-1361</t>
  </si>
  <si>
    <t>Yan.</t>
  </si>
  <si>
    <t>H-0978</t>
  </si>
  <si>
    <t>Tao</t>
  </si>
  <si>
    <t>H-1230</t>
  </si>
  <si>
    <t>Jincheng</t>
  </si>
  <si>
    <t>874668615@qq.com</t>
  </si>
  <si>
    <t>8617688821642</t>
  </si>
  <si>
    <t>H-1234</t>
  </si>
  <si>
    <t>He,</t>
  </si>
  <si>
    <t>1585946309@qq.com</t>
  </si>
  <si>
    <t>8618684008915</t>
  </si>
  <si>
    <t>H-1243</t>
  </si>
  <si>
    <t>Shuang</t>
  </si>
  <si>
    <t>316215689@qq.com</t>
  </si>
  <si>
    <t>8618721143878</t>
  </si>
  <si>
    <t>H-1215</t>
  </si>
  <si>
    <t>Yuang</t>
  </si>
  <si>
    <t>2695726138@88.com</t>
  </si>
  <si>
    <t>+61406992776</t>
  </si>
  <si>
    <t>H-1048</t>
  </si>
  <si>
    <t>Hea</t>
  </si>
  <si>
    <t>Jung On</t>
  </si>
  <si>
    <t>+6281513336522</t>
  </si>
  <si>
    <t>H-1245</t>
  </si>
  <si>
    <t>Heathcote</t>
  </si>
  <si>
    <t>Katrina</t>
  </si>
  <si>
    <t>kat@corrourhouse.com</t>
  </si>
  <si>
    <t>7811250342</t>
  </si>
  <si>
    <t>Corrour House, Inverdruie</t>
  </si>
  <si>
    <t>Ireland</t>
  </si>
  <si>
    <t>H-0785</t>
  </si>
  <si>
    <t>Hebo</t>
  </si>
  <si>
    <t>Alnujaidi</t>
  </si>
  <si>
    <t>H-1156</t>
  </si>
  <si>
    <t>Heckenroth</t>
  </si>
  <si>
    <t>Alban</t>
  </si>
  <si>
    <t>H-597</t>
  </si>
  <si>
    <t>Heddy</t>
  </si>
  <si>
    <t>Soerijadji</t>
  </si>
  <si>
    <t>Senayan Residence Blok B- 28</t>
  </si>
  <si>
    <t>H-475</t>
  </si>
  <si>
    <t>Hedy</t>
  </si>
  <si>
    <t>Wiluan</t>
  </si>
  <si>
    <t>henryhedy@yahoo.com</t>
  </si>
  <si>
    <t xml:space="preserve">Jl. Jeruk Purut Kav. 7
Cilandak Timur 12560</t>
  </si>
  <si>
    <t>H-1279</t>
  </si>
  <si>
    <t>Yong Guay Leng</t>
  </si>
  <si>
    <t>yonghedy@gmail.com</t>
  </si>
  <si>
    <t>+60122089209</t>
  </si>
  <si>
    <t>H-1327</t>
  </si>
  <si>
    <t>Hee</t>
  </si>
  <si>
    <t>Eun Kim</t>
  </si>
  <si>
    <t>elsyekim8112@gmail.com</t>
  </si>
  <si>
    <t>6282125899057</t>
  </si>
  <si>
    <t>Korea, Democratic People'S Republic Of</t>
  </si>
  <si>
    <t>H-228</t>
  </si>
  <si>
    <t>H-529</t>
  </si>
  <si>
    <t>Heesook</t>
  </si>
  <si>
    <t>leegiyoung12355@gmail.com</t>
  </si>
  <si>
    <t xml:space="preserve">Kemang Villes Bloomingtone Tower No 0502
Jl. Kemang Raya No. 18D Rt13/05</t>
  </si>
  <si>
    <t>Jakarta  Selatan</t>
  </si>
  <si>
    <t>H-1266</t>
  </si>
  <si>
    <t>Hee Young</t>
  </si>
  <si>
    <t>kiwiwo79@naver.com</t>
  </si>
  <si>
    <t>6281319397664</t>
  </si>
  <si>
    <t>Essence Darmawangsa Apartement</t>
  </si>
  <si>
    <t>H-1292</t>
  </si>
  <si>
    <t>Hefni, Ahmed</t>
  </si>
  <si>
    <t>Taha A</t>
  </si>
  <si>
    <t>hefni187@gmail.com</t>
  </si>
  <si>
    <t>966500052986</t>
  </si>
  <si>
    <t>H-1197</t>
  </si>
  <si>
    <t>Hyejin</t>
  </si>
  <si>
    <t>Bae</t>
  </si>
  <si>
    <t>6281336507457</t>
  </si>
  <si>
    <t>Kemang village Tower Bloomington</t>
  </si>
  <si>
    <t>H-534</t>
  </si>
  <si>
    <t>Helda</t>
  </si>
  <si>
    <t>H-0974</t>
  </si>
  <si>
    <t xml:space="preserve">Murai VI  No .70
Kompleks Murai Raya (Tomang Elok)
Medan 20122
Medan Sunggal , Sumatera Utara 20122</t>
  </si>
  <si>
    <t>H-1064</t>
  </si>
  <si>
    <t>H-285</t>
  </si>
  <si>
    <t>H-1282</t>
  </si>
  <si>
    <t>H-1153</t>
  </si>
  <si>
    <t>Ariany</t>
  </si>
  <si>
    <t>H-0810</t>
  </si>
  <si>
    <t>H-536</t>
  </si>
  <si>
    <t>Hastati</t>
  </si>
  <si>
    <t>Jl. Pantai Sanur 4 No. 11A, Ancol - Timur, 14430</t>
  </si>
  <si>
    <t>H-1296</t>
  </si>
  <si>
    <t>Jeniwati</t>
  </si>
  <si>
    <t>+62811837083</t>
  </si>
  <si>
    <t>Lotus Palace Blok Y8 No.1,2</t>
  </si>
  <si>
    <t>H-1122</t>
  </si>
  <si>
    <t>Jo</t>
  </si>
  <si>
    <t>H-1199</t>
  </si>
  <si>
    <t>Kastawira</t>
  </si>
  <si>
    <t>helenk2929@gmai.com</t>
  </si>
  <si>
    <t>+628119912289</t>
  </si>
  <si>
    <t>H-589</t>
  </si>
  <si>
    <t>jl.suwiryo no.11 gondangdia menteng</t>
  </si>
  <si>
    <t>H-079</t>
  </si>
  <si>
    <t>Kolima</t>
  </si>
  <si>
    <t>H-611</t>
  </si>
  <si>
    <t>Helen.Mahendra@yahoo.com</t>
  </si>
  <si>
    <t xml:space="preserve">Jl.Gili Sampeng 4 Blok J No 8
Kemanggisan, Jakarta Barat</t>
  </si>
  <si>
    <t>H-0797</t>
  </si>
  <si>
    <t>Risa</t>
  </si>
  <si>
    <t>6287888881233</t>
  </si>
  <si>
    <t>JL PATIUNUS NO 30 KEB BARU JAKARTA 12120</t>
  </si>
  <si>
    <t>H-1057</t>
  </si>
  <si>
    <t>Helen Tresna</t>
  </si>
  <si>
    <t>6285156304806</t>
  </si>
  <si>
    <t>H-566</t>
  </si>
  <si>
    <t>Wijaja</t>
  </si>
  <si>
    <t>H-1146</t>
  </si>
  <si>
    <t>Wiryanto</t>
  </si>
  <si>
    <t>H-078</t>
  </si>
  <si>
    <t>(USA)</t>
  </si>
  <si>
    <t>H-1162</t>
  </si>
  <si>
    <t>Ruby Hill Road Blok C38 Citrasun Garden</t>
  </si>
  <si>
    <t>H-1294</t>
  </si>
  <si>
    <t>Helena Helena</t>
  </si>
  <si>
    <t>helenaliu70@yahoo.co.id</t>
  </si>
  <si>
    <t>62811199540</t>
  </si>
  <si>
    <t>Ebang Golf 6 No 31</t>
  </si>
  <si>
    <t>H-1177</t>
  </si>
  <si>
    <t>sugitohelena1030@yahoo.com</t>
  </si>
  <si>
    <t>Pantai Mutiara Blok N No.3 Pluit Jakarta Utara</t>
  </si>
  <si>
    <t>H-332</t>
  </si>
  <si>
    <t>Suryawani</t>
  </si>
  <si>
    <t>balasana88@gmail,com</t>
  </si>
  <si>
    <t>6281514100018</t>
  </si>
  <si>
    <t xml:space="preserve">Jl.Sultan Iskandar Muda N0.12
Pakubuwono View Redwood 12A</t>
  </si>
  <si>
    <t>H-627</t>
  </si>
  <si>
    <t>Hellen</t>
  </si>
  <si>
    <t>Linia</t>
  </si>
  <si>
    <t>H-642</t>
  </si>
  <si>
    <t>Soewondo</t>
  </si>
  <si>
    <t>hellensaewondo@yahoo.com</t>
  </si>
  <si>
    <t xml:space="preserve">Apartm Central Park residence Tower Alaina Lt.28 unit 1 Jln.S.Parman 
Jakarta Barat</t>
  </si>
  <si>
    <t>H-1114</t>
  </si>
  <si>
    <t>Hellena</t>
  </si>
  <si>
    <t>hellena.miracle1@yahoo.com</t>
  </si>
  <si>
    <t>+628111620423</t>
  </si>
  <si>
    <t>Sherwood Apartment Tower Wellington # 22-06, Kelapa Gading</t>
  </si>
  <si>
    <t>H-1149</t>
  </si>
  <si>
    <t>Helma</t>
  </si>
  <si>
    <t>Norita</t>
  </si>
  <si>
    <t>H-0764</t>
  </si>
  <si>
    <t>Helmalia</t>
  </si>
  <si>
    <t>H-1244</t>
  </si>
  <si>
    <t>Helmi</t>
  </si>
  <si>
    <t>emmychan490@gmail.com</t>
  </si>
  <si>
    <t>6281936789889</t>
  </si>
  <si>
    <t>Hj. Dul Pondok terong</t>
  </si>
  <si>
    <t>H-1024</t>
  </si>
  <si>
    <t>wardana</t>
  </si>
  <si>
    <t>H-639</t>
  </si>
  <si>
    <t>Helmian</t>
  </si>
  <si>
    <t>Duren Tiga Selatan VII No.33 A</t>
  </si>
  <si>
    <t>H-1066</t>
  </si>
  <si>
    <t>Hemy</t>
  </si>
  <si>
    <t>H-1321</t>
  </si>
  <si>
    <t>Hendersen</t>
  </si>
  <si>
    <t>hendersen.wibawa@gmail.com</t>
  </si>
  <si>
    <t>+682213139900</t>
  </si>
  <si>
    <t>H-0666</t>
  </si>
  <si>
    <t>Henderson</t>
  </si>
  <si>
    <t>H-335</t>
  </si>
  <si>
    <t>H-226</t>
  </si>
  <si>
    <t>H-0667</t>
  </si>
  <si>
    <t>H-0864</t>
  </si>
  <si>
    <t>H-1091</t>
  </si>
  <si>
    <t>H-0843</t>
  </si>
  <si>
    <t>Utama Sakti 6 No.10 Jakarta Barat</t>
  </si>
  <si>
    <t>H-1073</t>
  </si>
  <si>
    <t>H-1189</t>
  </si>
  <si>
    <t>hendrabudiman88@gmail.com</t>
  </si>
  <si>
    <t>628161960112</t>
  </si>
  <si>
    <t>DISCOVEY LUMINA DL-21, TANG SEL</t>
  </si>
  <si>
    <t>H-274</t>
  </si>
  <si>
    <t xml:space="preserve">Jl. Tunjung Tutur N01
gatsu Timur
Denpasar-Bali</t>
  </si>
  <si>
    <t>H-082</t>
  </si>
  <si>
    <t>Permata Hijau Boulevard Barat Blok F/1</t>
  </si>
  <si>
    <t>H-1316</t>
  </si>
  <si>
    <t>62811783699</t>
  </si>
  <si>
    <t>H-1252</t>
  </si>
  <si>
    <t>6281292712825</t>
  </si>
  <si>
    <t>H-1076</t>
  </si>
  <si>
    <t>Kurninto</t>
  </si>
  <si>
    <t>6285364810473</t>
  </si>
  <si>
    <t>M-1369</t>
  </si>
  <si>
    <t>Kargito.</t>
  </si>
  <si>
    <t>H-1089</t>
  </si>
  <si>
    <t>Jl. Letjend Suprapto No.150</t>
  </si>
  <si>
    <t>H-1298</t>
  </si>
  <si>
    <t>Manopo</t>
  </si>
  <si>
    <t>62811191919</t>
  </si>
  <si>
    <t>H-1042</t>
  </si>
  <si>
    <t>Nilam</t>
  </si>
  <si>
    <t>081937776888</t>
  </si>
  <si>
    <t>PERMATA MEDITERANIA JL.RUBY GARDEN RAYA NO.6</t>
  </si>
  <si>
    <t>H-087</t>
  </si>
  <si>
    <t>Henry</t>
  </si>
  <si>
    <t>benteng38@yahoo.com</t>
  </si>
  <si>
    <t>+628158888374</t>
  </si>
  <si>
    <t>JL. Pluit Karang Indah Blok J 8 Utara 27</t>
  </si>
  <si>
    <t>H-575</t>
  </si>
  <si>
    <t>hendramilk@yahoo.com</t>
  </si>
  <si>
    <t>6287880951333</t>
  </si>
  <si>
    <t xml:space="preserve">Perum Pondok Lestari blok A5/22
Ciledug</t>
  </si>
  <si>
    <t>H-0982</t>
  </si>
  <si>
    <t>H-1164</t>
  </si>
  <si>
    <t>Tandy</t>
  </si>
  <si>
    <t>huichen6786@gmail.com</t>
  </si>
  <si>
    <t>+6282299996665</t>
  </si>
  <si>
    <t>Komp. Maribu City Resort Blok D,22 Rt 007/014, Cengkareng Timur</t>
  </si>
  <si>
    <t>H-1207</t>
  </si>
  <si>
    <t>Persatuan No.88 CG</t>
  </si>
  <si>
    <t>M-1443</t>
  </si>
  <si>
    <t>Hendra.</t>
  </si>
  <si>
    <t>H-338</t>
  </si>
  <si>
    <t>H-1126</t>
  </si>
  <si>
    <t>6281253061228</t>
  </si>
  <si>
    <t>A.Yani 06A Balikpapan,Kal-Tim</t>
  </si>
  <si>
    <t>H-088</t>
  </si>
  <si>
    <t>Sudarpo</t>
  </si>
  <si>
    <t>Jl. Bulevard Palem Raya 2111</t>
  </si>
  <si>
    <t>H-295</t>
  </si>
  <si>
    <t>Hendri</t>
  </si>
  <si>
    <t>Pondok Gede jakarta timur</t>
  </si>
  <si>
    <t>H-1180</t>
  </si>
  <si>
    <t>62*5888991999</t>
  </si>
  <si>
    <t>H-1309</t>
  </si>
  <si>
    <t>Hendriyana</t>
  </si>
  <si>
    <t>hendri.shakira12@gmail.com</t>
  </si>
  <si>
    <t>H-0677</t>
  </si>
  <si>
    <t>Rotinsulu</t>
  </si>
  <si>
    <t xml:space="preserve">Taman Permata Cikunir
Jatibening</t>
  </si>
  <si>
    <t>H-459</t>
  </si>
  <si>
    <t>H-1055</t>
  </si>
  <si>
    <t>Cluster Perancis FB6/1</t>
  </si>
  <si>
    <t>H-1204</t>
  </si>
  <si>
    <t>Hendrico</t>
  </si>
  <si>
    <t>hendrico.s@gmail.com</t>
  </si>
  <si>
    <t>08161860082</t>
  </si>
  <si>
    <t>Jl. Taman Brawijaya III/4 Jakarta Selatan</t>
  </si>
  <si>
    <t>H-1038</t>
  </si>
  <si>
    <t>Hendrik</t>
  </si>
  <si>
    <t>H-1008</t>
  </si>
  <si>
    <t>Abidondifu</t>
  </si>
  <si>
    <t>H-337</t>
  </si>
  <si>
    <t>H-333</t>
  </si>
  <si>
    <t>Luntungan</t>
  </si>
  <si>
    <t>H-0779</t>
  </si>
  <si>
    <t>62811414474</t>
  </si>
  <si>
    <t>H-0795</t>
  </si>
  <si>
    <t>Tanojo</t>
  </si>
  <si>
    <t>H-0967</t>
  </si>
  <si>
    <t>Hendriko</t>
  </si>
  <si>
    <t>H-0891</t>
  </si>
  <si>
    <t>H-266</t>
  </si>
  <si>
    <t>Hendriksen</t>
  </si>
  <si>
    <t>Leyser</t>
  </si>
  <si>
    <t>H-1002</t>
  </si>
  <si>
    <t>Hendro</t>
  </si>
  <si>
    <t>H-0761</t>
  </si>
  <si>
    <t>Jl. Sumber Hurip 30-7</t>
  </si>
  <si>
    <t>H-315</t>
  </si>
  <si>
    <t>Hassyari</t>
  </si>
  <si>
    <t xml:space="preserve">Jl. Niaga  Hijau 9 No.20
Jakarta Sealatan</t>
  </si>
  <si>
    <t>H-0658</t>
  </si>
  <si>
    <t>Hendru</t>
  </si>
  <si>
    <t>hendru@yahoo.com</t>
  </si>
  <si>
    <t xml:space="preserve">Cendana Golf II No.50
Bukit golf Mediterania Pantai Indah Kapuk
Penjaringan</t>
  </si>
  <si>
    <t>H-278</t>
  </si>
  <si>
    <t>Hendry</t>
  </si>
  <si>
    <t>H-0680</t>
  </si>
  <si>
    <t>H-635</t>
  </si>
  <si>
    <t>Attan</t>
  </si>
  <si>
    <t>hendryattan@yahoo.com</t>
  </si>
  <si>
    <t xml:space="preserve">Jl.Gajah Mada no.8-9
jambi</t>
  </si>
  <si>
    <t>H-092</t>
  </si>
  <si>
    <t>Jl. Rajawali Selatan III No. 14</t>
  </si>
  <si>
    <t>H-286</t>
  </si>
  <si>
    <t>Hartato</t>
  </si>
  <si>
    <t>62818966663</t>
  </si>
  <si>
    <t>Pantai Mutiara R 23</t>
  </si>
  <si>
    <t>H-595</t>
  </si>
  <si>
    <t>H-223</t>
  </si>
  <si>
    <t>Rudy</t>
  </si>
  <si>
    <t xml:space="preserve">Pantai Indah Kapuk Camerindah IV No.31
Jakarta 14460</t>
  </si>
  <si>
    <t>H-505</t>
  </si>
  <si>
    <t>H-0997</t>
  </si>
  <si>
    <t>H-0669</t>
  </si>
  <si>
    <t>Soedarpo</t>
  </si>
  <si>
    <t>H-0657</t>
  </si>
  <si>
    <t>Teoh</t>
  </si>
  <si>
    <t>hendry.teoh@gmail.com</t>
  </si>
  <si>
    <t xml:space="preserve">Karang Bolong V No.05
Ancol barat</t>
  </si>
  <si>
    <t>H-094</t>
  </si>
  <si>
    <t>6281210373996</t>
  </si>
  <si>
    <t>H-598</t>
  </si>
  <si>
    <t>Winfield</t>
  </si>
  <si>
    <t>H-091</t>
  </si>
  <si>
    <t>Hendryadi</t>
  </si>
  <si>
    <t>H-442</t>
  </si>
  <si>
    <t>Hendy</t>
  </si>
  <si>
    <t>H-1011</t>
  </si>
  <si>
    <t>H-1003</t>
  </si>
  <si>
    <t>H-443</t>
  </si>
  <si>
    <t>628118686039</t>
  </si>
  <si>
    <t>H-0936</t>
  </si>
  <si>
    <t>Hendyka ovie</t>
  </si>
  <si>
    <t>Arista</t>
  </si>
  <si>
    <t>6282147500076</t>
  </si>
  <si>
    <t>H-1236</t>
  </si>
  <si>
    <t>Ai Shan</t>
  </si>
  <si>
    <t>florence.heng.as@gmail.com</t>
  </si>
  <si>
    <t>60197731646</t>
  </si>
  <si>
    <t>H-0767</t>
  </si>
  <si>
    <t>H-0965</t>
  </si>
  <si>
    <t>Hengkie</t>
  </si>
  <si>
    <t>Kastono</t>
  </si>
  <si>
    <t>H-1142</t>
  </si>
  <si>
    <t>Hengki</t>
  </si>
  <si>
    <t>628156101002</t>
  </si>
  <si>
    <t>H-636</t>
  </si>
  <si>
    <t>Hengky</t>
  </si>
  <si>
    <t>Jl. Sukajadi / 88</t>
  </si>
  <si>
    <t>H-0776</t>
  </si>
  <si>
    <t>Jln. Nirwana Sunter Asri Blok C/9 Jakut</t>
  </si>
  <si>
    <t>H-1009</t>
  </si>
  <si>
    <t>Tekoalu</t>
  </si>
  <si>
    <t>H-558</t>
  </si>
  <si>
    <t>H-0996</t>
  </si>
  <si>
    <t>Heni</t>
  </si>
  <si>
    <t>H-1281</t>
  </si>
  <si>
    <t>venansiahenianita@yahoo.com</t>
  </si>
  <si>
    <t>6282253772772</t>
  </si>
  <si>
    <t>H-1135</t>
  </si>
  <si>
    <t>H-1241</t>
  </si>
  <si>
    <t>62811998008</t>
  </si>
  <si>
    <t>H-211</t>
  </si>
  <si>
    <t>Henka</t>
  </si>
  <si>
    <t>Eleonora</t>
  </si>
  <si>
    <t>Anggrek Loka BSD</t>
  </si>
  <si>
    <t>H-0694</t>
  </si>
  <si>
    <t>Henky</t>
  </si>
  <si>
    <t>Henky_S@yahoo.com</t>
  </si>
  <si>
    <t>H-1223</t>
  </si>
  <si>
    <t>Henni</t>
  </si>
  <si>
    <t>hennilo@gmail.com</t>
  </si>
  <si>
    <t>6282122702390</t>
  </si>
  <si>
    <t>H-0693</t>
  </si>
  <si>
    <t>H-1293</t>
  </si>
  <si>
    <t>Henning Aylla</t>
  </si>
  <si>
    <t>Isadora</t>
  </si>
  <si>
    <t>ayllaisadorahenning@gmail.com</t>
  </si>
  <si>
    <t>5548996489035</t>
  </si>
  <si>
    <t>H-641</t>
  </si>
  <si>
    <t>H-587</t>
  </si>
  <si>
    <t>H-1227</t>
  </si>
  <si>
    <t>H-438</t>
  </si>
  <si>
    <t>ancilia</t>
  </si>
  <si>
    <t>Apt Roxy Mas lt, 708</t>
  </si>
  <si>
    <t>H-532</t>
  </si>
  <si>
    <t>62818767979</t>
  </si>
  <si>
    <t>H-1112</t>
  </si>
  <si>
    <t>H-1118</t>
  </si>
  <si>
    <t>Soetoyo</t>
  </si>
  <si>
    <t>H-1276</t>
  </si>
  <si>
    <t>H. Pohan</t>
  </si>
  <si>
    <t>6282272386336</t>
  </si>
  <si>
    <t>H-0662</t>
  </si>
  <si>
    <t>H-1111</t>
  </si>
  <si>
    <t>H-544</t>
  </si>
  <si>
    <t xml:space="preserve">Green Lake City Clauster Amerika
Jl.Boulevard No.8
Duri Kosambi Cengkareng</t>
  </si>
  <si>
    <t>H-190</t>
  </si>
  <si>
    <t xml:space="preserve">Jl.Rajawali Selatan XI no.16 Jakarta Pusat 10720
Bday : 11 Mei 1973</t>
  </si>
  <si>
    <t>H-1099</t>
  </si>
  <si>
    <t xml:space="preserve">Jl. Soekarno Hatta-Grand Palace Residence No A6
Pekan Baru Riau. 28291</t>
  </si>
  <si>
    <t>H-312</t>
  </si>
  <si>
    <t>Riyanto</t>
  </si>
  <si>
    <t>H-1087</t>
  </si>
  <si>
    <t>H-0756</t>
  </si>
  <si>
    <t>Jl.Apel I /3 No.4</t>
  </si>
  <si>
    <t>SOLO</t>
  </si>
  <si>
    <t>H-1051</t>
  </si>
  <si>
    <t>Simarmata</t>
  </si>
  <si>
    <t>H-0851</t>
  </si>
  <si>
    <t>Srihandoyo</t>
  </si>
  <si>
    <t>H-1070</t>
  </si>
  <si>
    <t>Sutejo</t>
  </si>
  <si>
    <t>H-0969</t>
  </si>
  <si>
    <t>Tandiwidjojo</t>
  </si>
  <si>
    <t>Jln, K 1 n0.2B RT 11/03 CIPINANG MUARA</t>
  </si>
  <si>
    <t>H-1053</t>
  </si>
  <si>
    <t>6285883035749</t>
  </si>
  <si>
    <t>H-1284</t>
  </si>
  <si>
    <t>Tanring</t>
  </si>
  <si>
    <t>Hennytanring77@gmail.com</t>
  </si>
  <si>
    <t>6281229992608</t>
  </si>
  <si>
    <t>Grand City Resor</t>
  </si>
  <si>
    <t>H-0742</t>
  </si>
  <si>
    <t>Sentral Senayan I Level 12</t>
  </si>
  <si>
    <t>H-624</t>
  </si>
  <si>
    <t>Rosalina</t>
  </si>
  <si>
    <t xml:space="preserve">Jalan Adhyaksa III No.1
Lebak bulus</t>
  </si>
  <si>
    <t>H-293</t>
  </si>
  <si>
    <t>Virginia</t>
  </si>
  <si>
    <t>H-1039</t>
  </si>
  <si>
    <t>H-309</t>
  </si>
  <si>
    <t>Henri</t>
  </si>
  <si>
    <t>H-478</t>
  </si>
  <si>
    <t>Luhur</t>
  </si>
  <si>
    <t>H-1160</t>
  </si>
  <si>
    <t>Sempurna</t>
  </si>
  <si>
    <t>H-1237</t>
  </si>
  <si>
    <t>Henrico</t>
  </si>
  <si>
    <t>Twysel</t>
  </si>
  <si>
    <t>6287877977809</t>
  </si>
  <si>
    <t>Selong - Kebayoran Baru</t>
  </si>
  <si>
    <t>H-0893</t>
  </si>
  <si>
    <t>Achiruddin</t>
  </si>
  <si>
    <t>62811180809</t>
  </si>
  <si>
    <t>H-194</t>
  </si>
  <si>
    <t xml:space="preserve">Jl. Gatot Subroto X no 58
Banjarmasin</t>
  </si>
  <si>
    <t>H-102</t>
  </si>
  <si>
    <t xml:space="preserve">Wisma Indocement Lt.5
Kavling 70-71 Jakarta</t>
  </si>
  <si>
    <t>H-581</t>
  </si>
  <si>
    <t>H-307</t>
  </si>
  <si>
    <t>Joewono</t>
  </si>
  <si>
    <t>+62818501625</t>
  </si>
  <si>
    <t>Jl. Karang Pilang Barat No. 200, Surabaya 60221</t>
  </si>
  <si>
    <t>H-101</t>
  </si>
  <si>
    <t>liem</t>
  </si>
  <si>
    <t>henry_babe@yahoo.com</t>
  </si>
  <si>
    <t xml:space="preserve">jl.kedoya palma raya f/12
jakarta</t>
  </si>
  <si>
    <t>H-103</t>
  </si>
  <si>
    <t>Soetio</t>
  </si>
  <si>
    <t xml:space="preserve">VILLA GAGING INDAH A4 No8
Kelapa Gading 
Jakarta Utara</t>
  </si>
  <si>
    <t>H-434</t>
  </si>
  <si>
    <t xml:space="preserve">Jl Opal II   Blok K1 No1
Permata Hijau Jakarta Selatan</t>
  </si>
  <si>
    <t>H-0971</t>
  </si>
  <si>
    <t>H-0664</t>
  </si>
  <si>
    <t>H-0737</t>
  </si>
  <si>
    <t>H-291</t>
  </si>
  <si>
    <t>Widjaya</t>
  </si>
  <si>
    <t>H-1018</t>
  </si>
  <si>
    <t>Henson</t>
  </si>
  <si>
    <t>Max</t>
  </si>
  <si>
    <t>H-1145</t>
  </si>
  <si>
    <t>Heny</t>
  </si>
  <si>
    <t>H-0783</t>
  </si>
  <si>
    <t>Goei</t>
  </si>
  <si>
    <t>H-0887</t>
  </si>
  <si>
    <t>H-1049</t>
  </si>
  <si>
    <t>Septiany</t>
  </si>
  <si>
    <t>H-1113</t>
  </si>
  <si>
    <t>Heppy</t>
  </si>
  <si>
    <t>H-0977</t>
  </si>
  <si>
    <t>Sinta</t>
  </si>
  <si>
    <t>Kota Wisata Pesona Orlando R2/25</t>
  </si>
  <si>
    <t>H-302</t>
  </si>
  <si>
    <t>Her</t>
  </si>
  <si>
    <t>Sook</t>
  </si>
  <si>
    <t>Cibubur Raffles Hills Blok S/5 no.31</t>
  </si>
  <si>
    <t>H-104</t>
  </si>
  <si>
    <t>Jl. Minyak I No. 14 Duren Tiga</t>
  </si>
  <si>
    <t>Pancoran</t>
  </si>
  <si>
    <t>H-1277</t>
  </si>
  <si>
    <t>Forsyth</t>
  </si>
  <si>
    <t>hera_samsara@hotmail.com</t>
  </si>
  <si>
    <t>62817348551</t>
  </si>
  <si>
    <t>Bali Garden Beach Resort, Denpasar</t>
  </si>
  <si>
    <t>H-0883</t>
  </si>
  <si>
    <t>H-1014</t>
  </si>
  <si>
    <t>Sjukri</t>
  </si>
  <si>
    <t>heraanto1974@gmail.com</t>
  </si>
  <si>
    <t>H-263</t>
  </si>
  <si>
    <t>Sutoyo</t>
  </si>
  <si>
    <t>Jl. Jatiwaringin Raya No.A2</t>
  </si>
  <si>
    <t>H-1132</t>
  </si>
  <si>
    <t>Heradi</t>
  </si>
  <si>
    <t>Tanuatmaja</t>
  </si>
  <si>
    <t>blissnite@live.com</t>
  </si>
  <si>
    <t>628113639001</t>
  </si>
  <si>
    <t>Jalan Kurinci No 2 , Malang</t>
  </si>
  <si>
    <t>H-0825</t>
  </si>
  <si>
    <t>H-500</t>
  </si>
  <si>
    <t>Herdi</t>
  </si>
  <si>
    <t>Broto</t>
  </si>
  <si>
    <t>H-105</t>
  </si>
  <si>
    <t>Herdimansyah</t>
  </si>
  <si>
    <t>Chaidirsyah</t>
  </si>
  <si>
    <t>dimantea@yahoo.com</t>
  </si>
  <si>
    <t xml:space="preserve">Jl. Pelangi Raya A3 No. 83
The Gading Residence</t>
  </si>
  <si>
    <t>H-452</t>
  </si>
  <si>
    <t>Herdituantono</t>
  </si>
  <si>
    <t>H-1059</t>
  </si>
  <si>
    <t>Sara Hertina</t>
  </si>
  <si>
    <t>Krismayanto</t>
  </si>
  <si>
    <t>magnate.sara@gmail.com</t>
  </si>
  <si>
    <t>085925051994</t>
  </si>
  <si>
    <t>Denpasar Residence , Jakarta</t>
  </si>
  <si>
    <t>H-1302</t>
  </si>
  <si>
    <t>HERI</t>
  </si>
  <si>
    <t>Heri</t>
  </si>
  <si>
    <t>6282294336433</t>
  </si>
  <si>
    <t>H-607</t>
  </si>
  <si>
    <t>hsantoso_77@yahoo.com</t>
  </si>
  <si>
    <t>H-109</t>
  </si>
  <si>
    <t>Kamboja no. 12</t>
  </si>
  <si>
    <t>H-1075</t>
  </si>
  <si>
    <t>Wiranto</t>
  </si>
  <si>
    <t>H-473</t>
  </si>
  <si>
    <t>Heri/Susanty</t>
  </si>
  <si>
    <t>susanty.aai@yahoo.com</t>
  </si>
  <si>
    <t xml:space="preserve">Cendana 5 No.21
Pantai Indah Kapuk</t>
  </si>
  <si>
    <t>H-1058</t>
  </si>
  <si>
    <t>Herik</t>
  </si>
  <si>
    <t>tasyasc168@gmail.com</t>
  </si>
  <si>
    <t>H-236</t>
  </si>
  <si>
    <t>Herina</t>
  </si>
  <si>
    <t>Firdausi</t>
  </si>
  <si>
    <t>H-1308</t>
  </si>
  <si>
    <t>Hering D.S</t>
  </si>
  <si>
    <t>Susetyowati</t>
  </si>
  <si>
    <t>aling.hds@gmail.com</t>
  </si>
  <si>
    <t>628118897975</t>
  </si>
  <si>
    <t>Foresta Cluster Alevare Blok A5 No. 18</t>
  </si>
  <si>
    <t>H-1259</t>
  </si>
  <si>
    <t>Heriyan</t>
  </si>
  <si>
    <t>62818222299</t>
  </si>
  <si>
    <t>H-543</t>
  </si>
  <si>
    <t>Heriyanto</t>
  </si>
  <si>
    <t>H-329</t>
  </si>
  <si>
    <t>Herlany</t>
  </si>
  <si>
    <t>Stockinan</t>
  </si>
  <si>
    <t>H-0968</t>
  </si>
  <si>
    <t>Herliana</t>
  </si>
  <si>
    <t>H-110</t>
  </si>
  <si>
    <t>H-1077</t>
  </si>
  <si>
    <t>H-1317</t>
  </si>
  <si>
    <t>62811116700</t>
  </si>
  <si>
    <t>H-0923</t>
  </si>
  <si>
    <t>H-0821</t>
  </si>
  <si>
    <t>Noviyanti</t>
  </si>
  <si>
    <t>Garden House Rubby 2 No.17</t>
  </si>
  <si>
    <t>H-1052</t>
  </si>
  <si>
    <t>Tjuatju</t>
  </si>
  <si>
    <t>H-1313</t>
  </si>
  <si>
    <t>wijayaherlina.brunelondon@gmail.com</t>
  </si>
  <si>
    <t>+6281284239343</t>
  </si>
  <si>
    <t>Kelapa Gading, Jakarta Utara</t>
  </si>
  <si>
    <t>H-0859</t>
  </si>
  <si>
    <t>Herlindawati</t>
  </si>
  <si>
    <t>6281211155590</t>
  </si>
  <si>
    <t>H-300</t>
  </si>
  <si>
    <t>H-244</t>
  </si>
  <si>
    <t>H-179</t>
  </si>
  <si>
    <t>Herman</t>
  </si>
  <si>
    <t>H-112</t>
  </si>
  <si>
    <t>H-111</t>
  </si>
  <si>
    <t>H-0958</t>
  </si>
  <si>
    <t>Handrianto</t>
  </si>
  <si>
    <t>H-1222</t>
  </si>
  <si>
    <t>Klooster</t>
  </si>
  <si>
    <t>+31630444052</t>
  </si>
  <si>
    <t>H-264</t>
  </si>
  <si>
    <t>Soegeng</t>
  </si>
  <si>
    <t xml:space="preserve">Jl. Panjang No.28 Unit 2G
residence 28</t>
  </si>
  <si>
    <t>H-183</t>
  </si>
  <si>
    <t>Hermanto</t>
  </si>
  <si>
    <t>H-0979</t>
  </si>
  <si>
    <t>H-557</t>
  </si>
  <si>
    <t>H-1054</t>
  </si>
  <si>
    <t>+628126212555</t>
  </si>
  <si>
    <t>H-567</t>
  </si>
  <si>
    <t>Guwawan</t>
  </si>
  <si>
    <t>H-454</t>
  </si>
  <si>
    <t>Hermawan8686@gmaul.com</t>
  </si>
  <si>
    <t xml:space="preserve">Apt Riverside TW 1A- 1205
Jl. Pluit Karang Barat No 50</t>
  </si>
  <si>
    <t>H-301</t>
  </si>
  <si>
    <t>Hermawanti</t>
  </si>
  <si>
    <t>Kemal</t>
  </si>
  <si>
    <t>Jl. Alam Asri 1X SH 29 Pondok Indah ,12310</t>
  </si>
  <si>
    <t>H-1029</t>
  </si>
  <si>
    <t>H-243</t>
  </si>
  <si>
    <t>Hermin</t>
  </si>
  <si>
    <t>Jl. Kemang Timur VII No.8</t>
  </si>
  <si>
    <t>H-521</t>
  </si>
  <si>
    <t>Hermsliana</t>
  </si>
  <si>
    <t>H-206</t>
  </si>
  <si>
    <t>Hermuswari</t>
  </si>
  <si>
    <t>Destareta VII No.14-16</t>
  </si>
  <si>
    <t>H-522</t>
  </si>
  <si>
    <t>Herna</t>
  </si>
  <si>
    <t xml:space="preserve">27-29 Georoe st North Strahfield
Aus</t>
  </si>
  <si>
    <t>H-1322</t>
  </si>
  <si>
    <t>6281180001515</t>
  </si>
  <si>
    <t>H-193</t>
  </si>
  <si>
    <t>Herni</t>
  </si>
  <si>
    <t>H-1013</t>
  </si>
  <si>
    <t>herni.dian@yahoo.com</t>
  </si>
  <si>
    <t>H-1079</t>
  </si>
  <si>
    <t>Herra</t>
  </si>
  <si>
    <t>Herinda</t>
  </si>
  <si>
    <t>Setra duta Cemara K2/5A Bandung West Java</t>
  </si>
  <si>
    <t>H-1030</t>
  </si>
  <si>
    <t>Herri</t>
  </si>
  <si>
    <t>PERUM Taman Duta Mas Boulevard 2 No2</t>
  </si>
  <si>
    <t>H-533</t>
  </si>
  <si>
    <t>Herrimin</t>
  </si>
  <si>
    <t>H-0734</t>
  </si>
  <si>
    <t>Herris</t>
  </si>
  <si>
    <t>H-120</t>
  </si>
  <si>
    <t>Herry</t>
  </si>
  <si>
    <t>JL.Balai Pustaka Raya No.8</t>
  </si>
  <si>
    <t>H-502</t>
  </si>
  <si>
    <t>H-121</t>
  </si>
  <si>
    <t>Jl. Danau Indah VI Blok AG No. 19-20</t>
  </si>
  <si>
    <t>H-0782</t>
  </si>
  <si>
    <t>Herdiansyah</t>
  </si>
  <si>
    <t>H-0826</t>
  </si>
  <si>
    <t>Herinan</t>
  </si>
  <si>
    <t xml:space="preserve">Villa Pondok Indah 
Jl. Villa Indah 7/8 Tanah Kusir 2 
Kebayoran Lama</t>
  </si>
  <si>
    <t>H-287</t>
  </si>
  <si>
    <t>Heryawan</t>
  </si>
  <si>
    <t>H-0861</t>
  </si>
  <si>
    <t>Rawamangun Utara III</t>
  </si>
  <si>
    <t>H-1101</t>
  </si>
  <si>
    <t>H-1196</t>
  </si>
  <si>
    <t>628128717858</t>
  </si>
  <si>
    <t>PIK Katamaran Indah</t>
  </si>
  <si>
    <t>H-1131</t>
  </si>
  <si>
    <t>Hertina</t>
  </si>
  <si>
    <t>H-540</t>
  </si>
  <si>
    <t>hakastella85@gmail.com</t>
  </si>
  <si>
    <t>Raffles Hills Blok  A3 No 31 Cibubur</t>
  </si>
  <si>
    <t>H-1047</t>
  </si>
  <si>
    <t>Heru</t>
  </si>
  <si>
    <t>H-1046</t>
  </si>
  <si>
    <t>Galaxy Bumi Permai H5/27-28</t>
  </si>
  <si>
    <t>H-0733</t>
  </si>
  <si>
    <t>herucoem08@gmail.com</t>
  </si>
  <si>
    <t>H-125</t>
  </si>
  <si>
    <t>Jl. Kumbang 17</t>
  </si>
  <si>
    <t>H-126</t>
  </si>
  <si>
    <t>JL. MPR Raya No.24</t>
  </si>
  <si>
    <t>H-284</t>
  </si>
  <si>
    <t>H-435</t>
  </si>
  <si>
    <t>Sidartha</t>
  </si>
  <si>
    <t>H-1031</t>
  </si>
  <si>
    <t>Herwin</t>
  </si>
  <si>
    <t>M-1095</t>
  </si>
  <si>
    <t>Hery</t>
  </si>
  <si>
    <t>H-128</t>
  </si>
  <si>
    <t>Hero</t>
  </si>
  <si>
    <t>62111800778</t>
  </si>
  <si>
    <t xml:space="preserve">PT. Bukit Samudra Perkasa
Ged. Graha Genesha Lt.3
Jl. Hayam Wuruk</t>
  </si>
  <si>
    <t>H-129</t>
  </si>
  <si>
    <t>H-0695</t>
  </si>
  <si>
    <t>H-281</t>
  </si>
  <si>
    <t>Heryanto</t>
  </si>
  <si>
    <t xml:space="preserve">Jl. Kayu mas utara Q221
Jakarta Utara</t>
  </si>
  <si>
    <t>H-1130</t>
  </si>
  <si>
    <t>H-1033</t>
  </si>
  <si>
    <t>Heryati</t>
  </si>
  <si>
    <t>Jl.Loka Indah UH No.1 Warung Buncit Jaksel</t>
  </si>
  <si>
    <t>H-1209</t>
  </si>
  <si>
    <t>Hesami</t>
  </si>
  <si>
    <t>Parisa</t>
  </si>
  <si>
    <t>H-1258</t>
  </si>
  <si>
    <t>Hesham Ahmed</t>
  </si>
  <si>
    <t>Atef Mahmoud Gadallah</t>
  </si>
  <si>
    <t>hesham.gadallah@gmail.com</t>
  </si>
  <si>
    <t>201223137212</t>
  </si>
  <si>
    <t>B18 darrah Gardens Giza</t>
  </si>
  <si>
    <t>H-0950</t>
  </si>
  <si>
    <t>Hesti</t>
  </si>
  <si>
    <t>H-1205</t>
  </si>
  <si>
    <t>Ardayani</t>
  </si>
  <si>
    <t>H-1068</t>
  </si>
  <si>
    <t>Nurmalasari</t>
  </si>
  <si>
    <t>hestinurmalasari411@gmail.com</t>
  </si>
  <si>
    <t>Jl. Ambarawa no.1 Jakarta Pusat</t>
  </si>
  <si>
    <t>H-1214</t>
  </si>
  <si>
    <t>Heti</t>
  </si>
  <si>
    <t>+6285716161001</t>
  </si>
  <si>
    <t>H-311</t>
  </si>
  <si>
    <t>Komalasari</t>
  </si>
  <si>
    <t>H-133</t>
  </si>
  <si>
    <t>Hetty</t>
  </si>
  <si>
    <t>H-1067</t>
  </si>
  <si>
    <t>H-1040</t>
  </si>
  <si>
    <t>Aiti)</t>
  </si>
  <si>
    <t>aiti99@yahoo.com</t>
  </si>
  <si>
    <t xml:space="preserve">The Bukit Ancol Blok C5/D19
jakarta utara 14430</t>
  </si>
  <si>
    <t>H-1182</t>
  </si>
  <si>
    <t>H-1240</t>
  </si>
  <si>
    <t>Heyang</t>
  </si>
  <si>
    <t>H-1125</t>
  </si>
  <si>
    <t>Hi</t>
  </si>
  <si>
    <t>H-0763</t>
  </si>
  <si>
    <t>Hidayah</t>
  </si>
  <si>
    <t>H-258</t>
  </si>
  <si>
    <t>H-136</t>
  </si>
  <si>
    <t>H-593</t>
  </si>
  <si>
    <t>Hideki</t>
  </si>
  <si>
    <t>Sugiwa</t>
  </si>
  <si>
    <t>sugi.h19730829@gmail</t>
  </si>
  <si>
    <t>Gandaria Highs</t>
  </si>
  <si>
    <t>H-143</t>
  </si>
  <si>
    <t>Hideo</t>
  </si>
  <si>
    <t>Yoneda</t>
  </si>
  <si>
    <t>24th Fl. Bursa Efek Jakarta Tower I</t>
  </si>
  <si>
    <t>JL. Jend. Sudirman Kav. 52-53</t>
  </si>
  <si>
    <t>H-1085</t>
  </si>
  <si>
    <t>Hideto</t>
  </si>
  <si>
    <t>Aoki</t>
  </si>
  <si>
    <t>H-1263</t>
  </si>
  <si>
    <t>Hifdzan Silmi Nur</t>
  </si>
  <si>
    <t>Emyaghnia</t>
  </si>
  <si>
    <t>aghniapunjabi@gmail.com</t>
  </si>
  <si>
    <t>6281333484466</t>
  </si>
  <si>
    <t>Permata Jingga - Malang (65143)</t>
  </si>
  <si>
    <t>H-1242</t>
  </si>
  <si>
    <t>Hikaru</t>
  </si>
  <si>
    <t>Niinomi</t>
  </si>
  <si>
    <t>6285813210000</t>
  </si>
  <si>
    <t>H-0727</t>
  </si>
  <si>
    <t>Hilda</t>
  </si>
  <si>
    <t>H-0986</t>
  </si>
  <si>
    <t>H-1314</t>
  </si>
  <si>
    <t>87880011985</t>
  </si>
  <si>
    <t>H-1157</t>
  </si>
  <si>
    <t>naufalsiregar2002@gmail.com</t>
  </si>
  <si>
    <t>62816986905</t>
  </si>
  <si>
    <t>Bumi Karang IndahC7/6-7 Jakarta</t>
  </si>
  <si>
    <t>H-1061</t>
  </si>
  <si>
    <t>Ratnawati</t>
  </si>
  <si>
    <t xml:space="preserve">jl.Mushola no.7
kemang selatan - jakarta selatan</t>
  </si>
  <si>
    <t>H-270</t>
  </si>
  <si>
    <t>Sugita</t>
  </si>
  <si>
    <t xml:space="preserve">Jl. Karya Utama No. 30 Pos Pengumben
Jakarta Barat</t>
  </si>
  <si>
    <t>H-1035</t>
  </si>
  <si>
    <t>Yulistiwati</t>
  </si>
  <si>
    <t>H-1107</t>
  </si>
  <si>
    <t>Hildawati</t>
  </si>
  <si>
    <t>H-606</t>
  </si>
  <si>
    <t>Hildawaty</t>
  </si>
  <si>
    <t>H-0685</t>
  </si>
  <si>
    <t>Hilfan</t>
  </si>
  <si>
    <t>Lubis</t>
  </si>
  <si>
    <t>H-594</t>
  </si>
  <si>
    <t>Hilma</t>
  </si>
  <si>
    <t>H-248</t>
  </si>
  <si>
    <t>Hilman</t>
  </si>
  <si>
    <t>H-1025</t>
  </si>
  <si>
    <t>Fachruddin</t>
  </si>
  <si>
    <t>H-0909</t>
  </si>
  <si>
    <t>Hilmy</t>
  </si>
  <si>
    <t>H-619</t>
  </si>
  <si>
    <t>wanamulya</t>
  </si>
  <si>
    <t>h_wanamjulya@yahoo.com</t>
  </si>
  <si>
    <t xml:space="preserve">Jln Dalton Selatan 2 / 53
Gading Serpong</t>
  </si>
  <si>
    <t>H-503</t>
  </si>
  <si>
    <t>Hilson</t>
  </si>
  <si>
    <t>H-0929</t>
  </si>
  <si>
    <t>Hilton</t>
  </si>
  <si>
    <t>King</t>
  </si>
  <si>
    <t>H-1280</t>
  </si>
  <si>
    <t>Hing</t>
  </si>
  <si>
    <t>hingwinata@yahoo.com</t>
  </si>
  <si>
    <t>6281317929090</t>
  </si>
  <si>
    <t>H-1221</t>
  </si>
  <si>
    <t>Philip Scott</t>
  </si>
  <si>
    <t>Hinson</t>
  </si>
  <si>
    <t>phinson2020@gmail.com</t>
  </si>
  <si>
    <t>14043803048</t>
  </si>
  <si>
    <t>Georgia, USA</t>
  </si>
  <si>
    <t>H-1121</t>
  </si>
  <si>
    <t>Hira</t>
  </si>
  <si>
    <t>H-0654</t>
  </si>
  <si>
    <t>Setianti</t>
  </si>
  <si>
    <t>hsetianti@yahoo.com</t>
  </si>
  <si>
    <t>Tebet Barat Dalam II C no.16</t>
  </si>
  <si>
    <t>H-539</t>
  </si>
  <si>
    <t>Hiroaki</t>
  </si>
  <si>
    <t>Nozu</t>
  </si>
  <si>
    <t>Jl. Cimuncang No. 68, Bandung</t>
  </si>
  <si>
    <t>H-0744</t>
  </si>
  <si>
    <t>Hiromi</t>
  </si>
  <si>
    <t>Kobayashi</t>
  </si>
  <si>
    <t>H-1231</t>
  </si>
  <si>
    <t>Hironimus</t>
  </si>
  <si>
    <t>6281338676844</t>
  </si>
  <si>
    <t>H-586</t>
  </si>
  <si>
    <t>Hiroshi</t>
  </si>
  <si>
    <t>Mizokami</t>
  </si>
  <si>
    <t>H-239</t>
  </si>
  <si>
    <t>Watanabe</t>
  </si>
  <si>
    <t>H-1096</t>
  </si>
  <si>
    <t>Hiroto</t>
  </si>
  <si>
    <t>Ando</t>
  </si>
  <si>
    <t>H-550</t>
  </si>
  <si>
    <t>Hiroyuki</t>
  </si>
  <si>
    <t>Moriyasu</t>
  </si>
  <si>
    <t>hymoriyasu@gmail.com</t>
  </si>
  <si>
    <t xml:space="preserve">The Plaza Residences #15-1
Jl. Jend Sudirman</t>
  </si>
  <si>
    <t>H-437</t>
  </si>
  <si>
    <t>Hisako</t>
  </si>
  <si>
    <t>Saeki</t>
  </si>
  <si>
    <t>H-1299</t>
  </si>
  <si>
    <t>Hizrian</t>
  </si>
  <si>
    <t>Hizrian Raz@gamil.com</t>
  </si>
  <si>
    <t>628118983890</t>
  </si>
  <si>
    <t>H-1167</t>
  </si>
  <si>
    <t>Milliana</t>
  </si>
  <si>
    <t>+6281249698365</t>
  </si>
  <si>
    <t xml:space="preserve">Jl. Besar Ijen No 31
RT/RW 13/07
kel.  Oro Oro Dowo, Kec. Klojen</t>
  </si>
  <si>
    <t>H-0670</t>
  </si>
  <si>
    <t>Hj.</t>
  </si>
  <si>
    <t>Rohim</t>
  </si>
  <si>
    <t>Pesona Khayangan Mungil I Blok AA No. 14</t>
  </si>
  <si>
    <t>H-0972</t>
  </si>
  <si>
    <t>H-0933</t>
  </si>
  <si>
    <t>Nursari</t>
  </si>
  <si>
    <t>H-0719</t>
  </si>
  <si>
    <t>H-0791</t>
  </si>
  <si>
    <t>HJ.</t>
  </si>
  <si>
    <t>H-294</t>
  </si>
  <si>
    <t>Firjani</t>
  </si>
  <si>
    <t>onisaid23@gmail.com</t>
  </si>
  <si>
    <t xml:space="preserve">Perumahan Permata Hijau
Jl. Biduri Pandan blok II</t>
  </si>
  <si>
    <t>H-0928</t>
  </si>
  <si>
    <t>Rupaeda</t>
  </si>
  <si>
    <t xml:space="preserve">Jl. Danau Singkarak No.26
Pagutan Permai
RT012/096
Pagutan Barat , Mataram, NTB</t>
  </si>
  <si>
    <t>H-1110</t>
  </si>
  <si>
    <t>Muren</t>
  </si>
  <si>
    <t>Jasmedi</t>
  </si>
  <si>
    <t>6282113407481</t>
  </si>
  <si>
    <t>H-1261</t>
  </si>
  <si>
    <t>Hj.Nur Hasanah</t>
  </si>
  <si>
    <t>6281288955335</t>
  </si>
  <si>
    <t>H-150</t>
  </si>
  <si>
    <t>lianasaputri@yahoo.com</t>
  </si>
  <si>
    <t xml:space="preserve">Apartment Pacific Place Tower 1 30th Fl.
Jl.Senopati Raya No.12</t>
  </si>
  <si>
    <t>H-524</t>
  </si>
  <si>
    <t>Liana</t>
  </si>
  <si>
    <t>H-0729</t>
  </si>
  <si>
    <t>Hj.Deliana</t>
  </si>
  <si>
    <t>Jl.Umar No.93</t>
  </si>
  <si>
    <t>Medan Timur</t>
  </si>
  <si>
    <t>H-0919</t>
  </si>
  <si>
    <t>HJ.Halim</t>
  </si>
  <si>
    <t>palembang</t>
  </si>
  <si>
    <t>H-200</t>
  </si>
  <si>
    <t>Hj.Roswita</t>
  </si>
  <si>
    <t xml:space="preserve">Jl.Pulo Asem Utara No.15 C
Rawamangun,</t>
  </si>
  <si>
    <t>Jakarta-Timur</t>
  </si>
  <si>
    <t>H-0743</t>
  </si>
  <si>
    <t>Hj.Sari</t>
  </si>
  <si>
    <t>Yulhaizar</t>
  </si>
  <si>
    <t>H-1128</t>
  </si>
  <si>
    <t>H-0803</t>
  </si>
  <si>
    <t>Hj.Yusmahadewi</t>
  </si>
  <si>
    <t>H-1287</t>
  </si>
  <si>
    <t>Chak Sai</t>
  </si>
  <si>
    <t>hojoanhoo@gmail.com</t>
  </si>
  <si>
    <t>+85290766503</t>
  </si>
  <si>
    <t>H-1312</t>
  </si>
  <si>
    <t>calvinho@hotmail.sg</t>
  </si>
  <si>
    <t>+6581251541</t>
  </si>
  <si>
    <t>H-1190</t>
  </si>
  <si>
    <t>Yiu</t>
  </si>
  <si>
    <t>M-1431</t>
  </si>
  <si>
    <t>Jhon.</t>
  </si>
  <si>
    <t>H-1172</t>
  </si>
  <si>
    <t>Ho,</t>
  </si>
  <si>
    <t>LI-CHI</t>
  </si>
  <si>
    <t>H-461</t>
  </si>
  <si>
    <t>Hoesook</t>
  </si>
  <si>
    <t xml:space="preserve">Kelapa gading Paladjan Park
Tower B-307</t>
  </si>
  <si>
    <t>H-1119</t>
  </si>
  <si>
    <t>HoJong</t>
  </si>
  <si>
    <t>Lippo Cikarang ,Bekasi</t>
  </si>
  <si>
    <t>H-1144</t>
  </si>
  <si>
    <t>Hok</t>
  </si>
  <si>
    <t>H-1007</t>
  </si>
  <si>
    <t>Hokky</t>
  </si>
  <si>
    <t>Oloan</t>
  </si>
  <si>
    <t>Elang Laut IV no1 Pantai indah kapuk Jak utara</t>
  </si>
  <si>
    <t>H-530</t>
  </si>
  <si>
    <t>Hoky</t>
  </si>
  <si>
    <t>Jayanata</t>
  </si>
  <si>
    <t>hokyjayanata@gmail.com</t>
  </si>
  <si>
    <t>Jl.Kombes M.Duryat 54 Sidoarjo ,</t>
  </si>
  <si>
    <t>H-154</t>
  </si>
  <si>
    <t>Holden</t>
  </si>
  <si>
    <t>Atmawidjaja</t>
  </si>
  <si>
    <t>H-0973</t>
  </si>
  <si>
    <t>Holidin</t>
  </si>
  <si>
    <t>H-155</t>
  </si>
  <si>
    <t>Holip</t>
  </si>
  <si>
    <t>Soekawan</t>
  </si>
  <si>
    <t>JL. Sidoarjo No.2</t>
  </si>
  <si>
    <t>H-1092</t>
  </si>
  <si>
    <t>Holly</t>
  </si>
  <si>
    <t>Rowell</t>
  </si>
  <si>
    <t>hjvowell@gmail.com</t>
  </si>
  <si>
    <t>H-1168</t>
  </si>
  <si>
    <t>6282218189988</t>
  </si>
  <si>
    <t>H-0792</t>
  </si>
  <si>
    <t>Ki</t>
  </si>
  <si>
    <t>H-1116</t>
  </si>
  <si>
    <t>Garam</t>
  </si>
  <si>
    <t>H-646</t>
  </si>
  <si>
    <t>Wesling Kedoya Apt B303</t>
  </si>
  <si>
    <t>H-1229</t>
  </si>
  <si>
    <t>Yanghae</t>
  </si>
  <si>
    <t>yocchan.mitsui@gmail.com</t>
  </si>
  <si>
    <t>+15128159802</t>
  </si>
  <si>
    <t>Republic of Korea</t>
  </si>
  <si>
    <t>H-1271</t>
  </si>
  <si>
    <t>Junbo</t>
  </si>
  <si>
    <t>hongjunbo321@gmail.com</t>
  </si>
  <si>
    <t>8615228978870</t>
  </si>
  <si>
    <t>H-1179</t>
  </si>
  <si>
    <t>Hongky</t>
  </si>
  <si>
    <t>H-1109</t>
  </si>
  <si>
    <t>Hongxia</t>
  </si>
  <si>
    <t>H-1170</t>
  </si>
  <si>
    <t>Hoonin</t>
  </si>
  <si>
    <t>H-1169</t>
  </si>
  <si>
    <t>Horasmanuntun</t>
  </si>
  <si>
    <t>+62123999106</t>
  </si>
  <si>
    <t>H-0817</t>
  </si>
  <si>
    <t>Horibe</t>
  </si>
  <si>
    <t>Chihiro</t>
  </si>
  <si>
    <t>H-1175</t>
  </si>
  <si>
    <t>Horie</t>
  </si>
  <si>
    <t>Hitomi</t>
  </si>
  <si>
    <t>H-1154</t>
  </si>
  <si>
    <t>Horiike</t>
  </si>
  <si>
    <t>H-1155</t>
  </si>
  <si>
    <t>Horikawa</t>
  </si>
  <si>
    <t>Makoto</t>
  </si>
  <si>
    <t>H-1165</t>
  </si>
  <si>
    <t>Hosea</t>
  </si>
  <si>
    <t>Palma Grandia K6/10 Surabaya</t>
  </si>
  <si>
    <t>H-0676</t>
  </si>
  <si>
    <t>Hosnol</t>
  </si>
  <si>
    <t>Hatima</t>
  </si>
  <si>
    <t>Pengadegan Barat VIII.F2</t>
  </si>
  <si>
    <t>Jakartta</t>
  </si>
  <si>
    <t>H-157</t>
  </si>
  <si>
    <t>Hotma</t>
  </si>
  <si>
    <t>Jl. P. Antasari 79</t>
  </si>
  <si>
    <t>H-0736</t>
  </si>
  <si>
    <t>Abigail Sirait</t>
  </si>
  <si>
    <t>abigail_sirait@yahoo.com</t>
  </si>
  <si>
    <t>+62816979087</t>
  </si>
  <si>
    <t xml:space="preserve">Jl.Sekolah Kencana II TGL
Pondok Indah
jakarta Selatan 12310</t>
  </si>
  <si>
    <t>H-242</t>
  </si>
  <si>
    <t>Sitompul</t>
  </si>
  <si>
    <t>Jl. Pangeran Antasari No.79 Jakarta Selatan</t>
  </si>
  <si>
    <t>H-1129</t>
  </si>
  <si>
    <t>Hou</t>
  </si>
  <si>
    <t>H-1208</t>
  </si>
  <si>
    <t>Hou,</t>
  </si>
  <si>
    <t>Hailiin</t>
  </si>
  <si>
    <t>houhailin20020609@163.com</t>
  </si>
  <si>
    <t>H-1137</t>
  </si>
  <si>
    <t>Xindi</t>
  </si>
  <si>
    <t>726565628@qq.com</t>
  </si>
  <si>
    <t>H-1045</t>
  </si>
  <si>
    <t>Hrijanto</t>
  </si>
  <si>
    <t>Adipratomo</t>
  </si>
  <si>
    <t>Krtini 48</t>
  </si>
  <si>
    <t>H-1210</t>
  </si>
  <si>
    <t>Hsiao,</t>
  </si>
  <si>
    <t>Hsiao)</t>
  </si>
  <si>
    <t>wendinatalia@gmail.com</t>
  </si>
  <si>
    <t>H-1191</t>
  </si>
  <si>
    <t>Hsieh</t>
  </si>
  <si>
    <t>Selyna</t>
  </si>
  <si>
    <t>H-1141</t>
  </si>
  <si>
    <t>H-1192</t>
  </si>
  <si>
    <t>Hsu</t>
  </si>
  <si>
    <t>Li-Chuan</t>
  </si>
  <si>
    <t>H-1151</t>
  </si>
  <si>
    <t>Hsu,</t>
  </si>
  <si>
    <t>Yao-Wen</t>
  </si>
  <si>
    <t>H-0816</t>
  </si>
  <si>
    <t>Hu</t>
  </si>
  <si>
    <t>Dahai</t>
  </si>
  <si>
    <t>FUJIAN</t>
  </si>
  <si>
    <t>M-1252</t>
  </si>
  <si>
    <t>Miao</t>
  </si>
  <si>
    <t>H-0751</t>
  </si>
  <si>
    <t>Shamin</t>
  </si>
  <si>
    <t>7474374@qq.com</t>
  </si>
  <si>
    <t>H-1202</t>
  </si>
  <si>
    <t>H-0689</t>
  </si>
  <si>
    <t>Xiaochen</t>
  </si>
  <si>
    <t>huxiaochen@gmail.com</t>
  </si>
  <si>
    <t xml:space="preserve">Pluit
Birthday 23-12-1991</t>
  </si>
  <si>
    <t>H-1138</t>
  </si>
  <si>
    <t>H-1200</t>
  </si>
  <si>
    <t>Hu,</t>
  </si>
  <si>
    <t>olive_4125@hotmail.com</t>
  </si>
  <si>
    <t>H-1206</t>
  </si>
  <si>
    <t>Yuhan</t>
  </si>
  <si>
    <t>2022220714@qq.com</t>
  </si>
  <si>
    <t>H-1324</t>
  </si>
  <si>
    <t>reginaforever@163.com</t>
  </si>
  <si>
    <t>+86431683038</t>
  </si>
  <si>
    <t>H-1303</t>
  </si>
  <si>
    <t>13508006513</t>
  </si>
  <si>
    <t>H-0772</t>
  </si>
  <si>
    <t>H-602</t>
  </si>
  <si>
    <t>H-1117</t>
  </si>
  <si>
    <t>Gavina</t>
  </si>
  <si>
    <t>6281284010520</t>
  </si>
  <si>
    <t>H-1139</t>
  </si>
  <si>
    <t>Xiaopei</t>
  </si>
  <si>
    <t>H-1195</t>
  </si>
  <si>
    <t>Qi</t>
  </si>
  <si>
    <t xml:space="preserve">China
</t>
  </si>
  <si>
    <t>H-1238</t>
  </si>
  <si>
    <t>Qui ping</t>
  </si>
  <si>
    <t>6281381707068</t>
  </si>
  <si>
    <t>Cluster Cleveland, No. 8</t>
  </si>
  <si>
    <t>H-470</t>
  </si>
  <si>
    <t>H-601</t>
  </si>
  <si>
    <t>To</t>
  </si>
  <si>
    <t>86 13962231316</t>
  </si>
  <si>
    <t>H-1108</t>
  </si>
  <si>
    <t>H-1123</t>
  </si>
  <si>
    <t>yan/Erik</t>
  </si>
  <si>
    <t>H-0880</t>
  </si>
  <si>
    <t>XiaoXia</t>
  </si>
  <si>
    <t>H-0980</t>
  </si>
  <si>
    <t>Xiaoyan</t>
  </si>
  <si>
    <t>H-1269</t>
  </si>
  <si>
    <t>Bichan</t>
  </si>
  <si>
    <t>491350413@qq.com</t>
  </si>
  <si>
    <t>+8613923687566</t>
  </si>
  <si>
    <t>H-1264</t>
  </si>
  <si>
    <t>Huang,</t>
  </si>
  <si>
    <t>Bingyu</t>
  </si>
  <si>
    <t>619160387@qq.com</t>
  </si>
  <si>
    <t>+8613652367788</t>
  </si>
  <si>
    <t>Xinjiang</t>
  </si>
  <si>
    <t>H-1198</t>
  </si>
  <si>
    <t>Chuchu</t>
  </si>
  <si>
    <t>H-1300</t>
  </si>
  <si>
    <t>Liya</t>
  </si>
  <si>
    <t>18956336@qq.com</t>
  </si>
  <si>
    <t>8613564687811</t>
  </si>
  <si>
    <t>H-1250</t>
  </si>
  <si>
    <t>Luping</t>
  </si>
  <si>
    <t>770926389@qq.com</t>
  </si>
  <si>
    <t>13626719992</t>
  </si>
  <si>
    <t>H-1224</t>
  </si>
  <si>
    <t>Tongxia</t>
  </si>
  <si>
    <t>1115358071@qq.com</t>
  </si>
  <si>
    <t>8619846173307</t>
  </si>
  <si>
    <t>H-1220</t>
  </si>
  <si>
    <t>Xiaoxuan</t>
  </si>
  <si>
    <t>cgadonovan@gmail.com</t>
  </si>
  <si>
    <t>16007872264</t>
  </si>
  <si>
    <t>H-1257</t>
  </si>
  <si>
    <t>Yuan</t>
  </si>
  <si>
    <t>helenxiaoyuan@126.com</t>
  </si>
  <si>
    <t>8613817575231</t>
  </si>
  <si>
    <t>H-0930</t>
  </si>
  <si>
    <t>Huang,Liyan</t>
  </si>
  <si>
    <t>H-1090</t>
  </si>
  <si>
    <t>Hubert</t>
  </si>
  <si>
    <t>Tigris</t>
  </si>
  <si>
    <t>H-0691</t>
  </si>
  <si>
    <t>Al-Ajlah</t>
  </si>
  <si>
    <t>farah.alajlah08@hotmail.com</t>
  </si>
  <si>
    <t>Jl. Karang Asem V Blok C7 Kav</t>
  </si>
  <si>
    <t>H-0709</t>
  </si>
  <si>
    <t>Busbait</t>
  </si>
  <si>
    <t>+966554921021</t>
  </si>
  <si>
    <t>H-0681</t>
  </si>
  <si>
    <t>Hugeng</t>
  </si>
  <si>
    <t>Parhito</t>
  </si>
  <si>
    <t>H-1318</t>
  </si>
  <si>
    <t>Hui Chung</t>
  </si>
  <si>
    <t>cheyennecheungcy@gmail.com</t>
  </si>
  <si>
    <t>+85256371262</t>
  </si>
  <si>
    <t>H-1319</t>
  </si>
  <si>
    <t>1312905015@qq.com</t>
  </si>
  <si>
    <t>+8618351567455</t>
  </si>
  <si>
    <t>H-1255</t>
  </si>
  <si>
    <t>Cortes Cristobal</t>
  </si>
  <si>
    <t>Huidobro</t>
  </si>
  <si>
    <t>cristobal.ituidobro@andeslogistics.cl</t>
  </si>
  <si>
    <t>56998941433</t>
  </si>
  <si>
    <t>H-1301</t>
  </si>
  <si>
    <t>Huihui</t>
  </si>
  <si>
    <t>Ma</t>
  </si>
  <si>
    <t>H-1201</t>
  </si>
  <si>
    <t>Huliaiev</t>
  </si>
  <si>
    <t>Oleksandr</t>
  </si>
  <si>
    <t>H-1041</t>
  </si>
  <si>
    <t>Hullia</t>
  </si>
  <si>
    <t>H-1037</t>
  </si>
  <si>
    <t>Hulllia</t>
  </si>
  <si>
    <t>H-1065</t>
  </si>
  <si>
    <t>Humiras</t>
  </si>
  <si>
    <t>Element Apartment Tower Harmony Unit 26B</t>
  </si>
  <si>
    <t>H-1178</t>
  </si>
  <si>
    <t>Hun,</t>
  </si>
  <si>
    <t>Kimleng</t>
  </si>
  <si>
    <t>Cambodia</t>
  </si>
  <si>
    <t>H-1249</t>
  </si>
  <si>
    <t>Huo</t>
  </si>
  <si>
    <t>huojincheng@gmail.com</t>
  </si>
  <si>
    <t>651714499</t>
  </si>
  <si>
    <t>H-0652</t>
  </si>
  <si>
    <t>Hur</t>
  </si>
  <si>
    <t>Suong</t>
  </si>
  <si>
    <t>yehzxel@naver.com</t>
  </si>
  <si>
    <t>H-249</t>
  </si>
  <si>
    <t>Hurdatul</t>
  </si>
  <si>
    <t>Ainah</t>
  </si>
  <si>
    <t>H-1187</t>
  </si>
  <si>
    <t>Hurskyi</t>
  </si>
  <si>
    <t>H-319</t>
  </si>
  <si>
    <t>Husein</t>
  </si>
  <si>
    <t>H-290</t>
  </si>
  <si>
    <t>Husnawaty</t>
  </si>
  <si>
    <t>H-0981</t>
  </si>
  <si>
    <t>Husni</t>
  </si>
  <si>
    <t>Heron</t>
  </si>
  <si>
    <t>H-310</t>
  </si>
  <si>
    <t>Husrif</t>
  </si>
  <si>
    <t>Rahim</t>
  </si>
  <si>
    <t>H-1086</t>
  </si>
  <si>
    <t>Hussain</t>
  </si>
  <si>
    <t>Fida</t>
  </si>
  <si>
    <t>H-1235</t>
  </si>
  <si>
    <t>Hustian</t>
  </si>
  <si>
    <t>6281131116655</t>
  </si>
  <si>
    <t>H-1020</t>
  </si>
  <si>
    <t>Hutasoit</t>
  </si>
  <si>
    <t>H-0794</t>
  </si>
  <si>
    <t>Huv</t>
  </si>
  <si>
    <t>Soon</t>
  </si>
  <si>
    <t>H-527</t>
  </si>
  <si>
    <t>Huzni</t>
  </si>
  <si>
    <t>Jl. Pengadengan Barat No.25, RT12/7, Pancoran</t>
  </si>
  <si>
    <t>H-271</t>
  </si>
  <si>
    <t>Hwa</t>
  </si>
  <si>
    <t xml:space="preserve">Residence 8 Tower 3-30F
Jl. Senopati</t>
  </si>
  <si>
    <t>H-568</t>
  </si>
  <si>
    <t>Hwang</t>
  </si>
  <si>
    <t>H-305</t>
  </si>
  <si>
    <t>Ron</t>
  </si>
  <si>
    <t>Apt Casablanka II/15 OP</t>
  </si>
  <si>
    <t>H-1106</t>
  </si>
  <si>
    <t>Hye Rim</t>
  </si>
  <si>
    <t>ygreendress@gmail.com</t>
  </si>
  <si>
    <t>081294630920</t>
  </si>
  <si>
    <t>H-0962</t>
  </si>
  <si>
    <t>Hyewon</t>
  </si>
  <si>
    <t>62818355848</t>
  </si>
  <si>
    <t>Y-0449</t>
  </si>
  <si>
    <t>Hye Young</t>
  </si>
  <si>
    <t>6281222191919</t>
  </si>
  <si>
    <t>Jl.Senjaya 2 No.86 Jakarta Selatan</t>
  </si>
  <si>
    <t>H-0951</t>
  </si>
  <si>
    <t>Hyeeun</t>
  </si>
  <si>
    <t>H-0802</t>
  </si>
  <si>
    <t>Hylda</t>
  </si>
  <si>
    <t>Yasser</t>
  </si>
  <si>
    <t>hylda.nurvita@gmail.com</t>
  </si>
  <si>
    <t>Giriloka 3 Blok X/12A BSD Tangerang Selatan</t>
  </si>
  <si>
    <t>H-1184</t>
  </si>
  <si>
    <t>Hyori</t>
  </si>
  <si>
    <t>djshin@hankookn.com</t>
  </si>
  <si>
    <t>PAKUBUWONO A SO9C</t>
  </si>
  <si>
    <t>H-1036</t>
  </si>
  <si>
    <t>Hyum</t>
  </si>
  <si>
    <t>Apartemen Botania Tower 3.8B</t>
  </si>
  <si>
    <t>H-1311</t>
  </si>
  <si>
    <t>Hyun</t>
  </si>
  <si>
    <t>H-1161</t>
  </si>
  <si>
    <t>Yeob</t>
  </si>
  <si>
    <t>H-1225</t>
  </si>
  <si>
    <t>Hyung Suk</t>
  </si>
  <si>
    <t>+821036259259</t>
  </si>
  <si>
    <t>H-202</t>
  </si>
  <si>
    <t>Hyunsook</t>
  </si>
  <si>
    <t>Ohm</t>
  </si>
  <si>
    <t>Apt.Simprug Indah  #1202</t>
  </si>
  <si>
    <t>H-1193</t>
  </si>
  <si>
    <t>Hyunsuk</t>
  </si>
  <si>
    <t>KEMANG VILLAGE INTERCON  NO.16 N2 - JAKARTA SELATAN</t>
  </si>
  <si>
    <t>H-626</t>
  </si>
  <si>
    <t>HyunYoung</t>
  </si>
  <si>
    <t>Apt Emerald Jl Simatupang</t>
  </si>
  <si>
    <t>I-0856</t>
  </si>
  <si>
    <t>brandnewdyka3@yahoo.com</t>
  </si>
  <si>
    <t>I-0762</t>
  </si>
  <si>
    <t>Prasta</t>
  </si>
  <si>
    <t>I-0942</t>
  </si>
  <si>
    <t>I Gede</t>
  </si>
  <si>
    <t>gedesudarma58@gmail.com</t>
  </si>
  <si>
    <t>6285858253410</t>
  </si>
  <si>
    <t>I-0855</t>
  </si>
  <si>
    <t>BHR ID #00080</t>
  </si>
  <si>
    <t>I-0644</t>
  </si>
  <si>
    <t>I-0878</t>
  </si>
  <si>
    <t>Regawa</t>
  </si>
  <si>
    <t>aderegawe@gmail.com</t>
  </si>
  <si>
    <t>Jln.Raya Sesetan GG. Lumba-Lumba II no.11</t>
  </si>
  <si>
    <t>I-0941</t>
  </si>
  <si>
    <t>I Made</t>
  </si>
  <si>
    <t>Sukarsana</t>
  </si>
  <si>
    <t>6285858218470</t>
  </si>
  <si>
    <t>I-0822</t>
  </si>
  <si>
    <t>Surata</t>
  </si>
  <si>
    <t>ubud</t>
  </si>
  <si>
    <t>I-0927</t>
  </si>
  <si>
    <t>Tirthayatra</t>
  </si>
  <si>
    <t>made_tirtthayatra@hotmail.com</t>
  </si>
  <si>
    <t>628121005295</t>
  </si>
  <si>
    <t>I-0789</t>
  </si>
  <si>
    <t>Wirasuadi</t>
  </si>
  <si>
    <t>Y-0869</t>
  </si>
  <si>
    <t>Satriawan</t>
  </si>
  <si>
    <t>yogasatriawan26@gmail.com</t>
  </si>
  <si>
    <t>Jalan Gunung Agung Gang IID No.9</t>
  </si>
  <si>
    <t>I-305</t>
  </si>
  <si>
    <t>Dhasmiartha</t>
  </si>
  <si>
    <t>N_Dhasmiartha@yahoo.com</t>
  </si>
  <si>
    <t>Jl. Kembang Matahari no 9</t>
  </si>
  <si>
    <t>I-0940</t>
  </si>
  <si>
    <t>I Nyoman</t>
  </si>
  <si>
    <t>6281238920956</t>
  </si>
  <si>
    <t>I-0791</t>
  </si>
  <si>
    <t>Yana</t>
  </si>
  <si>
    <t>Pecatu, uluwatu, Bali</t>
  </si>
  <si>
    <t>I-0868</t>
  </si>
  <si>
    <t>Raka Alit Santa</t>
  </si>
  <si>
    <t>628123912049</t>
  </si>
  <si>
    <t>I-0603</t>
  </si>
  <si>
    <t>Sarat</t>
  </si>
  <si>
    <t>I-317</t>
  </si>
  <si>
    <t>Sudhana</t>
  </si>
  <si>
    <t>I-0726</t>
  </si>
  <si>
    <t>Purnawan</t>
  </si>
  <si>
    <t>I-0799</t>
  </si>
  <si>
    <t>Suryantha</t>
  </si>
  <si>
    <t xml:space="preserve">Bali - Indonesia
ID 00342</t>
  </si>
  <si>
    <t>I-0632</t>
  </si>
  <si>
    <t>I-0734</t>
  </si>
  <si>
    <t>repen</t>
  </si>
  <si>
    <t>I-281</t>
  </si>
  <si>
    <t>Sumarsa</t>
  </si>
  <si>
    <t>I-0892</t>
  </si>
  <si>
    <t>I.G.A.</t>
  </si>
  <si>
    <t>Yudha</t>
  </si>
  <si>
    <t>inda@junglegoldbali.com</t>
  </si>
  <si>
    <t>Jl. Kenyeri, Denpasar</t>
  </si>
  <si>
    <t>I-0853</t>
  </si>
  <si>
    <t>Iakimov</t>
  </si>
  <si>
    <t>I-0907</t>
  </si>
  <si>
    <t>Iakolev</t>
  </si>
  <si>
    <t>delencord@gmail.com</t>
  </si>
  <si>
    <t>6281238033431</t>
  </si>
  <si>
    <t>I-0655</t>
  </si>
  <si>
    <t>Iam</t>
  </si>
  <si>
    <t>I-439</t>
  </si>
  <si>
    <t>Ian</t>
  </si>
  <si>
    <t>I-0771</t>
  </si>
  <si>
    <t>Limansyah</t>
  </si>
  <si>
    <t>Jalan Terusan Babakan Jeruk IV no 28</t>
  </si>
  <si>
    <t>I-0590</t>
  </si>
  <si>
    <t>Basnan</t>
  </si>
  <si>
    <t>I-201</t>
  </si>
  <si>
    <t>I-449</t>
  </si>
  <si>
    <t>I-0905</t>
  </si>
  <si>
    <t>62881082185638</t>
  </si>
  <si>
    <t>I-0859</t>
  </si>
  <si>
    <t>ilhampapua95@gmail.com</t>
  </si>
  <si>
    <t>+6281380898389</t>
  </si>
  <si>
    <t>I-0706</t>
  </si>
  <si>
    <t>I-242</t>
  </si>
  <si>
    <t>Perdanakusuma</t>
  </si>
  <si>
    <t>I-0899</t>
  </si>
  <si>
    <t>6285718888603</t>
  </si>
  <si>
    <t>I-0888</t>
  </si>
  <si>
    <t>Ias</t>
  </si>
  <si>
    <t>62818841958</t>
  </si>
  <si>
    <t>I-267</t>
  </si>
  <si>
    <t>I-0523</t>
  </si>
  <si>
    <t>Ibnu</t>
  </si>
  <si>
    <t xml:space="preserve">Jl Hasanudin No. 60 B 
Cakranegara</t>
  </si>
  <si>
    <t>I-0876</t>
  </si>
  <si>
    <t>Hastomo</t>
  </si>
  <si>
    <t>+6285274772424</t>
  </si>
  <si>
    <t>I-0877</t>
  </si>
  <si>
    <t>Jatmico</t>
  </si>
  <si>
    <t>mikomeee@gmail.com</t>
  </si>
  <si>
    <t>6281290909088</t>
  </si>
  <si>
    <t>I-0869</t>
  </si>
  <si>
    <t>+6285213013025</t>
  </si>
  <si>
    <t>I-0790</t>
  </si>
  <si>
    <t>Kaluku</t>
  </si>
  <si>
    <t>628129504493</t>
  </si>
  <si>
    <t>I-0929</t>
  </si>
  <si>
    <t>Mustofa</t>
  </si>
  <si>
    <t>6281221481323</t>
  </si>
  <si>
    <t>I-0871</t>
  </si>
  <si>
    <t>Ibragimova Dilafruz</t>
  </si>
  <si>
    <t>Bakhodir Kizi</t>
  </si>
  <si>
    <t>ibragimova_dilya@mail.ru</t>
  </si>
  <si>
    <t>998999795555</t>
  </si>
  <si>
    <t>Uzbekistan</t>
  </si>
  <si>
    <t>uzbekistan</t>
  </si>
  <si>
    <t>I-0913</t>
  </si>
  <si>
    <t>Ibragimova</t>
  </si>
  <si>
    <t>ibragimova.veronika.2011@mail.ru</t>
  </si>
  <si>
    <t>I-0863</t>
  </si>
  <si>
    <t>Alsuliti</t>
  </si>
  <si>
    <t>+97430007767</t>
  </si>
  <si>
    <t>A-2188</t>
  </si>
  <si>
    <t>62816788094</t>
  </si>
  <si>
    <t>I-0788</t>
  </si>
  <si>
    <t>Rawas</t>
  </si>
  <si>
    <t>I-0805</t>
  </si>
  <si>
    <t>ibrhmrsyd@yahoo.com</t>
  </si>
  <si>
    <t>6281312112652</t>
  </si>
  <si>
    <t>Djaja Kusumah Residence</t>
  </si>
  <si>
    <t>I-0675</t>
  </si>
  <si>
    <t>Ibu</t>
  </si>
  <si>
    <t>Siti</t>
  </si>
  <si>
    <t>I-0686</t>
  </si>
  <si>
    <t>Icha</t>
  </si>
  <si>
    <t>I-262</t>
  </si>
  <si>
    <t>I-452</t>
  </si>
  <si>
    <t>I-306</t>
  </si>
  <si>
    <t>I-0492</t>
  </si>
  <si>
    <t>I-0702</t>
  </si>
  <si>
    <t>Andina</t>
  </si>
  <si>
    <t>ichaa.andina@gmail.com</t>
  </si>
  <si>
    <t>6285269317707</t>
  </si>
  <si>
    <t>Jln.Poltangan raya No.37</t>
  </si>
  <si>
    <t>I-0939</t>
  </si>
  <si>
    <t>Ichtiar</t>
  </si>
  <si>
    <t>icha_adnan2000@yahoo.com</t>
  </si>
  <si>
    <t>0811982639</t>
  </si>
  <si>
    <t>I-249</t>
  </si>
  <si>
    <t>I-0628</t>
  </si>
  <si>
    <t>Triboesono</t>
  </si>
  <si>
    <t>I-224</t>
  </si>
  <si>
    <t>I-0555</t>
  </si>
  <si>
    <t>putra</t>
  </si>
  <si>
    <t>I-0731</t>
  </si>
  <si>
    <t>Ichwan</t>
  </si>
  <si>
    <t>I-004</t>
  </si>
  <si>
    <t>Ramlan</t>
  </si>
  <si>
    <t>I-005</t>
  </si>
  <si>
    <t>Sawiri</t>
  </si>
  <si>
    <t xml:space="preserve">Gunung Himalaya No.88
Lippo Karawaci
Tangerang</t>
  </si>
  <si>
    <t>I-0950</t>
  </si>
  <si>
    <t>Icsan</t>
  </si>
  <si>
    <t>628114401971</t>
  </si>
  <si>
    <t>I-380</t>
  </si>
  <si>
    <t>Icuk</t>
  </si>
  <si>
    <t>I-0616</t>
  </si>
  <si>
    <t>Icup</t>
  </si>
  <si>
    <t>I-298</t>
  </si>
  <si>
    <t>Ida</t>
  </si>
  <si>
    <t>I-0463</t>
  </si>
  <si>
    <t>I-0577</t>
  </si>
  <si>
    <t>Putu</t>
  </si>
  <si>
    <t>I-367</t>
  </si>
  <si>
    <t>Suarti</t>
  </si>
  <si>
    <t xml:space="preserve">Perum. Bumi Jatiwaringin Blok G7
Pondok Gede</t>
  </si>
  <si>
    <t>M-1304</t>
  </si>
  <si>
    <t>Trisnamurti</t>
  </si>
  <si>
    <t>I-0849</t>
  </si>
  <si>
    <t>Widiyastuti</t>
  </si>
  <si>
    <t>Singakerta Tengah BALI</t>
  </si>
  <si>
    <t>I-344</t>
  </si>
  <si>
    <t>I-397</t>
  </si>
  <si>
    <t>Dahniar</t>
  </si>
  <si>
    <t>otatombe@yahoo.com</t>
  </si>
  <si>
    <t>I-0525</t>
  </si>
  <si>
    <t>Djowarsa</t>
  </si>
  <si>
    <t>Jl Palu Baru V/15</t>
  </si>
  <si>
    <t>I-0622</t>
  </si>
  <si>
    <t>Djubaedah</t>
  </si>
  <si>
    <t xml:space="preserve">Jl.Panglima Polim X1V no.11
Kebayoran baru
Jakarta selatan</t>
  </si>
  <si>
    <t>I-336</t>
  </si>
  <si>
    <t>I-0951</t>
  </si>
  <si>
    <t>Ida Mariana</t>
  </si>
  <si>
    <t>idm_chuii@yahoo.com</t>
  </si>
  <si>
    <t>6287780571387</t>
  </si>
  <si>
    <t xml:space="preserve">Danau Indah Barat I Blok E2/16
Jakarta Utara</t>
  </si>
  <si>
    <t>I-186</t>
  </si>
  <si>
    <t>Nurhaida</t>
  </si>
  <si>
    <t>I-171</t>
  </si>
  <si>
    <t>Nurini</t>
  </si>
  <si>
    <t>I-0570</t>
  </si>
  <si>
    <t>Peranginangin</t>
  </si>
  <si>
    <t>idaangin@gmail.com</t>
  </si>
  <si>
    <t xml:space="preserve">home : Komp Permata Mediterania
 Jl. PMR No 30
 Pos Pengumben, jakarta
Kantor :Bank Indonesia Gd. B lantai 17 ( Masuk dr Budi Kemuliaan )</t>
  </si>
  <si>
    <t>I-309</t>
  </si>
  <si>
    <t>Ponto</t>
  </si>
  <si>
    <t>I-0546</t>
  </si>
  <si>
    <t>Karawaci</t>
  </si>
  <si>
    <t>I-399</t>
  </si>
  <si>
    <t>Sumarsih</t>
  </si>
  <si>
    <t>imeldatranson@gmail.com</t>
  </si>
  <si>
    <t>Apartement Taman Anggrek tower 2 Lantai.307</t>
  </si>
  <si>
    <t>I-009</t>
  </si>
  <si>
    <t>Rajab</t>
  </si>
  <si>
    <t>Jl. Gayung Sari Timur No. 12</t>
  </si>
  <si>
    <t>I-148</t>
  </si>
  <si>
    <t>Wachyuni</t>
  </si>
  <si>
    <t>62811994369</t>
  </si>
  <si>
    <t xml:space="preserve">Jl. Kol Syariuddin yoes 75
Sepingan RT 98
Balikpapan 76115</t>
  </si>
  <si>
    <t>I-0761</t>
  </si>
  <si>
    <t>Pandan</t>
  </si>
  <si>
    <t>6281319849722</t>
  </si>
  <si>
    <t>I-236</t>
  </si>
  <si>
    <t>Idayat</t>
  </si>
  <si>
    <t>I-0663</t>
  </si>
  <si>
    <t>Idelia</t>
  </si>
  <si>
    <t>Young</t>
  </si>
  <si>
    <t>089687989796</t>
  </si>
  <si>
    <t>Landmark Residence</t>
  </si>
  <si>
    <t>I-188</t>
  </si>
  <si>
    <t>Idrus</t>
  </si>
  <si>
    <t>I-013</t>
  </si>
  <si>
    <t>Marham</t>
  </si>
  <si>
    <t>I-0619</t>
  </si>
  <si>
    <t>I-0690</t>
  </si>
  <si>
    <t>Ngih</t>
  </si>
  <si>
    <t>I-015</t>
  </si>
  <si>
    <t>Ielve</t>
  </si>
  <si>
    <t>JL. Amil No. 36 RT/RW 03/04 Pejaten Barat</t>
  </si>
  <si>
    <t>I-398</t>
  </si>
  <si>
    <t>Ietje</t>
  </si>
  <si>
    <t>harry.supangkat@yahoo.com</t>
  </si>
  <si>
    <t xml:space="preserve">Komplek DEP.KEU No.3
Kembangan, Jakarta Barat</t>
  </si>
  <si>
    <t>I-387</t>
  </si>
  <si>
    <t>Ifan</t>
  </si>
  <si>
    <t>Pradana</t>
  </si>
  <si>
    <t>Ifanpradana@icloud.com</t>
  </si>
  <si>
    <t>I-0722</t>
  </si>
  <si>
    <t>Ign</t>
  </si>
  <si>
    <t>Narendra</t>
  </si>
  <si>
    <t>BATAM</t>
  </si>
  <si>
    <t>I-237</t>
  </si>
  <si>
    <t>Ignatius</t>
  </si>
  <si>
    <t>Jonan</t>
  </si>
  <si>
    <t>Jl. Brawijaya 3 No.87 Jakarta Selatan</t>
  </si>
  <si>
    <t>I-0787</t>
  </si>
  <si>
    <t>Turnianto</t>
  </si>
  <si>
    <t>pondok aren</t>
  </si>
  <si>
    <t>I-0807</t>
  </si>
  <si>
    <t>I-0820</t>
  </si>
  <si>
    <t>Lusjahari</t>
  </si>
  <si>
    <t>I-0851</t>
  </si>
  <si>
    <t>Andreev</t>
  </si>
  <si>
    <t>I-0752</t>
  </si>
  <si>
    <t>Ihar</t>
  </si>
  <si>
    <t>Kucharavenka</t>
  </si>
  <si>
    <t>Ubud</t>
  </si>
  <si>
    <t>I-0954</t>
  </si>
  <si>
    <t>Ihat</t>
  </si>
  <si>
    <t>Solihat</t>
  </si>
  <si>
    <t>087889974908</t>
  </si>
  <si>
    <t>I-0909</t>
  </si>
  <si>
    <t>Ihda</t>
  </si>
  <si>
    <t>Wardati</t>
  </si>
  <si>
    <t>6282335577783</t>
  </si>
  <si>
    <t xml:space="preserve">Jalan Gunung Sari 
Banjarmasin</t>
  </si>
  <si>
    <t>I-0749</t>
  </si>
  <si>
    <t>Ihsan</t>
  </si>
  <si>
    <t>Wafi</t>
  </si>
  <si>
    <t xml:space="preserve">Jalan Tebet Dalam 2E/5
Jakarta Selatan</t>
  </si>
  <si>
    <t>I-0834</t>
  </si>
  <si>
    <t>Iie</t>
  </si>
  <si>
    <t>I-0949</t>
  </si>
  <si>
    <t>Iik</t>
  </si>
  <si>
    <t>Nr</t>
  </si>
  <si>
    <t>6281211111771</t>
  </si>
  <si>
    <t>I-0810</t>
  </si>
  <si>
    <t>Iin</t>
  </si>
  <si>
    <t>Ezarly</t>
  </si>
  <si>
    <t xml:space="preserve">JL NUANSA UDAYANA NO.4 JIMBARANG
BADUNG,KUTA SELATAN - BALI 80361</t>
  </si>
  <si>
    <t>I-145</t>
  </si>
  <si>
    <t>Pulunggono</t>
  </si>
  <si>
    <t>I-196</t>
  </si>
  <si>
    <t>Parlina</t>
  </si>
  <si>
    <t xml:space="preserve">Jl. Intan No.8 
Cilandak</t>
  </si>
  <si>
    <t>I-282</t>
  </si>
  <si>
    <t>Iing</t>
  </si>
  <si>
    <t>I-0794</t>
  </si>
  <si>
    <t>Iis</t>
  </si>
  <si>
    <t>I-0576</t>
  </si>
  <si>
    <t>I-0782</t>
  </si>
  <si>
    <t>Fandayani</t>
  </si>
  <si>
    <t>I-384</t>
  </si>
  <si>
    <t>Mustikawati</t>
  </si>
  <si>
    <t>Jl. Cendana 41</t>
  </si>
  <si>
    <t>I-0637</t>
  </si>
  <si>
    <t>Ika Rizky</t>
  </si>
  <si>
    <t>Chandrasari</t>
  </si>
  <si>
    <t>628114804389</t>
  </si>
  <si>
    <t xml:space="preserve">The Masterpiece 1# 29 3B (The Groove Suke)
Komplek Kuningan Epicentrum
Jakarta - Selatan 19240</t>
  </si>
  <si>
    <t>I-0759</t>
  </si>
  <si>
    <t>Sahli</t>
  </si>
  <si>
    <t>ikasahli21@gmail.com</t>
  </si>
  <si>
    <t>SUTERA DANAU BIRU NO.27</t>
  </si>
  <si>
    <t>I-0764</t>
  </si>
  <si>
    <t>I-254</t>
  </si>
  <si>
    <t>Tarlina</t>
  </si>
  <si>
    <t>I-0509</t>
  </si>
  <si>
    <t>Tentri</t>
  </si>
  <si>
    <t>ptmetatama_ap@yahoo.com</t>
  </si>
  <si>
    <t>jl. pelangi biru 1 blok A3/52, klapa gading</t>
  </si>
  <si>
    <t>I-0526</t>
  </si>
  <si>
    <t>Yuni</t>
  </si>
  <si>
    <t>I-0495</t>
  </si>
  <si>
    <t>Ikari</t>
  </si>
  <si>
    <t>Keiko</t>
  </si>
  <si>
    <t>I-0776</t>
  </si>
  <si>
    <t>Ike</t>
  </si>
  <si>
    <t>I-0535</t>
  </si>
  <si>
    <t>Ratna Indira Nirwan</t>
  </si>
  <si>
    <t>+62816887757</t>
  </si>
  <si>
    <t>Jalan Hang Lekir 2 No. 16, Kebayoran Baru</t>
  </si>
  <si>
    <t>I-0921</t>
  </si>
  <si>
    <t>vincentku07@gmail.com</t>
  </si>
  <si>
    <t>I-0918</t>
  </si>
  <si>
    <t>Salsiah</t>
  </si>
  <si>
    <t>fitri14783@gmail.com</t>
  </si>
  <si>
    <t>628127008644</t>
  </si>
  <si>
    <t>I-338</t>
  </si>
  <si>
    <t>Jl. Graha Family Blok G no.17</t>
  </si>
  <si>
    <t>Surabya</t>
  </si>
  <si>
    <t>I-192</t>
  </si>
  <si>
    <t>Sulisto</t>
  </si>
  <si>
    <t>I-020</t>
  </si>
  <si>
    <t>Sutowo</t>
  </si>
  <si>
    <t>62818181221</t>
  </si>
  <si>
    <t>Jl. Kamboja Menteng, Jakarta Pusat</t>
  </si>
  <si>
    <t>I-383</t>
  </si>
  <si>
    <t>Ikhsan</t>
  </si>
  <si>
    <t>Perum Blossom Resident Blok A No 11</t>
  </si>
  <si>
    <t>I-0615</t>
  </si>
  <si>
    <t>Ferdianto</t>
  </si>
  <si>
    <t>I-0756</t>
  </si>
  <si>
    <t>Ikhwan</t>
  </si>
  <si>
    <t>Aktuariadi</t>
  </si>
  <si>
    <t>I-0891</t>
  </si>
  <si>
    <t>Fajeri</t>
  </si>
  <si>
    <t>fajerikonsultan@gmail.com</t>
  </si>
  <si>
    <t>6285348276835</t>
  </si>
  <si>
    <t>Palangkaraya</t>
  </si>
  <si>
    <t>I-304</t>
  </si>
  <si>
    <t>Ikke</t>
  </si>
  <si>
    <t>Sumantri</t>
  </si>
  <si>
    <t>I-0481</t>
  </si>
  <si>
    <t>Iko</t>
  </si>
  <si>
    <t>I-191</t>
  </si>
  <si>
    <t>Suryanti</t>
  </si>
  <si>
    <t>I-0792</t>
  </si>
  <si>
    <t>Ikram</t>
  </si>
  <si>
    <t>I-273</t>
  </si>
  <si>
    <t>dakhi</t>
  </si>
  <si>
    <t>I-0591</t>
  </si>
  <si>
    <t>I-158</t>
  </si>
  <si>
    <t>Ilana</t>
  </si>
  <si>
    <t>I-141</t>
  </si>
  <si>
    <t>I-0514</t>
  </si>
  <si>
    <t>I-0897</t>
  </si>
  <si>
    <t>Akbat</t>
  </si>
  <si>
    <t>Kemasilham@gmail..com</t>
  </si>
  <si>
    <t>+6287885450777</t>
  </si>
  <si>
    <t>I-0845</t>
  </si>
  <si>
    <t>CINERE</t>
  </si>
  <si>
    <t>I-0587</t>
  </si>
  <si>
    <t>Farizal</t>
  </si>
  <si>
    <t>+628129464715</t>
  </si>
  <si>
    <t>I-218</t>
  </si>
  <si>
    <t>Mohamad</t>
  </si>
  <si>
    <t>I-382</t>
  </si>
  <si>
    <t>ilhamws@gmail.com</t>
  </si>
  <si>
    <t>I-0697</t>
  </si>
  <si>
    <t>Zikri</t>
  </si>
  <si>
    <t>ilham.isaac@gmail.com</t>
  </si>
  <si>
    <t>jl. Amil II kav. 4 Jakarta Selatan 12510</t>
  </si>
  <si>
    <t>I-0817</t>
  </si>
  <si>
    <t>Iliev</t>
  </si>
  <si>
    <t>Iliyanov</t>
  </si>
  <si>
    <t>I-0908</t>
  </si>
  <si>
    <t>Ilker Meher</t>
  </si>
  <si>
    <t>Ergullu</t>
  </si>
  <si>
    <t>ilker@endo.com.tr</t>
  </si>
  <si>
    <t>905327948494</t>
  </si>
  <si>
    <t>I-0803</t>
  </si>
  <si>
    <t>Ilma</t>
  </si>
  <si>
    <t>Nurziana</t>
  </si>
  <si>
    <t>I-0691</t>
  </si>
  <si>
    <t>Ilmira</t>
  </si>
  <si>
    <t>Sadykova</t>
  </si>
  <si>
    <t>+79127425242</t>
  </si>
  <si>
    <t>I-0524</t>
  </si>
  <si>
    <t>Ilo</t>
  </si>
  <si>
    <t>I-0720</t>
  </si>
  <si>
    <t>Ilona</t>
  </si>
  <si>
    <t>Silves</t>
  </si>
  <si>
    <t>I-0629</t>
  </si>
  <si>
    <t>Ilva</t>
  </si>
  <si>
    <t>I-0881</t>
  </si>
  <si>
    <t>Ilya</t>
  </si>
  <si>
    <t>Kosyanenko</t>
  </si>
  <si>
    <t>375296227440</t>
  </si>
  <si>
    <t>I-379</t>
  </si>
  <si>
    <t>Ima</t>
  </si>
  <si>
    <t>Ima_876@yahoo.com</t>
  </si>
  <si>
    <t>Denpasar, BALI</t>
  </si>
  <si>
    <t>I-026</t>
  </si>
  <si>
    <t>Imam</t>
  </si>
  <si>
    <t>Kamal</t>
  </si>
  <si>
    <t xml:space="preserve">Jl.Musola No. 3
Kemang</t>
  </si>
  <si>
    <t>I-0786</t>
  </si>
  <si>
    <t>I-0515</t>
  </si>
  <si>
    <t>Sukarno</t>
  </si>
  <si>
    <t>Jagakarsa Residence B3/11 Jakarta</t>
  </si>
  <si>
    <t>I-0510</t>
  </si>
  <si>
    <t>I-0753</t>
  </si>
  <si>
    <t>Prasodjo</t>
  </si>
  <si>
    <t>I-319</t>
  </si>
  <si>
    <t>I-0610</t>
  </si>
  <si>
    <t>I-200</t>
  </si>
  <si>
    <t>Iman</t>
  </si>
  <si>
    <t>I-0640</t>
  </si>
  <si>
    <t>I-0705</t>
  </si>
  <si>
    <t>Sulthantio</t>
  </si>
  <si>
    <t>I-206</t>
  </si>
  <si>
    <t>Faturachman</t>
  </si>
  <si>
    <t>I-410</t>
  </si>
  <si>
    <t>hutabarat</t>
  </si>
  <si>
    <t>I-0760</t>
  </si>
  <si>
    <t>Ranindito</t>
  </si>
  <si>
    <t>I-028</t>
  </si>
  <si>
    <t>JL. Sailendra Timur 8 No.3 Bandung</t>
  </si>
  <si>
    <t>I-0821</t>
  </si>
  <si>
    <t>Imas</t>
  </si>
  <si>
    <t xml:space="preserve">Jl.Raya Tengah No.28 
Jakarta Timur
</t>
  </si>
  <si>
    <t>I-0531</t>
  </si>
  <si>
    <t>Imelda</t>
  </si>
  <si>
    <t>M-0810</t>
  </si>
  <si>
    <t>H-464</t>
  </si>
  <si>
    <t>I-0563</t>
  </si>
  <si>
    <t>I-0866</t>
  </si>
  <si>
    <t>Adhisaputra</t>
  </si>
  <si>
    <t>adhi.imelda@gmail.com</t>
  </si>
  <si>
    <t>+62816258181</t>
  </si>
  <si>
    <t>The Elements Apartment, Serenity Tower (Tower 1) Unit 26A, Jl. Epicentrum Tengah, Karet Kuningan, Jakarta Selatan 12960</t>
  </si>
  <si>
    <t>I-0614</t>
  </si>
  <si>
    <t>Datau</t>
  </si>
  <si>
    <t>I-446</t>
  </si>
  <si>
    <t>I-0743</t>
  </si>
  <si>
    <t>Gondosiswanto</t>
  </si>
  <si>
    <t>imeldagondosiswanto@gmail.com</t>
  </si>
  <si>
    <t xml:space="preserve">Jl. Bintang Graha Famili IIA
Graha Famili Blok O No.10</t>
  </si>
  <si>
    <t>I-0567</t>
  </si>
  <si>
    <t>Hartojo</t>
  </si>
  <si>
    <t xml:space="preserve">Sunter Mediterania D/11 
Jakarta Utara</t>
  </si>
  <si>
    <t>I-0947</t>
  </si>
  <si>
    <t>imeldakwan@gmail.com</t>
  </si>
  <si>
    <t>6281318766952</t>
  </si>
  <si>
    <t>Puri Botanical Residence H2/15</t>
  </si>
  <si>
    <t>I-0796</t>
  </si>
  <si>
    <t>Manua</t>
  </si>
  <si>
    <t>I-165</t>
  </si>
  <si>
    <t>Apt. Thamrin Residence Tw.E/33 EK</t>
  </si>
  <si>
    <t>I-031</t>
  </si>
  <si>
    <t>I-032</t>
  </si>
  <si>
    <t>I-209</t>
  </si>
  <si>
    <t>I-034</t>
  </si>
  <si>
    <t>Yusmini</t>
  </si>
  <si>
    <t>Jl. H. Harun VI No. 60</t>
  </si>
  <si>
    <t>RT. 03 /10, Pondok Gede</t>
  </si>
  <si>
    <t>I-0801</t>
  </si>
  <si>
    <t>Imey</t>
  </si>
  <si>
    <t>I-0824</t>
  </si>
  <si>
    <t>Imimi</t>
  </si>
  <si>
    <t>wei.mimi@yahoo.co.id</t>
  </si>
  <si>
    <t>Taman Grisenda Blok A3 no 14 Jakarta</t>
  </si>
  <si>
    <t>I-0541</t>
  </si>
  <si>
    <t>Immanuel</t>
  </si>
  <si>
    <t>I-0681</t>
  </si>
  <si>
    <t>Sihombing</t>
  </si>
  <si>
    <t>I-285</t>
  </si>
  <si>
    <t>I-0708</t>
  </si>
  <si>
    <t>I-0911</t>
  </si>
  <si>
    <t>Immy</t>
  </si>
  <si>
    <t>Senjaya</t>
  </si>
  <si>
    <t>+628161906527</t>
  </si>
  <si>
    <t>I-150</t>
  </si>
  <si>
    <t>Imom</t>
  </si>
  <si>
    <t>w</t>
  </si>
  <si>
    <t>Jl. Pluit Selatan III No. 14 Jaakarta Utara</t>
  </si>
  <si>
    <t>I-0775</t>
  </si>
  <si>
    <t>Imron</t>
  </si>
  <si>
    <t>I-252</t>
  </si>
  <si>
    <t>In</t>
  </si>
  <si>
    <t xml:space="preserve">Residence pakubuwono B 11 E
Jl.Pakubuwono VI No.68
Kebayoran baru</t>
  </si>
  <si>
    <t>I-0719</t>
  </si>
  <si>
    <t>I-241</t>
  </si>
  <si>
    <t>I-408</t>
  </si>
  <si>
    <t>I-0547</t>
  </si>
  <si>
    <t>Jl.Ahmad Yani Km 7 Komplek Citra Garden Blok D4 No.10</t>
  </si>
  <si>
    <t>I-349</t>
  </si>
  <si>
    <t>Darmosusilo</t>
  </si>
  <si>
    <t>I-222</t>
  </si>
  <si>
    <t>Hascaryo</t>
  </si>
  <si>
    <t>I-286</t>
  </si>
  <si>
    <t>Junita</t>
  </si>
  <si>
    <t>I-170</t>
  </si>
  <si>
    <t>Lang</t>
  </si>
  <si>
    <t xml:space="preserve">Jl. Duta Indah 2 No. 21
Pondok Indah</t>
  </si>
  <si>
    <t>I-247</t>
  </si>
  <si>
    <t>Mariani</t>
  </si>
  <si>
    <t>I-0465</t>
  </si>
  <si>
    <t>Mayasari</t>
  </si>
  <si>
    <t>inamayasari@yahoo.com</t>
  </si>
  <si>
    <t>Jl.Tiong 8 Karet Kuningan</t>
  </si>
  <si>
    <t>I-0935</t>
  </si>
  <si>
    <t>Sesotyawati</t>
  </si>
  <si>
    <t>ina.sesotya@gmail.com</t>
  </si>
  <si>
    <t>6287781628233</t>
  </si>
  <si>
    <t>I-373</t>
  </si>
  <si>
    <t xml:space="preserve">Komplek TNI Triloka Pancoran
JL Pancoran Barat IX G No 5</t>
  </si>
  <si>
    <t>I-0779</t>
  </si>
  <si>
    <t>Sukardjo</t>
  </si>
  <si>
    <t>I-0933</t>
  </si>
  <si>
    <t>Inag Huseyin</t>
  </si>
  <si>
    <t>Baris</t>
  </si>
  <si>
    <t>barisinag@gmail.com</t>
  </si>
  <si>
    <t>905359463058</t>
  </si>
  <si>
    <t>I-041</t>
  </si>
  <si>
    <t>Inar</t>
  </si>
  <si>
    <t>Jl. Teluk Betung 13</t>
  </si>
  <si>
    <t>I-221</t>
  </si>
  <si>
    <t>Inarto</t>
  </si>
  <si>
    <t>I-434</t>
  </si>
  <si>
    <t>Inas</t>
  </si>
  <si>
    <t>Wafiya</t>
  </si>
  <si>
    <t>inaswh@gmail.com</t>
  </si>
  <si>
    <t xml:space="preserve">JL Tebet Dalam 2E/5 
Jakarta Selatan</t>
  </si>
  <si>
    <t>I-042</t>
  </si>
  <si>
    <t>Inatomi</t>
  </si>
  <si>
    <t>Hirokazu</t>
  </si>
  <si>
    <t>(81)09031349714</t>
  </si>
  <si>
    <t>I-0608</t>
  </si>
  <si>
    <t>Inawaty</t>
  </si>
  <si>
    <t>Taman Aries E21/3 11620</t>
  </si>
  <si>
    <t>I-0912</t>
  </si>
  <si>
    <t>Inay</t>
  </si>
  <si>
    <t>Inay@gmail.com</t>
  </si>
  <si>
    <t>6281315396725</t>
  </si>
  <si>
    <t>I-0945</t>
  </si>
  <si>
    <t>Inayanti</t>
  </si>
  <si>
    <t>hocas97@gmail.com</t>
  </si>
  <si>
    <t>62816732129</t>
  </si>
  <si>
    <t>I-0795</t>
  </si>
  <si>
    <t>Inayatus</t>
  </si>
  <si>
    <t>Sholikhah</t>
  </si>
  <si>
    <t xml:space="preserve">Jl Manuhua Raya No 23
Halim
Jakarta Timur.</t>
  </si>
  <si>
    <t>I-0768</t>
  </si>
  <si>
    <t>I-326</t>
  </si>
  <si>
    <t>I-0499</t>
  </si>
  <si>
    <t>I-312</t>
  </si>
  <si>
    <t>I-395</t>
  </si>
  <si>
    <t>I-0466</t>
  </si>
  <si>
    <t>indah_zhorrg@yahoo.com</t>
  </si>
  <si>
    <t>+628116722122</t>
  </si>
  <si>
    <t>PIK, Jln Camar Indah 4 no 27</t>
  </si>
  <si>
    <t>I-149</t>
  </si>
  <si>
    <t>Jonasson</t>
  </si>
  <si>
    <t>I-0896</t>
  </si>
  <si>
    <t>6282113199922</t>
  </si>
  <si>
    <t>I-0934</t>
  </si>
  <si>
    <t>Adhit</t>
  </si>
  <si>
    <t>I-0922</t>
  </si>
  <si>
    <t>I-0557</t>
  </si>
  <si>
    <t>6281370237083</t>
  </si>
  <si>
    <t>Jl. SEI. MUARAN0.10/11</t>
  </si>
  <si>
    <t>MEDAN</t>
  </si>
  <si>
    <t>I-343</t>
  </si>
  <si>
    <t>Destriana</t>
  </si>
  <si>
    <t>ndaa_fam@yahoo.com</t>
  </si>
  <si>
    <t xml:space="preserve">Jl. Pancoran Raya
I'Avenue Apaetment</t>
  </si>
  <si>
    <t>I-0867</t>
  </si>
  <si>
    <t>il7dah@gmail.com</t>
  </si>
  <si>
    <t>+62816782217</t>
  </si>
  <si>
    <t>Casamila 18K Jakarta Selatan</t>
  </si>
  <si>
    <t>I-0470</t>
  </si>
  <si>
    <t>Hartantiningrum</t>
  </si>
  <si>
    <t>indahdiva@yahoo.com</t>
  </si>
  <si>
    <t>Jalan pasirjaya 5 no.6 Bandung</t>
  </si>
  <si>
    <t>I-0830</t>
  </si>
  <si>
    <t>Jl.Tebet Timur Dalam IIB No.11</t>
  </si>
  <si>
    <t>I-0621</t>
  </si>
  <si>
    <t>I-0937</t>
  </si>
  <si>
    <t>Miftahul Jannah</t>
  </si>
  <si>
    <t>indah.mifhatul99@gmail.com</t>
  </si>
  <si>
    <t>6281389101066</t>
  </si>
  <si>
    <t>Meranti 3A No 62</t>
  </si>
  <si>
    <t>I-0778</t>
  </si>
  <si>
    <t>greet.INP@gmail.com</t>
  </si>
  <si>
    <t>I-442</t>
  </si>
  <si>
    <t>Kemang Village Apt</t>
  </si>
  <si>
    <t>I-248</t>
  </si>
  <si>
    <t>I-358</t>
  </si>
  <si>
    <t>Respati</t>
  </si>
  <si>
    <t>indah.n.respati@bakernet.com</t>
  </si>
  <si>
    <t>62816950548</t>
  </si>
  <si>
    <t xml:space="preserve">Jl.Duren Tiga Utara I No.52
Kompleks Polri Duren Tiga</t>
  </si>
  <si>
    <t>I-441</t>
  </si>
  <si>
    <t>indah@ciptarasamultindo.com</t>
  </si>
  <si>
    <t>Jalam Kecapi Raya No.19b Cilandak</t>
  </si>
  <si>
    <t>I-0635</t>
  </si>
  <si>
    <t>Fiani</t>
  </si>
  <si>
    <t>I-0498</t>
  </si>
  <si>
    <t>Wijiningrum</t>
  </si>
  <si>
    <t>I-347</t>
  </si>
  <si>
    <t>Indanila</t>
  </si>
  <si>
    <t xml:space="preserve">Jl Arif rachman hakim perumahan Regency 21 blok F 
60117</t>
  </si>
  <si>
    <t>I-184</t>
  </si>
  <si>
    <t>Indera</t>
  </si>
  <si>
    <t xml:space="preserve">Danamon Privilege
Jl. Prof. DR Satrio Kav. E4 No.6
Jakarta 12950</t>
  </si>
  <si>
    <t>I-0687</t>
  </si>
  <si>
    <t>Inderayani</t>
  </si>
  <si>
    <t>628129978182</t>
  </si>
  <si>
    <t>I-0571</t>
  </si>
  <si>
    <t>Indeva</t>
  </si>
  <si>
    <t>Silva</t>
  </si>
  <si>
    <t>I-0793</t>
  </si>
  <si>
    <t>Indhira</t>
  </si>
  <si>
    <t>I-0473</t>
  </si>
  <si>
    <t>Indi</t>
  </si>
  <si>
    <t>Cipto</t>
  </si>
  <si>
    <t xml:space="preserve">Royal Family Residence E1
Semarang, Jawa Tengah 500000</t>
  </si>
  <si>
    <t>I-0530</t>
  </si>
  <si>
    <t>Septiyanti</t>
  </si>
  <si>
    <t>I-307</t>
  </si>
  <si>
    <t>Indira</t>
  </si>
  <si>
    <t>Bintaro sektor 9</t>
  </si>
  <si>
    <t>I-368</t>
  </si>
  <si>
    <t>I-0565</t>
  </si>
  <si>
    <t>Nurjadin</t>
  </si>
  <si>
    <t xml:space="preserve">Jl Kemang Raya Terusan no.2 kav 8
Kemang
Jakarta Selatan</t>
  </si>
  <si>
    <t>I-0925</t>
  </si>
  <si>
    <t>6287860004646</t>
  </si>
  <si>
    <t xml:space="preserve">Jln bedugul IXX no 18 sidakarya, denpasar selatan 80224, Bali
(Rumah paling ujung pagar coklat)</t>
  </si>
  <si>
    <t>I-0479</t>
  </si>
  <si>
    <t>Miranti</t>
  </si>
  <si>
    <t>I-0667</t>
  </si>
  <si>
    <t>Trisdanadea</t>
  </si>
  <si>
    <t>I-0670</t>
  </si>
  <si>
    <t>Jl.Galunggung No.16 Sidanegara,Cilacap 53223</t>
  </si>
  <si>
    <t>I-447</t>
  </si>
  <si>
    <t>Gedung BEJ</t>
  </si>
  <si>
    <t>I-198</t>
  </si>
  <si>
    <t>I-296</t>
  </si>
  <si>
    <t>I-0880</t>
  </si>
  <si>
    <t>Alirusin</t>
  </si>
  <si>
    <t>62816763608</t>
  </si>
  <si>
    <t>I-143</t>
  </si>
  <si>
    <t>Birayassa</t>
  </si>
  <si>
    <t>I-049</t>
  </si>
  <si>
    <t>Jl. BDN I No. 43</t>
  </si>
  <si>
    <t>I-0903</t>
  </si>
  <si>
    <t>indradinie@gmail.com</t>
  </si>
  <si>
    <t>+6287878100715</t>
  </si>
  <si>
    <t>I-0556</t>
  </si>
  <si>
    <t>indramhermawan@yahoo.com</t>
  </si>
  <si>
    <t>Muara Karang Blok Z 3S</t>
  </si>
  <si>
    <t>I-169</t>
  </si>
  <si>
    <t>Isk</t>
  </si>
  <si>
    <t>I-0673</t>
  </si>
  <si>
    <t>Alam Sutera Cluster Telaga Biru</t>
  </si>
  <si>
    <t>I-390</t>
  </si>
  <si>
    <t xml:space="preserve">Jl. Tanjung Barat selatan No. 77
lenteng agung</t>
  </si>
  <si>
    <t>I-332</t>
  </si>
  <si>
    <t>I-0489</t>
  </si>
  <si>
    <t>Mahesa</t>
  </si>
  <si>
    <t>082111229007</t>
  </si>
  <si>
    <t xml:space="preserve">Jl.Siaga 1 no.40 Pejaten Barat
Pasar Minggu
Jakarta Selatan</t>
  </si>
  <si>
    <t>I-0700</t>
  </si>
  <si>
    <t>I-0710</t>
  </si>
  <si>
    <t>Riady</t>
  </si>
  <si>
    <t>I-197</t>
  </si>
  <si>
    <t>Rivai</t>
  </si>
  <si>
    <t>I-0701</t>
  </si>
  <si>
    <t>isantoso29@gmail.com</t>
  </si>
  <si>
    <t>62811991817</t>
  </si>
  <si>
    <t>I-0716</t>
  </si>
  <si>
    <t>Setyawati</t>
  </si>
  <si>
    <t>I-233</t>
  </si>
  <si>
    <t>Sumarta</t>
  </si>
  <si>
    <t xml:space="preserve">Jl. Taman Biduri Blok N2/6
Permata Hijau
Jaksel</t>
  </si>
  <si>
    <t>I-292</t>
  </si>
  <si>
    <t>Surbakti</t>
  </si>
  <si>
    <t>I-0572</t>
  </si>
  <si>
    <t>Tanudarma</t>
  </si>
  <si>
    <t>I-0562</t>
  </si>
  <si>
    <t>I-437</t>
  </si>
  <si>
    <t>Yawahar</t>
  </si>
  <si>
    <t>I-0844</t>
  </si>
  <si>
    <t>Indrahja</t>
  </si>
  <si>
    <t>Anelia</t>
  </si>
  <si>
    <t>6282297568800</t>
  </si>
  <si>
    <t>I-0798</t>
  </si>
  <si>
    <t>Indrajani</t>
  </si>
  <si>
    <t>I-328</t>
  </si>
  <si>
    <t>Indratno</t>
  </si>
  <si>
    <t>M-1117</t>
  </si>
  <si>
    <t>I-270</t>
  </si>
  <si>
    <t>I-0714</t>
  </si>
  <si>
    <t>Kesumo</t>
  </si>
  <si>
    <t>I-205</t>
  </si>
  <si>
    <t>Lisijono</t>
  </si>
  <si>
    <t>I-0605</t>
  </si>
  <si>
    <t>Zainuri</t>
  </si>
  <si>
    <t>628128088282</t>
  </si>
  <si>
    <t>I-0758</t>
  </si>
  <si>
    <t>Indrawaty</t>
  </si>
  <si>
    <t>6281290232759</t>
  </si>
  <si>
    <t>I-0581</t>
  </si>
  <si>
    <t>INdrawaty</t>
  </si>
  <si>
    <t>Sridjaja</t>
  </si>
  <si>
    <t>I-0895</t>
  </si>
  <si>
    <t>Indrayani</t>
  </si>
  <si>
    <t>indrayani_lim@yahoo.com</t>
  </si>
  <si>
    <t>+6282112073788</t>
  </si>
  <si>
    <t>Jalan Arwana 5 Blok H/2, Jakarta Utara</t>
  </si>
  <si>
    <t>I-0649</t>
  </si>
  <si>
    <t>Indri</t>
  </si>
  <si>
    <t>I-277</t>
  </si>
  <si>
    <t>I-0594</t>
  </si>
  <si>
    <t>62811995479</t>
  </si>
  <si>
    <t>I-0729</t>
  </si>
  <si>
    <t>Heselschwerdt</t>
  </si>
  <si>
    <t>I-0748</t>
  </si>
  <si>
    <t>Sutera Palma 3 No.5</t>
  </si>
  <si>
    <t>I-421</t>
  </si>
  <si>
    <t>Khrisnavari</t>
  </si>
  <si>
    <t>indrikhisna@hotmail.com</t>
  </si>
  <si>
    <t xml:space="preserve">Puspita Loka
Jl. Kana 1 Blok AL No.15 BSD</t>
  </si>
  <si>
    <t>I-416</t>
  </si>
  <si>
    <t>I-0654</t>
  </si>
  <si>
    <t>I-157</t>
  </si>
  <si>
    <t>Jl. Aditiawarman no.24 Jakarta Selatan</t>
  </si>
  <si>
    <t>I-0732</t>
  </si>
  <si>
    <t>Pakubuwono Residence E5C</t>
  </si>
  <si>
    <t>I-058</t>
  </si>
  <si>
    <t>Jl. Raung No. 2A</t>
  </si>
  <si>
    <t>I-0588</t>
  </si>
  <si>
    <t>+62811888897</t>
  </si>
  <si>
    <t>I-364</t>
  </si>
  <si>
    <t>Prasastia</t>
  </si>
  <si>
    <t>+6281807160002</t>
  </si>
  <si>
    <t>I-0826</t>
  </si>
  <si>
    <t xml:space="preserve">Jl.Merak 2 No 78 Inkopol Rt010/005
Bekasi Barat</t>
  </si>
  <si>
    <t>I-0699</t>
  </si>
  <si>
    <t>Indriana</t>
  </si>
  <si>
    <t>I-055</t>
  </si>
  <si>
    <t xml:space="preserve">Puri Gardena B3/33
Kalideres Pegadungan</t>
  </si>
  <si>
    <t>I-295</t>
  </si>
  <si>
    <t>Adiguna Sutowo</t>
  </si>
  <si>
    <t>62816912614</t>
  </si>
  <si>
    <t>I-0831</t>
  </si>
  <si>
    <t>indrianiofficial@gmail.com</t>
  </si>
  <si>
    <t>6281288912889</t>
  </si>
  <si>
    <t xml:space="preserve">PERMATA HIJAU BLOK A4
JAKARTA SELATAN</t>
  </si>
  <si>
    <t>I-056</t>
  </si>
  <si>
    <t>Wirjanto</t>
  </si>
  <si>
    <t>62811948678</t>
  </si>
  <si>
    <t>4th Fl. Wisma Chita Kirana</t>
  </si>
  <si>
    <t>I-057</t>
  </si>
  <si>
    <t>Indrijani</t>
  </si>
  <si>
    <t>Jl. Mampang Prapatan 2 No. 18</t>
  </si>
  <si>
    <t>I-355</t>
  </si>
  <si>
    <t>Indrika</t>
  </si>
  <si>
    <t>I-0496</t>
  </si>
  <si>
    <t>JL. Lematang 6 No. 384 Rt04/04 Depok</t>
  </si>
  <si>
    <t>I-0661</t>
  </si>
  <si>
    <t>Annantah</t>
  </si>
  <si>
    <t>Nyonyamenor@gmail.com</t>
  </si>
  <si>
    <t>62818990829</t>
  </si>
  <si>
    <t>I-059</t>
  </si>
  <si>
    <t>Indy</t>
  </si>
  <si>
    <t>I-140</t>
  </si>
  <si>
    <t>Ine</t>
  </si>
  <si>
    <t>I-0785</t>
  </si>
  <si>
    <t>I-291</t>
  </si>
  <si>
    <t>Ineke</t>
  </si>
  <si>
    <t>I-0818</t>
  </si>
  <si>
    <t>Ines</t>
  </si>
  <si>
    <t>Clariza</t>
  </si>
  <si>
    <t>ines.clariza@gmail.com</t>
  </si>
  <si>
    <t>I-0857</t>
  </si>
  <si>
    <t>inez.clariza@gmail.com</t>
  </si>
  <si>
    <t>081381260042</t>
  </si>
  <si>
    <t>Four Season Residence 6A</t>
  </si>
  <si>
    <t>I-0900</t>
  </si>
  <si>
    <t>Inez Febriani</t>
  </si>
  <si>
    <t>Laiz</t>
  </si>
  <si>
    <t>inez.febriani@yahoo.com</t>
  </si>
  <si>
    <t>6282122277127</t>
  </si>
  <si>
    <t>Jalan Ampasit I no.32</t>
  </si>
  <si>
    <t>I-0904</t>
  </si>
  <si>
    <t>Ingalaurina</t>
  </si>
  <si>
    <t>6281286127642</t>
  </si>
  <si>
    <t>I-0645</t>
  </si>
  <si>
    <t>Inge</t>
  </si>
  <si>
    <t>I-180</t>
  </si>
  <si>
    <t>I-339</t>
  </si>
  <si>
    <t>I-250</t>
  </si>
  <si>
    <t>Lay</t>
  </si>
  <si>
    <t>I-225</t>
  </si>
  <si>
    <t>Tahr</t>
  </si>
  <si>
    <t>I-0836</t>
  </si>
  <si>
    <t>Wiriana</t>
  </si>
  <si>
    <t>I-283</t>
  </si>
  <si>
    <t>I-0648</t>
  </si>
  <si>
    <t>Inggar</t>
  </si>
  <si>
    <t>Basriwan</t>
  </si>
  <si>
    <t>inggarb@hotmail.com</t>
  </si>
  <si>
    <t>I-0781</t>
  </si>
  <si>
    <t>Inggi</t>
  </si>
  <si>
    <t>I-314</t>
  </si>
  <si>
    <t>Inggid</t>
  </si>
  <si>
    <t xml:space="preserve">Sunter Paradise Boulevard Tahap 1 Blok F11 no.1
Depan Kator Pemasaran
Samping RS Royal Progres
Jakarta - Utara</t>
  </si>
  <si>
    <t>I-0676</t>
  </si>
  <si>
    <t>Inggit</t>
  </si>
  <si>
    <t>Glass</t>
  </si>
  <si>
    <t>+62811859034</t>
  </si>
  <si>
    <t>M-1352</t>
  </si>
  <si>
    <t>Inggriati</t>
  </si>
  <si>
    <t>Selamat.</t>
  </si>
  <si>
    <t>I-0808</t>
  </si>
  <si>
    <t>Inggriani</t>
  </si>
  <si>
    <t>Theresia</t>
  </si>
  <si>
    <t>628118808787</t>
  </si>
  <si>
    <t>I-0809</t>
  </si>
  <si>
    <t>Inggrid</t>
  </si>
  <si>
    <t>I-176</t>
  </si>
  <si>
    <t xml:space="preserve">Gading Griya Lestari Blok A VI / 1
Jakarta 14140</t>
  </si>
  <si>
    <t>I-0839</t>
  </si>
  <si>
    <t>inggridng.ofc@gmail.com</t>
  </si>
  <si>
    <t>Sahid Sudirman Residence, Jakarta Pusat 10220</t>
  </si>
  <si>
    <t>I-0639</t>
  </si>
  <si>
    <t>Kusumodjojo</t>
  </si>
  <si>
    <t>628161904554</t>
  </si>
  <si>
    <t>Permata hijau 2 blok Q no 8 jak sel</t>
  </si>
  <si>
    <t>I-406</t>
  </si>
  <si>
    <t>Pricilia</t>
  </si>
  <si>
    <t>inggi2727@gmail.com</t>
  </si>
  <si>
    <t>Apt.Istana Harmoni lt 17 No.176</t>
  </si>
  <si>
    <t>I-445</t>
  </si>
  <si>
    <t>Tjiphanata</t>
  </si>
  <si>
    <t>inggridpatriciatjiphanata@ymail.com</t>
  </si>
  <si>
    <t xml:space="preserve">San Antonio Blok N 11 No 31
Pakuwon</t>
  </si>
  <si>
    <t>I-220</t>
  </si>
  <si>
    <t>Inggrit</t>
  </si>
  <si>
    <t xml:space="preserve">Jl. Puri Anjasmoro Blok L XI/18
Jawa Tengah</t>
  </si>
  <si>
    <t>I-0770</t>
  </si>
  <si>
    <t>Indayang</t>
  </si>
  <si>
    <t>inggritindayang1996@gmail.com</t>
  </si>
  <si>
    <t>I-310</t>
  </si>
  <si>
    <t>Ingkan</t>
  </si>
  <si>
    <t>Sahelangi</t>
  </si>
  <si>
    <t>ingkan@xbn.net.id</t>
  </si>
  <si>
    <t xml:space="preserve">Jl Serende Lake 2D/no. 19
Paramount Gading Serpong</t>
  </si>
  <si>
    <t>I-0943</t>
  </si>
  <si>
    <t>Ingke</t>
  </si>
  <si>
    <t>Christiane</t>
  </si>
  <si>
    <t>ungke.christiane@gmail.com</t>
  </si>
  <si>
    <t>087777783858</t>
  </si>
  <si>
    <t>Danau Indah Barat Blok ND2/15</t>
  </si>
  <si>
    <t>I-356</t>
  </si>
  <si>
    <t>Ingrid</t>
  </si>
  <si>
    <t>I-0543</t>
  </si>
  <si>
    <t>I-0727</t>
  </si>
  <si>
    <t>I-066</t>
  </si>
  <si>
    <t>Jl. Bangka 15</t>
  </si>
  <si>
    <t>I-0471</t>
  </si>
  <si>
    <t>I-0837</t>
  </si>
  <si>
    <t>Lawu</t>
  </si>
  <si>
    <t>lewu.ingrid@gmail.com</t>
  </si>
  <si>
    <t>Jl. Kintamani I No.8 Kelapa Gading, Jakarta</t>
  </si>
  <si>
    <t>I-0472</t>
  </si>
  <si>
    <t>I-0928</t>
  </si>
  <si>
    <t>Inggrid Sri</t>
  </si>
  <si>
    <t>Agustus</t>
  </si>
  <si>
    <t>081212123828</t>
  </si>
  <si>
    <t>I-0491</t>
  </si>
  <si>
    <t>628179935505</t>
  </si>
  <si>
    <t>I-0841</t>
  </si>
  <si>
    <t>zakariaingrid@gmail.com</t>
  </si>
  <si>
    <t>Veranda Residence@Puri Jl. Pesanggrahan 28</t>
  </si>
  <si>
    <t>I-256</t>
  </si>
  <si>
    <t>Iniarty</t>
  </si>
  <si>
    <t>Hakadinata</t>
  </si>
  <si>
    <t>I-0745</t>
  </si>
  <si>
    <t>Injune</t>
  </si>
  <si>
    <t>Zha</t>
  </si>
  <si>
    <t>injunezha@gmail.com</t>
  </si>
  <si>
    <t>I-0784</t>
  </si>
  <si>
    <t>Inka</t>
  </si>
  <si>
    <t>6281319045000</t>
  </si>
  <si>
    <t>I-265</t>
  </si>
  <si>
    <t>M-1367</t>
  </si>
  <si>
    <t>Inka.</t>
  </si>
  <si>
    <t>I-0671</t>
  </si>
  <si>
    <t>Inke</t>
  </si>
  <si>
    <t>Gratia</t>
  </si>
  <si>
    <t>I-0597</t>
  </si>
  <si>
    <t>Inke.I.T</t>
  </si>
  <si>
    <t>I-392</t>
  </si>
  <si>
    <t>Inmanuel</t>
  </si>
  <si>
    <t>jl. DANAU POSO NO.25 , BENHIL</t>
  </si>
  <si>
    <t>I-341</t>
  </si>
  <si>
    <t>Inna</t>
  </si>
  <si>
    <t>I-213</t>
  </si>
  <si>
    <t>Jl. Duta Indah II/21, Pondok Indah, Jakarta Selatan</t>
  </si>
  <si>
    <t>I-070</t>
  </si>
  <si>
    <t>Inne</t>
  </si>
  <si>
    <t>I-259</t>
  </si>
  <si>
    <t>I-454</t>
  </si>
  <si>
    <t>Zulkhaerani</t>
  </si>
  <si>
    <t>I-329</t>
  </si>
  <si>
    <t>Inneke</t>
  </si>
  <si>
    <t>I-299</t>
  </si>
  <si>
    <t>I-0724</t>
  </si>
  <si>
    <t>Innye</t>
  </si>
  <si>
    <t>I-458</t>
  </si>
  <si>
    <t>Inriana</t>
  </si>
  <si>
    <t>Agnesia</t>
  </si>
  <si>
    <t>I-431</t>
  </si>
  <si>
    <t>Inta</t>
  </si>
  <si>
    <t xml:space="preserve">Bukit Golf Utama  PB 02 
Pondok Indah</t>
  </si>
  <si>
    <t>I-219</t>
  </si>
  <si>
    <t>I-0816</t>
  </si>
  <si>
    <t>I-0902</t>
  </si>
  <si>
    <t>Karenina</t>
  </si>
  <si>
    <t>628118841979</t>
  </si>
  <si>
    <t>I-269</t>
  </si>
  <si>
    <t>I-436</t>
  </si>
  <si>
    <t>Kurnia</t>
  </si>
  <si>
    <t>intan.koernia@gmail.com</t>
  </si>
  <si>
    <t>Apt Denpasar Residencde Tower Kintamani 2AK Kuningan</t>
  </si>
  <si>
    <t>I-425</t>
  </si>
  <si>
    <t>Jl. Tebet Barat dalam III no II</t>
  </si>
  <si>
    <t>I-0838</t>
  </si>
  <si>
    <t>Marialianita</t>
  </si>
  <si>
    <t>+6281211111961</t>
  </si>
  <si>
    <t>Jl Antariksa Raya No. 63, Cipedak, Jagakarsa, Jakarta Selatan 12630</t>
  </si>
  <si>
    <t>I-227</t>
  </si>
  <si>
    <t>Melayu</t>
  </si>
  <si>
    <t>I-0800</t>
  </si>
  <si>
    <t>Nuraini</t>
  </si>
  <si>
    <t>diamond.iiintan@gmail.com</t>
  </si>
  <si>
    <t>Jl. Kuto Kencana Utara No.17, Bandung</t>
  </si>
  <si>
    <t>I-297</t>
  </si>
  <si>
    <t>I-323</t>
  </si>
  <si>
    <t>Intan Pestaria</t>
  </si>
  <si>
    <t>intan_pvs@yahoo.com</t>
  </si>
  <si>
    <t>628151812484</t>
  </si>
  <si>
    <t>I-0668</t>
  </si>
  <si>
    <t>I-0750</t>
  </si>
  <si>
    <t>Ramli</t>
  </si>
  <si>
    <t>intanmurnira@hotmail.com</t>
  </si>
  <si>
    <t>I-0545</t>
  </si>
  <si>
    <t>I-073</t>
  </si>
  <si>
    <t>Violezza</t>
  </si>
  <si>
    <t>I-0864</t>
  </si>
  <si>
    <t>Watulingas</t>
  </si>
  <si>
    <t>+6282188461116</t>
  </si>
  <si>
    <t>I-405</t>
  </si>
  <si>
    <t>Intani</t>
  </si>
  <si>
    <t>Choirina</t>
  </si>
  <si>
    <t>Jalan Gabus II No. 11, Rawamangun</t>
  </si>
  <si>
    <t>I-0884</t>
  </si>
  <si>
    <t>6287789473914</t>
  </si>
  <si>
    <t>I-0914</t>
  </si>
  <si>
    <t>Intania</t>
  </si>
  <si>
    <t>6281591119879</t>
  </si>
  <si>
    <t>Jalan Mega Kuningan Barat IV NO.8</t>
  </si>
  <si>
    <t>I-274</t>
  </si>
  <si>
    <t>Inti</t>
  </si>
  <si>
    <t>Prihastuti</t>
  </si>
  <si>
    <t>inti.prihastuti@gmail.com</t>
  </si>
  <si>
    <t>6281389808116</t>
  </si>
  <si>
    <t xml:space="preserve">Pinang Ranti manson Blok D3. no.7
Jl. Pusdiktat Depnaker
Pinang Ranti Jak-Tim</t>
  </si>
  <si>
    <t>I-316</t>
  </si>
  <si>
    <t>Inul</t>
  </si>
  <si>
    <t>Daratista</t>
  </si>
  <si>
    <t>628159599999</t>
  </si>
  <si>
    <t xml:space="preserve">Jl.Kartika Utama PT 27 Pondok Indah
Jakarta Selatan</t>
  </si>
  <si>
    <t>I-181</t>
  </si>
  <si>
    <t>Inuyanti</t>
  </si>
  <si>
    <t>Suyono</t>
  </si>
  <si>
    <t xml:space="preserve">Kemang Apartements # 108
Jl. Bangka Raya No.7
Jakarta  Selatan</t>
  </si>
  <si>
    <t>I-0893</t>
  </si>
  <si>
    <t>Inyo</t>
  </si>
  <si>
    <t>imarhan@gmail.com</t>
  </si>
  <si>
    <t>Jl.Pura Warung No.2 Banjar Babakan, Canggu,Kuta Utara, Badung, Bali</t>
  </si>
  <si>
    <t>I-0656</t>
  </si>
  <si>
    <t>Marhan</t>
  </si>
  <si>
    <t>imarhan@yahoo.com</t>
  </si>
  <si>
    <t>Jl.Pura Warung No.2 Banjar Babakan, Canggu,Kuta Utara ,Badung ,Bali</t>
  </si>
  <si>
    <t>I-0858</t>
  </si>
  <si>
    <t>Iolana</t>
  </si>
  <si>
    <t>I-0488</t>
  </si>
  <si>
    <t>Ipin</t>
  </si>
  <si>
    <t>Suryana</t>
  </si>
  <si>
    <t>I-0482</t>
  </si>
  <si>
    <t>Ipong</t>
  </si>
  <si>
    <t>I-0736</t>
  </si>
  <si>
    <t>I-0865</t>
  </si>
  <si>
    <t>6282177859937</t>
  </si>
  <si>
    <t>I-337</t>
  </si>
  <si>
    <t>Hadromi</t>
  </si>
  <si>
    <t>ikeibang@yahho.com</t>
  </si>
  <si>
    <t>JL KERTANEGARA NO 72.A KEB.BARU JAKSEL</t>
  </si>
  <si>
    <t>JAKSEL</t>
  </si>
  <si>
    <t>I-0633</t>
  </si>
  <si>
    <t>IR.</t>
  </si>
  <si>
    <t>Indratjuatja</t>
  </si>
  <si>
    <t>W-278</t>
  </si>
  <si>
    <t>IR.Wong</t>
  </si>
  <si>
    <t>wong.budi.s@gmail.com</t>
  </si>
  <si>
    <t xml:space="preserve">Sudirman Tower 20 th Floor 
Jl Jend.Sudirman Kav 60</t>
  </si>
  <si>
    <t>I-0763</t>
  </si>
  <si>
    <t>Ira</t>
  </si>
  <si>
    <t>I-226</t>
  </si>
  <si>
    <t>I-0665</t>
  </si>
  <si>
    <t>Britt</t>
  </si>
  <si>
    <t>Jl. Karya Kasih, Bukit Johor Mas Blok G No.1</t>
  </si>
  <si>
    <t>I-0861</t>
  </si>
  <si>
    <t>Burke</t>
  </si>
  <si>
    <t>velychai@gmail.com</t>
  </si>
  <si>
    <t>+15593698112</t>
  </si>
  <si>
    <t>2113 Caulfiled Petaluma</t>
  </si>
  <si>
    <t>I-0780</t>
  </si>
  <si>
    <t>Chotim</t>
  </si>
  <si>
    <t>I-076</t>
  </si>
  <si>
    <t>Dompas</t>
  </si>
  <si>
    <t xml:space="preserve">Komp.Pondok Pinang
Kebayoran Lama</t>
  </si>
  <si>
    <t>I-315</t>
  </si>
  <si>
    <t>Gardjito</t>
  </si>
  <si>
    <t>I-0906</t>
  </si>
  <si>
    <t>Indirayuni</t>
  </si>
  <si>
    <t>ira.indira100@gmail.com</t>
  </si>
  <si>
    <t>+6282112687883</t>
  </si>
  <si>
    <t>I-159</t>
  </si>
  <si>
    <t>Indriasari</t>
  </si>
  <si>
    <t>+628161102848</t>
  </si>
  <si>
    <t>I-0829</t>
  </si>
  <si>
    <t>Syahbudin</t>
  </si>
  <si>
    <t>ira.ceuceu@gmail.com</t>
  </si>
  <si>
    <t xml:space="preserve">jl. Gatot Mangkupraja  No 65 
003/007 Nagrak Cianjur </t>
  </si>
  <si>
    <t>I-372</t>
  </si>
  <si>
    <t>Juliette</t>
  </si>
  <si>
    <t>rajuliette@me.com</t>
  </si>
  <si>
    <t>I-077</t>
  </si>
  <si>
    <t>JL. Diponegoro No. 2</t>
  </si>
  <si>
    <t>I-422</t>
  </si>
  <si>
    <t>Koesoemawati</t>
  </si>
  <si>
    <t>I-444</t>
  </si>
  <si>
    <t>Kurniawita</t>
  </si>
  <si>
    <t>irakurniawita@yahoo.com</t>
  </si>
  <si>
    <t>Kavling Marinir AA 13, pondok kelapa</t>
  </si>
  <si>
    <t>I-0684</t>
  </si>
  <si>
    <t>Kusumasari</t>
  </si>
  <si>
    <t>Taman Golf Tengah FG 1/17, Kota Modern - Tangerang</t>
  </si>
  <si>
    <t>I-0459</t>
  </si>
  <si>
    <t xml:space="preserve">JL.DENPASAR RAYA C17/49
MEGA KUNINGAN</t>
  </si>
  <si>
    <t>I-0493</t>
  </si>
  <si>
    <t>I-079</t>
  </si>
  <si>
    <t>Jl. MPR Raya No. 22-24</t>
  </si>
  <si>
    <t>I-0936</t>
  </si>
  <si>
    <t>Rahmadani</t>
  </si>
  <si>
    <t>irasuni7@gmail.com</t>
  </si>
  <si>
    <t>6287882250854</t>
  </si>
  <si>
    <t>I-432</t>
  </si>
  <si>
    <t>Poerboyo</t>
  </si>
  <si>
    <t>I-144</t>
  </si>
  <si>
    <t>Trihidayati</t>
  </si>
  <si>
    <t>I-0480</t>
  </si>
  <si>
    <t>Trinovita</t>
  </si>
  <si>
    <t>I-0683</t>
  </si>
  <si>
    <t>Wirayanti</t>
  </si>
  <si>
    <t>I-0460</t>
  </si>
  <si>
    <t>Fajria</t>
  </si>
  <si>
    <t>6281294642909</t>
  </si>
  <si>
    <t xml:space="preserve">Pavilion Executive Residences 
Jl. K.H Mas Mansyur Kav 24</t>
  </si>
  <si>
    <t>I-185</t>
  </si>
  <si>
    <t>I-0713</t>
  </si>
  <si>
    <t>I-204</t>
  </si>
  <si>
    <t>Atmosudiro</t>
  </si>
  <si>
    <t xml:space="preserve">Jl. baalai Pustaka Timur No.29
Rawamangun</t>
  </si>
  <si>
    <t>I-0715</t>
  </si>
  <si>
    <t>Hardiman</t>
  </si>
  <si>
    <t>I-146</t>
  </si>
  <si>
    <t>I-0883</t>
  </si>
  <si>
    <t>Setyonegoro</t>
  </si>
  <si>
    <t>6282340600715</t>
  </si>
  <si>
    <t>Jalan Rasamala III No. 32, Menteng Dalam</t>
  </si>
  <si>
    <t>I-0870</t>
  </si>
  <si>
    <t>Tiriono</t>
  </si>
  <si>
    <t>I-418</t>
  </si>
  <si>
    <t>I-360</t>
  </si>
  <si>
    <t>hartantoalice@yahoo.com</t>
  </si>
  <si>
    <t>Perum Citra II Blok 01/16</t>
  </si>
  <si>
    <t>I-0672</t>
  </si>
  <si>
    <t>I-0746</t>
  </si>
  <si>
    <t>I-187</t>
  </si>
  <si>
    <t>Koesnadi</t>
  </si>
  <si>
    <t>I-0952</t>
  </si>
  <si>
    <t>Irawaty</t>
  </si>
  <si>
    <t>watysy82@gmail.com</t>
  </si>
  <si>
    <t>628992399969</t>
  </si>
  <si>
    <t>I-0703</t>
  </si>
  <si>
    <t>Ira_she</t>
  </si>
  <si>
    <t>I-351</t>
  </si>
  <si>
    <t>Irda</t>
  </si>
  <si>
    <t>irda696@gmail.com</t>
  </si>
  <si>
    <t xml:space="preserve">JL.Bappenas AS Kuningan
Karet semanggi</t>
  </si>
  <si>
    <t>I-403</t>
  </si>
  <si>
    <t>Ire</t>
  </si>
  <si>
    <t>Risdiana</t>
  </si>
  <si>
    <t>I-413</t>
  </si>
  <si>
    <t>Ireene</t>
  </si>
  <si>
    <t xml:space="preserve">66 Mei Hwan Dreive #08-09
568429</t>
  </si>
  <si>
    <t>I-084</t>
  </si>
  <si>
    <t>Iren</t>
  </si>
  <si>
    <t>I-0932</t>
  </si>
  <si>
    <t>Irene</t>
  </si>
  <si>
    <t>6285659453789</t>
  </si>
  <si>
    <t>I-085</t>
  </si>
  <si>
    <t>(Ambon)</t>
  </si>
  <si>
    <t>JL. Batu Gajah No.6</t>
  </si>
  <si>
    <t>Ambon</t>
  </si>
  <si>
    <t>I-365</t>
  </si>
  <si>
    <t>I-0678</t>
  </si>
  <si>
    <t>I-0757</t>
  </si>
  <si>
    <t>Boo</t>
  </si>
  <si>
    <t>628179330107</t>
  </si>
  <si>
    <t>Perumahan Citra Bahari C 24</t>
  </si>
  <si>
    <t>I-0606</t>
  </si>
  <si>
    <t>I-0520</t>
  </si>
  <si>
    <t>6281296035808</t>
  </si>
  <si>
    <t>Karang Asem V no.17</t>
  </si>
  <si>
    <t>I-257</t>
  </si>
  <si>
    <t>damayanti</t>
  </si>
  <si>
    <t>akusnadi2k@gmail.com</t>
  </si>
  <si>
    <t>I-0698</t>
  </si>
  <si>
    <t>I-0742</t>
  </si>
  <si>
    <t>Imbanop</t>
  </si>
  <si>
    <t>ireneimbanop@gmail.com</t>
  </si>
  <si>
    <t>I-0920</t>
  </si>
  <si>
    <t>628111008850</t>
  </si>
  <si>
    <t>I-0704</t>
  </si>
  <si>
    <t>+621230009268</t>
  </si>
  <si>
    <t>I-0842</t>
  </si>
  <si>
    <t>Kosasi</t>
  </si>
  <si>
    <t>I-240</t>
  </si>
  <si>
    <t>Leono</t>
  </si>
  <si>
    <t>628129948868</t>
  </si>
  <si>
    <t xml:space="preserve">Jl. Dewi Sartika No.14 Cililitan Kecil
Jakarta Timur 13640
wedding anniv 11/11/2013</t>
  </si>
  <si>
    <t>I-080</t>
  </si>
  <si>
    <t>Permanasari</t>
  </si>
  <si>
    <t>Sommerset Berlian RSD South Tower #805</t>
  </si>
  <si>
    <t>Permata Hijau</t>
  </si>
  <si>
    <t>I-0875</t>
  </si>
  <si>
    <t>Marchelie</t>
  </si>
  <si>
    <t>irenemarchelie@gmail.com</t>
  </si>
  <si>
    <t>628996948777</t>
  </si>
  <si>
    <t>Jl Industri No 15</t>
  </si>
  <si>
    <t>I-0843</t>
  </si>
  <si>
    <t>Phiter</t>
  </si>
  <si>
    <t>irene.phiter@gmail.com</t>
  </si>
  <si>
    <t>+6281514355899</t>
  </si>
  <si>
    <t>JL.KAYU PUTIH RESIDENCE NO.23, JAKARTA 13210</t>
  </si>
  <si>
    <t>I-0696</t>
  </si>
  <si>
    <t>Rasubala</t>
  </si>
  <si>
    <t>I-0850</t>
  </si>
  <si>
    <t>Rindanaung</t>
  </si>
  <si>
    <t>irenerin@yahoo.com</t>
  </si>
  <si>
    <t>I-0806</t>
  </si>
  <si>
    <t>62811877328</t>
  </si>
  <si>
    <t>I-0848</t>
  </si>
  <si>
    <t>I-0602</t>
  </si>
  <si>
    <t>I-381</t>
  </si>
  <si>
    <t>Simandjuntak</t>
  </si>
  <si>
    <t xml:space="preserve">Jalan Alam Asri No TK-21B
Pondok Indah</t>
  </si>
  <si>
    <t>I-0642</t>
  </si>
  <si>
    <t>anggun.anastasia3815@gmail.com</t>
  </si>
  <si>
    <t xml:space="preserve">Town House Taman Paris 
Jl. Taman Paris 3 No.1
Karawaci</t>
  </si>
  <si>
    <t>I-389</t>
  </si>
  <si>
    <t>Sopacua</t>
  </si>
  <si>
    <t>6281213831576</t>
  </si>
  <si>
    <t>I-232</t>
  </si>
  <si>
    <t>Taning</t>
  </si>
  <si>
    <t>I-0835</t>
  </si>
  <si>
    <t>Ursula</t>
  </si>
  <si>
    <t>rene_valerie@yahoo.com</t>
  </si>
  <si>
    <t>+6281310008040</t>
  </si>
  <si>
    <t xml:space="preserve">Mahoni Hijau 3 Blok F3 No.2
Perumahan Kosambi Baru Cengkareng ,Jakarta Barat </t>
  </si>
  <si>
    <t>I-0721</t>
  </si>
  <si>
    <t>Usmany</t>
  </si>
  <si>
    <t>PREMIERE RIVIERA RESIDENCE</t>
  </si>
  <si>
    <t>I-083</t>
  </si>
  <si>
    <t>Wiguno</t>
  </si>
  <si>
    <t>Perum. Taman Permata Lippo Karawaci</t>
  </si>
  <si>
    <t>Jl. Permata Indah VI Blok B-7 No. 2</t>
  </si>
  <si>
    <t>I-268</t>
  </si>
  <si>
    <t>dokter.irene@gmail,com</t>
  </si>
  <si>
    <t>6281344444444</t>
  </si>
  <si>
    <t xml:space="preserve">Ruko Cordoba Blok C No.07
Pantai Indah Kapuk</t>
  </si>
  <si>
    <t>I-0502</t>
  </si>
  <si>
    <t>Irene/</t>
  </si>
  <si>
    <t>Suseno</t>
  </si>
  <si>
    <t>I-258</t>
  </si>
  <si>
    <t>pichrin888@gmail.com</t>
  </si>
  <si>
    <t>+886974023719</t>
  </si>
  <si>
    <t>I-0890</t>
  </si>
  <si>
    <t>Irfa</t>
  </si>
  <si>
    <t>Suriany</t>
  </si>
  <si>
    <t>6281315737393</t>
  </si>
  <si>
    <t>I-0953</t>
  </si>
  <si>
    <t>Irfan</t>
  </si>
  <si>
    <t>Januar</t>
  </si>
  <si>
    <t>rumrum0888@gmail.com</t>
  </si>
  <si>
    <t>+62812200888</t>
  </si>
  <si>
    <t>I-0926</t>
  </si>
  <si>
    <t>Mustakim Rani</t>
  </si>
  <si>
    <t>ekasyarni@gmail.com</t>
  </si>
  <si>
    <t>6281315154565</t>
  </si>
  <si>
    <t>Irian Atas</t>
  </si>
  <si>
    <t>I-087</t>
  </si>
  <si>
    <t>Zahirudin</t>
  </si>
  <si>
    <t>Perum. Vila Cinere Mas</t>
  </si>
  <si>
    <t>Jl. Venus I Blok A-3 No. 16</t>
  </si>
  <si>
    <t>I-0832</t>
  </si>
  <si>
    <t>Irgaliyeva</t>
  </si>
  <si>
    <t>Kamila</t>
  </si>
  <si>
    <t>Kazakhtan</t>
  </si>
  <si>
    <t>I-0898</t>
  </si>
  <si>
    <t>Irham</t>
  </si>
  <si>
    <t>6282111118461</t>
  </si>
  <si>
    <t>I-0854</t>
  </si>
  <si>
    <t>Jalan Aries I b5 No.6</t>
  </si>
  <si>
    <t>jakarta barat</t>
  </si>
  <si>
    <t>I-0548</t>
  </si>
  <si>
    <t>Irianita</t>
  </si>
  <si>
    <t xml:space="preserve">Kalibata Indah 
Jl Mangga N9</t>
  </si>
  <si>
    <t>I-0464</t>
  </si>
  <si>
    <t>Irianti</t>
  </si>
  <si>
    <t>irianti_ayanx@ymail.com</t>
  </si>
  <si>
    <t xml:space="preserve">Jl.Sawah Lio II Gang.4 No.230
Jembatan 5</t>
  </si>
  <si>
    <t>I-411</t>
  </si>
  <si>
    <t>Irianto</t>
  </si>
  <si>
    <t>I-455</t>
  </si>
  <si>
    <t>Irida</t>
  </si>
  <si>
    <t>harapan</t>
  </si>
  <si>
    <t>I-0533</t>
  </si>
  <si>
    <t>I-0819</t>
  </si>
  <si>
    <t>Teslazu</t>
  </si>
  <si>
    <t>I-357</t>
  </si>
  <si>
    <t>Irinawati</t>
  </si>
  <si>
    <t>I-261</t>
  </si>
  <si>
    <t>I-0889</t>
  </si>
  <si>
    <t>Irine Riesna</t>
  </si>
  <si>
    <t>iriesna@gmail.com</t>
  </si>
  <si>
    <t>+62818412192</t>
  </si>
  <si>
    <t>Four Seasons Residences Tower Summer Unit 24C</t>
  </si>
  <si>
    <t>I-0507</t>
  </si>
  <si>
    <t>Irine</t>
  </si>
  <si>
    <t>I-0528</t>
  </si>
  <si>
    <t>Iris</t>
  </si>
  <si>
    <t>Varianti</t>
  </si>
  <si>
    <t>I-0604</t>
  </si>
  <si>
    <t>Irla</t>
  </si>
  <si>
    <t>Widayana</t>
  </si>
  <si>
    <t>08155002036</t>
  </si>
  <si>
    <t>Buaran Regency H-7</t>
  </si>
  <si>
    <t>I-0582</t>
  </si>
  <si>
    <t>Irma</t>
  </si>
  <si>
    <t>Winpoohey@yahoo.com</t>
  </si>
  <si>
    <t xml:space="preserve">JL.Dr Kusuma Atmadja no.52
Jakarta Pusat</t>
  </si>
  <si>
    <t>I-0741</t>
  </si>
  <si>
    <t>I-0894</t>
  </si>
  <si>
    <t>irmawardhana1574@gmail.com</t>
  </si>
  <si>
    <t>+6281388839727</t>
  </si>
  <si>
    <t>I-235</t>
  </si>
  <si>
    <t>Mts.</t>
  </si>
  <si>
    <t xml:space="preserve">Jl. Madrasah 1 No.7
Cilandak Timur</t>
  </si>
  <si>
    <t>I-0919</t>
  </si>
  <si>
    <t>Eka Sari</t>
  </si>
  <si>
    <t>irma-ekas@yahoo.com</t>
  </si>
  <si>
    <t>+62816928678</t>
  </si>
  <si>
    <t>I-0754</t>
  </si>
  <si>
    <t>Engelen</t>
  </si>
  <si>
    <t>I-0652</t>
  </si>
  <si>
    <t>R-506</t>
  </si>
  <si>
    <t>yaank_29@yahoo.com</t>
  </si>
  <si>
    <t xml:space="preserve">Menteng Aarden Town House
no.99 
A3</t>
  </si>
  <si>
    <t>I-178</t>
  </si>
  <si>
    <t>Mutia</t>
  </si>
  <si>
    <t>Puri Bintaro PB 24 No. 5A</t>
  </si>
  <si>
    <t>I-0930</t>
  </si>
  <si>
    <t>Nirmalasari</t>
  </si>
  <si>
    <t>628151623359</t>
  </si>
  <si>
    <t xml:space="preserve">Jl.Galuh 2 No.28 Kebayoran baru
Jakarta Selatan</t>
  </si>
  <si>
    <t>I-0483</t>
  </si>
  <si>
    <t>I-0828</t>
  </si>
  <si>
    <t>Rizki</t>
  </si>
  <si>
    <t>rizky@mogems.co.id</t>
  </si>
  <si>
    <t>Jl. Mutiara Indah NO 58 Jak-Sel 12310</t>
  </si>
  <si>
    <t>I-0847</t>
  </si>
  <si>
    <t>Lyly</t>
  </si>
  <si>
    <t>+6281292780630</t>
  </si>
  <si>
    <t>I-0636</t>
  </si>
  <si>
    <t>I-096</t>
  </si>
  <si>
    <t>Setyowati</t>
  </si>
  <si>
    <t>I-0625</t>
  </si>
  <si>
    <t>Shantia</t>
  </si>
  <si>
    <t>I-378</t>
  </si>
  <si>
    <t>Apartement Casa Grande</t>
  </si>
  <si>
    <t>I-0537</t>
  </si>
  <si>
    <t>Septe</t>
  </si>
  <si>
    <t>I-0600</t>
  </si>
  <si>
    <t>Wiradarma</t>
  </si>
  <si>
    <t>w_irma@yahoo.com</t>
  </si>
  <si>
    <t xml:space="preserve">Apt,Ambassade Residence 
Jl,Denpasar Kav 5-7</t>
  </si>
  <si>
    <t>I-239</t>
  </si>
  <si>
    <t>Irmajanti</t>
  </si>
  <si>
    <t>Jl. Moh Hatta No.3 Banua Seru papua</t>
  </si>
  <si>
    <t>I-094</t>
  </si>
  <si>
    <t>Irman</t>
  </si>
  <si>
    <t>Jl. Tirtayasa V No. 1</t>
  </si>
  <si>
    <t>I-097</t>
  </si>
  <si>
    <t>Irmawan</t>
  </si>
  <si>
    <t>Poedjoadi</t>
  </si>
  <si>
    <t>Jl. TB. Simatupang 19</t>
  </si>
  <si>
    <t>I-0872</t>
  </si>
  <si>
    <t>Irnatalia</t>
  </si>
  <si>
    <t>irna2101@gmail.com</t>
  </si>
  <si>
    <t>62811329440</t>
  </si>
  <si>
    <t>JL.LAKEWOOD BLOK U1/3CG , BEKASI</t>
  </si>
  <si>
    <t>I-430</t>
  </si>
  <si>
    <t>Irnet</t>
  </si>
  <si>
    <t>Yatim</t>
  </si>
  <si>
    <t xml:space="preserve">Jl. Cut Nyak Dien 2 Block FFI No. 3 Sektor 6
Bintaro - Tangerang 15224</t>
  </si>
  <si>
    <t>I-0804</t>
  </si>
  <si>
    <t>Irren</t>
  </si>
  <si>
    <t>Wetipo</t>
  </si>
  <si>
    <t>isabellow3000@gmail.com</t>
  </si>
  <si>
    <t>I-0846</t>
  </si>
  <si>
    <t>Irsan</t>
  </si>
  <si>
    <t>6281212828289</t>
  </si>
  <si>
    <t>Alam Elox IX No15, Jakarta</t>
  </si>
  <si>
    <t>I-0774</t>
  </si>
  <si>
    <t>Yapto</t>
  </si>
  <si>
    <t>+628111866888</t>
  </si>
  <si>
    <t xml:space="preserve">Taman Grisenda C2/17
Pantai Indah Kapuk</t>
  </si>
  <si>
    <t>I-423</t>
  </si>
  <si>
    <t>Irsyad</t>
  </si>
  <si>
    <t>irsyadsahroni@yahoo.com</t>
  </si>
  <si>
    <t>I-0916</t>
  </si>
  <si>
    <t>+6281288001514</t>
  </si>
  <si>
    <t>I-099</t>
  </si>
  <si>
    <t>Jl. Pejated Raya</t>
  </si>
  <si>
    <t>I-0910</t>
  </si>
  <si>
    <t>I-290</t>
  </si>
  <si>
    <t>Martius</t>
  </si>
  <si>
    <t>Duta Indah II No.4 Pondok Indah</t>
  </si>
  <si>
    <t>I-0592</t>
  </si>
  <si>
    <t>Mustakim</t>
  </si>
  <si>
    <t>I-322</t>
  </si>
  <si>
    <t>I-448</t>
  </si>
  <si>
    <t>Irvandi</t>
  </si>
  <si>
    <t>Gustari</t>
  </si>
  <si>
    <t>I-301</t>
  </si>
  <si>
    <t>Irvanus</t>
  </si>
  <si>
    <t>Jl. Haji Agus Salim No.80 ,Menteng Jakarta Pusat</t>
  </si>
  <si>
    <t>I-278</t>
  </si>
  <si>
    <t>Irving</t>
  </si>
  <si>
    <t>I-0815</t>
  </si>
  <si>
    <t>Irvul</t>
  </si>
  <si>
    <t>Efe</t>
  </si>
  <si>
    <t>Turkiye</t>
  </si>
  <si>
    <t>I-0601</t>
  </si>
  <si>
    <t>Irwan</t>
  </si>
  <si>
    <t>I-0631</t>
  </si>
  <si>
    <t>IRWAN</t>
  </si>
  <si>
    <t>628561200123</t>
  </si>
  <si>
    <t>I-0885</t>
  </si>
  <si>
    <t>628119181193</t>
  </si>
  <si>
    <t>Belleza Permata Hijau</t>
  </si>
  <si>
    <t>I-354</t>
  </si>
  <si>
    <t>I-244</t>
  </si>
  <si>
    <t>fritz</t>
  </si>
  <si>
    <t>I-101</t>
  </si>
  <si>
    <t>Hatta</t>
  </si>
  <si>
    <t>I-263</t>
  </si>
  <si>
    <t>Iswara</t>
  </si>
  <si>
    <t>62816897974</t>
  </si>
  <si>
    <t>Apt Somerset Berlian, South tower, Unit 2008, Permata Berlian V, Permata Hijau</t>
  </si>
  <si>
    <t>I-419</t>
  </si>
  <si>
    <t>62816857063</t>
  </si>
  <si>
    <t>I-0924</t>
  </si>
  <si>
    <t>62818434384</t>
  </si>
  <si>
    <t xml:space="preserve">Jalan Uluwatu II no.10
Nirmala Hotel
</t>
  </si>
  <si>
    <t>I-0580</t>
  </si>
  <si>
    <t>Irwanda</t>
  </si>
  <si>
    <t>I-0511</t>
  </si>
  <si>
    <t>Irwansyah</t>
  </si>
  <si>
    <t>I-102</t>
  </si>
  <si>
    <t>I-0666</t>
  </si>
  <si>
    <t>Irwin</t>
  </si>
  <si>
    <t>I-103</t>
  </si>
  <si>
    <t>Komara</t>
  </si>
  <si>
    <t>JL. Arteri Kelapa Dua Raya No. 28 E</t>
  </si>
  <si>
    <t>I-0946</t>
  </si>
  <si>
    <t>Irza</t>
  </si>
  <si>
    <t>syafakamilia@gmnail.com</t>
  </si>
  <si>
    <t>6281273999235</t>
  </si>
  <si>
    <t>Kartika Alam III No.33 , Pondok Indah Jakarta Selatan</t>
  </si>
  <si>
    <t>I-0767</t>
  </si>
  <si>
    <t>I-266</t>
  </si>
  <si>
    <t>Irzaliza</t>
  </si>
  <si>
    <t>I-229</t>
  </si>
  <si>
    <t>Is</t>
  </si>
  <si>
    <t>Yuhana</t>
  </si>
  <si>
    <t xml:space="preserve">Raffles Hills Blok J3 No. 17
Kel. Sukatani Cibubur</t>
  </si>
  <si>
    <t>I-0521</t>
  </si>
  <si>
    <t>Isa</t>
  </si>
  <si>
    <t>Suhardiman</t>
  </si>
  <si>
    <t>isa.suhardiman@gmail.com</t>
  </si>
  <si>
    <t>6281318919191</t>
  </si>
  <si>
    <t>I-294</t>
  </si>
  <si>
    <t>Isaac</t>
  </si>
  <si>
    <t>I-0755</t>
  </si>
  <si>
    <t>Isabella</t>
  </si>
  <si>
    <t>Calciolari</t>
  </si>
  <si>
    <t>I-0769</t>
  </si>
  <si>
    <t>+6281806020696</t>
  </si>
  <si>
    <t>Jalan Kedoya Agaue VI C1/21</t>
  </si>
  <si>
    <t>I-417</t>
  </si>
  <si>
    <t>Seda</t>
  </si>
  <si>
    <t>I-0797</t>
  </si>
  <si>
    <t>I-164</t>
  </si>
  <si>
    <t>Isakh</t>
  </si>
  <si>
    <t>I-0717</t>
  </si>
  <si>
    <t>Isam</t>
  </si>
  <si>
    <t>samadi_isamadi@yahoo.com</t>
  </si>
  <si>
    <t>I-369</t>
  </si>
  <si>
    <t>Isarangkura</t>
  </si>
  <si>
    <t>48 Sukhumvit Bangkok</t>
  </si>
  <si>
    <t>I-105</t>
  </si>
  <si>
    <t>Isdiyono</t>
  </si>
  <si>
    <t>Komp. Jati Warna Indah IX Blok R No. 5</t>
  </si>
  <si>
    <t>Cilangkap</t>
  </si>
  <si>
    <t>I-179</t>
  </si>
  <si>
    <t>Isenta</t>
  </si>
  <si>
    <t xml:space="preserve">Menara Cyber 2, 28 Fl
Jakarta 12950</t>
  </si>
  <si>
    <t>I-203</t>
  </si>
  <si>
    <t>Ishartanto</t>
  </si>
  <si>
    <t>I-151</t>
  </si>
  <si>
    <t>Kelapa Gading Mediterania</t>
  </si>
  <si>
    <t>I-202</t>
  </si>
  <si>
    <t>I-0508</t>
  </si>
  <si>
    <t>I-0840</t>
  </si>
  <si>
    <t>i.sujaputra@gmail.com</t>
  </si>
  <si>
    <t>I-0647</t>
  </si>
  <si>
    <t>I-288</t>
  </si>
  <si>
    <t>I-280</t>
  </si>
  <si>
    <t>Mandji</t>
  </si>
  <si>
    <t xml:space="preserve">jl A Dahlan 31 Beji Timur 
Depok</t>
  </si>
  <si>
    <t>I-0740</t>
  </si>
  <si>
    <t>Muda</t>
  </si>
  <si>
    <t xml:space="preserve">Palma Residenza No C5
Jalan Mesjid Nurul Hidayah
</t>
  </si>
  <si>
    <t>I-106</t>
  </si>
  <si>
    <t>Palm Spring Batam Center, Blok E No. 75</t>
  </si>
  <si>
    <t>I-107</t>
  </si>
  <si>
    <t>Siman</t>
  </si>
  <si>
    <t xml:space="preserve">Bukit Gading Mediterania
Jl.Kasablanka III Nom 6-7</t>
  </si>
  <si>
    <t>I-166</t>
  </si>
  <si>
    <t>Iskiworo</t>
  </si>
  <si>
    <t>I-0879</t>
  </si>
  <si>
    <t>Isma</t>
  </si>
  <si>
    <t>Ismawati</t>
  </si>
  <si>
    <t>6285220445588</t>
  </si>
  <si>
    <t>I-0833</t>
  </si>
  <si>
    <t>Ismagulova</t>
  </si>
  <si>
    <t>Rufina</t>
  </si>
  <si>
    <t>I-0860</t>
  </si>
  <si>
    <t>Setyabudi</t>
  </si>
  <si>
    <t>085238622164</t>
  </si>
  <si>
    <t>I-0739</t>
  </si>
  <si>
    <t>I-0506</t>
  </si>
  <si>
    <t>I-0886</t>
  </si>
  <si>
    <t>Muhajji</t>
  </si>
  <si>
    <t>620812241331330</t>
  </si>
  <si>
    <t>I-0607</t>
  </si>
  <si>
    <t>Sholeh</t>
  </si>
  <si>
    <t>Jalan Tebet Timur Dalam Raya No. 48A</t>
  </si>
  <si>
    <t>I-223</t>
  </si>
  <si>
    <t>Ismarina</t>
  </si>
  <si>
    <t>I-0814</t>
  </si>
  <si>
    <t>Ismayati</t>
  </si>
  <si>
    <t>+62816791113</t>
  </si>
  <si>
    <t>I-361</t>
  </si>
  <si>
    <t>jl.tasikmalaya no.17 menteng</t>
  </si>
  <si>
    <t>I-457</t>
  </si>
  <si>
    <t>Ismet</t>
  </si>
  <si>
    <t>I-111</t>
  </si>
  <si>
    <t>Isna</t>
  </si>
  <si>
    <t>I-0682</t>
  </si>
  <si>
    <t>I-0827</t>
  </si>
  <si>
    <t>Wardani</t>
  </si>
  <si>
    <t>Dswardani10@gmail.com</t>
  </si>
  <si>
    <t>628111151102</t>
  </si>
  <si>
    <t>Bukit Cimanggu City Blok AA no 1</t>
  </si>
  <si>
    <t>I-0733</t>
  </si>
  <si>
    <t>Isniani</t>
  </si>
  <si>
    <t>I-112</t>
  </si>
  <si>
    <t>Isril</t>
  </si>
  <si>
    <t>I-0468</t>
  </si>
  <si>
    <t>Issabella</t>
  </si>
  <si>
    <t>bella_la@hotmail.com</t>
  </si>
  <si>
    <t xml:space="preserve">Katamaran Permai no 22A
PIK</t>
  </si>
  <si>
    <t>I-0773</t>
  </si>
  <si>
    <t>Issmaa</t>
  </si>
  <si>
    <t>Cocconello</t>
  </si>
  <si>
    <t>I-0917</t>
  </si>
  <si>
    <t>Istiningdyah</t>
  </si>
  <si>
    <t>Saptarini</t>
  </si>
  <si>
    <t>istiningdyah.057@gmail.com</t>
  </si>
  <si>
    <t>628119789867</t>
  </si>
  <si>
    <t>I-0873</t>
  </si>
  <si>
    <t>Istuwati</t>
  </si>
  <si>
    <t>6281233441128</t>
  </si>
  <si>
    <t>Tamana Pondok Indah UX-7, Surabaya</t>
  </si>
  <si>
    <t>I-199</t>
  </si>
  <si>
    <t>Iswahyudi</t>
  </si>
  <si>
    <t>I-0737</t>
  </si>
  <si>
    <t>I-0462</t>
  </si>
  <si>
    <t>Priady</t>
  </si>
  <si>
    <t>62811833088</t>
  </si>
  <si>
    <t>I-115</t>
  </si>
  <si>
    <t>Iswandi</t>
  </si>
  <si>
    <t>I-0813</t>
  </si>
  <si>
    <t>I-0874</t>
  </si>
  <si>
    <t>iswant22@gmail.com</t>
  </si>
  <si>
    <t>6281386012321</t>
  </si>
  <si>
    <t>The Royale Springhill</t>
  </si>
  <si>
    <t>I-0575</t>
  </si>
  <si>
    <t>I-116</t>
  </si>
  <si>
    <t>Isya</t>
  </si>
  <si>
    <t xml:space="preserve">Jl,Tawar Mas 1/20
Jakarta 13210</t>
  </si>
  <si>
    <t>I-0852</t>
  </si>
  <si>
    <t>Jeeperson</t>
  </si>
  <si>
    <t>isyajj09@gmail.com</t>
  </si>
  <si>
    <t>6281280829992</t>
  </si>
  <si>
    <t>I-0931</t>
  </si>
  <si>
    <t>Isyana</t>
  </si>
  <si>
    <t>Sarasvati</t>
  </si>
  <si>
    <t>isyanasarasvati@gmail.com</t>
  </si>
  <si>
    <t>6282218122255</t>
  </si>
  <si>
    <t>I-0938</t>
  </si>
  <si>
    <t>Isye</t>
  </si>
  <si>
    <t>Fitriyuliastuti</t>
  </si>
  <si>
    <t>62811855546</t>
  </si>
  <si>
    <t xml:space="preserve">French walk apartment , tower lourdes garden ,
Mall MOI</t>
  </si>
  <si>
    <t>I-0688</t>
  </si>
  <si>
    <t>Iszamilda</t>
  </si>
  <si>
    <t>I-0658</t>
  </si>
  <si>
    <t>Ita</t>
  </si>
  <si>
    <t>I-118</t>
  </si>
  <si>
    <t>JL. Rasbai No.1 Taman Puring Kebayoran Baru</t>
  </si>
  <si>
    <t>I-409</t>
  </si>
  <si>
    <t>Jl. Pepaya 18B Pejaten</t>
  </si>
  <si>
    <t>I-0585</t>
  </si>
  <si>
    <t>I-0568</t>
  </si>
  <si>
    <t>Albero</t>
  </si>
  <si>
    <t>I-0825</t>
  </si>
  <si>
    <t>Cipete Raya No.80</t>
  </si>
  <si>
    <t>I-193</t>
  </si>
  <si>
    <t>Jl. Rajasa III No. 5</t>
  </si>
  <si>
    <t>I-0948</t>
  </si>
  <si>
    <t>Juwita</t>
  </si>
  <si>
    <t>6281355488848</t>
  </si>
  <si>
    <t>I-0711</t>
  </si>
  <si>
    <t>Mariza</t>
  </si>
  <si>
    <t>62811169065</t>
  </si>
  <si>
    <t>I-119</t>
  </si>
  <si>
    <t>Munjarwati</t>
  </si>
  <si>
    <t>I-0538</t>
  </si>
  <si>
    <t>I-370</t>
  </si>
  <si>
    <t>Pianca</t>
  </si>
  <si>
    <t>6287886966888</t>
  </si>
  <si>
    <t xml:space="preserve">Bangka kemang town house 
Jln Bangka 9 no.22c kav 1</t>
  </si>
  <si>
    <t>I-0519</t>
  </si>
  <si>
    <t>Jl.Cipaku I No.26 Rt 002/004 Kec kebayoran Baru Kel.Petogogan</t>
  </si>
  <si>
    <t>I-0730</t>
  </si>
  <si>
    <t>itaraharjo@gmail.com</t>
  </si>
  <si>
    <t>62818806871</t>
  </si>
  <si>
    <t>Lembang No.4 Menteng, Jak Pus</t>
  </si>
  <si>
    <t>I-120</t>
  </si>
  <si>
    <t>Puri Flamboyan</t>
  </si>
  <si>
    <t>Rempoa, Tangerang</t>
  </si>
  <si>
    <t>Jl. Flamboyan Kencana A4 No.4</t>
  </si>
  <si>
    <t>I-0539</t>
  </si>
  <si>
    <t>Tjokrosoeseno</t>
  </si>
  <si>
    <t>I-0512</t>
  </si>
  <si>
    <t>wijayanti</t>
  </si>
  <si>
    <t>I-121</t>
  </si>
  <si>
    <t>Itje</t>
  </si>
  <si>
    <t>Jl. Parakan Indah 1</t>
  </si>
  <si>
    <t>I-0518</t>
  </si>
  <si>
    <t>Ito</t>
  </si>
  <si>
    <t>Hediarto</t>
  </si>
  <si>
    <t xml:space="preserve">Mimosa V No.C-4 
Komp. Buncit Indah</t>
  </si>
  <si>
    <t>I-152</t>
  </si>
  <si>
    <t>Iva</t>
  </si>
  <si>
    <t>Rolansyah</t>
  </si>
  <si>
    <t>I-0694</t>
  </si>
  <si>
    <t xml:space="preserve">KOMP.PURI HIJAU KAV.99H 
JL.KOMPAS</t>
  </si>
  <si>
    <t>TANGERANG SELATAN</t>
  </si>
  <si>
    <t>I-0477</t>
  </si>
  <si>
    <t>elangmas@ymail.com</t>
  </si>
  <si>
    <t>jl. Sei Raya Dalam komp. Villa Kelapa Gading Permai no.C7</t>
  </si>
  <si>
    <t>pontianak</t>
  </si>
  <si>
    <t>I-212</t>
  </si>
  <si>
    <t>I-0595</t>
  </si>
  <si>
    <t>I-0692</t>
  </si>
  <si>
    <t>I-0882</t>
  </si>
  <si>
    <t>Danko</t>
  </si>
  <si>
    <t>marvelsony10@gmail.com</t>
  </si>
  <si>
    <t>6283168168168</t>
  </si>
  <si>
    <t>I-279</t>
  </si>
  <si>
    <t>I-147</t>
  </si>
  <si>
    <t>H-0731</t>
  </si>
  <si>
    <t>Hendrawinata</t>
  </si>
  <si>
    <t>vandenhen@gmail.com</t>
  </si>
  <si>
    <t>+6285959594023</t>
  </si>
  <si>
    <t>I-427</t>
  </si>
  <si>
    <t>ivanlius@ymail.com</t>
  </si>
  <si>
    <t>Jalan Florence 2 no 10 PIK</t>
  </si>
  <si>
    <t>I-393</t>
  </si>
  <si>
    <t>M-1177</t>
  </si>
  <si>
    <t>Mirza.</t>
  </si>
  <si>
    <t>I-0751</t>
  </si>
  <si>
    <t>Pashinskii</t>
  </si>
  <si>
    <t>I-0823</t>
  </si>
  <si>
    <t>I-0677</t>
  </si>
  <si>
    <t>I-0944</t>
  </si>
  <si>
    <t>6287881041614</t>
  </si>
  <si>
    <t>I-0522</t>
  </si>
  <si>
    <t>Jl.Dr.Mansyur No.4</t>
  </si>
  <si>
    <t>I-0659</t>
  </si>
  <si>
    <t>Yuseli</t>
  </si>
  <si>
    <t>Six Senses- Uluwatu - Bali</t>
  </si>
  <si>
    <t>I-0718</t>
  </si>
  <si>
    <t>Ivone</t>
  </si>
  <si>
    <t>+628129292971</t>
  </si>
  <si>
    <t>I-0542</t>
  </si>
  <si>
    <t>JL. Majapahit No.18 Appartment kuta mulia -Kuta Bali</t>
  </si>
  <si>
    <t>I-264</t>
  </si>
  <si>
    <t>Ivander</t>
  </si>
  <si>
    <t>Purvance</t>
  </si>
  <si>
    <t>ivander_purvance@hotmail.com</t>
  </si>
  <si>
    <t>Jl. Aquamarine Utara 5 No,36, Pondok Hijau Golf, Serpong 15810</t>
  </si>
  <si>
    <t>I-0862</t>
  </si>
  <si>
    <t>Ivanna</t>
  </si>
  <si>
    <t>6281586442828</t>
  </si>
  <si>
    <t>I-0811</t>
  </si>
  <si>
    <t>Ivanov</t>
  </si>
  <si>
    <t>RUSIA</t>
  </si>
  <si>
    <t>I-0812</t>
  </si>
  <si>
    <t>RUSSIA</t>
  </si>
  <si>
    <t>I-0643</t>
  </si>
  <si>
    <t>Ivantara</t>
  </si>
  <si>
    <t>Dviyudha</t>
  </si>
  <si>
    <t>Jl. Nimun Raya #25C Jakarta Selatan, 12240</t>
  </si>
  <si>
    <t>I-0725</t>
  </si>
  <si>
    <t>Ivo</t>
  </si>
  <si>
    <t>Nizian</t>
  </si>
  <si>
    <t>Cluster Btari BC 15 Sumarecon</t>
  </si>
  <si>
    <t>I-0469</t>
  </si>
  <si>
    <t>Ivon</t>
  </si>
  <si>
    <t>I-0923</t>
  </si>
  <si>
    <t>Rongre</t>
  </si>
  <si>
    <t>6281382077792</t>
  </si>
  <si>
    <t>I-174</t>
  </si>
  <si>
    <t>Ivonne</t>
  </si>
  <si>
    <t>i.sagita@yahoo.com</t>
  </si>
  <si>
    <t>MM 3 B</t>
  </si>
  <si>
    <t>I-0723</t>
  </si>
  <si>
    <t>Ivxin</t>
  </si>
  <si>
    <t>I-0887</t>
  </si>
  <si>
    <t>Ivy</t>
  </si>
  <si>
    <t>6282155899843</t>
  </si>
  <si>
    <t>I-335</t>
  </si>
  <si>
    <t>Kamadjaja</t>
  </si>
  <si>
    <t>I-0744</t>
  </si>
  <si>
    <t>Jalan Stasiun Dalam 3E Medan</t>
  </si>
  <si>
    <t>I-0783</t>
  </si>
  <si>
    <t>CBD Pluiit Apartement</t>
  </si>
  <si>
    <t>I-284</t>
  </si>
  <si>
    <t>Iwan</t>
  </si>
  <si>
    <t>I-175</t>
  </si>
  <si>
    <t>I-0559</t>
  </si>
  <si>
    <t>IWAN</t>
  </si>
  <si>
    <t>I-0536</t>
  </si>
  <si>
    <t>Agus)</t>
  </si>
  <si>
    <t>I-0646</t>
  </si>
  <si>
    <t>I-435</t>
  </si>
  <si>
    <t>hartono@bigpond.com</t>
  </si>
  <si>
    <t>Aston Marina Apartement Tower C27/AD Jakarta Utara</t>
  </si>
  <si>
    <t>I-0474</t>
  </si>
  <si>
    <t>Ryan</t>
  </si>
  <si>
    <t>+6281913521094</t>
  </si>
  <si>
    <t>Jalan Macan Kumbang IX No. 4104</t>
  </si>
  <si>
    <t>I-126</t>
  </si>
  <si>
    <t>Jl. O Kav. No. 13</t>
  </si>
  <si>
    <t>I-0772</t>
  </si>
  <si>
    <t>I-0613</t>
  </si>
  <si>
    <t>Laksmono</t>
  </si>
  <si>
    <t>I-127</t>
  </si>
  <si>
    <t>Mukmin</t>
  </si>
  <si>
    <t>JL.Bukit Tinggi No. 455 Blok M Mega Cinere</t>
  </si>
  <si>
    <t>I-128</t>
  </si>
  <si>
    <t>Pontjowinoto</t>
  </si>
  <si>
    <t>I-325</t>
  </si>
  <si>
    <t>I-0738</t>
  </si>
  <si>
    <t>Widarmana</t>
  </si>
  <si>
    <t>I-0500</t>
  </si>
  <si>
    <t>Sayuti</t>
  </si>
  <si>
    <t>I-0901</t>
  </si>
  <si>
    <t>Sm</t>
  </si>
  <si>
    <t>62811967799</t>
  </si>
  <si>
    <t>Jalan Yunus 3 Sukabumi</t>
  </si>
  <si>
    <t>I-0554</t>
  </si>
  <si>
    <t>Sudirlan</t>
  </si>
  <si>
    <t>Jl Kerinci III No 4 Kebayoran Baru JAKARTA 12120</t>
  </si>
  <si>
    <t>I-167</t>
  </si>
  <si>
    <t>I-0747</t>
  </si>
  <si>
    <t>I-163</t>
  </si>
  <si>
    <t>Jl.Tanjung Raya No.151</t>
  </si>
  <si>
    <t>I-0915</t>
  </si>
  <si>
    <t>Tanuwijaya</t>
  </si>
  <si>
    <t>tanuwijaya.iwan@gmail.com</t>
  </si>
  <si>
    <t>6281314717500</t>
  </si>
  <si>
    <t>Holland Village</t>
  </si>
  <si>
    <t>I-131</t>
  </si>
  <si>
    <t>Jl. Cideng Timur 72</t>
  </si>
  <si>
    <t>I-0611</t>
  </si>
  <si>
    <t>I-412</t>
  </si>
  <si>
    <t>setiawan.winarto@gmail.com</t>
  </si>
  <si>
    <t>Jl. H. Salim No. 1 Radio Dalam</t>
  </si>
  <si>
    <t>I-0777</t>
  </si>
  <si>
    <t>Yogasara</t>
  </si>
  <si>
    <t>Perumahan Kebayoran New</t>
  </si>
  <si>
    <t>I-133</t>
  </si>
  <si>
    <t>Iwet</t>
  </si>
  <si>
    <t xml:space="preserve">8th Fl. Sarinah Bldg.
jl MH Tmarin 11</t>
  </si>
  <si>
    <t>I-134</t>
  </si>
  <si>
    <t>Iyan</t>
  </si>
  <si>
    <t>Jl. Pluit Barat III A No. 9</t>
  </si>
  <si>
    <t>I-0624</t>
  </si>
  <si>
    <t>I-183</t>
  </si>
  <si>
    <t>Iyet</t>
  </si>
  <si>
    <t>Rachmawati</t>
  </si>
  <si>
    <t>I-0766</t>
  </si>
  <si>
    <t>Izha</t>
  </si>
  <si>
    <t>izhayudha@gmail.com</t>
  </si>
  <si>
    <t>Premiere Golf No.3, Modernland</t>
  </si>
  <si>
    <t>I-0651</t>
  </si>
  <si>
    <t>Izzuddin</t>
  </si>
  <si>
    <t>J-041</t>
  </si>
  <si>
    <t>J-136</t>
  </si>
  <si>
    <t>Lumbuun</t>
  </si>
  <si>
    <t>Jl. Biak No. 1A</t>
  </si>
  <si>
    <t>J-165</t>
  </si>
  <si>
    <t>Loenadisastra</t>
  </si>
  <si>
    <t>J-0517</t>
  </si>
  <si>
    <t>J.Ginting</t>
  </si>
  <si>
    <t>J-0990</t>
  </si>
  <si>
    <t>Jabbarzadeh Khoei</t>
  </si>
  <si>
    <t>Nazanin</t>
  </si>
  <si>
    <t>natalie@meshki.com.au</t>
  </si>
  <si>
    <t>+61466820730</t>
  </si>
  <si>
    <t>J-0746</t>
  </si>
  <si>
    <t>Jacintha</t>
  </si>
  <si>
    <t>J-181</t>
  </si>
  <si>
    <t>Jack</t>
  </si>
  <si>
    <t>J-002</t>
  </si>
  <si>
    <t>J-001</t>
  </si>
  <si>
    <t>Jackson</t>
  </si>
  <si>
    <t>Hilary(EUR)</t>
  </si>
  <si>
    <t>J-255</t>
  </si>
  <si>
    <t>Jacky</t>
  </si>
  <si>
    <t>J-0662</t>
  </si>
  <si>
    <t>J-0714</t>
  </si>
  <si>
    <t>J-244</t>
  </si>
  <si>
    <t>J-185</t>
  </si>
  <si>
    <t>J-003</t>
  </si>
  <si>
    <t>Jacob</t>
  </si>
  <si>
    <t>J-382</t>
  </si>
  <si>
    <t>Zwaan</t>
  </si>
  <si>
    <t>J-004</t>
  </si>
  <si>
    <t>Jacoba</t>
  </si>
  <si>
    <t>Jozal</t>
  </si>
  <si>
    <t>J-0947</t>
  </si>
  <si>
    <t>Jacqueline</t>
  </si>
  <si>
    <t>aswin.sumampau@gamil.com</t>
  </si>
  <si>
    <t>Jl.Sekolah Duta Raya No.1 CA</t>
  </si>
  <si>
    <t>J-0672</t>
  </si>
  <si>
    <t>Tatang</t>
  </si>
  <si>
    <t>J-007</t>
  </si>
  <si>
    <t>Jacquin</t>
  </si>
  <si>
    <t>samuel.jacquin@diplomatic.gous.fr</t>
  </si>
  <si>
    <t>French Embassy - Jakarta</t>
  </si>
  <si>
    <t>J-0822</t>
  </si>
  <si>
    <t>J-009</t>
  </si>
  <si>
    <t>Jae</t>
  </si>
  <si>
    <t>Yoo</t>
  </si>
  <si>
    <t>Pakubuwono Apt. Tower Basswood  #8C</t>
  </si>
  <si>
    <t>Jl. Pakubuwono, Kebayoran Baru</t>
  </si>
  <si>
    <t>J-0953</t>
  </si>
  <si>
    <t>Jaggi</t>
  </si>
  <si>
    <t>Himanshu</t>
  </si>
  <si>
    <t>+00919619955530</t>
  </si>
  <si>
    <t>J-170</t>
  </si>
  <si>
    <t>Jahja</t>
  </si>
  <si>
    <t>J-1124</t>
  </si>
  <si>
    <t>Jaipal</t>
  </si>
  <si>
    <t>Kantha</t>
  </si>
  <si>
    <t>jaipalyadan4455@gmail.com</t>
  </si>
  <si>
    <t>919704949129</t>
  </si>
  <si>
    <t>J-0658</t>
  </si>
  <si>
    <t>Jaka</t>
  </si>
  <si>
    <t>Rachmansyah</t>
  </si>
  <si>
    <t>J-0711</t>
  </si>
  <si>
    <t>Jake</t>
  </si>
  <si>
    <t>J-174</t>
  </si>
  <si>
    <t>Jakub</t>
  </si>
  <si>
    <t>J-408</t>
  </si>
  <si>
    <t>Jali</t>
  </si>
  <si>
    <t>Sugiarso</t>
  </si>
  <si>
    <t>J-214</t>
  </si>
  <si>
    <t>Jaliati</t>
  </si>
  <si>
    <t>J-0900</t>
  </si>
  <si>
    <t>Jamal</t>
  </si>
  <si>
    <t>Ghozi</t>
  </si>
  <si>
    <t>62811344949</t>
  </si>
  <si>
    <t>J-383</t>
  </si>
  <si>
    <t>Jamalludin</t>
  </si>
  <si>
    <t>Jafar</t>
  </si>
  <si>
    <t>J-0725</t>
  </si>
  <si>
    <t>Jamaluddin</t>
  </si>
  <si>
    <t>alfi.jamal@gmail.com</t>
  </si>
  <si>
    <t>Lhokseumawe Aceh</t>
  </si>
  <si>
    <t>J-0857</t>
  </si>
  <si>
    <t>james30598@gmail.com</t>
  </si>
  <si>
    <t>3807834760444</t>
  </si>
  <si>
    <t>J-0785</t>
  </si>
  <si>
    <t>J-0716</t>
  </si>
  <si>
    <t>Liwan</t>
  </si>
  <si>
    <t>Bugenteam@outlook.com</t>
  </si>
  <si>
    <t>J-016</t>
  </si>
  <si>
    <t>Lo(KOREA)</t>
  </si>
  <si>
    <t>J-0442</t>
  </si>
  <si>
    <t>jameslontoh@yahoo.com</t>
  </si>
  <si>
    <t>J-0966</t>
  </si>
  <si>
    <t>Oliver</t>
  </si>
  <si>
    <t>J-377</t>
  </si>
  <si>
    <t>Seggie</t>
  </si>
  <si>
    <t>J-1072</t>
  </si>
  <si>
    <t>chienjames86@gmail.com</t>
  </si>
  <si>
    <t>+628119339929</t>
  </si>
  <si>
    <t>J-0556</t>
  </si>
  <si>
    <t>Winson</t>
  </si>
  <si>
    <t>Green Garden Blok B1/29</t>
  </si>
  <si>
    <t>J-1037</t>
  </si>
  <si>
    <t>Jamet</t>
  </si>
  <si>
    <t>Nijo</t>
  </si>
  <si>
    <t>jamet.nijo@gmail.com</t>
  </si>
  <si>
    <t>6281245641786</t>
  </si>
  <si>
    <t>J-309</t>
  </si>
  <si>
    <t>Jamila</t>
  </si>
  <si>
    <t>J-0608</t>
  </si>
  <si>
    <t>Jan</t>
  </si>
  <si>
    <t>Semesta</t>
  </si>
  <si>
    <t>J-350</t>
  </si>
  <si>
    <t>Jana</t>
  </si>
  <si>
    <t>J-0783</t>
  </si>
  <si>
    <t>Jane</t>
  </si>
  <si>
    <t>J-0548</t>
  </si>
  <si>
    <t>B-0618</t>
  </si>
  <si>
    <t>Bowlen Jane</t>
  </si>
  <si>
    <t>bethbowlen@aol.com</t>
  </si>
  <si>
    <t>13039814176</t>
  </si>
  <si>
    <t>J-0469</t>
  </si>
  <si>
    <t>Kenny</t>
  </si>
  <si>
    <t xml:space="preserve">Pluit Timur Raya 12A
Birth 06.11.1986</t>
  </si>
  <si>
    <t>J-020</t>
  </si>
  <si>
    <t>Prawitra</t>
  </si>
  <si>
    <t>62818818305</t>
  </si>
  <si>
    <t>Jl. Widya Chandra VI/8</t>
  </si>
  <si>
    <t>J-1010</t>
  </si>
  <si>
    <t>Pawitra</t>
  </si>
  <si>
    <t>J-0803</t>
  </si>
  <si>
    <t>Virgia</t>
  </si>
  <si>
    <t>+628129012788</t>
  </si>
  <si>
    <t>J-0963</t>
  </si>
  <si>
    <t>Janette</t>
  </si>
  <si>
    <t>Jesslyn</t>
  </si>
  <si>
    <t>janette.jesslyn@gmail.com</t>
  </si>
  <si>
    <t>6281316008500</t>
  </si>
  <si>
    <t>Taman Anggrek Jakarta</t>
  </si>
  <si>
    <t>J-0959</t>
  </si>
  <si>
    <t>Judi</t>
  </si>
  <si>
    <t>Jalan jati Barang 9 no 11</t>
  </si>
  <si>
    <t>J-323</t>
  </si>
  <si>
    <t>J-0726</t>
  </si>
  <si>
    <t>J-0502</t>
  </si>
  <si>
    <t>J-0964</t>
  </si>
  <si>
    <t>Yongho</t>
  </si>
  <si>
    <t>J-178</t>
  </si>
  <si>
    <t>Jani</t>
  </si>
  <si>
    <t>Sutrisna</t>
  </si>
  <si>
    <t xml:space="preserve">Jl. Kintamani I Mass
Kelapa Gading</t>
  </si>
  <si>
    <t>J-0989</t>
  </si>
  <si>
    <t>J-0816</t>
  </si>
  <si>
    <t>Subowo</t>
  </si>
  <si>
    <t>6281390001692</t>
  </si>
  <si>
    <t>J-0818</t>
  </si>
  <si>
    <t>janiceang028@gmail.com</t>
  </si>
  <si>
    <t>Jl. Kampus Unesa I</t>
  </si>
  <si>
    <t>J-187</t>
  </si>
  <si>
    <t>Tjioe</t>
  </si>
  <si>
    <t>6281294113988</t>
  </si>
  <si>
    <t>J-1003</t>
  </si>
  <si>
    <t>Woen</t>
  </si>
  <si>
    <t>janicewoen@gmail.com</t>
  </si>
  <si>
    <t>6281293383298</t>
  </si>
  <si>
    <t>J-0520</t>
  </si>
  <si>
    <t>Janis</t>
  </si>
  <si>
    <t>Urste</t>
  </si>
  <si>
    <t>J-205</t>
  </si>
  <si>
    <t>Janki</t>
  </si>
  <si>
    <t>Bharwani</t>
  </si>
  <si>
    <t>L-1641</t>
  </si>
  <si>
    <t>Janlyn</t>
  </si>
  <si>
    <t>62811909138</t>
  </si>
  <si>
    <t>J-1057</t>
  </si>
  <si>
    <t>Janna</t>
  </si>
  <si>
    <t>Kundjung</t>
  </si>
  <si>
    <t>61457620083</t>
  </si>
  <si>
    <t>J-024</t>
  </si>
  <si>
    <t>J-0906</t>
  </si>
  <si>
    <t>Jannette</t>
  </si>
  <si>
    <t>J-0734</t>
  </si>
  <si>
    <t>Janni</t>
  </si>
  <si>
    <t>J-433</t>
  </si>
  <si>
    <t>Janpie</t>
  </si>
  <si>
    <t>J-0850</t>
  </si>
  <si>
    <t>Jansay</t>
  </si>
  <si>
    <t>R-109</t>
  </si>
  <si>
    <t>Janty Mardianti</t>
  </si>
  <si>
    <t>62816953301</t>
  </si>
  <si>
    <t>J-259</t>
  </si>
  <si>
    <t>janti</t>
  </si>
  <si>
    <t>Sentosa</t>
  </si>
  <si>
    <t>Jl. Kembang Harum VII Blok C8 no. 4</t>
  </si>
  <si>
    <t>J-0927</t>
  </si>
  <si>
    <t>Surjami</t>
  </si>
  <si>
    <t>+6281386685599</t>
  </si>
  <si>
    <t>Mega Kebon Jeruk Blok B5 No.2</t>
  </si>
  <si>
    <t>J-209</t>
  </si>
  <si>
    <t>Janty</t>
  </si>
  <si>
    <t>J-0950</t>
  </si>
  <si>
    <t>Komar</t>
  </si>
  <si>
    <t>jantikomar@yahoo.com</t>
  </si>
  <si>
    <t>+628119352100</t>
  </si>
  <si>
    <t>Simprug Garden V/A4</t>
  </si>
  <si>
    <t>J-241</t>
  </si>
  <si>
    <t>J-026</t>
  </si>
  <si>
    <t>J-1076</t>
  </si>
  <si>
    <t>Januardi</t>
  </si>
  <si>
    <t>J-0933</t>
  </si>
  <si>
    <t>Ling Jap</t>
  </si>
  <si>
    <t>deasycatharina@yahoo.com</t>
  </si>
  <si>
    <t>62817755780</t>
  </si>
  <si>
    <t>Kond.Taman Anggrek Tower 1/12i</t>
  </si>
  <si>
    <t>J-0685</t>
  </si>
  <si>
    <t>Jap</t>
  </si>
  <si>
    <t>J-0890</t>
  </si>
  <si>
    <t>Sin</t>
  </si>
  <si>
    <t>J-0645</t>
  </si>
  <si>
    <t>Japansen</t>
  </si>
  <si>
    <t>J-369</t>
  </si>
  <si>
    <t>Jaryo/Sherly</t>
  </si>
  <si>
    <t>J-0765</t>
  </si>
  <si>
    <t>Jasmin</t>
  </si>
  <si>
    <t>Nathalia</t>
  </si>
  <si>
    <t>J-212</t>
  </si>
  <si>
    <t xml:space="preserve">Cibulan ZA No.1
Woltermongonsidi</t>
  </si>
  <si>
    <t>J-1049</t>
  </si>
  <si>
    <t>Bintoso</t>
  </si>
  <si>
    <t>6281257870966</t>
  </si>
  <si>
    <t>J-0723</t>
  </si>
  <si>
    <t>jasmine.kusuma@gmail.com</t>
  </si>
  <si>
    <t>Simprug Golf 4 #106 Jakarta</t>
  </si>
  <si>
    <t>J-0940</t>
  </si>
  <si>
    <t>J-0844</t>
  </si>
  <si>
    <t>Samali</t>
  </si>
  <si>
    <t>JL Batubara no 28/2</t>
  </si>
  <si>
    <t>J-0838</t>
  </si>
  <si>
    <t>Sjarif</t>
  </si>
  <si>
    <t>Jalan Gedung Pinang 165 SM 12 Pondok Indah</t>
  </si>
  <si>
    <t>J-0609</t>
  </si>
  <si>
    <t>Jason</t>
  </si>
  <si>
    <t>6281282008809</t>
  </si>
  <si>
    <t>J-0805</t>
  </si>
  <si>
    <t>Xu</t>
  </si>
  <si>
    <t>532905439@gg.com</t>
  </si>
  <si>
    <t xml:space="preserve">Taman Palem Lestari 
Blok C16 no.29</t>
  </si>
  <si>
    <t>J-0581</t>
  </si>
  <si>
    <t>Pontoh</t>
  </si>
  <si>
    <t>J-1013</t>
  </si>
  <si>
    <t>Sunzhan</t>
  </si>
  <si>
    <t>913488789@qq.com</t>
  </si>
  <si>
    <t>+6281329009088</t>
  </si>
  <si>
    <t>J-0942</t>
  </si>
  <si>
    <t>Adiputra</t>
  </si>
  <si>
    <t>PERMATA HIJAU BLOK X KAV C</t>
  </si>
  <si>
    <t>J-029</t>
  </si>
  <si>
    <t>Jatmo</t>
  </si>
  <si>
    <t>Pitono</t>
  </si>
  <si>
    <t>J-0715</t>
  </si>
  <si>
    <t>Jauharoh</t>
  </si>
  <si>
    <t>Haddad</t>
  </si>
  <si>
    <t>J-0955</t>
  </si>
  <si>
    <t>Javier</t>
  </si>
  <si>
    <t>J-1105</t>
  </si>
  <si>
    <t>Jay</t>
  </si>
  <si>
    <t>+8211077503807</t>
  </si>
  <si>
    <t>J-0625</t>
  </si>
  <si>
    <t>J-0454</t>
  </si>
  <si>
    <t>+628118507065</t>
  </si>
  <si>
    <t>J-1032</t>
  </si>
  <si>
    <t>6285219997691</t>
  </si>
  <si>
    <t>J-031</t>
  </si>
  <si>
    <t>Wisma Meropolitan 2, 15th Floor. Jl.Jend Sudirman</t>
  </si>
  <si>
    <t>J-396</t>
  </si>
  <si>
    <t>Jayden</t>
  </si>
  <si>
    <t>J-335</t>
  </si>
  <si>
    <t>Jazmine</t>
  </si>
  <si>
    <t>muliadysaja@gmail.com</t>
  </si>
  <si>
    <t>J-0474</t>
  </si>
  <si>
    <t>Handriyanto</t>
  </si>
  <si>
    <t>jbhsurjadi@gmail.com</t>
  </si>
  <si>
    <t>62811982111</t>
  </si>
  <si>
    <t>J-0739</t>
  </si>
  <si>
    <t>JC.</t>
  </si>
  <si>
    <t>Filippi</t>
  </si>
  <si>
    <t>D-1118</t>
  </si>
  <si>
    <t>Jean</t>
  </si>
  <si>
    <t>J-037</t>
  </si>
  <si>
    <t>J-0867</t>
  </si>
  <si>
    <t>Jeandy</t>
  </si>
  <si>
    <t>Musalim</t>
  </si>
  <si>
    <t>J-1107</t>
  </si>
  <si>
    <t>Jeane</t>
  </si>
  <si>
    <t>Auwines</t>
  </si>
  <si>
    <t>628129965000</t>
  </si>
  <si>
    <t>J-0500</t>
  </si>
  <si>
    <t>Jl. Kuta Elok 25</t>
  </si>
  <si>
    <t>J-299</t>
  </si>
  <si>
    <t>Stavia</t>
  </si>
  <si>
    <t>J-1104</t>
  </si>
  <si>
    <t>Jeanette</t>
  </si>
  <si>
    <t>Gandatresna</t>
  </si>
  <si>
    <t>62811193165</t>
  </si>
  <si>
    <t>J-419</t>
  </si>
  <si>
    <t>Darmawangsa XVII/41</t>
  </si>
  <si>
    <t>Jakarta Selatan 12440</t>
  </si>
  <si>
    <t>J-0546</t>
  </si>
  <si>
    <t>Jeanilo</t>
  </si>
  <si>
    <t>Puri Jimbaran I Blok E 6 B/2</t>
  </si>
  <si>
    <t>J-365</t>
  </si>
  <si>
    <t>Jeanne</t>
  </si>
  <si>
    <t>J-034</t>
  </si>
  <si>
    <t>Tumilaaak</t>
  </si>
  <si>
    <t>JL. Bukit Hijau I / 23 Pondok Indah</t>
  </si>
  <si>
    <t>J-164</t>
  </si>
  <si>
    <t xml:space="preserve">Istana Sukajadi B 20 
Bandung 40161</t>
  </si>
  <si>
    <t>J-0956</t>
  </si>
  <si>
    <t>Jeannie</t>
  </si>
  <si>
    <t>J-0464</t>
  </si>
  <si>
    <t>sefi</t>
  </si>
  <si>
    <t>J-0750</t>
  </si>
  <si>
    <t>Sathya</t>
  </si>
  <si>
    <t>Jeannifer</t>
  </si>
  <si>
    <t>62816843177</t>
  </si>
  <si>
    <t>J-162</t>
  </si>
  <si>
    <t>Jeanniffer</t>
  </si>
  <si>
    <t>J-0599</t>
  </si>
  <si>
    <t>Jeanny</t>
  </si>
  <si>
    <t>Tjoanda</t>
  </si>
  <si>
    <t>628161864091</t>
  </si>
  <si>
    <t>J-035</t>
  </si>
  <si>
    <t xml:space="preserve">Apt. Taman Anggrek Tower 6
lt.17B, Slipi</t>
  </si>
  <si>
    <t>J-0987</t>
  </si>
  <si>
    <t>Somerset Permata Berlian Res unit N 2703</t>
  </si>
  <si>
    <t>J-272</t>
  </si>
  <si>
    <t>J-0620</t>
  </si>
  <si>
    <t>Jeany</t>
  </si>
  <si>
    <t>Rancamanyar II</t>
  </si>
  <si>
    <t>J-196</t>
  </si>
  <si>
    <t>Harjanto</t>
  </si>
  <si>
    <t>Pulau Genteng V Q6/40</t>
  </si>
  <si>
    <t>J-0667</t>
  </si>
  <si>
    <t>J-0930</t>
  </si>
  <si>
    <t>Jedjunya</t>
  </si>
  <si>
    <t>Siripakkaphant</t>
  </si>
  <si>
    <t>J-1011</t>
  </si>
  <si>
    <t>Jee</t>
  </si>
  <si>
    <t>yeon</t>
  </si>
  <si>
    <t>J-0831</t>
  </si>
  <si>
    <t>Jeemin</t>
  </si>
  <si>
    <t>jeeminpark0221@gmail.com</t>
  </si>
  <si>
    <t>Raffles Hils Block J8/10</t>
  </si>
  <si>
    <t>J-0745</t>
  </si>
  <si>
    <t>Jeff</t>
  </si>
  <si>
    <t>Damaris</t>
  </si>
  <si>
    <t>J-168</t>
  </si>
  <si>
    <t>J-1059</t>
  </si>
  <si>
    <t>jeffhang@gmail.com.</t>
  </si>
  <si>
    <t>J-0470</t>
  </si>
  <si>
    <t>Saksono</t>
  </si>
  <si>
    <t>derynmega@hotmail.com</t>
  </si>
  <si>
    <t xml:space="preserve">Pluit Timur raya no.19
Jakarta - Utara</t>
  </si>
  <si>
    <t>J-145</t>
  </si>
  <si>
    <t>Jeffrey</t>
  </si>
  <si>
    <t>J-166</t>
  </si>
  <si>
    <t xml:space="preserve">Wisma 46 Kota BNI Lt.37
Suit 37-02</t>
  </si>
  <si>
    <t>J-0881</t>
  </si>
  <si>
    <t>Webb</t>
  </si>
  <si>
    <t>whiterabbit.webb@gmail.com</t>
  </si>
  <si>
    <t>Jl. Pecatu, Ungasan - Bali</t>
  </si>
  <si>
    <t>J-0796</t>
  </si>
  <si>
    <t>Jl. Benda 100A Kav. C, Cilandak 12560 Jak Sel</t>
  </si>
  <si>
    <t>J-039</t>
  </si>
  <si>
    <t>Jeffrie</t>
  </si>
  <si>
    <t>Jl. Simpruk Golf XI No. 154</t>
  </si>
  <si>
    <t>J-040</t>
  </si>
  <si>
    <t>Jeffry</t>
  </si>
  <si>
    <t>Pasar Pagi Mangga Dua Lt. 5 B-58</t>
  </si>
  <si>
    <t>J-0579</t>
  </si>
  <si>
    <t xml:space="preserve">Jl.Puri Kembang Timur Blok E1 No.41
Jakarta Barat</t>
  </si>
  <si>
    <t>J-1123</t>
  </si>
  <si>
    <t>Oktavianus</t>
  </si>
  <si>
    <t>Jefriokt@gmail.com</t>
  </si>
  <si>
    <t>62811888013191</t>
  </si>
  <si>
    <t>Jl. Arjuna No. 1, Jakarta, Indonesia</t>
  </si>
  <si>
    <t>J-0962</t>
  </si>
  <si>
    <t>Onderius Janto</t>
  </si>
  <si>
    <t>628158910117</t>
  </si>
  <si>
    <t>J-0946</t>
  </si>
  <si>
    <t>J-405</t>
  </si>
  <si>
    <t xml:space="preserve">Jl.Pondok Aren II no.3 RT001/003
Tangerang Selatan</t>
  </si>
  <si>
    <t>J-296</t>
  </si>
  <si>
    <t>Jefta</t>
  </si>
  <si>
    <t>J-0991</t>
  </si>
  <si>
    <t>Jehan</t>
  </si>
  <si>
    <t>Ar'Rahman</t>
  </si>
  <si>
    <t>jehanarrahman@gmail.com</t>
  </si>
  <si>
    <t>+6281111119965</t>
  </si>
  <si>
    <t>Apartment District 8 SCBD</t>
  </si>
  <si>
    <t>J-0577</t>
  </si>
  <si>
    <t>Jehoichin</t>
  </si>
  <si>
    <t>jkenthidayat@gmail.com</t>
  </si>
  <si>
    <t>J-1043</t>
  </si>
  <si>
    <t>Jeihan Nabila</t>
  </si>
  <si>
    <t>Fadel Muhammad</t>
  </si>
  <si>
    <t>jei.nabila@gmail.com</t>
  </si>
  <si>
    <t>62811994006</t>
  </si>
  <si>
    <t>J-146</t>
  </si>
  <si>
    <t>Jeje</t>
  </si>
  <si>
    <t>Nuryani</t>
  </si>
  <si>
    <t>J-0853</t>
  </si>
  <si>
    <t>Soekarno</t>
  </si>
  <si>
    <t xml:space="preserve">Jl.Cilandak III No.23 
Jakarta Selatan</t>
  </si>
  <si>
    <t>J-0674</t>
  </si>
  <si>
    <t>Jekk</t>
  </si>
  <si>
    <t>J-0582</t>
  </si>
  <si>
    <t>jelitatan@gmail.com</t>
  </si>
  <si>
    <t>6282188990028</t>
  </si>
  <si>
    <t>J-0764</t>
  </si>
  <si>
    <t>Jem</t>
  </si>
  <si>
    <t>Telenggen</t>
  </si>
  <si>
    <t>J-425</t>
  </si>
  <si>
    <t>Jemmy</t>
  </si>
  <si>
    <t>J-0538</t>
  </si>
  <si>
    <t>Nahawi</t>
  </si>
  <si>
    <t>J-378</t>
  </si>
  <si>
    <t>J-432</t>
  </si>
  <si>
    <t>Thymothius</t>
  </si>
  <si>
    <t>J-301</t>
  </si>
  <si>
    <t>Jemy</t>
  </si>
  <si>
    <t>J-189</t>
  </si>
  <si>
    <t>Jen</t>
  </si>
  <si>
    <t>Mie</t>
  </si>
  <si>
    <t xml:space="preserve">Sunter Bisma Blok B
Jl. bisma 7 No.9C</t>
  </si>
  <si>
    <t>J-0920</t>
  </si>
  <si>
    <t>Jenifer</t>
  </si>
  <si>
    <t>J-0780</t>
  </si>
  <si>
    <t>PIK Rome 5 /10 jakarta utara</t>
  </si>
  <si>
    <t>J-0540</t>
  </si>
  <si>
    <t>Jenita</t>
  </si>
  <si>
    <t>J-0774</t>
  </si>
  <si>
    <t>Jenna</t>
  </si>
  <si>
    <t>79852299589</t>
  </si>
  <si>
    <t>J-263</t>
  </si>
  <si>
    <t>Jennie</t>
  </si>
  <si>
    <t>J-0952</t>
  </si>
  <si>
    <t>J-0837</t>
  </si>
  <si>
    <t>jennifertengio@gmail.com</t>
  </si>
  <si>
    <t>6282161005888</t>
  </si>
  <si>
    <t>Muara Karang Blok Z 1B/35</t>
  </si>
  <si>
    <t>J-0489</t>
  </si>
  <si>
    <t>J-1017</t>
  </si>
  <si>
    <t>Coppen</t>
  </si>
  <si>
    <t>jeje.business20@yahoo.com</t>
  </si>
  <si>
    <t>6281211491665</t>
  </si>
  <si>
    <t>Jl. Bedugul I no.33 A/B, Bali</t>
  </si>
  <si>
    <t>J-0724</t>
  </si>
  <si>
    <t>Dju</t>
  </si>
  <si>
    <t>J-0926</t>
  </si>
  <si>
    <t>J-1080</t>
  </si>
  <si>
    <t>6281181235554</t>
  </si>
  <si>
    <t>J-0839</t>
  </si>
  <si>
    <t>6281513066937</t>
  </si>
  <si>
    <t>J-0893</t>
  </si>
  <si>
    <t>Maje</t>
  </si>
  <si>
    <t>J-0613</t>
  </si>
  <si>
    <t>Novia</t>
  </si>
  <si>
    <t>J-257</t>
  </si>
  <si>
    <t>Patra</t>
  </si>
  <si>
    <t>J-1073</t>
  </si>
  <si>
    <t>Raj</t>
  </si>
  <si>
    <t>6281318407859</t>
  </si>
  <si>
    <t>J-342</t>
  </si>
  <si>
    <t>T Kebun Jeruk I 59-60</t>
  </si>
  <si>
    <t>J-0580</t>
  </si>
  <si>
    <t>Tumbuan</t>
  </si>
  <si>
    <t>J-1029</t>
  </si>
  <si>
    <t>6281320556677</t>
  </si>
  <si>
    <t>J-0885</t>
  </si>
  <si>
    <t>Jenniffer</t>
  </si>
  <si>
    <t>J-0836</t>
  </si>
  <si>
    <t>Jenny</t>
  </si>
  <si>
    <t>6281617772711</t>
  </si>
  <si>
    <t>J-1060</t>
  </si>
  <si>
    <t>J-297</t>
  </si>
  <si>
    <t>62818185398</t>
  </si>
  <si>
    <t>J-0561</t>
  </si>
  <si>
    <t>J-0896</t>
  </si>
  <si>
    <t>Kartono</t>
  </si>
  <si>
    <t>6281218044666</t>
  </si>
  <si>
    <t>J-0692</t>
  </si>
  <si>
    <t>Budiati</t>
  </si>
  <si>
    <t>628158000135</t>
  </si>
  <si>
    <t>J-0749</t>
  </si>
  <si>
    <t>Djap</t>
  </si>
  <si>
    <t>Ancol Barat</t>
  </si>
  <si>
    <t>J-1014</t>
  </si>
  <si>
    <t>628788590072</t>
  </si>
  <si>
    <t>J-0758</t>
  </si>
  <si>
    <t>J-042</t>
  </si>
  <si>
    <t>Tjahjana</t>
  </si>
  <si>
    <t>J-0854</t>
  </si>
  <si>
    <t>Hoza</t>
  </si>
  <si>
    <t>J-0541</t>
  </si>
  <si>
    <t>Kalalo</t>
  </si>
  <si>
    <t>J-0514</t>
  </si>
  <si>
    <t xml:space="preserve">Aristoteles Raya No.5 
Gading Serpong</t>
  </si>
  <si>
    <t>J-0775</t>
  </si>
  <si>
    <t>Marcella</t>
  </si>
  <si>
    <t>jennymarcella88@gmail.com</t>
  </si>
  <si>
    <t>Jl. Letjen SParman Kav 28</t>
  </si>
  <si>
    <t>J-1027</t>
  </si>
  <si>
    <t>Murphy</t>
  </si>
  <si>
    <t>610415566145</t>
  </si>
  <si>
    <t>J-0986</t>
  </si>
  <si>
    <t>628158028013</t>
  </si>
  <si>
    <t>J-0588</t>
  </si>
  <si>
    <t>J-0922</t>
  </si>
  <si>
    <t>jennysin28@yahoo.com</t>
  </si>
  <si>
    <t>J-0583</t>
  </si>
  <si>
    <t>J-243</t>
  </si>
  <si>
    <t>J-1038</t>
  </si>
  <si>
    <t>6282299088888</t>
  </si>
  <si>
    <t>J-0467</t>
  </si>
  <si>
    <t>J-0951</t>
  </si>
  <si>
    <t>St. Regis Residence</t>
  </si>
  <si>
    <t>J-0784</t>
  </si>
  <si>
    <t>J-0523</t>
  </si>
  <si>
    <t>J-144</t>
  </si>
  <si>
    <t>Jentty</t>
  </si>
  <si>
    <t>Gading Serpong</t>
  </si>
  <si>
    <t>J-287</t>
  </si>
  <si>
    <t>Jenty</t>
  </si>
  <si>
    <t>6285282777796</t>
  </si>
  <si>
    <t xml:space="preserve">De Park Brassia D5/3
BSD Tanggerang 15820</t>
  </si>
  <si>
    <t>J-1018</t>
  </si>
  <si>
    <t>Jeny</t>
  </si>
  <si>
    <t>jenyong9@gmail.com</t>
  </si>
  <si>
    <t>+6287877237382</t>
  </si>
  <si>
    <t>Taman Aries Tirta 1 lok H5/1 - Jakarta Barat</t>
  </si>
  <si>
    <t>J-047</t>
  </si>
  <si>
    <t>Jl. Singoroto No. 7</t>
  </si>
  <si>
    <t>J-307</t>
  </si>
  <si>
    <t>Jeong</t>
  </si>
  <si>
    <t>Aapartemen Kintamani C706</t>
  </si>
  <si>
    <t>J-0918</t>
  </si>
  <si>
    <t xml:space="preserve">LIPPO KARAWACI AMARTAPURA
APRT TOWER B,LANTAI 30D
LIPPO KARAWACI</t>
  </si>
  <si>
    <t>J-0898</t>
  </si>
  <si>
    <t>Yeuihan</t>
  </si>
  <si>
    <t>J-0841</t>
  </si>
  <si>
    <t>J-0832</t>
  </si>
  <si>
    <t>Jeonghwa</t>
  </si>
  <si>
    <t>Ku</t>
  </si>
  <si>
    <t>kujulia@hanmail.net</t>
  </si>
  <si>
    <t>Pakubuwono Signature Jakarta</t>
  </si>
  <si>
    <t>J-274</t>
  </si>
  <si>
    <t>Jeraldine</t>
  </si>
  <si>
    <t>Horeau</t>
  </si>
  <si>
    <t>J-0958</t>
  </si>
  <si>
    <t>Jeramie</t>
  </si>
  <si>
    <t>Yonezawa</t>
  </si>
  <si>
    <t>Philipine</t>
  </si>
  <si>
    <t>J-0932</t>
  </si>
  <si>
    <t>Jeremmy</t>
  </si>
  <si>
    <t>abram_supit@yahoo.com</t>
  </si>
  <si>
    <t>J-1030</t>
  </si>
  <si>
    <t>Jeremy</t>
  </si>
  <si>
    <t>jeremyatmadji@gmail.com</t>
  </si>
  <si>
    <t>+12062355232</t>
  </si>
  <si>
    <t>London</t>
  </si>
  <si>
    <t>J-0884</t>
  </si>
  <si>
    <t>Franc</t>
  </si>
  <si>
    <t>jeremy.franc87@gmail.com</t>
  </si>
  <si>
    <t>Jl. Pelita Dalam No.8</t>
  </si>
  <si>
    <t>J-172</t>
  </si>
  <si>
    <t>J-0607</t>
  </si>
  <si>
    <t>Mondriaan</t>
  </si>
  <si>
    <t>J-1081</t>
  </si>
  <si>
    <t>Tanoto</t>
  </si>
  <si>
    <t>jeremytanoto172311@gmail.com</t>
  </si>
  <si>
    <t>628117452433</t>
  </si>
  <si>
    <t>J-279</t>
  </si>
  <si>
    <t>Jericho</t>
  </si>
  <si>
    <t>gaffar</t>
  </si>
  <si>
    <t>J-1075</t>
  </si>
  <si>
    <t>Jermaine</t>
  </si>
  <si>
    <t>447823817396</t>
  </si>
  <si>
    <t>J-0833</t>
  </si>
  <si>
    <t>Jerome</t>
  </si>
  <si>
    <t>J-0735</t>
  </si>
  <si>
    <t>Jerry</t>
  </si>
  <si>
    <t>J-048</t>
  </si>
  <si>
    <t>Bonang</t>
  </si>
  <si>
    <t>J-0941</t>
  </si>
  <si>
    <t>Prima</t>
  </si>
  <si>
    <t>Jimbaran - Bali</t>
  </si>
  <si>
    <t>J-1026</t>
  </si>
  <si>
    <t>Tiong</t>
  </si>
  <si>
    <t>tiong.jerry@gmail.com</t>
  </si>
  <si>
    <t>+628113051793</t>
  </si>
  <si>
    <t>Jalan Penghela No. 2C, Surabaya 60174</t>
  </si>
  <si>
    <t>J-0568</t>
  </si>
  <si>
    <t>Waleleng</t>
  </si>
  <si>
    <t>Cijantung 2 Jakarta Timur</t>
  </si>
  <si>
    <t>J-329</t>
  </si>
  <si>
    <t>Jery</t>
  </si>
  <si>
    <t>J-265</t>
  </si>
  <si>
    <t>Jeselin</t>
  </si>
  <si>
    <t>Thioflando</t>
  </si>
  <si>
    <t>7esselin@gmail.com</t>
  </si>
  <si>
    <t xml:space="preserve">Pinisi Indah A6 No.3 Pantai Indah Kapuk 
14460</t>
  </si>
  <si>
    <t>J-1007</t>
  </si>
  <si>
    <t>6281290629686</t>
  </si>
  <si>
    <t>J-0777</t>
  </si>
  <si>
    <t>Jesica</t>
  </si>
  <si>
    <t>J-0917</t>
  </si>
  <si>
    <t xml:space="preserve">Bellagio Residence 
mega kuningan </t>
  </si>
  <si>
    <t>J-0697</t>
  </si>
  <si>
    <t>Jesse</t>
  </si>
  <si>
    <t>Travis</t>
  </si>
  <si>
    <t>J-218</t>
  </si>
  <si>
    <t>Jesselin</t>
  </si>
  <si>
    <t>J-302</t>
  </si>
  <si>
    <t>kjessica@live.com</t>
  </si>
  <si>
    <t xml:space="preserve">Taman Giri Loka  (BSD)
Blok B no 1</t>
  </si>
  <si>
    <t>J-0506</t>
  </si>
  <si>
    <t>J-0819</t>
  </si>
  <si>
    <t>081315779996</t>
  </si>
  <si>
    <t>J-0915</t>
  </si>
  <si>
    <t>JL.RAYA WAJOK HULU - PONTIANAK - KAL BAR</t>
  </si>
  <si>
    <t>J-0916</t>
  </si>
  <si>
    <t>6281928521668</t>
  </si>
  <si>
    <t>J-206</t>
  </si>
  <si>
    <t>J-0478</t>
  </si>
  <si>
    <t>0811177486</t>
  </si>
  <si>
    <t xml:space="preserve">Jl. Palem Putri 7 No. 21
TM BEVERLY LIPPO CIKARANG</t>
  </si>
  <si>
    <t>J-1089</t>
  </si>
  <si>
    <t>Jessica Andrea</t>
  </si>
  <si>
    <t>Faustina</t>
  </si>
  <si>
    <t>6287880087800</t>
  </si>
  <si>
    <t>J-0598</t>
  </si>
  <si>
    <t>J-336</t>
  </si>
  <si>
    <t>Pantai Mutiara Blok ZH No 7</t>
  </si>
  <si>
    <t>J-0522</t>
  </si>
  <si>
    <t>J-0623</t>
  </si>
  <si>
    <t>J-1116</t>
  </si>
  <si>
    <t>Flannan</t>
  </si>
  <si>
    <t>flannanjessica@gmail.com</t>
  </si>
  <si>
    <t>6281218421809</t>
  </si>
  <si>
    <t>J-0694</t>
  </si>
  <si>
    <t>Masjid An Nur No. B18</t>
  </si>
  <si>
    <t>J-395</t>
  </si>
  <si>
    <t>Apartment Semanggi</t>
  </si>
  <si>
    <t>J-373</t>
  </si>
  <si>
    <t>J-264</t>
  </si>
  <si>
    <t xml:space="preserve">Jl.SW Pranoto 59 A
RT006/001 Kel.Maphar
Jakarta - Barat</t>
  </si>
  <si>
    <t>J-0994</t>
  </si>
  <si>
    <t>jessicajeppeicloud@gmail.com</t>
  </si>
  <si>
    <t>+62817870127</t>
  </si>
  <si>
    <t>J-0968</t>
  </si>
  <si>
    <t>juwonojessica@yaoo.com</t>
  </si>
  <si>
    <t>+6281294709584</t>
  </si>
  <si>
    <t>AMETIS 1 BLOK 1/29B , KEBSAYORAN LAMA, JAK SEL 12210</t>
  </si>
  <si>
    <t>J-0701</t>
  </si>
  <si>
    <t>Karev</t>
  </si>
  <si>
    <t>+62817839746</t>
  </si>
  <si>
    <t>J-0491</t>
  </si>
  <si>
    <t>Jl. Padalarang No.7</t>
  </si>
  <si>
    <t>Jakarta 13310</t>
  </si>
  <si>
    <t>J-364</t>
  </si>
  <si>
    <t>lie.jessica@hotmail.com</t>
  </si>
  <si>
    <t>J-1121</t>
  </si>
  <si>
    <t>Martha Sutedjo</t>
  </si>
  <si>
    <t>jessicamarthasutedjo@gmail.com</t>
  </si>
  <si>
    <t>6281554011333</t>
  </si>
  <si>
    <t>J-0985</t>
  </si>
  <si>
    <t>Melia</t>
  </si>
  <si>
    <t>+6287733446868</t>
  </si>
  <si>
    <t>Jalan Pedurenan Mesjid 3 No.54</t>
  </si>
  <si>
    <t>J-0755</t>
  </si>
  <si>
    <t>Natasha</t>
  </si>
  <si>
    <t>J-1122</t>
  </si>
  <si>
    <t>Nathalie</t>
  </si>
  <si>
    <t>jessicanathalie@live.com</t>
  </si>
  <si>
    <t>6281212659595</t>
  </si>
  <si>
    <t>J-0967</t>
  </si>
  <si>
    <t>Nathania</t>
  </si>
  <si>
    <t>6287878011988</t>
  </si>
  <si>
    <t>J-1093</t>
  </si>
  <si>
    <t>6281330542106</t>
  </si>
  <si>
    <t>Melbourne</t>
  </si>
  <si>
    <t>J-1045</t>
  </si>
  <si>
    <t>Rosemary</t>
  </si>
  <si>
    <t>628118685009</t>
  </si>
  <si>
    <t>J-0870</t>
  </si>
  <si>
    <t>J-1118</t>
  </si>
  <si>
    <t>Sidarta</t>
  </si>
  <si>
    <t>6287778304577</t>
  </si>
  <si>
    <t>J-0706</t>
  </si>
  <si>
    <t>Sylvia</t>
  </si>
  <si>
    <t>J-0923</t>
  </si>
  <si>
    <t>Tandiawan</t>
  </si>
  <si>
    <t>J-0924</t>
  </si>
  <si>
    <t>J-0782</t>
  </si>
  <si>
    <t>+6281223456788</t>
  </si>
  <si>
    <t>J-0756</t>
  </si>
  <si>
    <t>jessica.tanuwijaya@gmail.com</t>
  </si>
  <si>
    <t xml:space="preserve">Jl Pulau Batam 17
Denpasar - BALI</t>
  </si>
  <si>
    <t>J-324</t>
  </si>
  <si>
    <t>jesstanuwijaya@gmail.com</t>
  </si>
  <si>
    <t>Taman Alfa iNdah Blok K6/35</t>
  </si>
  <si>
    <t>J-050</t>
  </si>
  <si>
    <t>Tobagus</t>
  </si>
  <si>
    <t>Taman Golf Bovlevard G4/230</t>
  </si>
  <si>
    <t>Modernland</t>
  </si>
  <si>
    <t>J-391</t>
  </si>
  <si>
    <t>Waworuntu</t>
  </si>
  <si>
    <t>woworuntu_jessica@yahoo.com</t>
  </si>
  <si>
    <t>Jln. Pulomas Timur A, No 4</t>
  </si>
  <si>
    <t>J-0681</t>
  </si>
  <si>
    <t>J-1106</t>
  </si>
  <si>
    <t>6287788663996</t>
  </si>
  <si>
    <t>J-0852</t>
  </si>
  <si>
    <t>Woworuntu</t>
  </si>
  <si>
    <t>Pulomas Timur 2A, No.4</t>
  </si>
  <si>
    <t>J-0772</t>
  </si>
  <si>
    <t>Yohanes</t>
  </si>
  <si>
    <t>Villa 12</t>
  </si>
  <si>
    <t>J-0668</t>
  </si>
  <si>
    <t>Jessica/Cindy</t>
  </si>
  <si>
    <t>J-0671</t>
  </si>
  <si>
    <t>Jessie</t>
  </si>
  <si>
    <t>J-0545</t>
  </si>
  <si>
    <t>J-258</t>
  </si>
  <si>
    <t>J-0742</t>
  </si>
  <si>
    <t>J-0960</t>
  </si>
  <si>
    <t>jesslynh.jo@gmail.com</t>
  </si>
  <si>
    <t>6282111137133</t>
  </si>
  <si>
    <t>Fairview howe 09/01</t>
  </si>
  <si>
    <t>15810</t>
  </si>
  <si>
    <t>J-0845</t>
  </si>
  <si>
    <t>Jl.Janur Kuning 7 WM 2/8 14240</t>
  </si>
  <si>
    <t>J-0693</t>
  </si>
  <si>
    <t>Jessy</t>
  </si>
  <si>
    <t>jessy333we@hotmail.co.id</t>
  </si>
  <si>
    <t xml:space="preserve">Jalan Pluit Samudra Raya 1A
Mutiara Mediterania Residences Blok B8D
Jakarta Utara 14450</t>
  </si>
  <si>
    <t>J-276</t>
  </si>
  <si>
    <t>J-1025</t>
  </si>
  <si>
    <t>628118001193</t>
  </si>
  <si>
    <t>J-0446</t>
  </si>
  <si>
    <t>Priyatna</t>
  </si>
  <si>
    <t>jessypriyatna@yahoo.com</t>
  </si>
  <si>
    <t xml:space="preserve">Jl. Manyar Permai 9 blok V5 no 31 
PIK</t>
  </si>
  <si>
    <t>J-1044</t>
  </si>
  <si>
    <t>Jestika</t>
  </si>
  <si>
    <t>etika9991@gmail.com</t>
  </si>
  <si>
    <t>6282299779908</t>
  </si>
  <si>
    <t>J-339</t>
  </si>
  <si>
    <t>Jesus</t>
  </si>
  <si>
    <t>Candido</t>
  </si>
  <si>
    <t>jscandido_cpa28@yahoo.com.pn</t>
  </si>
  <si>
    <t>0917-7043653</t>
  </si>
  <si>
    <t>J-0996</t>
  </si>
  <si>
    <t>Jetty</t>
  </si>
  <si>
    <t>+62811924089</t>
  </si>
  <si>
    <t>Jalan Pluit Selatan VIII No. 9</t>
  </si>
  <si>
    <t>J-0849</t>
  </si>
  <si>
    <t>Jevhenija</t>
  </si>
  <si>
    <t>Kazarina</t>
  </si>
  <si>
    <t>J-0494</t>
  </si>
  <si>
    <t>Jey</t>
  </si>
  <si>
    <t>J-0883</t>
  </si>
  <si>
    <t>Jhon</t>
  </si>
  <si>
    <t>Hutapea</t>
  </si>
  <si>
    <t>J-1098</t>
  </si>
  <si>
    <t>Levis</t>
  </si>
  <si>
    <t>6282123268676</t>
  </si>
  <si>
    <t>J-0449</t>
  </si>
  <si>
    <t>Jhoni</t>
  </si>
  <si>
    <t>J-0578</t>
  </si>
  <si>
    <t>JL Senopati no 77</t>
  </si>
  <si>
    <t>J-0589</t>
  </si>
  <si>
    <t>Jhonny</t>
  </si>
  <si>
    <t>J-149</t>
  </si>
  <si>
    <t>J-326</t>
  </si>
  <si>
    <t>Jhony</t>
  </si>
  <si>
    <t>Tannato</t>
  </si>
  <si>
    <t>J-1117</t>
  </si>
  <si>
    <t>Duyingjai</t>
  </si>
  <si>
    <t>Ci</t>
  </si>
  <si>
    <t>duyingjaici@gmail.com</t>
  </si>
  <si>
    <t>8617783071740</t>
  </si>
  <si>
    <t>J-1096</t>
  </si>
  <si>
    <t>Ji</t>
  </si>
  <si>
    <t>Eom</t>
  </si>
  <si>
    <t>eomjiiii@gmail.com</t>
  </si>
  <si>
    <t>823124887665</t>
  </si>
  <si>
    <t>J-349</t>
  </si>
  <si>
    <t>J-353</t>
  </si>
  <si>
    <t xml:space="preserve">Gwang Ju
Korea</t>
  </si>
  <si>
    <t>J-0827</t>
  </si>
  <si>
    <t>J-0888</t>
  </si>
  <si>
    <t>Uhm</t>
  </si>
  <si>
    <t>Jl. Pangeran AntasariKemang, Jakarta 12150</t>
  </si>
  <si>
    <t>J-0936</t>
  </si>
  <si>
    <t>J-0798</t>
  </si>
  <si>
    <t>Ji Yi</t>
  </si>
  <si>
    <t>Jeung</t>
  </si>
  <si>
    <t>628111278280</t>
  </si>
  <si>
    <t>Pacific Place Residence 19B</t>
  </si>
  <si>
    <t>J-0976</t>
  </si>
  <si>
    <t>Ji,</t>
  </si>
  <si>
    <t>Yancen</t>
  </si>
  <si>
    <t>orangejisook@gmail.com</t>
  </si>
  <si>
    <t>J-421</t>
  </si>
  <si>
    <t>Jia</t>
  </si>
  <si>
    <t>cuijiao</t>
  </si>
  <si>
    <t>1161525813@qq.com</t>
  </si>
  <si>
    <t>Lan Zhou</t>
  </si>
  <si>
    <t>J-0889</t>
  </si>
  <si>
    <t>J-0617</t>
  </si>
  <si>
    <t>Ruan</t>
  </si>
  <si>
    <t>J-0457</t>
  </si>
  <si>
    <t>Jiamin</t>
  </si>
  <si>
    <t>monaaguan@gmail.com</t>
  </si>
  <si>
    <t>J-0776</t>
  </si>
  <si>
    <t>Jian</t>
  </si>
  <si>
    <t>J-372</t>
  </si>
  <si>
    <t xml:space="preserve">Wanzhou
China</t>
  </si>
  <si>
    <t>J-0700</t>
  </si>
  <si>
    <t>JIANG</t>
  </si>
  <si>
    <t>DONG</t>
  </si>
  <si>
    <t>J-0931</t>
  </si>
  <si>
    <t>Guogin</t>
  </si>
  <si>
    <t>J-1006</t>
  </si>
  <si>
    <t>61401688319</t>
  </si>
  <si>
    <t>J-0859</t>
  </si>
  <si>
    <t>CANADA</t>
  </si>
  <si>
    <t>J-0752</t>
  </si>
  <si>
    <t>Xiaozhen</t>
  </si>
  <si>
    <t>J-1002</t>
  </si>
  <si>
    <t>Winny</t>
  </si>
  <si>
    <t>6287781085265</t>
  </si>
  <si>
    <t>J-322</t>
  </si>
  <si>
    <t xml:space="preserve">Premier Golf residence Kav 55
Kota Modern
Cikokol Tangerang</t>
  </si>
  <si>
    <t>J-0801</t>
  </si>
  <si>
    <t>Zuliang</t>
  </si>
  <si>
    <t>J-0977</t>
  </si>
  <si>
    <t>Jiang,</t>
  </si>
  <si>
    <t>Chunmei</t>
  </si>
  <si>
    <t>1071512028@qq.com</t>
  </si>
  <si>
    <t>J-1000</t>
  </si>
  <si>
    <t>Jialing</t>
  </si>
  <si>
    <t>jialingjiang00@gmail.com</t>
  </si>
  <si>
    <t>+17182886681</t>
  </si>
  <si>
    <t>New York</t>
  </si>
  <si>
    <t>J-0972</t>
  </si>
  <si>
    <t>Jiani</t>
  </si>
  <si>
    <t>597791449@qq.com</t>
  </si>
  <si>
    <t>J-0907</t>
  </si>
  <si>
    <t>JIANG,</t>
  </si>
  <si>
    <t>PUFAN</t>
  </si>
  <si>
    <t>J-1001</t>
  </si>
  <si>
    <t>Yali</t>
  </si>
  <si>
    <t>jlea131@outlook.com</t>
  </si>
  <si>
    <t>8618896696999</t>
  </si>
  <si>
    <t>J-1113</t>
  </si>
  <si>
    <t>Yan,</t>
  </si>
  <si>
    <t>zag1991@126.com</t>
  </si>
  <si>
    <t>+8618717757158</t>
  </si>
  <si>
    <t>J-1079</t>
  </si>
  <si>
    <t>Yuanyuan</t>
  </si>
  <si>
    <t>jia49yy288@126.com</t>
  </si>
  <si>
    <t>8618902431618</t>
  </si>
  <si>
    <t>J-1012</t>
  </si>
  <si>
    <t>Jianliang</t>
  </si>
  <si>
    <t>6281310378945</t>
  </si>
  <si>
    <t>J-1066</t>
  </si>
  <si>
    <t>Jiao</t>
  </si>
  <si>
    <t>279557562@qq.com</t>
  </si>
  <si>
    <t>8613801581917</t>
  </si>
  <si>
    <t>Jiangsu China</t>
  </si>
  <si>
    <t>J-0586</t>
  </si>
  <si>
    <t>Jiaolong</t>
  </si>
  <si>
    <t>6282390767780</t>
  </si>
  <si>
    <t>J-1078</t>
  </si>
  <si>
    <t>Jiarong</t>
  </si>
  <si>
    <t>+6281376488488</t>
  </si>
  <si>
    <t>J-0863</t>
  </si>
  <si>
    <t>Jiayang</t>
  </si>
  <si>
    <t>Ye</t>
  </si>
  <si>
    <t>J-0444</t>
  </si>
  <si>
    <t>Jiayao</t>
  </si>
  <si>
    <t>WANG</t>
  </si>
  <si>
    <t>549661782@qq.com</t>
  </si>
  <si>
    <t>J-231</t>
  </si>
  <si>
    <t>lee</t>
  </si>
  <si>
    <t>J-1009</t>
  </si>
  <si>
    <t>1031246648@qq.com</t>
  </si>
  <si>
    <t>6281386050866</t>
  </si>
  <si>
    <t>APT. AMBASSADOR 2</t>
  </si>
  <si>
    <t>J-398</t>
  </si>
  <si>
    <t>Jie Suhartini</t>
  </si>
  <si>
    <t>hartini_gun@yahoo.com</t>
  </si>
  <si>
    <t>628151882929</t>
  </si>
  <si>
    <t>J-1058</t>
  </si>
  <si>
    <t>Jihan</t>
  </si>
  <si>
    <t>Alvani Aziz</t>
  </si>
  <si>
    <t>jihanpalembang105@gmail.com</t>
  </si>
  <si>
    <t>628781394329</t>
  </si>
  <si>
    <t>J-1065</t>
  </si>
  <si>
    <t>Yossy</t>
  </si>
  <si>
    <t>+6281286468123</t>
  </si>
  <si>
    <t>J-0804</t>
  </si>
  <si>
    <t>Jiin</t>
  </si>
  <si>
    <t>628111252981</t>
  </si>
  <si>
    <t>W-0609</t>
  </si>
  <si>
    <t>Jil</t>
  </si>
  <si>
    <t>J-228</t>
  </si>
  <si>
    <t>Jill</t>
  </si>
  <si>
    <t>J-0641</t>
  </si>
  <si>
    <t>J-256</t>
  </si>
  <si>
    <t>Jilli</t>
  </si>
  <si>
    <t xml:space="preserve">Jl. Industri Batu jajar permai II no8
Bandung</t>
  </si>
  <si>
    <t>J-0686</t>
  </si>
  <si>
    <t>Jilliansya</t>
  </si>
  <si>
    <t>J-0929</t>
  </si>
  <si>
    <t>Jilly</t>
  </si>
  <si>
    <t>M-1502</t>
  </si>
  <si>
    <t>Jilly.</t>
  </si>
  <si>
    <t>J-055</t>
  </si>
  <si>
    <t>M-0945</t>
  </si>
  <si>
    <t>J-386</t>
  </si>
  <si>
    <t>M-1260</t>
  </si>
  <si>
    <t>J-416</t>
  </si>
  <si>
    <t>jimmybintoro@yahoo.com</t>
  </si>
  <si>
    <t>Perum Pantai Mutiara YJ 9 (date of birth 25-06-1979)</t>
  </si>
  <si>
    <t>J-0894</t>
  </si>
  <si>
    <t>Thenoch</t>
  </si>
  <si>
    <t>J-1036</t>
  </si>
  <si>
    <t>J-0447</t>
  </si>
  <si>
    <t>Kardono</t>
  </si>
  <si>
    <t>J-056</t>
  </si>
  <si>
    <t>Grand ITC Permata Hijau Apt. Tower B #1102</t>
  </si>
  <si>
    <t>J-0993</t>
  </si>
  <si>
    <t>Sasongko</t>
  </si>
  <si>
    <t>+6287853348100</t>
  </si>
  <si>
    <t>Citraland Somerset GG 6-66</t>
  </si>
  <si>
    <t>J-1008</t>
  </si>
  <si>
    <t>jimmysimse@gmail.com</t>
  </si>
  <si>
    <t>628126017772</t>
  </si>
  <si>
    <t>J-0864</t>
  </si>
  <si>
    <t>Sunaryo</t>
  </si>
  <si>
    <t>62818820505</t>
  </si>
  <si>
    <t>Jl Camar Per,ai 1 No.9</t>
  </si>
  <si>
    <t>J-0911</t>
  </si>
  <si>
    <t>Teddy</t>
  </si>
  <si>
    <t>jimmyteddy80@yahoo.com</t>
  </si>
  <si>
    <t>J-0740</t>
  </si>
  <si>
    <t>J-0971</t>
  </si>
  <si>
    <t>J-0727</t>
  </si>
  <si>
    <t>J-0973</t>
  </si>
  <si>
    <t>Jimy</t>
  </si>
  <si>
    <t>Co</t>
  </si>
  <si>
    <t>mr.jimyco@gmail.com</t>
  </si>
  <si>
    <t>628117010586</t>
  </si>
  <si>
    <t>The Pakubuwono View</t>
  </si>
  <si>
    <t>J-0792</t>
  </si>
  <si>
    <t>alicekingitm@gmail.com</t>
  </si>
  <si>
    <t>J-1053</t>
  </si>
  <si>
    <t>J-1022</t>
  </si>
  <si>
    <t>Cissy</t>
  </si>
  <si>
    <t>cissyjin3456@gmail.com</t>
  </si>
  <si>
    <t>61409778777</t>
  </si>
  <si>
    <t>S-818</t>
  </si>
  <si>
    <t>6282227662666</t>
  </si>
  <si>
    <t>J-0948</t>
  </si>
  <si>
    <t>jinjieunlee@hotmail.com</t>
  </si>
  <si>
    <t>Jl. H. Sainin 39J, Kemang</t>
  </si>
  <si>
    <t>J-0861</t>
  </si>
  <si>
    <t>Jixiang</t>
  </si>
  <si>
    <t>J-0925</t>
  </si>
  <si>
    <t>CHINA - EJ6647421</t>
  </si>
  <si>
    <t>J-0945</t>
  </si>
  <si>
    <t>Mengling</t>
  </si>
  <si>
    <t>+8618867730777</t>
  </si>
  <si>
    <t>J-057</t>
  </si>
  <si>
    <t>Nafsih</t>
  </si>
  <si>
    <t>Graha Taman HC III No. 10</t>
  </si>
  <si>
    <t>Bintaro Sektor 9</t>
  </si>
  <si>
    <t>J-1087</t>
  </si>
  <si>
    <t>8613656035615</t>
  </si>
  <si>
    <t>J-059</t>
  </si>
  <si>
    <t>Apt. Brawijaya 2600</t>
  </si>
  <si>
    <t>J-0912</t>
  </si>
  <si>
    <t>JIN</t>
  </si>
  <si>
    <t>XIN</t>
  </si>
  <si>
    <t>J-0719</t>
  </si>
  <si>
    <t>ongjiinying@gmail.com</t>
  </si>
  <si>
    <t>J-0983</t>
  </si>
  <si>
    <t>Yinghua</t>
  </si>
  <si>
    <t>jyh@jjindo.com</t>
  </si>
  <si>
    <t>+628112631255</t>
  </si>
  <si>
    <t>J-1041</t>
  </si>
  <si>
    <t>Yongmei</t>
  </si>
  <si>
    <t>289656398@99.com</t>
  </si>
  <si>
    <t>+13566792423</t>
  </si>
  <si>
    <t>J-0592</t>
  </si>
  <si>
    <t>J-0622</t>
  </si>
  <si>
    <t>mi</t>
  </si>
  <si>
    <t>J-1109</t>
  </si>
  <si>
    <t>J-0981</t>
  </si>
  <si>
    <t>Jin,</t>
  </si>
  <si>
    <t>Australi</t>
  </si>
  <si>
    <t>J-0980</t>
  </si>
  <si>
    <t>Lanfang</t>
  </si>
  <si>
    <t>J-1068</t>
  </si>
  <si>
    <t>44842509@qq.com</t>
  </si>
  <si>
    <t>+8618116225100</t>
  </si>
  <si>
    <t>J-0974</t>
  </si>
  <si>
    <t>Xiafei</t>
  </si>
  <si>
    <t>jinxiafeii@gmail.com</t>
  </si>
  <si>
    <t>J-1085</t>
  </si>
  <si>
    <t>Xin</t>
  </si>
  <si>
    <t>8618266982339</t>
  </si>
  <si>
    <t>J-1114</t>
  </si>
  <si>
    <t>Jincao</t>
  </si>
  <si>
    <t>8613506967333</t>
  </si>
  <si>
    <t>J-0527</t>
  </si>
  <si>
    <t>J-0452</t>
  </si>
  <si>
    <t>Xie</t>
  </si>
  <si>
    <t>15517305@qq.com</t>
  </si>
  <si>
    <t>Deping Road 1125 Lane No. 9 Room 401</t>
  </si>
  <si>
    <t>J-1069</t>
  </si>
  <si>
    <t>Yuqi,</t>
  </si>
  <si>
    <t>angelajing0705@gmail.com</t>
  </si>
  <si>
    <t>+8613823728699</t>
  </si>
  <si>
    <t>Guangdong, China</t>
  </si>
  <si>
    <t>J-0665</t>
  </si>
  <si>
    <t>JingJing</t>
  </si>
  <si>
    <t>J-1040</t>
  </si>
  <si>
    <t>Jingsen</t>
  </si>
  <si>
    <t>zeusbobid@gmail.com</t>
  </si>
  <si>
    <t>66888267777</t>
  </si>
  <si>
    <t>J-163</t>
  </si>
  <si>
    <t>Jinhong</t>
  </si>
  <si>
    <t>J-1051</t>
  </si>
  <si>
    <t>Jin kyung</t>
  </si>
  <si>
    <t>Yoon</t>
  </si>
  <si>
    <t>jklove9@naver.com</t>
  </si>
  <si>
    <t>+6281290362717</t>
  </si>
  <si>
    <t>Jl. Senayan Raya No. 22</t>
  </si>
  <si>
    <t>J-0965</t>
  </si>
  <si>
    <t>Jina</t>
  </si>
  <si>
    <t>jinn4ever@nate.com</t>
  </si>
  <si>
    <t>62811100217171</t>
  </si>
  <si>
    <t>J-0602</t>
  </si>
  <si>
    <t>Jinny</t>
  </si>
  <si>
    <t>Lengkong Besar Bandung</t>
  </si>
  <si>
    <t>J-294</t>
  </si>
  <si>
    <t>Jinshuyin</t>
  </si>
  <si>
    <t>J-0872</t>
  </si>
  <si>
    <t>Jinsu</t>
  </si>
  <si>
    <t>Bvlgari Villa 59</t>
  </si>
  <si>
    <t>J-0909</t>
  </si>
  <si>
    <t>Jinyoung</t>
  </si>
  <si>
    <t>jinyoung120291@gmail.com</t>
  </si>
  <si>
    <t xml:space="preserve">PERMATA HIJAU RESIDENCE TOWER A-6AF
JAKARTA SELATAN 12210</t>
  </si>
  <si>
    <t>J-410</t>
  </si>
  <si>
    <t>J-1024</t>
  </si>
  <si>
    <t>Jiya</t>
  </si>
  <si>
    <t>Mulani</t>
  </si>
  <si>
    <t>rosebk@hotmail.com</t>
  </si>
  <si>
    <t>6281298000077</t>
  </si>
  <si>
    <t>J-0823</t>
  </si>
  <si>
    <t>Jlastacia</t>
  </si>
  <si>
    <t>Miya</t>
  </si>
  <si>
    <t>J-061</t>
  </si>
  <si>
    <t>JM</t>
  </si>
  <si>
    <t>J-169</t>
  </si>
  <si>
    <t>J-0939</t>
  </si>
  <si>
    <t>Jo Endruw</t>
  </si>
  <si>
    <t>62818223033</t>
  </si>
  <si>
    <t>J-1020</t>
  </si>
  <si>
    <t>Heeyoung</t>
  </si>
  <si>
    <t>tarang20@naver.com</t>
  </si>
  <si>
    <t>821098582082</t>
  </si>
  <si>
    <t>J-204</t>
  </si>
  <si>
    <t>J-1048</t>
  </si>
  <si>
    <t>Anthonetthe Wiranatha</t>
  </si>
  <si>
    <t>6281355217777</t>
  </si>
  <si>
    <t>J-0657</t>
  </si>
  <si>
    <t>Jutamulia</t>
  </si>
  <si>
    <t>joan.jutamulia@gmail.com</t>
  </si>
  <si>
    <t>Gumilang Screet Number 4</t>
  </si>
  <si>
    <t>J-0713</t>
  </si>
  <si>
    <t>Joana</t>
  </si>
  <si>
    <t>J-155</t>
  </si>
  <si>
    <t>Tirta</t>
  </si>
  <si>
    <t>J-0811</t>
  </si>
  <si>
    <t>Joanita</t>
  </si>
  <si>
    <t>62818885282</t>
  </si>
  <si>
    <t>J-283</t>
  </si>
  <si>
    <t>J-388</t>
  </si>
  <si>
    <t>Joanna</t>
  </si>
  <si>
    <t>joannainggridd@gmail.com</t>
  </si>
  <si>
    <t>Pakuwon City A6 No.08</t>
  </si>
  <si>
    <t>J-0573</t>
  </si>
  <si>
    <t>Lomban</t>
  </si>
  <si>
    <t>J-063</t>
  </si>
  <si>
    <t>Wiraatmadja</t>
  </si>
  <si>
    <t>Prapanca WG 8gr charm ring w/ 1 round dia 0,06cts sz.51</t>
  </si>
  <si>
    <t>J-0557</t>
  </si>
  <si>
    <t>Yordan</t>
  </si>
  <si>
    <t>J-0807</t>
  </si>
  <si>
    <t>Joanncs</t>
  </si>
  <si>
    <t>Tandjung</t>
  </si>
  <si>
    <t>j.tandjung@gmail.com</t>
  </si>
  <si>
    <t>628161804455</t>
  </si>
  <si>
    <t>J-0875</t>
  </si>
  <si>
    <t>JOANNE</t>
  </si>
  <si>
    <t>ALABDULJALEEL</t>
  </si>
  <si>
    <t>KUWAIT</t>
  </si>
  <si>
    <t>J-413</t>
  </si>
  <si>
    <t>Joanne</t>
  </si>
  <si>
    <t>Jl.Situbondo 18.Menteng-Jakarta</t>
  </si>
  <si>
    <t>J-064</t>
  </si>
  <si>
    <t>6287888880183</t>
  </si>
  <si>
    <t>J-0824</t>
  </si>
  <si>
    <t>JocelynAbigail123@gmail.com</t>
  </si>
  <si>
    <t>J-0552</t>
  </si>
  <si>
    <t>JL Raya Taman Golf Blok DG2/114</t>
  </si>
  <si>
    <t>J-1039</t>
  </si>
  <si>
    <t>Sutandar, Mrs</t>
  </si>
  <si>
    <t>+628118000138</t>
  </si>
  <si>
    <t>J-216</t>
  </si>
  <si>
    <t>Cox</t>
  </si>
  <si>
    <t>J-376</t>
  </si>
  <si>
    <t>Jochebed</t>
  </si>
  <si>
    <t>joche.christiana@gmail.com</t>
  </si>
  <si>
    <t>birthday 23/04/1986</t>
  </si>
  <si>
    <t>J-0691</t>
  </si>
  <si>
    <t>Jocyelin</t>
  </si>
  <si>
    <t>J-0877</t>
  </si>
  <si>
    <t>Jodi</t>
  </si>
  <si>
    <t>jodirenalu@gmail.com</t>
  </si>
  <si>
    <t>J-215</t>
  </si>
  <si>
    <t>Jodie</t>
  </si>
  <si>
    <t>J-065</t>
  </si>
  <si>
    <t>Jodjana</t>
  </si>
  <si>
    <t>J-0680</t>
  </si>
  <si>
    <t>Jody</t>
  </si>
  <si>
    <t>jodyj6251@gmail.com</t>
  </si>
  <si>
    <t>Pantai Kuta 6 no. 25, Jakarta Utara</t>
  </si>
  <si>
    <t>J-0728</t>
  </si>
  <si>
    <t>Joe</t>
  </si>
  <si>
    <t>6281218865688</t>
  </si>
  <si>
    <t>J-252</t>
  </si>
  <si>
    <t>+628170042019</t>
  </si>
  <si>
    <t>P-0765</t>
  </si>
  <si>
    <t>Sartika</t>
  </si>
  <si>
    <t>Jl. Taman Kebun Jeruk Blok G1/3A, Interkon, JakBar.</t>
  </si>
  <si>
    <t>J-0851</t>
  </si>
  <si>
    <t>Joegga</t>
  </si>
  <si>
    <t>yogajps@gmail.com</t>
  </si>
  <si>
    <t>Taman Bona Indah A9 no 6</t>
  </si>
  <si>
    <t>J-158</t>
  </si>
  <si>
    <t>Joesoep</t>
  </si>
  <si>
    <t>J-0741</t>
  </si>
  <si>
    <t>Joey</t>
  </si>
  <si>
    <t>J-0793</t>
  </si>
  <si>
    <t>Siddharta</t>
  </si>
  <si>
    <t>Menteng - Jakarta Pusat</t>
  </si>
  <si>
    <t>J-0891</t>
  </si>
  <si>
    <t>Tham</t>
  </si>
  <si>
    <t>J-0825</t>
  </si>
  <si>
    <t>J-289</t>
  </si>
  <si>
    <t>J-367</t>
  </si>
  <si>
    <t>johanariotedjo@gmail.com</t>
  </si>
  <si>
    <t>Jl. Anggur 3 No.30B Cipete Raya</t>
  </si>
  <si>
    <t>J-0998</t>
  </si>
  <si>
    <t>JHN_189@yahoo.co.id</t>
  </si>
  <si>
    <t>+6287878137888</t>
  </si>
  <si>
    <t>Permata Mediterania R62/28</t>
  </si>
  <si>
    <t>J-0585</t>
  </si>
  <si>
    <t>johan,chandra@lawyer,com</t>
  </si>
  <si>
    <t>J-300</t>
  </si>
  <si>
    <t>eddy_johan78@yahoo.com</t>
  </si>
  <si>
    <t>Cosmo Mansions 32 D/G</t>
  </si>
  <si>
    <t>J-0529</t>
  </si>
  <si>
    <t>Pantai Mutiara AB/10 Jakarta Utara</t>
  </si>
  <si>
    <t>J-0648</t>
  </si>
  <si>
    <t>J-424</t>
  </si>
  <si>
    <t>+628170000038</t>
  </si>
  <si>
    <t xml:space="preserve">Menara Bca 4301 
Jalan Thamrin No 1</t>
  </si>
  <si>
    <t>J-267</t>
  </si>
  <si>
    <t>Seto</t>
  </si>
  <si>
    <t>Jl. Kuta Elok 25 BGV</t>
  </si>
  <si>
    <t>J-0935</t>
  </si>
  <si>
    <t>Su</t>
  </si>
  <si>
    <t>sujohan88@gmail.com</t>
  </si>
  <si>
    <t xml:space="preserve">JL.SETIA JAYA II NO.43
JELAMBAR - JAKARTA BARAT</t>
  </si>
  <si>
    <t>J-072</t>
  </si>
  <si>
    <t>Sunanto</t>
  </si>
  <si>
    <t>J-0815</t>
  </si>
  <si>
    <t>J-0721</t>
  </si>
  <si>
    <t>Tanadi</t>
  </si>
  <si>
    <t>J-147</t>
  </si>
  <si>
    <t>J-0830</t>
  </si>
  <si>
    <t>Johanes</t>
  </si>
  <si>
    <t>Jalan Cibatu 14/6 Antapani</t>
  </si>
  <si>
    <t>J-332</t>
  </si>
  <si>
    <t>Geovani</t>
  </si>
  <si>
    <t>J-0878</t>
  </si>
  <si>
    <t>J-431</t>
  </si>
  <si>
    <t>Kotjo</t>
  </si>
  <si>
    <t>J-0843</t>
  </si>
  <si>
    <t>Johanna</t>
  </si>
  <si>
    <t>johanna71ong@yahoo.com</t>
  </si>
  <si>
    <t>Complex Cemara Asri JL. Camelia 8L MEDAN</t>
  </si>
  <si>
    <t>J-306</t>
  </si>
  <si>
    <t>J-0682</t>
  </si>
  <si>
    <t>J-0698</t>
  </si>
  <si>
    <t>Roring</t>
  </si>
  <si>
    <t>jalan gunung durian Taman himalaya</t>
  </si>
  <si>
    <t>J-0790</t>
  </si>
  <si>
    <t>Johannes</t>
  </si>
  <si>
    <t>J-208</t>
  </si>
  <si>
    <t>J-0513</t>
  </si>
  <si>
    <t>Suriadjaja</t>
  </si>
  <si>
    <t>J-211</t>
  </si>
  <si>
    <t>Brophy</t>
  </si>
  <si>
    <t>J-1071</t>
  </si>
  <si>
    <t>Indiana</t>
  </si>
  <si>
    <t>J-074</t>
  </si>
  <si>
    <t>Fashion</t>
  </si>
  <si>
    <t>J-0865</t>
  </si>
  <si>
    <t>Gabbiadini</t>
  </si>
  <si>
    <t>45/1 Palm Ave</t>
  </si>
  <si>
    <t>Breakfast Point</t>
  </si>
  <si>
    <t>J-171</t>
  </si>
  <si>
    <t>Gledhill</t>
  </si>
  <si>
    <t>J-0754</t>
  </si>
  <si>
    <t>Kwari</t>
  </si>
  <si>
    <t>6282146374888</t>
  </si>
  <si>
    <t>J-0497</t>
  </si>
  <si>
    <t>J-1092</t>
  </si>
  <si>
    <t>Otakar</t>
  </si>
  <si>
    <t>otakar.john@gmail.com</t>
  </si>
  <si>
    <t>420602354471</t>
  </si>
  <si>
    <t>Czech republic</t>
  </si>
  <si>
    <t>Czechia</t>
  </si>
  <si>
    <t>J-426</t>
  </si>
  <si>
    <t>J-0615</t>
  </si>
  <si>
    <t>Sanora</t>
  </si>
  <si>
    <t>J-352</t>
  </si>
  <si>
    <t>Sanova</t>
  </si>
  <si>
    <t>sanovajohn@gmail.com</t>
  </si>
  <si>
    <t>Jln Kesehatan V No.42 Kel Bintaro Kec Pesanggarahan Jakarta Selatan</t>
  </si>
  <si>
    <t>J-0810</t>
  </si>
  <si>
    <t>J-0661</t>
  </si>
  <si>
    <t>Soehadi</t>
  </si>
  <si>
    <t>J-0439</t>
  </si>
  <si>
    <t>Sontamy</t>
  </si>
  <si>
    <t>jsontany@gmail.com</t>
  </si>
  <si>
    <t xml:space="preserve">Apartment Central Park tower J no 7JL
Mediterania</t>
  </si>
  <si>
    <t>J-0842</t>
  </si>
  <si>
    <t>Sutani</t>
  </si>
  <si>
    <t>ivyrinas@gmail.com</t>
  </si>
  <si>
    <t>Jl Stasiun Dalam No 3E Medan</t>
  </si>
  <si>
    <t>J-245</t>
  </si>
  <si>
    <t>Welirang</t>
  </si>
  <si>
    <t>J-080</t>
  </si>
  <si>
    <t>Wheble</t>
  </si>
  <si>
    <t>Oakwood PRMR Apartemen</t>
  </si>
  <si>
    <t>J-0840</t>
  </si>
  <si>
    <t>J-0770</t>
  </si>
  <si>
    <t>JohnFan</t>
  </si>
  <si>
    <t>J-1100</t>
  </si>
  <si>
    <t>Johnlin</t>
  </si>
  <si>
    <t>Yuwono</t>
  </si>
  <si>
    <t>+628111634183</t>
  </si>
  <si>
    <t>J-219</t>
  </si>
  <si>
    <t>Johnny</t>
  </si>
  <si>
    <t>J-357</t>
  </si>
  <si>
    <t>J-0769</t>
  </si>
  <si>
    <t>J-0509</t>
  </si>
  <si>
    <t>J-273</t>
  </si>
  <si>
    <t>Lucky</t>
  </si>
  <si>
    <t>6281343413333</t>
  </si>
  <si>
    <t>J-358</t>
  </si>
  <si>
    <t>Plate</t>
  </si>
  <si>
    <t>J-152</t>
  </si>
  <si>
    <t>Pranatyo</t>
  </si>
  <si>
    <t>J-1052</t>
  </si>
  <si>
    <t>Johny</t>
  </si>
  <si>
    <t>Saleh</t>
  </si>
  <si>
    <t>+62811137022</t>
  </si>
  <si>
    <t>J-371</t>
  </si>
  <si>
    <t>Sompie</t>
  </si>
  <si>
    <t>johnn_sompie@yahoo.com</t>
  </si>
  <si>
    <t>J-402</t>
  </si>
  <si>
    <t>Zahar</t>
  </si>
  <si>
    <t>J-0731</t>
  </si>
  <si>
    <t>Wilar</t>
  </si>
  <si>
    <t>J-0535</t>
  </si>
  <si>
    <t>Johnsson</t>
  </si>
  <si>
    <t>joan@dragongamestudio.com</t>
  </si>
  <si>
    <t>Jl. Danau Poso gg. Wanasari 11A</t>
  </si>
  <si>
    <t>J-081</t>
  </si>
  <si>
    <t>3rd Fl. Plaza Indonesia</t>
  </si>
  <si>
    <t>Jl. MH. Thamrin 28</t>
  </si>
  <si>
    <t>J-082</t>
  </si>
  <si>
    <t>Jl. RA. Kartini 24</t>
  </si>
  <si>
    <t>J-0496</t>
  </si>
  <si>
    <t>J-242</t>
  </si>
  <si>
    <t>Mauwikere</t>
  </si>
  <si>
    <t>J-275</t>
  </si>
  <si>
    <t>Wiratmadja</t>
  </si>
  <si>
    <t>J-235</t>
  </si>
  <si>
    <t>johny.tanoto@gmail.com</t>
  </si>
  <si>
    <t xml:space="preserve">JL. Indraloka 1 No 49 Jelambar Kel. Wijaya Kusuma 
Kec Grogol Petamburan</t>
  </si>
  <si>
    <t>J-0786</t>
  </si>
  <si>
    <t>Joice</t>
  </si>
  <si>
    <t>J-175</t>
  </si>
  <si>
    <t>Triatman</t>
  </si>
  <si>
    <t>J-0826</t>
  </si>
  <si>
    <t>Joinaldo</t>
  </si>
  <si>
    <t>J-1047</t>
  </si>
  <si>
    <t>62811114911</t>
  </si>
  <si>
    <t>F-0628</t>
  </si>
  <si>
    <t>Joinerri</t>
  </si>
  <si>
    <t>Joifadi</t>
  </si>
  <si>
    <t>J-084</t>
  </si>
  <si>
    <t>Jojo</t>
  </si>
  <si>
    <t>Jl. Sentra Niaga Puri Indah</t>
  </si>
  <si>
    <t>Blok T-6 No. 33</t>
  </si>
  <si>
    <t>J-0521</t>
  </si>
  <si>
    <t>Jl,Kertajaya Raya No.52/50</t>
  </si>
  <si>
    <t>J-0876</t>
  </si>
  <si>
    <t>6281289891816</t>
  </si>
  <si>
    <t>J-1090</t>
  </si>
  <si>
    <t>Jok Tung</t>
  </si>
  <si>
    <t>62816803115</t>
  </si>
  <si>
    <t>J-207</t>
  </si>
  <si>
    <t>Joko</t>
  </si>
  <si>
    <t>J-0689</t>
  </si>
  <si>
    <t>M-0942</t>
  </si>
  <si>
    <t>J-0788</t>
  </si>
  <si>
    <t>Setyono</t>
  </si>
  <si>
    <t>J-0639</t>
  </si>
  <si>
    <t>J-239</t>
  </si>
  <si>
    <t>Jolanawati</t>
  </si>
  <si>
    <t>62816802365</t>
  </si>
  <si>
    <t>J-0732</t>
  </si>
  <si>
    <t>Jolin</t>
  </si>
  <si>
    <t>J-247</t>
  </si>
  <si>
    <t>Jolina</t>
  </si>
  <si>
    <t>J-1084</t>
  </si>
  <si>
    <t>Jomsar</t>
  </si>
  <si>
    <t>Manalu</t>
  </si>
  <si>
    <t>6281344132073</t>
  </si>
  <si>
    <t>J-291</t>
  </si>
  <si>
    <t>Jonaliswati</t>
  </si>
  <si>
    <t>J-0938</t>
  </si>
  <si>
    <t>Jonas</t>
  </si>
  <si>
    <t>Martnez</t>
  </si>
  <si>
    <t>B3 L7 ARIES STREET BACOOR 4102 PHILIPHINE</t>
  </si>
  <si>
    <t>J-0616</t>
  </si>
  <si>
    <t>Jonatan</t>
  </si>
  <si>
    <t>J-0461</t>
  </si>
  <si>
    <t>Haliem</t>
  </si>
  <si>
    <t>J-160</t>
  </si>
  <si>
    <t>Walewangko</t>
  </si>
  <si>
    <t>0818518777</t>
  </si>
  <si>
    <t>J-0873</t>
  </si>
  <si>
    <t>62811118096</t>
  </si>
  <si>
    <t>J-1042</t>
  </si>
  <si>
    <t>Alamsyair</t>
  </si>
  <si>
    <t>628111908105</t>
  </si>
  <si>
    <t>J-1083</t>
  </si>
  <si>
    <t>Dewey</t>
  </si>
  <si>
    <t>6282110146799</t>
  </si>
  <si>
    <t>J-1097</t>
  </si>
  <si>
    <t>gwanjonathan@outlook.com</t>
  </si>
  <si>
    <t>6281112007400</t>
  </si>
  <si>
    <t>J-0455</t>
  </si>
  <si>
    <t>Kine</t>
  </si>
  <si>
    <t>J-151</t>
  </si>
  <si>
    <t>J-1099</t>
  </si>
  <si>
    <t>jpetersurjadi@gmail.com</t>
  </si>
  <si>
    <t>628111130686</t>
  </si>
  <si>
    <t>J-389</t>
  </si>
  <si>
    <t>Joned</t>
  </si>
  <si>
    <t>J-0748</t>
  </si>
  <si>
    <t>Jong Han</t>
  </si>
  <si>
    <t>+628111017503</t>
  </si>
  <si>
    <t>Jl. Pangeran Antasari No.36, Kemang Village Zip Code 12425, Tower Bloomingtonn 2702</t>
  </si>
  <si>
    <t>J-311</t>
  </si>
  <si>
    <t>L-1088</t>
  </si>
  <si>
    <t>Soon Lee</t>
  </si>
  <si>
    <t>+6281212445065</t>
  </si>
  <si>
    <t>Apt Simprug Teras Tower C #1808</t>
  </si>
  <si>
    <t>J-400</t>
  </si>
  <si>
    <t>Jongun</t>
  </si>
  <si>
    <t>Jeon</t>
  </si>
  <si>
    <t>cwindonesia@chwoon.com</t>
  </si>
  <si>
    <t xml:space="preserve">Amartapura Tower A 65A
Karawaci</t>
  </si>
  <si>
    <t>J-1004</t>
  </si>
  <si>
    <t>Jonhardi</t>
  </si>
  <si>
    <t>628118501014</t>
  </si>
  <si>
    <t>Bulgari Plaza Senayan</t>
  </si>
  <si>
    <t>J-308</t>
  </si>
  <si>
    <t>Joni</t>
  </si>
  <si>
    <t>J-315</t>
  </si>
  <si>
    <t>J-1016</t>
  </si>
  <si>
    <t>6285366655155</t>
  </si>
  <si>
    <t>J-0656</t>
  </si>
  <si>
    <t>J-1015</t>
  </si>
  <si>
    <t>Jonniadi</t>
  </si>
  <si>
    <t>jonniadi@gmail.com</t>
  </si>
  <si>
    <t>+6282285104441</t>
  </si>
  <si>
    <t>J-0791</t>
  </si>
  <si>
    <t>Jonny</t>
  </si>
  <si>
    <t>J-153</t>
  </si>
  <si>
    <t xml:space="preserve">Jl. Gading Raya No 29 Blok C1
Jakarta Utara</t>
  </si>
  <si>
    <t>J-0712</t>
  </si>
  <si>
    <t>Herjawan</t>
  </si>
  <si>
    <t>J-0979</t>
  </si>
  <si>
    <t>J-0905</t>
  </si>
  <si>
    <t>J-090</t>
  </si>
  <si>
    <t>Jonson</t>
  </si>
  <si>
    <t>Hutajulu</t>
  </si>
  <si>
    <t>Taman Rasuna Apt. Tower 9 #27G</t>
  </si>
  <si>
    <t>J-091</t>
  </si>
  <si>
    <t>6282111706068</t>
  </si>
  <si>
    <t>J-0969</t>
  </si>
  <si>
    <t>Joomyung</t>
  </si>
  <si>
    <t>J-095</t>
  </si>
  <si>
    <t>Joon</t>
  </si>
  <si>
    <t>J-094</t>
  </si>
  <si>
    <t>Brawijaya Apt. #2305</t>
  </si>
  <si>
    <t>Jl. Brawidjaya XII No. 1</t>
  </si>
  <si>
    <t>J-0762</t>
  </si>
  <si>
    <t>Joony</t>
  </si>
  <si>
    <t>J-0744</t>
  </si>
  <si>
    <t>Jordan</t>
  </si>
  <si>
    <t>Liono</t>
  </si>
  <si>
    <t>J-1063</t>
  </si>
  <si>
    <t>Jordan Michael</t>
  </si>
  <si>
    <t>Benbow</t>
  </si>
  <si>
    <t>ab_myriam@hotmail.fr</t>
  </si>
  <si>
    <t>971502263687</t>
  </si>
  <si>
    <t>J-0913</t>
  </si>
  <si>
    <t>Nathaniel</t>
  </si>
  <si>
    <t>Hayam Wuruk</t>
  </si>
  <si>
    <t>J-0895</t>
  </si>
  <si>
    <t>Jordi Nathaniel</t>
  </si>
  <si>
    <t>Theo</t>
  </si>
  <si>
    <t>628561100755</t>
  </si>
  <si>
    <t xml:space="preserve">APARTMEN MITRA BAHARI TOWER A 908
JAKARTA UTARA</t>
  </si>
  <si>
    <t>J-0880</t>
  </si>
  <si>
    <t>Jordy</t>
  </si>
  <si>
    <t>J-1094</t>
  </si>
  <si>
    <t>Jorge</t>
  </si>
  <si>
    <t>Flo Subiris</t>
  </si>
  <si>
    <t>jorgeflo4477@gmail.com</t>
  </si>
  <si>
    <t>13056908880</t>
  </si>
  <si>
    <t>J-404</t>
  </si>
  <si>
    <t>Jos</t>
  </si>
  <si>
    <t>jos@megaputra.com</t>
  </si>
  <si>
    <t xml:space="preserve">Taman Tirta Golf Blok F no.26
BSD
Tangerang 15310
Bday : 23.11.1962
anniversary : 02.06.1996</t>
  </si>
  <si>
    <t>J-0874</t>
  </si>
  <si>
    <t>62818999968</t>
  </si>
  <si>
    <t>J-098</t>
  </si>
  <si>
    <t>J-366</t>
  </si>
  <si>
    <t>Josa</t>
  </si>
  <si>
    <t>J-0572</t>
  </si>
  <si>
    <t>J-406</t>
  </si>
  <si>
    <t>J-0902</t>
  </si>
  <si>
    <t>Broz</t>
  </si>
  <si>
    <t>broz@ppf.cz</t>
  </si>
  <si>
    <t>J-0928</t>
  </si>
  <si>
    <t>J-0882</t>
  </si>
  <si>
    <t>Soeharli</t>
  </si>
  <si>
    <t>Jl Bumi 8, Blok A8, No.1</t>
  </si>
  <si>
    <t>J-238</t>
  </si>
  <si>
    <t>Joseph</t>
  </si>
  <si>
    <t>Saul</t>
  </si>
  <si>
    <t>J-321</t>
  </si>
  <si>
    <t>J-1111</t>
  </si>
  <si>
    <t>6281990991984</t>
  </si>
  <si>
    <t>J-0954</t>
  </si>
  <si>
    <t>ioshep22@gmail.com</t>
  </si>
  <si>
    <t>Jl. Retawu No. 30</t>
  </si>
  <si>
    <t>J-333</t>
  </si>
  <si>
    <t>Palong</t>
  </si>
  <si>
    <t>Agung Utara 23 Blok A No. 20, Jakarta Utara</t>
  </si>
  <si>
    <t>J-293</t>
  </si>
  <si>
    <t>Y-345</t>
  </si>
  <si>
    <t>dewianaj@yahoo.com.au</t>
  </si>
  <si>
    <t xml:space="preserve">Jalan Surya Bakti II Blok F No 13
Sunrise Garden</t>
  </si>
  <si>
    <t>J-0813</t>
  </si>
  <si>
    <t>J-0903</t>
  </si>
  <si>
    <t>mehijo@ymail.com</t>
  </si>
  <si>
    <t>Sherwood Residence Richmond 26/001</t>
  </si>
  <si>
    <t>J-0773</t>
  </si>
  <si>
    <t>Damiaksi</t>
  </si>
  <si>
    <t>J-0708</t>
  </si>
  <si>
    <t>Stellina</t>
  </si>
  <si>
    <t>josephineclarabella@yahoo.com</t>
  </si>
  <si>
    <t>Jl.Kramat Aris No.150,Cipayung Jakarta</t>
  </si>
  <si>
    <t>J-429</t>
  </si>
  <si>
    <t>jwinarto@hotmail.com</t>
  </si>
  <si>
    <t>springhill residences blok GH2 NO.56 KEMAYORAN JAKPUS 14410</t>
  </si>
  <si>
    <t>J-417</t>
  </si>
  <si>
    <t>Josepline</t>
  </si>
  <si>
    <t>J-237</t>
  </si>
  <si>
    <t>Josh</t>
  </si>
  <si>
    <t>J-1095</t>
  </si>
  <si>
    <t>Yaptonaga</t>
  </si>
  <si>
    <t>joshwilsonyaptonaga@gmail.com</t>
  </si>
  <si>
    <t>6285776722254</t>
  </si>
  <si>
    <t>J-1091</t>
  </si>
  <si>
    <t>Joshua</t>
  </si>
  <si>
    <t>J-0471</t>
  </si>
  <si>
    <t>Jl.Amerika Latin 7 No.5 Green Lake City</t>
  </si>
  <si>
    <t>J-0476</t>
  </si>
  <si>
    <t>adrian</t>
  </si>
  <si>
    <t>J-249</t>
  </si>
  <si>
    <t>62811180449</t>
  </si>
  <si>
    <t>Jl. Jabir  kav 11. Jakarta Selatan</t>
  </si>
  <si>
    <t>J-0532</t>
  </si>
  <si>
    <t>Nafi</t>
  </si>
  <si>
    <t>J-0860</t>
  </si>
  <si>
    <t>Josie</t>
  </si>
  <si>
    <t>chicmoiw@iba.com</t>
  </si>
  <si>
    <t>J-0600</t>
  </si>
  <si>
    <t>Josy</t>
  </si>
  <si>
    <t>Z-0767</t>
  </si>
  <si>
    <t>Jou</t>
  </si>
  <si>
    <t>Yeong-Shuenn</t>
  </si>
  <si>
    <t>2310646837@qq.com</t>
  </si>
  <si>
    <t>60146554319</t>
  </si>
  <si>
    <t>J-348</t>
  </si>
  <si>
    <t>Wool</t>
  </si>
  <si>
    <t>delima1004@hotmail.net</t>
  </si>
  <si>
    <t>Jl. Antasari Apartemen Prapanca #803</t>
  </si>
  <si>
    <t>J-161</t>
  </si>
  <si>
    <t>J-0944</t>
  </si>
  <si>
    <t>Joverly</t>
  </si>
  <si>
    <t>J-099</t>
  </si>
  <si>
    <t>Joverly.L</t>
  </si>
  <si>
    <t>Serenada Lake B1/16</t>
  </si>
  <si>
    <t>J-0761</t>
  </si>
  <si>
    <t>Adhiguna</t>
  </si>
  <si>
    <t>J-100</t>
  </si>
  <si>
    <t>Chiah Li Jovine</t>
  </si>
  <si>
    <t>6281311311831</t>
  </si>
  <si>
    <t>Jl. Setiabudi Tengah ,Four Season, Spring Unit 31A</t>
  </si>
  <si>
    <t>J-0729</t>
  </si>
  <si>
    <t>jovita</t>
  </si>
  <si>
    <t>jovitabw@gmail.com</t>
  </si>
  <si>
    <t>6281288223388</t>
  </si>
  <si>
    <t>Residence 8 Apartment 58E</t>
  </si>
  <si>
    <t>J-0503</t>
  </si>
  <si>
    <t>J-0499</t>
  </si>
  <si>
    <t>Chrysanthy</t>
  </si>
  <si>
    <t>J-1062</t>
  </si>
  <si>
    <t>Maz</t>
  </si>
  <si>
    <t>joydeep01@gmail.com</t>
  </si>
  <si>
    <t>+62816905747</t>
  </si>
  <si>
    <t xml:space="preserve">361 MK TOWER Kulkata
700045 (INDIA)</t>
  </si>
  <si>
    <t>J-1061</t>
  </si>
  <si>
    <t>Miranda</t>
  </si>
  <si>
    <t>joymiranda267@gmail.com</t>
  </si>
  <si>
    <t>628129087387</t>
  </si>
  <si>
    <t>J-277</t>
  </si>
  <si>
    <t>Pangko</t>
  </si>
  <si>
    <t>J-0516</t>
  </si>
  <si>
    <t>Joycelyn</t>
  </si>
  <si>
    <t>Pluit Mas Selatan IV Blok N 12 A</t>
  </si>
  <si>
    <t>J-0814</t>
  </si>
  <si>
    <t>J-186</t>
  </si>
  <si>
    <t>Joys</t>
  </si>
  <si>
    <t>Jl. Camar Elok 3/31</t>
  </si>
  <si>
    <t>J-213</t>
  </si>
  <si>
    <t>JP</t>
  </si>
  <si>
    <t>J-0982</t>
  </si>
  <si>
    <t>JR. Ayu Sukma</t>
  </si>
  <si>
    <t>ayusukma-agung@yahoo.com</t>
  </si>
  <si>
    <t>6281236312132</t>
  </si>
  <si>
    <t>VILLA PADI NO 3 LOD TUNDUH - UBUD</t>
  </si>
  <si>
    <t>J-1077</t>
  </si>
  <si>
    <t>Ju</t>
  </si>
  <si>
    <t>Juanchnszcg@gmail.com</t>
  </si>
  <si>
    <t>6281219574424</t>
  </si>
  <si>
    <t>J-1023</t>
  </si>
  <si>
    <t>6281211558881</t>
  </si>
  <si>
    <t>J-0587</t>
  </si>
  <si>
    <t>jusub76@hotmail.com</t>
  </si>
  <si>
    <t>J-0937</t>
  </si>
  <si>
    <t>Ju,</t>
  </si>
  <si>
    <t>Jiahe</t>
  </si>
  <si>
    <t>Jerena0706@126.com</t>
  </si>
  <si>
    <t>J-0456</t>
  </si>
  <si>
    <t>Lucero</t>
  </si>
  <si>
    <t>J-0995</t>
  </si>
  <si>
    <t>Jovita</t>
  </si>
  <si>
    <t>juan.jovita@gmail.com</t>
  </si>
  <si>
    <t>+6281280114108</t>
  </si>
  <si>
    <t>Pakubuwono View R 11H</t>
  </si>
  <si>
    <t>J-401</t>
  </si>
  <si>
    <t>Bargans</t>
  </si>
  <si>
    <t>J-0809</t>
  </si>
  <si>
    <t>Juang</t>
  </si>
  <si>
    <t>Gibran</t>
  </si>
  <si>
    <t>J-0720</t>
  </si>
  <si>
    <t>Juani</t>
  </si>
  <si>
    <t>J-0543</t>
  </si>
  <si>
    <t>Chisca</t>
  </si>
  <si>
    <t>J-0611</t>
  </si>
  <si>
    <t>J-0997</t>
  </si>
  <si>
    <t>Jucy</t>
  </si>
  <si>
    <t>julia.lie153@gmail.com</t>
  </si>
  <si>
    <t>62816931800</t>
  </si>
  <si>
    <t>J-176</t>
  </si>
  <si>
    <t>J-325</t>
  </si>
  <si>
    <t>J-0856</t>
  </si>
  <si>
    <t>Judika</t>
  </si>
  <si>
    <t>Sihotang</t>
  </si>
  <si>
    <t>Jl. Alu Alu No.29. jkt</t>
  </si>
  <si>
    <t>J-0970</t>
  </si>
  <si>
    <t>Yudi</t>
  </si>
  <si>
    <t>Winandi</t>
  </si>
  <si>
    <t>yudi.winandi@gmail.com</t>
  </si>
  <si>
    <t>6281113802863</t>
  </si>
  <si>
    <t>JL Alam Asri IV/6</t>
  </si>
  <si>
    <t>J-0646</t>
  </si>
  <si>
    <t>Judith</t>
  </si>
  <si>
    <t>Dipodiputro</t>
  </si>
  <si>
    <t xml:space="preserve">jl. Terusan Hang Lekir
Lebak Bulus Jak Sel 12220</t>
  </si>
  <si>
    <t>J-0684</t>
  </si>
  <si>
    <t>Simbara</t>
  </si>
  <si>
    <t>J-0596</t>
  </si>
  <si>
    <t>Monika</t>
  </si>
  <si>
    <t>monik.quinn@gmail.com</t>
  </si>
  <si>
    <t>J-0593</t>
  </si>
  <si>
    <t>Judy</t>
  </si>
  <si>
    <t>bsd</t>
  </si>
  <si>
    <t>J-1082</t>
  </si>
  <si>
    <t>ZHK</t>
  </si>
  <si>
    <t>331393642@qq.com</t>
  </si>
  <si>
    <t>+13572484044</t>
  </si>
  <si>
    <t>J-104</t>
  </si>
  <si>
    <t>Handara</t>
  </si>
  <si>
    <t>62816786440</t>
  </si>
  <si>
    <t>Jl. Kamboja 8</t>
  </si>
  <si>
    <t>J-0848</t>
  </si>
  <si>
    <t>Juha</t>
  </si>
  <si>
    <t>Komp.BHR No73 Medan 20132</t>
  </si>
  <si>
    <t>J-0462</t>
  </si>
  <si>
    <t>Juli</t>
  </si>
  <si>
    <t>J-0542</t>
  </si>
  <si>
    <t>Nurachmad</t>
  </si>
  <si>
    <t>Taman Kenari Nusantara Cluster Sanur 5 / No.3 Cibubur</t>
  </si>
  <si>
    <t>J-346</t>
  </si>
  <si>
    <t>Oktarina</t>
  </si>
  <si>
    <t>J-0510</t>
  </si>
  <si>
    <t>Julia</t>
  </si>
  <si>
    <t>juliatobing@hotmail.com</t>
  </si>
  <si>
    <t xml:space="preserve">Apartemen Hampton Parks Tower A 5F 
(birthday 26-03-1985)</t>
  </si>
  <si>
    <t>J-355</t>
  </si>
  <si>
    <t>J-224</t>
  </si>
  <si>
    <t>+628129119868</t>
  </si>
  <si>
    <t>J-0919</t>
  </si>
  <si>
    <t>6281281088088</t>
  </si>
  <si>
    <t>Concerto Beach 7 No 30 Jakarta 14460</t>
  </si>
  <si>
    <t>J-331</t>
  </si>
  <si>
    <t>J-0978</t>
  </si>
  <si>
    <t>Dobrovolskaia</t>
  </si>
  <si>
    <t>dobro_sky@mail.ru</t>
  </si>
  <si>
    <t>Bali , Indonesia</t>
  </si>
  <si>
    <t>J-1067</t>
  </si>
  <si>
    <t>muffin.julia@gmail.com</t>
  </si>
  <si>
    <t>62818191116</t>
  </si>
  <si>
    <t>Simprug Gold 8 No.12 , Jakarta , 12220</t>
  </si>
  <si>
    <t>J-0595</t>
  </si>
  <si>
    <t>J-1034</t>
  </si>
  <si>
    <t>Kentjono</t>
  </si>
  <si>
    <t>6281256661632</t>
  </si>
  <si>
    <t>J-105</t>
  </si>
  <si>
    <t>Kuan</t>
  </si>
  <si>
    <t>Komplek Pluit Mas Blok DD No. 5</t>
  </si>
  <si>
    <t>Jembatan Tiga</t>
  </si>
  <si>
    <t>J-1021</t>
  </si>
  <si>
    <t>6281380705407</t>
  </si>
  <si>
    <t>Jalan Flamboyan Golf No. 2, PIK Jakarta Utara 14470</t>
  </si>
  <si>
    <t>J-0753</t>
  </si>
  <si>
    <t>J-379</t>
  </si>
  <si>
    <t>Swigo</t>
  </si>
  <si>
    <t>+628119444790</t>
  </si>
  <si>
    <t>Jl Tosiga 1 Blok K2 ,Kebon Jeruk , Jakarta Barat</t>
  </si>
  <si>
    <t>J-0564</t>
  </si>
  <si>
    <t>juliaw1313@homail.com</t>
  </si>
  <si>
    <t>Pinisi Indah 6/21 Jakarta Utara 14460</t>
  </si>
  <si>
    <t>J-0869</t>
  </si>
  <si>
    <t>Julia/</t>
  </si>
  <si>
    <t>J-0855</t>
  </si>
  <si>
    <t>Juliadi</t>
  </si>
  <si>
    <t>J-1028</t>
  </si>
  <si>
    <t>Julian</t>
  </si>
  <si>
    <t>6282280558444</t>
  </si>
  <si>
    <t>J-0743</t>
  </si>
  <si>
    <t>Gorman</t>
  </si>
  <si>
    <t>Villa 15</t>
  </si>
  <si>
    <t>J-1115</t>
  </si>
  <si>
    <t>Rizky A</t>
  </si>
  <si>
    <t>julianrzk@yahoo.com</t>
  </si>
  <si>
    <t>628111833939</t>
  </si>
  <si>
    <t>J-110</t>
  </si>
  <si>
    <t>Perum. Villa Duta</t>
  </si>
  <si>
    <t>Jl. Sari Bentang 15</t>
  </si>
  <si>
    <t>J-107</t>
  </si>
  <si>
    <t>Juwadi</t>
  </si>
  <si>
    <t>Jl. Rajasa III No.1A</t>
  </si>
  <si>
    <t>J-0760</t>
  </si>
  <si>
    <t>J-327</t>
  </si>
  <si>
    <t>J-1101</t>
  </si>
  <si>
    <t>chenjinying237@gmail.com</t>
  </si>
  <si>
    <t>6287825542877</t>
  </si>
  <si>
    <t>Citraland Puri, Cluster A1 Covy A2/9 Serang</t>
  </si>
  <si>
    <t>J-0846</t>
  </si>
  <si>
    <t>Apartment Belleza</t>
  </si>
  <si>
    <t>J-1019</t>
  </si>
  <si>
    <t>jhalim86@yahoo.com</t>
  </si>
  <si>
    <t>628557701560</t>
  </si>
  <si>
    <t>J-0466</t>
  </si>
  <si>
    <t>julianahermanto@icloud.com</t>
  </si>
  <si>
    <t>simprug w-43</t>
  </si>
  <si>
    <t>J-0949</t>
  </si>
  <si>
    <t>hermawan.juliana@gmail.com</t>
  </si>
  <si>
    <t>J-1103</t>
  </si>
  <si>
    <t>6281316332227</t>
  </si>
  <si>
    <t>J-0961</t>
  </si>
  <si>
    <t>Lidya</t>
  </si>
  <si>
    <t>J-1046</t>
  </si>
  <si>
    <t>juliana.liem@yahoo.com</t>
  </si>
  <si>
    <t>6281281818778</t>
  </si>
  <si>
    <t>J-0709</t>
  </si>
  <si>
    <t>Muljawan</t>
  </si>
  <si>
    <t>j_muljawan@yahoo.com</t>
  </si>
  <si>
    <t>J-1033</t>
  </si>
  <si>
    <t>6287882222787</t>
  </si>
  <si>
    <t>J-0862</t>
  </si>
  <si>
    <t>Parmadi</t>
  </si>
  <si>
    <t>J-414</t>
  </si>
  <si>
    <t xml:space="preserve">Jl.Pinisi Permai 3 No 11
PIK</t>
  </si>
  <si>
    <t>J-0835</t>
  </si>
  <si>
    <t>krystal2melati@gmail.com</t>
  </si>
  <si>
    <t>62818972270</t>
  </si>
  <si>
    <t>J-0934</t>
  </si>
  <si>
    <t>Tjokro</t>
  </si>
  <si>
    <t>juliana.tjokro2012@gmail.com</t>
  </si>
  <si>
    <t>62811195071</t>
  </si>
  <si>
    <t>Jl.Taman Jati Petamburan No.10C</t>
  </si>
  <si>
    <t>J-0437</t>
  </si>
  <si>
    <t>yu_yuli@yahoo.com</t>
  </si>
  <si>
    <t xml:space="preserve">apartement  istana harmoni suite - B
Jl. Suryo Pranoto 2
jakarta Pusat</t>
  </si>
  <si>
    <t>J-278</t>
  </si>
  <si>
    <t>Juliandal</t>
  </si>
  <si>
    <t>Cuaranda</t>
  </si>
  <si>
    <t>J-0468</t>
  </si>
  <si>
    <t>Juliani</t>
  </si>
  <si>
    <t>Juliani_hudaya@ymail.com</t>
  </si>
  <si>
    <t>Jln. Asem V No.10 D</t>
  </si>
  <si>
    <t>J-0787</t>
  </si>
  <si>
    <t>Julianthy</t>
  </si>
  <si>
    <t>Suento</t>
  </si>
  <si>
    <t>julisyento@gmail.com</t>
  </si>
  <si>
    <t>jl. MT Haryono No. 95D</t>
  </si>
  <si>
    <t>kendari</t>
  </si>
  <si>
    <t>J-0763</t>
  </si>
  <si>
    <t>Julianto</t>
  </si>
  <si>
    <t>J-0591</t>
  </si>
  <si>
    <t>Julianty</t>
  </si>
  <si>
    <t>0816822568</t>
  </si>
  <si>
    <t>J-0526</t>
  </si>
  <si>
    <t>Tuluni</t>
  </si>
  <si>
    <t>J-143</t>
  </si>
  <si>
    <t>Juliati</t>
  </si>
  <si>
    <t>J-0866</t>
  </si>
  <si>
    <t>Jl. Cilandak 1. No.30 Kav. 7 - Jaksel</t>
  </si>
  <si>
    <t>J-0704</t>
  </si>
  <si>
    <t>Julie</t>
  </si>
  <si>
    <t>linlijuan1230@gmail.com</t>
  </si>
  <si>
    <t>J-248</t>
  </si>
  <si>
    <t>Octha</t>
  </si>
  <si>
    <t>J-337</t>
  </si>
  <si>
    <t>Phebe</t>
  </si>
  <si>
    <t>J-0610</t>
  </si>
  <si>
    <t>JL KARET DEPAN GG BANTU NO 282  JAK-SEL 12940</t>
  </si>
  <si>
    <t>J-0472</t>
  </si>
  <si>
    <t>Scremin</t>
  </si>
  <si>
    <t>J-0626</t>
  </si>
  <si>
    <t>Tanoe</t>
  </si>
  <si>
    <t>+62816759171</t>
  </si>
  <si>
    <t>J-0738</t>
  </si>
  <si>
    <t>J-1119</t>
  </si>
  <si>
    <t>Juliia</t>
  </si>
  <si>
    <t>Logvinova</t>
  </si>
  <si>
    <t>79112147829@yandex.ru</t>
  </si>
  <si>
    <t>79112147829</t>
  </si>
  <si>
    <t>J-0664</t>
  </si>
  <si>
    <t>Julina</t>
  </si>
  <si>
    <t>J-202</t>
  </si>
  <si>
    <t>Siswandi</t>
  </si>
  <si>
    <t>J-0904</t>
  </si>
  <si>
    <t>Julinorita</t>
  </si>
  <si>
    <t>62811940187</t>
  </si>
  <si>
    <t>J-0984</t>
  </si>
  <si>
    <t>Julio</t>
  </si>
  <si>
    <t>085216789846</t>
  </si>
  <si>
    <t>J-0795</t>
  </si>
  <si>
    <t>Jayawardhani</t>
  </si>
  <si>
    <t>J-381</t>
  </si>
  <si>
    <t>Julita</t>
  </si>
  <si>
    <t>J-0868</t>
  </si>
  <si>
    <t>Sudwikatmono</t>
  </si>
  <si>
    <t>6281311357222</t>
  </si>
  <si>
    <t>Jl Trimaran Permai 4 no.3</t>
  </si>
  <si>
    <t>J-0703</t>
  </si>
  <si>
    <t>Julius</t>
  </si>
  <si>
    <t>J-0730</t>
  </si>
  <si>
    <t>Cavandy</t>
  </si>
  <si>
    <t>J-115</t>
  </si>
  <si>
    <t>J-0566</t>
  </si>
  <si>
    <t>julius_emilio@hotmail.com</t>
  </si>
  <si>
    <t>Taman Duta Mas F7/10-Jakarta Barat</t>
  </si>
  <si>
    <t>J-392</t>
  </si>
  <si>
    <t>juliusevan@gmail.com</t>
  </si>
  <si>
    <t xml:space="preserve">Verde Apartment #1506
Jalan Haji Cokong, Jaksel Kuningan</t>
  </si>
  <si>
    <t>J-1031</t>
  </si>
  <si>
    <t>Ibrani</t>
  </si>
  <si>
    <t>6281314969726</t>
  </si>
  <si>
    <t>J-0597</t>
  </si>
  <si>
    <t>J-116</t>
  </si>
  <si>
    <t>Sjukur</t>
  </si>
  <si>
    <t>Jl. Gedung Hijau Raya 20B</t>
  </si>
  <si>
    <t>J-1088</t>
  </si>
  <si>
    <t>Sutjiadi</t>
  </si>
  <si>
    <t>6281585606050</t>
  </si>
  <si>
    <t>J-0821</t>
  </si>
  <si>
    <t>Yasdi</t>
  </si>
  <si>
    <t>Jalan Pahlawan 92 Rt001/006</t>
  </si>
  <si>
    <t>J-234</t>
  </si>
  <si>
    <t>Julmary</t>
  </si>
  <si>
    <t>J-199</t>
  </si>
  <si>
    <t>July</t>
  </si>
  <si>
    <t>J-117</t>
  </si>
  <si>
    <t>J-1064</t>
  </si>
  <si>
    <t>+628118074377</t>
  </si>
  <si>
    <t>J-0683</t>
  </si>
  <si>
    <t>Rouw</t>
  </si>
  <si>
    <t>628121141212</t>
  </si>
  <si>
    <t>J-0799</t>
  </si>
  <si>
    <t>J-0789</t>
  </si>
  <si>
    <t>Julyana</t>
  </si>
  <si>
    <t>08567780803</t>
  </si>
  <si>
    <t>J-0988</t>
  </si>
  <si>
    <t>Julyawati</t>
  </si>
  <si>
    <t>julyawatiadek@yahoo.com</t>
  </si>
  <si>
    <t>6282171731177</t>
  </si>
  <si>
    <t>Jalan Bintara No 14 I-J</t>
  </si>
  <si>
    <t>J-1050</t>
  </si>
  <si>
    <t>Julyvia</t>
  </si>
  <si>
    <t>62811912712</t>
  </si>
  <si>
    <t xml:space="preserve">Serenade Lagoon 5 No .6
PIK</t>
  </si>
  <si>
    <t>J-0847</t>
  </si>
  <si>
    <t>Julz</t>
  </si>
  <si>
    <t>J-0999</t>
  </si>
  <si>
    <t>Jumalina</t>
  </si>
  <si>
    <t>62811189258</t>
  </si>
  <si>
    <t>J-427</t>
  </si>
  <si>
    <t>Jumrin</t>
  </si>
  <si>
    <t>Pagala</t>
  </si>
  <si>
    <t>J-1005</t>
  </si>
  <si>
    <t>Junfei</t>
  </si>
  <si>
    <t>+13566593959</t>
  </si>
  <si>
    <t>J-298</t>
  </si>
  <si>
    <t>Kajihara</t>
  </si>
  <si>
    <t>J-1112</t>
  </si>
  <si>
    <t>356103795@qq.com</t>
  </si>
  <si>
    <t>8618268866633</t>
  </si>
  <si>
    <t>J-119</t>
  </si>
  <si>
    <t>Juna</t>
  </si>
  <si>
    <t>Jl. Gunung Himalaya 86</t>
  </si>
  <si>
    <t>J-0679</t>
  </si>
  <si>
    <t>J-356</t>
  </si>
  <si>
    <t>J-220</t>
  </si>
  <si>
    <t>J-227</t>
  </si>
  <si>
    <t>Junartati</t>
  </si>
  <si>
    <t>kingstone@shy.centryn.net.id</t>
  </si>
  <si>
    <t xml:space="preserve">Jl.Graha Family F/6
Surabaya</t>
  </si>
  <si>
    <t>J-0892</t>
  </si>
  <si>
    <t>Juneja</t>
  </si>
  <si>
    <t>Tuteja</t>
  </si>
  <si>
    <t>J-0897</t>
  </si>
  <si>
    <t>jungeunkim0704@gmail.com</t>
  </si>
  <si>
    <t>+6281110112725</t>
  </si>
  <si>
    <t xml:space="preserve">SD 2 NO.65 LIVING STONE
KOTA WISATA - CIBUBUR 16968</t>
  </si>
  <si>
    <t>J-200</t>
  </si>
  <si>
    <t>J-269</t>
  </si>
  <si>
    <t>Ri</t>
  </si>
  <si>
    <t>J-1035</t>
  </si>
  <si>
    <t>Kyeongmin</t>
  </si>
  <si>
    <t>jkm9591@sj-press.com</t>
  </si>
  <si>
    <t>821028115609</t>
  </si>
  <si>
    <t>J-0992</t>
  </si>
  <si>
    <t>Naree</t>
  </si>
  <si>
    <t>+6281997010811</t>
  </si>
  <si>
    <t>J-1120</t>
  </si>
  <si>
    <t>Jung Woo Lee</t>
  </si>
  <si>
    <t>jwleemark@gmail.com</t>
  </si>
  <si>
    <t>+821091307498</t>
  </si>
  <si>
    <t>J-0901</t>
  </si>
  <si>
    <t>Jungha</t>
  </si>
  <si>
    <t>J-285</t>
  </si>
  <si>
    <t>Juni</t>
  </si>
  <si>
    <t>Djamaloeddin</t>
  </si>
  <si>
    <t>juni@indo.net.id</t>
  </si>
  <si>
    <t xml:space="preserve">Jalan Pejaten Barat Indah II/1
Jakarta Selatan,12510</t>
  </si>
  <si>
    <t>J-0480</t>
  </si>
  <si>
    <t>6281294039015</t>
  </si>
  <si>
    <t>J-183</t>
  </si>
  <si>
    <t>Ramble</t>
  </si>
  <si>
    <t>J-0871</t>
  </si>
  <si>
    <t>Selly</t>
  </si>
  <si>
    <t>sellywallace_87@gmail.com</t>
  </si>
  <si>
    <t>J-0887</t>
  </si>
  <si>
    <t>Sianawati</t>
  </si>
  <si>
    <t>J-1054</t>
  </si>
  <si>
    <t>Junia</t>
  </si>
  <si>
    <t>+6281288877588</t>
  </si>
  <si>
    <t>J-354</t>
  </si>
  <si>
    <t>Junianto</t>
  </si>
  <si>
    <t>J-282</t>
  </si>
  <si>
    <t>Juniaty</t>
  </si>
  <si>
    <t xml:space="preserve">Jl. Cimahi no 20 
Menteng</t>
  </si>
  <si>
    <t>J-0544</t>
  </si>
  <si>
    <t>GREEN BAY PLUIT G/10/BF JAKARTA</t>
  </si>
  <si>
    <t>J-0921</t>
  </si>
  <si>
    <t>Junida</t>
  </si>
  <si>
    <t>N-290</t>
  </si>
  <si>
    <t>Junidya</t>
  </si>
  <si>
    <t>Jalan cipinang cempedak no 1D</t>
  </si>
  <si>
    <t>J-240</t>
  </si>
  <si>
    <t>Junike</t>
  </si>
  <si>
    <t>florida</t>
  </si>
  <si>
    <t>J-1070</t>
  </si>
  <si>
    <t>Florida Siregar</t>
  </si>
  <si>
    <t>6281283173508</t>
  </si>
  <si>
    <t>J-253</t>
  </si>
  <si>
    <t>Somarani</t>
  </si>
  <si>
    <t>keke_somarani@yahoo.com</t>
  </si>
  <si>
    <t>Jati Bening Estate E1/1</t>
  </si>
  <si>
    <t>J-319</t>
  </si>
  <si>
    <t>Kemang Raya Terusan Kav.2 No.2</t>
  </si>
  <si>
    <t>J-230</t>
  </si>
  <si>
    <t>Juniko</t>
  </si>
  <si>
    <t>Nizhizawa</t>
  </si>
  <si>
    <t>J-1086</t>
  </si>
  <si>
    <t>Junio</t>
  </si>
  <si>
    <t>62811961404</t>
  </si>
  <si>
    <t>J-0448</t>
  </si>
  <si>
    <t>Ciputra</t>
  </si>
  <si>
    <t>J-0630</t>
  </si>
  <si>
    <t>Loebis</t>
  </si>
  <si>
    <t>J-179</t>
  </si>
  <si>
    <t>J-0733</t>
  </si>
  <si>
    <t>Jl Cemara Indah 3 No.2 PIK</t>
  </si>
  <si>
    <t>J-150</t>
  </si>
  <si>
    <t>kainama</t>
  </si>
  <si>
    <t>Jl. Sam Ratulangi No. 12B</t>
  </si>
  <si>
    <t>J-0563</t>
  </si>
  <si>
    <t>junita19@gmail.com</t>
  </si>
  <si>
    <t>J-0445</t>
  </si>
  <si>
    <t>Roemawi</t>
  </si>
  <si>
    <t>roemawi@yahoo.com</t>
  </si>
  <si>
    <t>Jl Mandar XIII Bintaro Jaya Sektor 3</t>
  </si>
  <si>
    <t>J-125</t>
  </si>
  <si>
    <t>Junivert</t>
  </si>
  <si>
    <t>Girsang</t>
  </si>
  <si>
    <t>J-0504</t>
  </si>
  <si>
    <t>Junjung</t>
  </si>
  <si>
    <t>J-1102</t>
  </si>
  <si>
    <t>Junpeng</t>
  </si>
  <si>
    <t>J-0975</t>
  </si>
  <si>
    <t>Junsong</t>
  </si>
  <si>
    <t>M96821554</t>
  </si>
  <si>
    <t>J-0899</t>
  </si>
  <si>
    <t>Juok</t>
  </si>
  <si>
    <t>Bloomington Kemang Village</t>
  </si>
  <si>
    <t>J-180</t>
  </si>
  <si>
    <t>Juri</t>
  </si>
  <si>
    <t>J-262</t>
  </si>
  <si>
    <t>Jurika</t>
  </si>
  <si>
    <t>J-1110</t>
  </si>
  <si>
    <t>628115118668</t>
  </si>
  <si>
    <t>J-0501</t>
  </si>
  <si>
    <t>Jurn</t>
  </si>
  <si>
    <t>Terpstra</t>
  </si>
  <si>
    <t>J-428</t>
  </si>
  <si>
    <t>Jurry</t>
  </si>
  <si>
    <t>J-128</t>
  </si>
  <si>
    <t>Jusan</t>
  </si>
  <si>
    <t>Margetan</t>
  </si>
  <si>
    <t>Jl. Pulo Asem Raya 15</t>
  </si>
  <si>
    <t>J-129</t>
  </si>
  <si>
    <t>Jusito</t>
  </si>
  <si>
    <t>J-0483</t>
  </si>
  <si>
    <t>Jusman</t>
  </si>
  <si>
    <t>J-184</t>
  </si>
  <si>
    <t>Kartia</t>
  </si>
  <si>
    <t>Jl. Jend. Sudirman Kav. 52-53 Lot 3 &amp; 5,</t>
  </si>
  <si>
    <t>J-0858</t>
  </si>
  <si>
    <t>Jusri</t>
  </si>
  <si>
    <t>J-0702</t>
  </si>
  <si>
    <t>Justi</t>
  </si>
  <si>
    <t>Salusiana</t>
  </si>
  <si>
    <t>62811151622</t>
  </si>
  <si>
    <t xml:space="preserve">Jl. Erlangga 5 no 18 kelurahan selong kebayoran Baru jakarta
</t>
  </si>
  <si>
    <t>J-0834</t>
  </si>
  <si>
    <t>Justin</t>
  </si>
  <si>
    <t>Goff</t>
  </si>
  <si>
    <t>J-0908</t>
  </si>
  <si>
    <t>J-130</t>
  </si>
  <si>
    <t>Justina</t>
  </si>
  <si>
    <t>J-0717</t>
  </si>
  <si>
    <t>J-0828</t>
  </si>
  <si>
    <t>Justinus</t>
  </si>
  <si>
    <t>Lhaksana</t>
  </si>
  <si>
    <t>628176000286</t>
  </si>
  <si>
    <t>J-182</t>
  </si>
  <si>
    <t>J-132</t>
  </si>
  <si>
    <t>Jl. Tosiga V/L-17</t>
  </si>
  <si>
    <t>J-133</t>
  </si>
  <si>
    <t>Toaha</t>
  </si>
  <si>
    <t xml:space="preserve">Haji Sidup No3 Rempoa
Jakarta Selatan</t>
  </si>
  <si>
    <t>J-134</t>
  </si>
  <si>
    <t>Taman Golf 310</t>
  </si>
  <si>
    <t>J-0435</t>
  </si>
  <si>
    <t>Juwan</t>
  </si>
  <si>
    <t>Djiman</t>
  </si>
  <si>
    <t>J-1108</t>
  </si>
  <si>
    <t>Juwanita</t>
  </si>
  <si>
    <t>Binte Abdul Wahab</t>
  </si>
  <si>
    <t>+6597515396</t>
  </si>
  <si>
    <t>J-233</t>
  </si>
  <si>
    <t>Taman Radio Dalam No.19</t>
  </si>
  <si>
    <t>J-0914</t>
  </si>
  <si>
    <t>prve6977@gmail.com</t>
  </si>
  <si>
    <t>J-0569</t>
  </si>
  <si>
    <t>Ju Young</t>
  </si>
  <si>
    <t>+62811910522</t>
  </si>
  <si>
    <t>APT ESSENCE TOWER EAST 17F CIPETE UTARA</t>
  </si>
  <si>
    <t>J-0957</t>
  </si>
  <si>
    <t>Juzuar</t>
  </si>
  <si>
    <t>K-202</t>
  </si>
  <si>
    <t>K.</t>
  </si>
  <si>
    <t>Rokhayati</t>
  </si>
  <si>
    <t>K-0586</t>
  </si>
  <si>
    <t>Kabia</t>
  </si>
  <si>
    <t>Tatiana Satyastini</t>
  </si>
  <si>
    <t>kabyasatyas2@gmail.com</t>
  </si>
  <si>
    <t>6281288877652</t>
  </si>
  <si>
    <t>Apartment Casa Grande Jakarta</t>
  </si>
  <si>
    <t>K-001</t>
  </si>
  <si>
    <t>Kadek</t>
  </si>
  <si>
    <t>kadek</t>
  </si>
  <si>
    <t>6281218712009</t>
  </si>
  <si>
    <t>K-0399</t>
  </si>
  <si>
    <t>Suratmini</t>
  </si>
  <si>
    <t>62811853479</t>
  </si>
  <si>
    <t>K-0680</t>
  </si>
  <si>
    <t>Kadzhaia</t>
  </si>
  <si>
    <t>Nataliia</t>
  </si>
  <si>
    <t>natalyak@mes.ru</t>
  </si>
  <si>
    <t>79169312836</t>
  </si>
  <si>
    <t>K-0456</t>
  </si>
  <si>
    <t>Kahang</t>
  </si>
  <si>
    <t>K-0311</t>
  </si>
  <si>
    <t>Kaharuddin</t>
  </si>
  <si>
    <t>K-190</t>
  </si>
  <si>
    <t>Kaharudin</t>
  </si>
  <si>
    <t xml:space="preserve">Jl. Sultan Agung Utara , Blok A/7D
No.16 Jakarta Utara</t>
  </si>
  <si>
    <t>K-0724</t>
  </si>
  <si>
    <t>Kai Hen</t>
  </si>
  <si>
    <t>62812888158</t>
  </si>
  <si>
    <t>K-0382</t>
  </si>
  <si>
    <t>Kai</t>
  </si>
  <si>
    <t>K-0689</t>
  </si>
  <si>
    <t>+6281912816666</t>
  </si>
  <si>
    <t>K-0664</t>
  </si>
  <si>
    <t>Nigina</t>
  </si>
  <si>
    <t>Kaiumova</t>
  </si>
  <si>
    <t>+992408000000</t>
  </si>
  <si>
    <t>K-0663</t>
  </si>
  <si>
    <t>Sangeeta</t>
  </si>
  <si>
    <t>Kajaria</t>
  </si>
  <si>
    <t>919830052824</t>
  </si>
  <si>
    <t>Kolkata - India</t>
  </si>
  <si>
    <t>K-0610</t>
  </si>
  <si>
    <t>Kalandarova</t>
  </si>
  <si>
    <t>Atanazarovna</t>
  </si>
  <si>
    <t>K-0720</t>
  </si>
  <si>
    <t>Kale</t>
  </si>
  <si>
    <t>Mata Angin</t>
  </si>
  <si>
    <t>6287887988778</t>
  </si>
  <si>
    <t>K-0322</t>
  </si>
  <si>
    <t>Kaleb</t>
  </si>
  <si>
    <t>Lucman</t>
  </si>
  <si>
    <t>K-0403</t>
  </si>
  <si>
    <t>62811998656</t>
  </si>
  <si>
    <t>K-0528</t>
  </si>
  <si>
    <t>Kalinda</t>
  </si>
  <si>
    <t>K-0596</t>
  </si>
  <si>
    <t>Lidia</t>
  </si>
  <si>
    <t>Kalinina</t>
  </si>
  <si>
    <t>+79219532490</t>
  </si>
  <si>
    <t>K-0666</t>
  </si>
  <si>
    <t>Kaliuzhnyi</t>
  </si>
  <si>
    <t>andrewkt01@gmail.com</t>
  </si>
  <si>
    <t>79788543067</t>
  </si>
  <si>
    <t>K-284</t>
  </si>
  <si>
    <t>Kallista</t>
  </si>
  <si>
    <t>Yuda</t>
  </si>
  <si>
    <t>Kebon Jeruk</t>
  </si>
  <si>
    <t>K-0329</t>
  </si>
  <si>
    <t>Kalu</t>
  </si>
  <si>
    <t>K-186</t>
  </si>
  <si>
    <t>Kalula</t>
  </si>
  <si>
    <t>Harsynta</t>
  </si>
  <si>
    <t>K-0735</t>
  </si>
  <si>
    <t>Kama</t>
  </si>
  <si>
    <t>K-0643</t>
  </si>
  <si>
    <t>Kamasaki</t>
  </si>
  <si>
    <t>Kouichi</t>
  </si>
  <si>
    <t>085215450717</t>
  </si>
  <si>
    <t>K-0631</t>
  </si>
  <si>
    <t>Dudka</t>
  </si>
  <si>
    <t>+48579522107</t>
  </si>
  <si>
    <t>K-004</t>
  </si>
  <si>
    <t>Kamlesh</t>
  </si>
  <si>
    <t>Kalwani</t>
  </si>
  <si>
    <t xml:space="preserve">Jln Sukabumi #26
Menteng JAK- PUS</t>
  </si>
  <si>
    <t>K-0624</t>
  </si>
  <si>
    <t>Kancana</t>
  </si>
  <si>
    <t>kancana89@gmail.com</t>
  </si>
  <si>
    <t>K-0536</t>
  </si>
  <si>
    <t>Qiang</t>
  </si>
  <si>
    <t>K-0554</t>
  </si>
  <si>
    <t>AG</t>
  </si>
  <si>
    <t>K-0543</t>
  </si>
  <si>
    <t>K-124</t>
  </si>
  <si>
    <t>K-0638</t>
  </si>
  <si>
    <t>Kania</t>
  </si>
  <si>
    <t>Restha</t>
  </si>
  <si>
    <t>kaniaazis.95@gmail.com</t>
  </si>
  <si>
    <t>+6282135135195</t>
  </si>
  <si>
    <t>K-132</t>
  </si>
  <si>
    <t>Soedarsono</t>
  </si>
  <si>
    <t>K-0686</t>
  </si>
  <si>
    <t>Kanny</t>
  </si>
  <si>
    <t>Kamdrawati</t>
  </si>
  <si>
    <t>kanchanreybrand@gmail.com</t>
  </si>
  <si>
    <t>6281398888338</t>
  </si>
  <si>
    <t>Jln. Biduri Pandan Blok II No. 2</t>
  </si>
  <si>
    <t>K-0642</t>
  </si>
  <si>
    <t>Kanokwan</t>
  </si>
  <si>
    <t>Buanuan</t>
  </si>
  <si>
    <t>kanokwan_boa@yahoo.com</t>
  </si>
  <si>
    <t>6281288992047</t>
  </si>
  <si>
    <t>Villa Melati Blok C4/15 Tangerang</t>
  </si>
  <si>
    <t>K-0327</t>
  </si>
  <si>
    <t>Kanty</t>
  </si>
  <si>
    <t>WIjaya</t>
  </si>
  <si>
    <t>K-216</t>
  </si>
  <si>
    <t>Kanya</t>
  </si>
  <si>
    <t>K-0579</t>
  </si>
  <si>
    <t>kaekanya2523@yahoo.com</t>
  </si>
  <si>
    <t xml:space="preserve">Jalan Parang Tritis VIII NO.15
JAKARTA</t>
  </si>
  <si>
    <t>K-0564</t>
  </si>
  <si>
    <t>Kaplan</t>
  </si>
  <si>
    <t>Hill</t>
  </si>
  <si>
    <t>K-0649</t>
  </si>
  <si>
    <t>Kapoor</t>
  </si>
  <si>
    <t>Deepa</t>
  </si>
  <si>
    <t>deeparakeshkapoor61@gmail.com</t>
  </si>
  <si>
    <t>K-0661</t>
  </si>
  <si>
    <t>Dimitra Dorothea</t>
  </si>
  <si>
    <t>Karamolegkou</t>
  </si>
  <si>
    <t>d.karamolegkou@gmail.com</t>
  </si>
  <si>
    <t>306945723636</t>
  </si>
  <si>
    <t>Grece</t>
  </si>
  <si>
    <t>K-0413</t>
  </si>
  <si>
    <t>Karen</t>
  </si>
  <si>
    <t>628551802068</t>
  </si>
  <si>
    <t>K-007</t>
  </si>
  <si>
    <t>Jl. Rajawali Selatan II No 12</t>
  </si>
  <si>
    <t>K-0450</t>
  </si>
  <si>
    <t>karenchloe@ymail.com</t>
  </si>
  <si>
    <t xml:space="preserve">JL ADITIAWARMAN NO.19
JAKARTA 12110</t>
  </si>
  <si>
    <t>K-0292</t>
  </si>
  <si>
    <t>6287780068168</t>
  </si>
  <si>
    <t>Muara Karang Blok I3 B57, Jakarta</t>
  </si>
  <si>
    <t>K-0699</t>
  </si>
  <si>
    <t>Katarina</t>
  </si>
  <si>
    <t>62811955455</t>
  </si>
  <si>
    <t>St Morits Appartement New Presidential Jakarta</t>
  </si>
  <si>
    <t>K-130</t>
  </si>
  <si>
    <t>K-0335</t>
  </si>
  <si>
    <t>Vendela</t>
  </si>
  <si>
    <t>K-0569</t>
  </si>
  <si>
    <t>Karim</t>
  </si>
  <si>
    <t>K-0690</t>
  </si>
  <si>
    <t>Zebo</t>
  </si>
  <si>
    <t>zebo.karimberdieva@gmail.com</t>
  </si>
  <si>
    <t>19177108810</t>
  </si>
  <si>
    <t>K-145</t>
  </si>
  <si>
    <t>Karin</t>
  </si>
  <si>
    <t>K-253</t>
  </si>
  <si>
    <t>Ovita</t>
  </si>
  <si>
    <t>novitalubis220@gmail.com</t>
  </si>
  <si>
    <t xml:space="preserve">Jl. Administrasi Negara 1 No.29
Pejompongan</t>
  </si>
  <si>
    <t>K-180</t>
  </si>
  <si>
    <t>K-010</t>
  </si>
  <si>
    <t>K-0740</t>
  </si>
  <si>
    <t>Ameilia</t>
  </si>
  <si>
    <t>6282174363364</t>
  </si>
  <si>
    <t>K-0432</t>
  </si>
  <si>
    <t>Aslam</t>
  </si>
  <si>
    <t xml:space="preserve">Kebayoran View
jakarta</t>
  </si>
  <si>
    <t>K-193</t>
  </si>
  <si>
    <t>Delftya</t>
  </si>
  <si>
    <t>kharinadelftyamadjid@yahoo.com</t>
  </si>
  <si>
    <t xml:space="preserve">Jl. S Parman No..08/03
Samarinda, Kalimantan Timur.</t>
  </si>
  <si>
    <t>K-183</t>
  </si>
  <si>
    <t>K-0449</t>
  </si>
  <si>
    <t>kumarga</t>
  </si>
  <si>
    <t>K-0736</t>
  </si>
  <si>
    <t>6281239303333</t>
  </si>
  <si>
    <t>K-248</t>
  </si>
  <si>
    <t>Pudjoko</t>
  </si>
  <si>
    <t>K-0655</t>
  </si>
  <si>
    <t>Karina Ratana</t>
  </si>
  <si>
    <t>karinaborrys@gmail.com</t>
  </si>
  <si>
    <t>+6281111113414</t>
  </si>
  <si>
    <t>Cluster Amagriya Eka Podomoro</t>
  </si>
  <si>
    <t>K-0575</t>
  </si>
  <si>
    <t>k.karinawibowo@gmail.com</t>
  </si>
  <si>
    <t>+628174718644</t>
  </si>
  <si>
    <t>K-0526</t>
  </si>
  <si>
    <t>Karinda</t>
  </si>
  <si>
    <t>Listyani Rachmana</t>
  </si>
  <si>
    <t>karinda.1701@gmail.com</t>
  </si>
  <si>
    <t>628119787175</t>
  </si>
  <si>
    <t>Bona Indah Blok A4/20</t>
  </si>
  <si>
    <t>K-0719</t>
  </si>
  <si>
    <t>Karisma</t>
  </si>
  <si>
    <t>Sutomo</t>
  </si>
  <si>
    <t>Pandega Marta IV/7</t>
  </si>
  <si>
    <t>K-233</t>
  </si>
  <si>
    <t>Karl</t>
  </si>
  <si>
    <t>Bishop</t>
  </si>
  <si>
    <t>karl.bishop@usa.net</t>
  </si>
  <si>
    <t>K-012</t>
  </si>
  <si>
    <t>K-0320</t>
  </si>
  <si>
    <t>Karla</t>
  </si>
  <si>
    <t>Jasmina</t>
  </si>
  <si>
    <t>K-0670</t>
  </si>
  <si>
    <t>karlanat2412@gmail.com</t>
  </si>
  <si>
    <t>62817241288</t>
  </si>
  <si>
    <t>K-0727</t>
  </si>
  <si>
    <t>Michael John</t>
  </si>
  <si>
    <t>KARLBOM</t>
  </si>
  <si>
    <t>mjkarlbom@gmail.com</t>
  </si>
  <si>
    <t>18583450709</t>
  </si>
  <si>
    <t>Amerika</t>
  </si>
  <si>
    <t>K-0358</t>
  </si>
  <si>
    <t>K-122</t>
  </si>
  <si>
    <t>Karlita</t>
  </si>
  <si>
    <t>Rubianti</t>
  </si>
  <si>
    <t>K-0340</t>
  </si>
  <si>
    <t>Karmela</t>
  </si>
  <si>
    <t>Kortodirdjo</t>
  </si>
  <si>
    <t>Mega Cinere Depok</t>
  </si>
  <si>
    <t>K-0673</t>
  </si>
  <si>
    <t>Karmia</t>
  </si>
  <si>
    <t>Tanjung</t>
  </si>
  <si>
    <t>ktnasution@gmail.com</t>
  </si>
  <si>
    <t>62811826973</t>
  </si>
  <si>
    <t>K-0337</t>
  </si>
  <si>
    <t>Karmila</t>
  </si>
  <si>
    <t>K-0679</t>
  </si>
  <si>
    <t>Steven Craig</t>
  </si>
  <si>
    <t>Karr</t>
  </si>
  <si>
    <t>Drskarr@gmail.com</t>
  </si>
  <si>
    <t>12485683500</t>
  </si>
  <si>
    <t>K-189</t>
  </si>
  <si>
    <t>K-174</t>
  </si>
  <si>
    <t>K-0472</t>
  </si>
  <si>
    <t>6281218801133</t>
  </si>
  <si>
    <t>K-0466</t>
  </si>
  <si>
    <t>Khuzaima,</t>
  </si>
  <si>
    <t>K-0583</t>
  </si>
  <si>
    <t>Caddell</t>
  </si>
  <si>
    <t>1435 Bramblebury Dr , Sugarland . Texas</t>
  </si>
  <si>
    <t>K-0636</t>
  </si>
  <si>
    <t>kartikahadi@gmail.com</t>
  </si>
  <si>
    <t>+628118884959</t>
  </si>
  <si>
    <t>K-0693</t>
  </si>
  <si>
    <t>6281380808013</t>
  </si>
  <si>
    <t>K-0390</t>
  </si>
  <si>
    <t>Apsari</t>
  </si>
  <si>
    <t>kartyce_80@yahoo.co.id</t>
  </si>
  <si>
    <t>K-0546</t>
  </si>
  <si>
    <t>Laras</t>
  </si>
  <si>
    <t xml:space="preserve">Jl.Batu Wadas No.45 Kramat Jati
Jakarta Timur</t>
  </si>
  <si>
    <t>K-0544</t>
  </si>
  <si>
    <t>karina.budi@yahoo.com</t>
  </si>
  <si>
    <t>6281319095722</t>
  </si>
  <si>
    <t>Komplek Depsos N0 32 Jak sel</t>
  </si>
  <si>
    <t>K-0734</t>
  </si>
  <si>
    <t>6287808000656</t>
  </si>
  <si>
    <t>K-014</t>
  </si>
  <si>
    <t>Indah Yulia Apsari</t>
  </si>
  <si>
    <t>0812510980</t>
  </si>
  <si>
    <t>3rd Fl. Plaza Mandiri</t>
  </si>
  <si>
    <t>Jl. Jend. Gatot Subroto Kav. 36-38</t>
  </si>
  <si>
    <t>K-268</t>
  </si>
  <si>
    <t>Tiko</t>
  </si>
  <si>
    <t>kartika.wirjoatmodjo@bankmandiri.co.id</t>
  </si>
  <si>
    <t>62811190848</t>
  </si>
  <si>
    <t xml:space="preserve">Jl.Saidi IA/59
Jakarta
Anniversary : 04.07.1999</t>
  </si>
  <si>
    <t>K-0444</t>
  </si>
  <si>
    <t>62811991820</t>
  </si>
  <si>
    <t>K-199</t>
  </si>
  <si>
    <t>Karuna</t>
  </si>
  <si>
    <t xml:space="preserve">Taman Golf 105
Lippo Karawaci</t>
  </si>
  <si>
    <t>K-0502</t>
  </si>
  <si>
    <t>Karnani</t>
  </si>
  <si>
    <t>K-0582</t>
  </si>
  <si>
    <t>Kasdi</t>
  </si>
  <si>
    <t>Taman</t>
  </si>
  <si>
    <t>K-116</t>
  </si>
  <si>
    <t>Kasuwanto</t>
  </si>
  <si>
    <t>K-0387</t>
  </si>
  <si>
    <t>Tiono</t>
  </si>
  <si>
    <t>081281188355</t>
  </si>
  <si>
    <t>K-0498</t>
  </si>
  <si>
    <t>Durove</t>
  </si>
  <si>
    <t>+421905521159</t>
  </si>
  <si>
    <t xml:space="preserve">SLOVAC REPUBLIC
Live in Gianyar - Bali</t>
  </si>
  <si>
    <t>K-0448</t>
  </si>
  <si>
    <t>Tyas</t>
  </si>
  <si>
    <t>BONA VISTA RESIDENCE A2 - 20 LEBAK BULUS JAKARTA 12440</t>
  </si>
  <si>
    <t>K-0494</t>
  </si>
  <si>
    <t>Kartikawati</t>
  </si>
  <si>
    <t>K-0591</t>
  </si>
  <si>
    <t>Triasari</t>
  </si>
  <si>
    <t xml:space="preserve">Perum Citra Sun Garden CS 11/6 Juwangen 
RT 011/003
Purwomartani - Kalasan
Yogyakarta</t>
  </si>
  <si>
    <t>K-0467</t>
  </si>
  <si>
    <t>Kate</t>
  </si>
  <si>
    <t>K-0507</t>
  </si>
  <si>
    <t>Katerina</t>
  </si>
  <si>
    <t>Sivak</t>
  </si>
  <si>
    <t>79671277100</t>
  </si>
  <si>
    <t xml:space="preserve">Sadana Ciputra Beach Resort - Villa I-17
Pangkung Tibah, Tabanan, Bali</t>
  </si>
  <si>
    <t>K-0709</t>
  </si>
  <si>
    <t>Kateryna</t>
  </si>
  <si>
    <t>Kostiuk</t>
  </si>
  <si>
    <t>k.kostyuk6@gmail.com</t>
  </si>
  <si>
    <t>+380675475187</t>
  </si>
  <si>
    <t>Ukaraine</t>
  </si>
  <si>
    <t>Ukarine</t>
  </si>
  <si>
    <t>K-0676</t>
  </si>
  <si>
    <t>Ostapchuk</t>
  </si>
  <si>
    <t>ost.photographer@gmail.com</t>
  </si>
  <si>
    <t>+34682472043</t>
  </si>
  <si>
    <t>Carrer de les Jouqueres, 18, Barcelona</t>
  </si>
  <si>
    <t>K-0594</t>
  </si>
  <si>
    <t>Katharina</t>
  </si>
  <si>
    <t>Noviana</t>
  </si>
  <si>
    <t>K-0685</t>
  </si>
  <si>
    <t>Ullmer</t>
  </si>
  <si>
    <t>6281288153912</t>
  </si>
  <si>
    <t>K-0348</t>
  </si>
  <si>
    <t>Katherine</t>
  </si>
  <si>
    <t>K-188</t>
  </si>
  <si>
    <t>K-0584</t>
  </si>
  <si>
    <t>Luger</t>
  </si>
  <si>
    <t>10 Miramar RD</t>
  </si>
  <si>
    <t>Stuart</t>
  </si>
  <si>
    <t>K-0314</t>
  </si>
  <si>
    <t>K-192</t>
  </si>
  <si>
    <t>K-270</t>
  </si>
  <si>
    <t>Kathleen</t>
  </si>
  <si>
    <t>Tandriyani</t>
  </si>
  <si>
    <t>kathleenclaudia@gmail.com</t>
  </si>
  <si>
    <t>Jl Griya Sentosa blok G1. 12A</t>
  </si>
  <si>
    <t>K-255</t>
  </si>
  <si>
    <t>Kathrin</t>
  </si>
  <si>
    <t>pasaribukathrin@gmail.com</t>
  </si>
  <si>
    <t xml:space="preserve">Legenda Wisata K 10/18 
Cibubur</t>
  </si>
  <si>
    <t>K-0328</t>
  </si>
  <si>
    <t>Katlea</t>
  </si>
  <si>
    <t>K-0570</t>
  </si>
  <si>
    <t>Katriel</t>
  </si>
  <si>
    <t>+6281285256218</t>
  </si>
  <si>
    <t>K-0417</t>
  </si>
  <si>
    <t>Katrin</t>
  </si>
  <si>
    <t>K-0462</t>
  </si>
  <si>
    <t>aling_150473@yahoo.com</t>
  </si>
  <si>
    <t>Cluster Dalton Selatan 1 N0 29 Gading Serpong 15811 Banten</t>
  </si>
  <si>
    <t>K-0578</t>
  </si>
  <si>
    <t>Katya</t>
  </si>
  <si>
    <t>Gruss</t>
  </si>
  <si>
    <t>shamirakatya@gmail.com</t>
  </si>
  <si>
    <t>Jl. Bangka Raya no.45A Unit 320 Tower B</t>
  </si>
  <si>
    <t>K-0711</t>
  </si>
  <si>
    <t>Nabila</t>
  </si>
  <si>
    <t>628197872524</t>
  </si>
  <si>
    <t>K-0652</t>
  </si>
  <si>
    <t>Gadi</t>
  </si>
  <si>
    <t>Kaufmann</t>
  </si>
  <si>
    <t>GKAUFMANN@RCLCO.COM</t>
  </si>
  <si>
    <t>1310291990</t>
  </si>
  <si>
    <t>K-146</t>
  </si>
  <si>
    <t>K-0632</t>
  </si>
  <si>
    <t>Kaya</t>
  </si>
  <si>
    <t>Alpaslan</t>
  </si>
  <si>
    <t>alpaslankaya@me.com</t>
  </si>
  <si>
    <t>+905322451036</t>
  </si>
  <si>
    <t>K-0518</t>
  </si>
  <si>
    <t>Kayla</t>
  </si>
  <si>
    <t>Chantika</t>
  </si>
  <si>
    <t>K-0435</t>
  </si>
  <si>
    <t>Kayo</t>
  </si>
  <si>
    <t>K-0370</t>
  </si>
  <si>
    <t>Kazuo</t>
  </si>
  <si>
    <t>Moriya</t>
  </si>
  <si>
    <t>kebayoran, Jaksel</t>
  </si>
  <si>
    <t>K-030</t>
  </si>
  <si>
    <t>Kazuri</t>
  </si>
  <si>
    <t>(JPN)</t>
  </si>
  <si>
    <t>Four Seasons Apartment Setiabudi</t>
  </si>
  <si>
    <t>K-0368</t>
  </si>
  <si>
    <t>KB</t>
  </si>
  <si>
    <t>K-0668</t>
  </si>
  <si>
    <t>Ke</t>
  </si>
  <si>
    <t>Kelseyxiao0107@gmail.com</t>
  </si>
  <si>
    <t>8613760409220</t>
  </si>
  <si>
    <t>K-0694</t>
  </si>
  <si>
    <t>Keane</t>
  </si>
  <si>
    <t>628889049279</t>
  </si>
  <si>
    <t>Sedayu City , Kelapa Gading</t>
  </si>
  <si>
    <t>K-0294</t>
  </si>
  <si>
    <t>Keany</t>
  </si>
  <si>
    <t>atmsyat@gmail.com</t>
  </si>
  <si>
    <t>Surai</t>
  </si>
  <si>
    <t>K-0561</t>
  </si>
  <si>
    <t>Keehoon</t>
  </si>
  <si>
    <t xml:space="preserve">JL BUKIT INDAH SELATAN NO.35
VASSA TERRACE - BEKASI</t>
  </si>
  <si>
    <t>K-0604</t>
  </si>
  <si>
    <t>Keijzer</t>
  </si>
  <si>
    <t>Netherlands</t>
  </si>
  <si>
    <t>K-247</t>
  </si>
  <si>
    <t>Hino</t>
  </si>
  <si>
    <t>19C Eaglewood, The Pakubuwono Residence</t>
  </si>
  <si>
    <t>K-0725</t>
  </si>
  <si>
    <t>Kaliman</t>
  </si>
  <si>
    <t>keikokaliman@gmail.com</t>
  </si>
  <si>
    <t>6281388210688</t>
  </si>
  <si>
    <t xml:space="preserve">JL. Parang Teritis IX No 1 
Jakarta - Utara
14430</t>
  </si>
  <si>
    <t>K-0355</t>
  </si>
  <si>
    <t>Keisha</t>
  </si>
  <si>
    <t xml:space="preserve">Apt. Marbella Kemang (A809)
Jakarta Selatan</t>
  </si>
  <si>
    <t>K-238</t>
  </si>
  <si>
    <t>Keith</t>
  </si>
  <si>
    <t>K-0519</t>
  </si>
  <si>
    <t>Potter</t>
  </si>
  <si>
    <t>K-0306</t>
  </si>
  <si>
    <t>Keke</t>
  </si>
  <si>
    <t>K-0629</t>
  </si>
  <si>
    <t>Nieke</t>
  </si>
  <si>
    <t>keke7781@yahoo.com</t>
  </si>
  <si>
    <t>628121000781</t>
  </si>
  <si>
    <t>Simprug Garden 2 Blok C/6</t>
  </si>
  <si>
    <t>K-0495</t>
  </si>
  <si>
    <t>Keli</t>
  </si>
  <si>
    <t>K-134</t>
  </si>
  <si>
    <t>Kelik</t>
  </si>
  <si>
    <t>K-277</t>
  </si>
  <si>
    <t>Kelly</t>
  </si>
  <si>
    <t>K-0474</t>
  </si>
  <si>
    <t>K-0324</t>
  </si>
  <si>
    <t>kellyaurelia2@gmail.com</t>
  </si>
  <si>
    <t>628116150610</t>
  </si>
  <si>
    <t xml:space="preserve">Jl Bintang No 40/48A
Medan 2'+'+62212</t>
  </si>
  <si>
    <t>K-0702</t>
  </si>
  <si>
    <t>Wilkerson</t>
  </si>
  <si>
    <t>K-0599</t>
  </si>
  <si>
    <t>Priscillia Hadiprawira</t>
  </si>
  <si>
    <t>6287883187480</t>
  </si>
  <si>
    <t xml:space="preserve">Gold Coast Residence 40K WCA NO.11 
Jakarta-Utara</t>
  </si>
  <si>
    <t>K-0521</t>
  </si>
  <si>
    <t>kellywang12138@gmail.com</t>
  </si>
  <si>
    <t>K-0590</t>
  </si>
  <si>
    <t>Mu</t>
  </si>
  <si>
    <t>K-0383</t>
  </si>
  <si>
    <t>628551008467</t>
  </si>
  <si>
    <t>K-0574</t>
  </si>
  <si>
    <t>Varianne</t>
  </si>
  <si>
    <t>SURABAYA</t>
  </si>
  <si>
    <t>E-317</t>
  </si>
  <si>
    <t>6285881575788</t>
  </si>
  <si>
    <t xml:space="preserve">Jalan Benyamin Suaeb
Perumahan Springhill Golf Residences D7 Blk C15
Golfview, Kemayoran. jakarta utara 14410.</t>
  </si>
  <si>
    <t>K-256</t>
  </si>
  <si>
    <t>Kelvin</t>
  </si>
  <si>
    <t xml:space="preserve">Budi Asih I/17
Bandung</t>
  </si>
  <si>
    <t>K-0660</t>
  </si>
  <si>
    <t>Martin</t>
  </si>
  <si>
    <t>kelvin.kharisma.mrt@gmail.com</t>
  </si>
  <si>
    <t>628111923842</t>
  </si>
  <si>
    <t>Central Park Residence Tower Amandine 38/09</t>
  </si>
  <si>
    <t>K-0562</t>
  </si>
  <si>
    <t>Lawoto</t>
  </si>
  <si>
    <t>K-0336</t>
  </si>
  <si>
    <t>K-0541</t>
  </si>
  <si>
    <t>kml.AKBR@gmail.com</t>
  </si>
  <si>
    <t>Semolowaru Tengah 14/7</t>
  </si>
  <si>
    <t>K-139</t>
  </si>
  <si>
    <t>S-1962</t>
  </si>
  <si>
    <t>Kemalov</t>
  </si>
  <si>
    <t>nshvets@mail.ru</t>
  </si>
  <si>
    <t>79037854690</t>
  </si>
  <si>
    <t>M-1375</t>
  </si>
  <si>
    <t>Ken</t>
  </si>
  <si>
    <t>K-0493</t>
  </si>
  <si>
    <t>6282113951985</t>
  </si>
  <si>
    <t>K-0520</t>
  </si>
  <si>
    <t>628111753310</t>
  </si>
  <si>
    <t>Jalan Sawo No. 12, Menteng, Jakarta Pusat 90035</t>
  </si>
  <si>
    <t>K-0297</t>
  </si>
  <si>
    <t>Rinaldo</t>
  </si>
  <si>
    <t>rinaldoken@gmail.com</t>
  </si>
  <si>
    <t xml:space="preserve">Jl. Proklamasi no 35
Menteng</t>
  </si>
  <si>
    <t>K-269</t>
  </si>
  <si>
    <t>K-0534</t>
  </si>
  <si>
    <t>K-0427</t>
  </si>
  <si>
    <t>Keni</t>
  </si>
  <si>
    <t>K-0659</t>
  </si>
  <si>
    <t>Kenichi</t>
  </si>
  <si>
    <t>Kumada</t>
  </si>
  <si>
    <t>8109055990870</t>
  </si>
  <si>
    <t>K-0532</t>
  </si>
  <si>
    <t>Kenni</t>
  </si>
  <si>
    <t>K-0658</t>
  </si>
  <si>
    <t>628176960123</t>
  </si>
  <si>
    <t>K-0615</t>
  </si>
  <si>
    <t>Lavenue Building , 7th Floor</t>
  </si>
  <si>
    <t>K-0545</t>
  </si>
  <si>
    <t>K-0691</t>
  </si>
  <si>
    <t>Wirya</t>
  </si>
  <si>
    <t>62811881005</t>
  </si>
  <si>
    <t>K-037</t>
  </si>
  <si>
    <t>Kenrick</t>
  </si>
  <si>
    <t>Holiwono</t>
  </si>
  <si>
    <t>ken.vns@hotmail.com</t>
  </si>
  <si>
    <t>Jl. Sungai Poso No. 66</t>
  </si>
  <si>
    <t>K-0457</t>
  </si>
  <si>
    <t>Kent</t>
  </si>
  <si>
    <t>K-0362</t>
  </si>
  <si>
    <t>Kenta</t>
  </si>
  <si>
    <t>Nishimoto</t>
  </si>
  <si>
    <t>K-0558</t>
  </si>
  <si>
    <t>Kenzie Fasha</t>
  </si>
  <si>
    <t>fashamuhammad22@gmail.com</t>
  </si>
  <si>
    <t>089650749832</t>
  </si>
  <si>
    <t>S-2129</t>
  </si>
  <si>
    <t>Shi,</t>
  </si>
  <si>
    <t>Keping</t>
  </si>
  <si>
    <t>734770801@qq.com</t>
  </si>
  <si>
    <t>+8613801928898</t>
  </si>
  <si>
    <t>K-0475</t>
  </si>
  <si>
    <t>Kerri</t>
  </si>
  <si>
    <t>Villa 19</t>
  </si>
  <si>
    <t>K-0723</t>
  </si>
  <si>
    <t>Kesit Wahyu</t>
  </si>
  <si>
    <t>kesitwahyu28@gmail.com</t>
  </si>
  <si>
    <t>628388888182</t>
  </si>
  <si>
    <t>Villa Bintaro Indah Blok A4</t>
  </si>
  <si>
    <t>K-0317</t>
  </si>
  <si>
    <t>Kesti</t>
  </si>
  <si>
    <t>JL. Taman Kosambi Timur F1/63</t>
  </si>
  <si>
    <t>K-0737</t>
  </si>
  <si>
    <t>Ketova</t>
  </si>
  <si>
    <t>79375267877</t>
  </si>
  <si>
    <t>K-0338</t>
  </si>
  <si>
    <t>Ketrin</t>
  </si>
  <si>
    <t>Agustine</t>
  </si>
  <si>
    <t>Pantai Indah Kapuk Jl.Trimaran Indah 3 Blok J 2 No.3A</t>
  </si>
  <si>
    <t>K-267</t>
  </si>
  <si>
    <t>Ketsia</t>
  </si>
  <si>
    <t>ketsiaximena@yahoo.com</t>
  </si>
  <si>
    <t>+62816950558</t>
  </si>
  <si>
    <t xml:space="preserve">Jl.Durian Barat III/3
Jagakarsa</t>
  </si>
  <si>
    <t>K-0419</t>
  </si>
  <si>
    <t>Ketty</t>
  </si>
  <si>
    <t>K-0537</t>
  </si>
  <si>
    <t>Ketut Hendra</t>
  </si>
  <si>
    <t>Juliawan</t>
  </si>
  <si>
    <t>juliawan.adirangga@gmail.com</t>
  </si>
  <si>
    <t>6281288968202</t>
  </si>
  <si>
    <t>Cluster Cherry Ville HC 9/8, Grand Wisata, Bekasi</t>
  </si>
  <si>
    <t>K-0339</t>
  </si>
  <si>
    <t>Ketut</t>
  </si>
  <si>
    <t>Sujani</t>
  </si>
  <si>
    <t>K-184</t>
  </si>
  <si>
    <t>K-288</t>
  </si>
  <si>
    <t>Kevin</t>
  </si>
  <si>
    <t>M-1524</t>
  </si>
  <si>
    <t>kevinpang10@gmail.com</t>
  </si>
  <si>
    <t>casa jardin cluster catalya no 20,Jakbar</t>
  </si>
  <si>
    <t>K-0503</t>
  </si>
  <si>
    <t>+62811171118</t>
  </si>
  <si>
    <t>K-0492</t>
  </si>
  <si>
    <t>Aluwi</t>
  </si>
  <si>
    <t>K-0595</t>
  </si>
  <si>
    <t>K-0588</t>
  </si>
  <si>
    <t>Denpasar, Bali</t>
  </si>
  <si>
    <t>K-0653</t>
  </si>
  <si>
    <t>Kevin Joni</t>
  </si>
  <si>
    <t>628111911901</t>
  </si>
  <si>
    <t>K-0517</t>
  </si>
  <si>
    <t>Kristanto</t>
  </si>
  <si>
    <t>6282245698885</t>
  </si>
  <si>
    <t>K-0533</t>
  </si>
  <si>
    <t>kelvin.kurniawan2013@gmail.com</t>
  </si>
  <si>
    <t>6281311659889</t>
  </si>
  <si>
    <t>K-0613</t>
  </si>
  <si>
    <t>Maharis</t>
  </si>
  <si>
    <t>K-0481</t>
  </si>
  <si>
    <t>K-0513</t>
  </si>
  <si>
    <t>Praharyawan</t>
  </si>
  <si>
    <t>K-0497</t>
  </si>
  <si>
    <t>K-0479</t>
  </si>
  <si>
    <t>K-0506</t>
  </si>
  <si>
    <t>K-0509</t>
  </si>
  <si>
    <t>6287883633131</t>
  </si>
  <si>
    <t>Pulomas Barat 5C/14 Jakarta</t>
  </si>
  <si>
    <t>K-0616</t>
  </si>
  <si>
    <t>Suandar</t>
  </si>
  <si>
    <t>kevin.suandar@gmail.com</t>
  </si>
  <si>
    <t>Jadeite Residence Blok G2 No. 1, Tangerang</t>
  </si>
  <si>
    <t>K-0603</t>
  </si>
  <si>
    <t>K-0617</t>
  </si>
  <si>
    <t>Keivin</t>
  </si>
  <si>
    <t>Tandanu</t>
  </si>
  <si>
    <t>628188199716</t>
  </si>
  <si>
    <t xml:space="preserve">Apartemen Aeropolis, Tower Lucent, Lantai 2, unit ALR.1.2.10, Jl. Marsekal Suryadarma, Neglasari, Tangerang, Banten 15129
</t>
  </si>
  <si>
    <t>K-0488</t>
  </si>
  <si>
    <t>Wardiana</t>
  </si>
  <si>
    <t>kevin.wardiana@gmail.com</t>
  </si>
  <si>
    <t>K-0491</t>
  </si>
  <si>
    <t>Oentojo</t>
  </si>
  <si>
    <t>kevinzadok@gmail.com</t>
  </si>
  <si>
    <t>K-0609</t>
  </si>
  <si>
    <t>Kevinn</t>
  </si>
  <si>
    <t>K-171</t>
  </si>
  <si>
    <t>Keyna</t>
  </si>
  <si>
    <t>Kameron</t>
  </si>
  <si>
    <t>K-0309</t>
  </si>
  <si>
    <t>Keyne</t>
  </si>
  <si>
    <t>K-0455</t>
  </si>
  <si>
    <t>Kezia</t>
  </si>
  <si>
    <t>K-040</t>
  </si>
  <si>
    <t>K-0515</t>
  </si>
  <si>
    <t>Sang Ayu Putu Dwimarini</t>
  </si>
  <si>
    <t>Pariury</t>
  </si>
  <si>
    <t>+62811883937</t>
  </si>
  <si>
    <t>K-0470</t>
  </si>
  <si>
    <t>Pdwadjaja</t>
  </si>
  <si>
    <t>K-0640</t>
  </si>
  <si>
    <t>Trihatmanto</t>
  </si>
  <si>
    <t>6287785196915</t>
  </si>
  <si>
    <t>Jl. Tanjung No.29 Gondangdia, Menteng ,Jakarta Pusat 10350</t>
  </si>
  <si>
    <t>K-226</t>
  </si>
  <si>
    <t>Khadijah</t>
  </si>
  <si>
    <t>K-0600</t>
  </si>
  <si>
    <t>Khairana</t>
  </si>
  <si>
    <t>Masuna</t>
  </si>
  <si>
    <t>+6281280990402</t>
  </si>
  <si>
    <t>Jl. RS Fatmawati NO.45 Jakarta</t>
  </si>
  <si>
    <t>K-201</t>
  </si>
  <si>
    <t>Khairudin</t>
  </si>
  <si>
    <t>K-041</t>
  </si>
  <si>
    <t>Khairul</t>
  </si>
  <si>
    <t>Muhadi</t>
  </si>
  <si>
    <t>K-0459</t>
  </si>
  <si>
    <t>Ridho</t>
  </si>
  <si>
    <t>K-0712</t>
  </si>
  <si>
    <t>Khairul Zafri</t>
  </si>
  <si>
    <t>6738912715</t>
  </si>
  <si>
    <t xml:space="preserve">No.13 SPG50 KG.Kilanas Bandar Seri Begawan
</t>
  </si>
  <si>
    <t>Brunei</t>
  </si>
  <si>
    <t>Brunei Darussalam</t>
  </si>
  <si>
    <t>K-162</t>
  </si>
  <si>
    <t>Khaisin</t>
  </si>
  <si>
    <t>K-0703</t>
  </si>
  <si>
    <t>Kareem</t>
  </si>
  <si>
    <t>Khalat</t>
  </si>
  <si>
    <t>+966565555805</t>
  </si>
  <si>
    <t>K-0656</t>
  </si>
  <si>
    <t>Khaleb</t>
  </si>
  <si>
    <t>Ajesh</t>
  </si>
  <si>
    <t>971588888137</t>
  </si>
  <si>
    <t>K-225</t>
  </si>
  <si>
    <t>Khaled</t>
  </si>
  <si>
    <t>aaksa_22@hotmail.com</t>
  </si>
  <si>
    <t>K-0319</t>
  </si>
  <si>
    <t>Khalid</t>
  </si>
  <si>
    <t>Alkaabi</t>
  </si>
  <si>
    <t>K-254</t>
  </si>
  <si>
    <t>Alsaggaf</t>
  </si>
  <si>
    <t>kalsaggaf@yahoo.com</t>
  </si>
  <si>
    <t xml:space="preserve">2502 AlKuwait - AlFaisaliah ST.
Unit 1</t>
  </si>
  <si>
    <t>Jeddah</t>
  </si>
  <si>
    <t>23442-7687</t>
  </si>
  <si>
    <t>K-0531</t>
  </si>
  <si>
    <t>Alkhater</t>
  </si>
  <si>
    <t>Qatar</t>
  </si>
  <si>
    <t>K-0425</t>
  </si>
  <si>
    <t>Raheel</t>
  </si>
  <si>
    <t>K-0605</t>
  </si>
  <si>
    <t>Khalid,</t>
  </si>
  <si>
    <t>Krim</t>
  </si>
  <si>
    <t>French</t>
  </si>
  <si>
    <t>K-0696</t>
  </si>
  <si>
    <t>Khalifah</t>
  </si>
  <si>
    <t>Kays Y</t>
  </si>
  <si>
    <t>+447754714479</t>
  </si>
  <si>
    <t>K-0634</t>
  </si>
  <si>
    <t>Khalili</t>
  </si>
  <si>
    <t>Sara</t>
  </si>
  <si>
    <t>sara.khalili93@gmail.com</t>
  </si>
  <si>
    <t>+61404096555</t>
  </si>
  <si>
    <t>K-0542</t>
  </si>
  <si>
    <t>Khalisha</t>
  </si>
  <si>
    <t>Azzahra</t>
  </si>
  <si>
    <t>K-0598</t>
  </si>
  <si>
    <t>Khanijaun</t>
  </si>
  <si>
    <t>Rachna</t>
  </si>
  <si>
    <t>K-0486</t>
  </si>
  <si>
    <t>Khansa</t>
  </si>
  <si>
    <t>Raihana</t>
  </si>
  <si>
    <t>khansakhalawi@gmail.com</t>
  </si>
  <si>
    <t>Pamulang Permai Tangerang Selatan</t>
  </si>
  <si>
    <t>K-0360</t>
  </si>
  <si>
    <t>K-242</t>
  </si>
  <si>
    <t>Bibitani</t>
  </si>
  <si>
    <t>6281212155567</t>
  </si>
  <si>
    <t>K-156</t>
  </si>
  <si>
    <t xml:space="preserve">Jl. Cisanggiri 2 No.17
Kebayoran Baru</t>
  </si>
  <si>
    <t>K-0516</t>
  </si>
  <si>
    <t>Khanchandan</t>
  </si>
  <si>
    <t>K-0623</t>
  </si>
  <si>
    <t>Khe</t>
  </si>
  <si>
    <t xml:space="preserve">JL.GARDEN ISLAND 1 NO.9
PIK - JAKARTA UTARA</t>
  </si>
  <si>
    <t>K-0627</t>
  </si>
  <si>
    <t>Khedoori</t>
  </si>
  <si>
    <t>sydneyads@hotmail.com</t>
  </si>
  <si>
    <t>K-0483</t>
  </si>
  <si>
    <t>Kheysan</t>
  </si>
  <si>
    <t>Haitara</t>
  </si>
  <si>
    <t xml:space="preserve">Jl.Radio 1
Jakarta Selatan</t>
  </si>
  <si>
    <t>K-0647</t>
  </si>
  <si>
    <t>Roua</t>
  </si>
  <si>
    <t>Khidhri</t>
  </si>
  <si>
    <t>khidhriroua@gmail.com</t>
  </si>
  <si>
    <t>417495498032</t>
  </si>
  <si>
    <t>Republic of Tunisia</t>
  </si>
  <si>
    <t>K-279</t>
  </si>
  <si>
    <t>Ngo</t>
  </si>
  <si>
    <t>K-0378</t>
  </si>
  <si>
    <t>Pauling</t>
  </si>
  <si>
    <t>Jl.Duri Selatan III/35</t>
  </si>
  <si>
    <t>K-0556</t>
  </si>
  <si>
    <t>K-0651</t>
  </si>
  <si>
    <t>Khoe</t>
  </si>
  <si>
    <t>Aireen Deviani</t>
  </si>
  <si>
    <t>phoenixbirdfly@gmail.com</t>
  </si>
  <si>
    <t>62816974988</t>
  </si>
  <si>
    <t>Jl. Leora 6, No 17. tangerang Selatan</t>
  </si>
  <si>
    <t>K-0628</t>
  </si>
  <si>
    <t>Khoe Liviana</t>
  </si>
  <si>
    <t>Muljana</t>
  </si>
  <si>
    <t>+628161116609</t>
  </si>
  <si>
    <t>Kav Polri Blok A5/150</t>
  </si>
  <si>
    <t>K-0717</t>
  </si>
  <si>
    <t>Khoiri</t>
  </si>
  <si>
    <t>+628127560511</t>
  </si>
  <si>
    <t>K-0565</t>
  </si>
  <si>
    <t>Khokhlova</t>
  </si>
  <si>
    <t>K-0618</t>
  </si>
  <si>
    <t>Khov</t>
  </si>
  <si>
    <t>K-128</t>
  </si>
  <si>
    <t>Khresna</t>
  </si>
  <si>
    <t>K-0373</t>
  </si>
  <si>
    <t>Khrisnaresa</t>
  </si>
  <si>
    <t>K-0460</t>
  </si>
  <si>
    <t>Khushbu</t>
  </si>
  <si>
    <t>Topandasni</t>
  </si>
  <si>
    <t>K-263</t>
  </si>
  <si>
    <t xml:space="preserve">Komplek Hankam Slipi Blok K No 21
Palmerah</t>
  </si>
  <si>
    <t>K-0714</t>
  </si>
  <si>
    <t>Kia</t>
  </si>
  <si>
    <t>Reynolds</t>
  </si>
  <si>
    <t>Kia@reynoldsuk.com</t>
  </si>
  <si>
    <t>6282299000823</t>
  </si>
  <si>
    <t>K-0641</t>
  </si>
  <si>
    <t>Kienzy</t>
  </si>
  <si>
    <t>K-0683</t>
  </si>
  <si>
    <t>Mylien</t>
  </si>
  <si>
    <t>6281389176696</t>
  </si>
  <si>
    <t>K-0731</t>
  </si>
  <si>
    <t>Kifune</t>
  </si>
  <si>
    <t>Shimizu</t>
  </si>
  <si>
    <t>kizune2424@icloud.com</t>
  </si>
  <si>
    <t>6281952665813</t>
  </si>
  <si>
    <t>K-0454</t>
  </si>
  <si>
    <t>Kigen</t>
  </si>
  <si>
    <t>Panambunan</t>
  </si>
  <si>
    <t>K-0471</t>
  </si>
  <si>
    <t>Kijung</t>
  </si>
  <si>
    <t>Kwon</t>
  </si>
  <si>
    <t>Botanica T2-20D, Jakarta</t>
  </si>
  <si>
    <t>K-0363</t>
  </si>
  <si>
    <t>Kika</t>
  </si>
  <si>
    <t>K-187</t>
  </si>
  <si>
    <t>Kiki</t>
  </si>
  <si>
    <t>K-044</t>
  </si>
  <si>
    <t xml:space="preserve">Jl. Darul Ma'arif 45D
Fatmawati</t>
  </si>
  <si>
    <t>Jkt</t>
  </si>
  <si>
    <t>M-1277</t>
  </si>
  <si>
    <t>K-0614</t>
  </si>
  <si>
    <t>Hapshary</t>
  </si>
  <si>
    <t>Raffles Residences Unit 30A</t>
  </si>
  <si>
    <t>K-0433</t>
  </si>
  <si>
    <t>K-0626</t>
  </si>
  <si>
    <t>K-0395</t>
  </si>
  <si>
    <t>K-197</t>
  </si>
  <si>
    <t>K-0738</t>
  </si>
  <si>
    <t>Yandri</t>
  </si>
  <si>
    <t>6285217950359</t>
  </si>
  <si>
    <t>Kebayoran Height Blok A6/6 Tangsel</t>
  </si>
  <si>
    <t>K-0476</t>
  </si>
  <si>
    <t>Kikis</t>
  </si>
  <si>
    <t>K-0463</t>
  </si>
  <si>
    <t>M-1611</t>
  </si>
  <si>
    <t>K-0477</t>
  </si>
  <si>
    <t>K-120</t>
  </si>
  <si>
    <t>kim@dwimitragp.com</t>
  </si>
  <si>
    <t>Darmawangsa 7 No.126</t>
  </si>
  <si>
    <t>K-0485</t>
  </si>
  <si>
    <t>K-0364</t>
  </si>
  <si>
    <t>K-0645</t>
  </si>
  <si>
    <t>Beomseok</t>
  </si>
  <si>
    <t>brianmsc14@gmail.com</t>
  </si>
  <si>
    <t>821052061524</t>
  </si>
  <si>
    <t>K-0571</t>
  </si>
  <si>
    <t>Bomyi</t>
  </si>
  <si>
    <t>K-155</t>
  </si>
  <si>
    <t>Boyoung</t>
  </si>
  <si>
    <t>K-0646</t>
  </si>
  <si>
    <t>Byongik</t>
  </si>
  <si>
    <t>82229916952</t>
  </si>
  <si>
    <t>K-0710</t>
  </si>
  <si>
    <t>Kim,</t>
  </si>
  <si>
    <t>Cae Won</t>
  </si>
  <si>
    <t>kimchaeone@gmail.com</t>
  </si>
  <si>
    <t>+821049433021</t>
  </si>
  <si>
    <t>K-237</t>
  </si>
  <si>
    <t>K-0581</t>
  </si>
  <si>
    <t>Wook</t>
  </si>
  <si>
    <t>K-0602</t>
  </si>
  <si>
    <t>Dk</t>
  </si>
  <si>
    <t>daekeun.sungchang2@gmail.com</t>
  </si>
  <si>
    <t>K-215</t>
  </si>
  <si>
    <t>Sang</t>
  </si>
  <si>
    <t>kasusikr@yahoo.co.id</t>
  </si>
  <si>
    <t>Beverlly Lippo Cikarang Bekasi</t>
  </si>
  <si>
    <t>K-0480</t>
  </si>
  <si>
    <t>Yeon</t>
  </si>
  <si>
    <t>K-0524</t>
  </si>
  <si>
    <t>navm_chan@nate.com</t>
  </si>
  <si>
    <t>K-148</t>
  </si>
  <si>
    <t>K-0718</t>
  </si>
  <si>
    <t>Eunsung</t>
  </si>
  <si>
    <t>stella@nate.com</t>
  </si>
  <si>
    <t>821038384727</t>
  </si>
  <si>
    <t>K-0431</t>
  </si>
  <si>
    <t>Lotus</t>
  </si>
  <si>
    <t>K-0326</t>
  </si>
  <si>
    <t>628112620299</t>
  </si>
  <si>
    <t>K-205</t>
  </si>
  <si>
    <t>Geun</t>
  </si>
  <si>
    <t>K-209</t>
  </si>
  <si>
    <t>Rin</t>
  </si>
  <si>
    <t xml:space="preserve">Apt.Sudirman Park Tower A
Lantai 17 No.17 CB</t>
  </si>
  <si>
    <t>K-0644</t>
  </si>
  <si>
    <t>Hyejung</t>
  </si>
  <si>
    <t>hyejumi1202@naver.com</t>
  </si>
  <si>
    <t>821098231992</t>
  </si>
  <si>
    <t>K-280</t>
  </si>
  <si>
    <t>K-0414</t>
  </si>
  <si>
    <t>Hyun ju</t>
  </si>
  <si>
    <t>+62811843398</t>
  </si>
  <si>
    <t>K-0692</t>
  </si>
  <si>
    <t>Hyuna</t>
  </si>
  <si>
    <t>6281322223845</t>
  </si>
  <si>
    <t>K-0726</t>
  </si>
  <si>
    <t>Kim ick</t>
  </si>
  <si>
    <t>soon</t>
  </si>
  <si>
    <t>iskim214@gmail.com</t>
  </si>
  <si>
    <t>628129174612</t>
  </si>
  <si>
    <t>Residence 8</t>
  </si>
  <si>
    <t>K-271</t>
  </si>
  <si>
    <t>Ae</t>
  </si>
  <si>
    <t>K-245</t>
  </si>
  <si>
    <t>Gyu</t>
  </si>
  <si>
    <t>K-0461</t>
  </si>
  <si>
    <t>Haeng</t>
  </si>
  <si>
    <t>K-0566</t>
  </si>
  <si>
    <t>amandakim1213@gmail.com</t>
  </si>
  <si>
    <t>6281283456191</t>
  </si>
  <si>
    <t>Hillcrest Apt Karawaci</t>
  </si>
  <si>
    <t>K-223</t>
  </si>
  <si>
    <t>K-0611</t>
  </si>
  <si>
    <t>K-0447</t>
  </si>
  <si>
    <t>K-0396</t>
  </si>
  <si>
    <t>Juhui</t>
  </si>
  <si>
    <t>K-0511</t>
  </si>
  <si>
    <t>Kim Jung</t>
  </si>
  <si>
    <t>628119156772</t>
  </si>
  <si>
    <t>K-0540</t>
  </si>
  <si>
    <t>Kyuhyun</t>
  </si>
  <si>
    <t>K-153</t>
  </si>
  <si>
    <t>K-0299</t>
  </si>
  <si>
    <t>Khong</t>
  </si>
  <si>
    <t xml:space="preserve">Jl.Asia No.212B
Medan</t>
  </si>
  <si>
    <t>K-218</t>
  </si>
  <si>
    <t>K-144</t>
  </si>
  <si>
    <t>Apartement Emerald Tower  II (2144)</t>
  </si>
  <si>
    <t>K-0559</t>
  </si>
  <si>
    <t>K-177</t>
  </si>
  <si>
    <t>Kyu</t>
  </si>
  <si>
    <t>K-0585</t>
  </si>
  <si>
    <t>K-0361</t>
  </si>
  <si>
    <t>K-123</t>
  </si>
  <si>
    <t>Nam Ku</t>
  </si>
  <si>
    <t>+628119697534</t>
  </si>
  <si>
    <t>Distric 8 Tower Eternity 15 B ,Senopati Jakarta Selatan</t>
  </si>
  <si>
    <t>K-0389</t>
  </si>
  <si>
    <t>K-0421</t>
  </si>
  <si>
    <t>Sang bok</t>
  </si>
  <si>
    <t>+6281213933783</t>
  </si>
  <si>
    <t>K-0572</t>
  </si>
  <si>
    <t>Sangho</t>
  </si>
  <si>
    <t>K-0637</t>
  </si>
  <si>
    <t>Kim so</t>
  </si>
  <si>
    <t>+62818737840</t>
  </si>
  <si>
    <t>K-056</t>
  </si>
  <si>
    <t>Soon(KOREA)</t>
  </si>
  <si>
    <t>K-057</t>
  </si>
  <si>
    <t>Hee(KOREA)</t>
  </si>
  <si>
    <t xml:space="preserve">Apartemen Kintamani C-506
Jl. Prapanca Raya</t>
  </si>
  <si>
    <t>K-0525</t>
  </si>
  <si>
    <t>K-058</t>
  </si>
  <si>
    <t>Hyun(KOREA)</t>
  </si>
  <si>
    <t>shkim@mppga.com</t>
  </si>
  <si>
    <t xml:space="preserve">The Pakubuwono Residence
Tower Cotton Wood Unit 7A
Kebayoran Baru</t>
  </si>
  <si>
    <t>K-0606</t>
  </si>
  <si>
    <t>Shin</t>
  </si>
  <si>
    <t>K-0648</t>
  </si>
  <si>
    <t>Susetyo</t>
  </si>
  <si>
    <t>kimsusetyo@yahoo.com</t>
  </si>
  <si>
    <t>6281319026677</t>
  </si>
  <si>
    <t>K-0705</t>
  </si>
  <si>
    <t>Suyeon</t>
  </si>
  <si>
    <t>628118691954</t>
  </si>
  <si>
    <t>K-152</t>
  </si>
  <si>
    <t>Kim Tea</t>
  </si>
  <si>
    <t>Duk</t>
  </si>
  <si>
    <t>628158220117</t>
  </si>
  <si>
    <t>K-283</t>
  </si>
  <si>
    <t>YG</t>
  </si>
  <si>
    <t>K-272</t>
  </si>
  <si>
    <t>wook</t>
  </si>
  <si>
    <t>ywkim@wooribank.com</t>
  </si>
  <si>
    <t>K-276</t>
  </si>
  <si>
    <t>K-142</t>
  </si>
  <si>
    <t>K-064</t>
  </si>
  <si>
    <t>K-0487</t>
  </si>
  <si>
    <t>K-0464</t>
  </si>
  <si>
    <t>Kimberly</t>
  </si>
  <si>
    <t>AnnPramana</t>
  </si>
  <si>
    <t>Kesehatan Raya 15A PAV Jakarta Pusat 10160</t>
  </si>
  <si>
    <t>K-0529</t>
  </si>
  <si>
    <t>Iyawan</t>
  </si>
  <si>
    <t>K-066</t>
  </si>
  <si>
    <t>Kin</t>
  </si>
  <si>
    <t>K-0508</t>
  </si>
  <si>
    <t>kinkimwang924@gmail.com</t>
  </si>
  <si>
    <t>862353370971</t>
  </si>
  <si>
    <t>K-0657</t>
  </si>
  <si>
    <t>Kinandjar</t>
  </si>
  <si>
    <t>Lidwina Lina</t>
  </si>
  <si>
    <t>suling28@gmail.com</t>
  </si>
  <si>
    <t>18652718879</t>
  </si>
  <si>
    <t>1828 EL Prado Dr. Knoxville 37922 TN USA</t>
  </si>
  <si>
    <t>K-0557</t>
  </si>
  <si>
    <t>Kintan</t>
  </si>
  <si>
    <t>salma</t>
  </si>
  <si>
    <t>K-0716</t>
  </si>
  <si>
    <t>Kintani</t>
  </si>
  <si>
    <t>kintari.ptricia@gmail.com</t>
  </si>
  <si>
    <t>6287854517551</t>
  </si>
  <si>
    <t>Sasak Residence</t>
  </si>
  <si>
    <t>K-0550</t>
  </si>
  <si>
    <t>Kioen</t>
  </si>
  <si>
    <t>Moe</t>
  </si>
  <si>
    <t>K-0304</t>
  </si>
  <si>
    <t>tanjung N0.40 menteng</t>
  </si>
  <si>
    <t>K-0310</t>
  </si>
  <si>
    <t>Sastrawijaya</t>
  </si>
  <si>
    <t>6281932464089</t>
  </si>
  <si>
    <t>Eramas 2000 Jl. Sawo Kecik I/17, RT/RW 002/014, Pulo Gebang, Cakung</t>
  </si>
  <si>
    <t>K-0385</t>
  </si>
  <si>
    <t>Novanda</t>
  </si>
  <si>
    <t>6287781902924</t>
  </si>
  <si>
    <t>K-0607</t>
  </si>
  <si>
    <t>Kirienko</t>
  </si>
  <si>
    <t>K-0530</t>
  </si>
  <si>
    <t>Kirill</t>
  </si>
  <si>
    <t>Evdakha</t>
  </si>
  <si>
    <t>Pecatu - Bali</t>
  </si>
  <si>
    <t>K-068</t>
  </si>
  <si>
    <t>Kirk</t>
  </si>
  <si>
    <t>Jl. Taman Patra 2 No. 4</t>
  </si>
  <si>
    <t>K-0639</t>
  </si>
  <si>
    <t>dasha.med03@mail.com</t>
  </si>
  <si>
    <t>79260686628</t>
  </si>
  <si>
    <t>K-163</t>
  </si>
  <si>
    <t>Kitab</t>
  </si>
  <si>
    <t>Slasial</t>
  </si>
  <si>
    <t>Kota wisata cluster virginia, blok L3 no,2</t>
  </si>
  <si>
    <t>K-0577</t>
  </si>
  <si>
    <t>Kitagawa</t>
  </si>
  <si>
    <t>Rie</t>
  </si>
  <si>
    <t>never_hope@hotmail.co.jp</t>
  </si>
  <si>
    <t>K-0345</t>
  </si>
  <si>
    <t>Kith</t>
  </si>
  <si>
    <t>Meng</t>
  </si>
  <si>
    <t>mengkith@royalgroup.com.kh</t>
  </si>
  <si>
    <t>Phnom Penh Cambodia</t>
  </si>
  <si>
    <t>K-0687</t>
  </si>
  <si>
    <t>Kiwan</t>
  </si>
  <si>
    <t>+6285717179393</t>
  </si>
  <si>
    <t>K-0619</t>
  </si>
  <si>
    <t>Klaus</t>
  </si>
  <si>
    <t>K-0620</t>
  </si>
  <si>
    <t>Klimchuk</t>
  </si>
  <si>
    <t>Anatoli</t>
  </si>
  <si>
    <t>Republic Of Belarus</t>
  </si>
  <si>
    <t>K-0669</t>
  </si>
  <si>
    <t>Klimenko</t>
  </si>
  <si>
    <t>17325073236</t>
  </si>
  <si>
    <t>K-0667</t>
  </si>
  <si>
    <t>Mykyta</t>
  </si>
  <si>
    <t>Klimov</t>
  </si>
  <si>
    <t>ganikchudilo@gmail.com</t>
  </si>
  <si>
    <t>380930903030</t>
  </si>
  <si>
    <t>K-0593</t>
  </si>
  <si>
    <t>Klo</t>
  </si>
  <si>
    <t>Andaman</t>
  </si>
  <si>
    <t>K-151</t>
  </si>
  <si>
    <t>Klyoshi</t>
  </si>
  <si>
    <t>K-0730</t>
  </si>
  <si>
    <t>Kmet</t>
  </si>
  <si>
    <t>separ.dms@gmail.com</t>
  </si>
  <si>
    <t>4211902609276</t>
  </si>
  <si>
    <t>Slovakia</t>
  </si>
  <si>
    <t>K-154</t>
  </si>
  <si>
    <t>Knsna</t>
  </si>
  <si>
    <t>K-0608</t>
  </si>
  <si>
    <t>Francesca</t>
  </si>
  <si>
    <t>francescako@gmail.com</t>
  </si>
  <si>
    <t>+14088870109</t>
  </si>
  <si>
    <t>K-0553</t>
  </si>
  <si>
    <t>KODANDARAM</t>
  </si>
  <si>
    <t>KISHORE</t>
  </si>
  <si>
    <t>kishore.k.v@gmail.com</t>
  </si>
  <si>
    <t>K-150</t>
  </si>
  <si>
    <t>Kodralul</t>
  </si>
  <si>
    <t>Safii</t>
  </si>
  <si>
    <t>K-138</t>
  </si>
  <si>
    <t>Kodratul</t>
  </si>
  <si>
    <t>Safti</t>
  </si>
  <si>
    <t xml:space="preserve">Taara Telco Indonesia 
Menara Kadin Indonesia Lt. 9 suit 9A
Jl. HR Rasuna said Kav 2-3</t>
  </si>
  <si>
    <t>K-077</t>
  </si>
  <si>
    <t>Koesindriani</t>
  </si>
  <si>
    <t>Reitter</t>
  </si>
  <si>
    <t>K-0321</t>
  </si>
  <si>
    <t>Koeslimawan</t>
  </si>
  <si>
    <t>Singgih</t>
  </si>
  <si>
    <t>+62816654779</t>
  </si>
  <si>
    <t>K-0701</t>
  </si>
  <si>
    <t>Kogan</t>
  </si>
  <si>
    <t>santhihanna@gmail.com</t>
  </si>
  <si>
    <t>13056087158</t>
  </si>
  <si>
    <t>K-0535</t>
  </si>
  <si>
    <t>Koh</t>
  </si>
  <si>
    <t>Brendan</t>
  </si>
  <si>
    <t>K-136</t>
  </si>
  <si>
    <t>Kohe</t>
  </si>
  <si>
    <t>K-0587</t>
  </si>
  <si>
    <t>Kohei</t>
  </si>
  <si>
    <t>Asari</t>
  </si>
  <si>
    <t>K-0552</t>
  </si>
  <si>
    <t>Kohli</t>
  </si>
  <si>
    <t>Deepali</t>
  </si>
  <si>
    <t>K-0678</t>
  </si>
  <si>
    <t>Sanjivan Singh</t>
  </si>
  <si>
    <t>sanji@kohli.com</t>
  </si>
  <si>
    <t>+19493736288</t>
  </si>
  <si>
    <t>United State Of America</t>
  </si>
  <si>
    <t>K-0729</t>
  </si>
  <si>
    <t>Koi Jing</t>
  </si>
  <si>
    <t>62818989807</t>
  </si>
  <si>
    <t>Jalan Pinisi Indah 5</t>
  </si>
  <si>
    <t>K-082</t>
  </si>
  <si>
    <t>Koichi</t>
  </si>
  <si>
    <t>Watabe</t>
  </si>
  <si>
    <t>Simpruk Teras Apt. Tower A #1601</t>
  </si>
  <si>
    <t>Jl. Arteri Simpruk</t>
  </si>
  <si>
    <t>K-0654</t>
  </si>
  <si>
    <t>Keizo</t>
  </si>
  <si>
    <t>Koitabashi</t>
  </si>
  <si>
    <t>douwabankin_koitabashi@yahoo.co.jp</t>
  </si>
  <si>
    <t>8130049331</t>
  </si>
  <si>
    <t>K-234</t>
  </si>
  <si>
    <t>Koji</t>
  </si>
  <si>
    <t>Sato</t>
  </si>
  <si>
    <t xml:space="preserve">1-1-7 Ijagatsuta-Minamidai Hidoriku
Yokohama - City
Kanagawa</t>
  </si>
  <si>
    <t>K-0489</t>
  </si>
  <si>
    <t>Shimokawa</t>
  </si>
  <si>
    <t>jendral sudirman</t>
  </si>
  <si>
    <t>K-0560</t>
  </si>
  <si>
    <t>Kojima</t>
  </si>
  <si>
    <t>Amiri</t>
  </si>
  <si>
    <t>K-0684</t>
  </si>
  <si>
    <t>Kolar</t>
  </si>
  <si>
    <t>peter@kolar.li</t>
  </si>
  <si>
    <t>436766801312</t>
  </si>
  <si>
    <t>austria</t>
  </si>
  <si>
    <t>K-0549</t>
  </si>
  <si>
    <t>Kolupaeva</t>
  </si>
  <si>
    <t>K-211</t>
  </si>
  <si>
    <t>Komala</t>
  </si>
  <si>
    <t>K-157</t>
  </si>
  <si>
    <t>Komang</t>
  </si>
  <si>
    <t>Jl. Thampuhan Raya, Banjar Penestanan No.1 Ubub - Bali</t>
  </si>
  <si>
    <t>K-0677</t>
  </si>
  <si>
    <t>Juniartha</t>
  </si>
  <si>
    <t>6285738412009</t>
  </si>
  <si>
    <t>K-0501</t>
  </si>
  <si>
    <t>K-0411</t>
  </si>
  <si>
    <t xml:space="preserve">Jl Sadar raya no 35
Jakarta</t>
  </si>
  <si>
    <t>K-0704</t>
  </si>
  <si>
    <t>Komatsuzaki</t>
  </si>
  <si>
    <t>Yumi</t>
  </si>
  <si>
    <t>sakura_x_berry@yahoo.com</t>
  </si>
  <si>
    <t>819024064477</t>
  </si>
  <si>
    <t>K-0622</t>
  </si>
  <si>
    <t>Leen</t>
  </si>
  <si>
    <t>K-0398</t>
  </si>
  <si>
    <t>K-0722</t>
  </si>
  <si>
    <t>Kong Heen Zee</t>
  </si>
  <si>
    <t>justinkong89@gmail.com</t>
  </si>
  <si>
    <t>60126901132</t>
  </si>
  <si>
    <t>K-086</t>
  </si>
  <si>
    <t>K-0539</t>
  </si>
  <si>
    <t>K-0633</t>
  </si>
  <si>
    <t>Lingjun</t>
  </si>
  <si>
    <t>2468661037@.99.com</t>
  </si>
  <si>
    <t>+819085585186</t>
  </si>
  <si>
    <t>K-0597</t>
  </si>
  <si>
    <t>K-0468</t>
  </si>
  <si>
    <t>Zavoloka</t>
  </si>
  <si>
    <t>konstantin.zavoloka@gmail.com</t>
  </si>
  <si>
    <t>79242310810</t>
  </si>
  <si>
    <t>K-0674</t>
  </si>
  <si>
    <t>Konstantina</t>
  </si>
  <si>
    <t>Chronopoulor</t>
  </si>
  <si>
    <t>306949629742</t>
  </si>
  <si>
    <t>K-0708</t>
  </si>
  <si>
    <t>Kontarat</t>
  </si>
  <si>
    <t>Yamsiri</t>
  </si>
  <si>
    <t>yamsiri.KA @gmail.com</t>
  </si>
  <si>
    <t>66809365342</t>
  </si>
  <si>
    <t>K-0551</t>
  </si>
  <si>
    <t>Koo</t>
  </si>
  <si>
    <t>Maxwell</t>
  </si>
  <si>
    <t>K-0721</t>
  </si>
  <si>
    <t>Kook</t>
  </si>
  <si>
    <t>Minsu</t>
  </si>
  <si>
    <t>rnralstn123@nawet.com</t>
  </si>
  <si>
    <t>821071926426</t>
  </si>
  <si>
    <t>K-0315</t>
  </si>
  <si>
    <t>Koon</t>
  </si>
  <si>
    <t>Pek</t>
  </si>
  <si>
    <t>K-0504</t>
  </si>
  <si>
    <t>Koosdinah</t>
  </si>
  <si>
    <t xml:space="preserve">Jl. Anggrek IV/33 Bumi Malaka Asri
Duren Sawit</t>
  </si>
  <si>
    <t>K-135</t>
  </si>
  <si>
    <t>Korin</t>
  </si>
  <si>
    <t xml:space="preserve">Senayan Recidence 1195
Jl. Patal Senayan
Jakarta Selatn</t>
  </si>
  <si>
    <t>K-0707</t>
  </si>
  <si>
    <t>Korzhov</t>
  </si>
  <si>
    <t>Oleg</t>
  </si>
  <si>
    <t>sobaka2410@mail.ru</t>
  </si>
  <si>
    <t>+79859698424</t>
  </si>
  <si>
    <t>K-141</t>
  </si>
  <si>
    <t>Kosim</t>
  </si>
  <si>
    <t>K-0392</t>
  </si>
  <si>
    <t>Faudji</t>
  </si>
  <si>
    <t>K-0681</t>
  </si>
  <si>
    <t>Olena</t>
  </si>
  <si>
    <t>Kostenko</t>
  </si>
  <si>
    <t>kisloto2846@gmail.com</t>
  </si>
  <si>
    <t>380632825244</t>
  </si>
  <si>
    <t>K-0665</t>
  </si>
  <si>
    <t>Kostin</t>
  </si>
  <si>
    <t>Egor</t>
  </si>
  <si>
    <t>ceo@ek77.com</t>
  </si>
  <si>
    <t>79060978910</t>
  </si>
  <si>
    <t>K-0375</t>
  </si>
  <si>
    <t>Koswara</t>
  </si>
  <si>
    <t>K-0563</t>
  </si>
  <si>
    <t>Kovaleva</t>
  </si>
  <si>
    <t>K-0576</t>
  </si>
  <si>
    <t>Kovalskii</t>
  </si>
  <si>
    <t>Dmitrii</t>
  </si>
  <si>
    <t>K-282</t>
  </si>
  <si>
    <t>Koyata</t>
  </si>
  <si>
    <t>K-0695</t>
  </si>
  <si>
    <t>Kreshna</t>
  </si>
  <si>
    <t>62817827070</t>
  </si>
  <si>
    <t>K-0635</t>
  </si>
  <si>
    <t>6281808666212</t>
  </si>
  <si>
    <t>Green Ville Y/12</t>
  </si>
  <si>
    <t>K-0698</t>
  </si>
  <si>
    <t>Kresna</t>
  </si>
  <si>
    <t>kresna.hutabarat@gmail.com</t>
  </si>
  <si>
    <t>6281281398486</t>
  </si>
  <si>
    <t>K-0416</t>
  </si>
  <si>
    <t>Jayakusuma</t>
  </si>
  <si>
    <t>6281314006042</t>
  </si>
  <si>
    <t>K-0568</t>
  </si>
  <si>
    <t>Krevelskaia</t>
  </si>
  <si>
    <t>i-pen@bk.ru</t>
  </si>
  <si>
    <t>K-095</t>
  </si>
  <si>
    <t>Krisdayanti</t>
  </si>
  <si>
    <t>K-0354</t>
  </si>
  <si>
    <t>Krishatta</t>
  </si>
  <si>
    <t>Aveiro</t>
  </si>
  <si>
    <t>krisshatta07@gmail.com</t>
  </si>
  <si>
    <t>Cibubur Country, Bogor. 16966</t>
  </si>
  <si>
    <t>K-0671</t>
  </si>
  <si>
    <t>Krisna</t>
  </si>
  <si>
    <t>Danandika</t>
  </si>
  <si>
    <t>628192291160</t>
  </si>
  <si>
    <t>K-0555</t>
  </si>
  <si>
    <t>Kriss</t>
  </si>
  <si>
    <t>Moel</t>
  </si>
  <si>
    <t>K-0522</t>
  </si>
  <si>
    <t>Krista</t>
  </si>
  <si>
    <t>Yuwani</t>
  </si>
  <si>
    <t>Citra Ext Blok BF-1/22 RT005/ RW 020 Kel. Pegadungan Kec. Kalideres</t>
  </si>
  <si>
    <t>M-1398</t>
  </si>
  <si>
    <t>Kristian</t>
  </si>
  <si>
    <t>6287782123455</t>
  </si>
  <si>
    <t xml:space="preserve">JL.MANGGA RAYA BLOK W NO.1
JAKARTA BARAT</t>
  </si>
  <si>
    <t>K-098</t>
  </si>
  <si>
    <t>Kristin</t>
  </si>
  <si>
    <t>Allard</t>
  </si>
  <si>
    <t>Peak Apartments Regis 12C</t>
  </si>
  <si>
    <t>Jl. Setiabudi Raya No. 9</t>
  </si>
  <si>
    <t>K-0325</t>
  </si>
  <si>
    <t>k.harianto169@gmail.com</t>
  </si>
  <si>
    <t>+62811205965</t>
  </si>
  <si>
    <t>jl.laksmud nurtanio 15, Bandung</t>
  </si>
  <si>
    <t>K-0601</t>
  </si>
  <si>
    <t>Melinda</t>
  </si>
  <si>
    <t>K-0688</t>
  </si>
  <si>
    <t>kris.moskvich@gmail.com</t>
  </si>
  <si>
    <t>+380931027362</t>
  </si>
  <si>
    <t>Sanur - Bali</t>
  </si>
  <si>
    <t>K-0353</t>
  </si>
  <si>
    <t>Angela Chie</t>
  </si>
  <si>
    <t>62811552171</t>
  </si>
  <si>
    <t xml:space="preserve">Apartemen Botanica Tower 1
lt.08 unit B JL TE
RT005/003 - Jakarta Selatan
GROGOL SELATAN 
KEBAYORAN LAMA , JAKSEL</t>
  </si>
  <si>
    <t>K-214</t>
  </si>
  <si>
    <t xml:space="preserve">Agung Tengah 12 no 23A
Blok i/7 Sunter</t>
  </si>
  <si>
    <t>K-0697</t>
  </si>
  <si>
    <t>tina.hendrawan1130@gmail.com</t>
  </si>
  <si>
    <t>6287889897307</t>
  </si>
  <si>
    <t>Setiabudi Skygarden</t>
  </si>
  <si>
    <t>K-0512</t>
  </si>
  <si>
    <t>Kolotova</t>
  </si>
  <si>
    <t>Uluwatu</t>
  </si>
  <si>
    <t>K-0706</t>
  </si>
  <si>
    <t>6287882812554</t>
  </si>
  <si>
    <t>K-0323</t>
  </si>
  <si>
    <t>Kristine</t>
  </si>
  <si>
    <t>Sarpin</t>
  </si>
  <si>
    <t>628119332889</t>
  </si>
  <si>
    <t>K-119</t>
  </si>
  <si>
    <t>K-137</t>
  </si>
  <si>
    <t>Kristine.sarpin@gmail.com</t>
  </si>
  <si>
    <t xml:space="preserve">Jl. Gilimanuk Utara I JC No.45
Perum Daanmogot Baru</t>
  </si>
  <si>
    <t>K-129</t>
  </si>
  <si>
    <t>Kristopher</t>
  </si>
  <si>
    <t>K-169</t>
  </si>
  <si>
    <t>Kristy</t>
  </si>
  <si>
    <t>K-0580</t>
  </si>
  <si>
    <t>Kriunas</t>
  </si>
  <si>
    <t>Gintautas</t>
  </si>
  <si>
    <t>LITHUANIA</t>
  </si>
  <si>
    <t>K-0732</t>
  </si>
  <si>
    <t>kseniia</t>
  </si>
  <si>
    <t>Khilchenko</t>
  </si>
  <si>
    <t>+393925452027</t>
  </si>
  <si>
    <t>K-0458</t>
  </si>
  <si>
    <t>Seok</t>
  </si>
  <si>
    <t>K-0739</t>
  </si>
  <si>
    <t>Kuan-Hao</t>
  </si>
  <si>
    <t>lowerychen0617@gmail.com</t>
  </si>
  <si>
    <t>886405555772</t>
  </si>
  <si>
    <t>K-0625</t>
  </si>
  <si>
    <t>Kuang,</t>
  </si>
  <si>
    <t>Yonghong</t>
  </si>
  <si>
    <t>254533594@qq.com</t>
  </si>
  <si>
    <t>K-0662</t>
  </si>
  <si>
    <t>Kudriashov Anton</t>
  </si>
  <si>
    <t>79154799808</t>
  </si>
  <si>
    <t>K-0391</t>
  </si>
  <si>
    <t>Jl.Bahagia</t>
  </si>
  <si>
    <t>K-0675</t>
  </si>
  <si>
    <t>Kuhar</t>
  </si>
  <si>
    <t>Jane Sojin</t>
  </si>
  <si>
    <t>19259977801</t>
  </si>
  <si>
    <t>K-0650</t>
  </si>
  <si>
    <t>Kukhareva</t>
  </si>
  <si>
    <t>natalie.kukhareva@gmail.com</t>
  </si>
  <si>
    <t>79219612427</t>
  </si>
  <si>
    <t>K-241</t>
  </si>
  <si>
    <t>K-0700</t>
  </si>
  <si>
    <t>Kumala Kartika</t>
  </si>
  <si>
    <t>Hawani</t>
  </si>
  <si>
    <t>Kumalahawani@yahoo.co.id</t>
  </si>
  <si>
    <t>6282225636386</t>
  </si>
  <si>
    <t>K-161</t>
  </si>
  <si>
    <t>kumaladanamon@yahoo.com</t>
  </si>
  <si>
    <t xml:space="preserve">Town House VIII no 2 
Side Bogor Bogor Lake</t>
  </si>
  <si>
    <t>K-178</t>
  </si>
  <si>
    <t>Kunai</t>
  </si>
  <si>
    <t>govindram</t>
  </si>
  <si>
    <t>K-0393</t>
  </si>
  <si>
    <t>Kunang</t>
  </si>
  <si>
    <t>Andries</t>
  </si>
  <si>
    <t>K-173</t>
  </si>
  <si>
    <t>Kuncoro,</t>
  </si>
  <si>
    <t>K-0630</t>
  </si>
  <si>
    <t>Kunina</t>
  </si>
  <si>
    <t>_innak4u@yahoo.com</t>
  </si>
  <si>
    <t>+79219408373</t>
  </si>
  <si>
    <t>K-0682</t>
  </si>
  <si>
    <t>Kurmanbayeva</t>
  </si>
  <si>
    <t>Manshuk</t>
  </si>
  <si>
    <t>mocya90@gmail.com</t>
  </si>
  <si>
    <t>77010255355</t>
  </si>
  <si>
    <t>K-0434</t>
  </si>
  <si>
    <t>Harimatara</t>
  </si>
  <si>
    <t xml:space="preserve">Ciniru I No.10
Kebayoran Baru</t>
  </si>
  <si>
    <t>K-0409</t>
  </si>
  <si>
    <t>Yusmartina</t>
  </si>
  <si>
    <t>K-220</t>
  </si>
  <si>
    <t>Masral</t>
  </si>
  <si>
    <t>K-105</t>
  </si>
  <si>
    <t>Jl. Karang Bolong V No. 9</t>
  </si>
  <si>
    <t>K-213</t>
  </si>
  <si>
    <t>Ablanalp</t>
  </si>
  <si>
    <t>K-0523</t>
  </si>
  <si>
    <t>Kurt Bradley</t>
  </si>
  <si>
    <t>WAGNER</t>
  </si>
  <si>
    <t>6590174930</t>
  </si>
  <si>
    <t>K-196</t>
  </si>
  <si>
    <t>Kusmayanto</t>
  </si>
  <si>
    <t>Kadiman</t>
  </si>
  <si>
    <t>K-0407</t>
  </si>
  <si>
    <t>Kusminanto</t>
  </si>
  <si>
    <t>K-0347</t>
  </si>
  <si>
    <t>Kusniarti</t>
  </si>
  <si>
    <t>K-159</t>
  </si>
  <si>
    <t>Kusrina</t>
  </si>
  <si>
    <t>Yuliati</t>
  </si>
  <si>
    <t>K-0715</t>
  </si>
  <si>
    <t>Kustova</t>
  </si>
  <si>
    <t>ekoustova@mail.ru</t>
  </si>
  <si>
    <t>+79037982483</t>
  </si>
  <si>
    <t>K-0713</t>
  </si>
  <si>
    <t>+6281310832771</t>
  </si>
  <si>
    <t>K-229</t>
  </si>
  <si>
    <t>+628161979479</t>
  </si>
  <si>
    <t xml:space="preserve">Pondok Hijau Golf Cluster Sapphire KG9/5, Gading Serpong, Tangerang 15810
</t>
  </si>
  <si>
    <t>K-0469</t>
  </si>
  <si>
    <t>Kuswandi</t>
  </si>
  <si>
    <t>K-0527</t>
  </si>
  <si>
    <t>Kuwat</t>
  </si>
  <si>
    <t>K-0621</t>
  </si>
  <si>
    <t>Kuzmina</t>
  </si>
  <si>
    <t>kuzminadv9@gmail.com</t>
  </si>
  <si>
    <t>K-0567</t>
  </si>
  <si>
    <t>Kuznetsov</t>
  </si>
  <si>
    <t>K-107</t>
  </si>
  <si>
    <t>Kuzo</t>
  </si>
  <si>
    <t>K-0342</t>
  </si>
  <si>
    <t>Kwak</t>
  </si>
  <si>
    <t xml:space="preserve">Plaza Senayan Apt Tower C unit 092
Sentral Senayan I
Pintu satu Gelora bung karno
SENAYAN</t>
  </si>
  <si>
    <t>K-121</t>
  </si>
  <si>
    <t>Suk</t>
  </si>
  <si>
    <t>K-0349</t>
  </si>
  <si>
    <t>+628128092807</t>
  </si>
  <si>
    <t>K-0573</t>
  </si>
  <si>
    <t>Samuel</t>
  </si>
  <si>
    <t>K-0672</t>
  </si>
  <si>
    <t>Kwetters</t>
  </si>
  <si>
    <t>patrick@dboisterloyk.nl</t>
  </si>
  <si>
    <t>Nederlands</t>
  </si>
  <si>
    <t>K-110</t>
  </si>
  <si>
    <t>Kwik</t>
  </si>
  <si>
    <t>Tien</t>
  </si>
  <si>
    <t xml:space="preserve">Senayan CIty Residence#8B
Jl Asia Afrika Lot 19</t>
  </si>
  <si>
    <t>K-222</t>
  </si>
  <si>
    <t>K-0728</t>
  </si>
  <si>
    <t>6282125347736</t>
  </si>
  <si>
    <t>K-0548</t>
  </si>
  <si>
    <t>Kylie</t>
  </si>
  <si>
    <t>K-0733</t>
  </si>
  <si>
    <t>Kyra</t>
  </si>
  <si>
    <t>K-114</t>
  </si>
  <si>
    <t>Kyung</t>
  </si>
  <si>
    <t>Taman Raja Apt.</t>
  </si>
  <si>
    <t>Jl. Warung Jati Barat I No. 83</t>
  </si>
  <si>
    <t>K-236</t>
  </si>
  <si>
    <t>Kyung Jin</t>
  </si>
  <si>
    <t>kjpark1234@hotmail.com</t>
  </si>
  <si>
    <t>081219711901</t>
  </si>
  <si>
    <t>APARTMENT SAUMATA ALAM SUTERA , TOWER A - 1801A - BSD - TANG SEL</t>
  </si>
  <si>
    <t>K-0538</t>
  </si>
  <si>
    <t>K-239</t>
  </si>
  <si>
    <t>PARK</t>
  </si>
  <si>
    <t>K-198</t>
  </si>
  <si>
    <t>Kyunggo</t>
  </si>
  <si>
    <t>kkyungko@gmail.com</t>
  </si>
  <si>
    <t xml:space="preserve">One Park Grand avenue apartemen Unit B11F
Kemayoran Baru.</t>
  </si>
  <si>
    <t>L-021</t>
  </si>
  <si>
    <t>L.</t>
  </si>
  <si>
    <t>L-149</t>
  </si>
  <si>
    <t>L.Y.</t>
  </si>
  <si>
    <t>Shiu</t>
  </si>
  <si>
    <t>Royal Tower Riverside Apt. #6F</t>
  </si>
  <si>
    <t>Jl. Pluit Karang Barat 50</t>
  </si>
  <si>
    <t>L-1597</t>
  </si>
  <si>
    <t>Labitoria</t>
  </si>
  <si>
    <t>L-1795</t>
  </si>
  <si>
    <t>Lady Amelia</t>
  </si>
  <si>
    <t>Tutuhatunewa</t>
  </si>
  <si>
    <t>6282167509223</t>
  </si>
  <si>
    <t>Wisma Permai 1 No.17 Mulyorejo</t>
  </si>
  <si>
    <t>L-1738</t>
  </si>
  <si>
    <t>Ladygin</t>
  </si>
  <si>
    <t>l-doj@ya.ny</t>
  </si>
  <si>
    <t>79169033458</t>
  </si>
  <si>
    <t>L-001</t>
  </si>
  <si>
    <t>Ladypiyo</t>
  </si>
  <si>
    <t>Soedharman</t>
  </si>
  <si>
    <t>JL. Agung Tengah XI No.20</t>
  </si>
  <si>
    <t>L-1268</t>
  </si>
  <si>
    <t>Laeluna</t>
  </si>
  <si>
    <t>L-1517</t>
  </si>
  <si>
    <t>Lagon</t>
  </si>
  <si>
    <t>Lavado</t>
  </si>
  <si>
    <t>L-0850</t>
  </si>
  <si>
    <t>L-003</t>
  </si>
  <si>
    <t>Sufa</t>
  </si>
  <si>
    <t xml:space="preserve">Virginia Langon Blok C2 N2
Jl. Danau Tondano BSD CITY</t>
  </si>
  <si>
    <t>L-346</t>
  </si>
  <si>
    <t>Laiha</t>
  </si>
  <si>
    <t>Laina</t>
  </si>
  <si>
    <t>L-280</t>
  </si>
  <si>
    <t>Laila</t>
  </si>
  <si>
    <t>Sugandi</t>
  </si>
  <si>
    <t>L-610</t>
  </si>
  <si>
    <t>Laily</t>
  </si>
  <si>
    <t>Lanisy</t>
  </si>
  <si>
    <t>L-002</t>
  </si>
  <si>
    <t>Laisa</t>
  </si>
  <si>
    <t>Hasanuddin 70</t>
  </si>
  <si>
    <t>Kebayaron Baru</t>
  </si>
  <si>
    <t>L-1752</t>
  </si>
  <si>
    <t>Laksmi</t>
  </si>
  <si>
    <t>Krishnawaty</t>
  </si>
  <si>
    <t>laksmikrishnawaty@yahoo.co.id</t>
  </si>
  <si>
    <t>+6281314997394</t>
  </si>
  <si>
    <t xml:space="preserve">Appartement Permata Hijua 2/8A 
Jakarta - Selatan</t>
  </si>
  <si>
    <t>L-1279</t>
  </si>
  <si>
    <t>L-1452</t>
  </si>
  <si>
    <t>Lala</t>
  </si>
  <si>
    <t>L-004</t>
  </si>
  <si>
    <t>Aston Sudirman Apartment A 17 B,</t>
  </si>
  <si>
    <t>L-1685</t>
  </si>
  <si>
    <t>Lalis</t>
  </si>
  <si>
    <t>sanjaya_92@yahoo.com</t>
  </si>
  <si>
    <t>+6287860215344</t>
  </si>
  <si>
    <t>Nusa dua, Badung Bali</t>
  </si>
  <si>
    <t>L-1516</t>
  </si>
  <si>
    <t>Lalitya</t>
  </si>
  <si>
    <t>Sastrawinata</t>
  </si>
  <si>
    <t>Lasasraw@Gmail.com</t>
  </si>
  <si>
    <t>Jln.Kencana Permai I No.12 Pondok Indah</t>
  </si>
  <si>
    <t>L-1518</t>
  </si>
  <si>
    <t>Lalu</t>
  </si>
  <si>
    <t>Resti</t>
  </si>
  <si>
    <t>L-1601</t>
  </si>
  <si>
    <t>Lam</t>
  </si>
  <si>
    <t>L-1621</t>
  </si>
  <si>
    <t>Lama</t>
  </si>
  <si>
    <t>Alshmaisi</t>
  </si>
  <si>
    <t>saudi arabian</t>
  </si>
  <si>
    <t>L-1345</t>
  </si>
  <si>
    <t>Lamberta</t>
  </si>
  <si>
    <t>L-1563</t>
  </si>
  <si>
    <t>Lan</t>
  </si>
  <si>
    <t>L-1361</t>
  </si>
  <si>
    <t>Lana</t>
  </si>
  <si>
    <t>S-1490</t>
  </si>
  <si>
    <t>Balakireva</t>
  </si>
  <si>
    <t>6282146402309</t>
  </si>
  <si>
    <t>v18</t>
  </si>
  <si>
    <t>L-1694</t>
  </si>
  <si>
    <t>Gilfanova</t>
  </si>
  <si>
    <t>+79160056934</t>
  </si>
  <si>
    <t>L-1570</t>
  </si>
  <si>
    <t>+62811157377</t>
  </si>
  <si>
    <t>L-1683</t>
  </si>
  <si>
    <t>Platonova</t>
  </si>
  <si>
    <t>svplatosha@gmail.com</t>
  </si>
  <si>
    <t>+6281236275831</t>
  </si>
  <si>
    <t>L-0986</t>
  </si>
  <si>
    <t>Lance</t>
  </si>
  <si>
    <t>L-271</t>
  </si>
  <si>
    <t>Landa</t>
  </si>
  <si>
    <t>L-748</t>
  </si>
  <si>
    <t>Mandias</t>
  </si>
  <si>
    <t>JL Taman Lebak Bulus I Blok 2 No 9</t>
  </si>
  <si>
    <t>L-1762</t>
  </si>
  <si>
    <t>Alessandra Lang</t>
  </si>
  <si>
    <t>Mitteldorf</t>
  </si>
  <si>
    <t>alessandra@alesaandramitteldorf.com.br</t>
  </si>
  <si>
    <t>+5511981512323</t>
  </si>
  <si>
    <t>L-1817</t>
  </si>
  <si>
    <t>Langga</t>
  </si>
  <si>
    <t>Thepolaan</t>
  </si>
  <si>
    <t>6282111734762</t>
  </si>
  <si>
    <t>L-319</t>
  </si>
  <si>
    <t>Lani</t>
  </si>
  <si>
    <t>L-1805</t>
  </si>
  <si>
    <t>Lanita</t>
  </si>
  <si>
    <t>628161865762</t>
  </si>
  <si>
    <t>L-290</t>
  </si>
  <si>
    <t>Lanny</t>
  </si>
  <si>
    <t>L-1335</t>
  </si>
  <si>
    <t>L-0848</t>
  </si>
  <si>
    <t>L-585</t>
  </si>
  <si>
    <t>L-679</t>
  </si>
  <si>
    <t>L-0932</t>
  </si>
  <si>
    <t>62816914445</t>
  </si>
  <si>
    <t>L-009</t>
  </si>
  <si>
    <t>Kardiman</t>
  </si>
  <si>
    <t>+62811154662</t>
  </si>
  <si>
    <t xml:space="preserve">Apartment The Pakubuwono Signature Unit 88D,
Jalan Pakubuwono VI No.72, Kebayoran Baru</t>
  </si>
  <si>
    <t>L-1689</t>
  </si>
  <si>
    <t>Kasherman</t>
  </si>
  <si>
    <t>lanny kasherman@yahoo.com</t>
  </si>
  <si>
    <t>+62816805106</t>
  </si>
  <si>
    <t>L-641</t>
  </si>
  <si>
    <t>L-657</t>
  </si>
  <si>
    <t>Khouw</t>
  </si>
  <si>
    <t xml:space="preserve">Jl.Kelapa Nias 3PC6/14
Kelapa Gading
Jakarta Utara</t>
  </si>
  <si>
    <t>L-318</t>
  </si>
  <si>
    <t>lanny</t>
  </si>
  <si>
    <t>L-0939</t>
  </si>
  <si>
    <t>Muliana</t>
  </si>
  <si>
    <t>62626262</t>
  </si>
  <si>
    <t>Kota Wisata Pesona Virginia L3 20</t>
  </si>
  <si>
    <t>L-011</t>
  </si>
  <si>
    <t>Wiguna</t>
  </si>
  <si>
    <t>L-012</t>
  </si>
  <si>
    <t>L-559</t>
  </si>
  <si>
    <t>Lany</t>
  </si>
  <si>
    <t>L-1807</t>
  </si>
  <si>
    <t>lany297@yahoo.com</t>
  </si>
  <si>
    <t>62816808838</t>
  </si>
  <si>
    <t>L-562</t>
  </si>
  <si>
    <t>Umbas</t>
  </si>
  <si>
    <t>+62816871325</t>
  </si>
  <si>
    <t>L-715</t>
  </si>
  <si>
    <t>Rauf</t>
  </si>
  <si>
    <t>L-1615</t>
  </si>
  <si>
    <t>Bariun</t>
  </si>
  <si>
    <t>KENDARI</t>
  </si>
  <si>
    <t>L-558</t>
  </si>
  <si>
    <t>L-013</t>
  </si>
  <si>
    <t>Larry</t>
  </si>
  <si>
    <t>Panes</t>
  </si>
  <si>
    <t>Perum. Taman Mediteranian Golf</t>
  </si>
  <si>
    <t>Jl. Brawijaya Golf</t>
  </si>
  <si>
    <t>L-0924</t>
  </si>
  <si>
    <t>Marks</t>
  </si>
  <si>
    <t>L-014</t>
  </si>
  <si>
    <t>L-1524</t>
  </si>
  <si>
    <t>L-1034</t>
  </si>
  <si>
    <t>Lasma</t>
  </si>
  <si>
    <t>L-0894</t>
  </si>
  <si>
    <t>Lasmaria</t>
  </si>
  <si>
    <t>L-746</t>
  </si>
  <si>
    <t>Lasmi</t>
  </si>
  <si>
    <t>Annastasia</t>
  </si>
  <si>
    <t>L-707</t>
  </si>
  <si>
    <t>Latef</t>
  </si>
  <si>
    <t>L-1513</t>
  </si>
  <si>
    <t>Latifa</t>
  </si>
  <si>
    <t>Almannai</t>
  </si>
  <si>
    <t>L-1840</t>
  </si>
  <si>
    <t>Latisha</t>
  </si>
  <si>
    <t>tishasusanto@gmail.com</t>
  </si>
  <si>
    <t>6285719225388</t>
  </si>
  <si>
    <t>L-016</t>
  </si>
  <si>
    <t>Lau</t>
  </si>
  <si>
    <t>Jl. Metro Kencana 4</t>
  </si>
  <si>
    <t>L-1514</t>
  </si>
  <si>
    <t>L-678</t>
  </si>
  <si>
    <t>Laura</t>
  </si>
  <si>
    <t>L-1822</t>
  </si>
  <si>
    <t>Lefina</t>
  </si>
  <si>
    <t>laurensialefina@gmail.com</t>
  </si>
  <si>
    <t>6281574461640</t>
  </si>
  <si>
    <t xml:space="preserve">JL Minyak II No 9A Duren Tiga 
Jakarta - Selatan</t>
  </si>
  <si>
    <t>L-620</t>
  </si>
  <si>
    <t>Octoberina</t>
  </si>
  <si>
    <t xml:space="preserve">Jl. Raya Hankam Komp. Wisma Kusuma Indah
Blok C/11
Jakarta</t>
  </si>
  <si>
    <t>L-1409</t>
  </si>
  <si>
    <t>L-589</t>
  </si>
  <si>
    <t>L-1607</t>
  </si>
  <si>
    <t>L-561</t>
  </si>
  <si>
    <t>Laurance</t>
  </si>
  <si>
    <t>Januardy</t>
  </si>
  <si>
    <t>L-1106</t>
  </si>
  <si>
    <t>Laureen</t>
  </si>
  <si>
    <t>Elnitiarta</t>
  </si>
  <si>
    <t>62818488880</t>
  </si>
  <si>
    <t>L-1318</t>
  </si>
  <si>
    <t>Lauren</t>
  </si>
  <si>
    <t>lorensusilo@gmail.com</t>
  </si>
  <si>
    <t>+62818883386</t>
  </si>
  <si>
    <t xml:space="preserve">Jl.  Pilar Mas Raya No. 6
11520</t>
  </si>
  <si>
    <t>L-335</t>
  </si>
  <si>
    <t>Laurencia</t>
  </si>
  <si>
    <t>L-1398</t>
  </si>
  <si>
    <t>Irviana</t>
  </si>
  <si>
    <t>irviana.smp@gmail.com</t>
  </si>
  <si>
    <t>6281212572074</t>
  </si>
  <si>
    <t xml:space="preserve">The Eminent
Cluster Ilustria C8 no.6
BSD Tangerang 15339</t>
  </si>
  <si>
    <t>L-675</t>
  </si>
  <si>
    <t>Laurens</t>
  </si>
  <si>
    <t>rengunawan@yahoo.com</t>
  </si>
  <si>
    <t>Apartemen GRR Blok E1/25 , 1101</t>
  </si>
  <si>
    <t>L-642</t>
  </si>
  <si>
    <t>Laurentia</t>
  </si>
  <si>
    <t>L-1434</t>
  </si>
  <si>
    <t>Lauw</t>
  </si>
  <si>
    <t>Janih</t>
  </si>
  <si>
    <t>L-1812</t>
  </si>
  <si>
    <t>Lauza</t>
  </si>
  <si>
    <t>IbnuSirad</t>
  </si>
  <si>
    <t>siradjranu@gmail.com</t>
  </si>
  <si>
    <t>628119624004</t>
  </si>
  <si>
    <t>L-1844</t>
  </si>
  <si>
    <t>Lavinia</t>
  </si>
  <si>
    <t>+62812101150</t>
  </si>
  <si>
    <t>L-726</t>
  </si>
  <si>
    <t>Prilasti</t>
  </si>
  <si>
    <t>L-1715</t>
  </si>
  <si>
    <t>Laviolaneta</t>
  </si>
  <si>
    <t>L-1729</t>
  </si>
  <si>
    <t>Lavitania</t>
  </si>
  <si>
    <t>Searjaya</t>
  </si>
  <si>
    <t>62818917777</t>
  </si>
  <si>
    <t>L-633</t>
  </si>
  <si>
    <t>Law</t>
  </si>
  <si>
    <t>Agustiawan</t>
  </si>
  <si>
    <t>L-1577</t>
  </si>
  <si>
    <t>Lalit</t>
  </si>
  <si>
    <t>L-1270</t>
  </si>
  <si>
    <t>/Ana</t>
  </si>
  <si>
    <t>Taman Grisenda Blok E4/7</t>
  </si>
  <si>
    <t>L-020</t>
  </si>
  <si>
    <t>Lawrence</t>
  </si>
  <si>
    <t>Barki</t>
  </si>
  <si>
    <t>+6281210103855</t>
  </si>
  <si>
    <t xml:space="preserve">Jl. Diponegoro no.46
Jakarta Pusat</t>
  </si>
  <si>
    <t>L-779</t>
  </si>
  <si>
    <t>LawrenceHartono@gmail.com</t>
  </si>
  <si>
    <t>Jl. Telasih 22</t>
  </si>
  <si>
    <t>L-0822</t>
  </si>
  <si>
    <t>L-1617</t>
  </si>
  <si>
    <t>Laxmikanta</t>
  </si>
  <si>
    <t>Panda</t>
  </si>
  <si>
    <t>L-625</t>
  </si>
  <si>
    <t>L-1079</t>
  </si>
  <si>
    <t>L-307</t>
  </si>
  <si>
    <t>Layanto</t>
  </si>
  <si>
    <t>L-1792</t>
  </si>
  <si>
    <t>Lazarev</t>
  </si>
  <si>
    <t>Evgeny</t>
  </si>
  <si>
    <t>eilazarev@protonmail.com</t>
  </si>
  <si>
    <t>971586675208</t>
  </si>
  <si>
    <t>L-1520</t>
  </si>
  <si>
    <t>Lazareva</t>
  </si>
  <si>
    <t>L-1674</t>
  </si>
  <si>
    <t>Le,</t>
  </si>
  <si>
    <t>Yuting</t>
  </si>
  <si>
    <t>364314874@qq.com</t>
  </si>
  <si>
    <t>L-1381</t>
  </si>
  <si>
    <t>Lea</t>
  </si>
  <si>
    <t>Devina Anggundhyta</t>
  </si>
  <si>
    <t>6287888002105</t>
  </si>
  <si>
    <t>L-1648</t>
  </si>
  <si>
    <t>+628164808681</t>
  </si>
  <si>
    <t>JL, MARTIMBANG I/6</t>
  </si>
  <si>
    <t>L-1760</t>
  </si>
  <si>
    <t>Gregori Donna Helen</t>
  </si>
  <si>
    <t>gregoridonna@netscape.net</t>
  </si>
  <si>
    <t>+61410500335</t>
  </si>
  <si>
    <t>L-0849</t>
  </si>
  <si>
    <t>Lebang</t>
  </si>
  <si>
    <t>L-0925</t>
  </si>
  <si>
    <t>Ledy</t>
  </si>
  <si>
    <t>Namarina</t>
  </si>
  <si>
    <t>62811942097</t>
  </si>
  <si>
    <t>L-024</t>
  </si>
  <si>
    <t>Jl. Taman Bromo 20</t>
  </si>
  <si>
    <t>L-1320</t>
  </si>
  <si>
    <t>Sterling</t>
  </si>
  <si>
    <t>6287877298002</t>
  </si>
  <si>
    <t>L-1429</t>
  </si>
  <si>
    <t>L-0844</t>
  </si>
  <si>
    <t>0811999359</t>
  </si>
  <si>
    <t>L-1265</t>
  </si>
  <si>
    <t>L-1596</t>
  </si>
  <si>
    <t>Nicholl</t>
  </si>
  <si>
    <t>L-616</t>
  </si>
  <si>
    <t>Mi</t>
  </si>
  <si>
    <t>L-1815</t>
  </si>
  <si>
    <t>Lee Byung</t>
  </si>
  <si>
    <t>Joo</t>
  </si>
  <si>
    <t>bjleekb@gmail.com</t>
  </si>
  <si>
    <t>628129300327</t>
  </si>
  <si>
    <t>Pondok Gede, Bekasi</t>
  </si>
  <si>
    <t>L-025</t>
  </si>
  <si>
    <t>(CHI)</t>
  </si>
  <si>
    <t>L-1774</t>
  </si>
  <si>
    <t>Eunsa</t>
  </si>
  <si>
    <t>leefamily02@hanmail.net</t>
  </si>
  <si>
    <t>81052981605</t>
  </si>
  <si>
    <t>L-1521</t>
  </si>
  <si>
    <t>Fitzgerald</t>
  </si>
  <si>
    <t>51/1 Queen st Newcastle</t>
  </si>
  <si>
    <t>NSW</t>
  </si>
  <si>
    <t>L-342</t>
  </si>
  <si>
    <t>Nyeong</t>
  </si>
  <si>
    <t xml:space="preserve">Paladian Park, tower B
Kelapa Gading</t>
  </si>
  <si>
    <t>L-026</t>
  </si>
  <si>
    <t>Rak</t>
  </si>
  <si>
    <t>L-1832</t>
  </si>
  <si>
    <t>Heeseung</t>
  </si>
  <si>
    <t>hs777hs@naver.com</t>
  </si>
  <si>
    <t>+821099389425</t>
  </si>
  <si>
    <t>Seoul</t>
  </si>
  <si>
    <t>L-647</t>
  </si>
  <si>
    <t>Hye jung</t>
  </si>
  <si>
    <t>62811920392</t>
  </si>
  <si>
    <t>L-1638</t>
  </si>
  <si>
    <t>L-300</t>
  </si>
  <si>
    <t xml:space="preserve">Lippo Cikarang T/M Biveri 
Jl.Palem Putri No.58 Bekasi</t>
  </si>
  <si>
    <t>L-030</t>
  </si>
  <si>
    <t>Hyang</t>
  </si>
  <si>
    <t>eumymin@gmail.com</t>
  </si>
  <si>
    <t>Pakubuwono Apt. Tower Basswood #11E</t>
  </si>
  <si>
    <t>L-548</t>
  </si>
  <si>
    <t>L-1605</t>
  </si>
  <si>
    <t>Jaeyeon</t>
  </si>
  <si>
    <t>L-1620</t>
  </si>
  <si>
    <t>Ji Wan</t>
  </si>
  <si>
    <t>628150102324</t>
  </si>
  <si>
    <t>L-1100</t>
  </si>
  <si>
    <t>L-1480</t>
  </si>
  <si>
    <t>Jiye</t>
  </si>
  <si>
    <t>jelly1117@naver.com</t>
  </si>
  <si>
    <t>L-1382</t>
  </si>
  <si>
    <t>Jong Min</t>
  </si>
  <si>
    <t>081617332204</t>
  </si>
  <si>
    <t>L-1726</t>
  </si>
  <si>
    <t>Jonghyun</t>
  </si>
  <si>
    <t>dnh_lzx@dnhinter.com</t>
  </si>
  <si>
    <t>821026692992</t>
  </si>
  <si>
    <t>L-1568</t>
  </si>
  <si>
    <t>Hyoung</t>
  </si>
  <si>
    <t>L-731</t>
  </si>
  <si>
    <t>L-814</t>
  </si>
  <si>
    <t>Lee Ki</t>
  </si>
  <si>
    <t>leekh120@gmail.com</t>
  </si>
  <si>
    <t>+62816812507</t>
  </si>
  <si>
    <t xml:space="preserve">APARTMENT BOTANICA TOWER 2
LANTAI.15 UNIT B
JL.TEUKU NYAK ARIF NO.8, KEBAYORAN LAMA - JAK -SEL</t>
  </si>
  <si>
    <t>L-0831</t>
  </si>
  <si>
    <t>L-1565</t>
  </si>
  <si>
    <t>L-668</t>
  </si>
  <si>
    <t xml:space="preserve">Management Office District 8 SCBD Lot 28
Jl.Jend. Sudirman Kav 52-53 INFINITY Tower 50 EF
</t>
  </si>
  <si>
    <t>L-569</t>
  </si>
  <si>
    <t>L-1566</t>
  </si>
  <si>
    <t>Soo</t>
  </si>
  <si>
    <t>L-1165</t>
  </si>
  <si>
    <t>L-1701</t>
  </si>
  <si>
    <t>Lee Robert</t>
  </si>
  <si>
    <t>16154175945</t>
  </si>
  <si>
    <t>Tennessee, USA</t>
  </si>
  <si>
    <t>L-340</t>
  </si>
  <si>
    <t>Senlki</t>
  </si>
  <si>
    <t xml:space="preserve">Pacific place Apartment
10B</t>
  </si>
  <si>
    <t>L-727</t>
  </si>
  <si>
    <t>Hoon</t>
  </si>
  <si>
    <t xml:space="preserve">Jl. Kampung Padurenan IV Rt 001/ Rw 003
Desa Padurenan 
Kec Gunung Sindur</t>
  </si>
  <si>
    <t>L-1824</t>
  </si>
  <si>
    <t>Seunghwan</t>
  </si>
  <si>
    <t>hana2963@naver.com</t>
  </si>
  <si>
    <t>+851085702963</t>
  </si>
  <si>
    <t>L-334</t>
  </si>
  <si>
    <t>L-1089</t>
  </si>
  <si>
    <t>L-036</t>
  </si>
  <si>
    <t>L-1583</t>
  </si>
  <si>
    <t>Kyun</t>
  </si>
  <si>
    <t>L-1629</t>
  </si>
  <si>
    <t>Yeonhee</t>
  </si>
  <si>
    <t>KOREA</t>
  </si>
  <si>
    <t>L-1684</t>
  </si>
  <si>
    <t>Yongwoo</t>
  </si>
  <si>
    <t>silentkorean@never.com</t>
  </si>
  <si>
    <t>+821092489344</t>
  </si>
  <si>
    <t>L-1834</t>
  </si>
  <si>
    <t>Lee, Ming-Hong</t>
  </si>
  <si>
    <t>Terry Lee</t>
  </si>
  <si>
    <t>leetenglee@hotmail.com</t>
  </si>
  <si>
    <t>886910649893</t>
  </si>
  <si>
    <t>L-586</t>
  </si>
  <si>
    <t>Lee.</t>
  </si>
  <si>
    <t>W.J</t>
  </si>
  <si>
    <t>L-256</t>
  </si>
  <si>
    <t>Leha</t>
  </si>
  <si>
    <t>L-1755</t>
  </si>
  <si>
    <t>Lei,</t>
  </si>
  <si>
    <t>chiarahung@hotmail.com</t>
  </si>
  <si>
    <t>+85256078505</t>
  </si>
  <si>
    <t>L-0840</t>
  </si>
  <si>
    <t>563738625@qq.com</t>
  </si>
  <si>
    <t>L-1467</t>
  </si>
  <si>
    <t>L-1376</t>
  </si>
  <si>
    <t>Leifeng</t>
  </si>
  <si>
    <t>Shen</t>
  </si>
  <si>
    <t>L-681</t>
  </si>
  <si>
    <t>Leila</t>
  </si>
  <si>
    <t>Djafaar</t>
  </si>
  <si>
    <t>L-568</t>
  </si>
  <si>
    <t>Djawas</t>
  </si>
  <si>
    <t>L-1749</t>
  </si>
  <si>
    <t>Gambarova</t>
  </si>
  <si>
    <t>leyla.gambarova777@mail.ru</t>
  </si>
  <si>
    <t>79189477717</t>
  </si>
  <si>
    <t>L-1773</t>
  </si>
  <si>
    <t>0212072025</t>
  </si>
  <si>
    <t>L-1842</t>
  </si>
  <si>
    <t>Nalgiyeva</t>
  </si>
  <si>
    <t>+77004404060</t>
  </si>
  <si>
    <t>L-714</t>
  </si>
  <si>
    <t xml:space="preserve">Jl. Panjaitan No17 AB 
kebun kandil</t>
  </si>
  <si>
    <t>L-0971</t>
  </si>
  <si>
    <t>Zeedy,Ma</t>
  </si>
  <si>
    <t>L-1128</t>
  </si>
  <si>
    <t>Leily</t>
  </si>
  <si>
    <t>Rajagukguk</t>
  </si>
  <si>
    <t>Jl. H. Amar No.23</t>
  </si>
  <si>
    <t>L-1722</t>
  </si>
  <si>
    <t>Lela Sari</t>
  </si>
  <si>
    <t>628122364460</t>
  </si>
  <si>
    <t>L-0965</t>
  </si>
  <si>
    <t>Lela</t>
  </si>
  <si>
    <t>Soleha</t>
  </si>
  <si>
    <t>08121243337</t>
  </si>
  <si>
    <t>L-0853</t>
  </si>
  <si>
    <t>Lelly</t>
  </si>
  <si>
    <t>L-808</t>
  </si>
  <si>
    <t>L-0899</t>
  </si>
  <si>
    <t>L-621</t>
  </si>
  <si>
    <t>L-1590</t>
  </si>
  <si>
    <t>628161841777</t>
  </si>
  <si>
    <t>L-263</t>
  </si>
  <si>
    <t>Sitanggang</t>
  </si>
  <si>
    <t>L-692</t>
  </si>
  <si>
    <t>Natali</t>
  </si>
  <si>
    <t>Park Royal Apartment 2034/Raffles Hills E9/9 Cibubur</t>
  </si>
  <si>
    <t>L-040</t>
  </si>
  <si>
    <t>Raffles Hill E.9 No. 9</t>
  </si>
  <si>
    <t>L-0864</t>
  </si>
  <si>
    <t>Raffles Hills E9/9</t>
  </si>
  <si>
    <t>M-1620</t>
  </si>
  <si>
    <t>Lena</t>
  </si>
  <si>
    <t>L-272</t>
  </si>
  <si>
    <t>L-041</t>
  </si>
  <si>
    <t>L-1746</t>
  </si>
  <si>
    <t>62816727348</t>
  </si>
  <si>
    <t>L-1576</t>
  </si>
  <si>
    <t>Pache</t>
  </si>
  <si>
    <t>lena_pache@hotmail.com</t>
  </si>
  <si>
    <t>Perum Citra Beringin Regency Blok E9</t>
  </si>
  <si>
    <t>L-654</t>
  </si>
  <si>
    <t>6282122610689</t>
  </si>
  <si>
    <t>Jl. Pejaten Barat 2 No.25B</t>
  </si>
  <si>
    <t>L-1654</t>
  </si>
  <si>
    <t>Sjamsuddin</t>
  </si>
  <si>
    <t>62811809977</t>
  </si>
  <si>
    <t>L-1508</t>
  </si>
  <si>
    <t>Warganegara</t>
  </si>
  <si>
    <t>lwarganegara888@gmail.com</t>
  </si>
  <si>
    <t xml:space="preserve">Jl Sriwijaya raya no.22
jakarta 12110</t>
  </si>
  <si>
    <t>L-1412</t>
  </si>
  <si>
    <t>Lenawati</t>
  </si>
  <si>
    <t>L-0893</t>
  </si>
  <si>
    <t>62816958480</t>
  </si>
  <si>
    <t xml:space="preserve">PLAZA 3 BLOK C-05
PONDOK INDAH</t>
  </si>
  <si>
    <t>L-1502</t>
  </si>
  <si>
    <t>Leni</t>
  </si>
  <si>
    <t>Indriyanti</t>
  </si>
  <si>
    <t>Jl. Cendana 2 No.43</t>
  </si>
  <si>
    <t>L-1418</t>
  </si>
  <si>
    <t>Leniawaty</t>
  </si>
  <si>
    <t>Rochili</t>
  </si>
  <si>
    <t>L-1561</t>
  </si>
  <si>
    <t>Lenita</t>
  </si>
  <si>
    <t>L-303</t>
  </si>
  <si>
    <t>628129013833</t>
  </si>
  <si>
    <t xml:space="preserve">Permata Hijau Residence Tower A Unit 14AB
Jl. Kalimaya No. 48 Permata Hijau
Jakarta 12210</t>
  </si>
  <si>
    <t>L-1478</t>
  </si>
  <si>
    <t>Lenka</t>
  </si>
  <si>
    <t>Peruba</t>
  </si>
  <si>
    <t>L-1487</t>
  </si>
  <si>
    <t>6282213277977</t>
  </si>
  <si>
    <t xml:space="preserve">Jl.Puri Mutiara VII No.17D
Jakarta 12410</t>
  </si>
  <si>
    <t>L-1369</t>
  </si>
  <si>
    <t>Lenny</t>
  </si>
  <si>
    <t>6285156890318</t>
  </si>
  <si>
    <t>L-552</t>
  </si>
  <si>
    <t>L-1255</t>
  </si>
  <si>
    <t>kennychandraa@gmail.com</t>
  </si>
  <si>
    <t>+6285959220007</t>
  </si>
  <si>
    <t>L-1104</t>
  </si>
  <si>
    <t>Lenny Janis</t>
  </si>
  <si>
    <t>62816847452</t>
  </si>
  <si>
    <t>L-0910</t>
  </si>
  <si>
    <t>Liliputra</t>
  </si>
  <si>
    <t>Pengayoman Ruko Alfa No.8C Makasar</t>
  </si>
  <si>
    <t>L-1000</t>
  </si>
  <si>
    <t>Marlina</t>
  </si>
  <si>
    <t>apartemen royal mediterania jakarta barat</t>
  </si>
  <si>
    <t>L-546</t>
  </si>
  <si>
    <t>L-1528</t>
  </si>
  <si>
    <t>Nadriana</t>
  </si>
  <si>
    <t>6287885369218</t>
  </si>
  <si>
    <t>Jl. Niaga Hijau IX No.15</t>
  </si>
  <si>
    <t>L-617</t>
  </si>
  <si>
    <t>lenytan@yahoo.com</t>
  </si>
  <si>
    <t xml:space="preserve">JL. Rajawali Dalam No. 1 Codepost 75117
Samarinda</t>
  </si>
  <si>
    <t>L-1747</t>
  </si>
  <si>
    <t>L-1841</t>
  </si>
  <si>
    <t>Tanaga</t>
  </si>
  <si>
    <t>Lenny.tanCC@gmail.com</t>
  </si>
  <si>
    <t>628112316888</t>
  </si>
  <si>
    <t>L-1720</t>
  </si>
  <si>
    <t>Sisca</t>
  </si>
  <si>
    <t>6282130006778</t>
  </si>
  <si>
    <t>Citra 5 Blok C8/3A</t>
  </si>
  <si>
    <t>L-1492</t>
  </si>
  <si>
    <t>Lensis</t>
  </si>
  <si>
    <t>Kano Indah 2 18/7d D</t>
  </si>
  <si>
    <t>L-574</t>
  </si>
  <si>
    <t>Leny</t>
  </si>
  <si>
    <t>Aliasim</t>
  </si>
  <si>
    <t>6281510355699</t>
  </si>
  <si>
    <t>Komp. Pluit Timur blok B3 Utara No.21</t>
  </si>
  <si>
    <t>L-790</t>
  </si>
  <si>
    <t>Djoewita</t>
  </si>
  <si>
    <t>L-1425</t>
  </si>
  <si>
    <t>villa permata gading B1 NO. 8 jakarta utara, kelapa gading</t>
  </si>
  <si>
    <t>L-278</t>
  </si>
  <si>
    <t>Jl. Delima IV No 76</t>
  </si>
  <si>
    <t>L-1426</t>
  </si>
  <si>
    <t>L-721</t>
  </si>
  <si>
    <t xml:space="preserve">Perum Rancamaya GOLF Estate
Jl,Balcony Grande II</t>
  </si>
  <si>
    <t>L-1688</t>
  </si>
  <si>
    <t>ileokoce@@gmail.com</t>
  </si>
  <si>
    <t>6282291333010</t>
  </si>
  <si>
    <t xml:space="preserve">Jl.Riviera West 8 Blok G1 No.2 
Tangerang </t>
  </si>
  <si>
    <t>L-1227</t>
  </si>
  <si>
    <t>Anggasaputra</t>
  </si>
  <si>
    <t>L-1838</t>
  </si>
  <si>
    <t>62816900110</t>
  </si>
  <si>
    <t>L-1589</t>
  </si>
  <si>
    <t xml:space="preserve">Apartment Puncak Marina Tower 1 unit 1.7.09
Jl Margorejo Indah XI No 509 Kec Wonocolo ,Surabaya Jawa Timur</t>
  </si>
  <si>
    <t>L-257</t>
  </si>
  <si>
    <t>L-728</t>
  </si>
  <si>
    <t>Leo...</t>
  </si>
  <si>
    <t>leo_566@outlook.com</t>
  </si>
  <si>
    <t>L-1544</t>
  </si>
  <si>
    <t>Leodi</t>
  </si>
  <si>
    <t>L-1269</t>
  </si>
  <si>
    <t>Leon</t>
  </si>
  <si>
    <t>L-1473</t>
  </si>
  <si>
    <t>L-282</t>
  </si>
  <si>
    <t>Leona</t>
  </si>
  <si>
    <t>Tod</t>
  </si>
  <si>
    <t>L-044</t>
  </si>
  <si>
    <t>Leonard</t>
  </si>
  <si>
    <t>Wenas</t>
  </si>
  <si>
    <t>Perum. Intercon Kebon Jeruk</t>
  </si>
  <si>
    <t>Jl. Jeruk Kuning Blok K-1 No. 12</t>
  </si>
  <si>
    <t>L-556</t>
  </si>
  <si>
    <t>Royal Residence B-09/157 Cluster Harewood, Wiung Surabaya 6'+'+62215</t>
  </si>
  <si>
    <t>L-1285</t>
  </si>
  <si>
    <t>Surtihadi</t>
  </si>
  <si>
    <t>LSURTIHADI@GMAIL.COM</t>
  </si>
  <si>
    <t>L-1365</t>
  </si>
  <si>
    <t>Leoni</t>
  </si>
  <si>
    <t>leoiniangelaaa29@gmail.com</t>
  </si>
  <si>
    <t>L-1138</t>
  </si>
  <si>
    <t>Rainawati</t>
  </si>
  <si>
    <t>L-1057</t>
  </si>
  <si>
    <t>Lesianto</t>
  </si>
  <si>
    <t>Tjiptobiantoro</t>
  </si>
  <si>
    <t>L-554</t>
  </si>
  <si>
    <t>soemedi</t>
  </si>
  <si>
    <t>Pacific Place Residence 2 - 22B</t>
  </si>
  <si>
    <t>L-1441</t>
  </si>
  <si>
    <t>L-046</t>
  </si>
  <si>
    <t>Lesly</t>
  </si>
  <si>
    <t>Jl. Soka Kuning II Blok E-3 No. 7</t>
  </si>
  <si>
    <t>Perum. Harapan Baru Regency</t>
  </si>
  <si>
    <t>L-1660</t>
  </si>
  <si>
    <t>Lesmic</t>
  </si>
  <si>
    <t>L-1786</t>
  </si>
  <si>
    <t>Hadi Tjin</t>
  </si>
  <si>
    <t>tariz28@icloud.com</t>
  </si>
  <si>
    <t>+6282280306458</t>
  </si>
  <si>
    <t>L-047</t>
  </si>
  <si>
    <t>JL. Pilar Mas Raya Kav.A-D</t>
  </si>
  <si>
    <t>L-757</t>
  </si>
  <si>
    <t>Lestarina</t>
  </si>
  <si>
    <t>Pintoro</t>
  </si>
  <si>
    <t>Jl. Dr. Sumarsono No 50 Kampus uso NO. 50 Kampus USO. Medan 20154</t>
  </si>
  <si>
    <t>L-1579</t>
  </si>
  <si>
    <t>Leticia</t>
  </si>
  <si>
    <t>L-1063</t>
  </si>
  <si>
    <t>L-1455</t>
  </si>
  <si>
    <t>Korompis</t>
  </si>
  <si>
    <t>L-1013</t>
  </si>
  <si>
    <t>Letizia</t>
  </si>
  <si>
    <t>6281380121311</t>
  </si>
  <si>
    <t>L-1512</t>
  </si>
  <si>
    <t>Leung</t>
  </si>
  <si>
    <t>Yuen</t>
  </si>
  <si>
    <t>leungkwokyuen@qq.com</t>
  </si>
  <si>
    <t>L-1650</t>
  </si>
  <si>
    <t>Leventceva</t>
  </si>
  <si>
    <t>Iana</t>
  </si>
  <si>
    <t>L-309</t>
  </si>
  <si>
    <t>Levi</t>
  </si>
  <si>
    <t>Hendiana</t>
  </si>
  <si>
    <t xml:space="preserve">Jl. H. Marzuki No.63
Kebon Jeruk Baru Blok A XI
Jakarta 11540</t>
  </si>
  <si>
    <t>L-0974</t>
  </si>
  <si>
    <t>Panorama P1/18 Candi Golf</t>
  </si>
  <si>
    <t>L-0884</t>
  </si>
  <si>
    <t>W.A</t>
  </si>
  <si>
    <t>L-1757</t>
  </si>
  <si>
    <t>Ramdhan Lestari</t>
  </si>
  <si>
    <t>ramdhan.calaura@gmail.com</t>
  </si>
  <si>
    <t>+6287832538508</t>
  </si>
  <si>
    <t>Trevista Park A-4, Pondok Petir, Depok</t>
  </si>
  <si>
    <t>L-1107</t>
  </si>
  <si>
    <t>L-1646</t>
  </si>
  <si>
    <t>Leviev</t>
  </si>
  <si>
    <t>Lev</t>
  </si>
  <si>
    <t>L-1437</t>
  </si>
  <si>
    <t>Levin</t>
  </si>
  <si>
    <t>L-1172</t>
  </si>
  <si>
    <t>Levina</t>
  </si>
  <si>
    <t>Blossom Residence A3 Jakarta</t>
  </si>
  <si>
    <t>L-1352</t>
  </si>
  <si>
    <t>bastian</t>
  </si>
  <si>
    <t>L-1790</t>
  </si>
  <si>
    <t>Levitama</t>
  </si>
  <si>
    <t>6287851751333</t>
  </si>
  <si>
    <t>L-1533</t>
  </si>
  <si>
    <t>Levya</t>
  </si>
  <si>
    <t>L-1651</t>
  </si>
  <si>
    <t>Lexter</t>
  </si>
  <si>
    <t>Loong</t>
  </si>
  <si>
    <t>L-1485</t>
  </si>
  <si>
    <t>Leyni</t>
  </si>
  <si>
    <t>Andara Village C-4</t>
  </si>
  <si>
    <t>L-1018</t>
  </si>
  <si>
    <t>S-2041</t>
  </si>
  <si>
    <t>Aizhen</t>
  </si>
  <si>
    <t>628121036215</t>
  </si>
  <si>
    <t>L-1503</t>
  </si>
  <si>
    <t>Bilong</t>
  </si>
  <si>
    <t>L-1092</t>
  </si>
  <si>
    <t>Xia</t>
  </si>
  <si>
    <t>L-0938</t>
  </si>
  <si>
    <t>L-1696</t>
  </si>
  <si>
    <t>Li Claudia</t>
  </si>
  <si>
    <t>+6285779699136</t>
  </si>
  <si>
    <t>L-0845</t>
  </si>
  <si>
    <t>LI</t>
  </si>
  <si>
    <t>DAN</t>
  </si>
  <si>
    <t>451'+623117@qq.com</t>
  </si>
  <si>
    <t>Tai Yuan, CHINA</t>
  </si>
  <si>
    <t>L-1223</t>
  </si>
  <si>
    <t>feijie</t>
  </si>
  <si>
    <t>L-1554</t>
  </si>
  <si>
    <t>L-1569</t>
  </si>
  <si>
    <t>L-656</t>
  </si>
  <si>
    <t>Jingli</t>
  </si>
  <si>
    <t>liyingli@cntic.genertec.com.cn</t>
  </si>
  <si>
    <t xml:space="preserve">GENERTEC PLAZA XISANHUAN ZHONGLU NO. 90
FENGTAI DISTRIC</t>
  </si>
  <si>
    <t>L-1798</t>
  </si>
  <si>
    <t>Lili</t>
  </si>
  <si>
    <t>6285283474350</t>
  </si>
  <si>
    <t>L-1713</t>
  </si>
  <si>
    <t>Li mei</t>
  </si>
  <si>
    <t>085242628884</t>
  </si>
  <si>
    <t>L-1712</t>
  </si>
  <si>
    <t>Mingzhu</t>
  </si>
  <si>
    <t>081288286519</t>
  </si>
  <si>
    <t>SHANGHAI - CHINA</t>
  </si>
  <si>
    <t>L-1788</t>
  </si>
  <si>
    <t>Qianqian</t>
  </si>
  <si>
    <t>8615757911789</t>
  </si>
  <si>
    <t>L-810</t>
  </si>
  <si>
    <t>Qionggang</t>
  </si>
  <si>
    <t>L-1625</t>
  </si>
  <si>
    <t>Rui</t>
  </si>
  <si>
    <t>L-1501</t>
  </si>
  <si>
    <t>Shi</t>
  </si>
  <si>
    <t>Villa 36</t>
  </si>
  <si>
    <t>L-113</t>
  </si>
  <si>
    <t xml:space="preserve">Jl.Pinang Perak III PC10
Pondok Indah Jakarta Selatan 12310</t>
  </si>
  <si>
    <t>L-1581</t>
  </si>
  <si>
    <t>Sumei</t>
  </si>
  <si>
    <t>L-1745</t>
  </si>
  <si>
    <t>Weiwei</t>
  </si>
  <si>
    <t>+6281366666520</t>
  </si>
  <si>
    <t>L-351</t>
  </si>
  <si>
    <t>Ning</t>
  </si>
  <si>
    <t>L-0860</t>
  </si>
  <si>
    <t>Shem</t>
  </si>
  <si>
    <t>L-1538</t>
  </si>
  <si>
    <t>L-772</t>
  </si>
  <si>
    <t>Xinggn</t>
  </si>
  <si>
    <t>47771828@99.com</t>
  </si>
  <si>
    <t>L-1522</t>
  </si>
  <si>
    <t>Xinhui</t>
  </si>
  <si>
    <t>1245650230@qq.com</t>
  </si>
  <si>
    <t>L-1567</t>
  </si>
  <si>
    <t>Xinyue</t>
  </si>
  <si>
    <t>L-1780</t>
  </si>
  <si>
    <t>Li Yonqing</t>
  </si>
  <si>
    <t>Yanny</t>
  </si>
  <si>
    <t>1196334110@qq.com</t>
  </si>
  <si>
    <t>8618883187148</t>
  </si>
  <si>
    <t>L-1420</t>
  </si>
  <si>
    <t>L-1397</t>
  </si>
  <si>
    <t>L-1665</t>
  </si>
  <si>
    <t>Yuhao</t>
  </si>
  <si>
    <t>L-1637</t>
  </si>
  <si>
    <t>Yupeng</t>
  </si>
  <si>
    <t>L-1612</t>
  </si>
  <si>
    <t>Li,</t>
  </si>
  <si>
    <t>Chuhe</t>
  </si>
  <si>
    <t>chuhe.li@outlook.com</t>
  </si>
  <si>
    <t>L-1741</t>
  </si>
  <si>
    <t>Haibei</t>
  </si>
  <si>
    <t>chloe15814870333@163.com</t>
  </si>
  <si>
    <t>8615814870333</t>
  </si>
  <si>
    <t>Guangdong</t>
  </si>
  <si>
    <t>L-1794</t>
  </si>
  <si>
    <t>695426366@qq.com</t>
  </si>
  <si>
    <t>L-1793</t>
  </si>
  <si>
    <t>Jianying</t>
  </si>
  <si>
    <t>2289328141@qq.com</t>
  </si>
  <si>
    <t>+8613564885498</t>
  </si>
  <si>
    <t>L-1784</t>
  </si>
  <si>
    <t>li1005li@163.com</t>
  </si>
  <si>
    <t>L-1600</t>
  </si>
  <si>
    <t>L-1676</t>
  </si>
  <si>
    <t>Megran</t>
  </si>
  <si>
    <t>16-daisy-love@163.com</t>
  </si>
  <si>
    <t>L-1668</t>
  </si>
  <si>
    <t>Meiyu</t>
  </si>
  <si>
    <t>361344731@qq.com</t>
  </si>
  <si>
    <t>L-1677</t>
  </si>
  <si>
    <t>Mengran</t>
  </si>
  <si>
    <t>+8613911555696</t>
  </si>
  <si>
    <t>L-1690</t>
  </si>
  <si>
    <t>limin7612@gmail.com</t>
  </si>
  <si>
    <t>+6598889051</t>
  </si>
  <si>
    <t>L-1777</t>
  </si>
  <si>
    <t>100040510@qq.com</t>
  </si>
  <si>
    <t>+8613924653022</t>
  </si>
  <si>
    <t>L-1663</t>
  </si>
  <si>
    <t>Mingjiang</t>
  </si>
  <si>
    <t>13911924950@139.com</t>
  </si>
  <si>
    <t>L-1680</t>
  </si>
  <si>
    <t>Muzhenzi</t>
  </si>
  <si>
    <t>limuzhenzi@163.com</t>
  </si>
  <si>
    <t>L-1751</t>
  </si>
  <si>
    <t>Shuangxi</t>
  </si>
  <si>
    <t>845142334@qq.com</t>
  </si>
  <si>
    <t>8618916006555</t>
  </si>
  <si>
    <t>L-1623</t>
  </si>
  <si>
    <t>Shuting</t>
  </si>
  <si>
    <t>L-1753</t>
  </si>
  <si>
    <t>Siyi</t>
  </si>
  <si>
    <t>15618705997@163.com</t>
  </si>
  <si>
    <t>L-1670</t>
  </si>
  <si>
    <t>Tianjiao</t>
  </si>
  <si>
    <t>5546418@qq.com</t>
  </si>
  <si>
    <t>L-1742</t>
  </si>
  <si>
    <t>241322973@qq.com</t>
  </si>
  <si>
    <t>+8613611577931</t>
  </si>
  <si>
    <t>Jiangsu</t>
  </si>
  <si>
    <t>L-1275</t>
  </si>
  <si>
    <t>L-1708</t>
  </si>
  <si>
    <t>Xiaona</t>
  </si>
  <si>
    <t>8613892275133</t>
  </si>
  <si>
    <t>L-1771</t>
  </si>
  <si>
    <t>1596819845@163.com</t>
  </si>
  <si>
    <t>+8615968198625</t>
  </si>
  <si>
    <t>L-1622</t>
  </si>
  <si>
    <t>L-1828</t>
  </si>
  <si>
    <t>Yuhua</t>
  </si>
  <si>
    <t>kasialee61@gmail.com</t>
  </si>
  <si>
    <t>8618380456569</t>
  </si>
  <si>
    <t>L-1695</t>
  </si>
  <si>
    <t>Zhengguo</t>
  </si>
  <si>
    <t>3293013403@99.com</t>
  </si>
  <si>
    <t>+8613801228513</t>
  </si>
  <si>
    <t>L-1811</t>
  </si>
  <si>
    <t>Zhiyu</t>
  </si>
  <si>
    <t>1571838791@qq.com</t>
  </si>
  <si>
    <t>861365769338</t>
  </si>
  <si>
    <t>L-1560</t>
  </si>
  <si>
    <t>Li,Bing</t>
  </si>
  <si>
    <t>L-1659</t>
  </si>
  <si>
    <t>Lia</t>
  </si>
  <si>
    <t>ratna.amalia0110@gmail.com</t>
  </si>
  <si>
    <t>Lavenue Apartment</t>
  </si>
  <si>
    <t>L-629</t>
  </si>
  <si>
    <t xml:space="preserve">Jl Batan II D7 Komp Batan
Ps Minggu, Jakarta 12520</t>
  </si>
  <si>
    <t>L-052</t>
  </si>
  <si>
    <t>L-1407</t>
  </si>
  <si>
    <t>Alizia</t>
  </si>
  <si>
    <t>L-1779</t>
  </si>
  <si>
    <t>Bagas</t>
  </si>
  <si>
    <t>6281220132009</t>
  </si>
  <si>
    <t>L-1093</t>
  </si>
  <si>
    <t>Candrasari</t>
  </si>
  <si>
    <t>L-050</t>
  </si>
  <si>
    <t>E.S.</t>
  </si>
  <si>
    <t>L-0906</t>
  </si>
  <si>
    <t>Enggalharjo</t>
  </si>
  <si>
    <t>L-1692</t>
  </si>
  <si>
    <t>Hilabi</t>
  </si>
  <si>
    <t>L-1619</t>
  </si>
  <si>
    <t>Agustiana</t>
  </si>
  <si>
    <t>L-541</t>
  </si>
  <si>
    <t xml:space="preserve">Jl. Tower Dalam Tawes Residence
Pasar Minggu</t>
  </si>
  <si>
    <t>L-274</t>
  </si>
  <si>
    <t>Mochtar</t>
  </si>
  <si>
    <t>Kemang Selatan</t>
  </si>
  <si>
    <t>L-1463</t>
  </si>
  <si>
    <t>L-1800</t>
  </si>
  <si>
    <t>Oentono</t>
  </si>
  <si>
    <t>liaoentono@gmail.com</t>
  </si>
  <si>
    <t>6281298888812</t>
  </si>
  <si>
    <t>L-630</t>
  </si>
  <si>
    <t>Samosir</t>
  </si>
  <si>
    <t>L-059</t>
  </si>
  <si>
    <t>L-676</t>
  </si>
  <si>
    <t>Lian</t>
  </si>
  <si>
    <t>Iryanto</t>
  </si>
  <si>
    <t>iryantolian@gmail.com</t>
  </si>
  <si>
    <t>Jl. Nurul Huda Rt.003 Rw.009 No.12 Jati Pulo</t>
  </si>
  <si>
    <t>L-0996</t>
  </si>
  <si>
    <t xml:space="preserve">Jln. Tebet Barat Dalam 1C/7 Jakarta Selatan
Birth of Date 11 Mei 1979</t>
  </si>
  <si>
    <t>L-619</t>
  </si>
  <si>
    <t>L-1836</t>
  </si>
  <si>
    <t>Lioe</t>
  </si>
  <si>
    <t>kholiana@gmail.com</t>
  </si>
  <si>
    <t>628981777038</t>
  </si>
  <si>
    <t>Jl Kutat Lestari VI no.8</t>
  </si>
  <si>
    <t>L-1643</t>
  </si>
  <si>
    <t>Penny</t>
  </si>
  <si>
    <t>Banjar</t>
  </si>
  <si>
    <t>L-054</t>
  </si>
  <si>
    <t>Rosady</t>
  </si>
  <si>
    <t>L-794</t>
  </si>
  <si>
    <t>santoso.irana@gmail.com</t>
  </si>
  <si>
    <t xml:space="preserve">Surya Nirmala Blok 2D/15 
SunRise garden</t>
  </si>
  <si>
    <t>L-1342</t>
  </si>
  <si>
    <t xml:space="preserve">JL. Mentawai No 28 Ganjar Asri Kota 
Metro -34114
Lampung</t>
  </si>
  <si>
    <t>L-1011</t>
  </si>
  <si>
    <t>liana_syah@yahoo.com</t>
  </si>
  <si>
    <t>628111092340</t>
  </si>
  <si>
    <t xml:space="preserve">Citra Gran Q3-7, Cibubur.
birthday 17-06-1983</t>
  </si>
  <si>
    <t>L-1679</t>
  </si>
  <si>
    <t>liana.wijaya@yahoo.com</t>
  </si>
  <si>
    <t>L-733</t>
  </si>
  <si>
    <t>L-812</t>
  </si>
  <si>
    <t>L-0827</t>
  </si>
  <si>
    <t>L-1661</t>
  </si>
  <si>
    <t>L-1671</t>
  </si>
  <si>
    <t>Liang,</t>
  </si>
  <si>
    <t>Chung-Pin</t>
  </si>
  <si>
    <t>L-1662</t>
  </si>
  <si>
    <t>Xiaoxiang</t>
  </si>
  <si>
    <t>177130347@qq.com</t>
  </si>
  <si>
    <t>L-1669</t>
  </si>
  <si>
    <t>Xuewei</t>
  </si>
  <si>
    <t>572279915@qq.com</t>
  </si>
  <si>
    <t>L-1837</t>
  </si>
  <si>
    <t>joanna.zhang.lin@gmail.com</t>
  </si>
  <si>
    <t>+18087888736</t>
  </si>
  <si>
    <t>L-695</t>
  </si>
  <si>
    <t>Liani</t>
  </si>
  <si>
    <t>L-0879</t>
  </si>
  <si>
    <t>6287880078789</t>
  </si>
  <si>
    <t>Jln. Muara Karang Blok E X Selatan 124</t>
  </si>
  <si>
    <t>L-1281</t>
  </si>
  <si>
    <t>Lianne</t>
  </si>
  <si>
    <t>62811162180</t>
  </si>
  <si>
    <t>L-1395</t>
  </si>
  <si>
    <t>sianniewidjaja@gmail.com</t>
  </si>
  <si>
    <t>Pulau Ubi NO.8 Permata Buana,Jakarta</t>
  </si>
  <si>
    <t>L-1315</t>
  </si>
  <si>
    <t>Liany</t>
  </si>
  <si>
    <t>L-1549</t>
  </si>
  <si>
    <t>L-1598</t>
  </si>
  <si>
    <t>L-1360</t>
  </si>
  <si>
    <t>Zijuan</t>
  </si>
  <si>
    <t>L-1808</t>
  </si>
  <si>
    <t>Liao,</t>
  </si>
  <si>
    <t>Chia-Chieh, Liao, Bowen</t>
  </si>
  <si>
    <t>bowenliao@gmail.com</t>
  </si>
  <si>
    <t>+886933396639</t>
  </si>
  <si>
    <t>kaohsiung city</t>
  </si>
  <si>
    <t>L-1465</t>
  </si>
  <si>
    <t>Lia_</t>
  </si>
  <si>
    <t>L-1416</t>
  </si>
  <si>
    <t>Liberty</t>
  </si>
  <si>
    <t>Villan 11</t>
  </si>
  <si>
    <t>L-1693</t>
  </si>
  <si>
    <t>Librandi Robert</t>
  </si>
  <si>
    <t>saasaaryan@gmail.com</t>
  </si>
  <si>
    <t>+61413760271</t>
  </si>
  <si>
    <t>L-0897</t>
  </si>
  <si>
    <t>L-1232</t>
  </si>
  <si>
    <t>62817811652</t>
  </si>
  <si>
    <t>L-1316</t>
  </si>
  <si>
    <t>+6281282918000</t>
  </si>
  <si>
    <t>L-1032</t>
  </si>
  <si>
    <t>Liberth</t>
  </si>
  <si>
    <t>L-815</t>
  </si>
  <si>
    <t>Polim</t>
  </si>
  <si>
    <t>L-624</t>
  </si>
  <si>
    <t>linda.sari@gmail.com</t>
  </si>
  <si>
    <t xml:space="preserve">Jl. DR.Soepomo Raya no.231
Apartment Lavande Residences Tower A 2601</t>
  </si>
  <si>
    <t>L-1737</t>
  </si>
  <si>
    <t>lidyadayanaa@yahoo.com</t>
  </si>
  <si>
    <t>+6281122201888</t>
  </si>
  <si>
    <t>L-666</t>
  </si>
  <si>
    <t>Tulus</t>
  </si>
  <si>
    <t>Royal Bolevard I/5 citraland,</t>
  </si>
  <si>
    <t>Mando</t>
  </si>
  <si>
    <t>L-1636</t>
  </si>
  <si>
    <t>Jalan Dr Semeru No 13</t>
  </si>
  <si>
    <t>L-1005</t>
  </si>
  <si>
    <t>L-1384</t>
  </si>
  <si>
    <t>L-1428</t>
  </si>
  <si>
    <t>Lianto</t>
  </si>
  <si>
    <t>Pondok Blimbing Indah B6 No.17</t>
  </si>
  <si>
    <t>L-061</t>
  </si>
  <si>
    <t>Taman Anggrek Apt. Tower 8 #16E</t>
  </si>
  <si>
    <t>L-545</t>
  </si>
  <si>
    <t>L-1831</t>
  </si>
  <si>
    <t>62811883939</t>
  </si>
  <si>
    <t>L-1839</t>
  </si>
  <si>
    <t>Lie Melan</t>
  </si>
  <si>
    <t>Virginie</t>
  </si>
  <si>
    <t>liemelanvirginie@yahoo.com</t>
  </si>
  <si>
    <t>628129888882</t>
  </si>
  <si>
    <t>L-1433</t>
  </si>
  <si>
    <t>Lieke</t>
  </si>
  <si>
    <t>Limantoro</t>
  </si>
  <si>
    <t>6287883366535</t>
  </si>
  <si>
    <t>L-577</t>
  </si>
  <si>
    <t>sofia</t>
  </si>
  <si>
    <t>L-1343</t>
  </si>
  <si>
    <t>L-1080</t>
  </si>
  <si>
    <t>L-544</t>
  </si>
  <si>
    <t>L-1262</t>
  </si>
  <si>
    <t>Lien</t>
  </si>
  <si>
    <t>L-1631</t>
  </si>
  <si>
    <t>Liepa</t>
  </si>
  <si>
    <t>L-653</t>
  </si>
  <si>
    <t>Lies</t>
  </si>
  <si>
    <t xml:space="preserve">Jl. Potlot No.33
Pasar Minggu</t>
  </si>
  <si>
    <t>L-1060</t>
  </si>
  <si>
    <t>Liesye</t>
  </si>
  <si>
    <t>R.S</t>
  </si>
  <si>
    <t>L-1353</t>
  </si>
  <si>
    <t>Lifa</t>
  </si>
  <si>
    <t>L-1466</t>
  </si>
  <si>
    <t>Lifen</t>
  </si>
  <si>
    <t>L-783</t>
  </si>
  <si>
    <t>Liin</t>
  </si>
  <si>
    <t>Central Park Residenceses No.8</t>
  </si>
  <si>
    <t>L-1825</t>
  </si>
  <si>
    <t>Like</t>
  </si>
  <si>
    <t>Dwi Yulianti</t>
  </si>
  <si>
    <t>6281322995559</t>
  </si>
  <si>
    <t>L-064</t>
  </si>
  <si>
    <t>Tendean</t>
  </si>
  <si>
    <t>Jl. Sumbing 12</t>
  </si>
  <si>
    <t>L-0862</t>
  </si>
  <si>
    <t>Lila</t>
  </si>
  <si>
    <t>L-603</t>
  </si>
  <si>
    <t>Kumari</t>
  </si>
  <si>
    <t xml:space="preserve">Jl.Danau agung 5 blok E No.12
Sunter, Jakut,14350</t>
  </si>
  <si>
    <t>L-1532</t>
  </si>
  <si>
    <t>Roosmalia</t>
  </si>
  <si>
    <t>L-1547</t>
  </si>
  <si>
    <t>Lilah</t>
  </si>
  <si>
    <t>L-0874</t>
  </si>
  <si>
    <t>Lilanah</t>
  </si>
  <si>
    <t>L-701</t>
  </si>
  <si>
    <t>L-1509</t>
  </si>
  <si>
    <t>L-0988</t>
  </si>
  <si>
    <t>6287881737857</t>
  </si>
  <si>
    <t>L-648</t>
  </si>
  <si>
    <t>Bandiwijaya</t>
  </si>
  <si>
    <t>L-1327</t>
  </si>
  <si>
    <t>Jl. Tulodong Bawah no.21  jakarta selatan 12190</t>
  </si>
  <si>
    <t>L-1246</t>
  </si>
  <si>
    <t>L-1810</t>
  </si>
  <si>
    <t>Herlina Tjong</t>
  </si>
  <si>
    <t>6281380789969</t>
  </si>
  <si>
    <t>L-563</t>
  </si>
  <si>
    <t>L-074</t>
  </si>
  <si>
    <t>Sunawati</t>
  </si>
  <si>
    <t>L-1362</t>
  </si>
  <si>
    <t>L-283</t>
  </si>
  <si>
    <t>Tabrani</t>
  </si>
  <si>
    <t>L-0818</t>
  </si>
  <si>
    <t>Totong</t>
  </si>
  <si>
    <t>L-1476</t>
  </si>
  <si>
    <t>Wijata</t>
  </si>
  <si>
    <t>6281510162819</t>
  </si>
  <si>
    <t>Kelapa gading</t>
  </si>
  <si>
    <t>L-076</t>
  </si>
  <si>
    <t>Yuliawati</t>
  </si>
  <si>
    <t>L-795</t>
  </si>
  <si>
    <t>L-1783</t>
  </si>
  <si>
    <t>Lilia</t>
  </si>
  <si>
    <t>Imawati</t>
  </si>
  <si>
    <t>+6281333400472</t>
  </si>
  <si>
    <t>L-1493</t>
  </si>
  <si>
    <t>Rugaya</t>
  </si>
  <si>
    <t>L-549</t>
  </si>
  <si>
    <t>Lilian</t>
  </si>
  <si>
    <t>Festina</t>
  </si>
  <si>
    <t>L-069</t>
  </si>
  <si>
    <t>Liliana</t>
  </si>
  <si>
    <t>L-564</t>
  </si>
  <si>
    <t>L-1580</t>
  </si>
  <si>
    <t xml:space="preserve">The Green, Vineyard DB2/5
BSD</t>
  </si>
  <si>
    <t>Tangsel</t>
  </si>
  <si>
    <t>L-627</t>
  </si>
  <si>
    <t>Adinata</t>
  </si>
  <si>
    <t>L-1450</t>
  </si>
  <si>
    <t>L-710</t>
  </si>
  <si>
    <t>Liliany</t>
  </si>
  <si>
    <t>L-1591</t>
  </si>
  <si>
    <t>Lilie</t>
  </si>
  <si>
    <t>L-1489</t>
  </si>
  <si>
    <t>uliee_pie2@yahoo.com</t>
  </si>
  <si>
    <t>L-1609</t>
  </si>
  <si>
    <t>Liliek</t>
  </si>
  <si>
    <t>Yudhantoro</t>
  </si>
  <si>
    <t>L-071</t>
  </si>
  <si>
    <t>Lilijanti</t>
  </si>
  <si>
    <t>Tjia Trisno</t>
  </si>
  <si>
    <t>lilijanti58@ymail.com / tonytrisno_sk@yahoo.com</t>
  </si>
  <si>
    <t>+6282119919595</t>
  </si>
  <si>
    <t xml:space="preserve">Pakubuwono Residence
Cottonwood 27E - Kebayoran Baru
Jakarta Selatan</t>
  </si>
  <si>
    <t>L-1059</t>
  </si>
  <si>
    <t>L-1323</t>
  </si>
  <si>
    <t>Agustini</t>
  </si>
  <si>
    <t>L-584</t>
  </si>
  <si>
    <t>L-1611</t>
  </si>
  <si>
    <t>Pucang Adi 19, Surabaya</t>
  </si>
  <si>
    <t>L-752</t>
  </si>
  <si>
    <t>L-761</t>
  </si>
  <si>
    <t>Apartmnt Rasuna Komplek Bakrie Lt.1406c</t>
  </si>
  <si>
    <t>L-1324</t>
  </si>
  <si>
    <t>Lilis</t>
  </si>
  <si>
    <t>L-0832</t>
  </si>
  <si>
    <t>priscillalilis@gmail.com</t>
  </si>
  <si>
    <t>Apt. Gading Mediterania Residence CB/05A/PR</t>
  </si>
  <si>
    <t>L-0870</t>
  </si>
  <si>
    <t>Kholisoh</t>
  </si>
  <si>
    <t>Jalan Bango No. 15A</t>
  </si>
  <si>
    <t>L-802</t>
  </si>
  <si>
    <t>lilisnuryanifuad@gmail.com</t>
  </si>
  <si>
    <t>Jl.Kartini No.41 Gombong - Kebumen</t>
  </si>
  <si>
    <t>L-259</t>
  </si>
  <si>
    <t>L-1724</t>
  </si>
  <si>
    <t>Yuliandini</t>
  </si>
  <si>
    <t>lilisyuliandini@yahoo.com</t>
  </si>
  <si>
    <t>6281314875999</t>
  </si>
  <si>
    <t>L-1348</t>
  </si>
  <si>
    <t>Lilit</t>
  </si>
  <si>
    <t>+62811882304</t>
  </si>
  <si>
    <t xml:space="preserve"> Jl. Kemang V B No.30 
Kel. Bangka Jakarta Selatan 12730</t>
  </si>
  <si>
    <t>L-575</t>
  </si>
  <si>
    <t>Lilla</t>
  </si>
  <si>
    <t>L-077</t>
  </si>
  <si>
    <t>Zuhara</t>
  </si>
  <si>
    <t>Jl. Bendi Raya 29</t>
  </si>
  <si>
    <t>L-0898</t>
  </si>
  <si>
    <t>L-0836</t>
  </si>
  <si>
    <t>L-1220</t>
  </si>
  <si>
    <t>L-266</t>
  </si>
  <si>
    <t>L-078</t>
  </si>
  <si>
    <t>Komp. Kedoya Elok Plaza</t>
  </si>
  <si>
    <t>L-348</t>
  </si>
  <si>
    <t>L-1507</t>
  </si>
  <si>
    <t>L-276</t>
  </si>
  <si>
    <t>L-1500</t>
  </si>
  <si>
    <t>Kembang Ayu VE6 / 9</t>
  </si>
  <si>
    <t>L-1575</t>
  </si>
  <si>
    <t>ANG</t>
  </si>
  <si>
    <t>lily.kurniawan@gmail.com</t>
  </si>
  <si>
    <t>+62811179292</t>
  </si>
  <si>
    <t>Apartemen Verde #1812</t>
  </si>
  <si>
    <t>L-320</t>
  </si>
  <si>
    <t>L-1177</t>
  </si>
  <si>
    <t>L-1017</t>
  </si>
  <si>
    <t>L-0875</t>
  </si>
  <si>
    <t>L-1511</t>
  </si>
  <si>
    <t>L-082</t>
  </si>
  <si>
    <t>Jl. Nirwana Sunter Asri</t>
  </si>
  <si>
    <t>Paradise Tahap III Blok D No. 26</t>
  </si>
  <si>
    <t>L-770</t>
  </si>
  <si>
    <t>valincia.;iu@gmail.com</t>
  </si>
  <si>
    <t>Jelambar batu 4 no 24 ,PIK camar elok 5 no 20</t>
  </si>
  <si>
    <t>L-356</t>
  </si>
  <si>
    <t xml:space="preserve">Apt.Ascott Lt1524
Jl. Kebon Kacang Raya</t>
  </si>
  <si>
    <t>L-1438</t>
  </si>
  <si>
    <t>L-1541</t>
  </si>
  <si>
    <t>M-1165</t>
  </si>
  <si>
    <t>628568700722</t>
  </si>
  <si>
    <t>L-740</t>
  </si>
  <si>
    <t>Lydiawati</t>
  </si>
  <si>
    <t>Jalan Biak 38 JakPus</t>
  </si>
  <si>
    <t>L-778</t>
  </si>
  <si>
    <t>L-083</t>
  </si>
  <si>
    <t>Jl. Perikani 8</t>
  </si>
  <si>
    <t>Rawamangun</t>
  </si>
  <si>
    <t>L-0991</t>
  </si>
  <si>
    <t>Mashainy</t>
  </si>
  <si>
    <t>The Gading Residence, Jl. Pelangi Hijau I Blok B2B/12</t>
  </si>
  <si>
    <t>L-789</t>
  </si>
  <si>
    <t>Pranoto</t>
  </si>
  <si>
    <t>L-1571</t>
  </si>
  <si>
    <t>Puspasari</t>
  </si>
  <si>
    <t>lilypuspasari74@yahoo.co.id</t>
  </si>
  <si>
    <t>Batununggal A.I No.27 Bandung</t>
  </si>
  <si>
    <t>L-571</t>
  </si>
  <si>
    <t>Roesma</t>
  </si>
  <si>
    <t>L-1446</t>
  </si>
  <si>
    <t>Runtuene</t>
  </si>
  <si>
    <t>+6281348190200</t>
  </si>
  <si>
    <t>L-547</t>
  </si>
  <si>
    <t>Herjati</t>
  </si>
  <si>
    <t>L-1647</t>
  </si>
  <si>
    <t>lilysalim2016@gmail.com</t>
  </si>
  <si>
    <t>Jl. Praja F7, Jaksel</t>
  </si>
  <si>
    <t>L-1562</t>
  </si>
  <si>
    <t>L-1161</t>
  </si>
  <si>
    <t>Sudhartio</t>
  </si>
  <si>
    <t>L-1373</t>
  </si>
  <si>
    <t>Suriani</t>
  </si>
  <si>
    <t>L-0976</t>
  </si>
  <si>
    <t>L-1052</t>
  </si>
  <si>
    <t>Jl Permata INtan Blok R No.10</t>
  </si>
  <si>
    <t>L-1252</t>
  </si>
  <si>
    <t>62816971237</t>
  </si>
  <si>
    <t xml:space="preserve">Jl. Danau Asri Selatan D6/3
Jakarta 14350</t>
  </si>
  <si>
    <t>L-086</t>
  </si>
  <si>
    <t xml:space="preserve">Jl. Sukowati No. 35
Salatiga</t>
  </si>
  <si>
    <t>L-1339</t>
  </si>
  <si>
    <t>M-1311</t>
  </si>
  <si>
    <t>L-560</t>
  </si>
  <si>
    <t>L-1370</t>
  </si>
  <si>
    <t>Lilyana</t>
  </si>
  <si>
    <t>L-684</t>
  </si>
  <si>
    <t>L-1084</t>
  </si>
  <si>
    <t>Lilys</t>
  </si>
  <si>
    <t>L-581</t>
  </si>
  <si>
    <t>L-567</t>
  </si>
  <si>
    <t>lianha@yahoo.co.id</t>
  </si>
  <si>
    <t xml:space="preserve">Jl.Karyawan no.38 sukasari RT 05/01
Tangerang - Banten</t>
  </si>
  <si>
    <t>L-1436</t>
  </si>
  <si>
    <t>Phin</t>
  </si>
  <si>
    <t>Komplek Taman Sakura , Jalan Palem 15</t>
  </si>
  <si>
    <t>L-1447</t>
  </si>
  <si>
    <t>Ping</t>
  </si>
  <si>
    <t>N-0668</t>
  </si>
  <si>
    <t>Choon Han</t>
  </si>
  <si>
    <t>+6281585001888</t>
  </si>
  <si>
    <t>L-588</t>
  </si>
  <si>
    <t>L-1505</t>
  </si>
  <si>
    <t>Sien</t>
  </si>
  <si>
    <t xml:space="preserve">The Springs Goldfinch Selatan No.3 
Serpong Tangerang</t>
  </si>
  <si>
    <t>L-583</t>
  </si>
  <si>
    <t>salim</t>
  </si>
  <si>
    <t>L-1474</t>
  </si>
  <si>
    <t>L-0922</t>
  </si>
  <si>
    <t>oceanping@gmail.com</t>
  </si>
  <si>
    <t xml:space="preserve">Perumahan Citra 6 
Cluster Green Papyrus Blok G 12 No.29</t>
  </si>
  <si>
    <t>Kalideres</t>
  </si>
  <si>
    <t>L-1404</t>
  </si>
  <si>
    <t>Capital Residence SCBD Jakarta</t>
  </si>
  <si>
    <t>L-090</t>
  </si>
  <si>
    <t>L-555</t>
  </si>
  <si>
    <t>L-1728</t>
  </si>
  <si>
    <t>Sojung</t>
  </si>
  <si>
    <t>sojung009@gmail.com</t>
  </si>
  <si>
    <t>821091960738</t>
  </si>
  <si>
    <t>M34257292</t>
  </si>
  <si>
    <t>L-1317</t>
  </si>
  <si>
    <t>L-1603</t>
  </si>
  <si>
    <t>Cuan</t>
  </si>
  <si>
    <t>L-285</t>
  </si>
  <si>
    <t>Tjhing</t>
  </si>
  <si>
    <t>D-1353</t>
  </si>
  <si>
    <t>Lim Wei Chong</t>
  </si>
  <si>
    <t>darrenlim09@gmail.com</t>
  </si>
  <si>
    <t>6598698989</t>
  </si>
  <si>
    <t>L-1627</t>
  </si>
  <si>
    <t>Boon</t>
  </si>
  <si>
    <t>L-1350</t>
  </si>
  <si>
    <t>L-1326</t>
  </si>
  <si>
    <t>LIMBANGUN</t>
  </si>
  <si>
    <t>JAYA</t>
  </si>
  <si>
    <t>L-1826</t>
  </si>
  <si>
    <t>Limei</t>
  </si>
  <si>
    <t>8618626255414</t>
  </si>
  <si>
    <t>L-1448</t>
  </si>
  <si>
    <t>+6281290801160</t>
  </si>
  <si>
    <t>L-1633</t>
  </si>
  <si>
    <t>L-1231</t>
  </si>
  <si>
    <t>Jiqun</t>
  </si>
  <si>
    <t>L-1401</t>
  </si>
  <si>
    <t>L-1608</t>
  </si>
  <si>
    <t>Yanhui</t>
  </si>
  <si>
    <t>+628118199688</t>
  </si>
  <si>
    <t>Kelapa gading, Jakarta Utara</t>
  </si>
  <si>
    <t>L-1754</t>
  </si>
  <si>
    <t>8618606718292</t>
  </si>
  <si>
    <t>L-1687</t>
  </si>
  <si>
    <t>Peinan</t>
  </si>
  <si>
    <t>ahu66666698@icloud.com</t>
  </si>
  <si>
    <t>+855883273063</t>
  </si>
  <si>
    <t>L-1682</t>
  </si>
  <si>
    <t>L-1314</t>
  </si>
  <si>
    <t>LIN</t>
  </si>
  <si>
    <t>SHIMENG</t>
  </si>
  <si>
    <t>elilamita@outlook.com</t>
  </si>
  <si>
    <t>Hotel Aston .Jakarta</t>
  </si>
  <si>
    <t>L-0926</t>
  </si>
  <si>
    <t>6282221857777</t>
  </si>
  <si>
    <t>L-1537</t>
  </si>
  <si>
    <t>L-106</t>
  </si>
  <si>
    <t>L-1539</t>
  </si>
  <si>
    <t>L-1303</t>
  </si>
  <si>
    <t>L-1573</t>
  </si>
  <si>
    <t>Yaxuan</t>
  </si>
  <si>
    <t>L-1022</t>
  </si>
  <si>
    <t>Zang</t>
  </si>
  <si>
    <t>L-0886</t>
  </si>
  <si>
    <t>Zhen</t>
  </si>
  <si>
    <t>6282110657188</t>
  </si>
  <si>
    <t>Jl.karang bolong raya 12/15</t>
  </si>
  <si>
    <t>L-1614</t>
  </si>
  <si>
    <t>Zhihao</t>
  </si>
  <si>
    <t>L-1806</t>
  </si>
  <si>
    <t>Lin,</t>
  </si>
  <si>
    <t>linjiektc@126.com</t>
  </si>
  <si>
    <t>8615901773631</t>
  </si>
  <si>
    <t>L-754</t>
  </si>
  <si>
    <t>L-736</t>
  </si>
  <si>
    <t>L-267</t>
  </si>
  <si>
    <t>L-1582</t>
  </si>
  <si>
    <t>L-1389</t>
  </si>
  <si>
    <t>L-1411</t>
  </si>
  <si>
    <t>L-626</t>
  </si>
  <si>
    <t>M-1590</t>
  </si>
  <si>
    <t>L-092</t>
  </si>
  <si>
    <t xml:space="preserve">Jl. Simpruk Golf
Jakarta Selatan</t>
  </si>
  <si>
    <t>L-316</t>
  </si>
  <si>
    <t>anwar</t>
  </si>
  <si>
    <t>L-0866</t>
  </si>
  <si>
    <t>L-294</t>
  </si>
  <si>
    <t>Burhanuddin</t>
  </si>
  <si>
    <t>Legenda Wisata Washington Boulevard D - 1907</t>
  </si>
  <si>
    <t>L-1498</t>
  </si>
  <si>
    <t>L-816</t>
  </si>
  <si>
    <t xml:space="preserve">Jl.Dharmais No.13 
BD 06/10/1977</t>
  </si>
  <si>
    <t>L-1210</t>
  </si>
  <si>
    <t>L-1630</t>
  </si>
  <si>
    <t>Djafar</t>
  </si>
  <si>
    <t>L-1330</t>
  </si>
  <si>
    <t>Djunus</t>
  </si>
  <si>
    <t>L-636</t>
  </si>
  <si>
    <t>L-279</t>
  </si>
  <si>
    <t>Hartaja</t>
  </si>
  <si>
    <t>L-1594</t>
  </si>
  <si>
    <t>L-663</t>
  </si>
  <si>
    <t>Rina</t>
  </si>
  <si>
    <t>6281380249218</t>
  </si>
  <si>
    <t>E-0773</t>
  </si>
  <si>
    <t xml:space="preserve">Komplek Permata Puri I
jl. Nilam IV blok G 1/4
Radar Auri</t>
  </si>
  <si>
    <t>L-093</t>
  </si>
  <si>
    <t>Muara Karang Utara</t>
  </si>
  <si>
    <t>L-1209</t>
  </si>
  <si>
    <t>Janti Wong</t>
  </si>
  <si>
    <t>+628161970861</t>
  </si>
  <si>
    <t>Jl. Benyamin Suaeb, Perumahaan Spring Hill, Golf View C16. Kemayoran. (masuk dari club house)</t>
  </si>
  <si>
    <t>L-735</t>
  </si>
  <si>
    <t>lina.juwita8@gmail.com</t>
  </si>
  <si>
    <t xml:space="preserve">Jl Janur Hijau 1,Blok AF 15 No3,
Gading Serpong, Tanggerang</t>
  </si>
  <si>
    <t>L-1672</t>
  </si>
  <si>
    <t>lkaharudin@yahoo.com</t>
  </si>
  <si>
    <t>L-702</t>
  </si>
  <si>
    <t>lina.k130762@yahoo.com</t>
  </si>
  <si>
    <t>+628161889413</t>
  </si>
  <si>
    <t>L-0953</t>
  </si>
  <si>
    <t>0819705888</t>
  </si>
  <si>
    <t>L-1184</t>
  </si>
  <si>
    <t>Kromoto</t>
  </si>
  <si>
    <t>62811107409</t>
  </si>
  <si>
    <t xml:space="preserve">Fontainebleau Golf Resident A/60A 
JL. Sutan Syahrir /50 Lippo Village Karawaci</t>
  </si>
  <si>
    <t>L-1775</t>
  </si>
  <si>
    <t>Kusyanto</t>
  </si>
  <si>
    <t>linakusyanto7@gmail.com</t>
  </si>
  <si>
    <t>62811263673</t>
  </si>
  <si>
    <t>Jl. Kartanegara 43</t>
  </si>
  <si>
    <t>L-1546</t>
  </si>
  <si>
    <t>L-1435</t>
  </si>
  <si>
    <t>Liandi</t>
  </si>
  <si>
    <t>L-1545</t>
  </si>
  <si>
    <t>nkn.nilam@gmail.com</t>
  </si>
  <si>
    <t>6281386492727</t>
  </si>
  <si>
    <t>L-601</t>
  </si>
  <si>
    <t xml:space="preserve">Perum Citra 2 ext Blok BK5 No.5
Kali Deres
11830</t>
  </si>
  <si>
    <t>L-1553</t>
  </si>
  <si>
    <t>6282297024426</t>
  </si>
  <si>
    <t xml:space="preserve">PERUMAHAN BANJAR WIJAYA CLUSTER KRISAN B73/17
TANGERANG</t>
  </si>
  <si>
    <t>L-1051</t>
  </si>
  <si>
    <t>Lindy</t>
  </si>
  <si>
    <t>L-317</t>
  </si>
  <si>
    <t>L-719</t>
  </si>
  <si>
    <t>Ngasiman</t>
  </si>
  <si>
    <t>linasetiawan23@gmail.com</t>
  </si>
  <si>
    <t>62816839050</t>
  </si>
  <si>
    <t>Jl Camar Permai 5 No.5 Pantai Indah Kapuk.</t>
  </si>
  <si>
    <t>L-1634</t>
  </si>
  <si>
    <t>Prisilla</t>
  </si>
  <si>
    <t>62811108807</t>
  </si>
  <si>
    <t>Surya Mandala blok III S No.10, Sunrise Garden, Jakarta Barat</t>
  </si>
  <si>
    <t>L-1536</t>
  </si>
  <si>
    <t>6281343581143</t>
  </si>
  <si>
    <t>Gorontalo</t>
  </si>
  <si>
    <t>L-1776</t>
  </si>
  <si>
    <t>Rustini</t>
  </si>
  <si>
    <t>+62811811859</t>
  </si>
  <si>
    <t>L-1009</t>
  </si>
  <si>
    <t xml:space="preserve">BRI Divisi Agribisnis Gedung BRI lantai 11
jl.Sudirman 44-46 jakarta pusat
depan kampus atmajaya</t>
  </si>
  <si>
    <t>L-1803</t>
  </si>
  <si>
    <t>lina_susanto@yahoo.co.id</t>
  </si>
  <si>
    <t>628176006060</t>
  </si>
  <si>
    <t>L-1332</t>
  </si>
  <si>
    <t xml:space="preserve">Perum Taman Palagan Asri I No.22 
Jl Palagan Tentara Pelajar KM 7.8 Sariharjo, Ngaglik  
Sleman - Yogyakarta 55581</t>
  </si>
  <si>
    <t>L-260</t>
  </si>
  <si>
    <t>Suti</t>
  </si>
  <si>
    <t xml:space="preserve">Taman Harapan Indah
Blok EE/4</t>
  </si>
  <si>
    <t>L-301</t>
  </si>
  <si>
    <t>Tandri</t>
  </si>
  <si>
    <t xml:space="preserve">Jl.K.Z Abidin No.24
Bengkulu</t>
  </si>
  <si>
    <t>L-291</t>
  </si>
  <si>
    <t>Carlista</t>
  </si>
  <si>
    <t>6281388881819</t>
  </si>
  <si>
    <t>L-1530</t>
  </si>
  <si>
    <t>628161807002</t>
  </si>
  <si>
    <t>L-0900</t>
  </si>
  <si>
    <t>LIna</t>
  </si>
  <si>
    <t>yuliana</t>
  </si>
  <si>
    <t>L-295</t>
  </si>
  <si>
    <t>Linah</t>
  </si>
  <si>
    <t>62816975149</t>
  </si>
  <si>
    <t>L-1644</t>
  </si>
  <si>
    <t>Linawati</t>
  </si>
  <si>
    <t>Citra Indah City Blok AQ 9/9</t>
  </si>
  <si>
    <t>L-308</t>
  </si>
  <si>
    <t>L-1481</t>
  </si>
  <si>
    <t>L-612</t>
  </si>
  <si>
    <t>Low</t>
  </si>
  <si>
    <t>628161928880</t>
  </si>
  <si>
    <t xml:space="preserve">Taman Sari VI No.16, Taman Sari, Jakarta Barat 11150
</t>
  </si>
  <si>
    <t>L-1475</t>
  </si>
  <si>
    <t>lina_tjen88@yahoo.com</t>
  </si>
  <si>
    <t>Apt.MGR 2 Tower Edelweis 11470</t>
  </si>
  <si>
    <t>L-1460</t>
  </si>
  <si>
    <t>Lince</t>
  </si>
  <si>
    <t>linceperwati@gmail.com</t>
  </si>
  <si>
    <t>628129980888</t>
  </si>
  <si>
    <t>L-302</t>
  </si>
  <si>
    <t>Selopranoto</t>
  </si>
  <si>
    <t xml:space="preserve">Jl. Terusan Hang Lekir IV No 33A
Jakarta 12220</t>
  </si>
  <si>
    <t>L-094</t>
  </si>
  <si>
    <t>8th Fl. Graha Aktiva</t>
  </si>
  <si>
    <t>Jl. HR. Rasuna Said Blok X-1 Kav. 3</t>
  </si>
  <si>
    <t>L-1396</t>
  </si>
  <si>
    <t>L-102</t>
  </si>
  <si>
    <t>L-1216</t>
  </si>
  <si>
    <t>62819696533</t>
  </si>
  <si>
    <t>L-323</t>
  </si>
  <si>
    <t>Abas</t>
  </si>
  <si>
    <t>L-1417</t>
  </si>
  <si>
    <t>Husada</t>
  </si>
  <si>
    <t>L-1734</t>
  </si>
  <si>
    <t>Anugerah</t>
  </si>
  <si>
    <t>62811386175</t>
  </si>
  <si>
    <t>L-1748</t>
  </si>
  <si>
    <t>lindabinsar03@gmail.com</t>
  </si>
  <si>
    <t>62811888813</t>
  </si>
  <si>
    <t>JL. Phinisi Permai 6 No 25 , PIK, Jakarta Utara 14460</t>
  </si>
  <si>
    <t>L-1408</t>
  </si>
  <si>
    <t>Boenjamin</t>
  </si>
  <si>
    <t>lindaboenjamin@gmail.com</t>
  </si>
  <si>
    <t>L-1069</t>
  </si>
  <si>
    <t>Budiputra</t>
  </si>
  <si>
    <t>Apt GRaha Cempaka Mas E2#150</t>
  </si>
  <si>
    <t>L-0952</t>
  </si>
  <si>
    <t>linda.christina123@gmail.com</t>
  </si>
  <si>
    <t>62811108811</t>
  </si>
  <si>
    <t>L-1496</t>
  </si>
  <si>
    <t>lindawatychuang@yahoo.com</t>
  </si>
  <si>
    <t>Jalan Adi SuciptoKomp Polonia River View Block C23 Medan 20217</t>
  </si>
  <si>
    <t>L-688</t>
  </si>
  <si>
    <t>Dhungga</t>
  </si>
  <si>
    <t>L-1761</t>
  </si>
  <si>
    <t>Dot</t>
  </si>
  <si>
    <t>628119295235</t>
  </si>
  <si>
    <t>Mentari Utama 1 Alam Sutra</t>
  </si>
  <si>
    <t>L-339</t>
  </si>
  <si>
    <t>L-1602</t>
  </si>
  <si>
    <t>L-0876</t>
  </si>
  <si>
    <t>Gadang</t>
  </si>
  <si>
    <t>jl.kenanga timur komp.japco no.2a</t>
  </si>
  <si>
    <t>L-258</t>
  </si>
  <si>
    <t>greensgabe116@yahoo.com</t>
  </si>
  <si>
    <t>+62816600363</t>
  </si>
  <si>
    <t>L-1519</t>
  </si>
  <si>
    <t>L-711</t>
  </si>
  <si>
    <t>L-1468</t>
  </si>
  <si>
    <t>L-338</t>
  </si>
  <si>
    <t>Herlinda</t>
  </si>
  <si>
    <t>L-744</t>
  </si>
  <si>
    <t>628122013138</t>
  </si>
  <si>
    <t>Jl. Setra Duta Hegar i4 No. 20 - 21</t>
  </si>
  <si>
    <t>L-100</t>
  </si>
  <si>
    <t>L-1462</t>
  </si>
  <si>
    <t>L-1699</t>
  </si>
  <si>
    <t>+6282111131388</t>
  </si>
  <si>
    <t>Apartemen Regatta Phase 2 Tower New York Unit 10-H, Jakarta Utara 14450</t>
  </si>
  <si>
    <t>L-1377</t>
  </si>
  <si>
    <t>62811148563</t>
  </si>
  <si>
    <t>L-289</t>
  </si>
  <si>
    <t>L-101</t>
  </si>
  <si>
    <t>Mahyuddin</t>
  </si>
  <si>
    <t>Jl cempaka Putih Raya C22</t>
  </si>
  <si>
    <t>L-1564</t>
  </si>
  <si>
    <t>L-0834</t>
  </si>
  <si>
    <t>Meinardy</t>
  </si>
  <si>
    <t>linda.meinardy@yahoo.com</t>
  </si>
  <si>
    <t>Jl. Kebagusan 4 dalam 51</t>
  </si>
  <si>
    <t>L-097</t>
  </si>
  <si>
    <t>L-1359</t>
  </si>
  <si>
    <t>Muliawaty</t>
  </si>
  <si>
    <t>L-0994</t>
  </si>
  <si>
    <t>Panheti</t>
  </si>
  <si>
    <t xml:space="preserve">Jl Melati No 38
Ampera Raya - Jakarta Selatan</t>
  </si>
  <si>
    <t>L-637</t>
  </si>
  <si>
    <t>Rachel</t>
  </si>
  <si>
    <t>L-1588</t>
  </si>
  <si>
    <t>L-1355</t>
  </si>
  <si>
    <t>Robby</t>
  </si>
  <si>
    <t>L-1723</t>
  </si>
  <si>
    <t>Septy</t>
  </si>
  <si>
    <t>sinarintanmotor@gmail.com</t>
  </si>
  <si>
    <t>+6282135585026</t>
  </si>
  <si>
    <t>Komp.Pangeran Antasari no.1</t>
  </si>
  <si>
    <t>L-1820</t>
  </si>
  <si>
    <t>Siling</t>
  </si>
  <si>
    <t>Linda.siling08@gmail.com</t>
  </si>
  <si>
    <t>62817888895</t>
  </si>
  <si>
    <t>Indonesia - Jakarta</t>
  </si>
  <si>
    <t>L-665</t>
  </si>
  <si>
    <t>Simorangkir</t>
  </si>
  <si>
    <t>L-682</t>
  </si>
  <si>
    <t>L-1525</t>
  </si>
  <si>
    <t>L-1094</t>
  </si>
  <si>
    <t>Suciaty</t>
  </si>
  <si>
    <t>sucilind@gmail.com</t>
  </si>
  <si>
    <t>L-1494</t>
  </si>
  <si>
    <t>+19492909994</t>
  </si>
  <si>
    <t>L-1451</t>
  </si>
  <si>
    <t>Sutedja</t>
  </si>
  <si>
    <t>L-1393</t>
  </si>
  <si>
    <t>Paruntu</t>
  </si>
  <si>
    <t>L-1156</t>
  </si>
  <si>
    <t>L-1727</t>
  </si>
  <si>
    <t>Wirawansa</t>
  </si>
  <si>
    <t>62818962177</t>
  </si>
  <si>
    <t>L-771</t>
  </si>
  <si>
    <t>Witarsa</t>
  </si>
  <si>
    <t>6287780135786</t>
  </si>
  <si>
    <t>L-1645</t>
  </si>
  <si>
    <t>Worang</t>
  </si>
  <si>
    <t>Jl. Pluit Karang Ayu 2 blok E1 Selatan No.100</t>
  </si>
  <si>
    <t>L-1706</t>
  </si>
  <si>
    <t>ailinoktalivia29@gmail.com</t>
  </si>
  <si>
    <t>+628111168199</t>
  </si>
  <si>
    <t>Jln. Tulip II No.12</t>
  </si>
  <si>
    <t>L-287</t>
  </si>
  <si>
    <t>Lindawati</t>
  </si>
  <si>
    <t>Jl. Nila Rahayu 3</t>
  </si>
  <si>
    <t>L-1097</t>
  </si>
  <si>
    <t>Gondowardojo Oen</t>
  </si>
  <si>
    <t>+628129055529</t>
  </si>
  <si>
    <t xml:space="preserve">Jl. Sriwijaya Raya No.31 Kebayoran Baru ,
Jakarta Selatan,12110</t>
  </si>
  <si>
    <t>L-1531</t>
  </si>
  <si>
    <t>Lindra</t>
  </si>
  <si>
    <t>raffles garden tb3/47</t>
  </si>
  <si>
    <t>L-1558</t>
  </si>
  <si>
    <t>Lindsey</t>
  </si>
  <si>
    <t>Bradley</t>
  </si>
  <si>
    <t>L-1464</t>
  </si>
  <si>
    <t>62811889001</t>
  </si>
  <si>
    <t>L-1499</t>
  </si>
  <si>
    <t>6281221009888</t>
  </si>
  <si>
    <t xml:space="preserve">JL. sasana Budaaya blok i no.9
45131</t>
  </si>
  <si>
    <t>L-1743</t>
  </si>
  <si>
    <t>Ling,</t>
  </si>
  <si>
    <t>lj1886614@hotmail.com</t>
  </si>
  <si>
    <t>85253435999</t>
  </si>
  <si>
    <t>L-1766</t>
  </si>
  <si>
    <t>Suri</t>
  </si>
  <si>
    <t>62816935553</t>
  </si>
  <si>
    <t>L-1821</t>
  </si>
  <si>
    <t>Lingyan</t>
  </si>
  <si>
    <t>HU</t>
  </si>
  <si>
    <t>8615988577688</t>
  </si>
  <si>
    <t>L-0914</t>
  </si>
  <si>
    <t>Linhui</t>
  </si>
  <si>
    <t>L-1497</t>
  </si>
  <si>
    <t>Lini</t>
  </si>
  <si>
    <t>Jln.Pancur Batu No.5 20234 - Medan</t>
  </si>
  <si>
    <t>H-1291</t>
  </si>
  <si>
    <t>Huayou International</t>
  </si>
  <si>
    <t>Mining (LTG)</t>
  </si>
  <si>
    <t>081319056032</t>
  </si>
  <si>
    <t>L-623</t>
  </si>
  <si>
    <t>Linna</t>
  </si>
  <si>
    <t>L-613</t>
  </si>
  <si>
    <t>Lintang</t>
  </si>
  <si>
    <t>L-1587</t>
  </si>
  <si>
    <t>Tunjungjati</t>
  </si>
  <si>
    <t>lintang_tunjungjati@yahoo.com</t>
  </si>
  <si>
    <t>62811151943</t>
  </si>
  <si>
    <t>JL. ARCO RAYA NO.56 , CIPETE - JAK SEL</t>
  </si>
  <si>
    <t>L-0869</t>
  </si>
  <si>
    <t>Linus</t>
  </si>
  <si>
    <t>Cahuday</t>
  </si>
  <si>
    <t>L-1657</t>
  </si>
  <si>
    <t>Sunter Hijau 7 Blok Ii4 no.14</t>
  </si>
  <si>
    <t>L-1765</t>
  </si>
  <si>
    <t>Medy</t>
  </si>
  <si>
    <t>medy.liong@uni.sydney.edu.au</t>
  </si>
  <si>
    <t>L-270</t>
  </si>
  <si>
    <t>S-1936</t>
  </si>
  <si>
    <t>Song</t>
  </si>
  <si>
    <t>707088386@qq.com</t>
  </si>
  <si>
    <t>628119187857</t>
  </si>
  <si>
    <t>L-107</t>
  </si>
  <si>
    <t>Lionto</t>
  </si>
  <si>
    <t>L-1379</t>
  </si>
  <si>
    <t>Lip</t>
  </si>
  <si>
    <t>L-1551</t>
  </si>
  <si>
    <t>Lippiatt</t>
  </si>
  <si>
    <t>L-680</t>
  </si>
  <si>
    <t>Liqing</t>
  </si>
  <si>
    <t>L-1453</t>
  </si>
  <si>
    <t>Lira</t>
  </si>
  <si>
    <t>L-0935</t>
  </si>
  <si>
    <t>Lirissa</t>
  </si>
  <si>
    <t>L-1454</t>
  </si>
  <si>
    <t>Lis</t>
  </si>
  <si>
    <t xml:space="preserve">CITRA GARDEN 2 BLOK B7 NO.15
JAKARTA BARAT -</t>
  </si>
  <si>
    <t>L-1698</t>
  </si>
  <si>
    <t>6281235433543</t>
  </si>
  <si>
    <t xml:space="preserve">Sakura Regency Blok AA-14 
Ketintany Baru Selatan 60231</t>
  </si>
  <si>
    <t>L-750</t>
  </si>
  <si>
    <t>Lisa</t>
  </si>
  <si>
    <t>L-1804</t>
  </si>
  <si>
    <t>lisaangelina1988@gmail.com</t>
  </si>
  <si>
    <t>6282298222332</t>
  </si>
  <si>
    <t>Ascott Residence 1324 Jakarta - Pusat</t>
  </si>
  <si>
    <t>L-644</t>
  </si>
  <si>
    <t>lisasugiarto@yahoo.com</t>
  </si>
  <si>
    <t>L-1423</t>
  </si>
  <si>
    <t>6281311178080</t>
  </si>
  <si>
    <t xml:space="preserve">Kondominium Taman Anggrek Tower7/41H
Jkt11470</t>
  </si>
  <si>
    <t>L-797</t>
  </si>
  <si>
    <t xml:space="preserve">Jl. Puri Jimbaran Indah 1 Blok E6/F8
Ancol Timur Jimbaran Residence Pasir Putih Raya</t>
  </si>
  <si>
    <t>L-729</t>
  </si>
  <si>
    <t>Dwijayanti</t>
  </si>
  <si>
    <t>L-1258</t>
  </si>
  <si>
    <t>THI A/19A Jelambar</t>
  </si>
  <si>
    <t>Jakrta Barat</t>
  </si>
  <si>
    <t>L-108</t>
  </si>
  <si>
    <t>Honoris</t>
  </si>
  <si>
    <t>Bukit Hijau VII Kav 26 Pondok Indah</t>
  </si>
  <si>
    <t>L-1763</t>
  </si>
  <si>
    <t>Imrani</t>
  </si>
  <si>
    <t>leeysa8@gmail.com</t>
  </si>
  <si>
    <t>6281224799623</t>
  </si>
  <si>
    <t>The Castilla</t>
  </si>
  <si>
    <t>L-1829</t>
  </si>
  <si>
    <t>Lisa Juliawati</t>
  </si>
  <si>
    <t>lisa3770@ymail.com</t>
  </si>
  <si>
    <t>6282168307307</t>
  </si>
  <si>
    <t>Kuta Indah 12</t>
  </si>
  <si>
    <t>L-1599</t>
  </si>
  <si>
    <t>Juniarti</t>
  </si>
  <si>
    <t>+6289506516231</t>
  </si>
  <si>
    <t>L-1702</t>
  </si>
  <si>
    <t>62811169210</t>
  </si>
  <si>
    <t>L-1809</t>
  </si>
  <si>
    <t>L-1717</t>
  </si>
  <si>
    <t>Luciany</t>
  </si>
  <si>
    <t>628161414777</t>
  </si>
  <si>
    <t>Kemang Selatan No. 1C</t>
  </si>
  <si>
    <t>L-1380</t>
  </si>
  <si>
    <t>Lyn</t>
  </si>
  <si>
    <t>L-1029</t>
  </si>
  <si>
    <t>L-1816</t>
  </si>
  <si>
    <t>Nastasia</t>
  </si>
  <si>
    <t>lisa.nastasia.apt@gmail.com</t>
  </si>
  <si>
    <t>628118002227</t>
  </si>
  <si>
    <t>Kebagusan Jakarta</t>
  </si>
  <si>
    <t>L-1385</t>
  </si>
  <si>
    <t>+6281218910065</t>
  </si>
  <si>
    <t>L-1334</t>
  </si>
  <si>
    <t>Sitepu</t>
  </si>
  <si>
    <t xml:space="preserve">Perumahan Graha Cinere 1
jl.Kuta VII C-5/17
DEPOK - 16514</t>
  </si>
  <si>
    <t>L-1711</t>
  </si>
  <si>
    <t>6281316771000</t>
  </si>
  <si>
    <t>L-0833</t>
  </si>
  <si>
    <t>Sumajaya</t>
  </si>
  <si>
    <t>L-582</t>
  </si>
  <si>
    <t>L-328</t>
  </si>
  <si>
    <t>+62811116359</t>
  </si>
  <si>
    <t>L-0949</t>
  </si>
  <si>
    <t>6262626262626262</t>
  </si>
  <si>
    <t xml:space="preserve">Permata Hijau Blok F No. 5
Jakarta 12210</t>
  </si>
  <si>
    <t>L-1479</t>
  </si>
  <si>
    <t>L-551</t>
  </si>
  <si>
    <t>Widyasari</t>
  </si>
  <si>
    <t>L-1730</t>
  </si>
  <si>
    <t>Wirana</t>
  </si>
  <si>
    <t>6281382223228</t>
  </si>
  <si>
    <t>L-1149</t>
  </si>
  <si>
    <t>6281370842000</t>
  </si>
  <si>
    <t>L-0985</t>
  </si>
  <si>
    <t>Lisabella</t>
  </si>
  <si>
    <t>Natalegawa</t>
  </si>
  <si>
    <t>L-1406</t>
  </si>
  <si>
    <t>Lisawati</t>
  </si>
  <si>
    <t>L-111</t>
  </si>
  <si>
    <t>Lisda</t>
  </si>
  <si>
    <t>L-1640</t>
  </si>
  <si>
    <t>Mesir</t>
  </si>
  <si>
    <t>lisdaanharmesir@icloud.com</t>
  </si>
  <si>
    <t xml:space="preserve">The Nederland
Rozendoolseloom 69</t>
  </si>
  <si>
    <t>L-669</t>
  </si>
  <si>
    <t>L-1510</t>
  </si>
  <si>
    <t>Liselle</t>
  </si>
  <si>
    <t>liselle1@gmail.com</t>
  </si>
  <si>
    <t>081617162167</t>
  </si>
  <si>
    <t>Pakubuwono Residence, Jalan Pakubuwono VI No. 68 #Basswood 21 D &amp; E, Keb. Baru, Jakarta Selatan 12120</t>
  </si>
  <si>
    <t>L-1731</t>
  </si>
  <si>
    <t>Lislindra</t>
  </si>
  <si>
    <t>Yanti Dachi</t>
  </si>
  <si>
    <t>628127008181</t>
  </si>
  <si>
    <t>L-781</t>
  </si>
  <si>
    <t>Lisna</t>
  </si>
  <si>
    <t>Herdiasari</t>
  </si>
  <si>
    <t>lisnaherdiasari@outlook.com</t>
  </si>
  <si>
    <t>Jl. Thalib III dalam</t>
  </si>
  <si>
    <t>L-332</t>
  </si>
  <si>
    <t>Lisnawati</t>
  </si>
  <si>
    <t>Kemang Village Empire, Indonesia.</t>
  </si>
  <si>
    <t>L-312</t>
  </si>
  <si>
    <t>Liss</t>
  </si>
  <si>
    <t>Mefta</t>
  </si>
  <si>
    <t>L-543</t>
  </si>
  <si>
    <t>Listia</t>
  </si>
  <si>
    <t>L-1469</t>
  </si>
  <si>
    <t>L-587</t>
  </si>
  <si>
    <t>L-634</t>
  </si>
  <si>
    <t>Listianawati</t>
  </si>
  <si>
    <t>L-0890</t>
  </si>
  <si>
    <t>Listity</t>
  </si>
  <si>
    <t>L-1491</t>
  </si>
  <si>
    <t>Listiyani</t>
  </si>
  <si>
    <t>dplistiyani@gmail.com</t>
  </si>
  <si>
    <t>L-1764</t>
  </si>
  <si>
    <t>Listy</t>
  </si>
  <si>
    <t>ineziaamanda@gmail.com</t>
  </si>
  <si>
    <t>Perdana Poh Gading Blok E. No.11</t>
  </si>
  <si>
    <t>Jimbaran</t>
  </si>
  <si>
    <t>L-622</t>
  </si>
  <si>
    <t>Listyana</t>
  </si>
  <si>
    <t>Gusman</t>
  </si>
  <si>
    <t>L-1632</t>
  </si>
  <si>
    <t>Listyani</t>
  </si>
  <si>
    <t>listyani@gmail.com</t>
  </si>
  <si>
    <t>Puri Indah, Jl Kembang Molek VI Blok J9/9 , Jakarta Barat</t>
  </si>
  <si>
    <t>L-112</t>
  </si>
  <si>
    <t>Listyani.</t>
  </si>
  <si>
    <t>L-0942</t>
  </si>
  <si>
    <t>Lisyawati</t>
  </si>
  <si>
    <t>L-578</t>
  </si>
  <si>
    <t>Lita</t>
  </si>
  <si>
    <t>L-611</t>
  </si>
  <si>
    <t>L-1294</t>
  </si>
  <si>
    <t>L-0858</t>
  </si>
  <si>
    <t>Aziz Syamsuddin</t>
  </si>
  <si>
    <t>62816836775</t>
  </si>
  <si>
    <t xml:space="preserve">JL.HANGTUAH RAYA NO.69
KEBAYORAN BARU,JAKARTA SELATAN</t>
  </si>
  <si>
    <t>12120</t>
  </si>
  <si>
    <t>M-1373</t>
  </si>
  <si>
    <t>Chandra.</t>
  </si>
  <si>
    <t>L-1456</t>
  </si>
  <si>
    <t>litalidia@gmail.com</t>
  </si>
  <si>
    <t>L-1472</t>
  </si>
  <si>
    <t>Lita Naulita</t>
  </si>
  <si>
    <t>+62811967168</t>
  </si>
  <si>
    <t>L-1515</t>
  </si>
  <si>
    <t>628161822332</t>
  </si>
  <si>
    <t>Pakubuwono Signature Apartment</t>
  </si>
  <si>
    <t>L-1440</t>
  </si>
  <si>
    <t>Litha</t>
  </si>
  <si>
    <t>62811411811</t>
  </si>
  <si>
    <t>L-1410</t>
  </si>
  <si>
    <t>Lithina</t>
  </si>
  <si>
    <t>Willy</t>
  </si>
  <si>
    <t>Jl. Suwondo No.D39, Medan - 20157 (M6)</t>
  </si>
  <si>
    <t>L-1578</t>
  </si>
  <si>
    <t>Lity</t>
  </si>
  <si>
    <t>6281510104833</t>
  </si>
  <si>
    <t>L-804</t>
  </si>
  <si>
    <t>+8617600932070</t>
  </si>
  <si>
    <t>L-1081</t>
  </si>
  <si>
    <t>Dan</t>
  </si>
  <si>
    <t>L-1347</t>
  </si>
  <si>
    <t>WeChat : claire_claire_1113</t>
  </si>
  <si>
    <t>L-0945</t>
  </si>
  <si>
    <t>Bo</t>
  </si>
  <si>
    <t>L-0947</t>
  </si>
  <si>
    <t>L-1224</t>
  </si>
  <si>
    <t>LIU</t>
  </si>
  <si>
    <t>AMAS</t>
  </si>
  <si>
    <t>L-643</t>
  </si>
  <si>
    <t>Fi Na</t>
  </si>
  <si>
    <t>+6281283397947</t>
  </si>
  <si>
    <t>Pantai mutiara SB No.22 Pluit</t>
  </si>
  <si>
    <t>L-118</t>
  </si>
  <si>
    <t>Haosheng</t>
  </si>
  <si>
    <t>L-1542</t>
  </si>
  <si>
    <t xml:space="preserve">Jl Green Land  5 no.6
Cluster Garden Hous
Perum Pantai Indah Kapuk</t>
  </si>
  <si>
    <t>L-1802</t>
  </si>
  <si>
    <t>8613522366850</t>
  </si>
  <si>
    <t>L-1791</t>
  </si>
  <si>
    <t>Miaoxing</t>
  </si>
  <si>
    <t>8285281850572</t>
  </si>
  <si>
    <t>L-1556</t>
  </si>
  <si>
    <t>L-0933</t>
  </si>
  <si>
    <t xml:space="preserve">PT SHU YUAN JIAN CAI
Jl.Otonom Junti RT001/009
Kp.Cikande
Serang - banten</t>
  </si>
  <si>
    <t>L-1388</t>
  </si>
  <si>
    <t>L-602</t>
  </si>
  <si>
    <t>L-1504</t>
  </si>
  <si>
    <t>timotius.ch17@yahoo.com</t>
  </si>
  <si>
    <t>Sunter Garden Blok D4/20 Jakarta</t>
  </si>
  <si>
    <t>L-1606</t>
  </si>
  <si>
    <t>8620359075</t>
  </si>
  <si>
    <t>SICHUAN ,CHINA</t>
  </si>
  <si>
    <t>L-1721</t>
  </si>
  <si>
    <t>Weihao</t>
  </si>
  <si>
    <t>082123113500</t>
  </si>
  <si>
    <t>L-1618</t>
  </si>
  <si>
    <t>Weixin</t>
  </si>
  <si>
    <t>ikeisha081101@gmail.com</t>
  </si>
  <si>
    <t>L-1483</t>
  </si>
  <si>
    <t>L-1586</t>
  </si>
  <si>
    <t>Wenhui</t>
  </si>
  <si>
    <t>L-1781</t>
  </si>
  <si>
    <t>Xiaozhuan</t>
  </si>
  <si>
    <t>+8613921631868</t>
  </si>
  <si>
    <t>L-1801</t>
  </si>
  <si>
    <t>6282114696164</t>
  </si>
  <si>
    <t>L-0961</t>
  </si>
  <si>
    <t>L-1543</t>
  </si>
  <si>
    <t>L-1827</t>
  </si>
  <si>
    <t>1464582793@99.com</t>
  </si>
  <si>
    <t>+8618170996568</t>
  </si>
  <si>
    <t>L-1691</t>
  </si>
  <si>
    <t>Zhenxue</t>
  </si>
  <si>
    <t>+6282310962356</t>
  </si>
  <si>
    <t>L-1707</t>
  </si>
  <si>
    <t>Hongxu</t>
  </si>
  <si>
    <t>905092900@qq.com</t>
  </si>
  <si>
    <t>8618565860022</t>
  </si>
  <si>
    <t>L-1664</t>
  </si>
  <si>
    <t>Liu,</t>
  </si>
  <si>
    <t>37299283@qq.com</t>
  </si>
  <si>
    <t>L-1778</t>
  </si>
  <si>
    <t>liujun_huguang@163.com</t>
  </si>
  <si>
    <t>+8618551058598</t>
  </si>
  <si>
    <t>L-1704</t>
  </si>
  <si>
    <t>Weizhen</t>
  </si>
  <si>
    <t>chris.liu2007@outlook.com</t>
  </si>
  <si>
    <t>8618621563877</t>
  </si>
  <si>
    <t>L-1286</t>
  </si>
  <si>
    <t>Xiaofeng</t>
  </si>
  <si>
    <t>L-1796</t>
  </si>
  <si>
    <t>13602085881@qq.com</t>
  </si>
  <si>
    <t>8613602085881</t>
  </si>
  <si>
    <t>L-1823</t>
  </si>
  <si>
    <t>Yongxi</t>
  </si>
  <si>
    <t>yongxi-liu@163.com</t>
  </si>
  <si>
    <t>8613540080900</t>
  </si>
  <si>
    <t>L-1673</t>
  </si>
  <si>
    <t>26282684@qq.com</t>
  </si>
  <si>
    <t>L-1736</t>
  </si>
  <si>
    <t>Liukshina</t>
  </si>
  <si>
    <t>Valeriia</t>
  </si>
  <si>
    <t>valerielovatoo@gmail.com</t>
  </si>
  <si>
    <t>79654071030</t>
  </si>
  <si>
    <t>L-1584</t>
  </si>
  <si>
    <t>Livia</t>
  </si>
  <si>
    <t>Gianni</t>
  </si>
  <si>
    <t>liviafg@gmail.com</t>
  </si>
  <si>
    <t>L-1555</t>
  </si>
  <si>
    <t>Bukit Cengkeh 1, Depok 16416</t>
  </si>
  <si>
    <t>L-1593</t>
  </si>
  <si>
    <t>Marjani</t>
  </si>
  <si>
    <t>Liviamaryani@gmail.com</t>
  </si>
  <si>
    <t>628161806106</t>
  </si>
  <si>
    <t>Jl Metro Hijau 1 blok TG no 35 Pondok Indah Jak Sel</t>
  </si>
  <si>
    <t>L-1770</t>
  </si>
  <si>
    <t>Wahyu Poernomo</t>
  </si>
  <si>
    <t>62811953555</t>
  </si>
  <si>
    <t>Jl. Blambangan No. 7 Kecamatan Tegal Sari Kelurahan Keputran Surabaya 60265</t>
  </si>
  <si>
    <t>L-281</t>
  </si>
  <si>
    <t>Yosetya</t>
  </si>
  <si>
    <t>L-1655</t>
  </si>
  <si>
    <t>Liviana</t>
  </si>
  <si>
    <t>liviana_rr@yahoo.com</t>
  </si>
  <si>
    <t>JALAN PILO MACAN V NO,78</t>
  </si>
  <si>
    <t>L-1725</t>
  </si>
  <si>
    <t>Liwa</t>
  </si>
  <si>
    <t>Supriyanti</t>
  </si>
  <si>
    <t>6281298707038</t>
  </si>
  <si>
    <t>L-1719</t>
  </si>
  <si>
    <t>6281311116698</t>
  </si>
  <si>
    <t>L-1585</t>
  </si>
  <si>
    <t>Rosdiana</t>
  </si>
  <si>
    <t>L-1534</t>
  </si>
  <si>
    <t>L-1495</t>
  </si>
  <si>
    <t>Komp Manggis Indah D2 Medan</t>
  </si>
  <si>
    <t>L-607</t>
  </si>
  <si>
    <t>L-1526</t>
  </si>
  <si>
    <t>lizgnwn18@gmail.com</t>
  </si>
  <si>
    <t>Pluit Permai 8/12A</t>
  </si>
  <si>
    <t>L-1338</t>
  </si>
  <si>
    <t>L-1461</t>
  </si>
  <si>
    <t>Puspadewi</t>
  </si>
  <si>
    <t>L-1134</t>
  </si>
  <si>
    <t>R.Sopiyan</t>
  </si>
  <si>
    <t>L-1120</t>
  </si>
  <si>
    <t>Runtu</t>
  </si>
  <si>
    <t>L-122</t>
  </si>
  <si>
    <t>Samakoen</t>
  </si>
  <si>
    <t>L-1486</t>
  </si>
  <si>
    <t>Yessica</t>
  </si>
  <si>
    <t>L-662</t>
  </si>
  <si>
    <t>Lizen</t>
  </si>
  <si>
    <t>L-1077</t>
  </si>
  <si>
    <t>Lizzy</t>
  </si>
  <si>
    <t>Indriyanto</t>
  </si>
  <si>
    <t>JL Nusa INdah No.40.C Cipete Selatan CILANDAK</t>
  </si>
  <si>
    <t>L-1444</t>
  </si>
  <si>
    <t>Inggrani</t>
  </si>
  <si>
    <t>628161988898</t>
  </si>
  <si>
    <t>L-0835</t>
  </si>
  <si>
    <t>Hung</t>
  </si>
  <si>
    <t>L-353</t>
  </si>
  <si>
    <t xml:space="preserve">Perum Puri Gading 
Jl.Kenanga Blok I 1/18
Jimbaran Bali</t>
  </si>
  <si>
    <t>L-1732</t>
  </si>
  <si>
    <t>628113935558</t>
  </si>
  <si>
    <t>L-1714</t>
  </si>
  <si>
    <t>Lo,</t>
  </si>
  <si>
    <t>Shih-Ting</t>
  </si>
  <si>
    <t>tinaloveelephant@gmail.com</t>
  </si>
  <si>
    <t>886952359451</t>
  </si>
  <si>
    <t>L-1797</t>
  </si>
  <si>
    <t>Lobacheva</t>
  </si>
  <si>
    <t>elobacheva@list.ru</t>
  </si>
  <si>
    <t>+79161415693</t>
  </si>
  <si>
    <t>L-1785</t>
  </si>
  <si>
    <t>Lodhia</t>
  </si>
  <si>
    <t>Kishore</t>
  </si>
  <si>
    <t>jatin.lodhia08@icloud.com</t>
  </si>
  <si>
    <t>United kingdom</t>
  </si>
  <si>
    <t>L-1048</t>
  </si>
  <si>
    <t>Loemongga</t>
  </si>
  <si>
    <t>Kartasasmita</t>
  </si>
  <si>
    <t>L-0872</t>
  </si>
  <si>
    <t>Loi</t>
  </si>
  <si>
    <t>L-1819</t>
  </si>
  <si>
    <t>loke Jian</t>
  </si>
  <si>
    <t>jianshen44@gmail.com</t>
  </si>
  <si>
    <t>6588573526</t>
  </si>
  <si>
    <t>L-1392</t>
  </si>
  <si>
    <t>Lola</t>
  </si>
  <si>
    <t>Villa 11</t>
  </si>
  <si>
    <t>L-298</t>
  </si>
  <si>
    <t>L-1344</t>
  </si>
  <si>
    <t>ollatobing@gmail.com</t>
  </si>
  <si>
    <t>Villa 21</t>
  </si>
  <si>
    <t>L-724</t>
  </si>
  <si>
    <t>Lolita</t>
  </si>
  <si>
    <t>Zusye</t>
  </si>
  <si>
    <t>L-1535</t>
  </si>
  <si>
    <t>Lollo</t>
  </si>
  <si>
    <t>Comoro</t>
  </si>
  <si>
    <t>+6282211959566</t>
  </si>
  <si>
    <t>L-798</t>
  </si>
  <si>
    <t>Lolly</t>
  </si>
  <si>
    <t>L-1653</t>
  </si>
  <si>
    <t>Lolo</t>
  </si>
  <si>
    <t>628111196900</t>
  </si>
  <si>
    <t>JL.PINANG MERAH RAYA NO.24, TAMAN YASMIN 6 - BOGOR 16113</t>
  </si>
  <si>
    <t>L-1559</t>
  </si>
  <si>
    <t>Loly</t>
  </si>
  <si>
    <t>081294039703</t>
  </si>
  <si>
    <t xml:space="preserve">The Latinos J6 no.05
BSD - Tangerang Selatan</t>
  </si>
  <si>
    <t>L-354</t>
  </si>
  <si>
    <t>Loning</t>
  </si>
  <si>
    <t>L-1642</t>
  </si>
  <si>
    <t>Lonny</t>
  </si>
  <si>
    <t>Brawijaya, Jaksel</t>
  </si>
  <si>
    <t>L-661</t>
  </si>
  <si>
    <t>Loren</t>
  </si>
  <si>
    <t>Yaspi</t>
  </si>
  <si>
    <t>L-349</t>
  </si>
  <si>
    <t>Lorens</t>
  </si>
  <si>
    <t>L-1649</t>
  </si>
  <si>
    <t>Lou,</t>
  </si>
  <si>
    <t>Zhi</t>
  </si>
  <si>
    <t>L-182</t>
  </si>
  <si>
    <t>Louis</t>
  </si>
  <si>
    <t>L-1768</t>
  </si>
  <si>
    <t>Bellagio</t>
  </si>
  <si>
    <t>Soetomo</t>
  </si>
  <si>
    <t>62811939939</t>
  </si>
  <si>
    <t>L-127</t>
  </si>
  <si>
    <t>Tanuatmadja</t>
  </si>
  <si>
    <t>Jl. Taman Sari 8 No. 24</t>
  </si>
  <si>
    <t>L-355</t>
  </si>
  <si>
    <t>L-1490</t>
  </si>
  <si>
    <t>Louise Leny</t>
  </si>
  <si>
    <t>Lihar</t>
  </si>
  <si>
    <t>+628128911992</t>
  </si>
  <si>
    <t>L-608</t>
  </si>
  <si>
    <t>Lourda</t>
  </si>
  <si>
    <t>L-0956</t>
  </si>
  <si>
    <t>Lourdes</t>
  </si>
  <si>
    <t>Jln. Teluk betung No.45c</t>
  </si>
  <si>
    <t>I-0693</t>
  </si>
  <si>
    <t>Lovely</t>
  </si>
  <si>
    <t>Patipeluhu</t>
  </si>
  <si>
    <t>jl.Buaran 1 No.70</t>
  </si>
  <si>
    <t>L-1527</t>
  </si>
  <si>
    <t>Lowe</t>
  </si>
  <si>
    <t>Noel</t>
  </si>
  <si>
    <t>AUSTRALI</t>
  </si>
  <si>
    <t>L-129</t>
  </si>
  <si>
    <t>LT.</t>
  </si>
  <si>
    <t>L-1613</t>
  </si>
  <si>
    <t>Chenyang</t>
  </si>
  <si>
    <t>L-1818</t>
  </si>
  <si>
    <t>Lu Chun</t>
  </si>
  <si>
    <t>628119629666</t>
  </si>
  <si>
    <t>L-1833</t>
  </si>
  <si>
    <t>Hu Xiang</t>
  </si>
  <si>
    <t>1206827247@qq.com</t>
  </si>
  <si>
    <t>861345292027</t>
  </si>
  <si>
    <t>L-1814</t>
  </si>
  <si>
    <t>li</t>
  </si>
  <si>
    <t>1281927882@qq.com</t>
  </si>
  <si>
    <t>8617612430197</t>
  </si>
  <si>
    <t>L-1196</t>
  </si>
  <si>
    <t>LU</t>
  </si>
  <si>
    <t>QI</t>
  </si>
  <si>
    <t>L-1394</t>
  </si>
  <si>
    <t>631814536@qq.com</t>
  </si>
  <si>
    <t>L-1733</t>
  </si>
  <si>
    <t>Ru</t>
  </si>
  <si>
    <t>luzhixiang50@gmail.com</t>
  </si>
  <si>
    <t>6140402000902</t>
  </si>
  <si>
    <t>L-1635</t>
  </si>
  <si>
    <t>Wenwen</t>
  </si>
  <si>
    <t>L-1716</t>
  </si>
  <si>
    <t>Lu,</t>
  </si>
  <si>
    <t>Chiao-Ting</t>
  </si>
  <si>
    <t>do62085979@yahoo.com.tw</t>
  </si>
  <si>
    <t>886919558353</t>
  </si>
  <si>
    <t>L-1740</t>
  </si>
  <si>
    <t>shkaven@vip.163.com</t>
  </si>
  <si>
    <t>8618606692858</t>
  </si>
  <si>
    <t>L-1813</t>
  </si>
  <si>
    <t>Jieli</t>
  </si>
  <si>
    <t>jielilu@hotmail.com</t>
  </si>
  <si>
    <t>8615921591766</t>
  </si>
  <si>
    <t>L-1758</t>
  </si>
  <si>
    <t>Wan-Chen</t>
  </si>
  <si>
    <t>foxandfinfin@hotmail.com</t>
  </si>
  <si>
    <t>+8860921801343</t>
  </si>
  <si>
    <t>L-1675</t>
  </si>
  <si>
    <t>lyy800811@hotmail.com</t>
  </si>
  <si>
    <t>L-690</t>
  </si>
  <si>
    <t>L-741</t>
  </si>
  <si>
    <t>Lubna</t>
  </si>
  <si>
    <t>628219713059</t>
  </si>
  <si>
    <t xml:space="preserve">Jl.Melati KAV &amp;
Kemang - Ampera</t>
  </si>
  <si>
    <t>L-671</t>
  </si>
  <si>
    <t>L-1180</t>
  </si>
  <si>
    <t>L-1652</t>
  </si>
  <si>
    <t>Arif Setiawan</t>
  </si>
  <si>
    <t>+6281287779318</t>
  </si>
  <si>
    <t>L-1477</t>
  </si>
  <si>
    <t>L-131</t>
  </si>
  <si>
    <t>Luceria</t>
  </si>
  <si>
    <t>L-809</t>
  </si>
  <si>
    <t>Lucia</t>
  </si>
  <si>
    <t>luciasetiawan@yahoo.co.id</t>
  </si>
  <si>
    <t>62811942499</t>
  </si>
  <si>
    <t>Jl. Danau Indah Timur Blok D1 No. 3A</t>
  </si>
  <si>
    <t>L-1789</t>
  </si>
  <si>
    <t>Dragone</t>
  </si>
  <si>
    <t>lucy.dragone@gmail.com</t>
  </si>
  <si>
    <t>+393480315057</t>
  </si>
  <si>
    <t>L-1843</t>
  </si>
  <si>
    <t>6281329354286</t>
  </si>
  <si>
    <t>L-273</t>
  </si>
  <si>
    <t>L-1067</t>
  </si>
  <si>
    <t>a.yani no.179 balikpapan</t>
  </si>
  <si>
    <t>L-1430</t>
  </si>
  <si>
    <t xml:space="preserve">Jl. Kayu Putih TGH 1B/29
Pulo Gadung</t>
  </si>
  <si>
    <t>L-1141</t>
  </si>
  <si>
    <t>Lucina</t>
  </si>
  <si>
    <t>Babikiana</t>
  </si>
  <si>
    <t>Essence Darmawangsa Apt, South Tower, FS 32</t>
  </si>
  <si>
    <t>L-1540</t>
  </si>
  <si>
    <t>Lucki</t>
  </si>
  <si>
    <t>Tanjung Emas Raya</t>
  </si>
  <si>
    <t>L-1378</t>
  </si>
  <si>
    <t>L-773</t>
  </si>
  <si>
    <t>ny_anzra@yahoo.com</t>
  </si>
  <si>
    <t>L-132</t>
  </si>
  <si>
    <t>L-133</t>
  </si>
  <si>
    <t>(RIAU)</t>
  </si>
  <si>
    <t>L-579</t>
  </si>
  <si>
    <t>Nelwan</t>
  </si>
  <si>
    <t>L-0943</t>
  </si>
  <si>
    <t>Nanlohy</t>
  </si>
  <si>
    <t>L-659</t>
  </si>
  <si>
    <t>Paloh</t>
  </si>
  <si>
    <t>L-134</t>
  </si>
  <si>
    <t>Resha</t>
  </si>
  <si>
    <t>Jl. Taman Lebak Bulus 5 No. 1</t>
  </si>
  <si>
    <t>L-1095</t>
  </si>
  <si>
    <t>Lucy</t>
  </si>
  <si>
    <t>M-1374</t>
  </si>
  <si>
    <t>08111018173</t>
  </si>
  <si>
    <t xml:space="preserve">APRT PURI CASABLANCA A17/02
JAK SEL 12870</t>
  </si>
  <si>
    <t>L-1787</t>
  </si>
  <si>
    <t>Christanty</t>
  </si>
  <si>
    <t>vivoblue0101@gmail.com</t>
  </si>
  <si>
    <t>628118089892</t>
  </si>
  <si>
    <t>L-639</t>
  </si>
  <si>
    <t>Jayanthie</t>
  </si>
  <si>
    <t>L-337</t>
  </si>
  <si>
    <t>62816769318</t>
  </si>
  <si>
    <t>Gading Kirana Timur G Blok H.6 No. 21</t>
  </si>
  <si>
    <t>L-1102</t>
  </si>
  <si>
    <t>J.J</t>
  </si>
  <si>
    <t>62811101222</t>
  </si>
  <si>
    <t>L-817</t>
  </si>
  <si>
    <t>62816830043</t>
  </si>
  <si>
    <t>L-1322</t>
  </si>
  <si>
    <t>L-336</t>
  </si>
  <si>
    <t>Munaba</t>
  </si>
  <si>
    <t>L-296</t>
  </si>
  <si>
    <t>Shanti</t>
  </si>
  <si>
    <t>L-580</t>
  </si>
  <si>
    <t>soepardi</t>
  </si>
  <si>
    <t>L-1772</t>
  </si>
  <si>
    <t>Lucyana</t>
  </si>
  <si>
    <t>Sukuandi</t>
  </si>
  <si>
    <t>6281296898933</t>
  </si>
  <si>
    <t>Botani Simprug</t>
  </si>
  <si>
    <t>L-1506</t>
  </si>
  <si>
    <t>Ludi</t>
  </si>
  <si>
    <t xml:space="preserve">Jl. Al Ikhlas No.21 
Bambu Apus 
Cipayung</t>
  </si>
  <si>
    <t>L-1767</t>
  </si>
  <si>
    <t>Ludijanto</t>
  </si>
  <si>
    <t>62818161221</t>
  </si>
  <si>
    <t>L-609</t>
  </si>
  <si>
    <t>Ludo</t>
  </si>
  <si>
    <t>L-1710</t>
  </si>
  <si>
    <t>Ludri</t>
  </si>
  <si>
    <t>6281338274302</t>
  </si>
  <si>
    <t>L-1328</t>
  </si>
  <si>
    <t>Ludwina</t>
  </si>
  <si>
    <t>Jl.Purwakarta No.9 Jakarta.10310</t>
  </si>
  <si>
    <t>L-1782</t>
  </si>
  <si>
    <t>Lufita</t>
  </si>
  <si>
    <t>lufita.jp@gmail.com</t>
  </si>
  <si>
    <t>6287880002888</t>
  </si>
  <si>
    <t>Apt Taman Rasuna - Jakarta</t>
  </si>
  <si>
    <t>L-1718</t>
  </si>
  <si>
    <t>Lufti</t>
  </si>
  <si>
    <t>Hajri</t>
  </si>
  <si>
    <t>6281213154013</t>
  </si>
  <si>
    <t>L-1744</t>
  </si>
  <si>
    <t>Luis</t>
  </si>
  <si>
    <t>Ferdiananda</t>
  </si>
  <si>
    <t>luissfrd@outlook.com</t>
  </si>
  <si>
    <t>6287885299911</t>
  </si>
  <si>
    <t>Kahfi Signateure , Jagakarsa</t>
  </si>
  <si>
    <t>L-138</t>
  </si>
  <si>
    <t>Suwardi</t>
  </si>
  <si>
    <t>Jl. Artha Gading Niaga Blok G No. 19</t>
  </si>
  <si>
    <t>L-1709</t>
  </si>
  <si>
    <t>6285218600618</t>
  </si>
  <si>
    <t>L-288</t>
  </si>
  <si>
    <t>Luisa</t>
  </si>
  <si>
    <t>L-1735</t>
  </si>
  <si>
    <t>Lujain</t>
  </si>
  <si>
    <t>lojainabaalkhail@gmail.com</t>
  </si>
  <si>
    <t>966560980420</t>
  </si>
  <si>
    <t>Saudi arabia</t>
  </si>
  <si>
    <t>L-322</t>
  </si>
  <si>
    <t>Luke</t>
  </si>
  <si>
    <t>Rowe</t>
  </si>
  <si>
    <t>L-1686</t>
  </si>
  <si>
    <t>Lukianov</t>
  </si>
  <si>
    <t>860689@gmail.com</t>
  </si>
  <si>
    <t>+79264664589</t>
  </si>
  <si>
    <t>L-344</t>
  </si>
  <si>
    <t>L-1427</t>
  </si>
  <si>
    <t>L-1703</t>
  </si>
  <si>
    <t>L-1386</t>
  </si>
  <si>
    <t>L-640</t>
  </si>
  <si>
    <t>L-140</t>
  </si>
  <si>
    <t>Neska</t>
  </si>
  <si>
    <t>Jl. Tebet Timur Dalam VIII/48</t>
  </si>
  <si>
    <t>L-347</t>
  </si>
  <si>
    <t>Purnomosidi</t>
  </si>
  <si>
    <t xml:space="preserve">Tebet Timur IIIB No.21
Jakarta Selatan</t>
  </si>
  <si>
    <t>L-299</t>
  </si>
  <si>
    <t>Lulu</t>
  </si>
  <si>
    <t>L-1147</t>
  </si>
  <si>
    <t>L-1548</t>
  </si>
  <si>
    <t>L-1739</t>
  </si>
  <si>
    <t>6597907096</t>
  </si>
  <si>
    <t>L-635</t>
  </si>
  <si>
    <t>Haula</t>
  </si>
  <si>
    <t>L-0946</t>
  </si>
  <si>
    <t>Hendrisman</t>
  </si>
  <si>
    <t>L-1799</t>
  </si>
  <si>
    <t>Zulnahar</t>
  </si>
  <si>
    <t>62811166080</t>
  </si>
  <si>
    <t>L-1354</t>
  </si>
  <si>
    <t>Lulu.</t>
  </si>
  <si>
    <t>L-1351</t>
  </si>
  <si>
    <t>Lulus</t>
  </si>
  <si>
    <t>L-760</t>
  </si>
  <si>
    <t>lulussutrisno@gmail.com</t>
  </si>
  <si>
    <t>jl Tunjung Biru III/28 Soekarno Hatta Semarang</t>
  </si>
  <si>
    <t>L-142</t>
  </si>
  <si>
    <t>Luly</t>
  </si>
  <si>
    <t xml:space="preserve">Jl,Lebak Bulus 2/14
Rt 04/004
Jakarta Selatan</t>
  </si>
  <si>
    <t>L-0923</t>
  </si>
  <si>
    <t>Lulytha</t>
  </si>
  <si>
    <t>Adhani</t>
  </si>
  <si>
    <t>LULYRUDY70@GMAIL.COM</t>
  </si>
  <si>
    <t xml:space="preserve">Apartement Bukit Golf Tower 1/6
PONDOK INDAH - JAKSEL 12440</t>
  </si>
  <si>
    <t>L-1278</t>
  </si>
  <si>
    <t>Lumawan</t>
  </si>
  <si>
    <t>lumawanadi@gmail.com</t>
  </si>
  <si>
    <t>Jl. Batujajar No. 37</t>
  </si>
  <si>
    <t>L-1830</t>
  </si>
  <si>
    <t>+628128009688</t>
  </si>
  <si>
    <t>L-143</t>
  </si>
  <si>
    <t>6282299999268</t>
  </si>
  <si>
    <t>L-1750</t>
  </si>
  <si>
    <t>Lunden</t>
  </si>
  <si>
    <t>Ake Bertil</t>
  </si>
  <si>
    <t>ake.innden@gmail.com</t>
  </si>
  <si>
    <t>46704330697</t>
  </si>
  <si>
    <t>L-261</t>
  </si>
  <si>
    <t>Lunema</t>
  </si>
  <si>
    <t>L-765</t>
  </si>
  <si>
    <t>Luniarto</t>
  </si>
  <si>
    <t>Anggoro</t>
  </si>
  <si>
    <t>jalan Pinisi Permai I/3</t>
  </si>
  <si>
    <t>L-776</t>
  </si>
  <si>
    <t>L-1277</t>
  </si>
  <si>
    <t>Meiqin</t>
  </si>
  <si>
    <t>G-0436</t>
  </si>
  <si>
    <t>Mengna</t>
  </si>
  <si>
    <t>6281281322922</t>
  </si>
  <si>
    <t>L-1372</t>
  </si>
  <si>
    <t>L-1705</t>
  </si>
  <si>
    <t>8615071111356</t>
  </si>
  <si>
    <t>L-1835</t>
  </si>
  <si>
    <t>Luo,</t>
  </si>
  <si>
    <t>Wenlie</t>
  </si>
  <si>
    <t>1311965968@qq.com</t>
  </si>
  <si>
    <t>+8613881910666</t>
  </si>
  <si>
    <t>L-1759</t>
  </si>
  <si>
    <t>luoxi@fosun.com</t>
  </si>
  <si>
    <t>8618605011575</t>
  </si>
  <si>
    <t>L-591</t>
  </si>
  <si>
    <t>Luri</t>
  </si>
  <si>
    <t>L-1287</t>
  </si>
  <si>
    <t>Lury</t>
  </si>
  <si>
    <t>L-1482</t>
  </si>
  <si>
    <t>Lusi</t>
  </si>
  <si>
    <t>Jalan Margasatwa Barat No 61 Kav 8</t>
  </si>
  <si>
    <t>L-697</t>
  </si>
  <si>
    <t>L-1390</t>
  </si>
  <si>
    <t>L-1697</t>
  </si>
  <si>
    <t>Surja</t>
  </si>
  <si>
    <t>L-145</t>
  </si>
  <si>
    <t>L-1484</t>
  </si>
  <si>
    <t>Tjundawan</t>
  </si>
  <si>
    <t>Erlymartin66@gmail.com</t>
  </si>
  <si>
    <t>Apartemen Central park Tower Amandine Lt 38 No.9</t>
  </si>
  <si>
    <t>L-573</t>
  </si>
  <si>
    <t>L-1158</t>
  </si>
  <si>
    <t>Serena</t>
  </si>
  <si>
    <t>L-1574</t>
  </si>
  <si>
    <t>Karolina</t>
  </si>
  <si>
    <t>L-1616</t>
  </si>
  <si>
    <t>Liwangitan</t>
  </si>
  <si>
    <t>lliwangitan@gmail.com</t>
  </si>
  <si>
    <t>Jalan.Sawitri No.26</t>
  </si>
  <si>
    <t>L-1471</t>
  </si>
  <si>
    <t>then.lusianawibowo@gmail.com</t>
  </si>
  <si>
    <t xml:space="preserve">Villa Gading Indah 
Blok N No.36</t>
  </si>
  <si>
    <t>L-1592</t>
  </si>
  <si>
    <t>lusi_usa@yahoo.com</t>
  </si>
  <si>
    <t xml:space="preserve">JL ISTANA DIENG TENGAH II/C1
MALANG </t>
  </si>
  <si>
    <t>L-1162</t>
  </si>
  <si>
    <t>Lusie</t>
  </si>
  <si>
    <t>Milawati</t>
  </si>
  <si>
    <t>lusiem.milawati@gmail.com</t>
  </si>
  <si>
    <t>Bintara Kota Indah Blok QQ 9w06</t>
  </si>
  <si>
    <t>L-0948</t>
  </si>
  <si>
    <t>Lusiyana</t>
  </si>
  <si>
    <t>lusiyana28@ymail.com</t>
  </si>
  <si>
    <t xml:space="preserve">JL. Tanah Kusir III No 7
Alteri Pondok Indah
(Belakang Villa Pondok Indah)</t>
  </si>
  <si>
    <t>L-1658</t>
  </si>
  <si>
    <t>lusiyanahidayat@gmail.com</t>
  </si>
  <si>
    <t>L-147</t>
  </si>
  <si>
    <t>L-1550</t>
  </si>
  <si>
    <t>Lussy</t>
  </si>
  <si>
    <t>Tjahaja</t>
  </si>
  <si>
    <t>L-1442</t>
  </si>
  <si>
    <t>Lustika</t>
  </si>
  <si>
    <t>L-1403</t>
  </si>
  <si>
    <t>Lusy</t>
  </si>
  <si>
    <t>L-169</t>
  </si>
  <si>
    <t>L-769</t>
  </si>
  <si>
    <t>L-774</t>
  </si>
  <si>
    <t>Rahmawaty</t>
  </si>
  <si>
    <t>L-762</t>
  </si>
  <si>
    <t>Soelistiowati</t>
  </si>
  <si>
    <t>L-0915</t>
  </si>
  <si>
    <t>Lusy.</t>
  </si>
  <si>
    <t>L-0936</t>
  </si>
  <si>
    <t>Lusye</t>
  </si>
  <si>
    <t>Potimena</t>
  </si>
  <si>
    <t>L-0851</t>
  </si>
  <si>
    <t>Lutfi</t>
  </si>
  <si>
    <t>L-333</t>
  </si>
  <si>
    <t>Setiadarma</t>
  </si>
  <si>
    <t>L-275</t>
  </si>
  <si>
    <t>Luther</t>
  </si>
  <si>
    <t>Kombong</t>
  </si>
  <si>
    <t>Apt Grand Tropic</t>
  </si>
  <si>
    <t>L-1056</t>
  </si>
  <si>
    <t>Luthfi</t>
  </si>
  <si>
    <t>L-1375</t>
  </si>
  <si>
    <t>Dunav</t>
  </si>
  <si>
    <t>L-800</t>
  </si>
  <si>
    <t xml:space="preserve">Apartemen Kusuma Candra
Tower 3 Unit 6m SCBD</t>
  </si>
  <si>
    <t>L-0920</t>
  </si>
  <si>
    <t>Luthfiany</t>
  </si>
  <si>
    <t>Jl. Ladera No 5, Taman Diponegoro, Lippo Karawaci, Tangerang.</t>
  </si>
  <si>
    <t>L-0992</t>
  </si>
  <si>
    <t>Luthfie</t>
  </si>
  <si>
    <t>L-1681</t>
  </si>
  <si>
    <t>Lutz</t>
  </si>
  <si>
    <t>Pillunat</t>
  </si>
  <si>
    <t>L-1529</t>
  </si>
  <si>
    <t>Luxie</t>
  </si>
  <si>
    <t>Diandra</t>
  </si>
  <si>
    <t>L-699</t>
  </si>
  <si>
    <t>Ly</t>
  </si>
  <si>
    <t>L-1523</t>
  </si>
  <si>
    <t>Sovannarith</t>
  </si>
  <si>
    <t>rith_ji@hotmail.com</t>
  </si>
  <si>
    <t>M-1079</t>
  </si>
  <si>
    <t>Lyana</t>
  </si>
  <si>
    <t>628126283828</t>
  </si>
  <si>
    <t>Apartment Yukata Unit A28, Jalan Alam Sutera Boulevard Kav. 22-26, Tangerang Selatan 15320</t>
  </si>
  <si>
    <t>L-1309</t>
  </si>
  <si>
    <t>Lydia</t>
  </si>
  <si>
    <t>L-1424</t>
  </si>
  <si>
    <t>L-747</t>
  </si>
  <si>
    <t>6281255557866</t>
  </si>
  <si>
    <t>L-673</t>
  </si>
  <si>
    <t>Astriningworo</t>
  </si>
  <si>
    <t>L-1329</t>
  </si>
  <si>
    <t>Edmil</t>
  </si>
  <si>
    <t>lydiaedmil@gmail.com</t>
  </si>
  <si>
    <t>6281298005674</t>
  </si>
  <si>
    <t>Komp. Hankam Slipi Jl. Kenari G-65 Slipi, Jakarta Barat 11480</t>
  </si>
  <si>
    <t>L-1432</t>
  </si>
  <si>
    <t>GreenVille V49B</t>
  </si>
  <si>
    <t>L-1700</t>
  </si>
  <si>
    <t>Idel</t>
  </si>
  <si>
    <t>6282220077744</t>
  </si>
  <si>
    <t>Jl. Senopati No.2</t>
  </si>
  <si>
    <t>L-1414</t>
  </si>
  <si>
    <t>Marissa</t>
  </si>
  <si>
    <t>lydi_mariss@yahoo.com</t>
  </si>
  <si>
    <t>628112211607</t>
  </si>
  <si>
    <t>L-1667</t>
  </si>
  <si>
    <t>L-1656</t>
  </si>
  <si>
    <t>L-148</t>
  </si>
  <si>
    <t xml:space="preserve">JL. GARUDA C2/11
BINTARO</t>
  </si>
  <si>
    <t>L-0911</t>
  </si>
  <si>
    <t>L-1101</t>
  </si>
  <si>
    <t>L-0852</t>
  </si>
  <si>
    <t>Lyla</t>
  </si>
  <si>
    <t>Andalucia</t>
  </si>
  <si>
    <t>L-304</t>
  </si>
  <si>
    <t>Lyle</t>
  </si>
  <si>
    <t>Ewashen</t>
  </si>
  <si>
    <t>L-1572</t>
  </si>
  <si>
    <t>Lylys</t>
  </si>
  <si>
    <t>lylyssurja@gmail.com</t>
  </si>
  <si>
    <t>62811863333</t>
  </si>
  <si>
    <t xml:space="preserve">JL.LOTUS INDAH BLOK Y6/3A
PIK - JAKARTA UTARA 14460</t>
  </si>
  <si>
    <t>L-780</t>
  </si>
  <si>
    <t>Lynda</t>
  </si>
  <si>
    <t xml:space="preserve">Jalan Pasir Kaliki  no 119
Bandung</t>
  </si>
  <si>
    <t>L-1488</t>
  </si>
  <si>
    <t>Chayadi</t>
  </si>
  <si>
    <t>The Mansion Jasmine , Tower AURORA</t>
  </si>
  <si>
    <t>L-1756</t>
  </si>
  <si>
    <t>62811468508</t>
  </si>
  <si>
    <t>L-696</t>
  </si>
  <si>
    <t>Lynn</t>
  </si>
  <si>
    <t>L-1557</t>
  </si>
  <si>
    <t>Lyodra</t>
  </si>
  <si>
    <t>6281264247936</t>
  </si>
  <si>
    <t>L-0895</t>
  </si>
  <si>
    <t>Lyra</t>
  </si>
  <si>
    <t>Virna</t>
  </si>
  <si>
    <t>L-1666</t>
  </si>
  <si>
    <t>Lyrian</t>
  </si>
  <si>
    <t>lyrianlim@gmail.com</t>
  </si>
  <si>
    <t>+6285275886488</t>
  </si>
  <si>
    <t xml:space="preserve">Perumahan Grisenda Blok F2 No.20
Jakarta</t>
  </si>
  <si>
    <t>L-150</t>
  </si>
  <si>
    <t>Lyta</t>
  </si>
  <si>
    <t>JL. Pondok Kopi Blok G1/No. 5</t>
  </si>
  <si>
    <t>L-1769</t>
  </si>
  <si>
    <t>Lytle</t>
  </si>
  <si>
    <t>lynk@gmail.com</t>
  </si>
  <si>
    <t>16479825874</t>
  </si>
  <si>
    <t>L-1552</t>
  </si>
  <si>
    <t>Lyza</t>
  </si>
  <si>
    <t>L-0842</t>
  </si>
  <si>
    <t>Novaria</t>
  </si>
  <si>
    <t xml:space="preserve">Cempaka putih Tengah 30/9
Jakarta - Pusat</t>
  </si>
  <si>
    <t>L-1036</t>
  </si>
  <si>
    <t>LZ</t>
  </si>
  <si>
    <t>Amasi</t>
  </si>
  <si>
    <t>M-750</t>
  </si>
  <si>
    <t>Alfata</t>
  </si>
  <si>
    <t>M-514</t>
  </si>
  <si>
    <t>DT</t>
  </si>
  <si>
    <t>M-1449</t>
  </si>
  <si>
    <t>Rosyid</t>
  </si>
  <si>
    <t>M-1002</t>
  </si>
  <si>
    <t>M-549</t>
  </si>
  <si>
    <t>M-0928</t>
  </si>
  <si>
    <t>Iridenta</t>
  </si>
  <si>
    <t>M-534</t>
  </si>
  <si>
    <t>M-526</t>
  </si>
  <si>
    <t>M-257</t>
  </si>
  <si>
    <t>M,Wiyono</t>
  </si>
  <si>
    <t xml:space="preserve">Jl, Merdeka Utara No,7
Jakarta Pusat.</t>
  </si>
  <si>
    <t>M-042</t>
  </si>
  <si>
    <t>M.</t>
  </si>
  <si>
    <t>M-043</t>
  </si>
  <si>
    <t>Jl. Tenggilis Timur VIII Blok ii No. 2</t>
  </si>
  <si>
    <t>M-1875</t>
  </si>
  <si>
    <t>M. Arifin Naim</t>
  </si>
  <si>
    <t>6285820777565</t>
  </si>
  <si>
    <t>M-558</t>
  </si>
  <si>
    <t>M-673</t>
  </si>
  <si>
    <t>M-429</t>
  </si>
  <si>
    <t>M-131</t>
  </si>
  <si>
    <t>(Samarinda)</t>
  </si>
  <si>
    <t>M-130</t>
  </si>
  <si>
    <t xml:space="preserve">Jl. Sekolah Duta V No. 42
Pondok Indah</t>
  </si>
  <si>
    <t>M-1910</t>
  </si>
  <si>
    <t>M-132</t>
  </si>
  <si>
    <t>Goreti</t>
  </si>
  <si>
    <t>Komp. DPR RI Joglo B-56</t>
  </si>
  <si>
    <t>M-1379</t>
  </si>
  <si>
    <t>Jl. Kumbang RT.01/05 Cililitan, Kramat Jati</t>
  </si>
  <si>
    <t>M-1943</t>
  </si>
  <si>
    <t>M ilias</t>
  </si>
  <si>
    <t>Ilias</t>
  </si>
  <si>
    <t>6282121961500</t>
  </si>
  <si>
    <t>M-172</t>
  </si>
  <si>
    <t>Jl. Jend. Sudirman Kav. 55</t>
  </si>
  <si>
    <t>M-1483</t>
  </si>
  <si>
    <t>M-383</t>
  </si>
  <si>
    <t>Nasir</t>
  </si>
  <si>
    <t>M-1838</t>
  </si>
  <si>
    <t>Muhammad Pradana</t>
  </si>
  <si>
    <t>Indrapara</t>
  </si>
  <si>
    <t>6281281802506</t>
  </si>
  <si>
    <t>M-561</t>
  </si>
  <si>
    <t>Rasjid</t>
  </si>
  <si>
    <t>Jl.Gunawarman No.57 kebayoran baru.Jak sel</t>
  </si>
  <si>
    <t>M-340</t>
  </si>
  <si>
    <t>Fariza</t>
  </si>
  <si>
    <t>M-1736</t>
  </si>
  <si>
    <t>BANDA ACEH</t>
  </si>
  <si>
    <t>M-1592</t>
  </si>
  <si>
    <t>Rizky Ashary</t>
  </si>
  <si>
    <t>Suryopranoto</t>
  </si>
  <si>
    <t>6281281926119</t>
  </si>
  <si>
    <t>T-160</t>
  </si>
  <si>
    <t>M-256</t>
  </si>
  <si>
    <t>Jl. Persahabatan Raya 17</t>
  </si>
  <si>
    <t>M-1847</t>
  </si>
  <si>
    <t>Yunnus</t>
  </si>
  <si>
    <t>xmy5179@gmail.com</t>
  </si>
  <si>
    <t>6281234582005</t>
  </si>
  <si>
    <t>M-1927</t>
  </si>
  <si>
    <t>M.Ariz</t>
  </si>
  <si>
    <t>m.ariz.candra@gmail.com</t>
  </si>
  <si>
    <t>62811681611</t>
  </si>
  <si>
    <t>M-408</t>
  </si>
  <si>
    <t>M.Azmi</t>
  </si>
  <si>
    <t>M-1646</t>
  </si>
  <si>
    <t>M.Deni</t>
  </si>
  <si>
    <t>Mustafa</t>
  </si>
  <si>
    <t>628129356097</t>
  </si>
  <si>
    <t>Jl. Pulau Penyengat II/13 Kelapa Gading</t>
  </si>
  <si>
    <t>M-1690</t>
  </si>
  <si>
    <t>M.Dino</t>
  </si>
  <si>
    <t>Ibrano</t>
  </si>
  <si>
    <t>dino-ibrano@yahoo.com</t>
  </si>
  <si>
    <t>M-443</t>
  </si>
  <si>
    <t>Mburak</t>
  </si>
  <si>
    <t>62811844176</t>
  </si>
  <si>
    <t xml:space="preserve">Kayu Putih Tengah I D/1
Jakarta Timur</t>
  </si>
  <si>
    <t>M-1294</t>
  </si>
  <si>
    <t>M.Hatta</t>
  </si>
  <si>
    <t>M-1517</t>
  </si>
  <si>
    <t>+62811920778</t>
  </si>
  <si>
    <t>M-523</t>
  </si>
  <si>
    <t>M.Khisky</t>
  </si>
  <si>
    <t>B,SH</t>
  </si>
  <si>
    <t>M-214</t>
  </si>
  <si>
    <t>M.Ramdani</t>
  </si>
  <si>
    <t>Basri</t>
  </si>
  <si>
    <t>JL.Mendut No.3 Menteng</t>
  </si>
  <si>
    <t>M-1174</t>
  </si>
  <si>
    <t>M.Reza</t>
  </si>
  <si>
    <t>Cas</t>
  </si>
  <si>
    <t>M-1742</t>
  </si>
  <si>
    <t>M.Sabirin</t>
  </si>
  <si>
    <t>M-483</t>
  </si>
  <si>
    <t>M.Siregar</t>
  </si>
  <si>
    <t>M-665</t>
  </si>
  <si>
    <t>M.Taufik</t>
  </si>
  <si>
    <t xml:space="preserve">Jl.Tebet Raya No 12
Jak-Sel</t>
  </si>
  <si>
    <t>M-1691</t>
  </si>
  <si>
    <t>M.Zainury</t>
  </si>
  <si>
    <t>M-644</t>
  </si>
  <si>
    <t>M0ataz</t>
  </si>
  <si>
    <t>Mogaddam</t>
  </si>
  <si>
    <t>mu4az82@gmail.com</t>
  </si>
  <si>
    <t>00966-569297270</t>
  </si>
  <si>
    <t>M-1779</t>
  </si>
  <si>
    <t>Ma A</t>
  </si>
  <si>
    <t>akimregina@gmail.com</t>
  </si>
  <si>
    <t>+628129239866</t>
  </si>
  <si>
    <t>Daan Mogot Baru, Jl. Ubud Utara Blok JA/30</t>
  </si>
  <si>
    <t>M-1715</t>
  </si>
  <si>
    <t>Jianrong</t>
  </si>
  <si>
    <t>M-1952</t>
  </si>
  <si>
    <t>Ma Lourdes</t>
  </si>
  <si>
    <t>Villareal</t>
  </si>
  <si>
    <t>+6281808791260</t>
  </si>
  <si>
    <t>M-0792</t>
  </si>
  <si>
    <t>Zhenyu</t>
  </si>
  <si>
    <t>84377483@qq.com</t>
  </si>
  <si>
    <t>Hejiang</t>
  </si>
  <si>
    <t>M-1760</t>
  </si>
  <si>
    <t>Ma,</t>
  </si>
  <si>
    <t>258416602@qq.com</t>
  </si>
  <si>
    <t>M-1855</t>
  </si>
  <si>
    <t>Jiadi</t>
  </si>
  <si>
    <t>13178021152@163.com</t>
  </si>
  <si>
    <t>8617805056383</t>
  </si>
  <si>
    <t>M-1951</t>
  </si>
  <si>
    <t>Lintao</t>
  </si>
  <si>
    <t>alunsky@foxmail.com</t>
  </si>
  <si>
    <t>8613607671165</t>
  </si>
  <si>
    <t>M-1950</t>
  </si>
  <si>
    <t>Shufang</t>
  </si>
  <si>
    <t>mashufang@163.com</t>
  </si>
  <si>
    <t>8618913813800</t>
  </si>
  <si>
    <t>M-586</t>
  </si>
  <si>
    <t>Maali</t>
  </si>
  <si>
    <t>Alsalem</t>
  </si>
  <si>
    <t xml:space="preserve">Mega Kuningan
Airlangga Apartemen
No 45A</t>
  </si>
  <si>
    <t>M-487</t>
  </si>
  <si>
    <t>Maatri</t>
  </si>
  <si>
    <t>Djorjhi</t>
  </si>
  <si>
    <t>M-1894</t>
  </si>
  <si>
    <t>Macnguyen</t>
  </si>
  <si>
    <t>Jessica Truc</t>
  </si>
  <si>
    <t>jessica.truongtttt@gmail.com</t>
  </si>
  <si>
    <t>19493460222</t>
  </si>
  <si>
    <t>M-1857</t>
  </si>
  <si>
    <t>mada Ayu</t>
  </si>
  <si>
    <t>Habsari</t>
  </si>
  <si>
    <t>6281388010079</t>
  </si>
  <si>
    <t>Jln. Danau Limbooto B1-52</t>
  </si>
  <si>
    <t>M-1440</t>
  </si>
  <si>
    <t>Mada</t>
  </si>
  <si>
    <t>Damanik</t>
  </si>
  <si>
    <t>M-626</t>
  </si>
  <si>
    <t>M-1665</t>
  </si>
  <si>
    <t>M-0931</t>
  </si>
  <si>
    <t>Dhanu</t>
  </si>
  <si>
    <t xml:space="preserve">delta raya selatan no.33
sidoarjo</t>
  </si>
  <si>
    <t>M-1565</t>
  </si>
  <si>
    <t>M-528</t>
  </si>
  <si>
    <t>M-1804</t>
  </si>
  <si>
    <t>Martawan</t>
  </si>
  <si>
    <t>made.martawan81@gmail.com</t>
  </si>
  <si>
    <t>6281218288466</t>
  </si>
  <si>
    <t>Perum Kota Wisata Cluster Barcelona SB 5No.15</t>
  </si>
  <si>
    <t>M-1839</t>
  </si>
  <si>
    <t>Antari</t>
  </si>
  <si>
    <t>nurwiek.antari20@gmail.com</t>
  </si>
  <si>
    <t>Jl. Tukad Barito No.23, Panjer, 80225, DPS</t>
  </si>
  <si>
    <t>M-0790</t>
  </si>
  <si>
    <t>Made Pon</t>
  </si>
  <si>
    <t>Mediani</t>
  </si>
  <si>
    <t>mediani.sena@gmail.com</t>
  </si>
  <si>
    <t>628123810124</t>
  </si>
  <si>
    <t>JL. WR. Supratman no 34 Denpasar</t>
  </si>
  <si>
    <t>M-1727</t>
  </si>
  <si>
    <t>Suardana</t>
  </si>
  <si>
    <t>M-1663</t>
  </si>
  <si>
    <t>Wartana</t>
  </si>
  <si>
    <t>Jl Perak Barat 117, Surabaya</t>
  </si>
  <si>
    <t>M-343</t>
  </si>
  <si>
    <t>Wiley</t>
  </si>
  <si>
    <t>M-1560</t>
  </si>
  <si>
    <t>Yosefa</t>
  </si>
  <si>
    <t>M-1362</t>
  </si>
  <si>
    <t>Madhu</t>
  </si>
  <si>
    <t>Agawal</t>
  </si>
  <si>
    <t>madhu.agarwal6761@gmail.com</t>
  </si>
  <si>
    <t>6281510283154</t>
  </si>
  <si>
    <t>M-1788</t>
  </si>
  <si>
    <t>+919650833396</t>
  </si>
  <si>
    <t>Aparment 2B Pakubuwono Signature</t>
  </si>
  <si>
    <t>M-762</t>
  </si>
  <si>
    <t>Madi</t>
  </si>
  <si>
    <t>Rahmadi</t>
  </si>
  <si>
    <t>M-1827</t>
  </si>
  <si>
    <t>Madiasta</t>
  </si>
  <si>
    <t>Sricista</t>
  </si>
  <si>
    <t>msrista@gmail.com</t>
  </si>
  <si>
    <t>6287722048808</t>
  </si>
  <si>
    <t>Sudirman Park</t>
  </si>
  <si>
    <t>M-1667</t>
  </si>
  <si>
    <t>Maeda</t>
  </si>
  <si>
    <t>M-1885</t>
  </si>
  <si>
    <t>Maega</t>
  </si>
  <si>
    <t>maegafron@gmail.com</t>
  </si>
  <si>
    <t>628118070799</t>
  </si>
  <si>
    <t>M-1466</t>
  </si>
  <si>
    <t>Maesa</t>
  </si>
  <si>
    <t>Kemanggisan Jaya N0.6</t>
  </si>
  <si>
    <t>M-0889</t>
  </si>
  <si>
    <t>Magda</t>
  </si>
  <si>
    <t>Lippo Karawaci Utara</t>
  </si>
  <si>
    <t>M-1799</t>
  </si>
  <si>
    <t>628161813522</t>
  </si>
  <si>
    <t>M-628</t>
  </si>
  <si>
    <t>Sholachuddin</t>
  </si>
  <si>
    <t>sholachuddin78@gmail.com</t>
  </si>
  <si>
    <t>Billymoon Jl. Kelapa Kuning VIII H3 No.5</t>
  </si>
  <si>
    <t>M-691</t>
  </si>
  <si>
    <t>Silitonga</t>
  </si>
  <si>
    <t>M-580</t>
  </si>
  <si>
    <t>Pacific Place Apart. tower Unit 26 B</t>
  </si>
  <si>
    <t>M-1770</t>
  </si>
  <si>
    <t>Mage</t>
  </si>
  <si>
    <t>Paramastri</t>
  </si>
  <si>
    <t>mageparamastri@hotmail.com</t>
  </si>
  <si>
    <t>+628111959797</t>
  </si>
  <si>
    <t>M-602</t>
  </si>
  <si>
    <t>Maggie</t>
  </si>
  <si>
    <t>M-1232</t>
  </si>
  <si>
    <t>Michella</t>
  </si>
  <si>
    <t>M-1504</t>
  </si>
  <si>
    <t>oliviamaggie9@gmail.com</t>
  </si>
  <si>
    <t>6281296037234</t>
  </si>
  <si>
    <t xml:space="preserve">Jl. Rambutan Raya No.1 Tanjung Duren 
Jak Bar 11470</t>
  </si>
  <si>
    <t>M-1448</t>
  </si>
  <si>
    <t>M-1728</t>
  </si>
  <si>
    <t>Residence 8 Senopati</t>
  </si>
  <si>
    <t>M-1871</t>
  </si>
  <si>
    <t>Maglika</t>
  </si>
  <si>
    <t>Pramesti</t>
  </si>
  <si>
    <t>maglikasv@gmail.com</t>
  </si>
  <si>
    <t>6282244999999</t>
  </si>
  <si>
    <t>M-513</t>
  </si>
  <si>
    <t>Maha</t>
  </si>
  <si>
    <t>M-1830</t>
  </si>
  <si>
    <t>Kajal</t>
  </si>
  <si>
    <t>Mahajan</t>
  </si>
  <si>
    <t>+919999989357</t>
  </si>
  <si>
    <t>Delhi, Delhi</t>
  </si>
  <si>
    <t>M-0862</t>
  </si>
  <si>
    <t>Mahanugra</t>
  </si>
  <si>
    <t>Kinzana</t>
  </si>
  <si>
    <t>mahanugra@gmail.com</t>
  </si>
  <si>
    <t>Pacific Place Residence T ower1 16B</t>
  </si>
  <si>
    <t>M-1474</t>
  </si>
  <si>
    <t>M-1841</t>
  </si>
  <si>
    <t>Maharani sari</t>
  </si>
  <si>
    <t>ranihendria@gmail.com</t>
  </si>
  <si>
    <t>6281332693919</t>
  </si>
  <si>
    <t>M-1223</t>
  </si>
  <si>
    <t>M-1935</t>
  </si>
  <si>
    <t>Mahatma Ilham</t>
  </si>
  <si>
    <t>62811101956</t>
  </si>
  <si>
    <t>M-1733</t>
  </si>
  <si>
    <t>Mahbub</t>
  </si>
  <si>
    <t>Shabnam</t>
  </si>
  <si>
    <t>Bangladesh</t>
  </si>
  <si>
    <t>M-708</t>
  </si>
  <si>
    <t>Mahdi</t>
  </si>
  <si>
    <t>M-004</t>
  </si>
  <si>
    <t>Mahdiana</t>
  </si>
  <si>
    <t>Jl. Tanjung Mas Raya Estate Blok A-9 No. 1</t>
  </si>
  <si>
    <t>M-1297</t>
  </si>
  <si>
    <t>Mahfuz</t>
  </si>
  <si>
    <t>M-1468</t>
  </si>
  <si>
    <t>Mahirah</t>
  </si>
  <si>
    <t>Mahusin</t>
  </si>
  <si>
    <t>M-687</t>
  </si>
  <si>
    <t>Mahirudin</t>
  </si>
  <si>
    <t>Achmads</t>
  </si>
  <si>
    <t>mahir.achmad@gmail.com</t>
  </si>
  <si>
    <t>Pondok Bambu Asri blok A4/6</t>
  </si>
  <si>
    <t>M-474</t>
  </si>
  <si>
    <t>Mahmud</t>
  </si>
  <si>
    <t>M-1306</t>
  </si>
  <si>
    <t>Djunaidi</t>
  </si>
  <si>
    <t>M-259</t>
  </si>
  <si>
    <t>Madjid</t>
  </si>
  <si>
    <t>M-1904</t>
  </si>
  <si>
    <t>Mahmudi</t>
  </si>
  <si>
    <t>mahmudi66@gmail.com</t>
  </si>
  <si>
    <t>+62882003933296</t>
  </si>
  <si>
    <t>M-341</t>
  </si>
  <si>
    <t>Mahpud</t>
  </si>
  <si>
    <t>Djabir</t>
  </si>
  <si>
    <t>M-541</t>
  </si>
  <si>
    <t>Mahyasari</t>
  </si>
  <si>
    <t>Kris</t>
  </si>
  <si>
    <t>Jl. radio V  nO.2 kEBAYORAN bARU</t>
  </si>
  <si>
    <t>M-0785</t>
  </si>
  <si>
    <t>Sarah</t>
  </si>
  <si>
    <t>aredaydidans@gmail.com</t>
  </si>
  <si>
    <t>Apartement Mediterania 1 tanjung duren</t>
  </si>
  <si>
    <t>M-339</t>
  </si>
  <si>
    <t>Maihendrasmi</t>
  </si>
  <si>
    <t>62811821365</t>
  </si>
  <si>
    <t xml:space="preserve">Komplek Tanjung Barat Indah
Jl. Teratai III B. no.4</t>
  </si>
  <si>
    <t>M-1407</t>
  </si>
  <si>
    <t>Maike</t>
  </si>
  <si>
    <t>ancol</t>
  </si>
  <si>
    <t>M-1757</t>
  </si>
  <si>
    <t>Maisoun</t>
  </si>
  <si>
    <t>Alnabhani</t>
  </si>
  <si>
    <t>freedom863@gmail.com</t>
  </si>
  <si>
    <t>Abu Dhabi, United Arab Emirates</t>
  </si>
  <si>
    <t>M-727</t>
  </si>
  <si>
    <t>Maisyarah</t>
  </si>
  <si>
    <t>M-1629</t>
  </si>
  <si>
    <t>Maitriya</t>
  </si>
  <si>
    <t>Jeddy</t>
  </si>
  <si>
    <t>MEDITERANIA BOULEVARD ROME 5 NO,15 PIK</t>
  </si>
  <si>
    <t>M-572</t>
  </si>
  <si>
    <t>Maja</t>
  </si>
  <si>
    <t>M-1755</t>
  </si>
  <si>
    <t>Makarenko</t>
  </si>
  <si>
    <t>M-1349</t>
  </si>
  <si>
    <t>Makarti</t>
  </si>
  <si>
    <t>Ningrum</t>
  </si>
  <si>
    <t>M-1741</t>
  </si>
  <si>
    <t>Makhaeheva</t>
  </si>
  <si>
    <t>Zarina</t>
  </si>
  <si>
    <t>M-574</t>
  </si>
  <si>
    <t>Katsazoki</t>
  </si>
  <si>
    <t>M-0848</t>
  </si>
  <si>
    <t>Tamai</t>
  </si>
  <si>
    <t>dna1mt@gmail.com</t>
  </si>
  <si>
    <t>M-1559</t>
  </si>
  <si>
    <t>Mala</t>
  </si>
  <si>
    <t>M-1807</t>
  </si>
  <si>
    <t>Malahayati</t>
  </si>
  <si>
    <t>mbintang2708@gmail.com</t>
  </si>
  <si>
    <t>6282268882727</t>
  </si>
  <si>
    <t>M-1914</t>
  </si>
  <si>
    <t>Malaikha</t>
  </si>
  <si>
    <t>Kridaman</t>
  </si>
  <si>
    <t>malaikhadayanara@gmail.com</t>
  </si>
  <si>
    <t>628119989771</t>
  </si>
  <si>
    <t>Jl. Oakwood No.1 Permata Hijau, Jakarta Selatan - 12250</t>
  </si>
  <si>
    <t>M-1920</t>
  </si>
  <si>
    <t>Maleeva</t>
  </si>
  <si>
    <t>Lestari,</t>
  </si>
  <si>
    <t>maleevalee@hotmail.com</t>
  </si>
  <si>
    <t>6287867970374</t>
  </si>
  <si>
    <t>Komp. Mutiara Palace</t>
  </si>
  <si>
    <t>Sumatera Barat</t>
  </si>
  <si>
    <t>M-1890</t>
  </si>
  <si>
    <t>Malek</t>
  </si>
  <si>
    <t>Qaisi</t>
  </si>
  <si>
    <t>malekqaisi@gmail.com</t>
  </si>
  <si>
    <t>966983898036</t>
  </si>
  <si>
    <t>M-1672</t>
  </si>
  <si>
    <t>Maliana</t>
  </si>
  <si>
    <t>Malkan</t>
  </si>
  <si>
    <t>JALAN CILANDAK IX/4 JAKARTA</t>
  </si>
  <si>
    <t>M-0890</t>
  </si>
  <si>
    <t>Maliki</t>
  </si>
  <si>
    <t>Nahdi</t>
  </si>
  <si>
    <t>malikialnahdi@gmail.com</t>
  </si>
  <si>
    <t>M-1938</t>
  </si>
  <si>
    <t>Malina Rae</t>
  </si>
  <si>
    <t>Kuhn</t>
  </si>
  <si>
    <t>malinaraekuhn@gmail.com</t>
  </si>
  <si>
    <t>18059018491</t>
  </si>
  <si>
    <t>Los Angeles</t>
  </si>
  <si>
    <t>M-1880</t>
  </si>
  <si>
    <t>Maltseva</t>
  </si>
  <si>
    <t>tropicphoto_maria@mail.ru</t>
  </si>
  <si>
    <t>79956198547</t>
  </si>
  <si>
    <t>M-1649</t>
  </si>
  <si>
    <t>Malvern</t>
  </si>
  <si>
    <t>M-461</t>
  </si>
  <si>
    <t>Mamiek</t>
  </si>
  <si>
    <t>M-725</t>
  </si>
  <si>
    <t>Mamik</t>
  </si>
  <si>
    <t>M-1090</t>
  </si>
  <si>
    <t>Mamu</t>
  </si>
  <si>
    <t>M-1082</t>
  </si>
  <si>
    <t>Mamur</t>
  </si>
  <si>
    <t>628129693717</t>
  </si>
  <si>
    <t>M-364</t>
  </si>
  <si>
    <t>Manana</t>
  </si>
  <si>
    <t>Taswin</t>
  </si>
  <si>
    <t>M-366</t>
  </si>
  <si>
    <t>Manani</t>
  </si>
  <si>
    <t>Jl. Wahidin No.89E</t>
  </si>
  <si>
    <t>M-375</t>
  </si>
  <si>
    <t>Mancel</t>
  </si>
  <si>
    <t>Mancesar</t>
  </si>
  <si>
    <t>M-1354</t>
  </si>
  <si>
    <t>M-625</t>
  </si>
  <si>
    <t>Mangara</t>
  </si>
  <si>
    <t>Pardede</t>
  </si>
  <si>
    <t>M-379</t>
  </si>
  <si>
    <t>Mangkunegoro</t>
  </si>
  <si>
    <t>M-1929</t>
  </si>
  <si>
    <t>Oleh</t>
  </si>
  <si>
    <t>Manhurenko</t>
  </si>
  <si>
    <t>oleg.manana@gmail.com</t>
  </si>
  <si>
    <t>971556468529</t>
  </si>
  <si>
    <t>M-367</t>
  </si>
  <si>
    <t>Mano</t>
  </si>
  <si>
    <t>M-1873</t>
  </si>
  <si>
    <t>Manodham</t>
  </si>
  <si>
    <t>Prabhawat</t>
  </si>
  <si>
    <t>manodham@hotmail.com</t>
  </si>
  <si>
    <t>66816152233</t>
  </si>
  <si>
    <t>M-016</t>
  </si>
  <si>
    <t>Mansyur</t>
  </si>
  <si>
    <t>Jl. Cidurian No. 11A</t>
  </si>
  <si>
    <t>M-0953</t>
  </si>
  <si>
    <t>Mantasia</t>
  </si>
  <si>
    <t>M-1843</t>
  </si>
  <si>
    <t>Manuel Antonio</t>
  </si>
  <si>
    <t>Saturno Escala</t>
  </si>
  <si>
    <t>matoso.diogo@gmail.com</t>
  </si>
  <si>
    <t>+628111775071</t>
  </si>
  <si>
    <t>M-1926</t>
  </si>
  <si>
    <t>Manuel</t>
  </si>
  <si>
    <t>Conrad</t>
  </si>
  <si>
    <t>62818480143</t>
  </si>
  <si>
    <t>M-0912</t>
  </si>
  <si>
    <t>Mao</t>
  </si>
  <si>
    <t>M-1661</t>
  </si>
  <si>
    <t>Marashi</t>
  </si>
  <si>
    <t>Nedasadat</t>
  </si>
  <si>
    <t>M-1568</t>
  </si>
  <si>
    <t>Marc</t>
  </si>
  <si>
    <t>Miller</t>
  </si>
  <si>
    <t>M-0772</t>
  </si>
  <si>
    <t>Marcel</t>
  </si>
  <si>
    <t>M-1861</t>
  </si>
  <si>
    <t>Marcel Aubrey</t>
  </si>
  <si>
    <t>Lindale</t>
  </si>
  <si>
    <t>marc@blackstar.nz</t>
  </si>
  <si>
    <t>6421900500</t>
  </si>
  <si>
    <t>New Zealand</t>
  </si>
  <si>
    <t>M-728</t>
  </si>
  <si>
    <t>Kaligis</t>
  </si>
  <si>
    <t>M-1585</t>
  </si>
  <si>
    <t>Marcelia</t>
  </si>
  <si>
    <t>Felliria</t>
  </si>
  <si>
    <t>62818221392</t>
  </si>
  <si>
    <t>M-1705</t>
  </si>
  <si>
    <t>Marcelina</t>
  </si>
  <si>
    <t>Yung</t>
  </si>
  <si>
    <t>M-1541</t>
  </si>
  <si>
    <t>M-0820</t>
  </si>
  <si>
    <t>M-017</t>
  </si>
  <si>
    <t>M-1586</t>
  </si>
  <si>
    <t>anastasia.marcella@gmail.com</t>
  </si>
  <si>
    <t>Aristoteles selatan 1 no. 3, Tangerang</t>
  </si>
  <si>
    <t>M-0869</t>
  </si>
  <si>
    <t>M-1238</t>
  </si>
  <si>
    <t>M-018</t>
  </si>
  <si>
    <t>M-1695</t>
  </si>
  <si>
    <t>Zalianty</t>
  </si>
  <si>
    <t>M-1305</t>
  </si>
  <si>
    <t>Marcella.</t>
  </si>
  <si>
    <t>M-1345</t>
  </si>
  <si>
    <t>M-1884</t>
  </si>
  <si>
    <t>Marcellina</t>
  </si>
  <si>
    <t>6285175168822</t>
  </si>
  <si>
    <t>M-1883</t>
  </si>
  <si>
    <t>Marcellino</t>
  </si>
  <si>
    <t>Maynard Audie Putra</t>
  </si>
  <si>
    <t>6281213877294</t>
  </si>
  <si>
    <t>M-1749</t>
  </si>
  <si>
    <t>Marcello</t>
  </si>
  <si>
    <t>Decaran</t>
  </si>
  <si>
    <t>Purworejo 17 Menteng</t>
  </si>
  <si>
    <t>M-1365</t>
  </si>
  <si>
    <t>Marcha</t>
  </si>
  <si>
    <t>Ramadan</t>
  </si>
  <si>
    <t>+6281287328490</t>
  </si>
  <si>
    <t>M-020</t>
  </si>
  <si>
    <t>Marchelina</t>
  </si>
  <si>
    <t>M-1579</t>
  </si>
  <si>
    <t>Marchella</t>
  </si>
  <si>
    <t>KKLB1131@gmail.com</t>
  </si>
  <si>
    <t>M-1492</t>
  </si>
  <si>
    <t>Marcia</t>
  </si>
  <si>
    <t>Sumampow</t>
  </si>
  <si>
    <t>Bukit Darmo Golf I/27 SAurabaya 60226</t>
  </si>
  <si>
    <t>M-1846</t>
  </si>
  <si>
    <t>marciadevinas11@gmail.com</t>
  </si>
  <si>
    <t>628128878888</t>
  </si>
  <si>
    <t>M-023</t>
  </si>
  <si>
    <t>Williantono</t>
  </si>
  <si>
    <t>M-0843</t>
  </si>
  <si>
    <t>M-1806</t>
  </si>
  <si>
    <t>hidayatm308@gmail..com</t>
  </si>
  <si>
    <t>6281296080858</t>
  </si>
  <si>
    <t>Jl. Haji Laini I No.50, Jakarta, 12410</t>
  </si>
  <si>
    <t>M-0962</t>
  </si>
  <si>
    <t>H-1098</t>
  </si>
  <si>
    <t>Volker</t>
  </si>
  <si>
    <t>M-1019</t>
  </si>
  <si>
    <t>marcowijaya@gmail.com</t>
  </si>
  <si>
    <t>Jl. Bangka XI A no.16</t>
  </si>
  <si>
    <t>M-1713</t>
  </si>
  <si>
    <t>Marconati</t>
  </si>
  <si>
    <t>+39346747685</t>
  </si>
  <si>
    <t>M-1750</t>
  </si>
  <si>
    <t>M-1817</t>
  </si>
  <si>
    <t>Marcy</t>
  </si>
  <si>
    <t>marcy.geovani@gmail.com</t>
  </si>
  <si>
    <t>+6287809253100</t>
  </si>
  <si>
    <t>M-0999</t>
  </si>
  <si>
    <t>Mardiana</t>
  </si>
  <si>
    <t>62811657032</t>
  </si>
  <si>
    <t>M-1229</t>
  </si>
  <si>
    <t>Mardianto</t>
  </si>
  <si>
    <t xml:space="preserve">Jl. Gunung Merapi VI Blok U2 No. 21
Giriloka 2
Bumi Serpong Damai</t>
  </si>
  <si>
    <t>M-1863</t>
  </si>
  <si>
    <t>mardiantowijaya@gmail.com</t>
  </si>
  <si>
    <t>+6281802059041</t>
  </si>
  <si>
    <t>Serenia Hills Cluster Quantum</t>
  </si>
  <si>
    <t>M-0775</t>
  </si>
  <si>
    <t>Mardjoko</t>
  </si>
  <si>
    <t>M-1870</t>
  </si>
  <si>
    <t>Marelli</t>
  </si>
  <si>
    <t>emanuele.marelli@insead.edu</t>
  </si>
  <si>
    <t>+6281315306363</t>
  </si>
  <si>
    <t>M-1947</t>
  </si>
  <si>
    <t>Maretha</t>
  </si>
  <si>
    <t>Ngaditono</t>
  </si>
  <si>
    <t>maretha.ngaditono@gmail.com</t>
  </si>
  <si>
    <t>+62818661866</t>
  </si>
  <si>
    <t>M-0992</t>
  </si>
  <si>
    <t>fifi</t>
  </si>
  <si>
    <t>Marfina</t>
  </si>
  <si>
    <t>6281293978863</t>
  </si>
  <si>
    <t>Jl. Delima No.32 Tomang RT 08/06</t>
  </si>
  <si>
    <t>M-1084</t>
  </si>
  <si>
    <t>Margaret</t>
  </si>
  <si>
    <t>M-1239</t>
  </si>
  <si>
    <t>Isabela</t>
  </si>
  <si>
    <t>M-1093</t>
  </si>
  <si>
    <t>Setepani</t>
  </si>
  <si>
    <t>M-1835</t>
  </si>
  <si>
    <t>Magaret</t>
  </si>
  <si>
    <t>+628123048795</t>
  </si>
  <si>
    <t>Dharmahusada Indah Timur M-5/236, Surabaya</t>
  </si>
  <si>
    <t>M-1495</t>
  </si>
  <si>
    <t>Tjahjono</t>
  </si>
  <si>
    <t>Jalan Kramat 2 No 30 Kwitang</t>
  </si>
  <si>
    <t>M-1077</t>
  </si>
  <si>
    <t>Margareta</t>
  </si>
  <si>
    <t>M-1139</t>
  </si>
  <si>
    <t>Margareth</t>
  </si>
  <si>
    <t>M-507</t>
  </si>
  <si>
    <t>Margaretha</t>
  </si>
  <si>
    <t>M-305</t>
  </si>
  <si>
    <t>Pudyastini</t>
  </si>
  <si>
    <t>M-1381</t>
  </si>
  <si>
    <t>M-459</t>
  </si>
  <si>
    <t>Margarethe</t>
  </si>
  <si>
    <t>Hadisuwarno</t>
  </si>
  <si>
    <t>M-462</t>
  </si>
  <si>
    <t>Margaretjh</t>
  </si>
  <si>
    <t>M-1854</t>
  </si>
  <si>
    <t>Margarita</t>
  </si>
  <si>
    <t>Kanunnikoova</t>
  </si>
  <si>
    <t>79035433310</t>
  </si>
  <si>
    <t>M-0847</t>
  </si>
  <si>
    <t>Margono</t>
  </si>
  <si>
    <t>M-045</t>
  </si>
  <si>
    <t>Mari</t>
  </si>
  <si>
    <t>Plaza Residence</t>
  </si>
  <si>
    <t>M-0922</t>
  </si>
  <si>
    <t>M-653</t>
  </si>
  <si>
    <t>M-302</t>
  </si>
  <si>
    <t>M-0961</t>
  </si>
  <si>
    <t>M-676</t>
  </si>
  <si>
    <t>6281339161908</t>
  </si>
  <si>
    <t>M-764</t>
  </si>
  <si>
    <t>Adalia</t>
  </si>
  <si>
    <t>M-1753</t>
  </si>
  <si>
    <t>Adina</t>
  </si>
  <si>
    <t>madina.tontey@gmail.com</t>
  </si>
  <si>
    <t>628118402606</t>
  </si>
  <si>
    <t>Jl.Buncit Persada Kav B2</t>
  </si>
  <si>
    <t>M-295</t>
  </si>
  <si>
    <t>The Villas VG/10 MOI Gading</t>
  </si>
  <si>
    <t>M-027</t>
  </si>
  <si>
    <t>Adriani Kidarsa</t>
  </si>
  <si>
    <t>+62816711859</t>
  </si>
  <si>
    <t>Hang Tuah 8 No.5 Kebayoran Baru</t>
  </si>
  <si>
    <t>M-1887</t>
  </si>
  <si>
    <t>Maria Angeline</t>
  </si>
  <si>
    <t>mariaangelinek@gmail.com</t>
  </si>
  <si>
    <t>6289695550971</t>
  </si>
  <si>
    <t>M-1656</t>
  </si>
  <si>
    <t>Jln. Menteng Pulo II Gg ix no.7</t>
  </si>
  <si>
    <t>M-1941</t>
  </si>
  <si>
    <t>Assuncao</t>
  </si>
  <si>
    <t>67077241322</t>
  </si>
  <si>
    <t>Timor-Leste</t>
  </si>
  <si>
    <t>M-1635</t>
  </si>
  <si>
    <t>M-1521</t>
  </si>
  <si>
    <t>Tinny</t>
  </si>
  <si>
    <t>M-1024</t>
  </si>
  <si>
    <t>M-1039</t>
  </si>
  <si>
    <t>M-1575</t>
  </si>
  <si>
    <t>M-1747</t>
  </si>
  <si>
    <t>Djuanda</t>
  </si>
  <si>
    <t>M-1821</t>
  </si>
  <si>
    <t>E.R.S</t>
  </si>
  <si>
    <t>sudjuangon@gmail.com</t>
  </si>
  <si>
    <t>628128814693</t>
  </si>
  <si>
    <t>M-0948</t>
  </si>
  <si>
    <t>Ekowati</t>
  </si>
  <si>
    <t>E-0728</t>
  </si>
  <si>
    <t>G Ernawati Harman,drg. Sp Bm</t>
  </si>
  <si>
    <t>+628118702415</t>
  </si>
  <si>
    <t>Jl.H.Sijan No.99 Lebak Bulus</t>
  </si>
  <si>
    <t>M-550</t>
  </si>
  <si>
    <t>Kasim</t>
  </si>
  <si>
    <t>febby.alisan@yahoo.com</t>
  </si>
  <si>
    <t xml:space="preserve">Jl. Sutera Onyx XII / No. 20
Kel Paknalam
Kecamatan Serpong Utara</t>
  </si>
  <si>
    <t>M-766</t>
  </si>
  <si>
    <t>Heyder</t>
  </si>
  <si>
    <t>M-283</t>
  </si>
  <si>
    <t>Islamova</t>
  </si>
  <si>
    <t>M-0821</t>
  </si>
  <si>
    <t>M-0937</t>
  </si>
  <si>
    <t>Jl Kelapa Puan Timur G NB 6/19 JAKARTA UTARA</t>
  </si>
  <si>
    <t>M-0875</t>
  </si>
  <si>
    <t>628122011500</t>
  </si>
  <si>
    <t>M-634</t>
  </si>
  <si>
    <t>M-1721</t>
  </si>
  <si>
    <t>M-1126</t>
  </si>
  <si>
    <t>+628159102324</t>
  </si>
  <si>
    <t>M-1771</t>
  </si>
  <si>
    <t>628158007373</t>
  </si>
  <si>
    <t>JL.Green Garden Blok F3/4 Jakarta- Barat</t>
  </si>
  <si>
    <t>M-0885</t>
  </si>
  <si>
    <t>M-0845</t>
  </si>
  <si>
    <t>mluciana_2302@yahoo.com</t>
  </si>
  <si>
    <t>6281510153030</t>
  </si>
  <si>
    <t>M-435</t>
  </si>
  <si>
    <t>M-034</t>
  </si>
  <si>
    <t>Kresnadi</t>
  </si>
  <si>
    <t xml:space="preserve">Jl.Bangka XI C/3A
Jakarta Selatan 12920</t>
  </si>
  <si>
    <t>M-1073</t>
  </si>
  <si>
    <t>JL SUNAN AMPEL 1 NO11</t>
  </si>
  <si>
    <t>MAGELANG</t>
  </si>
  <si>
    <t>M-468</t>
  </si>
  <si>
    <t>Maulida</t>
  </si>
  <si>
    <t>M-033</t>
  </si>
  <si>
    <t>Mawarwati</t>
  </si>
  <si>
    <t>Jl. Wuluk I No. 30</t>
  </si>
  <si>
    <t>M-1944</t>
  </si>
  <si>
    <t>Meidy Koraag</t>
  </si>
  <si>
    <t>6281298077707</t>
  </si>
  <si>
    <t>M-1924</t>
  </si>
  <si>
    <t>Melisa</t>
  </si>
  <si>
    <t>628119709400</t>
  </si>
  <si>
    <t>M-038</t>
  </si>
  <si>
    <t>Natawidigdo</t>
  </si>
  <si>
    <t>JL.Kemang Selatan 1 No.10</t>
  </si>
  <si>
    <t>P-1073</t>
  </si>
  <si>
    <t>Paffrath</t>
  </si>
  <si>
    <t>mpaffath@mail.ru</t>
  </si>
  <si>
    <t>971581583187</t>
  </si>
  <si>
    <t>M-1054</t>
  </si>
  <si>
    <t>Rahajeng</t>
  </si>
  <si>
    <t>M-1123</t>
  </si>
  <si>
    <t>Jl Cempaka Bulak no 99A</t>
  </si>
  <si>
    <t>M-1945</t>
  </si>
  <si>
    <t>Rosalin</t>
  </si>
  <si>
    <t>rosalinautama@gmail.com</t>
  </si>
  <si>
    <t>6281928408888</t>
  </si>
  <si>
    <t>Am sangaji Tr II/102</t>
  </si>
  <si>
    <t>M-577</t>
  </si>
  <si>
    <t>Rudianto</t>
  </si>
  <si>
    <t>Apartment Sudirman Mansion</t>
  </si>
  <si>
    <t>M-1879</t>
  </si>
  <si>
    <t>mw.sahara@gmail.com</t>
  </si>
  <si>
    <t>6287708778591</t>
  </si>
  <si>
    <t>Jl.Garnisun No.8 Jaksel</t>
  </si>
  <si>
    <t>M-0990</t>
  </si>
  <si>
    <t>Selena</t>
  </si>
  <si>
    <t>M-768</t>
  </si>
  <si>
    <t>Shita</t>
  </si>
  <si>
    <t>mhutauruk@gmail.com</t>
  </si>
  <si>
    <t>628158192728</t>
  </si>
  <si>
    <t>M-545</t>
  </si>
  <si>
    <t>M-716</t>
  </si>
  <si>
    <t>Syailendra</t>
  </si>
  <si>
    <t>M-1571</t>
  </si>
  <si>
    <t>Taylor</t>
  </si>
  <si>
    <t>Macau</t>
  </si>
  <si>
    <t>M-1454</t>
  </si>
  <si>
    <t>Suhardja</t>
  </si>
  <si>
    <t>M-1862</t>
  </si>
  <si>
    <t>cucurut28@yahoo.com</t>
  </si>
  <si>
    <t>6287822118879</t>
  </si>
  <si>
    <t>M-1058</t>
  </si>
  <si>
    <t>Mariah</t>
  </si>
  <si>
    <t>M-0967</t>
  </si>
  <si>
    <t>Mariam</t>
  </si>
  <si>
    <t>M-0866</t>
  </si>
  <si>
    <t>Lembawati</t>
  </si>
  <si>
    <t>M-1662</t>
  </si>
  <si>
    <t>Mirakian</t>
  </si>
  <si>
    <t>Vienna</t>
  </si>
  <si>
    <t>M-384</t>
  </si>
  <si>
    <t>M-1316</t>
  </si>
  <si>
    <t>Thee Mariana</t>
  </si>
  <si>
    <t>081295182922</t>
  </si>
  <si>
    <t xml:space="preserve">Apartment Regata Tower Miami Unit PH-B , Jl Raya Pantai Mutiara Pluit, Kec Penjaringan , Jakarta Utara
</t>
  </si>
  <si>
    <t>M-1948</t>
  </si>
  <si>
    <t>628117454506</t>
  </si>
  <si>
    <t>M-445</t>
  </si>
  <si>
    <t>M-1752</t>
  </si>
  <si>
    <t>mariani_mariani81@yahoo.com</t>
  </si>
  <si>
    <t>Layar permai 5/29 PIK</t>
  </si>
  <si>
    <t>M-277</t>
  </si>
  <si>
    <t>M-039</t>
  </si>
  <si>
    <t>M-1860</t>
  </si>
  <si>
    <t>62811920922</t>
  </si>
  <si>
    <t>M-1837</t>
  </si>
  <si>
    <t>Mariati</t>
  </si>
  <si>
    <t>628159974171</t>
  </si>
  <si>
    <t>Jl. Sriwijaya Raya 40</t>
  </si>
  <si>
    <t>M-707</t>
  </si>
  <si>
    <t>Marianti</t>
  </si>
  <si>
    <t>M-601</t>
  </si>
  <si>
    <t>M-582</t>
  </si>
  <si>
    <t>M-659</t>
  </si>
  <si>
    <t>Jachja</t>
  </si>
  <si>
    <t>M-776</t>
  </si>
  <si>
    <t>Mariatun</t>
  </si>
  <si>
    <t>Biantono</t>
  </si>
  <si>
    <t>M-1957</t>
  </si>
  <si>
    <t>Marie</t>
  </si>
  <si>
    <t>0816760192</t>
  </si>
  <si>
    <t>M-1864</t>
  </si>
  <si>
    <t>Marietje</t>
  </si>
  <si>
    <t>Gosal</t>
  </si>
  <si>
    <t>6281322272207</t>
  </si>
  <si>
    <t>Setra Duta Raya Blok L5</t>
  </si>
  <si>
    <t>M-0878</t>
  </si>
  <si>
    <t>Shimamura</t>
  </si>
  <si>
    <t>M-1704</t>
  </si>
  <si>
    <t>Marim</t>
  </si>
  <si>
    <t>M-631</t>
  </si>
  <si>
    <t>M-1791</t>
  </si>
  <si>
    <t>bundabun.17@gmail.com</t>
  </si>
  <si>
    <t>628121670730</t>
  </si>
  <si>
    <t>Jl.Teratai 12 Palu</t>
  </si>
  <si>
    <t>M-525</t>
  </si>
  <si>
    <t>M-338</t>
  </si>
  <si>
    <t>Jl. Taman Semanan Indaah  C6 No.20</t>
  </si>
  <si>
    <t>M-1959</t>
  </si>
  <si>
    <t>Sonina</t>
  </si>
  <si>
    <t>rmv.marina@bk.ru</t>
  </si>
  <si>
    <t>79197729999</t>
  </si>
  <si>
    <t>M-0789</t>
  </si>
  <si>
    <t>Suksmono</t>
  </si>
  <si>
    <t>marina.suksmono@gmail.com</t>
  </si>
  <si>
    <t>+62161307020</t>
  </si>
  <si>
    <t>M-1049</t>
  </si>
  <si>
    <t>Marini</t>
  </si>
  <si>
    <t>pueling@yahoo.com</t>
  </si>
  <si>
    <t>Crown Golf Boulevard No 88 PIK</t>
  </si>
  <si>
    <t>M-049</t>
  </si>
  <si>
    <t>Jl. Muara Karang Blok B 5 Barat No. 5</t>
  </si>
  <si>
    <t>M-569</t>
  </si>
  <si>
    <t>Marinus</t>
  </si>
  <si>
    <t>M-421</t>
  </si>
  <si>
    <t>Mario</t>
  </si>
  <si>
    <t>M-748</t>
  </si>
  <si>
    <t>info@marioardi.com</t>
  </si>
  <si>
    <t>Rasuna Tower 1 unit 8A.Jkt</t>
  </si>
  <si>
    <t>M-050</t>
  </si>
  <si>
    <t>Babin</t>
  </si>
  <si>
    <t>Jl. Patimura 15</t>
  </si>
  <si>
    <t>M-1683</t>
  </si>
  <si>
    <t>Bernardo</t>
  </si>
  <si>
    <t>mariobility@gmail.com</t>
  </si>
  <si>
    <t>The Pick Sudirman</t>
  </si>
  <si>
    <t>M-1057</t>
  </si>
  <si>
    <t>Neno</t>
  </si>
  <si>
    <t>M-581</t>
  </si>
  <si>
    <t>628111099264</t>
  </si>
  <si>
    <t>M-1931</t>
  </si>
  <si>
    <t>mtalingkau@gmail.com</t>
  </si>
  <si>
    <t>+6282244521843</t>
  </si>
  <si>
    <t>Taman Anggrek Residences</t>
  </si>
  <si>
    <t>M-683</t>
  </si>
  <si>
    <t>M-1616</t>
  </si>
  <si>
    <t>Marion</t>
  </si>
  <si>
    <t>M-1805</t>
  </si>
  <si>
    <t>marion.elisabeth2@gmail.com</t>
  </si>
  <si>
    <t>6281310982557</t>
  </si>
  <si>
    <t>Apt Botanica Tower 3</t>
  </si>
  <si>
    <t>M-1859</t>
  </si>
  <si>
    <t>Marisa</t>
  </si>
  <si>
    <t>+62818116363</t>
  </si>
  <si>
    <t>M-052</t>
  </si>
  <si>
    <t>Marisca</t>
  </si>
  <si>
    <t>Mika</t>
  </si>
  <si>
    <t>Jl. Kertosono 2</t>
  </si>
  <si>
    <t>M-679</t>
  </si>
  <si>
    <t>Mariska</t>
  </si>
  <si>
    <t>M-053</t>
  </si>
  <si>
    <t>Jl. Daan Mogot Km. 10</t>
  </si>
  <si>
    <t>Komp. Depag. Kalimati 36-37</t>
  </si>
  <si>
    <t>M-1603</t>
  </si>
  <si>
    <t>Karsana</t>
  </si>
  <si>
    <t>M-1767</t>
  </si>
  <si>
    <t>081222200811</t>
  </si>
  <si>
    <t>M-1899</t>
  </si>
  <si>
    <t>Goszal</t>
  </si>
  <si>
    <t>M-0944</t>
  </si>
  <si>
    <t>Jl.Kemuning 4 No.46</t>
  </si>
  <si>
    <t>M-1175</t>
  </si>
  <si>
    <t>Tanuredja</t>
  </si>
  <si>
    <t>628114341661</t>
  </si>
  <si>
    <t>Jl Jenderal Suprapto No 20</t>
  </si>
  <si>
    <t>M-1088</t>
  </si>
  <si>
    <t>Marisza</t>
  </si>
  <si>
    <t>6287877282451</t>
  </si>
  <si>
    <t>M-1085</t>
  </si>
  <si>
    <t>Marizca</t>
  </si>
  <si>
    <t>M-1699</t>
  </si>
  <si>
    <t>M-292</t>
  </si>
  <si>
    <t>Snell</t>
  </si>
  <si>
    <t>M-363</t>
  </si>
  <si>
    <t>Markus</t>
  </si>
  <si>
    <t>M-405</t>
  </si>
  <si>
    <t>Marlene</t>
  </si>
  <si>
    <t>M-1640</t>
  </si>
  <si>
    <t>Sutedjo</t>
  </si>
  <si>
    <t>INTERCONTINENTAL HOTEL PIM</t>
  </si>
  <si>
    <t>M-1701</t>
  </si>
  <si>
    <t>halim.marlene@gmail.com</t>
  </si>
  <si>
    <t>Taman patra V no 7</t>
  </si>
  <si>
    <t>M-1624</t>
  </si>
  <si>
    <t>Sudjana</t>
  </si>
  <si>
    <t>M-0788</t>
  </si>
  <si>
    <t>M-1850</t>
  </si>
  <si>
    <t>Hiqma</t>
  </si>
  <si>
    <t>+628118702070</t>
  </si>
  <si>
    <t>M-0803</t>
  </si>
  <si>
    <t>Marliana</t>
  </si>
  <si>
    <t>Miswan</t>
  </si>
  <si>
    <t>Setramas Residences , Jalan Crysan no 20 Cimahi Tengah</t>
  </si>
  <si>
    <t>M-478</t>
  </si>
  <si>
    <t>Marlienna</t>
  </si>
  <si>
    <t>Suwito</t>
  </si>
  <si>
    <t>marlienna@gmail.com</t>
  </si>
  <si>
    <t>+628118199199</t>
  </si>
  <si>
    <t>les belles mansion blok i7 serpong</t>
  </si>
  <si>
    <t>M-0898</t>
  </si>
  <si>
    <t>Marlin</t>
  </si>
  <si>
    <t>Jl. Ramayana No. 34A Duren Sawit</t>
  </si>
  <si>
    <t>JakartaTimur</t>
  </si>
  <si>
    <t>M-1400</t>
  </si>
  <si>
    <t>M-055</t>
  </si>
  <si>
    <t>M-1762</t>
  </si>
  <si>
    <t>M-535</t>
  </si>
  <si>
    <t>siangi@yahoo.com</t>
  </si>
  <si>
    <t>kayu putih 6a no.22 jaktim</t>
  </si>
  <si>
    <t>M-431</t>
  </si>
  <si>
    <t>Marlinda</t>
  </si>
  <si>
    <t>M-1237</t>
  </si>
  <si>
    <t>Marlintje</t>
  </si>
  <si>
    <t>+628176868112</t>
  </si>
  <si>
    <t>M-562</t>
  </si>
  <si>
    <t>Marlon</t>
  </si>
  <si>
    <t>MRA</t>
  </si>
  <si>
    <t>M-280</t>
  </si>
  <si>
    <t>Marlyda</t>
  </si>
  <si>
    <t>Javanda</t>
  </si>
  <si>
    <t>M-346</t>
  </si>
  <si>
    <t>Marlyn</t>
  </si>
  <si>
    <t>Maisarah</t>
  </si>
  <si>
    <t>mm1805@gmail.com</t>
  </si>
  <si>
    <t>6281290911269</t>
  </si>
  <si>
    <t>Jl. Pasir Maung no.72 rt 03/05</t>
  </si>
  <si>
    <t>M-1594</t>
  </si>
  <si>
    <t>Mars</t>
  </si>
  <si>
    <t>Mary</t>
  </si>
  <si>
    <t>M-1513</t>
  </si>
  <si>
    <t>Marsela</t>
  </si>
  <si>
    <t>sellarenata@gmail.com</t>
  </si>
  <si>
    <t>Lebak Bulus</t>
  </si>
  <si>
    <t>M-597</t>
  </si>
  <si>
    <t>M-747</t>
  </si>
  <si>
    <t>Marsha</t>
  </si>
  <si>
    <t>josha_33@yahoo.com</t>
  </si>
  <si>
    <t xml:space="preserve">Apartment French walk MOI tower Paris Garden lt. 26G
Kelapa Gading Square</t>
  </si>
  <si>
    <t>M-1936</t>
  </si>
  <si>
    <t>6285959100332</t>
  </si>
  <si>
    <t>M-1642</t>
  </si>
  <si>
    <t>Lavenia</t>
  </si>
  <si>
    <t>Bellwood kota wisata , Cibubur</t>
  </si>
  <si>
    <t>M-456</t>
  </si>
  <si>
    <t>Marsita</t>
  </si>
  <si>
    <t xml:space="preserve">Apt. Frenc Walk Tower  Paris Garden Lt 26G
Kelapa Gading
Jakarta Utara 14240</t>
  </si>
  <si>
    <t>M-0897</t>
  </si>
  <si>
    <t>Rusch</t>
  </si>
  <si>
    <t>M-1593</t>
  </si>
  <si>
    <t>Timothy</t>
  </si>
  <si>
    <t>marshatimothy801@gmail.com</t>
  </si>
  <si>
    <t xml:space="preserve">JL URANUS IV/9
VILLA CINERE MAS - CINERE TANG -SEL</t>
  </si>
  <si>
    <t>M-0838</t>
  </si>
  <si>
    <t>Wikarani</t>
  </si>
  <si>
    <t>marshawika@gmail.com</t>
  </si>
  <si>
    <t>6287782002890</t>
  </si>
  <si>
    <t>M-1761</t>
  </si>
  <si>
    <t>George Marshal</t>
  </si>
  <si>
    <t>georgemarshal27@gmail.con</t>
  </si>
  <si>
    <t>6287770000812</t>
  </si>
  <si>
    <t>M-1071</t>
  </si>
  <si>
    <t>Pluit Kencana raya No.81</t>
  </si>
  <si>
    <t>M-1714</t>
  </si>
  <si>
    <t>Martinus</t>
  </si>
  <si>
    <t>0811837515</t>
  </si>
  <si>
    <t>Sutera Narada 6 No.28</t>
  </si>
  <si>
    <t>M-737</t>
  </si>
  <si>
    <t>Utoyo</t>
  </si>
  <si>
    <t xml:space="preserve">Jl. Panglima Polim V No.52
Kebayoran Baru</t>
  </si>
  <si>
    <t>M-621</t>
  </si>
  <si>
    <t>Marshell</t>
  </si>
  <si>
    <t>JL.RIAU GANG HARAPAN 2 NO.20 G</t>
  </si>
  <si>
    <t>PEKAN BARU</t>
  </si>
  <si>
    <t>M-1067</t>
  </si>
  <si>
    <t>Marshella</t>
  </si>
  <si>
    <t>Hanneda</t>
  </si>
  <si>
    <t>M-0923</t>
  </si>
  <si>
    <t>Marsya</t>
  </si>
  <si>
    <t>Dirga</t>
  </si>
  <si>
    <t>Jl. Baru PPA No. 99</t>
  </si>
  <si>
    <t>M-1061</t>
  </si>
  <si>
    <t>Marta</t>
  </si>
  <si>
    <t>Domeng</t>
  </si>
  <si>
    <t>martadomeng@yahoo.co.id</t>
  </si>
  <si>
    <t xml:space="preserve">Delatinos
Cluster Centro havana Blok M1 no.9
BSD City</t>
  </si>
  <si>
    <t>M-710</t>
  </si>
  <si>
    <t>Gunawati</t>
  </si>
  <si>
    <t>M-060</t>
  </si>
  <si>
    <t>Wahjuni</t>
  </si>
  <si>
    <t>M-376</t>
  </si>
  <si>
    <t>M-688</t>
  </si>
  <si>
    <t>Martha</t>
  </si>
  <si>
    <t>M-538</t>
  </si>
  <si>
    <t>EkaSari</t>
  </si>
  <si>
    <t>M-061</t>
  </si>
  <si>
    <t>Jl. Gunung Sahari Raya No. 1</t>
  </si>
  <si>
    <t>Blok B #13-14</t>
  </si>
  <si>
    <t>M-378</t>
  </si>
  <si>
    <t>Marthalena</t>
  </si>
  <si>
    <t>Jl. Erlangga V No.9</t>
  </si>
  <si>
    <t>M-062</t>
  </si>
  <si>
    <t>Marthasya</t>
  </si>
  <si>
    <t>Jl. Angrek Nely Murni Blok B No. 10</t>
  </si>
  <si>
    <t>Kemanggisan, Slipi</t>
  </si>
  <si>
    <t>M-1137</t>
  </si>
  <si>
    <t>Marthen</t>
  </si>
  <si>
    <t>M-607</t>
  </si>
  <si>
    <t>M-682</t>
  </si>
  <si>
    <t>Jalan Kemang Raya 50, Jakarta Selatan</t>
  </si>
  <si>
    <t>M-332</t>
  </si>
  <si>
    <t>Roestamy</t>
  </si>
  <si>
    <t>M-1110</t>
  </si>
  <si>
    <t>msimanjaya@yahoo.com</t>
  </si>
  <si>
    <t>M-1023</t>
  </si>
  <si>
    <t>M-1892</t>
  </si>
  <si>
    <t>Martina</t>
  </si>
  <si>
    <t>6281283355656</t>
  </si>
  <si>
    <t>E-0678</t>
  </si>
  <si>
    <t>Jl. Purnawarman No.6 RT 06 RW 02</t>
  </si>
  <si>
    <t>M-1321</t>
  </si>
  <si>
    <t>M-1132</t>
  </si>
  <si>
    <t>M-1053</t>
  </si>
  <si>
    <t>Yo</t>
  </si>
  <si>
    <t>M-1597</t>
  </si>
  <si>
    <t>Sinarya</t>
  </si>
  <si>
    <t>M-1763</t>
  </si>
  <si>
    <t>6281333991789</t>
  </si>
  <si>
    <t>17R South Hills, Jakarta Selatan</t>
  </si>
  <si>
    <t>M-1301</t>
  </si>
  <si>
    <t>Yosua</t>
  </si>
  <si>
    <t>Jl. Bangka 8, no. 8 jakarta selatan</t>
  </si>
  <si>
    <t>M-1308</t>
  </si>
  <si>
    <t>Martua</t>
  </si>
  <si>
    <t>M-546</t>
  </si>
  <si>
    <t>Martyn</t>
  </si>
  <si>
    <t>M-1411</t>
  </si>
  <si>
    <t>Martyna</t>
  </si>
  <si>
    <t>Tetera</t>
  </si>
  <si>
    <t>M-1777</t>
  </si>
  <si>
    <t>Martynas</t>
  </si>
  <si>
    <t>Grigas</t>
  </si>
  <si>
    <t>+628119101212</t>
  </si>
  <si>
    <t>M-1818</t>
  </si>
  <si>
    <t>Marvella</t>
  </si>
  <si>
    <t>Maria Tumbel</t>
  </si>
  <si>
    <t>marvella_tumbel@yahoo.com</t>
  </si>
  <si>
    <t>+628111233605</t>
  </si>
  <si>
    <t>M-386</t>
  </si>
  <si>
    <t>Marvin</t>
  </si>
  <si>
    <t>Pili</t>
  </si>
  <si>
    <t>marpin_maripin@yahgoo.com</t>
  </si>
  <si>
    <t>62818184550</t>
  </si>
  <si>
    <t>Jln.Pattimura no.29 Kebayoran baru</t>
  </si>
  <si>
    <t>M-064</t>
  </si>
  <si>
    <t>Marwoto</t>
  </si>
  <si>
    <t>M-1288</t>
  </si>
  <si>
    <t>M-0830</t>
  </si>
  <si>
    <t>Mery Louisa</t>
  </si>
  <si>
    <t>Heriyantho</t>
  </si>
  <si>
    <t>6281934170287</t>
  </si>
  <si>
    <t>M-1499</t>
  </si>
  <si>
    <t>M-065</t>
  </si>
  <si>
    <t>Umbuh</t>
  </si>
  <si>
    <t>mary@ag.co.id</t>
  </si>
  <si>
    <t>Bank Artha Graha International</t>
  </si>
  <si>
    <t>M-1780</t>
  </si>
  <si>
    <t>Marya</t>
  </si>
  <si>
    <t>Ulfah</t>
  </si>
  <si>
    <t>+6281229220022</t>
  </si>
  <si>
    <t>M-1686</t>
  </si>
  <si>
    <t>Maryadi</t>
  </si>
  <si>
    <t>Mall Metro Kebayoran Cileduk Raya</t>
  </si>
  <si>
    <t>M-1160</t>
  </si>
  <si>
    <t>Maryam</t>
  </si>
  <si>
    <t>M-1645</t>
  </si>
  <si>
    <t>Haninah</t>
  </si>
  <si>
    <t xml:space="preserve">JL TAMAN ALAMANDA BLOK HS NO.3
BEKASI BARAT</t>
  </si>
  <si>
    <t>M-1573</t>
  </si>
  <si>
    <t>Zulkarnain</t>
  </si>
  <si>
    <t>Giri Loka I Blok B2/18</t>
  </si>
  <si>
    <t>M-1080</t>
  </si>
  <si>
    <t>Maryana</t>
  </si>
  <si>
    <t>+62811889612</t>
  </si>
  <si>
    <t xml:space="preserve">Jln. Sutera Danau Biru Utama No.32B Alam Sutera - Tang - Sel
</t>
  </si>
  <si>
    <t>M-685</t>
  </si>
  <si>
    <t>Maryani</t>
  </si>
  <si>
    <t>liviamaryani@gmail.com</t>
  </si>
  <si>
    <t>Jl Metro Raya TG 35-37 Pondok Indah</t>
  </si>
  <si>
    <t>M-1925</t>
  </si>
  <si>
    <t>Maryati</t>
  </si>
  <si>
    <t>sitimarya90@yahoo.com</t>
  </si>
  <si>
    <t>628123814889</t>
  </si>
  <si>
    <t>M-490</t>
  </si>
  <si>
    <t>08161973852</t>
  </si>
  <si>
    <t>M-1522</t>
  </si>
  <si>
    <t>M-1509</t>
  </si>
  <si>
    <t>Bykovskaya</t>
  </si>
  <si>
    <t>79993333337</t>
  </si>
  <si>
    <t>M-684</t>
  </si>
  <si>
    <t>M-1529</t>
  </si>
  <si>
    <t>Marzorati</t>
  </si>
  <si>
    <t>M-1476</t>
  </si>
  <si>
    <t>Mas</t>
  </si>
  <si>
    <t>masayu.flo@gmail.com</t>
  </si>
  <si>
    <t>M-274</t>
  </si>
  <si>
    <t>Masadyah</t>
  </si>
  <si>
    <t>M-066</t>
  </si>
  <si>
    <t>Masae</t>
  </si>
  <si>
    <t>Kuwabara</t>
  </si>
  <si>
    <t>Four Season Apt. Summer Tower II #26C</t>
  </si>
  <si>
    <t>Jl. Setiabudi Tengah</t>
  </si>
  <si>
    <t>M-594</t>
  </si>
  <si>
    <t>Masahide</t>
  </si>
  <si>
    <t>Nakamura</t>
  </si>
  <si>
    <t>M-300</t>
  </si>
  <si>
    <t>Masahiko</t>
  </si>
  <si>
    <t>M-1798</t>
  </si>
  <si>
    <t>Masandi</t>
  </si>
  <si>
    <t>Rosid</t>
  </si>
  <si>
    <t>masandi.riwan@gmail.com</t>
  </si>
  <si>
    <t>+628563203265</t>
  </si>
  <si>
    <t>Premiere Riviera J-19</t>
  </si>
  <si>
    <t>M-489</t>
  </si>
  <si>
    <t>Masashi</t>
  </si>
  <si>
    <t>Kanal</t>
  </si>
  <si>
    <t>M-1066</t>
  </si>
  <si>
    <t>Masato</t>
  </si>
  <si>
    <t>M-1845</t>
  </si>
  <si>
    <t>Masayu</t>
  </si>
  <si>
    <t>Windy</t>
  </si>
  <si>
    <t>628117320170</t>
  </si>
  <si>
    <t>M-0822</t>
  </si>
  <si>
    <t>Masgana</t>
  </si>
  <si>
    <t>Taman Grisenda blok A1 50</t>
  </si>
  <si>
    <t>M-455</t>
  </si>
  <si>
    <t>Mashita</t>
  </si>
  <si>
    <t>Kemang Selatan VIII C.5.Jakarta Se</t>
  </si>
  <si>
    <t>M-1337</t>
  </si>
  <si>
    <t>Masjuli</t>
  </si>
  <si>
    <t>M-1651</t>
  </si>
  <si>
    <t>Mastilina</t>
  </si>
  <si>
    <t>Vera</t>
  </si>
  <si>
    <t>M-351</t>
  </si>
  <si>
    <t>Maswati</t>
  </si>
  <si>
    <t>Jl.P Jayakarta 129 Blok B No.48-49</t>
  </si>
  <si>
    <t>M-1844</t>
  </si>
  <si>
    <t>Masyito</t>
  </si>
  <si>
    <t>Herton</t>
  </si>
  <si>
    <t>628117111166</t>
  </si>
  <si>
    <t>M-1300</t>
  </si>
  <si>
    <t>Mathias</t>
  </si>
  <si>
    <t>Nette</t>
  </si>
  <si>
    <t>Taman Anggrek Residence Jakarta</t>
  </si>
  <si>
    <t>M-1386</t>
  </si>
  <si>
    <t>Mathilda</t>
  </si>
  <si>
    <t>Jln. H Jian no.48</t>
  </si>
  <si>
    <t>M-427</t>
  </si>
  <si>
    <t>Mathius</t>
  </si>
  <si>
    <t>M-1533</t>
  </si>
  <si>
    <t>Matilda</t>
  </si>
  <si>
    <t>M-318</t>
  </si>
  <si>
    <t>Matsuda</t>
  </si>
  <si>
    <t>M-335</t>
  </si>
  <si>
    <t>Matt</t>
  </si>
  <si>
    <t>McGowaan</t>
  </si>
  <si>
    <t>M-1335</t>
  </si>
  <si>
    <t>Matteo</t>
  </si>
  <si>
    <t>M-605</t>
  </si>
  <si>
    <t>+447516985841</t>
  </si>
  <si>
    <t>KEMANG TIMUR NO 11 KOMPLEK MELATI 11</t>
  </si>
  <si>
    <t>M-1545</t>
  </si>
  <si>
    <t>Advan</t>
  </si>
  <si>
    <t>matthew@advanmatthew.com</t>
  </si>
  <si>
    <t>+6281297896939</t>
  </si>
  <si>
    <t>Permata Hijau Residence Jl.Kalimaya 48 Jakarta</t>
  </si>
  <si>
    <t>M-1240</t>
  </si>
  <si>
    <t>Salman</t>
  </si>
  <si>
    <t>M-1600</t>
  </si>
  <si>
    <t>Mattler</t>
  </si>
  <si>
    <t>Rose</t>
  </si>
  <si>
    <t>M-1617</t>
  </si>
  <si>
    <t>Matyja</t>
  </si>
  <si>
    <t>Katarzyna</t>
  </si>
  <si>
    <t>DEUTSCHLAND</t>
  </si>
  <si>
    <t>M-0819</t>
  </si>
  <si>
    <t>Maudy</t>
  </si>
  <si>
    <t>M-1233</t>
  </si>
  <si>
    <t>Jl. Banyuwangi No. 21, Menteng, Jakarta Pusat</t>
  </si>
  <si>
    <t>M-655</t>
  </si>
  <si>
    <t>Maura</t>
  </si>
  <si>
    <t>M-463</t>
  </si>
  <si>
    <t>Maureen</t>
  </si>
  <si>
    <t>M-758</t>
  </si>
  <si>
    <t>M-452</t>
  </si>
  <si>
    <t>Four Season Apt .# 2-27C</t>
  </si>
  <si>
    <t>M-1244</t>
  </si>
  <si>
    <t>Regina</t>
  </si>
  <si>
    <t xml:space="preserve">Menteng Park Apt.
Saphire Tower 23 J</t>
  </si>
  <si>
    <t>M-1933</t>
  </si>
  <si>
    <t>Maureisha</t>
  </si>
  <si>
    <t>reishaas@gmail.com</t>
  </si>
  <si>
    <t>6281932880226</t>
  </si>
  <si>
    <t>Sasak Residence , Cipete</t>
  </si>
  <si>
    <t>M-276</t>
  </si>
  <si>
    <t>Maurence</t>
  </si>
  <si>
    <t>M-089</t>
  </si>
  <si>
    <t>Maurid</t>
  </si>
  <si>
    <t>Jl. Perdana 28</t>
  </si>
  <si>
    <t>Pertukangan Selatan</t>
  </si>
  <si>
    <t>M-1638</t>
  </si>
  <si>
    <t>Maurina</t>
  </si>
  <si>
    <t>Tatan</t>
  </si>
  <si>
    <t>tata.maurina@gmail.com</t>
  </si>
  <si>
    <t xml:space="preserve">JL CROWN GOLF UTARA NO.11
GADING SERPONG - TANG SEL</t>
  </si>
  <si>
    <t>M-0849</t>
  </si>
  <si>
    <t>Mauriza</t>
  </si>
  <si>
    <t>Danubrata</t>
  </si>
  <si>
    <t>M-1898</t>
  </si>
  <si>
    <t>Maurizio</t>
  </si>
  <si>
    <t>Corbino</t>
  </si>
  <si>
    <t>mcormun121@gmail.com</t>
  </si>
  <si>
    <t>12123164682</t>
  </si>
  <si>
    <t>M-0858</t>
  </si>
  <si>
    <t>Mawar</t>
  </si>
  <si>
    <t>Darina</t>
  </si>
  <si>
    <t>mawardarina@gmail.com</t>
  </si>
  <si>
    <t>Jl. Gatot Subroto Kav 5</t>
  </si>
  <si>
    <t>M-1408</t>
  </si>
  <si>
    <t>Jongh</t>
  </si>
  <si>
    <t>Jalan Cempaka X NO 44</t>
  </si>
  <si>
    <t>M-1503</t>
  </si>
  <si>
    <t>mawarwynn@yahoo.com</t>
  </si>
  <si>
    <t xml:space="preserve">Jl.Penerangan II No.9A RT 02/03.Jakarta Barat.
11460</t>
  </si>
  <si>
    <t>DKI</t>
  </si>
  <si>
    <t>M-484</t>
  </si>
  <si>
    <t>T.P</t>
  </si>
  <si>
    <t>M-1155</t>
  </si>
  <si>
    <t>M-754</t>
  </si>
  <si>
    <t>Mawarti</t>
  </si>
  <si>
    <t>+628129630929</t>
  </si>
  <si>
    <t>Kavling DKI Meruya Blok XII No. 16</t>
  </si>
  <si>
    <t>M-1558</t>
  </si>
  <si>
    <t>M-1477</t>
  </si>
  <si>
    <t>Churchill</t>
  </si>
  <si>
    <t>M-0978</t>
  </si>
  <si>
    <t>Jln Ciledug raya no.16 Apart gateway d7/15</t>
  </si>
  <si>
    <t>G-082</t>
  </si>
  <si>
    <t>Maxime</t>
  </si>
  <si>
    <t>628119890667</t>
  </si>
  <si>
    <t>M-1643</t>
  </si>
  <si>
    <t>Maximenko</t>
  </si>
  <si>
    <t>Ruslan</t>
  </si>
  <si>
    <t>M-394</t>
  </si>
  <si>
    <t>May</t>
  </si>
  <si>
    <t>+6281808030919</t>
  </si>
  <si>
    <t xml:space="preserve">Elang Laut Raya no 21
PIK</t>
  </si>
  <si>
    <t>M-0969</t>
  </si>
  <si>
    <t>Radja</t>
  </si>
  <si>
    <t>M-1011</t>
  </si>
  <si>
    <t>M-091</t>
  </si>
  <si>
    <t>M-092</t>
  </si>
  <si>
    <t xml:space="preserve">Jl. Pertani No. 18
Mata Air Pertam Res Kav. 13
Duren Tiga</t>
  </si>
  <si>
    <t>M-473</t>
  </si>
  <si>
    <t>M-0787</t>
  </si>
  <si>
    <t>Mustang B6-2 Rumala Garden Pasteur</t>
  </si>
  <si>
    <t>M-1515</t>
  </si>
  <si>
    <t>Budiharjo</t>
  </si>
  <si>
    <t>M-285</t>
  </si>
  <si>
    <t>Camelia</t>
  </si>
  <si>
    <t>Apartemen Permata Gandaria #908</t>
  </si>
  <si>
    <t>M-1494</t>
  </si>
  <si>
    <t>M-1441</t>
  </si>
  <si>
    <t>+6287887924408</t>
  </si>
  <si>
    <t>M-743</t>
  </si>
  <si>
    <t>ilyas.maya@yahoo.com</t>
  </si>
  <si>
    <t xml:space="preserve">Jl. Kirai No. 18 Cipete  Utara
Kebayoran Baru Jakarta</t>
  </si>
  <si>
    <t>M-1633</t>
  </si>
  <si>
    <t>maya.kartika2206@gmail.com</t>
  </si>
  <si>
    <t>M-093</t>
  </si>
  <si>
    <t>Jl. Kamboja 57</t>
  </si>
  <si>
    <t>Tomang Raya</t>
  </si>
  <si>
    <t>M-308</t>
  </si>
  <si>
    <t>+62811990788</t>
  </si>
  <si>
    <t xml:space="preserve">Jl. Bangka 9 No 225 Kav 4
Kemang Bangka Town House</t>
  </si>
  <si>
    <t>M-0783</t>
  </si>
  <si>
    <t>Lisdiana</t>
  </si>
  <si>
    <t xml:space="preserve">Jl.Bahtera Permai 1 B No,38
PIK</t>
  </si>
  <si>
    <t>M-1650</t>
  </si>
  <si>
    <t>M-1666</t>
  </si>
  <si>
    <t>Nadien</t>
  </si>
  <si>
    <t>mayanadien1990@gmail.com</t>
  </si>
  <si>
    <t>M-0774</t>
  </si>
  <si>
    <t>maya.novilia@yahoo.com</t>
  </si>
  <si>
    <t xml:space="preserve">Bavarian Village C11
Jl,Raya Darmo Permai III
Surabaya</t>
  </si>
  <si>
    <t>bdya : 20.03.1983</t>
  </si>
  <si>
    <t>M-411</t>
  </si>
  <si>
    <t>Rino</t>
  </si>
  <si>
    <t>Jalan Pasuruan</t>
  </si>
  <si>
    <t>M-1226</t>
  </si>
  <si>
    <t>628111220180</t>
  </si>
  <si>
    <t>M-1059</t>
  </si>
  <si>
    <t>Senda</t>
  </si>
  <si>
    <t>M-449</t>
  </si>
  <si>
    <t>varinia</t>
  </si>
  <si>
    <t>mayaneale2@yahoo.com</t>
  </si>
  <si>
    <t>Apt Puri casablanca Unit Catelya No.1201</t>
  </si>
  <si>
    <t>M-0940</t>
  </si>
  <si>
    <t>Verinia</t>
  </si>
  <si>
    <t>M-1785</t>
  </si>
  <si>
    <t>+628211147228</t>
  </si>
  <si>
    <t>M-488</t>
  </si>
  <si>
    <t>Zarulita</t>
  </si>
  <si>
    <t>M-1581</t>
  </si>
  <si>
    <t>Mayagustina</t>
  </si>
  <si>
    <t>M-579</t>
  </si>
  <si>
    <t>Mayana</t>
  </si>
  <si>
    <t>mayanaoei81@gmail.com</t>
  </si>
  <si>
    <t xml:space="preserve">Gold Coast Avenue No 35
Pantai Indah Kapuk</t>
  </si>
  <si>
    <t>M-1034</t>
  </si>
  <si>
    <t>Mayang</t>
  </si>
  <si>
    <t>Jl Pendurenan Buntu No 88B Jakarta 12560</t>
  </si>
  <si>
    <t>M-309</t>
  </si>
  <si>
    <t>M-736</t>
  </si>
  <si>
    <t>Tajerian</t>
  </si>
  <si>
    <t>mayang.mj18@gmail.com</t>
  </si>
  <si>
    <t>Alam sutera</t>
  </si>
  <si>
    <t>M-694</t>
  </si>
  <si>
    <t>Mayank</t>
  </si>
  <si>
    <t>M-1681</t>
  </si>
  <si>
    <t>M-1348</t>
  </si>
  <si>
    <t>Mayella</t>
  </si>
  <si>
    <t>M-0894</t>
  </si>
  <si>
    <t>Maygel</t>
  </si>
  <si>
    <t>M-1198</t>
  </si>
  <si>
    <t>Maygie</t>
  </si>
  <si>
    <t>Laksana</t>
  </si>
  <si>
    <t>M-1016</t>
  </si>
  <si>
    <t>Mayosih</t>
  </si>
  <si>
    <t>M-1614</t>
  </si>
  <si>
    <t>Mayovie</t>
  </si>
  <si>
    <t>Winona</t>
  </si>
  <si>
    <t>M-1631</t>
  </si>
  <si>
    <t>Mayra</t>
  </si>
  <si>
    <t>M-098</t>
  </si>
  <si>
    <t>Mayske</t>
  </si>
  <si>
    <t>(Manado)</t>
  </si>
  <si>
    <t>Komp. DPR RI Pribadi B-56</t>
  </si>
  <si>
    <t>Joglo</t>
  </si>
  <si>
    <t>M-1900</t>
  </si>
  <si>
    <t>Maytha Saeed A S</t>
  </si>
  <si>
    <t>Al-Qubaisi</t>
  </si>
  <si>
    <t>97450021160</t>
  </si>
  <si>
    <t>M-1613</t>
  </si>
  <si>
    <t>Mazayya</t>
  </si>
  <si>
    <t>mazfradja@gmail.com</t>
  </si>
  <si>
    <t>M-401</t>
  </si>
  <si>
    <t>Mazrul</t>
  </si>
  <si>
    <t>Marof</t>
  </si>
  <si>
    <t>M-1825</t>
  </si>
  <si>
    <t>Mcintyre</t>
  </si>
  <si>
    <t>Kym Ian James</t>
  </si>
  <si>
    <t>kym@quelmac.com</t>
  </si>
  <si>
    <t>61421166884</t>
  </si>
  <si>
    <t>Nes Zealand</t>
  </si>
  <si>
    <t>M-1543</t>
  </si>
  <si>
    <t>Me</t>
  </si>
  <si>
    <t>melidya72milo@gmail.com</t>
  </si>
  <si>
    <t xml:space="preserve">Jl.Rosela no.162
Grogol - jakarta barat</t>
  </si>
  <si>
    <t>M-1813</t>
  </si>
  <si>
    <t>62816808051</t>
  </si>
  <si>
    <t>M-1532</t>
  </si>
  <si>
    <t>Medeline</t>
  </si>
  <si>
    <t>medeline_wijaya@yahoo.com</t>
  </si>
  <si>
    <t>M-1026</t>
  </si>
  <si>
    <t>Medha</t>
  </si>
  <si>
    <t>Maruli</t>
  </si>
  <si>
    <t>M-430</t>
  </si>
  <si>
    <t>Medina</t>
  </si>
  <si>
    <t>M-1037</t>
  </si>
  <si>
    <t>M-1677</t>
  </si>
  <si>
    <t>M-1382</t>
  </si>
  <si>
    <t>Novarasari</t>
  </si>
  <si>
    <t>Nirwana Golden Park.  Kab.Bogor</t>
  </si>
  <si>
    <t>M-1685</t>
  </si>
  <si>
    <t>Medwin</t>
  </si>
  <si>
    <t>medwinkosasih@gmail.com</t>
  </si>
  <si>
    <t>Jl. Raya Pemda No.57</t>
  </si>
  <si>
    <t>M-593</t>
  </si>
  <si>
    <t>Mee</t>
  </si>
  <si>
    <t>meektm@ceosuite.com</t>
  </si>
  <si>
    <t>Jl. Sekolah Duta 2 PC3</t>
  </si>
  <si>
    <t>M-0823</t>
  </si>
  <si>
    <t>M-705</t>
  </si>
  <si>
    <t>Meena</t>
  </si>
  <si>
    <t>M-1632</t>
  </si>
  <si>
    <t>Meera</t>
  </si>
  <si>
    <t>Almarar</t>
  </si>
  <si>
    <t>UAE</t>
  </si>
  <si>
    <t>M-0814</t>
  </si>
  <si>
    <t>M-1639</t>
  </si>
  <si>
    <t>628551099887</t>
  </si>
  <si>
    <t>Menara Mulia Gatot Subroto</t>
  </si>
  <si>
    <t>M-741</t>
  </si>
  <si>
    <t>M-446</t>
  </si>
  <si>
    <t>Army</t>
  </si>
  <si>
    <t>mega_selvia55@yahoo.com</t>
  </si>
  <si>
    <t xml:space="preserve">Kemang Timur 7 No.09
Komplek Sandang</t>
  </si>
  <si>
    <t>M-1625</t>
  </si>
  <si>
    <t>M-103</t>
  </si>
  <si>
    <t>M-1289</t>
  </si>
  <si>
    <t>M-651</t>
  </si>
  <si>
    <t>M-1906</t>
  </si>
  <si>
    <t>6281299318223</t>
  </si>
  <si>
    <t>M-1444</t>
  </si>
  <si>
    <t>M-1272</t>
  </si>
  <si>
    <t>megahoop@gmail.com</t>
  </si>
  <si>
    <t>+6281113408084</t>
  </si>
  <si>
    <t>Bakalan RT 02/RW02.Jawa Tengah</t>
  </si>
  <si>
    <t>M-493</t>
  </si>
  <si>
    <t>M-1803</t>
  </si>
  <si>
    <t>f4ng32@gmail.com</t>
  </si>
  <si>
    <t>+628119887877</t>
  </si>
  <si>
    <t>M-0832</t>
  </si>
  <si>
    <t>M-269</t>
  </si>
  <si>
    <t>Megarita</t>
  </si>
  <si>
    <t>M-1820</t>
  </si>
  <si>
    <t>628994215459</t>
  </si>
  <si>
    <t>M-1774</t>
  </si>
  <si>
    <t>628158028399</t>
  </si>
  <si>
    <t>M-746</t>
  </si>
  <si>
    <t>Sudjaja</t>
  </si>
  <si>
    <t>mega88@singnet.com.sg</t>
  </si>
  <si>
    <t>6281280394030</t>
  </si>
  <si>
    <t>Pakubuwono Residence E12B</t>
  </si>
  <si>
    <t>M-381</t>
  </si>
  <si>
    <t>Meggy</t>
  </si>
  <si>
    <t>Tribuana</t>
  </si>
  <si>
    <t>M-388</t>
  </si>
  <si>
    <t>Megitania</t>
  </si>
  <si>
    <t>M-1717</t>
  </si>
  <si>
    <t>M-426</t>
  </si>
  <si>
    <t>M-1819</t>
  </si>
  <si>
    <t>Lidan</t>
  </si>
  <si>
    <t>868550969484692</t>
  </si>
  <si>
    <t>M-557</t>
  </si>
  <si>
    <t>Lui</t>
  </si>
  <si>
    <t>meilui_ong@yahoo.com</t>
  </si>
  <si>
    <t xml:space="preserve">Vila Gading Indah I no.29
Jakarta</t>
  </si>
  <si>
    <t>M-1946</t>
  </si>
  <si>
    <t>Xiaoli</t>
  </si>
  <si>
    <t>xiaolimei8@gmail.com</t>
  </si>
  <si>
    <t>+19254572969</t>
  </si>
  <si>
    <t>M-1696</t>
  </si>
  <si>
    <t>Meicy</t>
  </si>
  <si>
    <t>Raharja</t>
  </si>
  <si>
    <t>62818854578</t>
  </si>
  <si>
    <t>M-588</t>
  </si>
  <si>
    <t>clarissameicy@hotmail.com</t>
  </si>
  <si>
    <t>Puri Indah Blok G4 No.63</t>
  </si>
  <si>
    <t>M-479</t>
  </si>
  <si>
    <t>Meiddy</t>
  </si>
  <si>
    <t xml:space="preserve">BSD City sektor XIV 5 Blak N3/1
15318</t>
  </si>
  <si>
    <t>M-674</t>
  </si>
  <si>
    <t>Meidy</t>
  </si>
  <si>
    <t>Afrina</t>
  </si>
  <si>
    <t xml:space="preserve">Kebagusan 3 N0 124c
Jakarta Selatan</t>
  </si>
  <si>
    <t>M-1718</t>
  </si>
  <si>
    <t>Sashaputri</t>
  </si>
  <si>
    <t>M-1719</t>
  </si>
  <si>
    <t>Meidyana</t>
  </si>
  <si>
    <t>Jauhar</t>
  </si>
  <si>
    <t>M-1778</t>
  </si>
  <si>
    <t>Meifa Wenefrida</t>
  </si>
  <si>
    <t>Mundung</t>
  </si>
  <si>
    <t>polkadot.mwm@gmail.com</t>
  </si>
  <si>
    <t>+628117690058</t>
  </si>
  <si>
    <t>Komp. Graha Hijau 2 g-22</t>
  </si>
  <si>
    <t>M-1557</t>
  </si>
  <si>
    <t>Meike</t>
  </si>
  <si>
    <t>Jalan Slamet Riyadi 1 no 9 (Belakang Polsek TBS )</t>
  </si>
  <si>
    <t>M-369</t>
  </si>
  <si>
    <t>Yus</t>
  </si>
  <si>
    <t xml:space="preserve">Sentani 99352
Jayapura - Indonesia</t>
  </si>
  <si>
    <t>M-1511</t>
  </si>
  <si>
    <t>Meila</t>
  </si>
  <si>
    <t>ellaikh@yahoo.com</t>
  </si>
  <si>
    <t>+6281387524499</t>
  </si>
  <si>
    <t>Jl. Teuku Umar No.4 Menteng, Jakarta</t>
  </si>
  <si>
    <t>M-1928</t>
  </si>
  <si>
    <t>Meilani</t>
  </si>
  <si>
    <t>62811120118</t>
  </si>
  <si>
    <t>BGM PIK, Jakarta</t>
  </si>
  <si>
    <t>M-609</t>
  </si>
  <si>
    <t>Meilany</t>
  </si>
  <si>
    <t>M-551</t>
  </si>
  <si>
    <t>Meilia</t>
  </si>
  <si>
    <t>Sutardjo</t>
  </si>
  <si>
    <t>meiliaervianti@gmail.com</t>
  </si>
  <si>
    <t>627887936326</t>
  </si>
  <si>
    <t xml:space="preserve">Kompleks Taman Bona Indah
Blok B5 No.18 Cilandak Lebak Bulus</t>
  </si>
  <si>
    <t>M-1566</t>
  </si>
  <si>
    <t>jl,pasang no,1B cihapit bandung wetan</t>
  </si>
  <si>
    <t>bandung</t>
  </si>
  <si>
    <t>M-1151</t>
  </si>
  <si>
    <t>Meiliana</t>
  </si>
  <si>
    <t>melly.tjen@yahoo.com</t>
  </si>
  <si>
    <t xml:space="preserve">Jl Permata Hijau Blok B NO.8
Jakarta Selatan</t>
  </si>
  <si>
    <t>M-0856</t>
  </si>
  <si>
    <t>Fanisal</t>
  </si>
  <si>
    <t xml:space="preserve">Cluster New Paradiso Blok A no 13 Tangerang selatan
15414</t>
  </si>
  <si>
    <t>M-0907</t>
  </si>
  <si>
    <t>M-477</t>
  </si>
  <si>
    <t>Meiliani</t>
  </si>
  <si>
    <t>M-1716</t>
  </si>
  <si>
    <t>Meilie</t>
  </si>
  <si>
    <t>M-611</t>
  </si>
  <si>
    <t>Meilina</t>
  </si>
  <si>
    <t>Lylawati</t>
  </si>
  <si>
    <t>nlyawati@yahoo.com</t>
  </si>
  <si>
    <t>0811877928</t>
  </si>
  <si>
    <t>M-1328</t>
  </si>
  <si>
    <t>Lylawati.S</t>
  </si>
  <si>
    <t>M-1730</t>
  </si>
  <si>
    <t>Meilinda</t>
  </si>
  <si>
    <t>meilinda.xie@gmail.com</t>
  </si>
  <si>
    <t>Sutera Orlanda 4 No.3 Alam Sutera</t>
  </si>
  <si>
    <t>M-1687</t>
  </si>
  <si>
    <t>Meiline</t>
  </si>
  <si>
    <t>meilinesiahaan1@gmail.com</t>
  </si>
  <si>
    <t>M-0853</t>
  </si>
  <si>
    <t>Tenardi</t>
  </si>
  <si>
    <t>M-1712</t>
  </si>
  <si>
    <t>meilingml.27@gmail.com</t>
  </si>
  <si>
    <t>Jalan Thamrin No. 96</t>
  </si>
  <si>
    <t>M-1235</t>
  </si>
  <si>
    <t>Meilisa</t>
  </si>
  <si>
    <t>Jl.Teluk Gong V No.11</t>
  </si>
  <si>
    <t>M-1816</t>
  </si>
  <si>
    <t>Meilisya</t>
  </si>
  <si>
    <t>6282238879669</t>
  </si>
  <si>
    <t>Jln Mayor Abdulah - Malukun</t>
  </si>
  <si>
    <t>M-319</t>
  </si>
  <si>
    <t>Meilita</t>
  </si>
  <si>
    <t>M-1395</t>
  </si>
  <si>
    <t>Meiliyati</t>
  </si>
  <si>
    <t>Hidajat</t>
  </si>
  <si>
    <t>muarkanou@yahoo.com</t>
  </si>
  <si>
    <t>08558646317</t>
  </si>
  <si>
    <t>Jl.Janur Elok II QE5/9, Kelapa Gading Barat</t>
  </si>
  <si>
    <t>M-0857</t>
  </si>
  <si>
    <t>Meilla</t>
  </si>
  <si>
    <t>M-1506</t>
  </si>
  <si>
    <t>Meily</t>
  </si>
  <si>
    <t>Herti</t>
  </si>
  <si>
    <t>6281290002805</t>
  </si>
  <si>
    <t>M-409</t>
  </si>
  <si>
    <t>Meina</t>
  </si>
  <si>
    <t>Armanda</t>
  </si>
  <si>
    <t>M-410</t>
  </si>
  <si>
    <t>6281314705602</t>
  </si>
  <si>
    <t>M-1122</t>
  </si>
  <si>
    <t>Meira</t>
  </si>
  <si>
    <t>M-107</t>
  </si>
  <si>
    <t>Meirina</t>
  </si>
  <si>
    <t>M-1168</t>
  </si>
  <si>
    <t>Meisim</t>
  </si>
  <si>
    <t>+62811802818</t>
  </si>
  <si>
    <t>Pluit Karang Jelita 3 No.25 Blok S 4 Utara, Muara Karang Jakarta Utara</t>
  </si>
  <si>
    <t>M-1658</t>
  </si>
  <si>
    <t>Meisita</t>
  </si>
  <si>
    <t>+6281253535168</t>
  </si>
  <si>
    <t>M-108</t>
  </si>
  <si>
    <t>Mieske</t>
  </si>
  <si>
    <t>Mamesah</t>
  </si>
  <si>
    <t>62816940420</t>
  </si>
  <si>
    <t>Perum. Pondok Kelapa Permai Blok BE-1 No. 6</t>
  </si>
  <si>
    <t>M-356</t>
  </si>
  <si>
    <t>Meita</t>
  </si>
  <si>
    <t>M-1052</t>
  </si>
  <si>
    <t>meitairianty1987@gmail.com</t>
  </si>
  <si>
    <t>Pondok Cibubur</t>
  </si>
  <si>
    <t>M-1866</t>
  </si>
  <si>
    <t>6281808050501</t>
  </si>
  <si>
    <t>M-1570</t>
  </si>
  <si>
    <t>Meittha</t>
  </si>
  <si>
    <t>Dhammaveiyanka</t>
  </si>
  <si>
    <t>meitthaaa@gmail.com</t>
  </si>
  <si>
    <t>6287885086163</t>
  </si>
  <si>
    <t>M-316</t>
  </si>
  <si>
    <t>Meivita</t>
  </si>
  <si>
    <t>Luvirasari</t>
  </si>
  <si>
    <t xml:space="preserve">Jl. Gunung Balong 1/5
Lebak Bulus 
Jakarta Selatan</t>
  </si>
  <si>
    <t>M-1618</t>
  </si>
  <si>
    <t>Meiyani</t>
  </si>
  <si>
    <t>M-1797</t>
  </si>
  <si>
    <t>Meizani</t>
  </si>
  <si>
    <t>Irmadhani</t>
  </si>
  <si>
    <t>+62811858441</t>
  </si>
  <si>
    <t>M-464</t>
  </si>
  <si>
    <t>Melani</t>
  </si>
  <si>
    <t>M-1610</t>
  </si>
  <si>
    <t>Suharli</t>
  </si>
  <si>
    <t>08188104444</t>
  </si>
  <si>
    <t>M-420</t>
  </si>
  <si>
    <t>Melania</t>
  </si>
  <si>
    <t>M-1784</t>
  </si>
  <si>
    <t>Melanie</t>
  </si>
  <si>
    <t>A. Faisal</t>
  </si>
  <si>
    <t>melanie.faisal@gmail.com</t>
  </si>
  <si>
    <t>+62818929919</t>
  </si>
  <si>
    <t>M-1796</t>
  </si>
  <si>
    <t>M-1949</t>
  </si>
  <si>
    <t>melwijaya.mw@gmail.com</t>
  </si>
  <si>
    <t>62817348012</t>
  </si>
  <si>
    <t>M-1602</t>
  </si>
  <si>
    <t>Melannie</t>
  </si>
  <si>
    <t>M-0909</t>
  </si>
  <si>
    <t>Melanny</t>
  </si>
  <si>
    <t>M-1471</t>
  </si>
  <si>
    <t>Melany</t>
  </si>
  <si>
    <t>Gigir</t>
  </si>
  <si>
    <t>M-671</t>
  </si>
  <si>
    <t>Munir</t>
  </si>
  <si>
    <t>M-1956</t>
  </si>
  <si>
    <t>melani_yahya@yahya.com</t>
  </si>
  <si>
    <t>628151841723</t>
  </si>
  <si>
    <t>M-494</t>
  </si>
  <si>
    <t>Melati</t>
  </si>
  <si>
    <t>M-1436</t>
  </si>
  <si>
    <t>Villa 70</t>
  </si>
  <si>
    <t>M-1318</t>
  </si>
  <si>
    <t>M-649</t>
  </si>
  <si>
    <t>Breau</t>
  </si>
  <si>
    <t>M-1154</t>
  </si>
  <si>
    <t>Melda</t>
  </si>
  <si>
    <t>M-0883</t>
  </si>
  <si>
    <t xml:space="preserve">Mustika Permata G 66 
Bandung</t>
  </si>
  <si>
    <t>M-1415</t>
  </si>
  <si>
    <t>M-636</t>
  </si>
  <si>
    <t>Melgy</t>
  </si>
  <si>
    <t>M-1141</t>
  </si>
  <si>
    <t>Meli</t>
  </si>
  <si>
    <t>628179222322</t>
  </si>
  <si>
    <t>M-1140</t>
  </si>
  <si>
    <t>M-0996</t>
  </si>
  <si>
    <t>Pakubuwono V A.38</t>
  </si>
  <si>
    <t>M-610</t>
  </si>
  <si>
    <t>wimak_printing@yahoo.com</t>
  </si>
  <si>
    <t>Jl. Sunter Permai Jaya 2 Blok A2 no 14A</t>
  </si>
  <si>
    <t>M-0915</t>
  </si>
  <si>
    <t>Meliana</t>
  </si>
  <si>
    <t>M-1459</t>
  </si>
  <si>
    <t>mel.halim26@gmail.com</t>
  </si>
  <si>
    <t>Gajah Suranto 9A Solo</t>
  </si>
  <si>
    <t>M-317</t>
  </si>
  <si>
    <t xml:space="preserve">Bekasi Barat IV/5
Jatinegara</t>
  </si>
  <si>
    <t>M-0809</t>
  </si>
  <si>
    <t>M-337</t>
  </si>
  <si>
    <t>Kusuma Chandra Blok J No. 11 Tower 3</t>
  </si>
  <si>
    <t>M-110</t>
  </si>
  <si>
    <t>Meliany</t>
  </si>
  <si>
    <t>Jl. Kembar Mas Raya No. 21</t>
  </si>
  <si>
    <t>M-1754</t>
  </si>
  <si>
    <t>087777176765</t>
  </si>
  <si>
    <t>M-1921</t>
  </si>
  <si>
    <t>Meiliawati</t>
  </si>
  <si>
    <t>+628176099905</t>
  </si>
  <si>
    <t>M-547</t>
  </si>
  <si>
    <t>M-1231</t>
  </si>
  <si>
    <t>M-482</t>
  </si>
  <si>
    <t>M-1583</t>
  </si>
  <si>
    <t>M-0782</t>
  </si>
  <si>
    <t>M-294</t>
  </si>
  <si>
    <t>Jl. Demangan Baru No.21</t>
  </si>
  <si>
    <t>M-1832</t>
  </si>
  <si>
    <t>mmelisammelisa@icloud.com</t>
  </si>
  <si>
    <t>6282123211111</t>
  </si>
  <si>
    <t>City Park G.16</t>
  </si>
  <si>
    <t>M-1748</t>
  </si>
  <si>
    <t>M-1792</t>
  </si>
  <si>
    <t>Raissa</t>
  </si>
  <si>
    <t>21prefere@gmail.com</t>
  </si>
  <si>
    <t>6287871108000</t>
  </si>
  <si>
    <t>M-1848</t>
  </si>
  <si>
    <t>Septya</t>
  </si>
  <si>
    <t>melisaaseptya@gmail.com</t>
  </si>
  <si>
    <t>6281298690500</t>
  </si>
  <si>
    <t>Goldfinch Selatan no.65</t>
  </si>
  <si>
    <t>M-1170</t>
  </si>
  <si>
    <t>Komplek Pemiere Blok G /18</t>
  </si>
  <si>
    <t>M-0988</t>
  </si>
  <si>
    <t>Bilbert</t>
  </si>
  <si>
    <t>M-1740</t>
  </si>
  <si>
    <t>Gany</t>
  </si>
  <si>
    <t>Jalan Camar No.99</t>
  </si>
  <si>
    <t>M-1842</t>
  </si>
  <si>
    <t>Hamil</t>
  </si>
  <si>
    <t>628121000507</t>
  </si>
  <si>
    <t>M-1376</t>
  </si>
  <si>
    <t>M-1766</t>
  </si>
  <si>
    <t>081510371240</t>
  </si>
  <si>
    <t>M-0784</t>
  </si>
  <si>
    <t>mel.tnj@gmail.com</t>
  </si>
  <si>
    <t xml:space="preserve">Jl. Mars Raya no 47
Villa Cinere Mas</t>
  </si>
  <si>
    <t>M-587</t>
  </si>
  <si>
    <t>Meliza</t>
  </si>
  <si>
    <t>M-1911</t>
  </si>
  <si>
    <t>Mella</t>
  </si>
  <si>
    <t>Sadjan</t>
  </si>
  <si>
    <t>rachmawatimella08@gmail.com</t>
  </si>
  <si>
    <t>6282218396119</t>
  </si>
  <si>
    <t>M-505</t>
  </si>
  <si>
    <t>Mellanda</t>
  </si>
  <si>
    <t>M-111</t>
  </si>
  <si>
    <t>Mellani</t>
  </si>
  <si>
    <t>Subarni</t>
  </si>
  <si>
    <t>Komp. Taman Setia Budi Indah Blok G/10</t>
  </si>
  <si>
    <t>M-1743</t>
  </si>
  <si>
    <t>Mellie</t>
  </si>
  <si>
    <t>M-1540</t>
  </si>
  <si>
    <t>Mellinda</t>
  </si>
  <si>
    <t>M-0771</t>
  </si>
  <si>
    <t>Mellisa</t>
  </si>
  <si>
    <t>62811896781</t>
  </si>
  <si>
    <t>M-1598</t>
  </si>
  <si>
    <t>Melly</t>
  </si>
  <si>
    <t>M-362</t>
  </si>
  <si>
    <t>628176667737</t>
  </si>
  <si>
    <t>M-718</t>
  </si>
  <si>
    <t>M-1710</t>
  </si>
  <si>
    <t>mellyarlindab@gmail.com</t>
  </si>
  <si>
    <t>M-1221</t>
  </si>
  <si>
    <t>Danusaputra</t>
  </si>
  <si>
    <t>M-1245</t>
  </si>
  <si>
    <t>pilar Kav G No 1</t>
  </si>
  <si>
    <t>M-522</t>
  </si>
  <si>
    <t>Tasman</t>
  </si>
  <si>
    <t>M-1800</t>
  </si>
  <si>
    <t>Mellyn willya</t>
  </si>
  <si>
    <t>Willya</t>
  </si>
  <si>
    <t>mellynwillya@gmail.com</t>
  </si>
  <si>
    <t>6281932657034</t>
  </si>
  <si>
    <t>Golf Estate Bogor Raya Blok F1/3A</t>
  </si>
  <si>
    <t>M-1458</t>
  </si>
  <si>
    <t>Melody</t>
  </si>
  <si>
    <t>Hassel</t>
  </si>
  <si>
    <t>M-1895</t>
  </si>
  <si>
    <t>Melvhina</t>
  </si>
  <si>
    <t>Husyanti</t>
  </si>
  <si>
    <t>6282285955444</t>
  </si>
  <si>
    <t>M-113</t>
  </si>
  <si>
    <t>Melvi</t>
  </si>
  <si>
    <t>M-1214</t>
  </si>
  <si>
    <t>Melvin</t>
  </si>
  <si>
    <t>M-1530</t>
  </si>
  <si>
    <t>M-0974</t>
  </si>
  <si>
    <t>Melvina</t>
  </si>
  <si>
    <t xml:space="preserve">Malibu Permai Raya C.05
Medan</t>
  </si>
  <si>
    <t>M-1732</t>
  </si>
  <si>
    <t>Melvri</t>
  </si>
  <si>
    <t>Sanu</t>
  </si>
  <si>
    <t>Jl.Nusa Indah No.7 Kupang</t>
  </si>
  <si>
    <t>M-1739</t>
  </si>
  <si>
    <t>Mely</t>
  </si>
  <si>
    <t>6281929217777</t>
  </si>
  <si>
    <t>CBD PLUIT TOWER PADMA 9A</t>
  </si>
  <si>
    <t>M-1688</t>
  </si>
  <si>
    <t>Bandung Cimahi</t>
  </si>
  <si>
    <t>M-1781</t>
  </si>
  <si>
    <t>+6281289993030</t>
  </si>
  <si>
    <t>De Park De Brassia Blok D8/3 BSD</t>
  </si>
  <si>
    <t>M-1276</t>
  </si>
  <si>
    <t>Melya</t>
  </si>
  <si>
    <t>Yacobus</t>
  </si>
  <si>
    <t>628111903899</t>
  </si>
  <si>
    <t>M-1493</t>
  </si>
  <si>
    <t>Melyana</t>
  </si>
  <si>
    <t>M-439</t>
  </si>
  <si>
    <t>Memet</t>
  </si>
  <si>
    <t>Kusrin</t>
  </si>
  <si>
    <t>M-1786</t>
  </si>
  <si>
    <t>Zoldick</t>
  </si>
  <si>
    <t>6281318213605</t>
  </si>
  <si>
    <t>M-480</t>
  </si>
  <si>
    <t>Memmy</t>
  </si>
  <si>
    <t>M-1572</t>
  </si>
  <si>
    <t>Mena</t>
  </si>
  <si>
    <t>Ghattas</t>
  </si>
  <si>
    <t>Egypt</t>
  </si>
  <si>
    <t>M-1776</t>
  </si>
  <si>
    <t>Egasari</t>
  </si>
  <si>
    <t>menaegasari@gmail.com</t>
  </si>
  <si>
    <t>+6281218169052</t>
  </si>
  <si>
    <t>Apt. Greenbay Pluit Condominium</t>
  </si>
  <si>
    <t>M-114</t>
  </si>
  <si>
    <t>M-699</t>
  </si>
  <si>
    <t>Menas</t>
  </si>
  <si>
    <t>Djohansyah</t>
  </si>
  <si>
    <t>erwindjohansyah@gmail.com</t>
  </si>
  <si>
    <t>M-1551</t>
  </si>
  <si>
    <t>Mendy</t>
  </si>
  <si>
    <t>M-115</t>
  </si>
  <si>
    <t>Sofari</t>
  </si>
  <si>
    <t>Jl.Kerinci 1 No.5</t>
  </si>
  <si>
    <t>M-467</t>
  </si>
  <si>
    <t>Menik</t>
  </si>
  <si>
    <t>Prilianti</t>
  </si>
  <si>
    <t>M-1562</t>
  </si>
  <si>
    <t>Merciana</t>
  </si>
  <si>
    <t>Wan</t>
  </si>
  <si>
    <t>Jln. kelapa Puan 23 AK3/28, Gading Serpong tangerang Barat 15810</t>
  </si>
  <si>
    <t>M-117</t>
  </si>
  <si>
    <t>Mercier</t>
  </si>
  <si>
    <t>Cempaka putih tengah 26C/7</t>
  </si>
  <si>
    <t>M-0805</t>
  </si>
  <si>
    <t>Mercy</t>
  </si>
  <si>
    <t>62811840663</t>
  </si>
  <si>
    <t>M-1340</t>
  </si>
  <si>
    <t>628122386378</t>
  </si>
  <si>
    <t>M-1574</t>
  </si>
  <si>
    <t>Meri</t>
  </si>
  <si>
    <t>Chairul</t>
  </si>
  <si>
    <t>M-0860</t>
  </si>
  <si>
    <t>Efda</t>
  </si>
  <si>
    <t>M-0935</t>
  </si>
  <si>
    <t>Merianti</t>
  </si>
  <si>
    <t>628158811750</t>
  </si>
  <si>
    <t xml:space="preserve">PERUMAHAN ARTHA GADING VILA BLOK H NO.1
KELAPA GADING - JAKARTA UTARA</t>
  </si>
  <si>
    <t>M-118</t>
  </si>
  <si>
    <t>Meris</t>
  </si>
  <si>
    <t>Pulomas Raya</t>
  </si>
  <si>
    <t>M-0796</t>
  </si>
  <si>
    <t>Merisa</t>
  </si>
  <si>
    <t>M-1035</t>
  </si>
  <si>
    <t>Merissa</t>
  </si>
  <si>
    <t>M-491</t>
  </si>
  <si>
    <t>Merlien</t>
  </si>
  <si>
    <t>Anggriyani</t>
  </si>
  <si>
    <t>merl_aila@yahoo.com</t>
  </si>
  <si>
    <t xml:space="preserve">Duta Permai 4 Blok PG 7 No.10
Pondok Indah Jaksel</t>
  </si>
  <si>
    <t>M-399</t>
  </si>
  <si>
    <t>Merlin</t>
  </si>
  <si>
    <t>M-1161</t>
  </si>
  <si>
    <t>Merlita</t>
  </si>
  <si>
    <t>Jatibening Resident Blok B No.18</t>
  </si>
  <si>
    <t>M-576</t>
  </si>
  <si>
    <t>Merri</t>
  </si>
  <si>
    <t>M-1703</t>
  </si>
  <si>
    <t>Merrill</t>
  </si>
  <si>
    <t>M-1217</t>
  </si>
  <si>
    <t>Merry</t>
  </si>
  <si>
    <t>M-119</t>
  </si>
  <si>
    <t>M-724</t>
  </si>
  <si>
    <t>M-1615</t>
  </si>
  <si>
    <t>M-457</t>
  </si>
  <si>
    <t>Apartement Kelapa gading Manhattan Bay</t>
  </si>
  <si>
    <t>M-0811</t>
  </si>
  <si>
    <t>M-1383</t>
  </si>
  <si>
    <t>ID Employee 50119010</t>
  </si>
  <si>
    <t>M-121</t>
  </si>
  <si>
    <t>Hartomo</t>
  </si>
  <si>
    <t>Jl. Tribuana 3</t>
  </si>
  <si>
    <t>Komp. Kopassus Cijantung III</t>
  </si>
  <si>
    <t>M-1567</t>
  </si>
  <si>
    <t>Inggriany</t>
  </si>
  <si>
    <t xml:space="preserve">Jl Alternatif Cibubur 
Reffles Hills Blok j3/5 depok</t>
  </si>
  <si>
    <t>M-1157</t>
  </si>
  <si>
    <t>Jeanece</t>
  </si>
  <si>
    <t>M-1889</t>
  </si>
  <si>
    <t>6287877225831</t>
  </si>
  <si>
    <t>M-1192</t>
  </si>
  <si>
    <t>M-1343</t>
  </si>
  <si>
    <t>M-122</t>
  </si>
  <si>
    <t>Vincentia</t>
  </si>
  <si>
    <t>Jl. Duri I Komp. Palem Indah No. 51</t>
  </si>
  <si>
    <t>Duri Pulo</t>
  </si>
  <si>
    <t>M-1731</t>
  </si>
  <si>
    <t>Mertens</t>
  </si>
  <si>
    <t>M-270</t>
  </si>
  <si>
    <t>Merthy</t>
  </si>
  <si>
    <t>Kalibata Timur IVG/68</t>
  </si>
  <si>
    <t>M-1485</t>
  </si>
  <si>
    <t>Mervinna</t>
  </si>
  <si>
    <t>M-1627</t>
  </si>
  <si>
    <t>Mery</t>
  </si>
  <si>
    <t>M-1531</t>
  </si>
  <si>
    <t>M-1552</t>
  </si>
  <si>
    <t>M-1628</t>
  </si>
  <si>
    <t>M-387</t>
  </si>
  <si>
    <t>Domopoli</t>
  </si>
  <si>
    <t xml:space="preserve">Jl. Cik Ditiro No.1 Menteng 
Apt 1 Cik 5L</t>
  </si>
  <si>
    <t>M-709</t>
  </si>
  <si>
    <t>Ertanty</t>
  </si>
  <si>
    <t>M-648</t>
  </si>
  <si>
    <t>merykirana@gmail.com</t>
  </si>
  <si>
    <t>PANTAI INDAH KAPUK GOLF CROWN PEARL 2 NO 3</t>
  </si>
  <si>
    <t>M-596</t>
  </si>
  <si>
    <t>M-584</t>
  </si>
  <si>
    <t>M-1853</t>
  </si>
  <si>
    <t>M-612</t>
  </si>
  <si>
    <t>Pondanga</t>
  </si>
  <si>
    <t>6281288829888</t>
  </si>
  <si>
    <t>M-1451</t>
  </si>
  <si>
    <t>creamery@live.com</t>
  </si>
  <si>
    <t>628170827188</t>
  </si>
  <si>
    <t>PTB Angke B4/20</t>
  </si>
  <si>
    <t>M-1076</t>
  </si>
  <si>
    <t>Rogan</t>
  </si>
  <si>
    <t>M-533</t>
  </si>
  <si>
    <t>Rumangkar</t>
  </si>
  <si>
    <t>M-1607</t>
  </si>
  <si>
    <t>Soenato</t>
  </si>
  <si>
    <t>M-373</t>
  </si>
  <si>
    <t>Soenoto</t>
  </si>
  <si>
    <t>M-472</t>
  </si>
  <si>
    <t>Taandiary</t>
  </si>
  <si>
    <t>+62816896546</t>
  </si>
  <si>
    <t>Jl. Taman Kebon Jeruk Interkom Blok H1 No3</t>
  </si>
  <si>
    <t>M-123</t>
  </si>
  <si>
    <t>Meryana</t>
  </si>
  <si>
    <t>(Lily)</t>
  </si>
  <si>
    <t>Jl. Sunter Metro Blok F No. 16</t>
  </si>
  <si>
    <t>M-124</t>
  </si>
  <si>
    <t>Pwee</t>
  </si>
  <si>
    <t>Jl. Sunter Metro Blok F No. 16-17</t>
  </si>
  <si>
    <t>M-542</t>
  </si>
  <si>
    <t>Meryn</t>
  </si>
  <si>
    <t>M-0970</t>
  </si>
  <si>
    <t>Mesa</t>
  </si>
  <si>
    <t>M-1106</t>
  </si>
  <si>
    <t>Mesita</t>
  </si>
  <si>
    <t xml:space="preserve">Cibubur Country Cikeas udik 
Gunung Putri</t>
  </si>
  <si>
    <t>M-436</t>
  </si>
  <si>
    <t>Mesy</t>
  </si>
  <si>
    <t>M-1711</t>
  </si>
  <si>
    <t>Meta</t>
  </si>
  <si>
    <t>M-1680</t>
  </si>
  <si>
    <t>M-1953</t>
  </si>
  <si>
    <t>Metana</t>
  </si>
  <si>
    <t>62818818808</t>
  </si>
  <si>
    <t>M-1724</t>
  </si>
  <si>
    <t>Metraux</t>
  </si>
  <si>
    <t>SWITZERLAND</t>
  </si>
  <si>
    <t>M-0801</t>
  </si>
  <si>
    <t>Metta</t>
  </si>
  <si>
    <t>Soepardi</t>
  </si>
  <si>
    <t>JL. Taman Patra Kuningan Timur</t>
  </si>
  <si>
    <t>M-1907</t>
  </si>
  <si>
    <t>Mettalia</t>
  </si>
  <si>
    <t>mettaliazhg00@gmail.com</t>
  </si>
  <si>
    <t>6281326037639</t>
  </si>
  <si>
    <t>M-1660</t>
  </si>
  <si>
    <t>Metti</t>
  </si>
  <si>
    <t>Hermayanti</t>
  </si>
  <si>
    <t>metyhermayanti@gmail.com</t>
  </si>
  <si>
    <t>jl,Banjar wijaya claster cristan</t>
  </si>
  <si>
    <t>tangerang</t>
  </si>
  <si>
    <t>M-1604</t>
  </si>
  <si>
    <t>Metty</t>
  </si>
  <si>
    <t>Suswanto</t>
  </si>
  <si>
    <t>mettysuswanto@gmail.com</t>
  </si>
  <si>
    <t>6281310100575</t>
  </si>
  <si>
    <t>M-313</t>
  </si>
  <si>
    <t>Mety</t>
  </si>
  <si>
    <t>Have</t>
  </si>
  <si>
    <t xml:space="preserve">Villa Pejaten Mas Blok K/2
Jakarta Selatan</t>
  </si>
  <si>
    <t>M-127</t>
  </si>
  <si>
    <t>Meutia</t>
  </si>
  <si>
    <t>M-1874</t>
  </si>
  <si>
    <t>Tasla</t>
  </si>
  <si>
    <t>6282280012525</t>
  </si>
  <si>
    <t>M-1535</t>
  </si>
  <si>
    <t>Meutya</t>
  </si>
  <si>
    <t>Fajri</t>
  </si>
  <si>
    <t>Jl. DPR 6 no 489</t>
  </si>
  <si>
    <t>M-643</t>
  </si>
  <si>
    <t>Mevi</t>
  </si>
  <si>
    <t>Balik Papan</t>
  </si>
  <si>
    <t>M-563</t>
  </si>
  <si>
    <t>Mey</t>
  </si>
  <si>
    <t>M-1812</t>
  </si>
  <si>
    <t>628111022805</t>
  </si>
  <si>
    <t>M-128</t>
  </si>
  <si>
    <t>Meyce</t>
  </si>
  <si>
    <t>Komp. Taman Ratu blok NN15</t>
  </si>
  <si>
    <t>M-1673</t>
  </si>
  <si>
    <t>M-1964</t>
  </si>
  <si>
    <t>Bith</t>
  </si>
  <si>
    <t>meylanibithgi@gmail.com</t>
  </si>
  <si>
    <t>6287860341209</t>
  </si>
  <si>
    <t>M-129</t>
  </si>
  <si>
    <t>Meylia</t>
  </si>
  <si>
    <t>Jl. Graha Taman Blok HL-3 No. 3A</t>
  </si>
  <si>
    <t>Bintaro Jaya Sektor 9</t>
  </si>
  <si>
    <t>M-1802</t>
  </si>
  <si>
    <t>Meylianti</t>
  </si>
  <si>
    <t>Sulungbudi</t>
  </si>
  <si>
    <t>meylianti.sulungbudi@gmail.com</t>
  </si>
  <si>
    <t>Setramurni Tengah IV No.31 Bandung</t>
  </si>
  <si>
    <t>M-1520</t>
  </si>
  <si>
    <t>Meylina</t>
  </si>
  <si>
    <t xml:space="preserve">Raimbow Spring Condovilla Blok G06-03
Jl.Telaga gading serpong no.36 cihuni kecamatan Pagedangan Tangerang Banten </t>
  </si>
  <si>
    <t>M-1737</t>
  </si>
  <si>
    <t>Meyni</t>
  </si>
  <si>
    <t>meinigu@gmail.com</t>
  </si>
  <si>
    <t>Green Lake City Cluster Australia 8 No.10</t>
  </si>
  <si>
    <t>M-281</t>
  </si>
  <si>
    <t>Meytha</t>
  </si>
  <si>
    <t>M-1692</t>
  </si>
  <si>
    <t>Mhd.</t>
  </si>
  <si>
    <t>Yusni</t>
  </si>
  <si>
    <t>JL. Stm Gg Syukur Timur NO, 12 Medan</t>
  </si>
  <si>
    <t>M-392</t>
  </si>
  <si>
    <t xml:space="preserve">Jl. Cisanggiri IV No.1
Kebayoran Baru</t>
  </si>
  <si>
    <t>M-1510</t>
  </si>
  <si>
    <t>Mi jung</t>
  </si>
  <si>
    <t>otomoon0216@gmail.com</t>
  </si>
  <si>
    <t>087872876012</t>
  </si>
  <si>
    <t>M-342</t>
  </si>
  <si>
    <t>628111564780</t>
  </si>
  <si>
    <t>M-575</t>
  </si>
  <si>
    <t>Mia</t>
  </si>
  <si>
    <t>M-0904</t>
  </si>
  <si>
    <t>628111289988</t>
  </si>
  <si>
    <t>M-1707</t>
  </si>
  <si>
    <t>Mia A</t>
  </si>
  <si>
    <t>628161625560</t>
  </si>
  <si>
    <t>Cempaka Putih, Jakarta</t>
  </si>
  <si>
    <t>M-422</t>
  </si>
  <si>
    <t>Amithya</t>
  </si>
  <si>
    <t>M-306</t>
  </si>
  <si>
    <t>Egron</t>
  </si>
  <si>
    <t>M-1782</t>
  </si>
  <si>
    <t>Emilya</t>
  </si>
  <si>
    <t>+6282297047557</t>
  </si>
  <si>
    <t>M-1634</t>
  </si>
  <si>
    <t>Capital Residences Tower 1/125C SCBD</t>
  </si>
  <si>
    <t>M-622</t>
  </si>
  <si>
    <t>M-1725</t>
  </si>
  <si>
    <t>Mian</t>
  </si>
  <si>
    <t>M-1773</t>
  </si>
  <si>
    <t>Miany</t>
  </si>
  <si>
    <t>082210266646</t>
  </si>
  <si>
    <t>M-1591</t>
  </si>
  <si>
    <t>MIAO,</t>
  </si>
  <si>
    <t>JUNCHAO</t>
  </si>
  <si>
    <t>M-1698</t>
  </si>
  <si>
    <t>Miao,</t>
  </si>
  <si>
    <t>M-1789</t>
  </si>
  <si>
    <t>Miaolan</t>
  </si>
  <si>
    <t>8615900583852</t>
  </si>
  <si>
    <t>M-1851</t>
  </si>
  <si>
    <t>Miaw</t>
  </si>
  <si>
    <t>trans_ling@yahoo.com</t>
  </si>
  <si>
    <t>62811649672</t>
  </si>
  <si>
    <t>Jl.Rengas No.110 Komp Cemara ,Medan</t>
  </si>
  <si>
    <t>M-1246</t>
  </si>
  <si>
    <t>Micha</t>
  </si>
  <si>
    <t>O.C.T</t>
  </si>
  <si>
    <t>M-1621</t>
  </si>
  <si>
    <t>M-1682</t>
  </si>
  <si>
    <t>M-713</t>
  </si>
  <si>
    <t>M-0905</t>
  </si>
  <si>
    <t>M-141</t>
  </si>
  <si>
    <t>M-398</t>
  </si>
  <si>
    <t>M-1046</t>
  </si>
  <si>
    <t>Adryanto</t>
  </si>
  <si>
    <t xml:space="preserve">Puri Park Residences Aspen 1-1
Puri Kencana Jakarta 11610</t>
  </si>
  <si>
    <t>M-1822</t>
  </si>
  <si>
    <t>Andrew Young</t>
  </si>
  <si>
    <t>young42134@gmail.com</t>
  </si>
  <si>
    <t>12026006197</t>
  </si>
  <si>
    <t>M-333</t>
  </si>
  <si>
    <t>anhar</t>
  </si>
  <si>
    <t>Jl. Ijen II Malang Jawa Timur 65115</t>
  </si>
  <si>
    <t>M-1505</t>
  </si>
  <si>
    <t>Jl. Alam Sutera Palma 16/17</t>
  </si>
  <si>
    <t>M-1697</t>
  </si>
  <si>
    <t>michaels.budiman@gmail.com</t>
  </si>
  <si>
    <t>M-1735</t>
  </si>
  <si>
    <t>Cavendish</t>
  </si>
  <si>
    <t>+6281113006904</t>
  </si>
  <si>
    <t>US Embassy</t>
  </si>
  <si>
    <t>M-1916</t>
  </si>
  <si>
    <t>Michael Christian</t>
  </si>
  <si>
    <t>Suhendra</t>
  </si>
  <si>
    <t>michael.suhendra@gmail.com</t>
  </si>
  <si>
    <t>628119623998</t>
  </si>
  <si>
    <t>M-1523</t>
  </si>
  <si>
    <t>Chrisyanto</t>
  </si>
  <si>
    <t xml:space="preserve">Vila Melati MDS 
Tangerang</t>
  </si>
  <si>
    <t>M-1538</t>
  </si>
  <si>
    <t>Constantine</t>
  </si>
  <si>
    <t>M-1626</t>
  </si>
  <si>
    <t>Fatrijanto</t>
  </si>
  <si>
    <t>michaelgf303@gmail.com</t>
  </si>
  <si>
    <t>Jl. Bukit Cengkeh 31</t>
  </si>
  <si>
    <t>semarang</t>
  </si>
  <si>
    <t>M-1689</t>
  </si>
  <si>
    <t>M-137</t>
  </si>
  <si>
    <t>Figge</t>
  </si>
  <si>
    <t>M-1918</t>
  </si>
  <si>
    <t>Jeorge Hanna</t>
  </si>
  <si>
    <t>michaelghanna@icloud.com</t>
  </si>
  <si>
    <t>971504658877</t>
  </si>
  <si>
    <t>M-1787</t>
  </si>
  <si>
    <t>Michael Harto</t>
  </si>
  <si>
    <t>raphaelmichael126@gmail.com</t>
  </si>
  <si>
    <t>62811832819</t>
  </si>
  <si>
    <t>Taman Surya 2 B6/4</t>
  </si>
  <si>
    <t>M-0995</t>
  </si>
  <si>
    <t>62811620260</t>
  </si>
  <si>
    <t>M-0991</t>
  </si>
  <si>
    <t>michael.hermawan@hotmail.com</t>
  </si>
  <si>
    <t>M-374</t>
  </si>
  <si>
    <t>Hutagalung</t>
  </si>
  <si>
    <t>M-1302</t>
  </si>
  <si>
    <t>Iwanto</t>
  </si>
  <si>
    <t xml:space="preserve">Jl.Cempaka Putih Barat XVIII/12
10520</t>
  </si>
  <si>
    <t>M-615</t>
  </si>
  <si>
    <t>Jizhar</t>
  </si>
  <si>
    <t>M-1534</t>
  </si>
  <si>
    <t>Beamish</t>
  </si>
  <si>
    <t>61412666964</t>
  </si>
  <si>
    <t>M-1722</t>
  </si>
  <si>
    <t>Oberleitner</t>
  </si>
  <si>
    <t>M-1293</t>
  </si>
  <si>
    <t>M-0901</t>
  </si>
  <si>
    <t>M-1482</t>
  </si>
  <si>
    <t>Jl. Cikini Raya No.89</t>
  </si>
  <si>
    <t>M-1868</t>
  </si>
  <si>
    <t>mchlim@yahoo.com</t>
  </si>
  <si>
    <t>+628116180099</t>
  </si>
  <si>
    <t>M-556</t>
  </si>
  <si>
    <t>Jl, Jeruk Purut 35. Cilandak Jakarta Selatan</t>
  </si>
  <si>
    <t>M-304</t>
  </si>
  <si>
    <t>Perera</t>
  </si>
  <si>
    <t>M-1452</t>
  </si>
  <si>
    <t>+628161129222</t>
  </si>
  <si>
    <t>M-0913</t>
  </si>
  <si>
    <t xml:space="preserve">Jl,Obira 22
Roxy</t>
  </si>
  <si>
    <t>10`50</t>
  </si>
  <si>
    <t>M-1215</t>
  </si>
  <si>
    <t>Quarello</t>
  </si>
  <si>
    <t>M-1051</t>
  </si>
  <si>
    <t>M.SOEKAMTO@GMAIL.COM</t>
  </si>
  <si>
    <t>M-1178</t>
  </si>
  <si>
    <t>M-1934</t>
  </si>
  <si>
    <t>Sunjoto</t>
  </si>
  <si>
    <t>sunjotomichael@gmail.com</t>
  </si>
  <si>
    <t>628123515566</t>
  </si>
  <si>
    <t>Graha Famili O-207</t>
  </si>
  <si>
    <t>60227</t>
  </si>
  <si>
    <t>M-1120</t>
  </si>
  <si>
    <t>Tampi</t>
  </si>
  <si>
    <t>M-425</t>
  </si>
  <si>
    <t>M-271</t>
  </si>
  <si>
    <t>0811968838</t>
  </si>
  <si>
    <t>Sunter Paradise Tahap2 BlokE36</t>
  </si>
  <si>
    <t>M-0835</t>
  </si>
  <si>
    <t>Tjendara</t>
  </si>
  <si>
    <t>M-1608</t>
  </si>
  <si>
    <t>Villarreal</t>
  </si>
  <si>
    <t>M-1647</t>
  </si>
  <si>
    <t>M-1519</t>
  </si>
  <si>
    <t>M-1269</t>
  </si>
  <si>
    <t>Yovies</t>
  </si>
  <si>
    <t>Citra 2 ext Big no 7 kalideres , Cengkareng</t>
  </si>
  <si>
    <t>M-495</t>
  </si>
  <si>
    <t>Micheal</t>
  </si>
  <si>
    <t>M-616</t>
  </si>
  <si>
    <t>Michell</t>
  </si>
  <si>
    <t>Soviner</t>
  </si>
  <si>
    <t>M-1480</t>
  </si>
  <si>
    <t>Kartyasa</t>
  </si>
  <si>
    <t>M-0997</t>
  </si>
  <si>
    <t>Michelle</t>
  </si>
  <si>
    <t>M-1630</t>
  </si>
  <si>
    <t>vincentiamichelle@yahoo.com</t>
  </si>
  <si>
    <t>M-1657</t>
  </si>
  <si>
    <t>M-0985</t>
  </si>
  <si>
    <t>Anver</t>
  </si>
  <si>
    <t>Jln.Danau Indah 14Blok B.4/No.22</t>
  </si>
  <si>
    <t>M-0993</t>
  </si>
  <si>
    <t>+62816873327</t>
  </si>
  <si>
    <t>Senayan Residence Kav E28-29,  Jl. Patal Senayan 1 No.5, RT.1/RW.7</t>
  </si>
  <si>
    <t>M-1253</t>
  </si>
  <si>
    <t>628113007877</t>
  </si>
  <si>
    <t xml:space="preserve">Taman Permata Buara
Jln. Pulau Pramuka Blok P1/32</t>
  </si>
  <si>
    <t>M-1659</t>
  </si>
  <si>
    <t>Kisnan</t>
  </si>
  <si>
    <t>M-1965</t>
  </si>
  <si>
    <t>6281292476689</t>
  </si>
  <si>
    <t>M-1912</t>
  </si>
  <si>
    <t>Oceani</t>
  </si>
  <si>
    <t>628997700080</t>
  </si>
  <si>
    <t xml:space="preserve">Green Golf 1 No.292
Modern Land </t>
  </si>
  <si>
    <t>M-0864</t>
  </si>
  <si>
    <t>Quan</t>
  </si>
  <si>
    <t>M-1622</t>
  </si>
  <si>
    <t>8615653958899</t>
  </si>
  <si>
    <t>M-1856</t>
  </si>
  <si>
    <t>Stevanya Vyncencia</t>
  </si>
  <si>
    <t>6281934640808</t>
  </si>
  <si>
    <t>Jalan Istana Dieng Timur VII No.19</t>
  </si>
  <si>
    <t>M-0950</t>
  </si>
  <si>
    <t>Surjaputra</t>
  </si>
  <si>
    <t>M-1678</t>
  </si>
  <si>
    <t>SuryaSeputra</t>
  </si>
  <si>
    <t>6281310091998</t>
  </si>
  <si>
    <t>M-145</t>
  </si>
  <si>
    <t xml:space="preserve">Apart Taman Anggrek 
Tower 8-40B</t>
  </si>
  <si>
    <t>M-1516</t>
  </si>
  <si>
    <t>Tenden</t>
  </si>
  <si>
    <t>M-532</t>
  </si>
  <si>
    <t>Michico</t>
  </si>
  <si>
    <t>Okada</t>
  </si>
  <si>
    <t>M-1609</t>
  </si>
  <si>
    <t>Michiko</t>
  </si>
  <si>
    <t>Ebihara</t>
  </si>
  <si>
    <t>+628111926294</t>
  </si>
  <si>
    <t xml:space="preserve">JL.PELEPAH INDAH 1, BLOK LB2 NO.12A
KELAPA GADING - JAKARTA UTARA</t>
  </si>
  <si>
    <t>M-548</t>
  </si>
  <si>
    <t>Kakinuma</t>
  </si>
  <si>
    <t>M-147</t>
  </si>
  <si>
    <t>Otomo</t>
  </si>
  <si>
    <t>Taman Puri Setiabudi</t>
  </si>
  <si>
    <t>M-1021</t>
  </si>
  <si>
    <t>Jl Florence 2 no 21 PIK</t>
  </si>
  <si>
    <t>M-1371</t>
  </si>
  <si>
    <t>Mida</t>
  </si>
  <si>
    <t>M-715</t>
  </si>
  <si>
    <t>Midar</t>
  </si>
  <si>
    <t>Octavianus</t>
  </si>
  <si>
    <t>M-1896</t>
  </si>
  <si>
    <t>Midyasari</t>
  </si>
  <si>
    <t>Niawati</t>
  </si>
  <si>
    <t>midyasari83@gmail.com</t>
  </si>
  <si>
    <t>6285387045678</t>
  </si>
  <si>
    <t>M-151</t>
  </si>
  <si>
    <t>Ahn</t>
  </si>
  <si>
    <t>Pakubuwono Residence, Ironwood 12F</t>
  </si>
  <si>
    <t>M-1478</t>
  </si>
  <si>
    <t>Mieke</t>
  </si>
  <si>
    <t>M-0934</t>
  </si>
  <si>
    <t>Djalil</t>
  </si>
  <si>
    <t>M-1423</t>
  </si>
  <si>
    <t>Kamaratih</t>
  </si>
  <si>
    <t>Apartemen Taman Rasuna 15-11 A</t>
  </si>
  <si>
    <t>M-1669</t>
  </si>
  <si>
    <t>Miffthahul</t>
  </si>
  <si>
    <t xml:space="preserve">GREEN SARPA RESIDENCES BLOK D5
CIGANJUR - JAGAKARSA
JAK SEL
</t>
  </si>
  <si>
    <t>M-437</t>
  </si>
  <si>
    <t>6281291000028</t>
  </si>
  <si>
    <t>M-1684</t>
  </si>
  <si>
    <t>Miftah</t>
  </si>
  <si>
    <t>Dzulfikar</t>
  </si>
  <si>
    <t>M-1028</t>
  </si>
  <si>
    <t>Mifumi</t>
  </si>
  <si>
    <t>Kato</t>
  </si>
  <si>
    <t>M-589</t>
  </si>
  <si>
    <t>Mig</t>
  </si>
  <si>
    <t>Andamara</t>
  </si>
  <si>
    <t xml:space="preserve">Jl.Mataram No.21
Kebayoran Baru</t>
  </si>
  <si>
    <t>M-1919</t>
  </si>
  <si>
    <t>Yannick Bernard D</t>
  </si>
  <si>
    <t>Migeaux</t>
  </si>
  <si>
    <t>yannick.migeaux@gmail.com</t>
  </si>
  <si>
    <t>352691880196</t>
  </si>
  <si>
    <t>Bel</t>
  </si>
  <si>
    <t>Saint - Mard</t>
  </si>
  <si>
    <t>M-1507</t>
  </si>
  <si>
    <t>Mignon</t>
  </si>
  <si>
    <t>Pierre</t>
  </si>
  <si>
    <t>M-1878</t>
  </si>
  <si>
    <t>Miguel</t>
  </si>
  <si>
    <t>628119940401</t>
  </si>
  <si>
    <t>Jl. Dharmawangsa No.5 VIP</t>
  </si>
  <si>
    <t>M-1903</t>
  </si>
  <si>
    <t>Miho</t>
  </si>
  <si>
    <t>Kirimoro</t>
  </si>
  <si>
    <t>miho26kamiya12@gmail.com</t>
  </si>
  <si>
    <t>819060840851</t>
  </si>
  <si>
    <t>M-1292</t>
  </si>
  <si>
    <t>Mihyun</t>
  </si>
  <si>
    <t>M-1303</t>
  </si>
  <si>
    <t>Mii</t>
  </si>
  <si>
    <t>M-1869</t>
  </si>
  <si>
    <t>62811780650</t>
  </si>
  <si>
    <t>M-157</t>
  </si>
  <si>
    <t>M-481</t>
  </si>
  <si>
    <t>Umetsu</t>
  </si>
  <si>
    <t>V-0421</t>
  </si>
  <si>
    <t>Mikael</t>
  </si>
  <si>
    <t>Asmeta</t>
  </si>
  <si>
    <t xml:space="preserve">Jl.Pulau Batam II No.2B
Denpasar
BALI
ANNIV 08/11/2017</t>
  </si>
  <si>
    <t>M-158</t>
  </si>
  <si>
    <t>Mikdalla</t>
  </si>
  <si>
    <t>Buchari</t>
  </si>
  <si>
    <t>Jl. Teratai III Blok B No. 5</t>
  </si>
  <si>
    <t>Tanjung Barat Indah</t>
  </si>
  <si>
    <t>M-1528</t>
  </si>
  <si>
    <t>Mike</t>
  </si>
  <si>
    <t>M-571</t>
  </si>
  <si>
    <t>M-1888</t>
  </si>
  <si>
    <t>mike.liem13@gmail.com</t>
  </si>
  <si>
    <t>6282142498885</t>
  </si>
  <si>
    <t>M-1939</t>
  </si>
  <si>
    <t>SCHORLER</t>
  </si>
  <si>
    <t>491723783554</t>
  </si>
  <si>
    <t>M-159</t>
  </si>
  <si>
    <t>Sutisna</t>
  </si>
  <si>
    <t>Pejaten Town House No. 1 Kav. 1</t>
  </si>
  <si>
    <t>M-1045</t>
  </si>
  <si>
    <t>Mikhael</t>
  </si>
  <si>
    <t>M-1146</t>
  </si>
  <si>
    <t>Philips</t>
  </si>
  <si>
    <t>M-496</t>
  </si>
  <si>
    <t>Mikhavita</t>
  </si>
  <si>
    <t>mikhavita@gmail.com</t>
  </si>
  <si>
    <t xml:space="preserve">Jl Pangeran Antasari No 79
Rt 07/07
Jakarta Selatan</t>
  </si>
  <si>
    <t>M-1671</t>
  </si>
  <si>
    <t>Miki</t>
  </si>
  <si>
    <t>M-160</t>
  </si>
  <si>
    <t>M-299</t>
  </si>
  <si>
    <t>Ishan</t>
  </si>
  <si>
    <t>M-1720</t>
  </si>
  <si>
    <t>Mikkineni</t>
  </si>
  <si>
    <t>Karthik</t>
  </si>
  <si>
    <t>mikkinenikarthik@gmail.com</t>
  </si>
  <si>
    <t>M-1923</t>
  </si>
  <si>
    <t>Mikram</t>
  </si>
  <si>
    <t>Syakir</t>
  </si>
  <si>
    <t>M-1180</t>
  </si>
  <si>
    <t>Mila</t>
  </si>
  <si>
    <t>Apartment Cikfditiro</t>
  </si>
  <si>
    <t>M-1569</t>
  </si>
  <si>
    <t>M-1606</t>
  </si>
  <si>
    <t>Mawira</t>
  </si>
  <si>
    <t>M-1833</t>
  </si>
  <si>
    <t>Nur Afia</t>
  </si>
  <si>
    <t>milanur2017@idoud.com</t>
  </si>
  <si>
    <t>6282220328908</t>
  </si>
  <si>
    <t>M-1428</t>
  </si>
  <si>
    <t>jln Pangeran Antasari Cipete</t>
  </si>
  <si>
    <t>M-1809</t>
  </si>
  <si>
    <t>Nurmilawati</t>
  </si>
  <si>
    <t>6282122507311</t>
  </si>
  <si>
    <t>Jln. Pelabuhan 2 (Caffe Mokodo Space), Kota. Sukabumi, Kec. Warudoyong</t>
  </si>
  <si>
    <t>43133</t>
  </si>
  <si>
    <t>M-301</t>
  </si>
  <si>
    <t>M-1826</t>
  </si>
  <si>
    <t>Vicky</t>
  </si>
  <si>
    <t>62818822418</t>
  </si>
  <si>
    <t>M-1793</t>
  </si>
  <si>
    <t>Milasty</t>
  </si>
  <si>
    <t>62818168609</t>
  </si>
  <si>
    <t>M-1536</t>
  </si>
  <si>
    <t>mwati3327@gmail.com</t>
  </si>
  <si>
    <t>Apt.Taman Anggrek</t>
  </si>
  <si>
    <t>M-1012</t>
  </si>
  <si>
    <t>Milena</t>
  </si>
  <si>
    <t>M-1512</t>
  </si>
  <si>
    <t>Miles</t>
  </si>
  <si>
    <t>Condo Baywalk</t>
  </si>
  <si>
    <t>M-1450</t>
  </si>
  <si>
    <t>Milka</t>
  </si>
  <si>
    <t>M-497</t>
  </si>
  <si>
    <t>Milla</t>
  </si>
  <si>
    <t>M-1152</t>
  </si>
  <si>
    <t>6287884471664</t>
  </si>
  <si>
    <t>M-1901</t>
  </si>
  <si>
    <t>Miller Kathleen</t>
  </si>
  <si>
    <t>Theresa</t>
  </si>
  <si>
    <t>ktmzz1@gmail.com</t>
  </si>
  <si>
    <t>19082302178</t>
  </si>
  <si>
    <t>M-320</t>
  </si>
  <si>
    <t>Millie</t>
  </si>
  <si>
    <t>M-1094</t>
  </si>
  <si>
    <t>M-1526</t>
  </si>
  <si>
    <t>Emillion</t>
  </si>
  <si>
    <t>628174707777</t>
  </si>
  <si>
    <t>JL ALAM SARI XII, CM 8 , JAKARTA - SELATAN</t>
  </si>
  <si>
    <t>M-703</t>
  </si>
  <si>
    <t>Milono</t>
  </si>
  <si>
    <t>M-1655</t>
  </si>
  <si>
    <t>Mimi</t>
  </si>
  <si>
    <t>62818846071</t>
  </si>
  <si>
    <t>M-1556</t>
  </si>
  <si>
    <t>M-1396</t>
  </si>
  <si>
    <t>artatiriyadi@gmail.com</t>
  </si>
  <si>
    <t>M-555</t>
  </si>
  <si>
    <t>M-1518</t>
  </si>
  <si>
    <t>memeflome20@gmail.com</t>
  </si>
  <si>
    <t>M-567</t>
  </si>
  <si>
    <t>62818732311</t>
  </si>
  <si>
    <t>M-1891</t>
  </si>
  <si>
    <t>62818122893</t>
  </si>
  <si>
    <t>M-1867</t>
  </si>
  <si>
    <t>mimi.max.sky.ok@gmail.com</t>
  </si>
  <si>
    <t>6281311106800</t>
  </si>
  <si>
    <t>M-442</t>
  </si>
  <si>
    <t>Mimie</t>
  </si>
  <si>
    <t>marjani</t>
  </si>
  <si>
    <t xml:space="preserve">Jalan ki putih Bandung
40142</t>
  </si>
  <si>
    <t>M-1525</t>
  </si>
  <si>
    <t xml:space="preserve">Apart The Mansion  Golf Kemayoran 
Tower Jamine Dorada Unit JD06L</t>
  </si>
  <si>
    <t>M-164</t>
  </si>
  <si>
    <t>Mimura</t>
  </si>
  <si>
    <t>Hideko</t>
  </si>
  <si>
    <t>Setiabudi Park Avenue Apt. #901</t>
  </si>
  <si>
    <t>M-0899</t>
  </si>
  <si>
    <t>M-1637</t>
  </si>
  <si>
    <t>M-1268</t>
  </si>
  <si>
    <t>M-1836</t>
  </si>
  <si>
    <t>Min Min</t>
  </si>
  <si>
    <t>082125912531</t>
  </si>
  <si>
    <t>M-1834</t>
  </si>
  <si>
    <t>Min Young</t>
  </si>
  <si>
    <t>imy9540@gmail..com</t>
  </si>
  <si>
    <t>628119159540</t>
  </si>
  <si>
    <t>M-1487</t>
  </si>
  <si>
    <t>M-0893</t>
  </si>
  <si>
    <t>Mina</t>
  </si>
  <si>
    <t>M-165</t>
  </si>
  <si>
    <t>Perum. Taman Ratu Indah Blok H-1 No. 16</t>
  </si>
  <si>
    <t>M-1344</t>
  </si>
  <si>
    <t>M-166</t>
  </si>
  <si>
    <t>Minako</t>
  </si>
  <si>
    <t>(JAPAN)</t>
  </si>
  <si>
    <t>Jl. Kayu Jati Gg. Sri Darma No. 22</t>
  </si>
  <si>
    <t>Kuta</t>
  </si>
  <si>
    <t>M-167</t>
  </si>
  <si>
    <t>Minarni</t>
  </si>
  <si>
    <t>Jl. Angsana Raya D12/29</t>
  </si>
  <si>
    <t>West Jakarta</t>
  </si>
  <si>
    <t>M-0836</t>
  </si>
  <si>
    <t>Minda</t>
  </si>
  <si>
    <t>Septania</t>
  </si>
  <si>
    <t>midaseptania@yahoo.co.id</t>
  </si>
  <si>
    <t>(Dete Of Birth 24-09-1984)</t>
  </si>
  <si>
    <t>M-168</t>
  </si>
  <si>
    <t>M-0917</t>
  </si>
  <si>
    <t>Mindo</t>
  </si>
  <si>
    <t>Manulang</t>
  </si>
  <si>
    <t>Jl Pipit Blok Y No.9 Pondok Indah</t>
  </si>
  <si>
    <t>M-0817</t>
  </si>
  <si>
    <t>ym.esiee@gmail.com</t>
  </si>
  <si>
    <t>Taman Anggrek T1-19k</t>
  </si>
  <si>
    <t>M-170</t>
  </si>
  <si>
    <t>BEJ Tower 2 Lt. 29</t>
  </si>
  <si>
    <t>M-1041</t>
  </si>
  <si>
    <t>M-0794</t>
  </si>
  <si>
    <t>lydiayao@163.com</t>
  </si>
  <si>
    <t>6281311288787</t>
  </si>
  <si>
    <t>Floor 2, No. 37 Huang He Road</t>
  </si>
  <si>
    <t>M-559</t>
  </si>
  <si>
    <t>M-1937</t>
  </si>
  <si>
    <t>Mingyu</t>
  </si>
  <si>
    <t>17882</t>
  </si>
  <si>
    <t>M-347</t>
  </si>
  <si>
    <t>Minijati</t>
  </si>
  <si>
    <t>Jl Petojo Binatu VII B.No03 Rt.05/07</t>
  </si>
  <si>
    <t>M-1497</t>
  </si>
  <si>
    <t>Minjung</t>
  </si>
  <si>
    <t>Pakubuwono Residence Jakarta Selatan 12120</t>
  </si>
  <si>
    <t>M-1605</t>
  </si>
  <si>
    <t>Minku</t>
  </si>
  <si>
    <t>Kan</t>
  </si>
  <si>
    <t>+62811539353</t>
  </si>
  <si>
    <t xml:space="preserve">District 8 Tower INFINITY Unit 59 G
Jl. Senopati
</t>
  </si>
  <si>
    <t>M-1334</t>
  </si>
  <si>
    <t>Minseo</t>
  </si>
  <si>
    <t>+6281286254986</t>
  </si>
  <si>
    <t>M-1679</t>
  </si>
  <si>
    <t>Minsie</t>
  </si>
  <si>
    <t>M-275</t>
  </si>
  <si>
    <t>Mintarja</t>
  </si>
  <si>
    <t xml:space="preserve">Argopuro no 24
Surabaya</t>
  </si>
  <si>
    <t>M-663</t>
  </si>
  <si>
    <t>Minurlin</t>
  </si>
  <si>
    <t>Jl. Dahlia G 85 Cijantung 2 Perum KPAD</t>
  </si>
  <si>
    <t>Pasar Rebo</t>
  </si>
  <si>
    <t>M-1092</t>
  </si>
  <si>
    <t>Mio</t>
  </si>
  <si>
    <t>Jl.Kumala 2 Blok L N0.4</t>
  </si>
  <si>
    <t>M-1259</t>
  </si>
  <si>
    <t>Mira</t>
  </si>
  <si>
    <t>M-1111</t>
  </si>
  <si>
    <t>M-173</t>
  </si>
  <si>
    <t>M-390</t>
  </si>
  <si>
    <t>M-470</t>
  </si>
  <si>
    <t>M-1462</t>
  </si>
  <si>
    <t>6281703835010</t>
  </si>
  <si>
    <t>M-0793</t>
  </si>
  <si>
    <t>Deviane</t>
  </si>
  <si>
    <t>Kebagusan II no 97</t>
  </si>
  <si>
    <t>M-712</t>
  </si>
  <si>
    <t>Gaswara</t>
  </si>
  <si>
    <t>M-0891</t>
  </si>
  <si>
    <t>Hadiprana</t>
  </si>
  <si>
    <t>22 Teuku Umar</t>
  </si>
  <si>
    <t>M-669</t>
  </si>
  <si>
    <t>M-1831</t>
  </si>
  <si>
    <t>miramadjid@gmail.com</t>
  </si>
  <si>
    <t>+6287892070000</t>
  </si>
  <si>
    <t>Jln. Gudang Peluru Blok C No 95A Jakarta</t>
  </si>
  <si>
    <t>M-1893</t>
  </si>
  <si>
    <t>M-348</t>
  </si>
  <si>
    <t>M-391</t>
  </si>
  <si>
    <t>setiamihardja</t>
  </si>
  <si>
    <t>M-624</t>
  </si>
  <si>
    <t>Jalan GUnung Balong I no. 16 i lebak bulus</t>
  </si>
  <si>
    <t>M-0802</t>
  </si>
  <si>
    <t>Veronica</t>
  </si>
  <si>
    <t>miraveronica.eagan@yahoo.com</t>
  </si>
  <si>
    <t>Tebet Barat VI B No.18 Jaksel</t>
  </si>
  <si>
    <t>M-1312</t>
  </si>
  <si>
    <t>M-177</t>
  </si>
  <si>
    <t>6208161999222</t>
  </si>
  <si>
    <t>M-1917</t>
  </si>
  <si>
    <t>M-0833</t>
  </si>
  <si>
    <t>Miraa</t>
  </si>
  <si>
    <t>Madakuri</t>
  </si>
  <si>
    <t>Gelora X No. 10, Jakarta Pusat 10270</t>
  </si>
  <si>
    <t>M-0949</t>
  </si>
  <si>
    <t>Mirah</t>
  </si>
  <si>
    <t>M-1548</t>
  </si>
  <si>
    <t>Mirai</t>
  </si>
  <si>
    <t>Berliano</t>
  </si>
  <si>
    <t>6282178885515</t>
  </si>
  <si>
    <t xml:space="preserve">Taman Dutamas Cluster Roma
</t>
  </si>
  <si>
    <t>M-0908</t>
  </si>
  <si>
    <t>M-1230</t>
  </si>
  <si>
    <t>M-1013</t>
  </si>
  <si>
    <t>M-590</t>
  </si>
  <si>
    <t>Suwanto</t>
  </si>
  <si>
    <t>M-289</t>
  </si>
  <si>
    <t>M-174</t>
  </si>
  <si>
    <t>Waliry</t>
  </si>
  <si>
    <t>628129324141</t>
  </si>
  <si>
    <t>Plaza Indonesia</t>
  </si>
  <si>
    <t>M-1599</t>
  </si>
  <si>
    <t>Miranthy</t>
  </si>
  <si>
    <t>M-1623</t>
  </si>
  <si>
    <t>mia_sumantri@yahoo.co.id</t>
  </si>
  <si>
    <t>62811462224</t>
  </si>
  <si>
    <t>M-175</t>
  </si>
  <si>
    <t>M-529</t>
  </si>
  <si>
    <t>Tariza</t>
  </si>
  <si>
    <t>ricisimo1906@gmail.com</t>
  </si>
  <si>
    <t xml:space="preserve">Jln. RC. Veteran No.555
Jakarta Selatan</t>
  </si>
  <si>
    <t>M-1881</t>
  </si>
  <si>
    <t>Mirasol</t>
  </si>
  <si>
    <t>ginger211@gmail.com</t>
  </si>
  <si>
    <t>M-0800</t>
  </si>
  <si>
    <t>Mirawati</t>
  </si>
  <si>
    <t>mirawati_alam@yahoo.com</t>
  </si>
  <si>
    <t>M-1320</t>
  </si>
  <si>
    <t>M-1539</t>
  </si>
  <si>
    <t>Mirda</t>
  </si>
  <si>
    <t>mirda.dm@gmail.com</t>
  </si>
  <si>
    <t>M-540</t>
  </si>
  <si>
    <t>Mirella</t>
  </si>
  <si>
    <t>M-498</t>
  </si>
  <si>
    <t>Miri</t>
  </si>
  <si>
    <t>daliahwang@gmail.com</t>
  </si>
  <si>
    <t xml:space="preserve">Capital Residence Tower I Unit 8B
SCBD</t>
  </si>
  <si>
    <t>M-1664</t>
  </si>
  <si>
    <t>Mirna</t>
  </si>
  <si>
    <t>Savoric</t>
  </si>
  <si>
    <t>Jurjevska 25 B</t>
  </si>
  <si>
    <t>Zagreb</t>
  </si>
  <si>
    <t>M-650</t>
  </si>
  <si>
    <t>Mirta</t>
  </si>
  <si>
    <t>Akbari</t>
  </si>
  <si>
    <t>mirta_a@yahoo.com</t>
  </si>
  <si>
    <t>casa goya residence cII</t>
  </si>
  <si>
    <t>M-287</t>
  </si>
  <si>
    <t>Mirtati</t>
  </si>
  <si>
    <t>Kartohadiprodjo</t>
  </si>
  <si>
    <t xml:space="preserve">Jl. Bangka VIII A / 31
Jakarta-Selatan</t>
  </si>
  <si>
    <t>M-0951</t>
  </si>
  <si>
    <t>Miryam</t>
  </si>
  <si>
    <t>Bangka III No.77</t>
  </si>
  <si>
    <t>M-1445</t>
  </si>
  <si>
    <t>M-1612</t>
  </si>
  <si>
    <t>M-0870</t>
  </si>
  <si>
    <t>Uke</t>
  </si>
  <si>
    <t>62811173688</t>
  </si>
  <si>
    <t>M-0882</t>
  </si>
  <si>
    <t>Juneo</t>
  </si>
  <si>
    <t>M-635</t>
  </si>
  <si>
    <t>Pursani</t>
  </si>
  <si>
    <t>M-566</t>
  </si>
  <si>
    <t>M-0920</t>
  </si>
  <si>
    <t>Misa</t>
  </si>
  <si>
    <t>P-0779</t>
  </si>
  <si>
    <t>Miss</t>
  </si>
  <si>
    <t>Chaiwicha</t>
  </si>
  <si>
    <t>M-1808</t>
  </si>
  <si>
    <t>Misto</t>
  </si>
  <si>
    <t>Amino</t>
  </si>
  <si>
    <t>6281585295933</t>
  </si>
  <si>
    <t>M-620</t>
  </si>
  <si>
    <t>Mita</t>
  </si>
  <si>
    <t>M-1744</t>
  </si>
  <si>
    <t>M-180</t>
  </si>
  <si>
    <t>Perum. Cinere Estate</t>
  </si>
  <si>
    <t>Jl. Tanjung F III No. 6A</t>
  </si>
  <si>
    <t>M-1769</t>
  </si>
  <si>
    <t>Djajadiredja</t>
  </si>
  <si>
    <t>mita.nurcahyanti@icloud.com</t>
  </si>
  <si>
    <t>+62811101768</t>
  </si>
  <si>
    <t>Jl. Mendawai I, Bulungan, Kebayoran - Jakarta Selatan</t>
  </si>
  <si>
    <t>M-1958</t>
  </si>
  <si>
    <t>Mushkasi</t>
  </si>
  <si>
    <t>6285706159989</t>
  </si>
  <si>
    <t>M-402</t>
  </si>
  <si>
    <t>M-469</t>
  </si>
  <si>
    <t>Mitha</t>
  </si>
  <si>
    <t>oktamitha.pratita@yahoo.com</t>
  </si>
  <si>
    <t>Apartemen Belleza Tower Verszilles, Jalan Arteri Permata Hijau. Jakarta Selatan</t>
  </si>
  <si>
    <t>M-733</t>
  </si>
  <si>
    <t>Mitra</t>
  </si>
  <si>
    <t>M-303</t>
  </si>
  <si>
    <t>Salirna</t>
  </si>
  <si>
    <t>M-1527</t>
  </si>
  <si>
    <t>Mitsalina</t>
  </si>
  <si>
    <t>Inggita</t>
  </si>
  <si>
    <t xml:space="preserve">Kav Kebagusan No.9
</t>
  </si>
  <si>
    <t>M-184</t>
  </si>
  <si>
    <t>Miyamoto</t>
  </si>
  <si>
    <t>M-1849</t>
  </si>
  <si>
    <t>Lasco</t>
  </si>
  <si>
    <t>12024598812</t>
  </si>
  <si>
    <t>M-1550</t>
  </si>
  <si>
    <t>Miyazawa</t>
  </si>
  <si>
    <t>M-1795</t>
  </si>
  <si>
    <t>Davit</t>
  </si>
  <si>
    <t>Mkrtchyan</t>
  </si>
  <si>
    <t>m.david96@mail.ru</t>
  </si>
  <si>
    <t>37493090393</t>
  </si>
  <si>
    <t>Moskovyea 28, Yerevan, Armenia</t>
  </si>
  <si>
    <t>Armenia</t>
  </si>
  <si>
    <t>2</t>
  </si>
  <si>
    <t>M-0844</t>
  </si>
  <si>
    <t>MM.</t>
  </si>
  <si>
    <t>M-1032</t>
  </si>
  <si>
    <t>Mman</t>
  </si>
  <si>
    <t>Pujianto</t>
  </si>
  <si>
    <t>M-1814</t>
  </si>
  <si>
    <t>Mo</t>
  </si>
  <si>
    <t>Simi</t>
  </si>
  <si>
    <t>6282170000926</t>
  </si>
  <si>
    <t>Discovery Alton A3</t>
  </si>
  <si>
    <t>M-1595</t>
  </si>
  <si>
    <t>Moch</t>
  </si>
  <si>
    <t>Rahmani</t>
  </si>
  <si>
    <t>Komplek Taman Senayan2 Blok HH 1 No.35 Tanggerang Selatan</t>
  </si>
  <si>
    <t>M-419</t>
  </si>
  <si>
    <t>Izrul</t>
  </si>
  <si>
    <t>M-753</t>
  </si>
  <si>
    <t>Muniffudin</t>
  </si>
  <si>
    <t>M-1319</t>
  </si>
  <si>
    <t>Mochamad</t>
  </si>
  <si>
    <t>M-1004</t>
  </si>
  <si>
    <t>Mochammad</t>
  </si>
  <si>
    <t>M-1734</t>
  </si>
  <si>
    <t>6287775109333</t>
  </si>
  <si>
    <t>M-191</t>
  </si>
  <si>
    <t>Mochlis</t>
  </si>
  <si>
    <t>M-564</t>
  </si>
  <si>
    <t>mochtar_s@yahoo.com</t>
  </si>
  <si>
    <t>danau indah barat vi blok a2/3a</t>
  </si>
  <si>
    <t>M-1913</t>
  </si>
  <si>
    <t>Moehamad</t>
  </si>
  <si>
    <t>bobbydanuardi110985@gmail.com</t>
  </si>
  <si>
    <t>6590918999</t>
  </si>
  <si>
    <t>M-293</t>
  </si>
  <si>
    <t>Moeharwati</t>
  </si>
  <si>
    <t>Moenarso</t>
  </si>
  <si>
    <t xml:space="preserve">Jl. Adityawarman No. 14
Jakarta Selatan</t>
  </si>
  <si>
    <t>M-508</t>
  </si>
  <si>
    <t>Moendjati</t>
  </si>
  <si>
    <t>M-0861</t>
  </si>
  <si>
    <t>Moendjiati</t>
  </si>
  <si>
    <t>Jln. Kertanegara No 54 Jaksel</t>
  </si>
  <si>
    <t>M-767</t>
  </si>
  <si>
    <t>Moh</t>
  </si>
  <si>
    <t>Lelubah</t>
  </si>
  <si>
    <t>M-0924</t>
  </si>
  <si>
    <t>Moh.</t>
  </si>
  <si>
    <t>Lembah</t>
  </si>
  <si>
    <t>Jl. Yono Sul-Teng</t>
  </si>
  <si>
    <t>M-278</t>
  </si>
  <si>
    <t>Saat</t>
  </si>
  <si>
    <t>M-1549</t>
  </si>
  <si>
    <t>Moh.Yamin</t>
  </si>
  <si>
    <t>Jl,Waru no,14 jakarta timur</t>
  </si>
  <si>
    <t>M-0842</t>
  </si>
  <si>
    <t>M-1641</t>
  </si>
  <si>
    <t>Kamar</t>
  </si>
  <si>
    <t>M-706</t>
  </si>
  <si>
    <t>M-1587</t>
  </si>
  <si>
    <t>Azman</t>
  </si>
  <si>
    <t>M-1501</t>
  </si>
  <si>
    <t>Perwiranegara</t>
  </si>
  <si>
    <t>Gang Ali Husen Loji Rt001/012 Bogor Jawa Barat</t>
  </si>
  <si>
    <t>M-1314</t>
  </si>
  <si>
    <t>Mohammad</t>
  </si>
  <si>
    <t>Sofwan</t>
  </si>
  <si>
    <t>6282333331926</t>
  </si>
  <si>
    <t>M-1547</t>
  </si>
  <si>
    <t>Mohamed</t>
  </si>
  <si>
    <t>M.A.Al-Thani</t>
  </si>
  <si>
    <t>M-1580</t>
  </si>
  <si>
    <t>M-646</t>
  </si>
  <si>
    <t>Alhashimi</t>
  </si>
  <si>
    <t>m.alhashimi@wasl.ae</t>
  </si>
  <si>
    <t>M-273</t>
  </si>
  <si>
    <t>Kalfah</t>
  </si>
  <si>
    <t xml:space="preserve">Jl. Bangka 8/3A
Jakarta Selatan</t>
  </si>
  <si>
    <t>M-1578</t>
  </si>
  <si>
    <t>D-0838</t>
  </si>
  <si>
    <t>khan</t>
  </si>
  <si>
    <t>Pju1A/20 Seri pilmoor,Bayu Utara,30 Petaling Jaya</t>
  </si>
  <si>
    <t>M-1756</t>
  </si>
  <si>
    <t>Mohammed</t>
  </si>
  <si>
    <t>M-1554</t>
  </si>
  <si>
    <t>Alassaf</t>
  </si>
  <si>
    <t>Rhiadh, Saudia</t>
  </si>
  <si>
    <t>M-1347</t>
  </si>
  <si>
    <t>Alsaloussi</t>
  </si>
  <si>
    <t>M-334</t>
  </si>
  <si>
    <t>Elias</t>
  </si>
  <si>
    <t>M-1966</t>
  </si>
  <si>
    <t>Hafeez</t>
  </si>
  <si>
    <t>bmhafeez@gmail.com</t>
  </si>
  <si>
    <t>971585252999</t>
  </si>
  <si>
    <t>M-1001</t>
  </si>
  <si>
    <t>Ariff</t>
  </si>
  <si>
    <t>M-1915</t>
  </si>
  <si>
    <t>Kaosar</t>
  </si>
  <si>
    <t>M-1700</t>
  </si>
  <si>
    <t>Algthlani</t>
  </si>
  <si>
    <t>+96655473311</t>
  </si>
  <si>
    <t>SAUDI</t>
  </si>
  <si>
    <t>M-1930</t>
  </si>
  <si>
    <t>Mohana</t>
  </si>
  <si>
    <t>Jagdish Kadam</t>
  </si>
  <si>
    <t>kadam.mohana@gmail.com</t>
  </si>
  <si>
    <t>919822195769</t>
  </si>
  <si>
    <t>M-1922</t>
  </si>
  <si>
    <t>Mohd Ilham</t>
  </si>
  <si>
    <t>Rusdy</t>
  </si>
  <si>
    <t>achokchilok@yahoo.com</t>
  </si>
  <si>
    <t>60187856490</t>
  </si>
  <si>
    <t>M-1908</t>
  </si>
  <si>
    <t>Mohd</t>
  </si>
  <si>
    <t>Kalam</t>
  </si>
  <si>
    <t>M-1555</t>
  </si>
  <si>
    <t>Mohummed</t>
  </si>
  <si>
    <t>Salem</t>
  </si>
  <si>
    <t>M-1775</t>
  </si>
  <si>
    <t>Molly</t>
  </si>
  <si>
    <t>082125912513</t>
  </si>
  <si>
    <t>M-418</t>
  </si>
  <si>
    <t>Mona</t>
  </si>
  <si>
    <t>M-527</t>
  </si>
  <si>
    <t>M-1138</t>
  </si>
  <si>
    <t>M-641</t>
  </si>
  <si>
    <t>M-1668</t>
  </si>
  <si>
    <t>Hoellger</t>
  </si>
  <si>
    <t>M-0872</t>
  </si>
  <si>
    <t>Wijono</t>
  </si>
  <si>
    <t>M-0943</t>
  </si>
  <si>
    <t>M-664</t>
  </si>
  <si>
    <t>Monalisa</t>
  </si>
  <si>
    <t>M-1829</t>
  </si>
  <si>
    <t>Mondang</t>
  </si>
  <si>
    <t>62811231269</t>
  </si>
  <si>
    <t>M-447</t>
  </si>
  <si>
    <t>M-0881</t>
  </si>
  <si>
    <t>monicakezia91@yahoo.com</t>
  </si>
  <si>
    <t>Central Park Residence, Adaline 19-08</t>
  </si>
  <si>
    <t>M-1693</t>
  </si>
  <si>
    <t xml:space="preserve">JL. Pulau Matahari Raya Blok A5/10
Kembangan - Utara </t>
  </si>
  <si>
    <t>M-1902</t>
  </si>
  <si>
    <t>Agresia</t>
  </si>
  <si>
    <t>monicaselly90@gmail.com</t>
  </si>
  <si>
    <t>+6281279542222</t>
  </si>
  <si>
    <t>Kemang Utara X Jl. Melati No.2 Jakarta</t>
  </si>
  <si>
    <t>M-730</t>
  </si>
  <si>
    <t>chaomink@yahoo.com</t>
  </si>
  <si>
    <t>Sunter Paradise I Blok F1 No 7</t>
  </si>
  <si>
    <t>M-1865</t>
  </si>
  <si>
    <t>+62818708881</t>
  </si>
  <si>
    <t>M-1356</t>
  </si>
  <si>
    <t>Elysia</t>
  </si>
  <si>
    <t>M-0781</t>
  </si>
  <si>
    <t>moniq_florencia@yahoo.com</t>
  </si>
  <si>
    <t>Mangga Besar 4M No.59</t>
  </si>
  <si>
    <t>M-1022</t>
  </si>
  <si>
    <t>Jr</t>
  </si>
  <si>
    <t>M-1326</t>
  </si>
  <si>
    <t>M-1852</t>
  </si>
  <si>
    <t>+61478658684</t>
  </si>
  <si>
    <t>M-1790</t>
  </si>
  <si>
    <t>6281236090063</t>
  </si>
  <si>
    <t>M-1840</t>
  </si>
  <si>
    <t>Octaviani Atmodihardjo</t>
  </si>
  <si>
    <t>+15055233917</t>
  </si>
  <si>
    <t>M-639</t>
  </si>
  <si>
    <t>ica_permadi@yahoo.com</t>
  </si>
  <si>
    <t xml:space="preserve">Vila tomang mas Blok G(lap.Tenis) 6-7 
Jakarta Barat</t>
  </si>
  <si>
    <t>M-1708</t>
  </si>
  <si>
    <t>M-1463</t>
  </si>
  <si>
    <t>M-377</t>
  </si>
  <si>
    <t>M-0879</t>
  </si>
  <si>
    <t>Subyakto</t>
  </si>
  <si>
    <t>M-1783</t>
  </si>
  <si>
    <t>Tarunadjaja</t>
  </si>
  <si>
    <t>+628119779393</t>
  </si>
  <si>
    <t>JL.Pluit Putri Dalam No 7</t>
  </si>
  <si>
    <t>M-1350</t>
  </si>
  <si>
    <t>M-1470</t>
  </si>
  <si>
    <t>Astri</t>
  </si>
  <si>
    <t>monikastri@gmail.com</t>
  </si>
  <si>
    <t>62817175008</t>
  </si>
  <si>
    <t>Jl Tamar Marina B3F/1</t>
  </si>
  <si>
    <t>M-1882</t>
  </si>
  <si>
    <t>Hadimuljono</t>
  </si>
  <si>
    <t>monika.hadimuljono@gmail.com</t>
  </si>
  <si>
    <t>628165420104</t>
  </si>
  <si>
    <t>M-1932</t>
  </si>
  <si>
    <t>+9163884299</t>
  </si>
  <si>
    <t>3417 Noblessa Way</t>
  </si>
  <si>
    <t>M-598</t>
  </si>
  <si>
    <t>Monique</t>
  </si>
  <si>
    <t>M-1490</t>
  </si>
  <si>
    <t>Suwiryo</t>
  </si>
  <si>
    <t>M-424</t>
  </si>
  <si>
    <t>Basalama</t>
  </si>
  <si>
    <t>62811172525</t>
  </si>
  <si>
    <t>M-1905</t>
  </si>
  <si>
    <t>Monteagudo</t>
  </si>
  <si>
    <t>monthypm@gmail.com</t>
  </si>
  <si>
    <t>34609484694</t>
  </si>
  <si>
    <t>Espanoa</t>
  </si>
  <si>
    <t>M-1824</t>
  </si>
  <si>
    <t>Neha</t>
  </si>
  <si>
    <t>Moonka</t>
  </si>
  <si>
    <t>nehamoonka@gmail.com</t>
  </si>
  <si>
    <t>447818670495</t>
  </si>
  <si>
    <t>21 Claymore Road, 31-01 Tate Residences, Singapore, 229545</t>
  </si>
  <si>
    <t>M-1745</t>
  </si>
  <si>
    <t>Morais</t>
  </si>
  <si>
    <t>Gilberto</t>
  </si>
  <si>
    <t>M-1210</t>
  </si>
  <si>
    <t>Morata</t>
  </si>
  <si>
    <t>M-1694</t>
  </si>
  <si>
    <t>Moreira</t>
  </si>
  <si>
    <t>M-1636</t>
  </si>
  <si>
    <t>ericaannmoreira@gmail.com</t>
  </si>
  <si>
    <t>M-1940</t>
  </si>
  <si>
    <t>Morgan</t>
  </si>
  <si>
    <t>Lindsay Anderson</t>
  </si>
  <si>
    <t>morgancolorado28@gmail.com</t>
  </si>
  <si>
    <t>13038174865</t>
  </si>
  <si>
    <t>M-1810</t>
  </si>
  <si>
    <t>morgan.perdana@gmail.com</t>
  </si>
  <si>
    <t>6281219998484</t>
  </si>
  <si>
    <t>M-0867</t>
  </si>
  <si>
    <t>Morihiro</t>
  </si>
  <si>
    <t>Kikuchi</t>
  </si>
  <si>
    <t>Thamrin Residence</t>
  </si>
  <si>
    <t>M-1954</t>
  </si>
  <si>
    <t>Moriska</t>
  </si>
  <si>
    <t>Momo</t>
  </si>
  <si>
    <t>moriskamomo28@gmail.com</t>
  </si>
  <si>
    <t>6281270680518</t>
  </si>
  <si>
    <t>1 Park Avenue Apt</t>
  </si>
  <si>
    <t>M-207</t>
  </si>
  <si>
    <t>Moritz</t>
  </si>
  <si>
    <t>M-1652</t>
  </si>
  <si>
    <t>M-1338</t>
  </si>
  <si>
    <t>Moses</t>
  </si>
  <si>
    <t>Asaf</t>
  </si>
  <si>
    <t>M-350</t>
  </si>
  <si>
    <t>Motaher</t>
  </si>
  <si>
    <t>Saeed</t>
  </si>
  <si>
    <t>M-1942</t>
  </si>
  <si>
    <t>Motta Severo Da Silva Luis</t>
  </si>
  <si>
    <t>Gustavo</t>
  </si>
  <si>
    <t>luisevero@gmail.com</t>
  </si>
  <si>
    <t>5561981788816</t>
  </si>
  <si>
    <t>Brasil</t>
  </si>
  <si>
    <t>M-1746</t>
  </si>
  <si>
    <t>Mottinha</t>
  </si>
  <si>
    <t>Frederico</t>
  </si>
  <si>
    <t>M-1601</t>
  </si>
  <si>
    <t>Moudy</t>
  </si>
  <si>
    <t>Pusung</t>
  </si>
  <si>
    <t>628124406823</t>
  </si>
  <si>
    <t>M-1397</t>
  </si>
  <si>
    <t>Moyi</t>
  </si>
  <si>
    <t>M-1759</t>
  </si>
  <si>
    <t>Mu,</t>
  </si>
  <si>
    <t>Keyou</t>
  </si>
  <si>
    <t>yuki060616@outlook.com</t>
  </si>
  <si>
    <t>M-1009</t>
  </si>
  <si>
    <t>Alotaibi</t>
  </si>
  <si>
    <t>M-465</t>
  </si>
  <si>
    <t>Muchamad</t>
  </si>
  <si>
    <t>Asngad</t>
  </si>
  <si>
    <t>M-595</t>
  </si>
  <si>
    <t>Muchammad</t>
  </si>
  <si>
    <t>Chafeis</t>
  </si>
  <si>
    <t>chafeissaid@yahoo.com</t>
  </si>
  <si>
    <t>M-1563</t>
  </si>
  <si>
    <t>Muchimba</t>
  </si>
  <si>
    <t>Khosel</t>
  </si>
  <si>
    <t>M-234</t>
  </si>
  <si>
    <t>Jl. Ciranjang 36</t>
  </si>
  <si>
    <t>M-1083</t>
  </si>
  <si>
    <t>Muchlisin</t>
  </si>
  <si>
    <t>M-1227</t>
  </si>
  <si>
    <t>Muchtar</t>
  </si>
  <si>
    <t>M-291</t>
  </si>
  <si>
    <t>Mudi</t>
  </si>
  <si>
    <t>Hapsri</t>
  </si>
  <si>
    <t xml:space="preserve">Jl. Kelapa Kuning IV Blok AN No.3
Jakarta Timur 13450</t>
  </si>
  <si>
    <t>M-433</t>
  </si>
  <si>
    <t>Mudiono</t>
  </si>
  <si>
    <t>M-238</t>
  </si>
  <si>
    <t>Muger</t>
  </si>
  <si>
    <t>Jl. Pasar Baru 15</t>
  </si>
  <si>
    <t>M-1670</t>
  </si>
  <si>
    <t>Muh.</t>
  </si>
  <si>
    <t>M-704</t>
  </si>
  <si>
    <t>Darlen</t>
  </si>
  <si>
    <t>M-1619</t>
  </si>
  <si>
    <t>Muhalim</t>
  </si>
  <si>
    <t>M-1823</t>
  </si>
  <si>
    <t>Mardiano</t>
  </si>
  <si>
    <t>6281117044</t>
  </si>
  <si>
    <t>M-1644</t>
  </si>
  <si>
    <t>M-1295</t>
  </si>
  <si>
    <t>M-1962</t>
  </si>
  <si>
    <t>Al Fadillah</t>
  </si>
  <si>
    <t>muhammadalfadillah2112@gmail.com</t>
  </si>
  <si>
    <t>6281321212521</t>
  </si>
  <si>
    <t>M-1553</t>
  </si>
  <si>
    <t xml:space="preserve">Jl.Jeruk Atas Gg.Suranaya 
P.Siantar</t>
  </si>
  <si>
    <t>M-614</t>
  </si>
  <si>
    <t>Mafazi</t>
  </si>
  <si>
    <t>atrasmafazi@yahoo.com</t>
  </si>
  <si>
    <t xml:space="preserve">Jl Lembang No. 37
Menteng
Jakarta Pusat</t>
  </si>
  <si>
    <t>M-1955</t>
  </si>
  <si>
    <t>Austiko</t>
  </si>
  <si>
    <t>muaustiko@gmail.com</t>
  </si>
  <si>
    <t>6281294638968</t>
  </si>
  <si>
    <t>M-454</t>
  </si>
  <si>
    <t>bujaber</t>
  </si>
  <si>
    <t>M-702</t>
  </si>
  <si>
    <t>M-1811</t>
  </si>
  <si>
    <t>6281240094466</t>
  </si>
  <si>
    <t>M-0868</t>
  </si>
  <si>
    <t>Ferdien</t>
  </si>
  <si>
    <t>mferdien@gmail.com</t>
  </si>
  <si>
    <t>M-1438</t>
  </si>
  <si>
    <t xml:space="preserve">JL.Ring Road Utara 
Perum yadara puluh dadi,Gang 1 No 4
Condongcatur
kec Depok kab.sleman DIY (55281)</t>
  </si>
  <si>
    <t>M-1801</t>
  </si>
  <si>
    <t>Hafni</t>
  </si>
  <si>
    <t>62811968599</t>
  </si>
  <si>
    <t>M-1038</t>
  </si>
  <si>
    <t>Junius</t>
  </si>
  <si>
    <t>M-1596</t>
  </si>
  <si>
    <t>Hatni</t>
  </si>
  <si>
    <t>M-1014</t>
  </si>
  <si>
    <t>628113850850</t>
  </si>
  <si>
    <t>M-530</t>
  </si>
  <si>
    <t>M-1278</t>
  </si>
  <si>
    <t>M-344</t>
  </si>
  <si>
    <t>Indraputra</t>
  </si>
  <si>
    <t>M-502</t>
  </si>
  <si>
    <t>Jamil</t>
  </si>
  <si>
    <t>Komplek Bumi Asri Blk E No.14</t>
  </si>
  <si>
    <t>M-1437</t>
  </si>
  <si>
    <t>Miftahuda</t>
  </si>
  <si>
    <t>keanu.businessinauiries@gmail.com</t>
  </si>
  <si>
    <t>M-1065</t>
  </si>
  <si>
    <t>Maghaska</t>
  </si>
  <si>
    <t>mudamagaska@gmail.com</t>
  </si>
  <si>
    <t>Bunga Nusa Indah No.24</t>
  </si>
  <si>
    <t>M-0919</t>
  </si>
  <si>
    <t>Nooraizah</t>
  </si>
  <si>
    <t>N-208</t>
  </si>
  <si>
    <t>mnfbrahim@outlook.com</t>
  </si>
  <si>
    <t>Jl. Balitung 1 No 29</t>
  </si>
  <si>
    <t>M-0910</t>
  </si>
  <si>
    <t>Tito</t>
  </si>
  <si>
    <t>985 Bukit Timah Rd</t>
  </si>
  <si>
    <t>M-740</t>
  </si>
  <si>
    <t>Qodari</t>
  </si>
  <si>
    <t>Jl. Tebet Timur 1 No 26-28 . Tebet</t>
  </si>
  <si>
    <t>M-1546</t>
  </si>
  <si>
    <t>M-1564</t>
  </si>
  <si>
    <t>JL. Sekolah kencana 1 No 20 Jakarta indonesia</t>
  </si>
  <si>
    <t>M-1877</t>
  </si>
  <si>
    <t>6281288869758</t>
  </si>
  <si>
    <t>M-1542</t>
  </si>
  <si>
    <t>M-0926</t>
  </si>
  <si>
    <t>Safari</t>
  </si>
  <si>
    <t>M-1420</t>
  </si>
  <si>
    <t>628117770666</t>
  </si>
  <si>
    <t>M-296</t>
  </si>
  <si>
    <t>M-739</t>
  </si>
  <si>
    <t xml:space="preserve">Jl.Musi No.30
Cideng - Jakarta Pusat</t>
  </si>
  <si>
    <t>M-0829</t>
  </si>
  <si>
    <t>T-0688</t>
  </si>
  <si>
    <t>Muhammad taufiq</t>
  </si>
  <si>
    <t>Taufiq</t>
  </si>
  <si>
    <t>628118607601</t>
  </si>
  <si>
    <t>M-645</t>
  </si>
  <si>
    <t>Kenari Golf 3 No.23 Bukit Golf Mediterrania .PIK</t>
  </si>
  <si>
    <t>M-1772</t>
  </si>
  <si>
    <t>Muhammad yussra</t>
  </si>
  <si>
    <t>Yussra</t>
  </si>
  <si>
    <t>081112520203</t>
  </si>
  <si>
    <t>M-1709</t>
  </si>
  <si>
    <t>Rinadin</t>
  </si>
  <si>
    <t>finarrinadin@gmail.com</t>
  </si>
  <si>
    <t>S.L.H Muhi X NO.24</t>
  </si>
  <si>
    <t>M-243</t>
  </si>
  <si>
    <t>Muhammat</t>
  </si>
  <si>
    <t>Marasabessy</t>
  </si>
  <si>
    <t>M-677</t>
  </si>
  <si>
    <t>Muhani</t>
  </si>
  <si>
    <t>M-592</t>
  </si>
  <si>
    <t>Mujahed</t>
  </si>
  <si>
    <t>M-1097</t>
  </si>
  <si>
    <t>Mukhtarudin.</t>
  </si>
  <si>
    <t>M-1702</t>
  </si>
  <si>
    <t>Mukiat</t>
  </si>
  <si>
    <t>mukiat.sutikni@gmail.com</t>
  </si>
  <si>
    <t>628121216788</t>
  </si>
  <si>
    <t>Gading Kirana Timur 8 H8/12A Jakarta Utara</t>
  </si>
  <si>
    <t>M-245</t>
  </si>
  <si>
    <t>Muklis</t>
  </si>
  <si>
    <t>(Kalimantan)</t>
  </si>
  <si>
    <t>M-1426</t>
  </si>
  <si>
    <t>Apartemen Menara Marina Jln. Pluit Samudra</t>
  </si>
  <si>
    <t>M-1961</t>
  </si>
  <si>
    <t>muliana.wijaja@gmail.com</t>
  </si>
  <si>
    <t>628121231022</t>
  </si>
  <si>
    <t>M-246</t>
  </si>
  <si>
    <t>Muliani</t>
  </si>
  <si>
    <t>M-1427</t>
  </si>
  <si>
    <t>6281310100100</t>
  </si>
  <si>
    <t>M-1424</t>
  </si>
  <si>
    <t>Muliati</t>
  </si>
  <si>
    <t>M-583</t>
  </si>
  <si>
    <t>Ni Wayan</t>
  </si>
  <si>
    <t>6281238300631</t>
  </si>
  <si>
    <t>BRB Staff ID 00108, Jl Goa Lempeh, Br, Dinas Kangin</t>
  </si>
  <si>
    <t>M-1815</t>
  </si>
  <si>
    <t>Muliaty</t>
  </si>
  <si>
    <t>muliatyhlm@gmail.com</t>
  </si>
  <si>
    <t>6287889042278</t>
  </si>
  <si>
    <t>Citra 5 Blok B5 no10</t>
  </si>
  <si>
    <t>M-1765</t>
  </si>
  <si>
    <t>Mulijati</t>
  </si>
  <si>
    <t>081919692020</t>
  </si>
  <si>
    <t>Intercon Blok Q2/15</t>
  </si>
  <si>
    <t>M-247</t>
  </si>
  <si>
    <t>M-1040</t>
  </si>
  <si>
    <t>Muljaningsih</t>
  </si>
  <si>
    <t>62811241467</t>
  </si>
  <si>
    <t>M-1275</t>
  </si>
  <si>
    <t>Budhiwardaja</t>
  </si>
  <si>
    <t>M-1405</t>
  </si>
  <si>
    <t>M-519</t>
  </si>
  <si>
    <t>M-248</t>
  </si>
  <si>
    <t>JL. Bungur 1 No. 12</t>
  </si>
  <si>
    <t>M-249</t>
  </si>
  <si>
    <t>M-1115</t>
  </si>
  <si>
    <t>apartemen taman rasuna U 01-22A</t>
  </si>
  <si>
    <t>M-1514</t>
  </si>
  <si>
    <t>62811263030</t>
  </si>
  <si>
    <t>Jl. Saharjo No.18 (Kebalen) - Solo 57133</t>
  </si>
  <si>
    <t>M-1576</t>
  </si>
  <si>
    <t>Mulyamah</t>
  </si>
  <si>
    <t xml:space="preserve">JL GADING UTAMA TIMUR NO.2
BANDUNG</t>
  </si>
  <si>
    <t>M-450</t>
  </si>
  <si>
    <t>anni.rachorti@gmail.com</t>
  </si>
  <si>
    <t>jl.bumi kiara II/18 bandung</t>
  </si>
  <si>
    <t>M-678</t>
  </si>
  <si>
    <t>Satrya</t>
  </si>
  <si>
    <t>M-250</t>
  </si>
  <si>
    <t>Mumtaz</t>
  </si>
  <si>
    <t>M-1147</t>
  </si>
  <si>
    <t>Mun</t>
  </si>
  <si>
    <t>Kok</t>
  </si>
  <si>
    <t>M-1706</t>
  </si>
  <si>
    <t>M-1723</t>
  </si>
  <si>
    <t>Munari</t>
  </si>
  <si>
    <t xml:space="preserve">JL TANJUNG III NO.22
RT.52, SUMBER REJO
BALIK PAPAN - KALIMANTAN</t>
  </si>
  <si>
    <t>M-1143</t>
  </si>
  <si>
    <t>Mundisugih</t>
  </si>
  <si>
    <t>M-382</t>
  </si>
  <si>
    <t>Munesh</t>
  </si>
  <si>
    <t>Kumar</t>
  </si>
  <si>
    <t>Jl. Bayangkara 56</t>
  </si>
  <si>
    <t>M-1310</t>
  </si>
  <si>
    <t>Munirah</t>
  </si>
  <si>
    <t>Kadersha</t>
  </si>
  <si>
    <t>meenira@gmail.com</t>
  </si>
  <si>
    <t>M-1200</t>
  </si>
  <si>
    <t>Munirman</t>
  </si>
  <si>
    <t>abubakar</t>
  </si>
  <si>
    <t>M-1758</t>
  </si>
  <si>
    <t>Munmun</t>
  </si>
  <si>
    <t>M-1153</t>
  </si>
  <si>
    <t>Murdiansyah</t>
  </si>
  <si>
    <t>M-1674</t>
  </si>
  <si>
    <t>Muresan</t>
  </si>
  <si>
    <t>Romania</t>
  </si>
  <si>
    <t>M-1960</t>
  </si>
  <si>
    <t>Murlidhar</t>
  </si>
  <si>
    <t>Sharma</t>
  </si>
  <si>
    <t>mdsahrma7489@gmail.com</t>
  </si>
  <si>
    <t>919414127593</t>
  </si>
  <si>
    <t>M-1858</t>
  </si>
  <si>
    <t>Murni</t>
  </si>
  <si>
    <t>62811633455</t>
  </si>
  <si>
    <t>M-252</t>
  </si>
  <si>
    <t>Murniaty</t>
  </si>
  <si>
    <t>M-254</t>
  </si>
  <si>
    <t>Murtini.R.Joeng</t>
  </si>
  <si>
    <t>82-10.5448.5845</t>
  </si>
  <si>
    <t xml:space="preserve">103-1305 Hanhwa Apt 460 Gong deok 2/ONG
Mapo-gu SEOUL,Korea.</t>
  </si>
  <si>
    <t>M-1020</t>
  </si>
  <si>
    <t>Murtiningrum</t>
  </si>
  <si>
    <t>Soedarkho</t>
  </si>
  <si>
    <t>Tanjung Duren Timur V No,40A</t>
  </si>
  <si>
    <t>M-288</t>
  </si>
  <si>
    <t>Mury</t>
  </si>
  <si>
    <t>M-1074</t>
  </si>
  <si>
    <t>Musdalifah</t>
  </si>
  <si>
    <t>Mus</t>
  </si>
  <si>
    <t>M-1342</t>
  </si>
  <si>
    <t>Musi</t>
  </si>
  <si>
    <t>M-417</t>
  </si>
  <si>
    <t>Muskaan</t>
  </si>
  <si>
    <t>Bahinwani</t>
  </si>
  <si>
    <t>M-654</t>
  </si>
  <si>
    <t>Musonef</t>
  </si>
  <si>
    <t>M-1729</t>
  </si>
  <si>
    <t>Abdulrazaq</t>
  </si>
  <si>
    <t>M-0906</t>
  </si>
  <si>
    <t>Mustika</t>
  </si>
  <si>
    <t>M-1828</t>
  </si>
  <si>
    <t>628126360379</t>
  </si>
  <si>
    <t>M-1909</t>
  </si>
  <si>
    <t>628976430306</t>
  </si>
  <si>
    <t>M-1963</t>
  </si>
  <si>
    <t>6282285182994</t>
  </si>
  <si>
    <t>M-1489</t>
  </si>
  <si>
    <t>Muti</t>
  </si>
  <si>
    <t>M-732</t>
  </si>
  <si>
    <t>M-282</t>
  </si>
  <si>
    <t>M-1872</t>
  </si>
  <si>
    <t>6281369726540</t>
  </si>
  <si>
    <t>M-757</t>
  </si>
  <si>
    <t>M-0778</t>
  </si>
  <si>
    <t>Mutiara</t>
  </si>
  <si>
    <t>M-1298</t>
  </si>
  <si>
    <t>M-1469</t>
  </si>
  <si>
    <t>M-1886</t>
  </si>
  <si>
    <t>Lasmaroida</t>
  </si>
  <si>
    <t>mutimute88@gmail.com</t>
  </si>
  <si>
    <t>628119438886</t>
  </si>
  <si>
    <t>Jl. Taman Simanjuntak Timur no. 5, Jakarta Timur</t>
  </si>
  <si>
    <t>M-1413</t>
  </si>
  <si>
    <t>Meddyan</t>
  </si>
  <si>
    <t>M-751</t>
  </si>
  <si>
    <t>Prasiwi</t>
  </si>
  <si>
    <t>M-1676</t>
  </si>
  <si>
    <t>Muttha</t>
  </si>
  <si>
    <t>Shantilal</t>
  </si>
  <si>
    <t>Z6941906</t>
  </si>
  <si>
    <t>M-1726</t>
  </si>
  <si>
    <t>Muvva</t>
  </si>
  <si>
    <t>Seliha</t>
  </si>
  <si>
    <t>M-509</t>
  </si>
  <si>
    <t>Muzakir</t>
  </si>
  <si>
    <t>M-675</t>
  </si>
  <si>
    <t>Muzwar</t>
  </si>
  <si>
    <t>M-1653</t>
  </si>
  <si>
    <t>Myeisha</t>
  </si>
  <si>
    <t>Tandi Payung</t>
  </si>
  <si>
    <t>628115815658</t>
  </si>
  <si>
    <t>Senayan Golf nEast Point Jakarta 12110</t>
  </si>
  <si>
    <t>M-1584</t>
  </si>
  <si>
    <t>Myeongeun</t>
  </si>
  <si>
    <t>M-1133</t>
  </si>
  <si>
    <t>Mylisa</t>
  </si>
  <si>
    <t>Sanny</t>
  </si>
  <si>
    <t>M-1537</t>
  </si>
  <si>
    <t>Myounghee</t>
  </si>
  <si>
    <t>bebasmh@hanmail.net</t>
  </si>
  <si>
    <t>Kemang Village, South Jakarta</t>
  </si>
  <si>
    <t>M-1897</t>
  </si>
  <si>
    <t>Myra Anggia</t>
  </si>
  <si>
    <t>Sumbono</t>
  </si>
  <si>
    <t>caramelbiru@yahoo.co.id</t>
  </si>
  <si>
    <t>6281319815716</t>
  </si>
  <si>
    <t>Komp PP Jl.Cakra Wijaya 12 No.33 Jakarta Timur 13420</t>
  </si>
  <si>
    <t>M-585</t>
  </si>
  <si>
    <t>Myrinda</t>
  </si>
  <si>
    <t>myrinda19@yahoo.com</t>
  </si>
  <si>
    <t>6282113555571</t>
  </si>
  <si>
    <t>Jalan Sekolah Duta I No. 60, Jakarta Selatan 12310</t>
  </si>
  <si>
    <t>M-1081</t>
  </si>
  <si>
    <t>Myrna</t>
  </si>
  <si>
    <t>Kantjananingrat</t>
  </si>
  <si>
    <t>M-258</t>
  </si>
  <si>
    <t>(Korea)</t>
  </si>
  <si>
    <t>M-312</t>
  </si>
  <si>
    <t>N-297</t>
  </si>
  <si>
    <t>Husain</t>
  </si>
  <si>
    <t>N-082</t>
  </si>
  <si>
    <t>N.</t>
  </si>
  <si>
    <t>Matsunaga</t>
  </si>
  <si>
    <t>Jl. Melati V Blok TR No. 11</t>
  </si>
  <si>
    <t>N-0588</t>
  </si>
  <si>
    <t>N-0793</t>
  </si>
  <si>
    <t>81289840437</t>
  </si>
  <si>
    <t>N-0904</t>
  </si>
  <si>
    <t>Naarah</t>
  </si>
  <si>
    <t>naarahjoesoef@gmail.com</t>
  </si>
  <si>
    <t>628111301333</t>
  </si>
  <si>
    <t>N-0868</t>
  </si>
  <si>
    <t>Nabiella</t>
  </si>
  <si>
    <t>Dessiany</t>
  </si>
  <si>
    <t>nabielladessiany@gmail.com</t>
  </si>
  <si>
    <t>+6281294058598</t>
  </si>
  <si>
    <t>N-279</t>
  </si>
  <si>
    <t>Muhammad Nabil</t>
  </si>
  <si>
    <t>+6281281131113</t>
  </si>
  <si>
    <t xml:space="preserve">PT Binx Propertindo
Jl. Kerta Bumi No.177</t>
  </si>
  <si>
    <t>N-0784</t>
  </si>
  <si>
    <t>N-278</t>
  </si>
  <si>
    <t>N-0769</t>
  </si>
  <si>
    <t>Farial</t>
  </si>
  <si>
    <t>N-221</t>
  </si>
  <si>
    <t>Mayanda</t>
  </si>
  <si>
    <t>N-0933</t>
  </si>
  <si>
    <t>Misha</t>
  </si>
  <si>
    <t>nabilagucci4@gmail.com</t>
  </si>
  <si>
    <t>6282111809270</t>
  </si>
  <si>
    <t>Gandaria 6, No.2</t>
  </si>
  <si>
    <t>N-0724</t>
  </si>
  <si>
    <t>Misaki</t>
  </si>
  <si>
    <t>N-0633</t>
  </si>
  <si>
    <t>Syahputri</t>
  </si>
  <si>
    <t>N-0453</t>
  </si>
  <si>
    <t>Nabilah</t>
  </si>
  <si>
    <t>Alsagoff</t>
  </si>
  <si>
    <t>n.alsagoff@gmail.com</t>
  </si>
  <si>
    <t>N-176</t>
  </si>
  <si>
    <t>Alsegoff</t>
  </si>
  <si>
    <t xml:space="preserve">Plaza Asia Unit 3
Jl. Jend Sudirman Kav 54 Jakarta 12910</t>
  </si>
  <si>
    <t>N-0485</t>
  </si>
  <si>
    <t>Nada</t>
  </si>
  <si>
    <t>Aldafif</t>
  </si>
  <si>
    <t>N-0831</t>
  </si>
  <si>
    <t>Nadali</t>
  </si>
  <si>
    <t>Shima</t>
  </si>
  <si>
    <t>N-163</t>
  </si>
  <si>
    <t>Nadalsyah</t>
  </si>
  <si>
    <t>N-0761</t>
  </si>
  <si>
    <t>Nadhif</t>
  </si>
  <si>
    <t>N-0842</t>
  </si>
  <si>
    <t>Nadhira</t>
  </si>
  <si>
    <t>N-0679</t>
  </si>
  <si>
    <t>Nadhya</t>
  </si>
  <si>
    <t>Ramadhanty Algadri</t>
  </si>
  <si>
    <t>+6281211111005</t>
  </si>
  <si>
    <t>N-0595</t>
  </si>
  <si>
    <t>N-0725</t>
  </si>
  <si>
    <t>Febrilla</t>
  </si>
  <si>
    <t>62818621992</t>
  </si>
  <si>
    <t xml:space="preserve">Jl.Dr Susilo IV no D2
GROGOL
JAKARTA BARAT 11450</t>
  </si>
  <si>
    <t>N-001</t>
  </si>
  <si>
    <t>N-135</t>
  </si>
  <si>
    <t xml:space="preserve">Jl. Zamrud 2 blok EE no.10
Permata Hijau</t>
  </si>
  <si>
    <t>N-0419</t>
  </si>
  <si>
    <t>N-0496</t>
  </si>
  <si>
    <t>N-0674</t>
  </si>
  <si>
    <t>jl/ Guru Alip No 20 Duren 3</t>
  </si>
  <si>
    <t>N-0809</t>
  </si>
  <si>
    <t>nadiaauliasofian@gmail.com</t>
  </si>
  <si>
    <t>Mediterania Boulevard Venice</t>
  </si>
  <si>
    <t>N-0816</t>
  </si>
  <si>
    <t>Belley</t>
  </si>
  <si>
    <t>N-0623</t>
  </si>
  <si>
    <t>Rizkiani</t>
  </si>
  <si>
    <t>N-0441</t>
  </si>
  <si>
    <t>N-0787</t>
  </si>
  <si>
    <t>6282122462470</t>
  </si>
  <si>
    <t>N-220</t>
  </si>
  <si>
    <t>soedarjo</t>
  </si>
  <si>
    <t>Jl. Puri Sakti Buntu I No.9A</t>
  </si>
  <si>
    <t>N-0967</t>
  </si>
  <si>
    <t>Widiana</t>
  </si>
  <si>
    <t>nadia.widiani@gmail,com</t>
  </si>
  <si>
    <t>6281234626</t>
  </si>
  <si>
    <t>I-0695</t>
  </si>
  <si>
    <t>Nadiah</t>
  </si>
  <si>
    <t>Komplek Permata Mediterania : Jl.PMR No.51 Srengseng - Kembangan. Jakarta barat. (Dari pos Pengumben arah ke Joglo. Masuk komplek lurus sampe ketemu bunderan lurus lg. Rumah sebelah kanan jalan setelah komp DPR)</t>
  </si>
  <si>
    <t>N-0884</t>
  </si>
  <si>
    <t>628111819933</t>
  </si>
  <si>
    <t>Slipi Jakarta Barat</t>
  </si>
  <si>
    <t>N-0685</t>
  </si>
  <si>
    <t>Nadif</t>
  </si>
  <si>
    <t>N-252</t>
  </si>
  <si>
    <t>Nadina</t>
  </si>
  <si>
    <t>N-0571</t>
  </si>
  <si>
    <t>Nadine</t>
  </si>
  <si>
    <t>N-0728</t>
  </si>
  <si>
    <t>nadine.putri@yahoo.com</t>
  </si>
  <si>
    <t>Kebayoran Villas A12</t>
  </si>
  <si>
    <t>N-0991</t>
  </si>
  <si>
    <t>Nadienalhsni@gmail.com</t>
  </si>
  <si>
    <t>6281398536932</t>
  </si>
  <si>
    <t>N-311</t>
  </si>
  <si>
    <t xml:space="preserve">JL. Mandar III Blok DC 8 No 3
Bintaro</t>
  </si>
  <si>
    <t>N-0523</t>
  </si>
  <si>
    <t>Herdiyan</t>
  </si>
  <si>
    <t>N-0580</t>
  </si>
  <si>
    <t xml:space="preserve">Jl. Madrasah No. 62 Jakarta
11530</t>
  </si>
  <si>
    <t>N-0420</t>
  </si>
  <si>
    <t>Susardi</t>
  </si>
  <si>
    <t>N-0483</t>
  </si>
  <si>
    <t>Nadita</t>
  </si>
  <si>
    <t>N-355</t>
  </si>
  <si>
    <t xml:space="preserve">Victoria Park Residence EZ/7
Karawaci Tanggerang</t>
  </si>
  <si>
    <t>N-0894</t>
  </si>
  <si>
    <t>N-0653</t>
  </si>
  <si>
    <t>Agustia Yapto</t>
  </si>
  <si>
    <t>nadya.agustia@gmail.com</t>
  </si>
  <si>
    <t>+628118777888</t>
  </si>
  <si>
    <t xml:space="preserve">Taman Grisenda C2/17
Pantai Indah Kapuk - Jakarta Utara</t>
  </si>
  <si>
    <t>N-0760</t>
  </si>
  <si>
    <t>Pramudita</t>
  </si>
  <si>
    <t>NADYAARINA15@GMAIL.COM</t>
  </si>
  <si>
    <t xml:space="preserve">Jl. Putih Salju No.34
Kelapa Gading</t>
  </si>
  <si>
    <t>N-0812</t>
  </si>
  <si>
    <t>N-0861</t>
  </si>
  <si>
    <t>N-0785</t>
  </si>
  <si>
    <t>Fahira</t>
  </si>
  <si>
    <t>agielnadya23@gmail.com</t>
  </si>
  <si>
    <t>N-0602</t>
  </si>
  <si>
    <t>N-0922</t>
  </si>
  <si>
    <t>+628996078851</t>
  </si>
  <si>
    <t>N-0567</t>
  </si>
  <si>
    <t>Helida</t>
  </si>
  <si>
    <t>nadya.helida@gmail.com</t>
  </si>
  <si>
    <t>N-0664</t>
  </si>
  <si>
    <t>+628176991616</t>
  </si>
  <si>
    <t xml:space="preserve">JL CIPINANG CIMPEDAK 1 NO.10
JAKARTA TIMUR</t>
  </si>
  <si>
    <t>N-179</t>
  </si>
  <si>
    <t xml:space="preserve">Jl. Kembangan Utara Blok K VI/1
Permata Buana
Jakarta Barat</t>
  </si>
  <si>
    <t>N-0947</t>
  </si>
  <si>
    <t>nadya.yemima@gmail.com</t>
  </si>
  <si>
    <t>+6281285300061</t>
  </si>
  <si>
    <t>Jl.Kalianyar X No.20 11310</t>
  </si>
  <si>
    <t>N-0770</t>
  </si>
  <si>
    <t>Novalia</t>
  </si>
  <si>
    <t>N-0438</t>
  </si>
  <si>
    <t>+28123047744</t>
  </si>
  <si>
    <t xml:space="preserve">KOMPLEK GALAXY BUMI PERMAI B5 NO.7
SURABAYA - 60117</t>
  </si>
  <si>
    <t>N-0680</t>
  </si>
  <si>
    <t>Ponder</t>
  </si>
  <si>
    <t xml:space="preserve">District 8 SCBD Lt.61
Infinity Tower 6125</t>
  </si>
  <si>
    <t>N-0667</t>
  </si>
  <si>
    <t>N-0782</t>
  </si>
  <si>
    <t>Nadzeya</t>
  </si>
  <si>
    <t>+971568801656</t>
  </si>
  <si>
    <t>N-0565</t>
  </si>
  <si>
    <t>Naek</t>
  </si>
  <si>
    <t>N-0976</t>
  </si>
  <si>
    <t>Nafisah</t>
  </si>
  <si>
    <t>drg_nafisah@yahoo.com</t>
  </si>
  <si>
    <t>628528528592</t>
  </si>
  <si>
    <t>N-0939</t>
  </si>
  <si>
    <t>Nafissa Malva</t>
  </si>
  <si>
    <t>6287733345454</t>
  </si>
  <si>
    <t>Jl. Gandaria V No. 7, Jakarta Selatan</t>
  </si>
  <si>
    <t>N-0827</t>
  </si>
  <si>
    <t>Naila</t>
  </si>
  <si>
    <t>Park Avenue Apartment</t>
  </si>
  <si>
    <t>N-0829</t>
  </si>
  <si>
    <t>Naina</t>
  </si>
  <si>
    <t>N-0951</t>
  </si>
  <si>
    <t>Najat Ali H H</t>
  </si>
  <si>
    <t>Al-Abdulmalik</t>
  </si>
  <si>
    <t>nkali1970@gmail.com</t>
  </si>
  <si>
    <t>97455053388</t>
  </si>
  <si>
    <t>N-0814</t>
  </si>
  <si>
    <t>Nakai</t>
  </si>
  <si>
    <t>Zagury</t>
  </si>
  <si>
    <t>N-0867</t>
  </si>
  <si>
    <t>Nakhla</t>
  </si>
  <si>
    <t>nakhla_amir@yahoo.com</t>
  </si>
  <si>
    <t>+6281213145400</t>
  </si>
  <si>
    <t>Jakarta Garden City Zebrina 3 No 72 Jakarta Timur</t>
  </si>
  <si>
    <t>N-0610</t>
  </si>
  <si>
    <t>Naldi</t>
  </si>
  <si>
    <t>Rinara</t>
  </si>
  <si>
    <t>N-0636</t>
  </si>
  <si>
    <t>Nalika</t>
  </si>
  <si>
    <t>Kusnan</t>
  </si>
  <si>
    <t>N-0876</t>
  </si>
  <si>
    <t>Jihye</t>
  </si>
  <si>
    <t>shrjkl@gmail.com</t>
  </si>
  <si>
    <t>821031551994</t>
  </si>
  <si>
    <t>N-007</t>
  </si>
  <si>
    <t>Namba</t>
  </si>
  <si>
    <t>JL. Raya jagorawi cilandak Pondok Klub Villas III Lebak Bulus</t>
  </si>
  <si>
    <t>N-0917</t>
  </si>
  <si>
    <t>Namiki</t>
  </si>
  <si>
    <t>Kazuma</t>
  </si>
  <si>
    <t>kazuma.namiki@oceantree.co.jp</t>
  </si>
  <si>
    <t>818099881115</t>
  </si>
  <si>
    <t>N-0984</t>
  </si>
  <si>
    <t>Namira</t>
  </si>
  <si>
    <t>Djahari</t>
  </si>
  <si>
    <t>6281221874907</t>
  </si>
  <si>
    <t>N-0856</t>
  </si>
  <si>
    <t>namirafarial@gmail.com</t>
  </si>
  <si>
    <t>+62811100090</t>
  </si>
  <si>
    <t>N-201</t>
  </si>
  <si>
    <t>Udaya</t>
  </si>
  <si>
    <t>INA</t>
  </si>
  <si>
    <t>N-0743</t>
  </si>
  <si>
    <t>Namto</t>
  </si>
  <si>
    <t>Roba</t>
  </si>
  <si>
    <t>N-0683</t>
  </si>
  <si>
    <t>Nan</t>
  </si>
  <si>
    <t>N-0510</t>
  </si>
  <si>
    <t>Dahlinar</t>
  </si>
  <si>
    <t>N-0956</t>
  </si>
  <si>
    <t>Zijie</t>
  </si>
  <si>
    <t>wojiaonzj@gmail.com</t>
  </si>
  <si>
    <t>61450989499</t>
  </si>
  <si>
    <t>N-330</t>
  </si>
  <si>
    <t>Nana</t>
  </si>
  <si>
    <t>N-277</t>
  </si>
  <si>
    <t>N-0848</t>
  </si>
  <si>
    <t>+6281328559732</t>
  </si>
  <si>
    <t>N-153</t>
  </si>
  <si>
    <t>N-164</t>
  </si>
  <si>
    <t xml:space="preserve">Jl. Bank V/19 Banka
jakarta Selatan</t>
  </si>
  <si>
    <t>N-0975</t>
  </si>
  <si>
    <t>Eulia</t>
  </si>
  <si>
    <t>628170088909</t>
  </si>
  <si>
    <t>N-0472</t>
  </si>
  <si>
    <t>nanabling2@gmail.com</t>
  </si>
  <si>
    <t>N-0493</t>
  </si>
  <si>
    <t>N-139</t>
  </si>
  <si>
    <t>Hasmanan</t>
  </si>
  <si>
    <t>nana.hasmanan@gmail.com</t>
  </si>
  <si>
    <t xml:space="preserve">Perak B/19
Permata Hijau</t>
  </si>
  <si>
    <t>N-169</t>
  </si>
  <si>
    <t>Merukh</t>
  </si>
  <si>
    <t>N-0518</t>
  </si>
  <si>
    <t>N-012</t>
  </si>
  <si>
    <t>Rohana</t>
  </si>
  <si>
    <t>N-286</t>
  </si>
  <si>
    <t>N-0414</t>
  </si>
  <si>
    <t>Nanak</t>
  </si>
  <si>
    <t>N-011</t>
  </si>
  <si>
    <t>Nanang</t>
  </si>
  <si>
    <t>JL. Taman Surya II / R 10</t>
  </si>
  <si>
    <t>Sunrise Garden</t>
  </si>
  <si>
    <t>N-0639</t>
  </si>
  <si>
    <t>Nanay</t>
  </si>
  <si>
    <t>N-249</t>
  </si>
  <si>
    <t>Nancy</t>
  </si>
  <si>
    <t>N-0745</t>
  </si>
  <si>
    <t>Airina</t>
  </si>
  <si>
    <t>Komp Grand Polonia 69 Medan</t>
  </si>
  <si>
    <t>N-156</t>
  </si>
  <si>
    <t>N-013</t>
  </si>
  <si>
    <t>Jl. Sanur Indah 10, Kelapa Gading</t>
  </si>
  <si>
    <t>N-0881</t>
  </si>
  <si>
    <t>6287881390000</t>
  </si>
  <si>
    <t>N-0395</t>
  </si>
  <si>
    <t xml:space="preserve">Pulau Nirwana 1 BLK H1/17
Jakarta</t>
  </si>
  <si>
    <t>N-0759</t>
  </si>
  <si>
    <t>N-0871</t>
  </si>
  <si>
    <t>Molumbot</t>
  </si>
  <si>
    <t>628111182020</t>
  </si>
  <si>
    <t>Danau Bogor Raya K15</t>
  </si>
  <si>
    <t>N-0751</t>
  </si>
  <si>
    <t>Mr)</t>
  </si>
  <si>
    <t>N-0813</t>
  </si>
  <si>
    <t>N-155</t>
  </si>
  <si>
    <t>Vigor</t>
  </si>
  <si>
    <t xml:space="preserve">Jl. Saraswati No.9L
Cipete Utara</t>
  </si>
  <si>
    <t>M-1479</t>
  </si>
  <si>
    <t>Muljadi.</t>
  </si>
  <si>
    <t>N-014</t>
  </si>
  <si>
    <t>Rumah Susun Kemayoran Boeing 2C #311</t>
  </si>
  <si>
    <t>N-015</t>
  </si>
  <si>
    <t>Vinata</t>
  </si>
  <si>
    <t>Pacific Place Tower 2 #12A</t>
  </si>
  <si>
    <t>N-342</t>
  </si>
  <si>
    <t>Nandia</t>
  </si>
  <si>
    <t>N-0852</t>
  </si>
  <si>
    <t>Nandie</t>
  </si>
  <si>
    <t>N-0929</t>
  </si>
  <si>
    <t>Nandriani</t>
  </si>
  <si>
    <t>Octarina</t>
  </si>
  <si>
    <t>6281212128003</t>
  </si>
  <si>
    <t>Eternity Tower SCBD, Jakarta</t>
  </si>
  <si>
    <t>N-0960</t>
  </si>
  <si>
    <t>Nandya Titania</t>
  </si>
  <si>
    <t>nandyatitania@gmail.com</t>
  </si>
  <si>
    <t>6281212215915</t>
  </si>
  <si>
    <t>Ampera</t>
  </si>
  <si>
    <t>N-0717</t>
  </si>
  <si>
    <t>Nangoi Priska</t>
  </si>
  <si>
    <t>Yohanna</t>
  </si>
  <si>
    <t>628128711326</t>
  </si>
  <si>
    <t>Muara Karang Blok I 2B/3</t>
  </si>
  <si>
    <t>N-019</t>
  </si>
  <si>
    <t>Nani</t>
  </si>
  <si>
    <t>N-368</t>
  </si>
  <si>
    <t>6281282289899</t>
  </si>
  <si>
    <t>N-196</t>
  </si>
  <si>
    <t>Djamal</t>
  </si>
  <si>
    <t>N-293</t>
  </si>
  <si>
    <t>Sujono</t>
  </si>
  <si>
    <t>N-0450</t>
  </si>
  <si>
    <t>N-0392</t>
  </si>
  <si>
    <t>081807019998</t>
  </si>
  <si>
    <t xml:space="preserve">MANYAR PERMAI 5 BLOK U3/2A
PIK - JAKARTA UTARA</t>
  </si>
  <si>
    <t>N-180</t>
  </si>
  <si>
    <t>Zaitun</t>
  </si>
  <si>
    <t>N-016</t>
  </si>
  <si>
    <t>Naniek</t>
  </si>
  <si>
    <t>Sudarwidiyanti</t>
  </si>
  <si>
    <t>N-017</t>
  </si>
  <si>
    <t>Jl. Niaga Hijau Raya No. 71</t>
  </si>
  <si>
    <t>N-0735</t>
  </si>
  <si>
    <t>Naniera</t>
  </si>
  <si>
    <t>Suwardiningrat Putri</t>
  </si>
  <si>
    <t>6281513022850</t>
  </si>
  <si>
    <t xml:space="preserve">Jl. Siaga Raya 2B Pejaten Barat 
Pasar Minggu</t>
  </si>
  <si>
    <t>N-0778</t>
  </si>
  <si>
    <t>Nanik</t>
  </si>
  <si>
    <t>Suwarni</t>
  </si>
  <si>
    <t>N-0665</t>
  </si>
  <si>
    <t>81316611797</t>
  </si>
  <si>
    <t>I-0765</t>
  </si>
  <si>
    <t>Nanny</t>
  </si>
  <si>
    <t>Sudiono</t>
  </si>
  <si>
    <t xml:space="preserve">JL.PERMATA INTAN BLOK S1/06, PERMATA HIJAU
JAK - SEL 12210</t>
  </si>
  <si>
    <t>N-0779</t>
  </si>
  <si>
    <t>N-0657</t>
  </si>
  <si>
    <t>Nanto</t>
  </si>
  <si>
    <t>N-0895</t>
  </si>
  <si>
    <t>6281905091766</t>
  </si>
  <si>
    <t>Jl. Radio 1, No.15, Jaksel</t>
  </si>
  <si>
    <t>N-020</t>
  </si>
  <si>
    <t>Jl. Zamrud Raya 15</t>
  </si>
  <si>
    <t>Sumur Batu</t>
  </si>
  <si>
    <t>N-138</t>
  </si>
  <si>
    <t>6281367619015</t>
  </si>
  <si>
    <t>N-143</t>
  </si>
  <si>
    <t>Nanwani</t>
  </si>
  <si>
    <t>N-0968</t>
  </si>
  <si>
    <t>Nany</t>
  </si>
  <si>
    <t>Hartaty</t>
  </si>
  <si>
    <t>nhartaty@gmail.com</t>
  </si>
  <si>
    <t>62818826663</t>
  </si>
  <si>
    <t>N-0944</t>
  </si>
  <si>
    <t>6287882662010</t>
  </si>
  <si>
    <t>N-0914</t>
  </si>
  <si>
    <t>Muladi</t>
  </si>
  <si>
    <t>bellamuladi@gmail.com</t>
  </si>
  <si>
    <t>6281284405000</t>
  </si>
  <si>
    <t>jl. kerinci VIII No 24</t>
  </si>
  <si>
    <t>N-0424</t>
  </si>
  <si>
    <t>N-022</t>
  </si>
  <si>
    <t>Naoki</t>
  </si>
  <si>
    <t>Ishikawa</t>
  </si>
  <si>
    <t>7th Fl. Tropik Apt. #702</t>
  </si>
  <si>
    <t>Jl. S. Parman Kav. 3</t>
  </si>
  <si>
    <t>N-021</t>
  </si>
  <si>
    <t>N-226</t>
  </si>
  <si>
    <t>Naomi</t>
  </si>
  <si>
    <t>N-0707</t>
  </si>
  <si>
    <t>Dons</t>
  </si>
  <si>
    <t>angela_dons@yahoo.com</t>
  </si>
  <si>
    <t>62811802568</t>
  </si>
  <si>
    <t>Villa 30</t>
  </si>
  <si>
    <t>N-0703</t>
  </si>
  <si>
    <t>Naomi Natalia</t>
  </si>
  <si>
    <t>naomiangel_ipad@yahoo.com</t>
  </si>
  <si>
    <t>628118138999</t>
  </si>
  <si>
    <t>N-0686</t>
  </si>
  <si>
    <t>Naomy</t>
  </si>
  <si>
    <t>naomynovalta@gmail.co</t>
  </si>
  <si>
    <t>N-0726</t>
  </si>
  <si>
    <t>Naony</t>
  </si>
  <si>
    <t>Jl. comeu 23 Surabaya</t>
  </si>
  <si>
    <t>N-266</t>
  </si>
  <si>
    <t>Nara</t>
  </si>
  <si>
    <t>Marciano</t>
  </si>
  <si>
    <t>N-0597</t>
  </si>
  <si>
    <t>Narae</t>
  </si>
  <si>
    <t>N-0422</t>
  </si>
  <si>
    <t>N-0934</t>
  </si>
  <si>
    <t>Nasardinov</t>
  </si>
  <si>
    <t>Timur</t>
  </si>
  <si>
    <t>timur_nasardinov@mac.com</t>
  </si>
  <si>
    <t>79037451010</t>
  </si>
  <si>
    <t>N-144</t>
  </si>
  <si>
    <t>Nashida</t>
  </si>
  <si>
    <t>N-0987</t>
  </si>
  <si>
    <t>Nashtasya</t>
  </si>
  <si>
    <t>Ratu Amanda</t>
  </si>
  <si>
    <t>mq.nashtasyas@gmail.com</t>
  </si>
  <si>
    <t>6282260007313</t>
  </si>
  <si>
    <t>N-028</t>
  </si>
  <si>
    <t>Nasrul</t>
  </si>
  <si>
    <t>N-029</t>
  </si>
  <si>
    <t>Jl. Villa B21 Komp. Polri</t>
  </si>
  <si>
    <t>Gatot Subroto</t>
  </si>
  <si>
    <t>N-0978</t>
  </si>
  <si>
    <t>6281295122778</t>
  </si>
  <si>
    <t>N-0479</t>
  </si>
  <si>
    <t>Nastassya</t>
  </si>
  <si>
    <t>N-0440</t>
  </si>
  <si>
    <t>Nasuda</t>
  </si>
  <si>
    <t>N-0792</t>
  </si>
  <si>
    <t>N-295</t>
  </si>
  <si>
    <t>Nasya</t>
  </si>
  <si>
    <t>N-158</t>
  </si>
  <si>
    <t>Kainarna</t>
  </si>
  <si>
    <t>N-0986</t>
  </si>
  <si>
    <t>Nasyar</t>
  </si>
  <si>
    <t>Naslan</t>
  </si>
  <si>
    <t>nasyar23@yahoo.com</t>
  </si>
  <si>
    <t>6281290339228</t>
  </si>
  <si>
    <t>Mampang prapatan No 24</t>
  </si>
  <si>
    <t>N-0449</t>
  </si>
  <si>
    <t>Tiwi</t>
  </si>
  <si>
    <t>natatiwi@yahoo.com</t>
  </si>
  <si>
    <t>N-0575</t>
  </si>
  <si>
    <t>N-160</t>
  </si>
  <si>
    <t>Djody</t>
  </si>
  <si>
    <t>Jl.Mimosa Raya K9 Buncit Indah Jakarta</t>
  </si>
  <si>
    <t>N-0644</t>
  </si>
  <si>
    <t>N-0551</t>
  </si>
  <si>
    <t>Jl Kalimalang Raya</t>
  </si>
  <si>
    <t>N-0458</t>
  </si>
  <si>
    <t>N-0902</t>
  </si>
  <si>
    <t>Snezhkova</t>
  </si>
  <si>
    <t>79650021486</t>
  </si>
  <si>
    <t>N-030</t>
  </si>
  <si>
    <t>Pavillion Apt. Tower 2 #905</t>
  </si>
  <si>
    <t>Jl. H. Mas Mansyur Kav. 24</t>
  </si>
  <si>
    <t>N-241</t>
  </si>
  <si>
    <t>N-0451</t>
  </si>
  <si>
    <t>N-0742</t>
  </si>
  <si>
    <t>Komplek STS Blok K No.1</t>
  </si>
  <si>
    <t>N-0888</t>
  </si>
  <si>
    <t>Ghernvkh</t>
  </si>
  <si>
    <t>6281282013160</t>
  </si>
  <si>
    <t>Casa Grande tower Avalon</t>
  </si>
  <si>
    <t>N-0730</t>
  </si>
  <si>
    <t>Genina</t>
  </si>
  <si>
    <t>N-0646</t>
  </si>
  <si>
    <t>Ilina</t>
  </si>
  <si>
    <t>M-0812</t>
  </si>
  <si>
    <t>Luci</t>
  </si>
  <si>
    <t>N-0973</t>
  </si>
  <si>
    <t>Mocio</t>
  </si>
  <si>
    <t>mocio.natalia@gmail.com</t>
  </si>
  <si>
    <t>48796296866</t>
  </si>
  <si>
    <t>Poland</t>
  </si>
  <si>
    <t>N-0716</t>
  </si>
  <si>
    <t>nataliamulyanto@yahoo.com</t>
  </si>
  <si>
    <t>N-0870</t>
  </si>
  <si>
    <t>6287881510106</t>
  </si>
  <si>
    <t>N-257</t>
  </si>
  <si>
    <t>N-0958</t>
  </si>
  <si>
    <t>Sukarnadi</t>
  </si>
  <si>
    <t>nataliasukarnadi2@gmail.com</t>
  </si>
  <si>
    <t>6282220000070</t>
  </si>
  <si>
    <t>The Kensingston Royal Suites</t>
  </si>
  <si>
    <t>N-0746</t>
  </si>
  <si>
    <t>natashashleyw@gmail.com</t>
  </si>
  <si>
    <t>+6282112026778</t>
  </si>
  <si>
    <t>N-0663</t>
  </si>
  <si>
    <t>Yovita Rahmawati</t>
  </si>
  <si>
    <t>nataliayovitar13@gmail.com</t>
  </si>
  <si>
    <t>+6282230577533</t>
  </si>
  <si>
    <t>Taman Indah VI/53</t>
  </si>
  <si>
    <t>M-1399</t>
  </si>
  <si>
    <t>Natalia.</t>
  </si>
  <si>
    <t>N-192</t>
  </si>
  <si>
    <t>Natalie</t>
  </si>
  <si>
    <t>+62818988355</t>
  </si>
  <si>
    <t>N-032</t>
  </si>
  <si>
    <t>Jl. Dharmawangsa X No. 3</t>
  </si>
  <si>
    <t>N-0843</t>
  </si>
  <si>
    <t>Desilie</t>
  </si>
  <si>
    <t>N-033</t>
  </si>
  <si>
    <t>N-034</t>
  </si>
  <si>
    <t>Munthe</t>
  </si>
  <si>
    <t>nat.munthe@gmail.com</t>
  </si>
  <si>
    <t>6281294043280,</t>
  </si>
  <si>
    <t>25th Fl. Plaza Bapindo Mandiri Tower</t>
  </si>
  <si>
    <t>N-0570</t>
  </si>
  <si>
    <t>N-0909</t>
  </si>
  <si>
    <t>natalie.tanon@gmail.com</t>
  </si>
  <si>
    <t>6281337787777</t>
  </si>
  <si>
    <t>Jalan Persada No 999, Denpasar, Bali</t>
  </si>
  <si>
    <t>N-0912</t>
  </si>
  <si>
    <t>Teonadi</t>
  </si>
  <si>
    <t>+6281318885915</t>
  </si>
  <si>
    <t>N-035</t>
  </si>
  <si>
    <t>N-0850</t>
  </si>
  <si>
    <t>Soemarli</t>
  </si>
  <si>
    <t>62811234208</t>
  </si>
  <si>
    <t>N-361</t>
  </si>
  <si>
    <t>Syabana</t>
  </si>
  <si>
    <t>nsyabana@gmail.com</t>
  </si>
  <si>
    <t>6281510363656</t>
  </si>
  <si>
    <t>N-271</t>
  </si>
  <si>
    <t>Natalle</t>
  </si>
  <si>
    <t>N-272</t>
  </si>
  <si>
    <t>N-0640</t>
  </si>
  <si>
    <t>62818886557</t>
  </si>
  <si>
    <t>N-0901</t>
  </si>
  <si>
    <t>Elfrieda Grace Laurent</t>
  </si>
  <si>
    <t>628111084078</t>
  </si>
  <si>
    <t>N-0949</t>
  </si>
  <si>
    <t>Natania</t>
  </si>
  <si>
    <t>628119762600</t>
  </si>
  <si>
    <t>N-0774</t>
  </si>
  <si>
    <t>NATARAJAN</t>
  </si>
  <si>
    <t>UVARAJ</t>
  </si>
  <si>
    <t>CHENNAI</t>
  </si>
  <si>
    <t>N-038</t>
  </si>
  <si>
    <t>Plaza 68, JL. Karet Pedurenan N0.56</t>
  </si>
  <si>
    <t>N-182</t>
  </si>
  <si>
    <t>N-0662</t>
  </si>
  <si>
    <t>N-0505</t>
  </si>
  <si>
    <t>N-0966</t>
  </si>
  <si>
    <t>Christabella</t>
  </si>
  <si>
    <t>628595957882</t>
  </si>
  <si>
    <t>N-0579</t>
  </si>
  <si>
    <t>N-0773</t>
  </si>
  <si>
    <t>Donalda</t>
  </si>
  <si>
    <t>Residence 8 Apartment Unit T329H1</t>
  </si>
  <si>
    <t>N-189</t>
  </si>
  <si>
    <t>Hunaini</t>
  </si>
  <si>
    <t xml:space="preserve">JL. Cipaku III No.1 
Kebayoran Baru</t>
  </si>
  <si>
    <t>N-0692</t>
  </si>
  <si>
    <t>Kalo</t>
  </si>
  <si>
    <t>N-039</t>
  </si>
  <si>
    <t>Terza</t>
  </si>
  <si>
    <t>Jl. Simpruk Golf 16 Kav. 77</t>
  </si>
  <si>
    <t>N-0426</t>
  </si>
  <si>
    <t>natasha.nababan@exxonmibil.com</t>
  </si>
  <si>
    <t xml:space="preserve">Jl.Sinabung IV NO.11. 
Jakarta 12120</t>
  </si>
  <si>
    <t>N-0626</t>
  </si>
  <si>
    <t>Permata</t>
  </si>
  <si>
    <t xml:space="preserve">JL.Camelia Komp. Sukarame Indah Blok C6 No 12 
RT. 11 /Rw 03 
Palembang</t>
  </si>
  <si>
    <t>N-0691</t>
  </si>
  <si>
    <t>Guna</t>
  </si>
  <si>
    <t>N-0985</t>
  </si>
  <si>
    <t>natasharizky93@gmail.com</t>
  </si>
  <si>
    <t>6281286135403</t>
  </si>
  <si>
    <t>Jl. Jeruk Purut No. 23, Jaksel 12560</t>
  </si>
  <si>
    <t>N-237</t>
  </si>
  <si>
    <t>natashatedja@hotmail.com</t>
  </si>
  <si>
    <t>Simprug Garden S/A6</t>
  </si>
  <si>
    <t>N-0713</t>
  </si>
  <si>
    <t>Untoro</t>
  </si>
  <si>
    <t xml:space="preserve">MANYAR JAYA IA NO.45
SURABAYA 60118</t>
  </si>
  <si>
    <t>N-0612</t>
  </si>
  <si>
    <t>N-0701</t>
  </si>
  <si>
    <t>Natassha</t>
  </si>
  <si>
    <t>N-040</t>
  </si>
  <si>
    <t>Natassya</t>
  </si>
  <si>
    <t>N-358</t>
  </si>
  <si>
    <t>N-0711</t>
  </si>
  <si>
    <t>Frederika</t>
  </si>
  <si>
    <t>+6289525025386</t>
  </si>
  <si>
    <t>N-0704</t>
  </si>
  <si>
    <t>Handika</t>
  </si>
  <si>
    <t>N-341</t>
  </si>
  <si>
    <t>N-0508</t>
  </si>
  <si>
    <t>N-041</t>
  </si>
  <si>
    <t>Perum. Griya Inti Sentosa</t>
  </si>
  <si>
    <t>Jl. Griya Elok Blok M-3 No. 36, Sunter</t>
  </si>
  <si>
    <t>N-0712</t>
  </si>
  <si>
    <t>Noersali</t>
  </si>
  <si>
    <t>verona_lia@hotmail.com</t>
  </si>
  <si>
    <t>62817762416</t>
  </si>
  <si>
    <t xml:space="preserve">Apartement Taman Anggrek 2 - 27B
JAKARTA BARAT 11470</t>
  </si>
  <si>
    <t>N-0705</t>
  </si>
  <si>
    <t>nath.frapy@gmail.com</t>
  </si>
  <si>
    <t>BSD Tangerang</t>
  </si>
  <si>
    <t>N-0454</t>
  </si>
  <si>
    <t>N-346</t>
  </si>
  <si>
    <t>Wusis</t>
  </si>
  <si>
    <t>N-0982</t>
  </si>
  <si>
    <t>Perwira</t>
  </si>
  <si>
    <t>6285880202002</t>
  </si>
  <si>
    <t>N-388</t>
  </si>
  <si>
    <t>Nathan</t>
  </si>
  <si>
    <t>Goeltom</t>
  </si>
  <si>
    <t>Jl Prapatan I No. 8 Senen, Jakarta Pusat</t>
  </si>
  <si>
    <t>N-0903</t>
  </si>
  <si>
    <t>Nathaphon</t>
  </si>
  <si>
    <t>Nakanupad</t>
  </si>
  <si>
    <t>66818998234</t>
  </si>
  <si>
    <t>N-327</t>
  </si>
  <si>
    <t>Nathassa</t>
  </si>
  <si>
    <t>andynathassawedding@gmail.com</t>
  </si>
  <si>
    <t>Sunter Mediterania Blok D no.15</t>
  </si>
  <si>
    <t>N-0801</t>
  </si>
  <si>
    <t>Naufal</t>
  </si>
  <si>
    <t>N-275</t>
  </si>
  <si>
    <t>Nauli</t>
  </si>
  <si>
    <t>Raja</t>
  </si>
  <si>
    <t>N-0776</t>
  </si>
  <si>
    <t>Naura</t>
  </si>
  <si>
    <t>Koesumo</t>
  </si>
  <si>
    <t>+6281281667676</t>
  </si>
  <si>
    <t>N-0796</t>
  </si>
  <si>
    <t>Navarro</t>
  </si>
  <si>
    <t>N-162</t>
  </si>
  <si>
    <t>Navin</t>
  </si>
  <si>
    <t>Mirpuri</t>
  </si>
  <si>
    <t>N-0763</t>
  </si>
  <si>
    <t>Nawal</t>
  </si>
  <si>
    <t>Nely</t>
  </si>
  <si>
    <t>nawalnely@gmail.com</t>
  </si>
  <si>
    <t>081281681150</t>
  </si>
  <si>
    <t>Anandamaya Residence</t>
  </si>
  <si>
    <t>M-1331</t>
  </si>
  <si>
    <t>Naya.</t>
  </si>
  <si>
    <t>N-0798</t>
  </si>
  <si>
    <t>Nayoung</t>
  </si>
  <si>
    <t>izero2895@gmail.com</t>
  </si>
  <si>
    <t>628128388892</t>
  </si>
  <si>
    <t>N-0825</t>
  </si>
  <si>
    <t>Naz</t>
  </si>
  <si>
    <t>Juman Gulinazaer</t>
  </si>
  <si>
    <t>Gulinazaer@gmail.com</t>
  </si>
  <si>
    <t>+628119649888</t>
  </si>
  <si>
    <t xml:space="preserve">La Vie Apartment, Kuningan, Jakarta Selatan 12940
</t>
  </si>
  <si>
    <t>N-0554</t>
  </si>
  <si>
    <t>N-339</t>
  </si>
  <si>
    <t>Nazhira</t>
  </si>
  <si>
    <t>Janani</t>
  </si>
  <si>
    <t>nazhirajanani@yahoo.com</t>
  </si>
  <si>
    <t>N-0969</t>
  </si>
  <si>
    <t>Nazira</t>
  </si>
  <si>
    <t>nazira_ku@yahoo.co.id</t>
  </si>
  <si>
    <t>62818220771</t>
  </si>
  <si>
    <t>N-0547</t>
  </si>
  <si>
    <t>Nedya</t>
  </si>
  <si>
    <t>M-1332</t>
  </si>
  <si>
    <t>Neeltje</t>
  </si>
  <si>
    <t>Sutandjati.</t>
  </si>
  <si>
    <t>N-0535</t>
  </si>
  <si>
    <t>Neera</t>
  </si>
  <si>
    <t>neeramya@yahoo.com</t>
  </si>
  <si>
    <t xml:space="preserve">komplek permata regency blok G15
Jakarta Barat 11630</t>
  </si>
  <si>
    <t>N-0921</t>
  </si>
  <si>
    <t>Nehme</t>
  </si>
  <si>
    <t>Abir Toni</t>
  </si>
  <si>
    <t>a.nehme@abeernehme.com</t>
  </si>
  <si>
    <t>9613935086</t>
  </si>
  <si>
    <t>lebanon</t>
  </si>
  <si>
    <t>N-202</t>
  </si>
  <si>
    <t>Neil</t>
  </si>
  <si>
    <t>Weston</t>
  </si>
  <si>
    <t>N-171</t>
  </si>
  <si>
    <t>Neisa</t>
  </si>
  <si>
    <t>N-0643</t>
  </si>
  <si>
    <t>Neli</t>
  </si>
  <si>
    <t>N-240</t>
  </si>
  <si>
    <t>Nelia</t>
  </si>
  <si>
    <t>N-377</t>
  </si>
  <si>
    <t>Nella</t>
  </si>
  <si>
    <t>Jl.Yusuf Adiwinata No.15 Menteng.Jkarta</t>
  </si>
  <si>
    <t>N-274</t>
  </si>
  <si>
    <t>Nelly</t>
  </si>
  <si>
    <t>N-0564</t>
  </si>
  <si>
    <t>N-0794</t>
  </si>
  <si>
    <t>628216666770</t>
  </si>
  <si>
    <t>N-0907</t>
  </si>
  <si>
    <t>Iskand</t>
  </si>
  <si>
    <t>mawan.juju@gmail.com</t>
  </si>
  <si>
    <t>081285971302</t>
  </si>
  <si>
    <t>N-0710</t>
  </si>
  <si>
    <t>6282299011168</t>
  </si>
  <si>
    <t>N-299</t>
  </si>
  <si>
    <t>N-314</t>
  </si>
  <si>
    <t>susanto_nelly@yahoo.com</t>
  </si>
  <si>
    <t>N-0764</t>
  </si>
  <si>
    <t>Nelson</t>
  </si>
  <si>
    <t>Darmawangsa</t>
  </si>
  <si>
    <t>N-0858</t>
  </si>
  <si>
    <t>Surprenant</t>
  </si>
  <si>
    <t>jennifer.suprenant@gmail.com</t>
  </si>
  <si>
    <t>New York, United States</t>
  </si>
  <si>
    <t>N-370</t>
  </si>
  <si>
    <t>Neneng</t>
  </si>
  <si>
    <t>Les</t>
  </si>
  <si>
    <t>N-046</t>
  </si>
  <si>
    <t>M-1484</t>
  </si>
  <si>
    <t>Kesinda Blok @14 No.6</t>
  </si>
  <si>
    <t>karawang</t>
  </si>
  <si>
    <t>N-0863</t>
  </si>
  <si>
    <t>Neneng Nurjani</t>
  </si>
  <si>
    <t>628158150535</t>
  </si>
  <si>
    <t>Perum Resinda Blok C14/6</t>
  </si>
  <si>
    <t>N-0830</t>
  </si>
  <si>
    <t>Neni</t>
  </si>
  <si>
    <t>628122638869</t>
  </si>
  <si>
    <t>Jl Kapten Patimura 47, Solo</t>
  </si>
  <si>
    <t>N-0401</t>
  </si>
  <si>
    <t>Nenny</t>
  </si>
  <si>
    <t>N-337</t>
  </si>
  <si>
    <t>N-0455</t>
  </si>
  <si>
    <t xml:space="preserve">Janur Kuning V WK 2 No,01
kelapa gading</t>
  </si>
  <si>
    <t>N-211</t>
  </si>
  <si>
    <t>N-282</t>
  </si>
  <si>
    <t>Nensah</t>
  </si>
  <si>
    <t>Krisnarini</t>
  </si>
  <si>
    <t>N-047</t>
  </si>
  <si>
    <t>Nenuphar</t>
  </si>
  <si>
    <t>nenupharca@yahoo.com</t>
  </si>
  <si>
    <t>Jl. Cipinang Cempedak I No. 15</t>
  </si>
  <si>
    <t>N-0456</t>
  </si>
  <si>
    <t>Neny</t>
  </si>
  <si>
    <t>N-0835</t>
  </si>
  <si>
    <t>Neo</t>
  </si>
  <si>
    <t>N-387</t>
  </si>
  <si>
    <t>Neri</t>
  </si>
  <si>
    <t>N-0605</t>
  </si>
  <si>
    <t>Nerisa</t>
  </si>
  <si>
    <t>Yulianty</t>
  </si>
  <si>
    <t>62817119926</t>
  </si>
  <si>
    <t>N-0752</t>
  </si>
  <si>
    <t>Nese</t>
  </si>
  <si>
    <t>Kantarcioglu</t>
  </si>
  <si>
    <t>Istanbul</t>
  </si>
  <si>
    <t>N-0416</t>
  </si>
  <si>
    <t>Nessy</t>
  </si>
  <si>
    <t>Isnaeni</t>
  </si>
  <si>
    <t>nessyisnaeni@gmail.com</t>
  </si>
  <si>
    <t>628119693414</t>
  </si>
  <si>
    <t xml:space="preserve">Taman Cikunir Indah Blok A4 no 9-10
Jaka Mulya Bekasi Selatan</t>
  </si>
  <si>
    <t>N-0877</t>
  </si>
  <si>
    <t>Nesty</t>
  </si>
  <si>
    <t>6281294768060</t>
  </si>
  <si>
    <t>N-291</t>
  </si>
  <si>
    <t>Neta</t>
  </si>
  <si>
    <t>Apriyanti</t>
  </si>
  <si>
    <t>apartemen cempaka mas tower a1 lantai 12/05</t>
  </si>
  <si>
    <t>N-0606</t>
  </si>
  <si>
    <t>Netalia</t>
  </si>
  <si>
    <t>N-0802</t>
  </si>
  <si>
    <t>Netta</t>
  </si>
  <si>
    <t>nettasaleh@gmail.com</t>
  </si>
  <si>
    <t>6281294043744</t>
  </si>
  <si>
    <t>N-048</t>
  </si>
  <si>
    <t>Netti</t>
  </si>
  <si>
    <t>Malini</t>
  </si>
  <si>
    <t>Blessing2508@gmail.com</t>
  </si>
  <si>
    <t>Jl.Katamaran Indah I/28</t>
  </si>
  <si>
    <t>N-0789</t>
  </si>
  <si>
    <t>Netty</t>
  </si>
  <si>
    <t>Jl. Alam Sutera Victoria 3/15</t>
  </si>
  <si>
    <t>N-0697</t>
  </si>
  <si>
    <t>N-0534</t>
  </si>
  <si>
    <t>Nety</t>
  </si>
  <si>
    <t>Ermayanti</t>
  </si>
  <si>
    <t>Jl. Tanjung II No.5</t>
  </si>
  <si>
    <t>N-0576</t>
  </si>
  <si>
    <t>Neura</t>
  </si>
  <si>
    <t>neura@bebitang.com</t>
  </si>
  <si>
    <t>Discovery cielo c-66 tangsel</t>
  </si>
  <si>
    <t>N-0840</t>
  </si>
  <si>
    <t>Ng</t>
  </si>
  <si>
    <t>Djoen Khiung</t>
  </si>
  <si>
    <t>felix_ng@yahoo.com</t>
  </si>
  <si>
    <t>+628118882283</t>
  </si>
  <si>
    <t>N-0866</t>
  </si>
  <si>
    <t>King Lung</t>
  </si>
  <si>
    <t>ngging@hotmail.com</t>
  </si>
  <si>
    <t>+85264644461</t>
  </si>
  <si>
    <t>N-0398</t>
  </si>
  <si>
    <t>Jena</t>
  </si>
  <si>
    <t>brenda@gmail.com</t>
  </si>
  <si>
    <t>Taman Asa Jaya</t>
  </si>
  <si>
    <t>N-0847</t>
  </si>
  <si>
    <t>N-0800</t>
  </si>
  <si>
    <t>Haur</t>
  </si>
  <si>
    <t>edwinngmax@yahoo.co.uk</t>
  </si>
  <si>
    <t>N-0943</t>
  </si>
  <si>
    <t>Sze Wing Sylvia</t>
  </si>
  <si>
    <t>dr.sylng@gmail.com</t>
  </si>
  <si>
    <t>+85295335883</t>
  </si>
  <si>
    <t>N-0828</t>
  </si>
  <si>
    <t>Republic of Singapore</t>
  </si>
  <si>
    <t>N-0775</t>
  </si>
  <si>
    <t>Ngesti</t>
  </si>
  <si>
    <t>N-0875</t>
  </si>
  <si>
    <t>Sukma</t>
  </si>
  <si>
    <t>+6282142800036</t>
  </si>
  <si>
    <t>Vasaka Residence Cluster Dhama D-3/8</t>
  </si>
  <si>
    <t>N-0961</t>
  </si>
  <si>
    <t>Ngoh</t>
  </si>
  <si>
    <t>Chun how</t>
  </si>
  <si>
    <t>+60127839666</t>
  </si>
  <si>
    <t>N-0544</t>
  </si>
  <si>
    <t>Anditya</t>
  </si>
  <si>
    <t>ngurah@triweka.com</t>
  </si>
  <si>
    <t xml:space="preserve">TRIWEKA RINANTI &amp; PARTNERS
Gedung Menara Bidakara 2 LT 9 UNIT 4
Jl.Gatot Subroto Kav 71-73 
Pancoran Jakarta Selatan 12870</t>
  </si>
  <si>
    <t>N-050</t>
  </si>
  <si>
    <t>Arditia</t>
  </si>
  <si>
    <t>Perum. Waringin Permai</t>
  </si>
  <si>
    <t>Jl. Wirasati Blok A-IV No. 4</t>
  </si>
  <si>
    <t>N-0536</t>
  </si>
  <si>
    <t>N-0932</t>
  </si>
  <si>
    <t>Phuong</t>
  </si>
  <si>
    <t>Nguyen Hong Lien</t>
  </si>
  <si>
    <t>kristinienguyen@gmail.com</t>
  </si>
  <si>
    <t>84902997979</t>
  </si>
  <si>
    <t>N-0925</t>
  </si>
  <si>
    <t>Nguyen</t>
  </si>
  <si>
    <t>Thi Hoai Thu</t>
  </si>
  <si>
    <t>hihoaithu@icloud.com</t>
  </si>
  <si>
    <t>+6588763518</t>
  </si>
  <si>
    <t>N-0930</t>
  </si>
  <si>
    <t>Thi Kim Oanh</t>
  </si>
  <si>
    <t>84904068468</t>
  </si>
  <si>
    <t>N-0946</t>
  </si>
  <si>
    <t>Nguyen Thi</t>
  </si>
  <si>
    <t>Ngocyen</t>
  </si>
  <si>
    <t>6281318262626</t>
  </si>
  <si>
    <t xml:space="preserve">Golf Island Cluster The Chopin, Signature 1 No.10 Penjaringan Kamal Utara 
</t>
  </si>
  <si>
    <t>N-0926</t>
  </si>
  <si>
    <t>Thi Phuong Tram</t>
  </si>
  <si>
    <t>628111556669</t>
  </si>
  <si>
    <t>Vietnam</t>
  </si>
  <si>
    <t>N-0945</t>
  </si>
  <si>
    <t>Uyen</t>
  </si>
  <si>
    <t>N-0755</t>
  </si>
  <si>
    <t>Aliastini</t>
  </si>
  <si>
    <t>Pecatu Graha</t>
  </si>
  <si>
    <t>N-0677</t>
  </si>
  <si>
    <t>Suastiningsih</t>
  </si>
  <si>
    <t>Denpasar Bali</t>
  </si>
  <si>
    <t>N-0928</t>
  </si>
  <si>
    <t>Ni Komang</t>
  </si>
  <si>
    <t>Sri Jayanti</t>
  </si>
  <si>
    <t>sj_226@yahoo.com</t>
  </si>
  <si>
    <t>62818221191</t>
  </si>
  <si>
    <t>Br. Lebih beten kelod gianyar</t>
  </si>
  <si>
    <t>N-0540</t>
  </si>
  <si>
    <t>Sri Yuliana</t>
  </si>
  <si>
    <t>6281238435646</t>
  </si>
  <si>
    <t>Bvlgari Resort Bali - Staff ID #00182</t>
  </si>
  <si>
    <t>N-0795</t>
  </si>
  <si>
    <t>Aryawathi</t>
  </si>
  <si>
    <t>N-0762</t>
  </si>
  <si>
    <t>Sudiasih</t>
  </si>
  <si>
    <t>Niluh</t>
  </si>
  <si>
    <t>628128300038</t>
  </si>
  <si>
    <t>N-326</t>
  </si>
  <si>
    <t>ASIH</t>
  </si>
  <si>
    <t>Asihbali@gmail.com</t>
  </si>
  <si>
    <t>N-0421</t>
  </si>
  <si>
    <t>Marwati</t>
  </si>
  <si>
    <t>N-0845</t>
  </si>
  <si>
    <t>Erawati</t>
  </si>
  <si>
    <t>era.leysa@gmail.com</t>
  </si>
  <si>
    <t xml:space="preserve">Villa CE
Jl. Batursari Gg Tunjung Sari No.11D 
Sanur - Denpasar - Bali</t>
  </si>
  <si>
    <t>N-0955</t>
  </si>
  <si>
    <t>N-0622</t>
  </si>
  <si>
    <t>suninti</t>
  </si>
  <si>
    <t>N-0980</t>
  </si>
  <si>
    <t>Epiyanti</t>
  </si>
  <si>
    <t>N-0970</t>
  </si>
  <si>
    <t>Nengah</t>
  </si>
  <si>
    <t>Rudiati</t>
  </si>
  <si>
    <t>rudiati2521@gmail.com</t>
  </si>
  <si>
    <t>6281338079490</t>
  </si>
  <si>
    <t>Renon Denpasar</t>
  </si>
  <si>
    <t>N-0647</t>
  </si>
  <si>
    <t>Ni Putu</t>
  </si>
  <si>
    <t>Mega Oktapiani</t>
  </si>
  <si>
    <t>628123963148</t>
  </si>
  <si>
    <t>N-0937</t>
  </si>
  <si>
    <t>62811389602</t>
  </si>
  <si>
    <t>N-0404</t>
  </si>
  <si>
    <t>18867905306@163.com</t>
  </si>
  <si>
    <t>yi hai bei lu wen hua guan</t>
  </si>
  <si>
    <t>Dongyang</t>
  </si>
  <si>
    <t>N-0952</t>
  </si>
  <si>
    <t>Ni,</t>
  </si>
  <si>
    <t>Yikun,</t>
  </si>
  <si>
    <t>niyikun@126.com</t>
  </si>
  <si>
    <t>+8613401154987</t>
  </si>
  <si>
    <t>N-0860</t>
  </si>
  <si>
    <t>niying@ecarfinance.net</t>
  </si>
  <si>
    <t>N-0927</t>
  </si>
  <si>
    <t>Zixuan</t>
  </si>
  <si>
    <t>nzx7297111870@163.com</t>
  </si>
  <si>
    <t>8618368867670</t>
  </si>
  <si>
    <t>N-173</t>
  </si>
  <si>
    <t>NI.Permadi</t>
  </si>
  <si>
    <t>N-159</t>
  </si>
  <si>
    <t>Nia</t>
  </si>
  <si>
    <t>N-0499</t>
  </si>
  <si>
    <t>Ismi</t>
  </si>
  <si>
    <t>N-051</t>
  </si>
  <si>
    <t>M-1167</t>
  </si>
  <si>
    <t>kurniawati</t>
  </si>
  <si>
    <t>N-0736</t>
  </si>
  <si>
    <t>Ludong</t>
  </si>
  <si>
    <t xml:space="preserve">Jl. Boulevard Family Utara
Platinum Golf no.31, Graha Family.
(Sebelah blok S) Surabaya, 60226</t>
  </si>
  <si>
    <t>N-332</t>
  </si>
  <si>
    <t>N-0470</t>
  </si>
  <si>
    <t>Priskilla</t>
  </si>
  <si>
    <t xml:space="preserve">Jl.Permata Intan V Blok Z no.6
Jakarta Selatan 12210</t>
  </si>
  <si>
    <t>N-292</t>
  </si>
  <si>
    <t xml:space="preserve">Nirwana Golden Park Blok C11 no 8
Cibinong Sentul Selatan</t>
  </si>
  <si>
    <t>N-0799</t>
  </si>
  <si>
    <t>N-0584</t>
  </si>
  <si>
    <t>NiaFeidy</t>
  </si>
  <si>
    <t>Mokoagow</t>
  </si>
  <si>
    <t>nia.feiby@yahoo,com</t>
  </si>
  <si>
    <t>N-212</t>
  </si>
  <si>
    <t>Nial</t>
  </si>
  <si>
    <t>N-0624</t>
  </si>
  <si>
    <t>Nicco</t>
  </si>
  <si>
    <t>N-331</t>
  </si>
  <si>
    <t>Nicholas</t>
  </si>
  <si>
    <t>N-0573</t>
  </si>
  <si>
    <t>N-0950</t>
  </si>
  <si>
    <t>ignatius.nicholas@ymail.com</t>
  </si>
  <si>
    <t>+628111188205</t>
  </si>
  <si>
    <t>Nirwana Golden Park Bogor 16915</t>
  </si>
  <si>
    <t>N-203</t>
  </si>
  <si>
    <t>Pujiadi</t>
  </si>
  <si>
    <t>N-0989</t>
  </si>
  <si>
    <t>Nicholas Rianto</t>
  </si>
  <si>
    <t>nicrintoo@gmail.com</t>
  </si>
  <si>
    <t>6287771114623</t>
  </si>
  <si>
    <t>N-0519</t>
  </si>
  <si>
    <t>Ronni</t>
  </si>
  <si>
    <t>N-0892</t>
  </si>
  <si>
    <t>nicholasconantwijaya@gmail.com</t>
  </si>
  <si>
    <t>6281222236898</t>
  </si>
  <si>
    <t>N-0684</t>
  </si>
  <si>
    <t>N-0886</t>
  </si>
  <si>
    <t>Nicholle</t>
  </si>
  <si>
    <t>Buntaran</t>
  </si>
  <si>
    <t>6282112656688</t>
  </si>
  <si>
    <t>N-0935</t>
  </si>
  <si>
    <t>Nick</t>
  </si>
  <si>
    <t>+971526775180</t>
  </si>
  <si>
    <t>N-053</t>
  </si>
  <si>
    <t>Shang</t>
  </si>
  <si>
    <t>JL. Kemang Raya No. 79</t>
  </si>
  <si>
    <t>N-321</t>
  </si>
  <si>
    <t>Nickoline</t>
  </si>
  <si>
    <t>Retna</t>
  </si>
  <si>
    <t>MPI</t>
  </si>
  <si>
    <t>N-0671</t>
  </si>
  <si>
    <t>Nicky</t>
  </si>
  <si>
    <t>anthonynicky8189@gmail.com</t>
  </si>
  <si>
    <t>6287888880990</t>
  </si>
  <si>
    <t>N-0393</t>
  </si>
  <si>
    <t>gayatriardhinindya@yahoo.com</t>
  </si>
  <si>
    <t xml:space="preserve">Central Park Resident
Amandine Tower #3105
Jakarta Barat</t>
  </si>
  <si>
    <t>N-0756</t>
  </si>
  <si>
    <t>Ferdiani</t>
  </si>
  <si>
    <t>nickyferdiani@gmail.com</t>
  </si>
  <si>
    <t>6282311111477</t>
  </si>
  <si>
    <t>Harvestland Jimbaran, Bali</t>
  </si>
  <si>
    <t>N-0959</t>
  </si>
  <si>
    <t>6287885322924</t>
  </si>
  <si>
    <t>Jl Bento A6/10 Pndok Jaya Residences</t>
  </si>
  <si>
    <t>N-0550</t>
  </si>
  <si>
    <t>Tanaka</t>
  </si>
  <si>
    <t>N-0738</t>
  </si>
  <si>
    <t>Nico</t>
  </si>
  <si>
    <t>sachio.nicolas@gmail.com</t>
  </si>
  <si>
    <t>N-054</t>
  </si>
  <si>
    <t>Artha Gading Villa F/18</t>
  </si>
  <si>
    <t>E-0735</t>
  </si>
  <si>
    <t>Slamat</t>
  </si>
  <si>
    <t>Villa 10</t>
  </si>
  <si>
    <t>N-0737</t>
  </si>
  <si>
    <t>nicogunawan29@gmail.com</t>
  </si>
  <si>
    <t>N-318</t>
  </si>
  <si>
    <t>Jl. Mas Putih DD No. 4-5, Permata Hijau</t>
  </si>
  <si>
    <t>N-0459</t>
  </si>
  <si>
    <t>Muhyidin</t>
  </si>
  <si>
    <t>N-0452</t>
  </si>
  <si>
    <t>Rasity</t>
  </si>
  <si>
    <t>N-0666</t>
  </si>
  <si>
    <t>Nicodemus</t>
  </si>
  <si>
    <t>N-0727</t>
  </si>
  <si>
    <t>Apthioman</t>
  </si>
  <si>
    <t>N-0818</t>
  </si>
  <si>
    <t>Nicoelle</t>
  </si>
  <si>
    <t>N-0819</t>
  </si>
  <si>
    <t>Nicola</t>
  </si>
  <si>
    <t>Bahari</t>
  </si>
  <si>
    <t>PIK -14460</t>
  </si>
  <si>
    <t>N-0718</t>
  </si>
  <si>
    <t>Sottili/Pino</t>
  </si>
  <si>
    <t>N-055</t>
  </si>
  <si>
    <t>Nicolaas</t>
  </si>
  <si>
    <t>N-0399</t>
  </si>
  <si>
    <t>nico_ply_85@yahoo.com</t>
  </si>
  <si>
    <t>6281311777879</t>
  </si>
  <si>
    <t>N-284</t>
  </si>
  <si>
    <t>Nicolas</t>
  </si>
  <si>
    <t>N-147</t>
  </si>
  <si>
    <t>N-0689</t>
  </si>
  <si>
    <t xml:space="preserve">Jl,Mitra Sunter Boulevard B12
Jakarta Utara - 14350</t>
  </si>
  <si>
    <t>N-0435</t>
  </si>
  <si>
    <t>6287780731444</t>
  </si>
  <si>
    <t>N-0660</t>
  </si>
  <si>
    <t>N-0806</t>
  </si>
  <si>
    <t>N-0953</t>
  </si>
  <si>
    <t>Zou</t>
  </si>
  <si>
    <t>6285947415058</t>
  </si>
  <si>
    <t>N-057</t>
  </si>
  <si>
    <t>Nida</t>
  </si>
  <si>
    <t>Jl. Kelapa Hibrida III Blok 12B No. 7</t>
  </si>
  <si>
    <t>N-223</t>
  </si>
  <si>
    <t>Nidhi</t>
  </si>
  <si>
    <t>Agrawal</t>
  </si>
  <si>
    <t xml:space="preserve">Sudirman Residence Jasmine block 1D
(behind indofood tower,Jl Jendral Sudirman)</t>
  </si>
  <si>
    <t>M-1430</t>
  </si>
  <si>
    <t>Nidia</t>
  </si>
  <si>
    <t>Leander.</t>
  </si>
  <si>
    <t>N-0511</t>
  </si>
  <si>
    <t>Nie</t>
  </si>
  <si>
    <t>N-0655</t>
  </si>
  <si>
    <t>Hangxia</t>
  </si>
  <si>
    <t>N-0915</t>
  </si>
  <si>
    <t>Jiayi</t>
  </si>
  <si>
    <t>eunicenie9@gmail.com</t>
  </si>
  <si>
    <t>8613870867888</t>
  </si>
  <si>
    <t>N-0879</t>
  </si>
  <si>
    <t>Nie,</t>
  </si>
  <si>
    <t>Ziyan</t>
  </si>
  <si>
    <t>Rogerhk98@gmail.com</t>
  </si>
  <si>
    <t>85260166785</t>
  </si>
  <si>
    <t>N-0878</t>
  </si>
  <si>
    <t>Nieken</t>
  </si>
  <si>
    <t>Trisiawati</t>
  </si>
  <si>
    <t>6281803801888</t>
  </si>
  <si>
    <t>N-333</t>
  </si>
  <si>
    <t>Niena</t>
  </si>
  <si>
    <t>N-0425</t>
  </si>
  <si>
    <t>Nies</t>
  </si>
  <si>
    <t>Jl. Prof Jokosutomo No 19, Kebayoran baru</t>
  </si>
  <si>
    <t>N-178</t>
  </si>
  <si>
    <t>N-356</t>
  </si>
  <si>
    <t>Niesa</t>
  </si>
  <si>
    <t>N-0654</t>
  </si>
  <si>
    <t>+62811970898</t>
  </si>
  <si>
    <t>N-0983</t>
  </si>
  <si>
    <t>Nieto</t>
  </si>
  <si>
    <t>Richard</t>
  </si>
  <si>
    <t>rich@sweetleafcoffee.com</t>
  </si>
  <si>
    <t>19173095585</t>
  </si>
  <si>
    <t>N-0537</t>
  </si>
  <si>
    <t>Nifana</t>
  </si>
  <si>
    <t>N-059</t>
  </si>
  <si>
    <t>Nika</t>
  </si>
  <si>
    <t>Hendrijantini</t>
  </si>
  <si>
    <t>Raya Dharmahusada Indah</t>
  </si>
  <si>
    <t>A-28Sby</t>
  </si>
  <si>
    <t>N-0757</t>
  </si>
  <si>
    <t>Ismakova</t>
  </si>
  <si>
    <t>N-060</t>
  </si>
  <si>
    <t>Nike</t>
  </si>
  <si>
    <t>N-276</t>
  </si>
  <si>
    <t xml:space="preserve">Thamrin Residence tower E
Unit 35ED 
Jl. Kebon Kacang</t>
  </si>
  <si>
    <t>N-0415</t>
  </si>
  <si>
    <t>N-0974</t>
  </si>
  <si>
    <t>Nike Eva</t>
  </si>
  <si>
    <t>nike.eva@icloud.com</t>
  </si>
  <si>
    <t>6281770011177</t>
  </si>
  <si>
    <t>N-0916</t>
  </si>
  <si>
    <t>6285334486666</t>
  </si>
  <si>
    <t>Permata Jingga Blok Cemara No.6 Malang</t>
  </si>
  <si>
    <t>65143</t>
  </si>
  <si>
    <t>N-0872</t>
  </si>
  <si>
    <t>nike_ivana@hotmail.com</t>
  </si>
  <si>
    <t>+628118822287</t>
  </si>
  <si>
    <t xml:space="preserve">JL.MANDAR XIV 005 NO,28, SEKTOR 3A
BINTARO - 15225</t>
  </si>
  <si>
    <t>N-0447</t>
  </si>
  <si>
    <t>Niken</t>
  </si>
  <si>
    <t>628125417381</t>
  </si>
  <si>
    <t>N-0556</t>
  </si>
  <si>
    <t>Ayuningtyas</t>
  </si>
  <si>
    <t>primaagung.cv@gmail.com</t>
  </si>
  <si>
    <t>Nusa Indah Residence Elok 2/2</t>
  </si>
  <si>
    <t>N-0629</t>
  </si>
  <si>
    <t>Liliasari Tenggara</t>
  </si>
  <si>
    <t>+6285966466852</t>
  </si>
  <si>
    <t xml:space="preserve">Aprmnt Belleza Louvre 22 Lv 1
Permaya Hijau</t>
  </si>
  <si>
    <t>N-350</t>
  </si>
  <si>
    <t>nikenpalupi@gmail.com</t>
  </si>
  <si>
    <t>6281285888269</t>
  </si>
  <si>
    <t xml:space="preserve">Senopati Suites unit 280
Kebayoran Baru</t>
  </si>
  <si>
    <t>N-061</t>
  </si>
  <si>
    <t>JL.Mawar Lestari Indah V/10</t>
  </si>
  <si>
    <t>N-310</t>
  </si>
  <si>
    <t>Prawesti</t>
  </si>
  <si>
    <t>prawestiniken@gmail.com</t>
  </si>
  <si>
    <t xml:space="preserve">Jl Jambu No 3A
Pejaten Barat II</t>
  </si>
  <si>
    <t>N-0700</t>
  </si>
  <si>
    <t>N-0442</t>
  </si>
  <si>
    <t>Vijayanti</t>
  </si>
  <si>
    <t>N-0744</t>
  </si>
  <si>
    <t>Niki</t>
  </si>
  <si>
    <t>Pamela</t>
  </si>
  <si>
    <t>N-0841</t>
  </si>
  <si>
    <t>N-0890</t>
  </si>
  <si>
    <t>Desryanti</t>
  </si>
  <si>
    <t>nikitadesryanti94@gmail.com</t>
  </si>
  <si>
    <t>6282113400213</t>
  </si>
  <si>
    <t>N-0397</t>
  </si>
  <si>
    <t>Mirzani</t>
  </si>
  <si>
    <t>miminalolly@yahoo.com</t>
  </si>
  <si>
    <t>PERMATA HIJAU RESIDENCE APARTEMENT TOWER ABELIA LANTAI 15</t>
  </si>
  <si>
    <t>N-372</t>
  </si>
  <si>
    <t>Nikki(GITALARAS)</t>
  </si>
  <si>
    <t>N-0941</t>
  </si>
  <si>
    <t>Nikmah</t>
  </si>
  <si>
    <t>6282333337958</t>
  </si>
  <si>
    <t>N-0834</t>
  </si>
  <si>
    <t>Niko</t>
  </si>
  <si>
    <t>N-0803</t>
  </si>
  <si>
    <t>Nikolai</t>
  </si>
  <si>
    <t>nickolai_in@mail.ru</t>
  </si>
  <si>
    <t>N-0936</t>
  </si>
  <si>
    <t>Nikolas</t>
  </si>
  <si>
    <t>Tjhin</t>
  </si>
  <si>
    <t>Tjhinn@gmail.com</t>
  </si>
  <si>
    <t>6281278098888</t>
  </si>
  <si>
    <t>N-063</t>
  </si>
  <si>
    <t>Nikolaus</t>
  </si>
  <si>
    <t>Jacobus</t>
  </si>
  <si>
    <t>Jl. Kapuas 27</t>
  </si>
  <si>
    <t>Cideng</t>
  </si>
  <si>
    <t>N-062</t>
  </si>
  <si>
    <t>N-329</t>
  </si>
  <si>
    <t>Nila</t>
  </si>
  <si>
    <t>N-0489</t>
  </si>
  <si>
    <t>N-0844</t>
  </si>
  <si>
    <t>Essence Darmawangsa</t>
  </si>
  <si>
    <t>N-386</t>
  </si>
  <si>
    <t>Kuntari</t>
  </si>
  <si>
    <t xml:space="preserve">Jl.Dr Semeru 2 No22 
Grogol,Jakarta barat</t>
  </si>
  <si>
    <t>N-0410</t>
  </si>
  <si>
    <t>6281410087427</t>
  </si>
  <si>
    <t>N-0962</t>
  </si>
  <si>
    <t>Nila Pipit</t>
  </si>
  <si>
    <t>Rismanto</t>
  </si>
  <si>
    <t>628124402000</t>
  </si>
  <si>
    <t>M-511</t>
  </si>
  <si>
    <t>N-0531</t>
  </si>
  <si>
    <t>N-0699</t>
  </si>
  <si>
    <t>N-0940</t>
  </si>
  <si>
    <t>Nilo</t>
  </si>
  <si>
    <t>Marijoy</t>
  </si>
  <si>
    <t>marijoynilo44@gmail.com</t>
  </si>
  <si>
    <t>639171093588</t>
  </si>
  <si>
    <t>N-0826</t>
  </si>
  <si>
    <t>Nilton</t>
  </si>
  <si>
    <t>Santos</t>
  </si>
  <si>
    <t>Dili, East Timor</t>
  </si>
  <si>
    <t>N-300</t>
  </si>
  <si>
    <t>Nilya</t>
  </si>
  <si>
    <t>Krishinda</t>
  </si>
  <si>
    <t>N-0694</t>
  </si>
  <si>
    <t>Nimas</t>
  </si>
  <si>
    <t>N-0855</t>
  </si>
  <si>
    <t>Lebak BUlus</t>
  </si>
  <si>
    <t>N-0533</t>
  </si>
  <si>
    <t>N-328</t>
  </si>
  <si>
    <t>N-0719</t>
  </si>
  <si>
    <t>N-224</t>
  </si>
  <si>
    <t>N-269</t>
  </si>
  <si>
    <t>N-239</t>
  </si>
  <si>
    <t>Bukit Golf Utama I PD21</t>
  </si>
  <si>
    <t>N-213</t>
  </si>
  <si>
    <t>+628121100862</t>
  </si>
  <si>
    <t xml:space="preserve">Menara Prima Floor 26 Suite B
JlLingkar Mega Kuningan Jakarta 12950</t>
  </si>
  <si>
    <t>N-0768</t>
  </si>
  <si>
    <t>Assegaf</t>
  </si>
  <si>
    <t>N-066</t>
  </si>
  <si>
    <t>Bayumi</t>
  </si>
  <si>
    <t>JL. Bumi Daya V Blok D No.79-80</t>
  </si>
  <si>
    <t>Cinere</t>
  </si>
  <si>
    <t>N-0732</t>
  </si>
  <si>
    <t>Cleanent</t>
  </si>
  <si>
    <t>N-0524</t>
  </si>
  <si>
    <t>Ekarina</t>
  </si>
  <si>
    <t>N-0771</t>
  </si>
  <si>
    <t>Hadil</t>
  </si>
  <si>
    <t>+62818878214</t>
  </si>
  <si>
    <t>N-0494</t>
  </si>
  <si>
    <t>Kaginda</t>
  </si>
  <si>
    <t>+6581500514</t>
  </si>
  <si>
    <t>N-0972</t>
  </si>
  <si>
    <t>6285210549388</t>
  </si>
  <si>
    <t>M-1435</t>
  </si>
  <si>
    <t>Mochtar.</t>
  </si>
  <si>
    <t>N-0753</t>
  </si>
  <si>
    <t>rachmawati.nina2@gmail.com</t>
  </si>
  <si>
    <t>6281383587187</t>
  </si>
  <si>
    <t>N-0846</t>
  </si>
  <si>
    <t>Rinny</t>
  </si>
  <si>
    <t>Callista Prima Residence</t>
  </si>
  <si>
    <t>N-363</t>
  </si>
  <si>
    <t>ninoysandra@yahoo.com</t>
  </si>
  <si>
    <t xml:space="preserve">denpasar residence
birthday 24/9/1980</t>
  </si>
  <si>
    <t>N-0919</t>
  </si>
  <si>
    <t>6285846240178</t>
  </si>
  <si>
    <t>N-0765</t>
  </si>
  <si>
    <t>Siemiakowski</t>
  </si>
  <si>
    <t>N-165</t>
  </si>
  <si>
    <t>N-0678</t>
  </si>
  <si>
    <t>NIna</t>
  </si>
  <si>
    <t>Yulita</t>
  </si>
  <si>
    <t>N-0695</t>
  </si>
  <si>
    <t>Zanni</t>
  </si>
  <si>
    <t>ninirusli.24@gmail.com</t>
  </si>
  <si>
    <t>N-0593</t>
  </si>
  <si>
    <t>Ninda</t>
  </si>
  <si>
    <t>Hippy</t>
  </si>
  <si>
    <t>N-0807</t>
  </si>
  <si>
    <t>Widana</t>
  </si>
  <si>
    <t>N-0821</t>
  </si>
  <si>
    <t>Nindah</t>
  </si>
  <si>
    <t>Rochmawati</t>
  </si>
  <si>
    <t xml:space="preserve">JL. HJ SIUN 2A, CEGER, CIPAYUNG
JAKARTA TIMUR</t>
  </si>
  <si>
    <t>N-289</t>
  </si>
  <si>
    <t>Nindy</t>
  </si>
  <si>
    <t>N-0896</t>
  </si>
  <si>
    <t>Nindy Handayani</t>
  </si>
  <si>
    <t>Suhandi</t>
  </si>
  <si>
    <t>6285261090984</t>
  </si>
  <si>
    <t>Cluster Mozart Summarecon Serpong, Mozart Utara 2 No.61. Tangerang</t>
  </si>
  <si>
    <t>N-0797</t>
  </si>
  <si>
    <t>Nindya</t>
  </si>
  <si>
    <t>N-0923</t>
  </si>
  <si>
    <t>6283897887288</t>
  </si>
  <si>
    <t>Jalan Akasia Golf 3 No. 27, Jakarta 14470</t>
  </si>
  <si>
    <t>N-0857</t>
  </si>
  <si>
    <t>Pinang Nikel I-PQ 27</t>
  </si>
  <si>
    <t>N-0586</t>
  </si>
  <si>
    <t>Si</t>
  </si>
  <si>
    <t>N-362</t>
  </si>
  <si>
    <t>Marleham</t>
  </si>
  <si>
    <t>Bungan cempaka no.64 cipete raya</t>
  </si>
  <si>
    <t>N-0854</t>
  </si>
  <si>
    <t>N-0460</t>
  </si>
  <si>
    <t>Wiradiputra</t>
  </si>
  <si>
    <t>Reginanw@yahoo.com</t>
  </si>
  <si>
    <t>N-0484</t>
  </si>
  <si>
    <t>Nini</t>
  </si>
  <si>
    <t>N-071</t>
  </si>
  <si>
    <t>N-245</t>
  </si>
  <si>
    <t>Sumohandoyo</t>
  </si>
  <si>
    <t>N-382</t>
  </si>
  <si>
    <t>N-072</t>
  </si>
  <si>
    <t>Nini W</t>
  </si>
  <si>
    <t>Faridz</t>
  </si>
  <si>
    <t>62816862525</t>
  </si>
  <si>
    <t>Four Season Apt. Spring Tower #29D</t>
  </si>
  <si>
    <t>N-069</t>
  </si>
  <si>
    <t>Niniek</t>
  </si>
  <si>
    <t>Jl. Erlangga II No. 7</t>
  </si>
  <si>
    <t>N-0591</t>
  </si>
  <si>
    <t>Ninies</t>
  </si>
  <si>
    <t>Widjanarko</t>
  </si>
  <si>
    <t>N-070</t>
  </si>
  <si>
    <t>Ninik</t>
  </si>
  <si>
    <t>Juniati</t>
  </si>
  <si>
    <t>N-373</t>
  </si>
  <si>
    <t>Nining</t>
  </si>
  <si>
    <t>N-0637</t>
  </si>
  <si>
    <t>+62811990070</t>
  </si>
  <si>
    <t>N-0618</t>
  </si>
  <si>
    <t>N-0893</t>
  </si>
  <si>
    <t>62811169506</t>
  </si>
  <si>
    <t>N-359</t>
  </si>
  <si>
    <t>N-0897</t>
  </si>
  <si>
    <t>Ninit</t>
  </si>
  <si>
    <t>6282241823255</t>
  </si>
  <si>
    <t>N-129</t>
  </si>
  <si>
    <t>Nino</t>
  </si>
  <si>
    <t>N-255</t>
  </si>
  <si>
    <t>Ninuk</t>
  </si>
  <si>
    <t>N-074</t>
  </si>
  <si>
    <t>Nirbita</t>
  </si>
  <si>
    <t>Jl. Pejaten Raya Blok B-1 No. 19</t>
  </si>
  <si>
    <t>N-0766</t>
  </si>
  <si>
    <t>Nisa</t>
  </si>
  <si>
    <t>ratunisa04@gmail.com</t>
  </si>
  <si>
    <t>N-0815</t>
  </si>
  <si>
    <t>Nisah</t>
  </si>
  <si>
    <t>Tjatikrama</t>
  </si>
  <si>
    <t>N-0603</t>
  </si>
  <si>
    <t>Nisha</t>
  </si>
  <si>
    <t>Bhambhani</t>
  </si>
  <si>
    <t xml:space="preserve">Rawa Simprug I No. 54D
Kebayoran Lama Jakarta</t>
  </si>
  <si>
    <t>N-188</t>
  </si>
  <si>
    <t>Nishino</t>
  </si>
  <si>
    <t>Shuhei</t>
  </si>
  <si>
    <t xml:space="preserve">PT.Nishindo Kreasi 
Sampoerna Strategic Square South Tower Level 30
Jl.Jend Sudirman Kav.45-46 jakarta</t>
  </si>
  <si>
    <t>N-075</t>
  </si>
  <si>
    <t>Nishita</t>
  </si>
  <si>
    <t>Jl. Cempaka Putih Tengah 27A No. 20F</t>
  </si>
  <si>
    <t>N-379</t>
  </si>
  <si>
    <t>Nisita</t>
  </si>
  <si>
    <t>priska.nisita@gmail.com</t>
  </si>
  <si>
    <t>N-0900</t>
  </si>
  <si>
    <t>Wan Aniska</t>
  </si>
  <si>
    <t>Ariyati</t>
  </si>
  <si>
    <t>6281219977778</t>
  </si>
  <si>
    <t>N-0849</t>
  </si>
  <si>
    <t>Nisrina</t>
  </si>
  <si>
    <t>Jannati</t>
  </si>
  <si>
    <t>nisrinajannati@yahoo.com</t>
  </si>
  <si>
    <t>JALAN MAMPANG PRAPATAN III NO1B</t>
  </si>
  <si>
    <t>N-0659</t>
  </si>
  <si>
    <t>Nissa</t>
  </si>
  <si>
    <t>N-0502</t>
  </si>
  <si>
    <t>Devita</t>
  </si>
  <si>
    <t>N-0507</t>
  </si>
  <si>
    <t>N-0698</t>
  </si>
  <si>
    <t>halim/Steven</t>
  </si>
  <si>
    <t>N-0911</t>
  </si>
  <si>
    <t>nissa.nuraini10@gmail.com</t>
  </si>
  <si>
    <t>6282258888355</t>
  </si>
  <si>
    <t>Jl Telex No.08 Bandung</t>
  </si>
  <si>
    <t>N-077</t>
  </si>
  <si>
    <t>Nisya</t>
  </si>
  <si>
    <t xml:space="preserve">Jl.Cipayung II No.7 Kabayoran Baru 
Jakarta Selatan</t>
  </si>
  <si>
    <t>N-228</t>
  </si>
  <si>
    <t>Nita</t>
  </si>
  <si>
    <t>Villa Kalijudan Indah P1, Surabaya</t>
  </si>
  <si>
    <t>N-168</t>
  </si>
  <si>
    <t>N-134</t>
  </si>
  <si>
    <t>Intiland Tower</t>
  </si>
  <si>
    <t>N-0390</t>
  </si>
  <si>
    <t>N-0439</t>
  </si>
  <si>
    <t>Andrijani</t>
  </si>
  <si>
    <t>N-0607</t>
  </si>
  <si>
    <t>N-152</t>
  </si>
  <si>
    <t>Chairita</t>
  </si>
  <si>
    <t xml:space="preserve">Komp. BRI
Jl.Murai II C7
Jati Padang</t>
  </si>
  <si>
    <t>N-0824</t>
  </si>
  <si>
    <t>Sumarrecon Mutiara Jl.Rainbow Bpulevard Exit tol Jl.IR Sutami(Cluster Crystal CB I No.26) Bulu rekong kec.Biring kanaya.Kota Makasar. Sulsel</t>
  </si>
  <si>
    <t>N-0891</t>
  </si>
  <si>
    <t>0811104692</t>
  </si>
  <si>
    <t>N-0562</t>
  </si>
  <si>
    <t>N-0899</t>
  </si>
  <si>
    <t>nita.kong9696@gmail.com</t>
  </si>
  <si>
    <t>85577877775</t>
  </si>
  <si>
    <t>N-312</t>
  </si>
  <si>
    <t>N-381</t>
  </si>
  <si>
    <t>N-0864</t>
  </si>
  <si>
    <t>Situngkir</t>
  </si>
  <si>
    <t>+6281280673895</t>
  </si>
  <si>
    <t>N-0734</t>
  </si>
  <si>
    <t>Sofiani</t>
  </si>
  <si>
    <t>N-365</t>
  </si>
  <si>
    <t>Sumartati</t>
  </si>
  <si>
    <t>N-0615</t>
  </si>
  <si>
    <t>nitatania2@gmail.com</t>
  </si>
  <si>
    <t>Jl.Khair No.9/B Ragunan Jaksel</t>
  </si>
  <si>
    <t>N-0957</t>
  </si>
  <si>
    <t>Niti</t>
  </si>
  <si>
    <t>Setijati</t>
  </si>
  <si>
    <t>nitisetijati@gmail.com</t>
  </si>
  <si>
    <t>+62811144956</t>
  </si>
  <si>
    <t>Jl.Sungai Landak No 4 RT 04/08 14120</t>
  </si>
  <si>
    <t>N-304</t>
  </si>
  <si>
    <t>Nitya</t>
  </si>
  <si>
    <t>Machribie</t>
  </si>
  <si>
    <t>Jl.Klungkung 32 Kuningan</t>
  </si>
  <si>
    <t>N-0885</t>
  </si>
  <si>
    <t>Niu,</t>
  </si>
  <si>
    <t>15402825@qq.com</t>
  </si>
  <si>
    <t>8615035148884</t>
  </si>
  <si>
    <t>N-0820</t>
  </si>
  <si>
    <t>Rahmatu</t>
  </si>
  <si>
    <t>N-080</t>
  </si>
  <si>
    <t>Njo</t>
  </si>
  <si>
    <t>Jl. Gunung Sahari XII</t>
  </si>
  <si>
    <t>N-0823</t>
  </si>
  <si>
    <t>Sontono</t>
  </si>
  <si>
    <t>N-0910</t>
  </si>
  <si>
    <t>Emdi</t>
  </si>
  <si>
    <t>nhkim0907@gmailcom</t>
  </si>
  <si>
    <t>62811553102</t>
  </si>
  <si>
    <t>N-181</t>
  </si>
  <si>
    <t>No</t>
  </si>
  <si>
    <t>N-0898</t>
  </si>
  <si>
    <t>Noboru</t>
  </si>
  <si>
    <t>Ohtake</t>
  </si>
  <si>
    <t>ohtake@ff.iij4u.ur.jp</t>
  </si>
  <si>
    <t>+819031393211</t>
  </si>
  <si>
    <t>N-167</t>
  </si>
  <si>
    <t>Nobuko</t>
  </si>
  <si>
    <t>N-084</t>
  </si>
  <si>
    <t>Nobuteru</t>
  </si>
  <si>
    <t>Hayashi</t>
  </si>
  <si>
    <t>Amartapura Apt. Tower A #60F</t>
  </si>
  <si>
    <t>Jl. Sutan Syahril 50, Lippo Karawaci</t>
  </si>
  <si>
    <t>N-086</t>
  </si>
  <si>
    <t>Noer</t>
  </si>
  <si>
    <t>N-125</t>
  </si>
  <si>
    <t>N-0572</t>
  </si>
  <si>
    <t>Nofia</t>
  </si>
  <si>
    <t>N-0869</t>
  </si>
  <si>
    <t>Noi</t>
  </si>
  <si>
    <t>Aswari Hamka</t>
  </si>
  <si>
    <t>noi.aswari@yahoo.com</t>
  </si>
  <si>
    <t>+628111918888</t>
  </si>
  <si>
    <t>Jalan Lembang 5, Menteng</t>
  </si>
  <si>
    <t>N-0758</t>
  </si>
  <si>
    <t>Nojoud</t>
  </si>
  <si>
    <t>Alhakeem</t>
  </si>
  <si>
    <t>N-0600</t>
  </si>
  <si>
    <t>Nolan</t>
  </si>
  <si>
    <t>Ilwan</t>
  </si>
  <si>
    <t xml:space="preserve">Komp. Gading Bukit Indah
Blok N 10. Kelapa Gading</t>
  </si>
  <si>
    <t>N-0669</t>
  </si>
  <si>
    <t>Noni</t>
  </si>
  <si>
    <t>N-383</t>
  </si>
  <si>
    <t>N-126</t>
  </si>
  <si>
    <t xml:space="preserve">Apartemen Sahid Residend
Jl Jend Sudirman</t>
  </si>
  <si>
    <t>N-0525</t>
  </si>
  <si>
    <t>N-198</t>
  </si>
  <si>
    <t>Mersiana</t>
  </si>
  <si>
    <t>N-0883</t>
  </si>
  <si>
    <t>Kian</t>
  </si>
  <si>
    <t>Pluit Timur Residence H Selatan 8, Jakarta Utara</t>
  </si>
  <si>
    <t>N-273</t>
  </si>
  <si>
    <t>Nonie</t>
  </si>
  <si>
    <t>N-087</t>
  </si>
  <si>
    <t>Nonie Caramella</t>
  </si>
  <si>
    <t>cartasitu</t>
  </si>
  <si>
    <t>+628111893284</t>
  </si>
  <si>
    <t xml:space="preserve">JL. Simprug Golf 18 No 6A
Kebayoran Lama</t>
  </si>
  <si>
    <t>N-088</t>
  </si>
  <si>
    <t>Nonny</t>
  </si>
  <si>
    <t>Jl. Bukit Darmo Golf Blok S No. 12</t>
  </si>
  <si>
    <t>N-0411</t>
  </si>
  <si>
    <t>N-0527</t>
  </si>
  <si>
    <t>Nono</t>
  </si>
  <si>
    <t>Supriyatno</t>
  </si>
  <si>
    <t>N-175</t>
  </si>
  <si>
    <t>Zainudin</t>
  </si>
  <si>
    <t>N-345</t>
  </si>
  <si>
    <t>Nonon</t>
  </si>
  <si>
    <t>N-0461</t>
  </si>
  <si>
    <t>Dhina</t>
  </si>
  <si>
    <t>N-0433</t>
  </si>
  <si>
    <t>N-089</t>
  </si>
  <si>
    <t>Romawibowo</t>
  </si>
  <si>
    <t>Komp. DEPLU No. 3</t>
  </si>
  <si>
    <t>N-0400</t>
  </si>
  <si>
    <t>Maesana</t>
  </si>
  <si>
    <t xml:space="preserve">Jl. WR Supratman No.48
Cempaka Putih- Ciputat Timur</t>
  </si>
  <si>
    <t>N-0988</t>
  </si>
  <si>
    <t>Noorie</t>
  </si>
  <si>
    <t>noorie.hr03126@gmail.com</t>
  </si>
  <si>
    <t>628170184983</t>
  </si>
  <si>
    <t>N-214</t>
  </si>
  <si>
    <t>Noph</t>
  </si>
  <si>
    <t>N-140</t>
  </si>
  <si>
    <t>Nora</t>
  </si>
  <si>
    <t>N-154</t>
  </si>
  <si>
    <t>Tristiana</t>
  </si>
  <si>
    <t>Jl. Flamboyan F 71 Cijantung</t>
  </si>
  <si>
    <t>N-090</t>
  </si>
  <si>
    <t>Norihiro</t>
  </si>
  <si>
    <t>Murakami</t>
  </si>
  <si>
    <t>N-235</t>
  </si>
  <si>
    <t>Noriko</t>
  </si>
  <si>
    <t>Shinomiya</t>
  </si>
  <si>
    <t>N-0569</t>
  </si>
  <si>
    <t>Norwati</t>
  </si>
  <si>
    <t>putri1403@yahoo.com</t>
  </si>
  <si>
    <t>62811968518</t>
  </si>
  <si>
    <t>kuta elok No.9</t>
  </si>
  <si>
    <t>N-0504</t>
  </si>
  <si>
    <t>Norman</t>
  </si>
  <si>
    <t>V-308</t>
  </si>
  <si>
    <t>N-0394</t>
  </si>
  <si>
    <t>Nornazlina</t>
  </si>
  <si>
    <t>Mat</t>
  </si>
  <si>
    <t>mizznina.mat@gmail.com</t>
  </si>
  <si>
    <t xml:space="preserve">Jalan Impian Makmur 1/10 , no.03
Saujana Impian ,Kajang,Selangor
malaysia - 43000
bday : 6 desember 1988</t>
  </si>
  <si>
    <t>Kajang</t>
  </si>
  <si>
    <t>N-0429</t>
  </si>
  <si>
    <t>Nossy</t>
  </si>
  <si>
    <t>6287886060800</t>
  </si>
  <si>
    <t>N-205</t>
  </si>
  <si>
    <t>Notty</t>
  </si>
  <si>
    <t>Jmahdi</t>
  </si>
  <si>
    <t>N-0645</t>
  </si>
  <si>
    <t>http://retailsoft.mogems.co.id:8180/MPI-INV/weblayer/template/setup%2CCustomerForm.vm#</t>
  </si>
  <si>
    <t>N-0714</t>
  </si>
  <si>
    <t>N-0443</t>
  </si>
  <si>
    <t>Faqih</t>
  </si>
  <si>
    <t>nova.faqih@gmail.com</t>
  </si>
  <si>
    <t>6281227600715</t>
  </si>
  <si>
    <t xml:space="preserve">Kebayoran Garden B-05
TANG - SEL</t>
  </si>
  <si>
    <t>N-0446</t>
  </si>
  <si>
    <t>Ismailiyanto</t>
  </si>
  <si>
    <t>Jl.Digul No. 5</t>
  </si>
  <si>
    <t>N-0402</t>
  </si>
  <si>
    <t>Monaya</t>
  </si>
  <si>
    <t xml:space="preserve">JL RE Martadinata 82
Rt.14/02 Nagrikidul
Purwakarta</t>
  </si>
  <si>
    <t>Cirebon</t>
  </si>
  <si>
    <t>N-161</t>
  </si>
  <si>
    <t>Sumolang</t>
  </si>
  <si>
    <t>N-0688</t>
  </si>
  <si>
    <t>Novade</t>
  </si>
  <si>
    <t>Jl. HZ Mustofa No.297 Tasikmalaya</t>
  </si>
  <si>
    <t>N-0906</t>
  </si>
  <si>
    <t>Noval</t>
  </si>
  <si>
    <t>Raditya</t>
  </si>
  <si>
    <t>60, Jeruk Purut. Jakarta Selatan</t>
  </si>
  <si>
    <t>N-0918</t>
  </si>
  <si>
    <t>Novalina A</t>
  </si>
  <si>
    <t>novalinalukman@gmail.com</t>
  </si>
  <si>
    <t>6282112002006</t>
  </si>
  <si>
    <t>Kalimantan Timur Tanah Grogot</t>
  </si>
  <si>
    <t>N-0811</t>
  </si>
  <si>
    <t>Novalina</t>
  </si>
  <si>
    <t>Hanaja</t>
  </si>
  <si>
    <t>6281111919141</t>
  </si>
  <si>
    <t>N-0589</t>
  </si>
  <si>
    <t>Jamin</t>
  </si>
  <si>
    <t>N-230</t>
  </si>
  <si>
    <t>Novalita</t>
  </si>
  <si>
    <t xml:space="preserve">Jl.Kayu Mas Utara No.221
 Rt.08/09
 Pulo Gadung 
Jakarta Timur</t>
  </si>
  <si>
    <t>N-0862</t>
  </si>
  <si>
    <t>Novan</t>
  </si>
  <si>
    <t>Rosdianti</t>
  </si>
  <si>
    <t>novanrosdianti@gmail.com</t>
  </si>
  <si>
    <t>087730333460</t>
  </si>
  <si>
    <t>N-0590</t>
  </si>
  <si>
    <t>Novayanti</t>
  </si>
  <si>
    <t>N-0772</t>
  </si>
  <si>
    <t>Noverika</t>
  </si>
  <si>
    <t>N-0625</t>
  </si>
  <si>
    <t>N-123</t>
  </si>
  <si>
    <t>N-0389</t>
  </si>
  <si>
    <t>N-0619</t>
  </si>
  <si>
    <t>6285161391128</t>
  </si>
  <si>
    <t>Jl.Kemang Selatan 1C No.3 Jaksel</t>
  </si>
  <si>
    <t>N-367</t>
  </si>
  <si>
    <t>Alfiahni</t>
  </si>
  <si>
    <t>novialfiahni1995@gmail.com</t>
  </si>
  <si>
    <t xml:space="preserve">Jl. Dewi Sartika 99 Waru Dalam 
RT 12/06 no 42</t>
  </si>
  <si>
    <t>N-216</t>
  </si>
  <si>
    <t>Ariwibowo</t>
  </si>
  <si>
    <t>N-323</t>
  </si>
  <si>
    <t>Gusnick</t>
  </si>
  <si>
    <t>N-0723</t>
  </si>
  <si>
    <t>Lawira</t>
  </si>
  <si>
    <t>Jl Yos Sudarso No.1 D</t>
  </si>
  <si>
    <t>N-0560</t>
  </si>
  <si>
    <t>Nardiyanti</t>
  </si>
  <si>
    <t>N-103</t>
  </si>
  <si>
    <t>Jl. Kemang Timur V No. B-6</t>
  </si>
  <si>
    <t>N-183</t>
  </si>
  <si>
    <t>Romero</t>
  </si>
  <si>
    <t xml:space="preserve">8853 Calmosa Avenue 
Whittier California</t>
  </si>
  <si>
    <t>N-0747</t>
  </si>
  <si>
    <t>noviasaras68@gmail.com</t>
  </si>
  <si>
    <t>Cipete II no.9 Jakarta Selatan</t>
  </si>
  <si>
    <t>N-0630</t>
  </si>
  <si>
    <t>Sutadisastra</t>
  </si>
  <si>
    <t>N-0601</t>
  </si>
  <si>
    <t>Triyogawati</t>
  </si>
  <si>
    <t>N-0748</t>
  </si>
  <si>
    <t>nofee.1986@yahoo.com</t>
  </si>
  <si>
    <t>N-0545</t>
  </si>
  <si>
    <t>N-100</t>
  </si>
  <si>
    <t>Riswari</t>
  </si>
  <si>
    <t>Jl. Perkici XIV Blok EB-5 No. 9</t>
  </si>
  <si>
    <t>Bintaro Jaya Sektor 5</t>
  </si>
  <si>
    <t>N-0965</t>
  </si>
  <si>
    <t>noviaimelda@gmail.com</t>
  </si>
  <si>
    <t>6281394488446</t>
  </si>
  <si>
    <t>N-0920</t>
  </si>
  <si>
    <t>Novia Ismi</t>
  </si>
  <si>
    <t>Sang Putri</t>
  </si>
  <si>
    <t>6281931041059</t>
  </si>
  <si>
    <t>Dsn.Cemandi Gang Embosiar Rt 01/01 ,Sedati, Sidoarjo Jawa Timur</t>
  </si>
  <si>
    <t>61253</t>
  </si>
  <si>
    <t>N-369</t>
  </si>
  <si>
    <t>Meida</t>
  </si>
  <si>
    <t>N-336</t>
  </si>
  <si>
    <t>novia_meidawijaya25@yahoo.com</t>
  </si>
  <si>
    <t xml:space="preserve">Alexandrice Residence Blok AS No.93
Gading serpong</t>
  </si>
  <si>
    <t>N-0791</t>
  </si>
  <si>
    <t>N-0491</t>
  </si>
  <si>
    <t>N-0873</t>
  </si>
  <si>
    <t>Sagita</t>
  </si>
  <si>
    <t>6285772171599</t>
  </si>
  <si>
    <t>N-0938</t>
  </si>
  <si>
    <t>noviasundarii@gmail.com</t>
  </si>
  <si>
    <t>6285691014444</t>
  </si>
  <si>
    <t>Madiun</t>
  </si>
  <si>
    <t>N-234</t>
  </si>
  <si>
    <t>628129018588</t>
  </si>
  <si>
    <t>N-366</t>
  </si>
  <si>
    <t>N-0865</t>
  </si>
  <si>
    <t>Tirtawidjaja</t>
  </si>
  <si>
    <t>+6281311111177</t>
  </si>
  <si>
    <t>Kelapa Lilin IV NG 9/14 Kelapa Gading</t>
  </si>
  <si>
    <t>N-0924</t>
  </si>
  <si>
    <t>Novianse</t>
  </si>
  <si>
    <t>+6281161817</t>
  </si>
  <si>
    <t xml:space="preserve">The Windsor Luxury Tower Unit 1511
Kembangan</t>
  </si>
  <si>
    <t>N-101</t>
  </si>
  <si>
    <t>Apartment Pantai Mutiara</t>
  </si>
  <si>
    <t>N-285</t>
  </si>
  <si>
    <t>N-301</t>
  </si>
  <si>
    <t>Novie</t>
  </si>
  <si>
    <t>N-0675</t>
  </si>
  <si>
    <t>N-236</t>
  </si>
  <si>
    <t>Isnu</t>
  </si>
  <si>
    <t>novieddy_dentist@yahoo.com</t>
  </si>
  <si>
    <t>Jl. Kwitang Timur No. 41</t>
  </si>
  <si>
    <t>N-0905</t>
  </si>
  <si>
    <t>Novika</t>
  </si>
  <si>
    <t>Salina</t>
  </si>
  <si>
    <t>6286917978600</t>
  </si>
  <si>
    <t>N-231</t>
  </si>
  <si>
    <t>N-0767</t>
  </si>
  <si>
    <t>Novira</t>
  </si>
  <si>
    <t>Perum Metro Gardenia Blok R No 16</t>
  </si>
  <si>
    <t>Cilegon</t>
  </si>
  <si>
    <t>N-0780</t>
  </si>
  <si>
    <t>N-246</t>
  </si>
  <si>
    <t>N-0673</t>
  </si>
  <si>
    <t>N-0621</t>
  </si>
  <si>
    <t>novita.ayuningtyas@yahoo.com</t>
  </si>
  <si>
    <t>628128620106</t>
  </si>
  <si>
    <t>N-316</t>
  </si>
  <si>
    <t xml:space="preserve">Jl. Ridwan 3/37 
Patal Senayan</t>
  </si>
  <si>
    <t>N-0913</t>
  </si>
  <si>
    <t>Earing</t>
  </si>
  <si>
    <t>6282292725219</t>
  </si>
  <si>
    <t>N-0428</t>
  </si>
  <si>
    <t>Ilmaris</t>
  </si>
  <si>
    <t>N-0777</t>
  </si>
  <si>
    <t>62811853493</t>
  </si>
  <si>
    <t>N-334</t>
  </si>
  <si>
    <t>katieaudrey07@yahoo.co.id</t>
  </si>
  <si>
    <t xml:space="preserve">Komplek Ruko 56
Jl. Taman Sari Raya No 56AB</t>
  </si>
  <si>
    <t>N-232</t>
  </si>
  <si>
    <t>N-0702</t>
  </si>
  <si>
    <t>N-0990</t>
  </si>
  <si>
    <t>Zarlina</t>
  </si>
  <si>
    <t>vividony@yahoo.com</t>
  </si>
  <si>
    <t>6281315222166</t>
  </si>
  <si>
    <t>Jl. Samudera No.39-40, Kebayoran Lama</t>
  </si>
  <si>
    <t>N-0741</t>
  </si>
  <si>
    <t>Novitasari</t>
  </si>
  <si>
    <t>Rahmadina</t>
  </si>
  <si>
    <t>novitaasaa11@gmail.com</t>
  </si>
  <si>
    <t>6285899115108</t>
  </si>
  <si>
    <t xml:space="preserve">PERUMAHAN PASSADANIA E11,PULOMAS
JAKARTA TIMUR</t>
  </si>
  <si>
    <t>N-0465</t>
  </si>
  <si>
    <t>Noviyana</t>
  </si>
  <si>
    <t>Apt SpringHill Tower Magnolia Unit 19H</t>
  </si>
  <si>
    <t>N-104</t>
  </si>
  <si>
    <t>Noviyus</t>
  </si>
  <si>
    <t>N-0750</t>
  </si>
  <si>
    <t>Novri</t>
  </si>
  <si>
    <t>N-0880</t>
  </si>
  <si>
    <t>Yashar</t>
  </si>
  <si>
    <t>Novruzov</t>
  </si>
  <si>
    <t>yashar.n.y@gmail.com</t>
  </si>
  <si>
    <t>+994502070307</t>
  </si>
  <si>
    <t>Azerbaijan</t>
  </si>
  <si>
    <t>N-0729</t>
  </si>
  <si>
    <t>Novry</t>
  </si>
  <si>
    <t>N-106</t>
  </si>
  <si>
    <t>Novy</t>
  </si>
  <si>
    <t>N-105</t>
  </si>
  <si>
    <t>ST</t>
  </si>
  <si>
    <t>novy1971@yahoo.co.id</t>
  </si>
  <si>
    <t>Jl. Gambir No.140F karanggayan. Y</t>
  </si>
  <si>
    <t>N-0538</t>
  </si>
  <si>
    <t>Nozi</t>
  </si>
  <si>
    <t>Lamria</t>
  </si>
  <si>
    <t>N-107</t>
  </si>
  <si>
    <t>Nti</t>
  </si>
  <si>
    <t>Adhiningrat</t>
  </si>
  <si>
    <t>N-215</t>
  </si>
  <si>
    <t>Nugra</t>
  </si>
  <si>
    <t>N-0790</t>
  </si>
  <si>
    <t>N-0635</t>
  </si>
  <si>
    <t>N-253</t>
  </si>
  <si>
    <t>N-0481</t>
  </si>
  <si>
    <t>Jati</t>
  </si>
  <si>
    <t>N-0427</t>
  </si>
  <si>
    <t>N-150</t>
  </si>
  <si>
    <t>N-204</t>
  </si>
  <si>
    <t>Nuki</t>
  </si>
  <si>
    <t>N-380</t>
  </si>
  <si>
    <t>Novariyanti</t>
  </si>
  <si>
    <t>N-149</t>
  </si>
  <si>
    <t>Nunki</t>
  </si>
  <si>
    <t>Jl. Widuri No.8, Pangkalan Jati, Pondok Labu</t>
  </si>
  <si>
    <t>N-219</t>
  </si>
  <si>
    <t>Nunu</t>
  </si>
  <si>
    <t>N-250</t>
  </si>
  <si>
    <t>Nunun</t>
  </si>
  <si>
    <t>Daradjatun</t>
  </si>
  <si>
    <t>N-0709</t>
  </si>
  <si>
    <t>Nunung</t>
  </si>
  <si>
    <t>N-0838</t>
  </si>
  <si>
    <t>nunung.riani1973@gmail.com</t>
  </si>
  <si>
    <t>SD I No.9 Livingstone Kota Wisata</t>
  </si>
  <si>
    <t>N-280</t>
  </si>
  <si>
    <t>Rusmiati ( Nunung )</t>
  </si>
  <si>
    <t>6281316161665</t>
  </si>
  <si>
    <t>JL.Pangeran Antasari No.45</t>
  </si>
  <si>
    <t>N-145</t>
  </si>
  <si>
    <t>N-357</t>
  </si>
  <si>
    <t xml:space="preserve">Taman Friendship garden Lot 130 Petagon
birth 03-10-2000</t>
  </si>
  <si>
    <t>Kota kInabalu Sabah</t>
  </si>
  <si>
    <t>N-111</t>
  </si>
  <si>
    <t>N-0964</t>
  </si>
  <si>
    <t>Aprida</t>
  </si>
  <si>
    <t>nuraprida40@gmail.com</t>
  </si>
  <si>
    <t>628122742426</t>
  </si>
  <si>
    <t>N-0810</t>
  </si>
  <si>
    <t>Basher</t>
  </si>
  <si>
    <t>zuleedaaleeya@yahoo.com</t>
  </si>
  <si>
    <t>N-0908</t>
  </si>
  <si>
    <t>azizahna233@gmail.com</t>
  </si>
  <si>
    <t>+6281222685068</t>
  </si>
  <si>
    <t xml:space="preserve">The Abbey lot 18
Jl Bangka XIC</t>
  </si>
  <si>
    <t>N-324</t>
  </si>
  <si>
    <t>N-360</t>
  </si>
  <si>
    <t>nurfitriawati2000@gmail.com</t>
  </si>
  <si>
    <t>62811111583</t>
  </si>
  <si>
    <t xml:space="preserve">Komp. Batu NUnggal Indah 
Jl. Batununggal Molek Raya No.12BANdung
21 07 1982</t>
  </si>
  <si>
    <t>N-0587</t>
  </si>
  <si>
    <t>Hadidjah</t>
  </si>
  <si>
    <t>N-298</t>
  </si>
  <si>
    <t>Nurhidayati</t>
  </si>
  <si>
    <t>6281802160267</t>
  </si>
  <si>
    <t>N-190</t>
  </si>
  <si>
    <t xml:space="preserve">Tanjung Barat Indah 
Jl. Teratai 1 Blok A2-2</t>
  </si>
  <si>
    <t>N-0979</t>
  </si>
  <si>
    <t>Jamilah</t>
  </si>
  <si>
    <t>N-0874</t>
  </si>
  <si>
    <t>Jumantan</t>
  </si>
  <si>
    <t>nurjumantan09@gmail.com</t>
  </si>
  <si>
    <t>62811103376</t>
  </si>
  <si>
    <t>jl. kibodas No.2</t>
  </si>
  <si>
    <t>N-0581</t>
  </si>
  <si>
    <t>Khamid</t>
  </si>
  <si>
    <t>N-0805</t>
  </si>
  <si>
    <t>Kholifah</t>
  </si>
  <si>
    <t>Bawu Rt026 Rw005 bawu batealit, Malang</t>
  </si>
  <si>
    <t>N-265</t>
  </si>
  <si>
    <t>Nadias</t>
  </si>
  <si>
    <t>N-0822</t>
  </si>
  <si>
    <t>Jl.Taman Cilandak</t>
  </si>
  <si>
    <t>N-0882</t>
  </si>
  <si>
    <t>Nur Rahmah</t>
  </si>
  <si>
    <t>Ramdani</t>
  </si>
  <si>
    <t>rahmahsr97@gmail.com</t>
  </si>
  <si>
    <t>6281999970702</t>
  </si>
  <si>
    <t>PQT Jalan Safa C24</t>
  </si>
  <si>
    <t>N-0431</t>
  </si>
  <si>
    <t>Rohman</t>
  </si>
  <si>
    <t>A-1536</t>
  </si>
  <si>
    <t>N-0628</t>
  </si>
  <si>
    <t>Nuradi</t>
  </si>
  <si>
    <t>N-0520</t>
  </si>
  <si>
    <t>Nuraina</t>
  </si>
  <si>
    <t>nurigerindra@yahoo.com</t>
  </si>
  <si>
    <t>N-0616</t>
  </si>
  <si>
    <t>Nurani</t>
  </si>
  <si>
    <t>N-0837</t>
  </si>
  <si>
    <t>Nurazlina</t>
  </si>
  <si>
    <t>Sanusi</t>
  </si>
  <si>
    <t>N-0617</t>
  </si>
  <si>
    <t>Nurbaini</t>
  </si>
  <si>
    <t>N-268</t>
  </si>
  <si>
    <t>Janah</t>
  </si>
  <si>
    <t>benny_8056@yahoo.com</t>
  </si>
  <si>
    <t>Jl. Chrysanty 16</t>
  </si>
  <si>
    <t>N-146</t>
  </si>
  <si>
    <t>Nurhalimah</t>
  </si>
  <si>
    <t>N-251</t>
  </si>
  <si>
    <t>Nurhasan</t>
  </si>
  <si>
    <t>Z</t>
  </si>
  <si>
    <t>N-0632</t>
  </si>
  <si>
    <t>Nurhasana</t>
  </si>
  <si>
    <t>N-0859</t>
  </si>
  <si>
    <t>Nurhasanah</t>
  </si>
  <si>
    <t>Ward</t>
  </si>
  <si>
    <t>Vila Pesona Pangrango Blok A3 No 3 Sukabumi</t>
  </si>
  <si>
    <t>N-185</t>
  </si>
  <si>
    <t>Nurhati</t>
  </si>
  <si>
    <t>N-0553</t>
  </si>
  <si>
    <t>Nurhatimah</t>
  </si>
  <si>
    <t>Saptidja</t>
  </si>
  <si>
    <t xml:space="preserve">Komp. Taman Shangrila Indah  Unit 1
Jl. Shangrila 3 No.115A
Petukangan Selatan</t>
  </si>
  <si>
    <t>N-302</t>
  </si>
  <si>
    <t>APARTMENT PACIFIC PLACE LT.30</t>
  </si>
  <si>
    <t>N-0405</t>
  </si>
  <si>
    <t>Jl Senopati Raya No.12</t>
  </si>
  <si>
    <t>N-114</t>
  </si>
  <si>
    <t>Jl. Gunug Balong 2 no. 15</t>
  </si>
  <si>
    <t>Lebak Bulus III Rt. 011/004</t>
  </si>
  <si>
    <t>N-374</t>
  </si>
  <si>
    <t>Grand Tropic Apartment</t>
  </si>
  <si>
    <t>N-116</t>
  </si>
  <si>
    <t>Jl. Tirtayasa VII No. 2</t>
  </si>
  <si>
    <t>N-0749</t>
  </si>
  <si>
    <t>N-141</t>
  </si>
  <si>
    <t>Nuria</t>
  </si>
  <si>
    <t>N-0781</t>
  </si>
  <si>
    <t>Nurisky</t>
  </si>
  <si>
    <t>+628119555772</t>
  </si>
  <si>
    <t>N-0487</t>
  </si>
  <si>
    <t>Nurita</t>
  </si>
  <si>
    <t xml:space="preserve">Jl.Perintis No.23 Rt 06/05 Kel. Ceger 
Jakarta Timur</t>
  </si>
  <si>
    <t>N-0954</t>
  </si>
  <si>
    <t>Nuriyah</t>
  </si>
  <si>
    <t>6598263113</t>
  </si>
  <si>
    <t>N-0963</t>
  </si>
  <si>
    <t>Nurjana</t>
  </si>
  <si>
    <t>sutantonurjana@gmail.com</t>
  </si>
  <si>
    <t>6281218388207</t>
  </si>
  <si>
    <t>N-0437</t>
  </si>
  <si>
    <t>Nurlela</t>
  </si>
  <si>
    <t>Hastuti</t>
  </si>
  <si>
    <t>N-261</t>
  </si>
  <si>
    <t>nurlelahastuti@ymail.com</t>
  </si>
  <si>
    <t>Central Park Blok I No.1, Kota Wisata Cibubur, Bogor</t>
  </si>
  <si>
    <t>N-0464</t>
  </si>
  <si>
    <t>Nurlina</t>
  </si>
  <si>
    <t>N-0463</t>
  </si>
  <si>
    <t>N-0613</t>
  </si>
  <si>
    <t>Nurma</t>
  </si>
  <si>
    <t>N-0948</t>
  </si>
  <si>
    <t>6282171623366</t>
  </si>
  <si>
    <t>N-0490</t>
  </si>
  <si>
    <t>Nurny</t>
  </si>
  <si>
    <t>N-0649</t>
  </si>
  <si>
    <t>Nurokhmah</t>
  </si>
  <si>
    <t>Abdul Rahman</t>
  </si>
  <si>
    <t>6281802979902</t>
  </si>
  <si>
    <t>N-287</t>
  </si>
  <si>
    <t>S-812</t>
  </si>
  <si>
    <t>Hardjawana</t>
  </si>
  <si>
    <t>628118507567</t>
  </si>
  <si>
    <t>N-0444</t>
  </si>
  <si>
    <t>Nursiana</t>
  </si>
  <si>
    <t>MT. Haryono Kav.49</t>
  </si>
  <si>
    <t>M-1218</t>
  </si>
  <si>
    <t>Nurtaji</t>
  </si>
  <si>
    <t>N-0514</t>
  </si>
  <si>
    <t>Nurul</t>
  </si>
  <si>
    <t>N-244</t>
  </si>
  <si>
    <t>nurulandin@yahoo.com</t>
  </si>
  <si>
    <t xml:space="preserve">JL. Matahari II NO 21, Jakasetia Galaxi , 
      Bekasi Selatan.</t>
  </si>
  <si>
    <t>N-0977</t>
  </si>
  <si>
    <t>Farasmy</t>
  </si>
  <si>
    <t>6282191999929</t>
  </si>
  <si>
    <t>N-0783</t>
  </si>
  <si>
    <t>628113940127</t>
  </si>
  <si>
    <t>N-0477</t>
  </si>
  <si>
    <t>N-227</t>
  </si>
  <si>
    <t>nurul.mrt@gmail.com</t>
  </si>
  <si>
    <t>Apartement Gateway, Tower B lantai 3 unit 20</t>
  </si>
  <si>
    <t>N-0889</t>
  </si>
  <si>
    <t>Nurul pratiwi</t>
  </si>
  <si>
    <t>Asnur</t>
  </si>
  <si>
    <t>6281245575146</t>
  </si>
  <si>
    <t>Perumahan Angkasa Pura 2</t>
  </si>
  <si>
    <t>N-0466</t>
  </si>
  <si>
    <t>Saptari</t>
  </si>
  <si>
    <t>Komplek Pemda Jati Asih Bekasi</t>
  </si>
  <si>
    <t>N-217</t>
  </si>
  <si>
    <t xml:space="preserve">Kebayoran View D1-02
Bintaro Sektor VII
Tangerang Selatan</t>
  </si>
  <si>
    <t>N-0652</t>
  </si>
  <si>
    <t xml:space="preserve">Navila Graha D28/27 P
Pandaan Pasuruan</t>
  </si>
  <si>
    <t>N-0836</t>
  </si>
  <si>
    <t>628111017798</t>
  </si>
  <si>
    <t>N-0851</t>
  </si>
  <si>
    <t>Nurvalentina</t>
  </si>
  <si>
    <t>+628561983748</t>
  </si>
  <si>
    <t>N-0739</t>
  </si>
  <si>
    <t>Nuryadi</t>
  </si>
  <si>
    <t>Lohannata</t>
  </si>
  <si>
    <t xml:space="preserve">Jl. Syek Mubarok No 19
Pete Tigaraksa 
</t>
  </si>
  <si>
    <t>N-264</t>
  </si>
  <si>
    <t>Nuryanda</t>
  </si>
  <si>
    <t>N-385</t>
  </si>
  <si>
    <t>Nuryanti</t>
  </si>
  <si>
    <t>N-0853</t>
  </si>
  <si>
    <t>Nusa</t>
  </si>
  <si>
    <t>N-120</t>
  </si>
  <si>
    <t>Taman Anggrek Apt. Tower 8 #26D</t>
  </si>
  <si>
    <t>N-0506</t>
  </si>
  <si>
    <t>Nuwardi</t>
  </si>
  <si>
    <t>pakki</t>
  </si>
  <si>
    <t>N-0521</t>
  </si>
  <si>
    <t>Nuzulkifli</t>
  </si>
  <si>
    <t>N-0594</t>
  </si>
  <si>
    <t>Nyimas</t>
  </si>
  <si>
    <t>N-0833</t>
  </si>
  <si>
    <t>Nykoliuk</t>
  </si>
  <si>
    <t>Pavlo</t>
  </si>
  <si>
    <t>UKRAINE</t>
  </si>
  <si>
    <t>N-0788</t>
  </si>
  <si>
    <t>Nyoman</t>
  </si>
  <si>
    <t>Suryadnyana</t>
  </si>
  <si>
    <t>Rawamangun Jakarta Timur</t>
  </si>
  <si>
    <t>N-128</t>
  </si>
  <si>
    <t>Djintji</t>
  </si>
  <si>
    <t>N-121</t>
  </si>
  <si>
    <t>Nyomananda</t>
  </si>
  <si>
    <t>Dina)</t>
  </si>
  <si>
    <t>Jl. P. Antasari 30</t>
  </si>
  <si>
    <t>Cipete Utara</t>
  </si>
  <si>
    <t>N-0516</t>
  </si>
  <si>
    <t>Nyosong/</t>
  </si>
  <si>
    <t>N-122</t>
  </si>
  <si>
    <t>Nyoto</t>
  </si>
  <si>
    <t>Eksan</t>
  </si>
  <si>
    <t>O-0152</t>
  </si>
  <si>
    <t>Mark Anthony</t>
  </si>
  <si>
    <t>O'Donnell</t>
  </si>
  <si>
    <t>ma.odonnell@icloud.com</t>
  </si>
  <si>
    <t>+19178339556</t>
  </si>
  <si>
    <t>O-0136</t>
  </si>
  <si>
    <t>Obukhova</t>
  </si>
  <si>
    <t>O-001</t>
  </si>
  <si>
    <t>Ocha</t>
  </si>
  <si>
    <t>O-0107</t>
  </si>
  <si>
    <t>+6282178828889</t>
  </si>
  <si>
    <t>O-0162</t>
  </si>
  <si>
    <t>Octa</t>
  </si>
  <si>
    <t>6281290232477</t>
  </si>
  <si>
    <t>O-0156</t>
  </si>
  <si>
    <t>Zavania</t>
  </si>
  <si>
    <t>+6281311367062/</t>
  </si>
  <si>
    <t>O-0111</t>
  </si>
  <si>
    <t>6281234051985</t>
  </si>
  <si>
    <t>M-613</t>
  </si>
  <si>
    <t xml:space="preserve">Jalan Manyar Permai IX blok V5 no.12
Pantai Indah Kapuk</t>
  </si>
  <si>
    <t>O-0079</t>
  </si>
  <si>
    <t>Octaviani</t>
  </si>
  <si>
    <t>ophie.singlehappy@yahoo.com</t>
  </si>
  <si>
    <t>Jl. Dewa No.7, Ciracas</t>
  </si>
  <si>
    <t>O-0127</t>
  </si>
  <si>
    <t>O-036</t>
  </si>
  <si>
    <t>Octaviano</t>
  </si>
  <si>
    <t xml:space="preserve">Cluster alam sutera 
Lavender Park 1V no.1
Bumi Indah serpong</t>
  </si>
  <si>
    <t>O-003</t>
  </si>
  <si>
    <t>Alfons</t>
  </si>
  <si>
    <t>O-0064</t>
  </si>
  <si>
    <t>Odect</t>
  </si>
  <si>
    <t>O-062</t>
  </si>
  <si>
    <t>Ody</t>
  </si>
  <si>
    <t>O-0083</t>
  </si>
  <si>
    <t>Oei Ie</t>
  </si>
  <si>
    <t>628122879701</t>
  </si>
  <si>
    <t>Jl. Pulau Peniki, I Blok 03//32</t>
  </si>
  <si>
    <t>O-0075</t>
  </si>
  <si>
    <t>O-030</t>
  </si>
  <si>
    <t>O-0120</t>
  </si>
  <si>
    <t>Oey</t>
  </si>
  <si>
    <t>O-0088</t>
  </si>
  <si>
    <t>O-031</t>
  </si>
  <si>
    <t>Hay</t>
  </si>
  <si>
    <t>O-007</t>
  </si>
  <si>
    <t>Ofa</t>
  </si>
  <si>
    <t>O-0161</t>
  </si>
  <si>
    <t>Ofar</t>
  </si>
  <si>
    <t>+6282145555758</t>
  </si>
  <si>
    <t>M-1136</t>
  </si>
  <si>
    <t>Offa</t>
  </si>
  <si>
    <t>O-0139</t>
  </si>
  <si>
    <t>Ogasawara</t>
  </si>
  <si>
    <t>Haruka</t>
  </si>
  <si>
    <t>go.go.haru.314@icloud.com</t>
  </si>
  <si>
    <t>O-0077</t>
  </si>
  <si>
    <t>Ogi</t>
  </si>
  <si>
    <t>Triningsih</t>
  </si>
  <si>
    <t>O-0085</t>
  </si>
  <si>
    <t>O-0128</t>
  </si>
  <si>
    <t>Kweon</t>
  </si>
  <si>
    <t>O-0114</t>
  </si>
  <si>
    <t>Kyoung</t>
  </si>
  <si>
    <t>coco08280@naver.com</t>
  </si>
  <si>
    <t>O-0126</t>
  </si>
  <si>
    <t>Uk</t>
  </si>
  <si>
    <t>ohmin0540@nate.com</t>
  </si>
  <si>
    <t>O-0082</t>
  </si>
  <si>
    <t>Seunghoon</t>
  </si>
  <si>
    <t>O-0087</t>
  </si>
  <si>
    <t>Oka</t>
  </si>
  <si>
    <t>Fahru</t>
  </si>
  <si>
    <t>O-043</t>
  </si>
  <si>
    <t>Okkeur</t>
  </si>
  <si>
    <t>Solihin</t>
  </si>
  <si>
    <t>O-0110</t>
  </si>
  <si>
    <t>Okky</t>
  </si>
  <si>
    <t>Wulansari</t>
  </si>
  <si>
    <t>Puri Sriwedari</t>
  </si>
  <si>
    <t>O-046</t>
  </si>
  <si>
    <t>Okstiyani</t>
  </si>
  <si>
    <t>O-0133</t>
  </si>
  <si>
    <t>Oksy</t>
  </si>
  <si>
    <t>oksy.meriva@gmail.com</t>
  </si>
  <si>
    <t>Taman Tiara C-4 Sidoarjo</t>
  </si>
  <si>
    <t>O-013</t>
  </si>
  <si>
    <t>Okta</t>
  </si>
  <si>
    <t>O-0141</t>
  </si>
  <si>
    <t>Aidhilia</t>
  </si>
  <si>
    <t>087881960281</t>
  </si>
  <si>
    <t>Kebayoran Heights Pakubuwono V No. 17</t>
  </si>
  <si>
    <t>O-0073</t>
  </si>
  <si>
    <t>Darnadi</t>
  </si>
  <si>
    <t>O-0113</t>
  </si>
  <si>
    <t>Jl.Adyaksa Raya LB</t>
  </si>
  <si>
    <t>O-0117</t>
  </si>
  <si>
    <t>Oktarifany</t>
  </si>
  <si>
    <t>Ayuningtias</t>
  </si>
  <si>
    <t>O-0112</t>
  </si>
  <si>
    <t>O-0151</t>
  </si>
  <si>
    <t>Oktarini</t>
  </si>
  <si>
    <t>628128576000</t>
  </si>
  <si>
    <t>O-0100</t>
  </si>
  <si>
    <t>O-051</t>
  </si>
  <si>
    <t>Okti</t>
  </si>
  <si>
    <t>O-060</t>
  </si>
  <si>
    <t>Okto</t>
  </si>
  <si>
    <t>O-054</t>
  </si>
  <si>
    <t>Oktovia</t>
  </si>
  <si>
    <t>oktovia@gmail.com</t>
  </si>
  <si>
    <t>Jl Agung Permai 12/1 Sunter</t>
  </si>
  <si>
    <t>O-0090</t>
  </si>
  <si>
    <t>Okudaira</t>
  </si>
  <si>
    <t>Ryoko</t>
  </si>
  <si>
    <t>O-045</t>
  </si>
  <si>
    <t>Oky</t>
  </si>
  <si>
    <t xml:space="preserve">Apt.Essence 9 CC S
Darmawangsa X No.86
Jak-Sel</t>
  </si>
  <si>
    <t>M-632</t>
  </si>
  <si>
    <t>Ola</t>
  </si>
  <si>
    <t>Harika</t>
  </si>
  <si>
    <t xml:space="preserve">Jl. Bangka XI A  No. 25 H
Kemang Celestial</t>
  </si>
  <si>
    <t>O-0101</t>
  </si>
  <si>
    <t>Najla</t>
  </si>
  <si>
    <t>O-0144</t>
  </si>
  <si>
    <t>+628119546555</t>
  </si>
  <si>
    <t>O-0147</t>
  </si>
  <si>
    <t>Beliaev</t>
  </si>
  <si>
    <t>+79123230230</t>
  </si>
  <si>
    <t>O-0135</t>
  </si>
  <si>
    <t>Olenichenko</t>
  </si>
  <si>
    <t>M-1257</t>
  </si>
  <si>
    <t>Alekseeva</t>
  </si>
  <si>
    <t>olgalichno@yandex.ru</t>
  </si>
  <si>
    <t>M-600</t>
  </si>
  <si>
    <t>Andreeva</t>
  </si>
  <si>
    <t>olgasasa@gmail.com</t>
  </si>
  <si>
    <t>O-0132</t>
  </si>
  <si>
    <t>Cheremisina</t>
  </si>
  <si>
    <t>O-016</t>
  </si>
  <si>
    <t>+62811181062</t>
  </si>
  <si>
    <t>Mampang Prapatan 8 Jalan D no.39</t>
  </si>
  <si>
    <t>O-0145</t>
  </si>
  <si>
    <t>Oresmko</t>
  </si>
  <si>
    <t>+6281529789888</t>
  </si>
  <si>
    <t>O-0158</t>
  </si>
  <si>
    <t>Rubleva</t>
  </si>
  <si>
    <t>olkin22@mail.ru</t>
  </si>
  <si>
    <t>79035411074</t>
  </si>
  <si>
    <t>O-0094</t>
  </si>
  <si>
    <t>Olive</t>
  </si>
  <si>
    <t>Perumahan Tanjung Barat Indah</t>
  </si>
  <si>
    <t>O-048</t>
  </si>
  <si>
    <t xml:space="preserve">Apartement Istana Sahid ME 7D
Jakarta Pusat 10220</t>
  </si>
  <si>
    <t>O-0154</t>
  </si>
  <si>
    <t>Rouz</t>
  </si>
  <si>
    <t>jelizvrose@gmail.com</t>
  </si>
  <si>
    <t>+6282145234109</t>
  </si>
  <si>
    <t>O-017</t>
  </si>
  <si>
    <t>S-612</t>
  </si>
  <si>
    <t>M-0896</t>
  </si>
  <si>
    <t>O-0149</t>
  </si>
  <si>
    <t>Djoharsjah</t>
  </si>
  <si>
    <t>+6281381857080</t>
  </si>
  <si>
    <t>O-0106</t>
  </si>
  <si>
    <t>O-0146</t>
  </si>
  <si>
    <t>Indradwiyani</t>
  </si>
  <si>
    <t>628179518687</t>
  </si>
  <si>
    <t>Bukit Cengkeh 31, Semarang</t>
  </si>
  <si>
    <t>O-0105</t>
  </si>
  <si>
    <t>O-0125</t>
  </si>
  <si>
    <t>Loway</t>
  </si>
  <si>
    <t>O-0160</t>
  </si>
  <si>
    <t>Monica Taruna</t>
  </si>
  <si>
    <t>olivia_diary88@yahoo.com</t>
  </si>
  <si>
    <t>6287791181995</t>
  </si>
  <si>
    <t>Sutera Feronia II</t>
  </si>
  <si>
    <t>O-040</t>
  </si>
  <si>
    <t>Naida</t>
  </si>
  <si>
    <t>O-018</t>
  </si>
  <si>
    <t>Nalda</t>
  </si>
  <si>
    <t>Olivia.naida@gmail.com</t>
  </si>
  <si>
    <t>Jl. Rajasa II No. 17</t>
  </si>
  <si>
    <t>O-0071</t>
  </si>
  <si>
    <t>Pramaisella</t>
  </si>
  <si>
    <t>O-0115</t>
  </si>
  <si>
    <t>Putihrai</t>
  </si>
  <si>
    <t>O-0157</t>
  </si>
  <si>
    <t>Olivia Bea</t>
  </si>
  <si>
    <t>Rosenberg</t>
  </si>
  <si>
    <t>orosenberg14@gmail.com</t>
  </si>
  <si>
    <t>+17326084593</t>
  </si>
  <si>
    <t>520 W 23rd Street, 1A, New York, 10011</t>
  </si>
  <si>
    <t>O-0143</t>
  </si>
  <si>
    <t>Sutantyo</t>
  </si>
  <si>
    <t>euolivia@yahoo.com</t>
  </si>
  <si>
    <t>6281511005289</t>
  </si>
  <si>
    <t>Jl.Saharjo No.11 Solo</t>
  </si>
  <si>
    <t>57111</t>
  </si>
  <si>
    <t>O-038</t>
  </si>
  <si>
    <t>O-050</t>
  </si>
  <si>
    <t>livia.wibisono8@gmail.com</t>
  </si>
  <si>
    <t>6282246463438</t>
  </si>
  <si>
    <t>O-0108</t>
  </si>
  <si>
    <t>Olivianne</t>
  </si>
  <si>
    <t>O-052</t>
  </si>
  <si>
    <t>Olke</t>
  </si>
  <si>
    <t>Heidy</t>
  </si>
  <si>
    <t>Puri Pesanggrahan</t>
  </si>
  <si>
    <t>O-063</t>
  </si>
  <si>
    <t>Olla</t>
  </si>
  <si>
    <t>O-032</t>
  </si>
  <si>
    <t>6287780000234</t>
  </si>
  <si>
    <t xml:space="preserve">Jl suren 1 no.2
senopati jakarta selatan</t>
  </si>
  <si>
    <t>O-0070</t>
  </si>
  <si>
    <t>Ollie</t>
  </si>
  <si>
    <t>O-0123</t>
  </si>
  <si>
    <t>Ollyvia</t>
  </si>
  <si>
    <t>Kemang Utara VIII No.46R</t>
  </si>
  <si>
    <t>O-0119</t>
  </si>
  <si>
    <t>Olyvia</t>
  </si>
  <si>
    <t>O-0109</t>
  </si>
  <si>
    <t>O-0130</t>
  </si>
  <si>
    <t>Omang</t>
  </si>
  <si>
    <t>Solehudin</t>
  </si>
  <si>
    <t>M-1242</t>
  </si>
  <si>
    <t>O-057</t>
  </si>
  <si>
    <t>omar.harahap@gmail.com</t>
  </si>
  <si>
    <t>62811847772</t>
  </si>
  <si>
    <t>O-0121</t>
  </si>
  <si>
    <t>Onarheim</t>
  </si>
  <si>
    <t>Anders</t>
  </si>
  <si>
    <t>Bvlgari Villa 60</t>
  </si>
  <si>
    <t>O-019</t>
  </si>
  <si>
    <t>Oncy</t>
  </si>
  <si>
    <t>JL.Kesahatan IV No.02</t>
  </si>
  <si>
    <t>O-0140</t>
  </si>
  <si>
    <t>Ong siok</t>
  </si>
  <si>
    <t>Bie</t>
  </si>
  <si>
    <t>doktergigi@gmail.com</t>
  </si>
  <si>
    <t>62816945519</t>
  </si>
  <si>
    <t>RS Fatmawati YIA Jakarta Selatan</t>
  </si>
  <si>
    <t>O-0137</t>
  </si>
  <si>
    <t>Nicol</t>
  </si>
  <si>
    <t>Ong Wei-Pin</t>
  </si>
  <si>
    <t>6581128270</t>
  </si>
  <si>
    <t>O-0129</t>
  </si>
  <si>
    <t>O-0089</t>
  </si>
  <si>
    <t>Onny</t>
  </si>
  <si>
    <t>Prijono</t>
  </si>
  <si>
    <t>O-0155</t>
  </si>
  <si>
    <t>Ono</t>
  </si>
  <si>
    <t>Saya Lucy</t>
  </si>
  <si>
    <t>sayaono19@gmail.com</t>
  </si>
  <si>
    <t>19499423053</t>
  </si>
  <si>
    <t>United Stated Of America</t>
  </si>
  <si>
    <t>O-0134</t>
  </si>
  <si>
    <t>Oppy</t>
  </si>
  <si>
    <t>Afdayani</t>
  </si>
  <si>
    <t>O-059</t>
  </si>
  <si>
    <t>Orchid</t>
  </si>
  <si>
    <t>Blanco</t>
  </si>
  <si>
    <t>Jl. Dr. Muwardi No. 9 Renon, Denpasar</t>
  </si>
  <si>
    <t>O-053</t>
  </si>
  <si>
    <t>Orin</t>
  </si>
  <si>
    <t>O-0096</t>
  </si>
  <si>
    <t>Ornella</t>
  </si>
  <si>
    <t>O-0118</t>
  </si>
  <si>
    <t>O-037</t>
  </si>
  <si>
    <t>O-0150</t>
  </si>
  <si>
    <t>Lars Persson</t>
  </si>
  <si>
    <t>4676110040</t>
  </si>
  <si>
    <t>O-0148</t>
  </si>
  <si>
    <t>Ossiba</t>
  </si>
  <si>
    <t>Berinys Mekui</t>
  </si>
  <si>
    <t>24106446666</t>
  </si>
  <si>
    <t>Congo</t>
  </si>
  <si>
    <t>O-0142</t>
  </si>
  <si>
    <t>Ota</t>
  </si>
  <si>
    <t>hisako.ota7727@gmail.com</t>
  </si>
  <si>
    <t>+09015002775</t>
  </si>
  <si>
    <t>O-0122</t>
  </si>
  <si>
    <t>Othman</t>
  </si>
  <si>
    <t>Djoenaid</t>
  </si>
  <si>
    <t>62811933976</t>
  </si>
  <si>
    <t>O-0076</t>
  </si>
  <si>
    <t>Otter</t>
  </si>
  <si>
    <t>Setyaji</t>
  </si>
  <si>
    <t>setyajio@yahoo.com</t>
  </si>
  <si>
    <t xml:space="preserve">Jln. Berlian Raya Blok C3 No.7
Cimanggis, Depok</t>
  </si>
  <si>
    <t>O-0081</t>
  </si>
  <si>
    <t>Ottje</t>
  </si>
  <si>
    <t>O-0103</t>
  </si>
  <si>
    <t>Otto</t>
  </si>
  <si>
    <t>O-0104</t>
  </si>
  <si>
    <t>Ourida</t>
  </si>
  <si>
    <t>O-0080</t>
  </si>
  <si>
    <t>Ouyang</t>
  </si>
  <si>
    <t>Apartemen Taman Rasuna</t>
  </si>
  <si>
    <t>O-0159</t>
  </si>
  <si>
    <t>Ovan</t>
  </si>
  <si>
    <t>+4478522624664</t>
  </si>
  <si>
    <t>O-025</t>
  </si>
  <si>
    <t>Ovin</t>
  </si>
  <si>
    <t>O-042</t>
  </si>
  <si>
    <t>Ovrida</t>
  </si>
  <si>
    <t>O-026</t>
  </si>
  <si>
    <t>Owhondah</t>
  </si>
  <si>
    <t>Amadi</t>
  </si>
  <si>
    <t>O-0124</t>
  </si>
  <si>
    <t>Oya</t>
  </si>
  <si>
    <t>+6281218916348</t>
  </si>
  <si>
    <t>O-034</t>
  </si>
  <si>
    <t>Oyamaguchi</t>
  </si>
  <si>
    <t>Santosi</t>
  </si>
  <si>
    <t>O-0153</t>
  </si>
  <si>
    <t>Ozalia</t>
  </si>
  <si>
    <t>Budhiani</t>
  </si>
  <si>
    <t>6281238995844</t>
  </si>
  <si>
    <t>O-0131</t>
  </si>
  <si>
    <t>Ozcan</t>
  </si>
  <si>
    <t>Selin</t>
  </si>
  <si>
    <t>TURKEY</t>
  </si>
  <si>
    <t>P-105</t>
  </si>
  <si>
    <t>Padmawati</t>
  </si>
  <si>
    <t>P-001</t>
  </si>
  <si>
    <t>Paek</t>
  </si>
  <si>
    <t>Keun</t>
  </si>
  <si>
    <t>5th Fl. Mustika Ratu Bldg.</t>
  </si>
  <si>
    <t>Jl. Gatot Subroto Kav. 74-75</t>
  </si>
  <si>
    <t>P-0840</t>
  </si>
  <si>
    <t>Pahala</t>
  </si>
  <si>
    <t>+628129900426</t>
  </si>
  <si>
    <t>P-094</t>
  </si>
  <si>
    <t xml:space="preserve">Jl. Empu Sendok No.23
Jakarta</t>
  </si>
  <si>
    <t>P-0952</t>
  </si>
  <si>
    <t>Pakulin</t>
  </si>
  <si>
    <t>Aleksandr</t>
  </si>
  <si>
    <t>P-002</t>
  </si>
  <si>
    <t>Palgunadi</t>
  </si>
  <si>
    <t>P-1054</t>
  </si>
  <si>
    <t>Palla Barroso</t>
  </si>
  <si>
    <t>Reka</t>
  </si>
  <si>
    <t>rekapalla@gmail.com</t>
  </si>
  <si>
    <t>34626235224</t>
  </si>
  <si>
    <t>P-616</t>
  </si>
  <si>
    <t>P-144</t>
  </si>
  <si>
    <t>P-0822</t>
  </si>
  <si>
    <t>P-003</t>
  </si>
  <si>
    <t>P-1068</t>
  </si>
  <si>
    <t>mikimose2025@gmail.com</t>
  </si>
  <si>
    <t>082199991991</t>
  </si>
  <si>
    <t>P-088</t>
  </si>
  <si>
    <t>P-0692</t>
  </si>
  <si>
    <t>Wirjadinata</t>
  </si>
  <si>
    <t>P-1012</t>
  </si>
  <si>
    <t>Pamriadi</t>
  </si>
  <si>
    <t>6281210101010</t>
  </si>
  <si>
    <t>P-0969</t>
  </si>
  <si>
    <t>Pan</t>
  </si>
  <si>
    <t>Wechat ID: M1010YAN</t>
  </si>
  <si>
    <t>Guizhou, China</t>
  </si>
  <si>
    <t>P-617</t>
  </si>
  <si>
    <t>Panca</t>
  </si>
  <si>
    <t>P-116</t>
  </si>
  <si>
    <t>P-0996</t>
  </si>
  <si>
    <t>Oberth</t>
  </si>
  <si>
    <t>P-1000</t>
  </si>
  <si>
    <t>Panchenko</t>
  </si>
  <si>
    <t>Alesia</t>
  </si>
  <si>
    <t>P-0972</t>
  </si>
  <si>
    <t>Volodymyr</t>
  </si>
  <si>
    <t>P-005</t>
  </si>
  <si>
    <t>Pandji</t>
  </si>
  <si>
    <t>P-0834</t>
  </si>
  <si>
    <t>Pandu</t>
  </si>
  <si>
    <t>P-637</t>
  </si>
  <si>
    <t xml:space="preserve">Vermont Parkland Blok H No 20
BSD City</t>
  </si>
  <si>
    <t>P-0745</t>
  </si>
  <si>
    <t>Panji</t>
  </si>
  <si>
    <t>Answinartha</t>
  </si>
  <si>
    <t>Jl.Kikir No.15 Kayu Putih, Jakarta Timur</t>
  </si>
  <si>
    <t>P-0917</t>
  </si>
  <si>
    <t>panjim282@gmail.com</t>
  </si>
  <si>
    <t>Jl. Pademangan II GG.3 no.12, Jakarta Utara</t>
  </si>
  <si>
    <t>P-006</t>
  </si>
  <si>
    <t>panjiprasetyo@gmail.com</t>
  </si>
  <si>
    <t>Apartemen Sudirman Park Tower B #35BB</t>
  </si>
  <si>
    <t>P-1048</t>
  </si>
  <si>
    <t>Panlaqui Rachelle</t>
  </si>
  <si>
    <t>Ann Sanchez</t>
  </si>
  <si>
    <t>raspanlaqui@gmail.com</t>
  </si>
  <si>
    <t>639178018275</t>
  </si>
  <si>
    <t>P-621</t>
  </si>
  <si>
    <t>Panoa</t>
  </si>
  <si>
    <t>P-1043</t>
  </si>
  <si>
    <t>Panpan</t>
  </si>
  <si>
    <t>6281294953575</t>
  </si>
  <si>
    <t>M-1286</t>
  </si>
  <si>
    <t>Panthya</t>
  </si>
  <si>
    <t>62811887092</t>
  </si>
  <si>
    <t>P-1027</t>
  </si>
  <si>
    <t>Pantro</t>
  </si>
  <si>
    <t>Pander Silitonga</t>
  </si>
  <si>
    <t>628119807899</t>
  </si>
  <si>
    <t>P-1024</t>
  </si>
  <si>
    <t>Panya</t>
  </si>
  <si>
    <t>62817739797</t>
  </si>
  <si>
    <t>Jl Antariksa Raya No.63, Jakarta, 12630</t>
  </si>
  <si>
    <t>P-673</t>
  </si>
  <si>
    <t>Paola</t>
  </si>
  <si>
    <t>P-0981</t>
  </si>
  <si>
    <t>Papulov</t>
  </si>
  <si>
    <t>P-1033</t>
  </si>
  <si>
    <t>Parama</t>
  </si>
  <si>
    <t>Mudita</t>
  </si>
  <si>
    <t>6281317724688</t>
  </si>
  <si>
    <t>P-1036</t>
  </si>
  <si>
    <t>P-0859</t>
  </si>
  <si>
    <t>P-0781</t>
  </si>
  <si>
    <t>Hadiprama</t>
  </si>
  <si>
    <t>P-0894</t>
  </si>
  <si>
    <t>Patriani Paramita</t>
  </si>
  <si>
    <t>mita_mulia@yahoo.com</t>
  </si>
  <si>
    <t>+81283388158</t>
  </si>
  <si>
    <t>P-0743</t>
  </si>
  <si>
    <t>Nugraeni</t>
  </si>
  <si>
    <t>APT.Bona Vista Tower IB Jakarta Selatan</t>
  </si>
  <si>
    <t>P-0955</t>
  </si>
  <si>
    <t>P-0845</t>
  </si>
  <si>
    <t>P-664</t>
  </si>
  <si>
    <t>P-1008</t>
  </si>
  <si>
    <t>Ram</t>
  </si>
  <si>
    <t>P-1007</t>
  </si>
  <si>
    <t>Ah Ram</t>
  </si>
  <si>
    <t>+821065555495</t>
  </si>
  <si>
    <t>P-0956</t>
  </si>
  <si>
    <t>Ahram</t>
  </si>
  <si>
    <t>M06676166</t>
  </si>
  <si>
    <t>P-0864</t>
  </si>
  <si>
    <t>P-009</t>
  </si>
  <si>
    <t xml:space="preserve">Apartemen Taman Rasuna 18th N-21A
Kuningan</t>
  </si>
  <si>
    <t>P-0942</t>
  </si>
  <si>
    <t>P-653</t>
  </si>
  <si>
    <t>Kyeong</t>
  </si>
  <si>
    <t>P-1062</t>
  </si>
  <si>
    <t>Hyo Jung</t>
  </si>
  <si>
    <t>jiktoss@naver.com</t>
  </si>
  <si>
    <t>821092675682</t>
  </si>
  <si>
    <t>P-0718</t>
  </si>
  <si>
    <t>P-1009</t>
  </si>
  <si>
    <t>James Brian</t>
  </si>
  <si>
    <t>jamespark.dj@googlemail.com</t>
  </si>
  <si>
    <t>+447801277496</t>
  </si>
  <si>
    <t>P-0871</t>
  </si>
  <si>
    <t>P-611</t>
  </si>
  <si>
    <t>P-092</t>
  </si>
  <si>
    <t>P-010</t>
  </si>
  <si>
    <t>Cempaka Mas Apt. Blok B-LZ1 #805</t>
  </si>
  <si>
    <t>Komp. Cempaka Mas</t>
  </si>
  <si>
    <t>p-109</t>
  </si>
  <si>
    <t>P-012</t>
  </si>
  <si>
    <t>P-0775</t>
  </si>
  <si>
    <t>Mireu</t>
  </si>
  <si>
    <t>P-164</t>
  </si>
  <si>
    <t>Apt taman Raja A 302 Warung Jati Barat</t>
  </si>
  <si>
    <t>P-590</t>
  </si>
  <si>
    <t>Myoungsuk</t>
  </si>
  <si>
    <t>nana6250@naver.com</t>
  </si>
  <si>
    <t xml:space="preserve">Apartment Paladian Park Tower B 
Lt 2207
Kelapa Gading</t>
  </si>
  <si>
    <t>P-0829</t>
  </si>
  <si>
    <t>Sung Hwa</t>
  </si>
  <si>
    <t>62816789442</t>
  </si>
  <si>
    <t>Villa Cibubur Indah V-II</t>
  </si>
  <si>
    <t>P-0985</t>
  </si>
  <si>
    <t>Yerim</t>
  </si>
  <si>
    <t>P-0990</t>
  </si>
  <si>
    <t>Parks</t>
  </si>
  <si>
    <t>William</t>
  </si>
  <si>
    <t>P-0868</t>
  </si>
  <si>
    <t>Parman</t>
  </si>
  <si>
    <t>P-0982</t>
  </si>
  <si>
    <t>Paroulakis</t>
  </si>
  <si>
    <t>ceo@paspalis.com.au</t>
  </si>
  <si>
    <t>P-0944</t>
  </si>
  <si>
    <t>Parpia</t>
  </si>
  <si>
    <t>Vishal</t>
  </si>
  <si>
    <t>P-0967</t>
  </si>
  <si>
    <t>Partogi</t>
  </si>
  <si>
    <t>Baringbing</t>
  </si>
  <si>
    <t>partogihm@yahoo.com</t>
  </si>
  <si>
    <t xml:space="preserve">Jl Basoka I/2 
Sumur Batu</t>
  </si>
  <si>
    <t>P-0756</t>
  </si>
  <si>
    <t>Parulian</t>
  </si>
  <si>
    <t>P-097</t>
  </si>
  <si>
    <t>P-0698</t>
  </si>
  <si>
    <t>Parwati</t>
  </si>
  <si>
    <t>P-0719</t>
  </si>
  <si>
    <t>+6282166281378</t>
  </si>
  <si>
    <t>P-1034</t>
  </si>
  <si>
    <t>Roman</t>
  </si>
  <si>
    <t>Pashkovskii</t>
  </si>
  <si>
    <t>roman.pash@gmail.com</t>
  </si>
  <si>
    <t>972534234180</t>
  </si>
  <si>
    <t>P-0733</t>
  </si>
  <si>
    <t>Paskah</t>
  </si>
  <si>
    <t>P-0964</t>
  </si>
  <si>
    <t>Pasya</t>
  </si>
  <si>
    <t>pasyamp@gmail.com</t>
  </si>
  <si>
    <t>Gudang Peluru Selatan II Jakarta</t>
  </si>
  <si>
    <t>P-1017</t>
  </si>
  <si>
    <t>Hershal Dinesh</t>
  </si>
  <si>
    <t>Patel</t>
  </si>
  <si>
    <t>hershal.patel@yahoo.com</t>
  </si>
  <si>
    <t>16179058078</t>
  </si>
  <si>
    <t>P-0977</t>
  </si>
  <si>
    <t>Dharmesh</t>
  </si>
  <si>
    <t>P-0948</t>
  </si>
  <si>
    <t>Natvarlal</t>
  </si>
  <si>
    <t>saumilpatel.4500@gmail.com14</t>
  </si>
  <si>
    <t>P-0970</t>
  </si>
  <si>
    <t>Patil</t>
  </si>
  <si>
    <t>Vijay</t>
  </si>
  <si>
    <t>P-016</t>
  </si>
  <si>
    <t>Jl. Wijaya Timur 5</t>
  </si>
  <si>
    <t>P-0887</t>
  </si>
  <si>
    <t>pmuti11@gmail.com</t>
  </si>
  <si>
    <t>Hamptons Park Apt. Tower D #5E, South Jakarta 12430</t>
  </si>
  <si>
    <t>P-0806</t>
  </si>
  <si>
    <t>Patrice</t>
  </si>
  <si>
    <t>P-0850</t>
  </si>
  <si>
    <t>P-118</t>
  </si>
  <si>
    <t>P-129</t>
  </si>
  <si>
    <t>P-1005</t>
  </si>
  <si>
    <t>Auxilia</t>
  </si>
  <si>
    <t>patriciaauxilia@gmail.com</t>
  </si>
  <si>
    <t>62818989297</t>
  </si>
  <si>
    <t>Villa Gading Indah Blok M No. 9, Jakarta</t>
  </si>
  <si>
    <t>P-1051</t>
  </si>
  <si>
    <t>Davina</t>
  </si>
  <si>
    <t>+620119777077</t>
  </si>
  <si>
    <t>P-0690</t>
  </si>
  <si>
    <t>P-168</t>
  </si>
  <si>
    <t>P-0920</t>
  </si>
  <si>
    <t>P-1039</t>
  </si>
  <si>
    <t>Karajan</t>
  </si>
  <si>
    <t>61426256245</t>
  </si>
  <si>
    <t>P-113</t>
  </si>
  <si>
    <t>P-1061</t>
  </si>
  <si>
    <t>Panigoro</t>
  </si>
  <si>
    <t>patrice2212@yahoo.co.id</t>
  </si>
  <si>
    <t>628121110197</t>
  </si>
  <si>
    <t>Kemang Utara V No. 45 A</t>
  </si>
  <si>
    <t>P-1071</t>
  </si>
  <si>
    <t>62811898953</t>
  </si>
  <si>
    <t>P-658</t>
  </si>
  <si>
    <t>Rosalind</t>
  </si>
  <si>
    <t>patriciarosalindr@hotmail.com</t>
  </si>
  <si>
    <t>Jl Delta Barta XII blok C-154 Delta Pekayon Jaya- Bekasi Selatan</t>
  </si>
  <si>
    <t>P-1074</t>
  </si>
  <si>
    <t>Visser</t>
  </si>
  <si>
    <t>60127591990</t>
  </si>
  <si>
    <t>P-0884</t>
  </si>
  <si>
    <t>Patriciia</t>
  </si>
  <si>
    <t>P.U</t>
  </si>
  <si>
    <t>P-0929</t>
  </si>
  <si>
    <t>Patricio</t>
  </si>
  <si>
    <t>Rubinstein</t>
  </si>
  <si>
    <t>P-0754</t>
  </si>
  <si>
    <t>Patrick</t>
  </si>
  <si>
    <t>P-1021</t>
  </si>
  <si>
    <t>Dannacher</t>
  </si>
  <si>
    <t>P-0735</t>
  </si>
  <si>
    <t>Pluit selatan</t>
  </si>
  <si>
    <t>P-0820</t>
  </si>
  <si>
    <t>JL. Basuki No 18A</t>
  </si>
  <si>
    <t>P-1020</t>
  </si>
  <si>
    <t>Patrick Wicky</t>
  </si>
  <si>
    <t>6282173342234</t>
  </si>
  <si>
    <t>P-1049</t>
  </si>
  <si>
    <t>Patris</t>
  </si>
  <si>
    <t>Malolok</t>
  </si>
  <si>
    <t>6281343820250</t>
  </si>
  <si>
    <t>Bsd Raya Utama</t>
  </si>
  <si>
    <t>P-0954</t>
  </si>
  <si>
    <t>Patrisia</t>
  </si>
  <si>
    <t>Ria Persadawati</t>
  </si>
  <si>
    <t>Patrisiariaa@gmail.com</t>
  </si>
  <si>
    <t>6285389660777</t>
  </si>
  <si>
    <t>P-1032</t>
  </si>
  <si>
    <t>Patty</t>
  </si>
  <si>
    <t>P-023</t>
  </si>
  <si>
    <t>Jl. Kemang  Selatan IX No. 2</t>
  </si>
  <si>
    <t>P-0701</t>
  </si>
  <si>
    <t>Suharya</t>
  </si>
  <si>
    <t>psuharya@baramultigrup.co.id</t>
  </si>
  <si>
    <t>62816701105</t>
  </si>
  <si>
    <t>P-025</t>
  </si>
  <si>
    <t>Paul</t>
  </si>
  <si>
    <t>P-0772</t>
  </si>
  <si>
    <t>Krudds</t>
  </si>
  <si>
    <t>P-0988</t>
  </si>
  <si>
    <t>Russell</t>
  </si>
  <si>
    <t>paulklruss@hotmail.com</t>
  </si>
  <si>
    <t>17 Villa Belingbing</t>
  </si>
  <si>
    <t>P-0891</t>
  </si>
  <si>
    <t>Yalvwo</t>
  </si>
  <si>
    <t>P-0902</t>
  </si>
  <si>
    <t>P-024</t>
  </si>
  <si>
    <t>Jl. Imam Bonjol 78-79</t>
  </si>
  <si>
    <t>P-1035</t>
  </si>
  <si>
    <t>coralpaulaa@gmail.com</t>
  </si>
  <si>
    <t>P-081</t>
  </si>
  <si>
    <t>Arjunilo</t>
  </si>
  <si>
    <t>P-668</t>
  </si>
  <si>
    <t>Dewiyanti</t>
  </si>
  <si>
    <t>Botanica Apt. tower 3 Unit 27 E Jl.Teuku Nyak Arief 27E no.8</t>
  </si>
  <si>
    <t>P-1040</t>
  </si>
  <si>
    <t>pauladjalil@gmail.com</t>
  </si>
  <si>
    <t>+62816962059</t>
  </si>
  <si>
    <t>Kemang Utara 4 No 7</t>
  </si>
  <si>
    <t>P-652</t>
  </si>
  <si>
    <t>paula_johanes@yahoo.com</t>
  </si>
  <si>
    <t>jl jambu no 23 Menteng</t>
  </si>
  <si>
    <t>P-0926</t>
  </si>
  <si>
    <t>paulamanoppo0881@gmail.com</t>
  </si>
  <si>
    <t>Apart Puri Orchad</t>
  </si>
  <si>
    <t>P-0882</t>
  </si>
  <si>
    <t>Paulatin</t>
  </si>
  <si>
    <t>P-0995</t>
  </si>
  <si>
    <t>Paulina</t>
  </si>
  <si>
    <t>IBus Raya No.101 Medan</t>
  </si>
  <si>
    <t>P-134</t>
  </si>
  <si>
    <t>P-161</t>
  </si>
  <si>
    <t>P-0739</t>
  </si>
  <si>
    <t>Pauline</t>
  </si>
  <si>
    <t>Kusuma atmaja No. 16</t>
  </si>
  <si>
    <t>P-0723</t>
  </si>
  <si>
    <t>P-0763</t>
  </si>
  <si>
    <t>P-0760</t>
  </si>
  <si>
    <t>P-123</t>
  </si>
  <si>
    <t>+628129496039</t>
  </si>
  <si>
    <t>P-155</t>
  </si>
  <si>
    <t>P-027</t>
  </si>
  <si>
    <t>Jl. Janur Elok Raya Blok PA-26 No. 1</t>
  </si>
  <si>
    <t>P-0958</t>
  </si>
  <si>
    <t>Zonathan</t>
  </si>
  <si>
    <t xml:space="preserve">Kantor Syahbandar Utama
Jl.Padamarang N0.04 
Pelabuhan Tanjung Priok </t>
  </si>
  <si>
    <t>P-136</t>
  </si>
  <si>
    <t>Paun</t>
  </si>
  <si>
    <t>han</t>
  </si>
  <si>
    <t>P-0856</t>
  </si>
  <si>
    <t>Pavel</t>
  </si>
  <si>
    <t>P-1076</t>
  </si>
  <si>
    <t>Amelchenko</t>
  </si>
  <si>
    <t>amel2010@list.ru</t>
  </si>
  <si>
    <t>+79015170098</t>
  </si>
  <si>
    <t>P-0782</t>
  </si>
  <si>
    <t>Pax Equity</t>
  </si>
  <si>
    <t>regina.unity1980@gmail.com</t>
  </si>
  <si>
    <t>628118162166</t>
  </si>
  <si>
    <t>Jl Kemanggisan Utama II Jakarta 11480</t>
  </si>
  <si>
    <t>P-0849</t>
  </si>
  <si>
    <t>Pe</t>
  </si>
  <si>
    <t>Tjing</t>
  </si>
  <si>
    <t>P-1028</t>
  </si>
  <si>
    <t>Pearl</t>
  </si>
  <si>
    <t>Hazel kawilarang</t>
  </si>
  <si>
    <t>pearl kawilarang@yahoo.com</t>
  </si>
  <si>
    <t>62816896662</t>
  </si>
  <si>
    <t>Apartment Bona Vista 2/1202 Jakarta Selatan</t>
  </si>
  <si>
    <t>P-0875</t>
  </si>
  <si>
    <t>Peatrick</t>
  </si>
  <si>
    <t>P-0906</t>
  </si>
  <si>
    <t>Pebri</t>
  </si>
  <si>
    <t>P-0923</t>
  </si>
  <si>
    <t>Peggy</t>
  </si>
  <si>
    <t>marlenepeggy200377@gmail.com</t>
  </si>
  <si>
    <t xml:space="preserve">KOMPLEK RUKOITC ROXY MAS D1/19
JAKARTA BARAT 10150</t>
  </si>
  <si>
    <t>P-0876</t>
  </si>
  <si>
    <t>P-029</t>
  </si>
  <si>
    <t>Peh</t>
  </si>
  <si>
    <t>Jl. AG Blok A-3 No. 3A</t>
  </si>
  <si>
    <t>RT. 005/013, Terogong</t>
  </si>
  <si>
    <t>P-0916</t>
  </si>
  <si>
    <t>Pelicia</t>
  </si>
  <si>
    <t>P-1060</t>
  </si>
  <si>
    <t>Peng Alice</t>
  </si>
  <si>
    <t>Yu-Chieh</t>
  </si>
  <si>
    <t>ap0216@hotmail.com</t>
  </si>
  <si>
    <t>+16263484164</t>
  </si>
  <si>
    <t>4225 213th PI SE, Issaquah, WA 98029, USA</t>
  </si>
  <si>
    <t>P-151</t>
  </si>
  <si>
    <t>P-0993</t>
  </si>
  <si>
    <t>Gangxiang</t>
  </si>
  <si>
    <t>P-1065</t>
  </si>
  <si>
    <t>Ruolong</t>
  </si>
  <si>
    <t>+6285959262888</t>
  </si>
  <si>
    <t>P-1072</t>
  </si>
  <si>
    <t>Zhou</t>
  </si>
  <si>
    <t>6285769483382</t>
  </si>
  <si>
    <t>P-1026</t>
  </si>
  <si>
    <t>Peng,</t>
  </si>
  <si>
    <t>Binhui</t>
  </si>
  <si>
    <t>vincentyh@hotmail.com</t>
  </si>
  <si>
    <t>85261798797</t>
  </si>
  <si>
    <t>P-156</t>
  </si>
  <si>
    <t>Peni</t>
  </si>
  <si>
    <t>P-0960</t>
  </si>
  <si>
    <t>P-0725</t>
  </si>
  <si>
    <t>Pentarto</t>
  </si>
  <si>
    <t>V-0408</t>
  </si>
  <si>
    <t>Peny</t>
  </si>
  <si>
    <t>6281212779966</t>
  </si>
  <si>
    <t>P-0998</t>
  </si>
  <si>
    <t>Peony</t>
  </si>
  <si>
    <t>peonyemily@gmail.com</t>
  </si>
  <si>
    <t>Jl. Demak no.7 Emerald Mansion, Lippo Cikarang Bekasi - Jawa Barat</t>
  </si>
  <si>
    <t>P-0848</t>
  </si>
  <si>
    <t>Percha</t>
  </si>
  <si>
    <t>P-0937</t>
  </si>
  <si>
    <t>Perez</t>
  </si>
  <si>
    <t>Italia</t>
  </si>
  <si>
    <t>P-0968</t>
  </si>
  <si>
    <t>Citlali</t>
  </si>
  <si>
    <t>P-131</t>
  </si>
  <si>
    <t>Perginasari</t>
  </si>
  <si>
    <t>Apt. Mediteranian Lagoon B/6/5</t>
  </si>
  <si>
    <t>P-095</t>
  </si>
  <si>
    <t>Perial</t>
  </si>
  <si>
    <t>P-0736</t>
  </si>
  <si>
    <t xml:space="preserve">Jl. G II No.14
RT 005 / RW 002 
Slipi</t>
  </si>
  <si>
    <t>P-033</t>
  </si>
  <si>
    <t>Baramuli</t>
  </si>
  <si>
    <t>P-166</t>
  </si>
  <si>
    <t>NNN120594@yahoo.com</t>
  </si>
  <si>
    <t>Jl. Maluku No. 2 Blitar</t>
  </si>
  <si>
    <t>P-037</t>
  </si>
  <si>
    <t>P-038</t>
  </si>
  <si>
    <t>Kuky</t>
  </si>
  <si>
    <t>P-636</t>
  </si>
  <si>
    <t>P-1045</t>
  </si>
  <si>
    <t>Dhyaz</t>
  </si>
  <si>
    <t>6282112442512</t>
  </si>
  <si>
    <t>P-635</t>
  </si>
  <si>
    <t>Pernille</t>
  </si>
  <si>
    <t>P-135</t>
  </si>
  <si>
    <t>Hartmann</t>
  </si>
  <si>
    <t>P-0835</t>
  </si>
  <si>
    <t>Perriz</t>
  </si>
  <si>
    <t>Azwir</t>
  </si>
  <si>
    <t>628119005346</t>
  </si>
  <si>
    <t>P-1066</t>
  </si>
  <si>
    <t>Shannon</t>
  </si>
  <si>
    <t>sperry331@hotmail.com</t>
  </si>
  <si>
    <t>12403557836</t>
  </si>
  <si>
    <t>P-102</t>
  </si>
  <si>
    <t>P-089</t>
  </si>
  <si>
    <t>M-0980</t>
  </si>
  <si>
    <t>P-1053</t>
  </si>
  <si>
    <t>Bystron</t>
  </si>
  <si>
    <t>pyotr.bystrov@moli.ru</t>
  </si>
  <si>
    <t>79161544954</t>
  </si>
  <si>
    <t>P-0922</t>
  </si>
  <si>
    <t xml:space="preserve">Jl.Bendungan Hillir raya No.54 
Jakarta</t>
  </si>
  <si>
    <t>P-085</t>
  </si>
  <si>
    <t>62818112233</t>
  </si>
  <si>
    <t>P-0938</t>
  </si>
  <si>
    <t>P-163</t>
  </si>
  <si>
    <t>Emille</t>
  </si>
  <si>
    <t>P-0889</t>
  </si>
  <si>
    <t>P-0844</t>
  </si>
  <si>
    <t>peter.ngantung@gmail.com</t>
  </si>
  <si>
    <t>Jl. Kemang Selatan V no. 8F</t>
  </si>
  <si>
    <t>P-0945</t>
  </si>
  <si>
    <t>P-158</t>
  </si>
  <si>
    <t>P-043</t>
  </si>
  <si>
    <t>Sondakh</t>
  </si>
  <si>
    <t>Jl. Adityawarman 27</t>
  </si>
  <si>
    <t>P-0796</t>
  </si>
  <si>
    <t>Stok</t>
  </si>
  <si>
    <t>peterbstok@gmail.com</t>
  </si>
  <si>
    <t>Jl. K. H. Muhasyim IV/41 Cilandak</t>
  </si>
  <si>
    <t>P-0959</t>
  </si>
  <si>
    <t>Peter Surya</t>
  </si>
  <si>
    <t>081617181909</t>
  </si>
  <si>
    <t>P-100</t>
  </si>
  <si>
    <t>P-044</t>
  </si>
  <si>
    <t>Suyatmin</t>
  </si>
  <si>
    <t xml:space="preserve">Dharma Husada Permai N-229
SURABAYA</t>
  </si>
  <si>
    <t>P-115</t>
  </si>
  <si>
    <t>Zewet</t>
  </si>
  <si>
    <t>peterzewet@gmail.com</t>
  </si>
  <si>
    <t>Jl.Pluit Kencana 6 No.16</t>
  </si>
  <si>
    <t>P-0861</t>
  </si>
  <si>
    <t>62811910086</t>
  </si>
  <si>
    <t>P-0941</t>
  </si>
  <si>
    <t>P-631</t>
  </si>
  <si>
    <t>Petina</t>
  </si>
  <si>
    <t>P-1057</t>
  </si>
  <si>
    <t>Petkovska</t>
  </si>
  <si>
    <t>karolinapetkovska@gmail.com</t>
  </si>
  <si>
    <t>6142394588</t>
  </si>
  <si>
    <t>15 Townson St Blakenurst, 2221, Sydney, Australia</t>
  </si>
  <si>
    <t>P-0717</t>
  </si>
  <si>
    <t>Petra</t>
  </si>
  <si>
    <t>P-0980</t>
  </si>
  <si>
    <t>Zsok</t>
  </si>
  <si>
    <t>+971506618434</t>
  </si>
  <si>
    <t>Romanian</t>
  </si>
  <si>
    <t>P-1030</t>
  </si>
  <si>
    <t>Petranella</t>
  </si>
  <si>
    <t>petranellaa@yahoo.com</t>
  </si>
  <si>
    <t>6281288039977</t>
  </si>
  <si>
    <t>Jl.Mendut No5</t>
  </si>
  <si>
    <t>P-0986</t>
  </si>
  <si>
    <t>Petridiana</t>
  </si>
  <si>
    <t>Petri</t>
  </si>
  <si>
    <t>Palangka Raya</t>
  </si>
  <si>
    <t>P-0997</t>
  </si>
  <si>
    <t>Petrosian</t>
  </si>
  <si>
    <t>Artur</t>
  </si>
  <si>
    <t>P-045</t>
  </si>
  <si>
    <t>Daruyanni</t>
  </si>
  <si>
    <t>Jl. Kramat Raya no. 140</t>
  </si>
  <si>
    <t>P-0893</t>
  </si>
  <si>
    <t>Jl. Agung Utara Blok A SIS 24</t>
  </si>
  <si>
    <t>P-0925</t>
  </si>
  <si>
    <t>P-0842</t>
  </si>
  <si>
    <t>Wirasarjana</t>
  </si>
  <si>
    <t>P-1050</t>
  </si>
  <si>
    <t>Petty</t>
  </si>
  <si>
    <t>6287883886442</t>
  </si>
  <si>
    <t>P-0676</t>
  </si>
  <si>
    <t>Pevita</t>
  </si>
  <si>
    <t>Pearce</t>
  </si>
  <si>
    <t>P-0846</t>
  </si>
  <si>
    <t>Phalti</t>
  </si>
  <si>
    <t>P-0966</t>
  </si>
  <si>
    <t>Pham</t>
  </si>
  <si>
    <t>Hoang</t>
  </si>
  <si>
    <t>P-1067</t>
  </si>
  <si>
    <t>Foo Beam</t>
  </si>
  <si>
    <t>datinbarbarayap@gmail.com</t>
  </si>
  <si>
    <t>60193266383</t>
  </si>
  <si>
    <t>P-1064</t>
  </si>
  <si>
    <t>Phan Thuy</t>
  </si>
  <si>
    <t>tiffany.phan666@gmail.com</t>
  </si>
  <si>
    <t>6592790229</t>
  </si>
  <si>
    <t xml:space="preserve">8 Bras Basah, Singapore
189560</t>
  </si>
  <si>
    <t>Viet Nam</t>
  </si>
  <si>
    <t>P-1019</t>
  </si>
  <si>
    <t>Phang</t>
  </si>
  <si>
    <t>Su Jun</t>
  </si>
  <si>
    <t>Aurienphang@gmail.com</t>
  </si>
  <si>
    <t>6281317663456</t>
  </si>
  <si>
    <t>P-0983</t>
  </si>
  <si>
    <t>Phelps</t>
  </si>
  <si>
    <t>P-657</t>
  </si>
  <si>
    <t>Phia</t>
  </si>
  <si>
    <t>P-0746</t>
  </si>
  <si>
    <t>Phil</t>
  </si>
  <si>
    <t>P-0903</t>
  </si>
  <si>
    <t>Philbert</t>
  </si>
  <si>
    <t>Lowell</t>
  </si>
  <si>
    <t>philbertlowell@gmail.com</t>
  </si>
  <si>
    <t xml:space="preserve">PIANO 6A  35
Pantai Indah Kapuk</t>
  </si>
  <si>
    <t>P-0741</t>
  </si>
  <si>
    <t>Philip</t>
  </si>
  <si>
    <t>P-1016</t>
  </si>
  <si>
    <t>8210171293688</t>
  </si>
  <si>
    <t>P-047</t>
  </si>
  <si>
    <t>Philippe</t>
  </si>
  <si>
    <t>Augier</t>
  </si>
  <si>
    <t>Jl. Kemang Raya 80</t>
  </si>
  <si>
    <t>P-0748</t>
  </si>
  <si>
    <t>Micone</t>
  </si>
  <si>
    <t>P-0946</t>
  </si>
  <si>
    <t>Phillia</t>
  </si>
  <si>
    <t>+628118113814</t>
  </si>
  <si>
    <t>P-0750</t>
  </si>
  <si>
    <t>Phillip</t>
  </si>
  <si>
    <t>P-0915</t>
  </si>
  <si>
    <t>Tjipto</t>
  </si>
  <si>
    <t>P-1031</t>
  </si>
  <si>
    <t>Philmon</t>
  </si>
  <si>
    <t>Tanuri</t>
  </si>
  <si>
    <t>628176302323</t>
  </si>
  <si>
    <t>P-0874</t>
  </si>
  <si>
    <t>Phioruci</t>
  </si>
  <si>
    <t>P-0795</t>
  </si>
  <si>
    <t>Phoa</t>
  </si>
  <si>
    <t>Stephani</t>
  </si>
  <si>
    <t>P-1055</t>
  </si>
  <si>
    <t>Phouthamaly</t>
  </si>
  <si>
    <t>Phounsavath</t>
  </si>
  <si>
    <t>66827798780</t>
  </si>
  <si>
    <t>Lao People'S Democratic Republic</t>
  </si>
  <si>
    <t>P-0704</t>
  </si>
  <si>
    <t>Phung</t>
  </si>
  <si>
    <t>Iriana</t>
  </si>
  <si>
    <t>phunglulu117@gmail.com</t>
  </si>
  <si>
    <t>Jl. Ketapang Utara No. 29A</t>
  </si>
  <si>
    <t>P-609</t>
  </si>
  <si>
    <t>Pia</t>
  </si>
  <si>
    <t>Alisjahbana</t>
  </si>
  <si>
    <t>P-1001</t>
  </si>
  <si>
    <t>Piao,</t>
  </si>
  <si>
    <t>Naying</t>
  </si>
  <si>
    <t>1754791525@qq.com</t>
  </si>
  <si>
    <t>P-1063</t>
  </si>
  <si>
    <t>Iryna</t>
  </si>
  <si>
    <t>imayberoda83@gmail.com</t>
  </si>
  <si>
    <t>61415549717</t>
  </si>
  <si>
    <t>P-0858</t>
  </si>
  <si>
    <t>Pien</t>
  </si>
  <si>
    <t>P-0935</t>
  </si>
  <si>
    <t>Pierce</t>
  </si>
  <si>
    <t>Filomena</t>
  </si>
  <si>
    <t>P-0953</t>
  </si>
  <si>
    <t>P-0776</t>
  </si>
  <si>
    <t>Pierrick</t>
  </si>
  <si>
    <t>Gautier</t>
  </si>
  <si>
    <t>+6281586603438</t>
  </si>
  <si>
    <t>P-644</t>
  </si>
  <si>
    <t>Pieter</t>
  </si>
  <si>
    <t>P-152</t>
  </si>
  <si>
    <t>P-612</t>
  </si>
  <si>
    <t>P-0885</t>
  </si>
  <si>
    <t>P-629</t>
  </si>
  <si>
    <t>Tanun</t>
  </si>
  <si>
    <t>P-0974</t>
  </si>
  <si>
    <t>Pignatelli Della Leonessa</t>
  </si>
  <si>
    <t>Fedirico</t>
  </si>
  <si>
    <t>fp@pier59.com</t>
  </si>
  <si>
    <t>+19178603200</t>
  </si>
  <si>
    <t>Milan - Italy</t>
  </si>
  <si>
    <t>P-148</t>
  </si>
  <si>
    <t>Pigo</t>
  </si>
  <si>
    <t>Cipaku I/26</t>
  </si>
  <si>
    <t>P-0814</t>
  </si>
  <si>
    <t>P-110</t>
  </si>
  <si>
    <t>Pinangki</t>
  </si>
  <si>
    <t>Malasari</t>
  </si>
  <si>
    <t>Darmawangsa Apt Unit 805</t>
  </si>
  <si>
    <t>P-667</t>
  </si>
  <si>
    <t>86-13605759580</t>
  </si>
  <si>
    <t>P-0857</t>
  </si>
  <si>
    <t>Pingkan</t>
  </si>
  <si>
    <t>P-0963</t>
  </si>
  <si>
    <t>P-0883</t>
  </si>
  <si>
    <t>Pingky</t>
  </si>
  <si>
    <t>Mawarni</t>
  </si>
  <si>
    <t>6281217138888</t>
  </si>
  <si>
    <t>Jl. Brawijaya V no.42</t>
  </si>
  <si>
    <t>P-0971</t>
  </si>
  <si>
    <t>P-1056</t>
  </si>
  <si>
    <t>Pinka</t>
  </si>
  <si>
    <t>pnkkirana@gmail.com</t>
  </si>
  <si>
    <t>6281224721654</t>
  </si>
  <si>
    <t>Jl. Flamboyan Kav.3 Cirebon</t>
  </si>
  <si>
    <t>P-0943</t>
  </si>
  <si>
    <t>Pinkas</t>
  </si>
  <si>
    <t>Petro</t>
  </si>
  <si>
    <t>P-154</t>
  </si>
  <si>
    <t>Pinky</t>
  </si>
  <si>
    <t>P-121</t>
  </si>
  <si>
    <t>Tambuwun</t>
  </si>
  <si>
    <t>aifung@me.com</t>
  </si>
  <si>
    <t>Jl. Walanda Maramis No.160</t>
  </si>
  <si>
    <t>P-0872</t>
  </si>
  <si>
    <t>Pinrih</t>
  </si>
  <si>
    <t>P-086</t>
  </si>
  <si>
    <t>Pinta</t>
  </si>
  <si>
    <t>P-0976</t>
  </si>
  <si>
    <t>Pinto</t>
  </si>
  <si>
    <t>Miguel,</t>
  </si>
  <si>
    <t>P-0869</t>
  </si>
  <si>
    <t>Pintoko</t>
  </si>
  <si>
    <t>Purwandani</t>
  </si>
  <si>
    <t>628121028390</t>
  </si>
  <si>
    <t>Jln.Bukit Golf Utama Pondok Indah 33 jakarta selatan 12310</t>
  </si>
  <si>
    <t>P-0961</t>
  </si>
  <si>
    <t>Pinzaru</t>
  </si>
  <si>
    <t>Romana</t>
  </si>
  <si>
    <t>P-0729</t>
  </si>
  <si>
    <t>Piping</t>
  </si>
  <si>
    <t>Luisiana</t>
  </si>
  <si>
    <t>P-119</t>
  </si>
  <si>
    <t>Pipiyani</t>
  </si>
  <si>
    <t>P-1044</t>
  </si>
  <si>
    <t>Pires</t>
  </si>
  <si>
    <t>P-0702</t>
  </si>
  <si>
    <t>Piri</t>
  </si>
  <si>
    <t>pirisudjarwo@yahoo.com</t>
  </si>
  <si>
    <t>P-1069</t>
  </si>
  <si>
    <t>Pirogova</t>
  </si>
  <si>
    <t>vplenak@gmail.com</t>
  </si>
  <si>
    <t>+79859223210</t>
  </si>
  <si>
    <t>P-0908</t>
  </si>
  <si>
    <t>Pison</t>
  </si>
  <si>
    <t>J-0910</t>
  </si>
  <si>
    <t>Pistum</t>
  </si>
  <si>
    <t>P-0683</t>
  </si>
  <si>
    <t>Pita</t>
  </si>
  <si>
    <t>pita.pitrya@gmail.com</t>
  </si>
  <si>
    <t>Perum Cibubur Country Blok CFN 6 No.7</t>
  </si>
  <si>
    <t>P-0860</t>
  </si>
  <si>
    <t>Pitarto</t>
  </si>
  <si>
    <t>Lauda</t>
  </si>
  <si>
    <t xml:space="preserve">Jl. Raya Kelapa Nias
Apart. Sherwood W2501
Kelapa Gading</t>
  </si>
  <si>
    <t>P-630</t>
  </si>
  <si>
    <t>Piter</t>
  </si>
  <si>
    <t>P-0899</t>
  </si>
  <si>
    <t>piter29halim@gmail.com</t>
  </si>
  <si>
    <t>P-0932</t>
  </si>
  <si>
    <t>Pivikov</t>
  </si>
  <si>
    <t>Sergey</t>
  </si>
  <si>
    <t>P-138</t>
  </si>
  <si>
    <t>PK</t>
  </si>
  <si>
    <t>Shilin</t>
  </si>
  <si>
    <t>hindustani@inbox.ru</t>
  </si>
  <si>
    <t>Russian Embassy</t>
  </si>
  <si>
    <t>P-1022</t>
  </si>
  <si>
    <t>Jeremy Jacob Azyk Pinkus Yankle</t>
  </si>
  <si>
    <t>Placek</t>
  </si>
  <si>
    <t>Jeremy@isolerenove.com</t>
  </si>
  <si>
    <t>33623207669</t>
  </si>
  <si>
    <t>P-0697</t>
  </si>
  <si>
    <t>PM.</t>
  </si>
  <si>
    <t>P-0836</t>
  </si>
  <si>
    <t>Po</t>
  </si>
  <si>
    <t>Tju</t>
  </si>
  <si>
    <t>P-082</t>
  </si>
  <si>
    <t>Poan</t>
  </si>
  <si>
    <t>Sioe</t>
  </si>
  <si>
    <t>Jl. Pluit Brat VIII</t>
  </si>
  <si>
    <t>P-132</t>
  </si>
  <si>
    <t>Poengki</t>
  </si>
  <si>
    <t>P-1011</t>
  </si>
  <si>
    <t>Poettyanna</t>
  </si>
  <si>
    <t>P-053</t>
  </si>
  <si>
    <t>P-0764</t>
  </si>
  <si>
    <t>Poh</t>
  </si>
  <si>
    <t>Hoa</t>
  </si>
  <si>
    <t>P-0877</t>
  </si>
  <si>
    <t>V18</t>
  </si>
  <si>
    <t>P-671</t>
  </si>
  <si>
    <t>Pongki</t>
  </si>
  <si>
    <t>P-055</t>
  </si>
  <si>
    <t>Pongky</t>
  </si>
  <si>
    <t>Jl. Bovegenville Blok G/5</t>
  </si>
  <si>
    <t>Cijantung 1</t>
  </si>
  <si>
    <t>P-117</t>
  </si>
  <si>
    <t>P-0821</t>
  </si>
  <si>
    <t>Ponodjaja</t>
  </si>
  <si>
    <t>Sunarjo</t>
  </si>
  <si>
    <t>P-0934</t>
  </si>
  <si>
    <t>Poonam</t>
  </si>
  <si>
    <t>Surana</t>
  </si>
  <si>
    <t>P-0973</t>
  </si>
  <si>
    <t>Popova</t>
  </si>
  <si>
    <t>P-0867</t>
  </si>
  <si>
    <t>Poppy</t>
  </si>
  <si>
    <t>Dharsono</t>
  </si>
  <si>
    <t>62816857777</t>
  </si>
  <si>
    <t>P-0678</t>
  </si>
  <si>
    <t>limpauphe@gmail.com</t>
  </si>
  <si>
    <t>626262626262626262</t>
  </si>
  <si>
    <t xml:space="preserve">Jl. Anggrek Rosliana I Blok H No.120A
Slipi</t>
  </si>
  <si>
    <t>P-0898</t>
  </si>
  <si>
    <t>P-0881</t>
  </si>
  <si>
    <t>Romada</t>
  </si>
  <si>
    <t>P-109</t>
  </si>
  <si>
    <t>Posman</t>
  </si>
  <si>
    <t>P-160</t>
  </si>
  <si>
    <t>Poulus</t>
  </si>
  <si>
    <t>poulusgo@yahoo.com</t>
  </si>
  <si>
    <t xml:space="preserve">Taman Polim lestari
Blok C16 No38</t>
  </si>
  <si>
    <t>P-0716</t>
  </si>
  <si>
    <t>Pouti</t>
  </si>
  <si>
    <t>Daago</t>
  </si>
  <si>
    <t>P-0975</t>
  </si>
  <si>
    <t>Pradista</t>
  </si>
  <si>
    <t>62813335381719,</t>
  </si>
  <si>
    <t>Jalan Bumbak Dauh 156</t>
  </si>
  <si>
    <t>P-0790</t>
  </si>
  <si>
    <t>Pradita</t>
  </si>
  <si>
    <t>M-441</t>
  </si>
  <si>
    <t>Pradjna</t>
  </si>
  <si>
    <t>628161410999</t>
  </si>
  <si>
    <t>Apt Somerset Berlian, South Tower, Unit 2008, Permata Berlian V, Permata Hijau</t>
  </si>
  <si>
    <t>P-661</t>
  </si>
  <si>
    <t>Pradnyaditya</t>
  </si>
  <si>
    <t>Hendradi</t>
  </si>
  <si>
    <t>danahendradi@gmail.com</t>
  </si>
  <si>
    <t xml:space="preserve">Jl. BDN II No 49
Cilandak</t>
  </si>
  <si>
    <t>p-108</t>
  </si>
  <si>
    <t>Prajna Paramita</t>
  </si>
  <si>
    <t>p.paramita1978@yahoo.com</t>
  </si>
  <si>
    <t>087775707050</t>
  </si>
  <si>
    <t xml:space="preserve">Jl.Pulomas Timur A No.4 Kayu Putih
Jakarta Timur</t>
  </si>
  <si>
    <t>P-0681</t>
  </si>
  <si>
    <t>Prajogo</t>
  </si>
  <si>
    <t>aiprajogo@primaperkasa.com</t>
  </si>
  <si>
    <t>Jalan Kamboja no 33</t>
  </si>
  <si>
    <t>p-103</t>
  </si>
  <si>
    <t>Achmadi</t>
  </si>
  <si>
    <t>P-0839</t>
  </si>
  <si>
    <t>Pramasyo</t>
  </si>
  <si>
    <t>P-659</t>
  </si>
  <si>
    <t>P-056</t>
  </si>
  <si>
    <t>Anung</t>
  </si>
  <si>
    <t>Jl. H. Ambas 18</t>
  </si>
  <si>
    <t>P-1004</t>
  </si>
  <si>
    <t>Pramuliyono</t>
  </si>
  <si>
    <t>pramuliono@gmail.com</t>
  </si>
  <si>
    <t>+628111267677</t>
  </si>
  <si>
    <t>Coatesville SC16 No.22 Kota Wisata</t>
  </si>
  <si>
    <t>P-1077</t>
  </si>
  <si>
    <t>+62811180220</t>
  </si>
  <si>
    <t>P-589</t>
  </si>
  <si>
    <t>fachruok@gmail.com</t>
  </si>
  <si>
    <t xml:space="preserve">JL Permata Berlian Blok R No 20
Permata Hijau</t>
  </si>
  <si>
    <t>P-1003</t>
  </si>
  <si>
    <t>Prapaporn</t>
  </si>
  <si>
    <t>Supawadee</t>
  </si>
  <si>
    <t>P-0693</t>
  </si>
  <si>
    <t>Prapti</t>
  </si>
  <si>
    <t>Puncak Dieng LL2/7</t>
  </si>
  <si>
    <t>P-608</t>
  </si>
  <si>
    <t xml:space="preserve">Graha Hijau 2
Blok E/15
Ciputat</t>
  </si>
  <si>
    <t>P-0909</t>
  </si>
  <si>
    <t>prasetyodr@gamil.com</t>
  </si>
  <si>
    <t>P-1047</t>
  </si>
  <si>
    <t>628158820853</t>
  </si>
  <si>
    <t>P-103</t>
  </si>
  <si>
    <t>Pratidina</t>
  </si>
  <si>
    <t>Gayatri</t>
  </si>
  <si>
    <t>P-0950</t>
  </si>
  <si>
    <t>Pejaten Barat</t>
  </si>
  <si>
    <t>P-0770</t>
  </si>
  <si>
    <t xml:space="preserve">Srondol Asri Blok J No 5 
Semarang</t>
  </si>
  <si>
    <t>P-147</t>
  </si>
  <si>
    <t>Praveen</t>
  </si>
  <si>
    <t>P-0818</t>
  </si>
  <si>
    <t>P-0749</t>
  </si>
  <si>
    <t>Prawidya</t>
  </si>
  <si>
    <t>P-0939</t>
  </si>
  <si>
    <t>Precilia</t>
  </si>
  <si>
    <t>P-1052</t>
  </si>
  <si>
    <t>Prestisha</t>
  </si>
  <si>
    <t>61404629726</t>
  </si>
  <si>
    <t>P-0801</t>
  </si>
  <si>
    <t>Pria</t>
  </si>
  <si>
    <t>Tjindarbuni</t>
  </si>
  <si>
    <t>JL TANAH MAS KAYA KAV 41 JAKARTA</t>
  </si>
  <si>
    <t>P-0897</t>
  </si>
  <si>
    <t>Pricilla</t>
  </si>
  <si>
    <t>628175180100</t>
  </si>
  <si>
    <t>P-1025</t>
  </si>
  <si>
    <t>Tenny</t>
  </si>
  <si>
    <t>tenny.pricilla@gmail.com</t>
  </si>
  <si>
    <t>+628170008854</t>
  </si>
  <si>
    <t>P-059</t>
  </si>
  <si>
    <t>Pricillia</t>
  </si>
  <si>
    <t>P-0896</t>
  </si>
  <si>
    <t>Thesman</t>
  </si>
  <si>
    <t>P-0914</t>
  </si>
  <si>
    <t>Alvernia</t>
  </si>
  <si>
    <t>P-0686</t>
  </si>
  <si>
    <t>Puspaseruni</t>
  </si>
  <si>
    <t xml:space="preserve">ADMIRALTY RESIDENCE No C 16
Jl. RS. Fatmawati No.1 Pondok Labu</t>
  </si>
  <si>
    <t>P-0866</t>
  </si>
  <si>
    <t>Indirasari</t>
  </si>
  <si>
    <t>P-133</t>
  </si>
  <si>
    <t>Prince</t>
  </si>
  <si>
    <t>P-0700</t>
  </si>
  <si>
    <t>Pringga</t>
  </si>
  <si>
    <t>Praja</t>
  </si>
  <si>
    <t>P-0773</t>
  </si>
  <si>
    <t>Prinny</t>
  </si>
  <si>
    <t>Sohar</t>
  </si>
  <si>
    <t>P-641</t>
  </si>
  <si>
    <t>Suhar</t>
  </si>
  <si>
    <t>P-662</t>
  </si>
  <si>
    <t>Prisa</t>
  </si>
  <si>
    <t>P-0919</t>
  </si>
  <si>
    <t>M-591</t>
  </si>
  <si>
    <t>Priscilla</t>
  </si>
  <si>
    <t>P-0778</t>
  </si>
  <si>
    <t>Angriawan</t>
  </si>
  <si>
    <t xml:space="preserve">Jl.Pulau Pantara Blok N3 No1
Jakarta</t>
  </si>
  <si>
    <t>P-0928</t>
  </si>
  <si>
    <t>Chrisanita</t>
  </si>
  <si>
    <t>P-642</t>
  </si>
  <si>
    <t>+6281802008666</t>
  </si>
  <si>
    <t>P-0930</t>
  </si>
  <si>
    <t>Indrayadi</t>
  </si>
  <si>
    <t>P-0730</t>
  </si>
  <si>
    <t>P-0890</t>
  </si>
  <si>
    <t>pjoesoef@gmail.com</t>
  </si>
  <si>
    <t>+628111632662</t>
  </si>
  <si>
    <t xml:space="preserve">Jl. Lebak Bulus III No.51D,
Lebak Bulus (Seberang Gereja Sumber Kasih)</t>
  </si>
  <si>
    <t>P-1046</t>
  </si>
  <si>
    <t>Pangemanan</t>
  </si>
  <si>
    <t>Jl. Taman Kebon Jeruk Komplek Interkon Blok B1 No. 5</t>
  </si>
  <si>
    <t>M-1417</t>
  </si>
  <si>
    <t>Priscilla Susi</t>
  </si>
  <si>
    <t>Ambarwati</t>
  </si>
  <si>
    <t>6281210881889</t>
  </si>
  <si>
    <t xml:space="preserve">Permata Berlian Residence (Somerset)
South Tower 0305.
Jl. Permata Berlian 5. Permata Hijau</t>
  </si>
  <si>
    <t>P-0703</t>
  </si>
  <si>
    <t>P-0910</t>
  </si>
  <si>
    <t>Prisi</t>
  </si>
  <si>
    <t>prskhairani@gmail.com</t>
  </si>
  <si>
    <t>CIPINANG TIMUR JAKARTA</t>
  </si>
  <si>
    <t>P-0927</t>
  </si>
  <si>
    <t>P-0994</t>
  </si>
  <si>
    <t>P-146</t>
  </si>
  <si>
    <t>Prita</t>
  </si>
  <si>
    <t>P-0878</t>
  </si>
  <si>
    <t>Nurila</t>
  </si>
  <si>
    <t>628561640399</t>
  </si>
  <si>
    <t>P-0767</t>
  </si>
  <si>
    <t>P-0978</t>
  </si>
  <si>
    <t>Pritchin</t>
  </si>
  <si>
    <t>P-0732</t>
  </si>
  <si>
    <t>Priti</t>
  </si>
  <si>
    <t>Ulke</t>
  </si>
  <si>
    <t xml:space="preserve">Sankt Barbara STR-15
Recklinghausen 
Germany</t>
  </si>
  <si>
    <t>P-114</t>
  </si>
  <si>
    <t>Priyo</t>
  </si>
  <si>
    <t>P-122</t>
  </si>
  <si>
    <t>P-0992</t>
  </si>
  <si>
    <t>P-0699</t>
  </si>
  <si>
    <t>Prodjo</t>
  </si>
  <si>
    <t>P-0710</t>
  </si>
  <si>
    <t>Prof.</t>
  </si>
  <si>
    <t>Og</t>
  </si>
  <si>
    <t>P-1015</t>
  </si>
  <si>
    <t>Prokopenko</t>
  </si>
  <si>
    <t>safina9999@yandex.ru</t>
  </si>
  <si>
    <t>79265397099</t>
  </si>
  <si>
    <t>P-1042</t>
  </si>
  <si>
    <t>Prudence</t>
  </si>
  <si>
    <t>prudence.jahja@gmail.com</t>
  </si>
  <si>
    <t>+6281219100655</t>
  </si>
  <si>
    <t>Apt. Pavilion TW 3/2302, Jakarta Pusat 10220</t>
  </si>
  <si>
    <t>P-1041</t>
  </si>
  <si>
    <t>PT</t>
  </si>
  <si>
    <t>Villas</t>
  </si>
  <si>
    <t>P-0714</t>
  </si>
  <si>
    <t xml:space="preserve">Gedung Allianz Tower lt 29 unit C &amp; D
jl Raruna Said Super Blok 2 
Kawasan Kuningan Persada
Setiabudi</t>
  </si>
  <si>
    <t>P-0924</t>
  </si>
  <si>
    <t>INDUSTRY</t>
  </si>
  <si>
    <t>P-064</t>
  </si>
  <si>
    <t>PT.</t>
  </si>
  <si>
    <t>Realty</t>
  </si>
  <si>
    <t xml:space="preserve">Jl.Jenderal Sudirman Kav.21
Chase Plaza Lt.21
Jakarta Selatan</t>
  </si>
  <si>
    <t>P-0965</t>
  </si>
  <si>
    <t>SEMESTA</t>
  </si>
  <si>
    <t xml:space="preserve">JL. PUTRI HIJAU/ GURU PATIMPUS, NO.1 OPQ 
 DELI PARK LANTAI GF UNIT GF-32</t>
  </si>
  <si>
    <t>P-065</t>
  </si>
  <si>
    <t>N-218</t>
  </si>
  <si>
    <t>P-1058</t>
  </si>
  <si>
    <t>PT SUMBER JAYA MEGAH</t>
  </si>
  <si>
    <t>MEGAH</t>
  </si>
  <si>
    <t>6281287274898</t>
  </si>
  <si>
    <t>NPWP : 65.598.534.9-061.000</t>
  </si>
  <si>
    <t>P-106</t>
  </si>
  <si>
    <t>Telkomsel</t>
  </si>
  <si>
    <t>Wisma Mulia Lt. 15</t>
  </si>
  <si>
    <t>P-614</t>
  </si>
  <si>
    <t>PT.Barasentosa</t>
  </si>
  <si>
    <t>P-0715</t>
  </si>
  <si>
    <t>PT.Semarak</t>
  </si>
  <si>
    <t>Sukha</t>
  </si>
  <si>
    <t>P-0931</t>
  </si>
  <si>
    <t>PT.TERADATA</t>
  </si>
  <si>
    <t>SANDFORD@TERADATA.CO.ID</t>
  </si>
  <si>
    <t>JL HEGARMANAH NO,53</t>
  </si>
  <si>
    <t>P-610</t>
  </si>
  <si>
    <t>Pudji</t>
  </si>
  <si>
    <t xml:space="preserve">Jl. PAM kav 2
Cilandak</t>
  </si>
  <si>
    <t>P-670</t>
  </si>
  <si>
    <t>Puguh</t>
  </si>
  <si>
    <t>Insaryono</t>
  </si>
  <si>
    <t>Jl Pinang Perak I no 3 Taman Yasmin Sektor 6</t>
  </si>
  <si>
    <t>P-0951</t>
  </si>
  <si>
    <t>Puji</t>
  </si>
  <si>
    <t>P-1075</t>
  </si>
  <si>
    <t>lestaripuji88@gmail.com</t>
  </si>
  <si>
    <t>62811125418</t>
  </si>
  <si>
    <t>P-1059</t>
  </si>
  <si>
    <t>6281332028175</t>
  </si>
  <si>
    <t>P-0851</t>
  </si>
  <si>
    <t>Pujiono</t>
  </si>
  <si>
    <t>P-0921</t>
  </si>
  <si>
    <t>Pulih</t>
  </si>
  <si>
    <t>Herbiyanto</t>
  </si>
  <si>
    <t>P-632</t>
  </si>
  <si>
    <t>Punam</t>
  </si>
  <si>
    <t>Pandey</t>
  </si>
  <si>
    <t>pspandey03@gmail.com</t>
  </si>
  <si>
    <t xml:space="preserve">ilbl, Executive Paradise
Jalan Antasari , Jakarta</t>
  </si>
  <si>
    <t>P-069</t>
  </si>
  <si>
    <t>Pungky</t>
  </si>
  <si>
    <t>Jl. Bintaro Melati Raya C2/6</t>
  </si>
  <si>
    <t>P-165</t>
  </si>
  <si>
    <t xml:space="preserve">Mushola N0. 3
Kemang selatan</t>
  </si>
  <si>
    <t>P-0841</t>
  </si>
  <si>
    <t>Punta</t>
  </si>
  <si>
    <t>P-646</t>
  </si>
  <si>
    <t>Pupung</t>
  </si>
  <si>
    <t>P-634</t>
  </si>
  <si>
    <t>Puput</t>
  </si>
  <si>
    <t>P-099</t>
  </si>
  <si>
    <t>Novel</t>
  </si>
  <si>
    <t xml:space="preserve">Jl. Raden Fatah III No. 7
Kebayoran Baru</t>
  </si>
  <si>
    <t>P-620</t>
  </si>
  <si>
    <t>Purbo</t>
  </si>
  <si>
    <t>Waskito</t>
  </si>
  <si>
    <t>P-071</t>
  </si>
  <si>
    <t>Siwi</t>
  </si>
  <si>
    <t xml:space="preserve">Apt Puri Casablanka Tower B
Jl Casablanka Jak-Sel</t>
  </si>
  <si>
    <t>P-0684</t>
  </si>
  <si>
    <t>PuridinH.</t>
  </si>
  <si>
    <t>P-1023</t>
  </si>
  <si>
    <t>Agatri</t>
  </si>
  <si>
    <t>purnamaagatrii@gmail.com</t>
  </si>
  <si>
    <t>+6281322570656</t>
  </si>
  <si>
    <t>Apartment Lavenue Ps. Minggu</t>
  </si>
  <si>
    <t>P-0769</t>
  </si>
  <si>
    <t>Purnama Dewi</t>
  </si>
  <si>
    <t>patriciaharyono@yahoo.com</t>
  </si>
  <si>
    <t>081513885527</t>
  </si>
  <si>
    <t xml:space="preserve">JL.Mahkota Raya Blok H1/12A
Modern Land - TANGERANG 15117</t>
  </si>
  <si>
    <t>P-0786</t>
  </si>
  <si>
    <t>P-0677</t>
  </si>
  <si>
    <t>Purwa</t>
  </si>
  <si>
    <t xml:space="preserve">Jl. Barata Jaya I/68, Karang Tengah
Ciledug  15157</t>
  </si>
  <si>
    <t>P-083</t>
  </si>
  <si>
    <t>Purwoko</t>
  </si>
  <si>
    <t>P-0984</t>
  </si>
  <si>
    <t>Puryanto</t>
  </si>
  <si>
    <t>P-0989</t>
  </si>
  <si>
    <t>P-1018</t>
  </si>
  <si>
    <t>6281391103103</t>
  </si>
  <si>
    <t>P-648</t>
  </si>
  <si>
    <t>Puti</t>
  </si>
  <si>
    <t>P-0865</t>
  </si>
  <si>
    <t>Adla</t>
  </si>
  <si>
    <t>putiadla@yahoo.com</t>
  </si>
  <si>
    <t>P-0791</t>
  </si>
  <si>
    <t>Anggani</t>
  </si>
  <si>
    <t>62811840090</t>
  </si>
  <si>
    <t>P-159</t>
  </si>
  <si>
    <t>Puti Lenggo</t>
  </si>
  <si>
    <t>08119921578</t>
  </si>
  <si>
    <t>Jl. Daksa 2 No 5A , Selong - Kebayoran Baru Jakarta 12110</t>
  </si>
  <si>
    <t>P-0905</t>
  </si>
  <si>
    <t>M.P.M</t>
  </si>
  <si>
    <t>jln. Tebet Barat Dalam IX A No.14 Komp. Kejaksaan Agung</t>
  </si>
  <si>
    <t>P-0830</t>
  </si>
  <si>
    <t>Putli</t>
  </si>
  <si>
    <t>Rao</t>
  </si>
  <si>
    <t>P-633</t>
  </si>
  <si>
    <t>P-0979</t>
  </si>
  <si>
    <t>Deta</t>
  </si>
  <si>
    <t>P-0940</t>
  </si>
  <si>
    <t>P-638</t>
  </si>
  <si>
    <t>P-0870</t>
  </si>
  <si>
    <t>P-0847</t>
  </si>
  <si>
    <t xml:space="preserve">Komp. SELAPA 
Pondok Pinang</t>
  </si>
  <si>
    <t>P-0825</t>
  </si>
  <si>
    <t>Cluster Pasadena Blok G16 Kab.Bekasi</t>
  </si>
  <si>
    <t>P-0826</t>
  </si>
  <si>
    <t>Januari</t>
  </si>
  <si>
    <t>P-0731</t>
  </si>
  <si>
    <t>Theryanto</t>
  </si>
  <si>
    <t xml:space="preserve">Trinity Living 
Jl. Gunung Salak 
Denpasar</t>
  </si>
  <si>
    <t>P-0886</t>
  </si>
  <si>
    <t>P-1002</t>
  </si>
  <si>
    <t>P-0853</t>
  </si>
  <si>
    <t>P-0815</t>
  </si>
  <si>
    <t>P-647</t>
  </si>
  <si>
    <t>628111123204</t>
  </si>
  <si>
    <t>Apartement Belezza Tower Louvre Lantai 9</t>
  </si>
  <si>
    <t>P-075</t>
  </si>
  <si>
    <t xml:space="preserve">APT THE PEAK TOWER LT. 9A
SETIABUDI</t>
  </si>
  <si>
    <t>P-0852</t>
  </si>
  <si>
    <t>P-0962</t>
  </si>
  <si>
    <t>P-0933</t>
  </si>
  <si>
    <t>Casagrande Residence</t>
  </si>
  <si>
    <t>P-1014</t>
  </si>
  <si>
    <t>Anjani</t>
  </si>
  <si>
    <t>anjani227227@gmail.com</t>
  </si>
  <si>
    <t>6281211223379</t>
  </si>
  <si>
    <t>P-1006</t>
  </si>
  <si>
    <t>Ari Oktavia</t>
  </si>
  <si>
    <t>putriarioktavia@gmail.com</t>
  </si>
  <si>
    <t>+6282213333767</t>
  </si>
  <si>
    <t>South Hills Apart. Unit 17R Jakarta</t>
  </si>
  <si>
    <t>P-0913</t>
  </si>
  <si>
    <t>P-0991</t>
  </si>
  <si>
    <t>putriazizah78@yahoo.com</t>
  </si>
  <si>
    <t>6281273914045</t>
  </si>
  <si>
    <t>Matoa Residence Blok EE No.7</t>
  </si>
  <si>
    <t>P-0758</t>
  </si>
  <si>
    <t>Candrawati</t>
  </si>
  <si>
    <t>P-0863</t>
  </si>
  <si>
    <t xml:space="preserve">Jl. Amerika Latin 7 No 21, Green Lake City, Cipondoh, Tangerang 15147
</t>
  </si>
  <si>
    <t>P-0722</t>
  </si>
  <si>
    <t>Daulay</t>
  </si>
  <si>
    <t>P-0911</t>
  </si>
  <si>
    <t>Deva</t>
  </si>
  <si>
    <t>P-1029</t>
  </si>
  <si>
    <t>Putri Embun</t>
  </si>
  <si>
    <t>putriembunsari@gmail.com</t>
  </si>
  <si>
    <t>6281215159159</t>
  </si>
  <si>
    <t>P-674</t>
  </si>
  <si>
    <t>Emeralda</t>
  </si>
  <si>
    <t>Denpasar Residence Tower Ubud Lantai 9 B1 Jakarta Selatan</t>
  </si>
  <si>
    <t>P-0918</t>
  </si>
  <si>
    <t xml:space="preserve">Casa goya residence Blok M No.3 
Jl.Kebun Jeruk Raya Jak Bar 11530</t>
  </si>
  <si>
    <t>P-108</t>
  </si>
  <si>
    <t>P-675</t>
  </si>
  <si>
    <t>Rafiah</t>
  </si>
  <si>
    <t>putrihhardraf@ymail.com</t>
  </si>
  <si>
    <t xml:space="preserve">Apartement Grand Palace b11-bi
Kemayoran</t>
  </si>
  <si>
    <t>P-0947</t>
  </si>
  <si>
    <t>Hasballah</t>
  </si>
  <si>
    <t xml:space="preserve">The 18th Residences Taman Rasuna
Tower 18 Unit N 31G</t>
  </si>
  <si>
    <t>P-0810</t>
  </si>
  <si>
    <t>P-1070</t>
  </si>
  <si>
    <t>Jufica</t>
  </si>
  <si>
    <t>putrijuticha8@gmail.com</t>
  </si>
  <si>
    <t>6289529615490</t>
  </si>
  <si>
    <t>P-600</t>
  </si>
  <si>
    <t>Lenggogeni</t>
  </si>
  <si>
    <t>P-0696</t>
  </si>
  <si>
    <t>Madarina</t>
  </si>
  <si>
    <t>putrimadarina@gmail.com</t>
  </si>
  <si>
    <t>Bonavista Residence Kav A3</t>
  </si>
  <si>
    <t>P-0726</t>
  </si>
  <si>
    <t>Mahari</t>
  </si>
  <si>
    <t>P-0912</t>
  </si>
  <si>
    <t>P-0949</t>
  </si>
  <si>
    <t>putrimarisatintia@gmail.com</t>
  </si>
  <si>
    <t>Jl. Gereeja Theresia no.3 Menteng, Jakarta</t>
  </si>
  <si>
    <t>P-1013</t>
  </si>
  <si>
    <t>Yolly</t>
  </si>
  <si>
    <t>Miqaila</t>
  </si>
  <si>
    <t>6281388291400</t>
  </si>
  <si>
    <t>P-120</t>
  </si>
  <si>
    <t>MIrani</t>
  </si>
  <si>
    <t>P-1037</t>
  </si>
  <si>
    <t>Putri Nandi</t>
  </si>
  <si>
    <t>628176770887</t>
  </si>
  <si>
    <t>P-0987</t>
  </si>
  <si>
    <t>CLUSTER CEALUS D15.23</t>
  </si>
  <si>
    <t>P-0805</t>
  </si>
  <si>
    <t>putri1101@gmail.com</t>
  </si>
  <si>
    <t>+628121886777</t>
  </si>
  <si>
    <t>P-074</t>
  </si>
  <si>
    <t>P-0901</t>
  </si>
  <si>
    <t xml:space="preserve">Gading Indah VI NF3/33 
Jakarta</t>
  </si>
  <si>
    <t>P-143</t>
  </si>
  <si>
    <t>P-1010</t>
  </si>
  <si>
    <t>+628121236797</t>
  </si>
  <si>
    <t>P-0680</t>
  </si>
  <si>
    <t xml:space="preserve">Jl. Lembang no 1
Menteng</t>
  </si>
  <si>
    <t>P-0936</t>
  </si>
  <si>
    <t>PutryBunda</t>
  </si>
  <si>
    <t>putrybunda@yahoo.com</t>
  </si>
  <si>
    <t>Jl. Wijaya Timur Raya no. 5, Kebayoran Baru 12170</t>
  </si>
  <si>
    <t>P-618</t>
  </si>
  <si>
    <t>Ardana</t>
  </si>
  <si>
    <t>P-627</t>
  </si>
  <si>
    <t>Jl. Raya Petitengget</t>
  </si>
  <si>
    <t>P-145</t>
  </si>
  <si>
    <t>Borrawati</t>
  </si>
  <si>
    <t>P-1038</t>
  </si>
  <si>
    <t>Putu Maharaja</t>
  </si>
  <si>
    <t>Segara Putra</t>
  </si>
  <si>
    <t>sputumaharaja2@gmail.com</t>
  </si>
  <si>
    <t>+6282317771212</t>
  </si>
  <si>
    <t>Enchante E311 BSD</t>
  </si>
  <si>
    <t>N-0543</t>
  </si>
  <si>
    <t>Jl Pengeracikan</t>
  </si>
  <si>
    <t>P-0999</t>
  </si>
  <si>
    <t>Pylypiuk</t>
  </si>
  <si>
    <t>pylypiuk.olena@gmail.com</t>
  </si>
  <si>
    <t>Q-0029</t>
  </si>
  <si>
    <t>Qastharal</t>
  </si>
  <si>
    <t>Q-0069</t>
  </si>
  <si>
    <t>Qi,</t>
  </si>
  <si>
    <t>Q-0064</t>
  </si>
  <si>
    <t>Xueting</t>
  </si>
  <si>
    <t>Q-0051</t>
  </si>
  <si>
    <t>Qian</t>
  </si>
  <si>
    <t>Shihan</t>
  </si>
  <si>
    <t>Q-0068</t>
  </si>
  <si>
    <t>Qian,</t>
  </si>
  <si>
    <t>405060883@qq.com</t>
  </si>
  <si>
    <t>Q-0065</t>
  </si>
  <si>
    <t>Jiahong</t>
  </si>
  <si>
    <t>Q-0059</t>
  </si>
  <si>
    <t>Qiao</t>
  </si>
  <si>
    <t>Q-0057</t>
  </si>
  <si>
    <t>Q-0062</t>
  </si>
  <si>
    <t>Q-0021</t>
  </si>
  <si>
    <t>kenny57@gmail.com</t>
  </si>
  <si>
    <t>Q-006</t>
  </si>
  <si>
    <t>Qistina</t>
  </si>
  <si>
    <t>Q-0058</t>
  </si>
  <si>
    <t>Qiu</t>
  </si>
  <si>
    <t>Q-0070</t>
  </si>
  <si>
    <t>Q-0074</t>
  </si>
  <si>
    <t>Huilin</t>
  </si>
  <si>
    <t>519923932@99.com</t>
  </si>
  <si>
    <t>8618607070668</t>
  </si>
  <si>
    <t>Q-0076</t>
  </si>
  <si>
    <t>divinajiang@gmail.com</t>
  </si>
  <si>
    <t>8618918089999</t>
  </si>
  <si>
    <t>Q-0067</t>
  </si>
  <si>
    <t>Qiu,</t>
  </si>
  <si>
    <t>Shiyu</t>
  </si>
  <si>
    <t>772196110@qq.com</t>
  </si>
  <si>
    <t>Jiangsu, China</t>
  </si>
  <si>
    <t>Q-0015</t>
  </si>
  <si>
    <t>Qiyu</t>
  </si>
  <si>
    <t>Q-0041</t>
  </si>
  <si>
    <t>Qonita</t>
  </si>
  <si>
    <t>Jl H Mandor No 25 Cilandak Jakarta Selatan</t>
  </si>
  <si>
    <t>Q-0066</t>
  </si>
  <si>
    <t>Qonitha</t>
  </si>
  <si>
    <t>Sungkar</t>
  </si>
  <si>
    <t>onithasungkar92@gmail.com</t>
  </si>
  <si>
    <t>Jl. Saleh Abud No 9</t>
  </si>
  <si>
    <t>Q-0061</t>
  </si>
  <si>
    <t>Qu</t>
  </si>
  <si>
    <t>Q-0075</t>
  </si>
  <si>
    <t>Xiaoqin</t>
  </si>
  <si>
    <t>quxiaoqin001@gmail.com</t>
  </si>
  <si>
    <t>447551800663</t>
  </si>
  <si>
    <t>Q-0028</t>
  </si>
  <si>
    <t>Lou</t>
  </si>
  <si>
    <t>Q-0072</t>
  </si>
  <si>
    <t>Quanjun</t>
  </si>
  <si>
    <t>8613771725306</t>
  </si>
  <si>
    <t>Q-001</t>
  </si>
  <si>
    <t>0816883787</t>
  </si>
  <si>
    <t>Q-003</t>
  </si>
  <si>
    <t>Queen</t>
  </si>
  <si>
    <t>Sau</t>
  </si>
  <si>
    <t xml:space="preserve">Jl. Kemang Raya No.27 B
Jakarta 12730</t>
  </si>
  <si>
    <t>Q-0060</t>
  </si>
  <si>
    <t>Queenta</t>
  </si>
  <si>
    <t>Q-0073</t>
  </si>
  <si>
    <t>Queling</t>
  </si>
  <si>
    <t>Junus</t>
  </si>
  <si>
    <t>6285864458813</t>
  </si>
  <si>
    <t>Gunung Sahari Raya 419</t>
  </si>
  <si>
    <t>Q-0063</t>
  </si>
  <si>
    <t>Qui</t>
  </si>
  <si>
    <t>Q-0014</t>
  </si>
  <si>
    <t>Quisty</t>
  </si>
  <si>
    <t>Q-0071</t>
  </si>
  <si>
    <t>Qun</t>
  </si>
  <si>
    <t>6282114209879</t>
  </si>
  <si>
    <t>R-1121</t>
  </si>
  <si>
    <t>Komplek Citra Green Garden</t>
  </si>
  <si>
    <t>R-1099</t>
  </si>
  <si>
    <t>Watch/Acau</t>
  </si>
  <si>
    <t>R-292</t>
  </si>
  <si>
    <t>R-019</t>
  </si>
  <si>
    <t>Jl. Lemba IV No. 52, Cirendeu</t>
  </si>
  <si>
    <t>R-049</t>
  </si>
  <si>
    <t>r.bagusp@yahoo.com</t>
  </si>
  <si>
    <t>Setiabudi</t>
  </si>
  <si>
    <t>R-050</t>
  </si>
  <si>
    <t>R-142</t>
  </si>
  <si>
    <t>R-1299</t>
  </si>
  <si>
    <t>Pondok Indah Jakarta Selatan</t>
  </si>
  <si>
    <t>T-030</t>
  </si>
  <si>
    <t>R Sriristanti</t>
  </si>
  <si>
    <t>Sriristanti</t>
  </si>
  <si>
    <t>+6282281788888</t>
  </si>
  <si>
    <t xml:space="preserve">birth day: 15-12-1968
Jl. Safir 2 blok i no.6A
cilandak barat
jakarta selatan</t>
  </si>
  <si>
    <t>R-215</t>
  </si>
  <si>
    <t>Baru)</t>
  </si>
  <si>
    <t>R-032</t>
  </si>
  <si>
    <t>R.A</t>
  </si>
  <si>
    <t>Sunardi</t>
  </si>
  <si>
    <t xml:space="preserve">Taman Alfa Indah B18/8
Jakarta - Barat</t>
  </si>
  <si>
    <t>R-0892</t>
  </si>
  <si>
    <t>R.Bimas</t>
  </si>
  <si>
    <t>R-143</t>
  </si>
  <si>
    <t>R.Jennifer</t>
  </si>
  <si>
    <t>Jean,T</t>
  </si>
  <si>
    <t>R-412</t>
  </si>
  <si>
    <t>R.Rina</t>
  </si>
  <si>
    <t>JL. Cipaku VI/2 Kebayoran Baru Jak Sel</t>
  </si>
  <si>
    <t>R-0882</t>
  </si>
  <si>
    <t>R.Susilowaty/</t>
  </si>
  <si>
    <t>R-352</t>
  </si>
  <si>
    <t>R.Y.</t>
  </si>
  <si>
    <t>Pandjaitan</t>
  </si>
  <si>
    <t xml:space="preserve">Jl. Irian Barat 184 Blok H.
Cinere Estate</t>
  </si>
  <si>
    <t>R-569</t>
  </si>
  <si>
    <t>Ra</t>
  </si>
  <si>
    <t>R-1315</t>
  </si>
  <si>
    <t>Atya</t>
  </si>
  <si>
    <t>Fajrina</t>
  </si>
  <si>
    <t>atya_fajrina@hotmail.com</t>
  </si>
  <si>
    <t>628118886698</t>
  </si>
  <si>
    <t>KAB KEBAGUSAN</t>
  </si>
  <si>
    <t>R-1236</t>
  </si>
  <si>
    <t>Rabbi</t>
  </si>
  <si>
    <t>Givatma</t>
  </si>
  <si>
    <t>R-0673</t>
  </si>
  <si>
    <t>61422702714</t>
  </si>
  <si>
    <t>R-0712</t>
  </si>
  <si>
    <t>R-0883</t>
  </si>
  <si>
    <t>Josefin</t>
  </si>
  <si>
    <t>R-1321</t>
  </si>
  <si>
    <t>Jl.Cokroaminoto No.43 ,Menteng</t>
  </si>
  <si>
    <t>R-344</t>
  </si>
  <si>
    <t>R-1446</t>
  </si>
  <si>
    <t>Rachel Lou</t>
  </si>
  <si>
    <t>Branyan</t>
  </si>
  <si>
    <t>rachel.branyan@mckesson.com</t>
  </si>
  <si>
    <t>19406426256</t>
  </si>
  <si>
    <t>R-1331</t>
  </si>
  <si>
    <t>Vila Arteri C/18 - Jln E Ujung Jln Panjang - Kebon Jeruk</t>
  </si>
  <si>
    <t>R-1370</t>
  </si>
  <si>
    <t>Schumacher</t>
  </si>
  <si>
    <t>rcwerlin@gmail.com</t>
  </si>
  <si>
    <t>13104156915</t>
  </si>
  <si>
    <t xml:space="preserve">Fred. Roeskestraat, 88 A9 
Amsterdam, Netherlands</t>
  </si>
  <si>
    <t>R-674</t>
  </si>
  <si>
    <t>Rachell</t>
  </si>
  <si>
    <t>R-1234</t>
  </si>
  <si>
    <t>Rachida</t>
  </si>
  <si>
    <t>Danyaoui</t>
  </si>
  <si>
    <t>jacoblecygne@gmail.com</t>
  </si>
  <si>
    <t>Ritz-Carlton PP</t>
  </si>
  <si>
    <t>R-0920</t>
  </si>
  <si>
    <t>Jl.Lauser no.32a, Kebayoran Baru</t>
  </si>
  <si>
    <t>R-500</t>
  </si>
  <si>
    <t>Rachmad</t>
  </si>
  <si>
    <t>Rasnova</t>
  </si>
  <si>
    <t>R-1025</t>
  </si>
  <si>
    <t>R-1377</t>
  </si>
  <si>
    <t>Rianto</t>
  </si>
  <si>
    <t>621220200896</t>
  </si>
  <si>
    <t>R-1129</t>
  </si>
  <si>
    <t>R-437</t>
  </si>
  <si>
    <t xml:space="preserve">Villa Tamara Blok P No.11
Jl.AW Sjahrani Samarinda</t>
  </si>
  <si>
    <t>R-398</t>
  </si>
  <si>
    <t>Rachmi</t>
  </si>
  <si>
    <t>Mandalati</t>
  </si>
  <si>
    <t>R-1011</t>
  </si>
  <si>
    <t>Raden</t>
  </si>
  <si>
    <t>R-1409</t>
  </si>
  <si>
    <t>Sakaluran</t>
  </si>
  <si>
    <t>R-326</t>
  </si>
  <si>
    <t>Kusumasmoro</t>
  </si>
  <si>
    <t>Jl. Jati Padang Urata No.1 Kav. C</t>
  </si>
  <si>
    <t>R-1421</t>
  </si>
  <si>
    <t>Raden Mohamad</t>
  </si>
  <si>
    <t>Romli</t>
  </si>
  <si>
    <t>6281323854440</t>
  </si>
  <si>
    <t>R-643</t>
  </si>
  <si>
    <t>Radhia</t>
  </si>
  <si>
    <t>Bendlif</t>
  </si>
  <si>
    <t>R-0964</t>
  </si>
  <si>
    <t>Radhiatul</t>
  </si>
  <si>
    <t>Rahmi</t>
  </si>
  <si>
    <t>Komp. Serpong Garden, Cluster Green Valley Blok E9 no.4 Cisauk, Kab. Tangerang</t>
  </si>
  <si>
    <t>R-0818</t>
  </si>
  <si>
    <t>Radhitya</t>
  </si>
  <si>
    <t>R-1220</t>
  </si>
  <si>
    <t>Ardimas</t>
  </si>
  <si>
    <t>Apartemen Senayan Residence Jakarta 12210</t>
  </si>
  <si>
    <t>R-003</t>
  </si>
  <si>
    <t>+628170711777</t>
  </si>
  <si>
    <t xml:space="preserve">Komp. POLRI Ragunan (AKRI) 
Jl.D No.2
Jkt 12510</t>
  </si>
  <si>
    <t>R-1251</t>
  </si>
  <si>
    <t>Radianto</t>
  </si>
  <si>
    <t>radianto.kusumo@gmail.com</t>
  </si>
  <si>
    <t>R-1357</t>
  </si>
  <si>
    <t>Radisyah</t>
  </si>
  <si>
    <t>+6287888886671</t>
  </si>
  <si>
    <t>Jl.Pertanian Raya</t>
  </si>
  <si>
    <t>R-1032</t>
  </si>
  <si>
    <t>Radita</t>
  </si>
  <si>
    <t>R-316</t>
  </si>
  <si>
    <t xml:space="preserve">Perumahan Bali View A2/2
Jakarta</t>
  </si>
  <si>
    <t>R-1173</t>
  </si>
  <si>
    <t>Judo</t>
  </si>
  <si>
    <t>R-1080</t>
  </si>
  <si>
    <t>Juliabtoro</t>
  </si>
  <si>
    <t>R-1048</t>
  </si>
  <si>
    <t>Pratamandika</t>
  </si>
  <si>
    <t>6281218958901</t>
  </si>
  <si>
    <t>R-289</t>
  </si>
  <si>
    <t>Radjasa</t>
  </si>
  <si>
    <t>R-1056</t>
  </si>
  <si>
    <t>Raelene</t>
  </si>
  <si>
    <t>Seales</t>
  </si>
  <si>
    <t>Jl Daksa IV No.70</t>
  </si>
  <si>
    <t>R-008</t>
  </si>
  <si>
    <t>Raesha</t>
  </si>
  <si>
    <t>Roebamah</t>
  </si>
  <si>
    <t>( +6221 ) 829 5661</t>
  </si>
  <si>
    <t>JL. Merapi II Tebet</t>
  </si>
  <si>
    <t>R-295</t>
  </si>
  <si>
    <t>Rafael</t>
  </si>
  <si>
    <t>Conde</t>
  </si>
  <si>
    <t>Spanish embassy</t>
  </si>
  <si>
    <t>R-1376</t>
  </si>
  <si>
    <t>6281285960747</t>
  </si>
  <si>
    <t>R-599</t>
  </si>
  <si>
    <t>R-1192</t>
  </si>
  <si>
    <t>Rafal</t>
  </si>
  <si>
    <t>Gorka</t>
  </si>
  <si>
    <t>R-009</t>
  </si>
  <si>
    <t>Raffaella</t>
  </si>
  <si>
    <t>Milano</t>
  </si>
  <si>
    <t>The Peak Sudirman</t>
  </si>
  <si>
    <t>R-010</t>
  </si>
  <si>
    <t>Raffi</t>
  </si>
  <si>
    <t>JL. KS.Tubun Komp. Polri 010 / 006 No.05</t>
  </si>
  <si>
    <t>R-1064</t>
  </si>
  <si>
    <t>Raffy</t>
  </si>
  <si>
    <t>R-011</t>
  </si>
  <si>
    <t>Rafik</t>
  </si>
  <si>
    <t>R-589</t>
  </si>
  <si>
    <t>Rafika</t>
  </si>
  <si>
    <t>R-392</t>
  </si>
  <si>
    <t>R-1125</t>
  </si>
  <si>
    <t>Rafly</t>
  </si>
  <si>
    <t>R-443</t>
  </si>
  <si>
    <t>Raghad</t>
  </si>
  <si>
    <t>R-0933</t>
  </si>
  <si>
    <t>R-0760</t>
  </si>
  <si>
    <t>R-1419</t>
  </si>
  <si>
    <t>Raliardika</t>
  </si>
  <si>
    <t>Bagaskara</t>
  </si>
  <si>
    <t>Rahardikabagaskara@gmail.com</t>
  </si>
  <si>
    <t>6281399919999</t>
  </si>
  <si>
    <t xml:space="preserve">65A, Enternity Tower 
Jakarta 12900</t>
  </si>
  <si>
    <t>R-013</t>
  </si>
  <si>
    <t>Rahartiana</t>
  </si>
  <si>
    <t>North</t>
  </si>
  <si>
    <t>Jl. Kemang Timur XI No. 12A</t>
  </si>
  <si>
    <t>R-670</t>
  </si>
  <si>
    <t>R-266</t>
  </si>
  <si>
    <t>R-1471</t>
  </si>
  <si>
    <t>6281286525859</t>
  </si>
  <si>
    <t>R-0820</t>
  </si>
  <si>
    <t>R-1442</t>
  </si>
  <si>
    <t>Rahelly</t>
  </si>
  <si>
    <t>+6281294054989</t>
  </si>
  <si>
    <t>R-1038</t>
  </si>
  <si>
    <t>R-636</t>
  </si>
  <si>
    <t>Rahhmarina</t>
  </si>
  <si>
    <t>R-0752</t>
  </si>
  <si>
    <t>Bali Village Jln Asem Dua Cipete Selatan Blok M-4A, Jakarta Selatan</t>
  </si>
  <si>
    <t>R-1272</t>
  </si>
  <si>
    <t>Tebet Timur Dalam 8Q No.4</t>
  </si>
  <si>
    <t>I-0802</t>
  </si>
  <si>
    <t>+6281316053473</t>
  </si>
  <si>
    <t>BALIKPAPAN</t>
  </si>
  <si>
    <t>R-0939</t>
  </si>
  <si>
    <t>R-0793</t>
  </si>
  <si>
    <t>6281316789193</t>
  </si>
  <si>
    <t xml:space="preserve">Puri Swedari Blok P No. 10
Cimanggis -Depok</t>
  </si>
  <si>
    <t>R-1109</t>
  </si>
  <si>
    <t xml:space="preserve">Apartment MOI Tower Lourdes
kelapa gading 
jak Utara</t>
  </si>
  <si>
    <t>R-665</t>
  </si>
  <si>
    <t>Jl Sekolah Duta V No.47</t>
  </si>
  <si>
    <t>R-1328</t>
  </si>
  <si>
    <t>Hidaya</t>
  </si>
  <si>
    <t>R-1050</t>
  </si>
  <si>
    <t>rahmi4ri@gmail.com</t>
  </si>
  <si>
    <t>6281316233627</t>
  </si>
  <si>
    <t>R-1198</t>
  </si>
  <si>
    <t xml:space="preserve">Premier Estate BlokL-9
jl.H.Karim ,Setu Jaktim </t>
  </si>
  <si>
    <t>R-0677</t>
  </si>
  <si>
    <t>Rahmah</t>
  </si>
  <si>
    <t>Umayya</t>
  </si>
  <si>
    <t xml:space="preserve">Four Season Residence
Summer Tower No.10C
Jakarta 12910</t>
  </si>
  <si>
    <t>R-1291</t>
  </si>
  <si>
    <t>Rahmania</t>
  </si>
  <si>
    <t>Zahra</t>
  </si>
  <si>
    <t>6281313964273</t>
  </si>
  <si>
    <t>R-485</t>
  </si>
  <si>
    <t>Rahmaniah</t>
  </si>
  <si>
    <t>R-1157</t>
  </si>
  <si>
    <t>Komp. Lalang Permai PS V No.10, Sunggal Medan</t>
  </si>
  <si>
    <t>R-0840</t>
  </si>
  <si>
    <t>Ame</t>
  </si>
  <si>
    <t>AME72SA@yahoo.com</t>
  </si>
  <si>
    <t xml:space="preserve">Emerald View Blok A-3
Bintaro Sektor 9</t>
  </si>
  <si>
    <t>R-1427</t>
  </si>
  <si>
    <t>fauzirastore@gmail.com</t>
  </si>
  <si>
    <t>628111211944</t>
  </si>
  <si>
    <t>R-0881</t>
  </si>
  <si>
    <t>Gobel</t>
  </si>
  <si>
    <t>+811174310</t>
  </si>
  <si>
    <t>Jl. Kalibata Tengah No.29</t>
  </si>
  <si>
    <t>R-1180</t>
  </si>
  <si>
    <t>rasofyan@ymail.com</t>
  </si>
  <si>
    <t xml:space="preserve">Jl. Sisingamangaraja No.86
Sibolga</t>
  </si>
  <si>
    <t>R-1153</t>
  </si>
  <si>
    <t>Suarlim</t>
  </si>
  <si>
    <t>R-552</t>
  </si>
  <si>
    <t>Jl.Palm Semi Cluster Laman provence</t>
  </si>
  <si>
    <t>R-281</t>
  </si>
  <si>
    <t>Winarni</t>
  </si>
  <si>
    <t>R-0899</t>
  </si>
  <si>
    <t>Jl. AW Syahranie Komp. Vila Tamara Blok P No. 11</t>
  </si>
  <si>
    <t>R-490</t>
  </si>
  <si>
    <t>Rahmayanti</t>
  </si>
  <si>
    <t>yanti.rauf@gmail.com</t>
  </si>
  <si>
    <t xml:space="preserve">Jl.Lebak Bulus Raya 1
WinVille Residence no.50k
Jakarta - Selatan</t>
  </si>
  <si>
    <t>R-015</t>
  </si>
  <si>
    <t>Rahwono</t>
  </si>
  <si>
    <t>R-0706</t>
  </si>
  <si>
    <t>Raihan</t>
  </si>
  <si>
    <t>R-0974</t>
  </si>
  <si>
    <t>Raina</t>
  </si>
  <si>
    <t>Abrar</t>
  </si>
  <si>
    <t>R-016</t>
  </si>
  <si>
    <t>Rainer</t>
  </si>
  <si>
    <t>Rumah Rhadana, JL.Dr. Sahardjo No.22</t>
  </si>
  <si>
    <t>R-0851</t>
  </si>
  <si>
    <t>6287809101965</t>
  </si>
  <si>
    <t xml:space="preserve">Jalan Purnawarman No. 6, Jakarta Selatan
</t>
  </si>
  <si>
    <t>R-1027</t>
  </si>
  <si>
    <t>62818701777</t>
  </si>
  <si>
    <t>R-1452</t>
  </si>
  <si>
    <t>Haddar</t>
  </si>
  <si>
    <t>6281335085831</t>
  </si>
  <si>
    <t>R-0896</t>
  </si>
  <si>
    <t>Khairunnisa</t>
  </si>
  <si>
    <t>R-0953</t>
  </si>
  <si>
    <t>Mislang</t>
  </si>
  <si>
    <t>R-1194</t>
  </si>
  <si>
    <t>R-1195</t>
  </si>
  <si>
    <t>Raisha</t>
  </si>
  <si>
    <t>Vela</t>
  </si>
  <si>
    <t>R-0977</t>
  </si>
  <si>
    <t>Raisis</t>
  </si>
  <si>
    <t>Jl. Jenggala I/4 Senopati, Kebayoran Baru, Jakarta Selatan</t>
  </si>
  <si>
    <t>R-017</t>
  </si>
  <si>
    <t>Raisis.</t>
  </si>
  <si>
    <t xml:space="preserve">Jl. Jenggala I No. 4
Kebayoran Baru</t>
  </si>
  <si>
    <t>R-0986</t>
  </si>
  <si>
    <t>R-332</t>
  </si>
  <si>
    <t>R-1196</t>
  </si>
  <si>
    <t>Hutauruk</t>
  </si>
  <si>
    <t>R-535</t>
  </si>
  <si>
    <t>R-1411</t>
  </si>
  <si>
    <t>Rajiv</t>
  </si>
  <si>
    <t>Kumaraswamy</t>
  </si>
  <si>
    <t>6281807192948</t>
  </si>
  <si>
    <t>R-0869</t>
  </si>
  <si>
    <t>H-1305</t>
  </si>
  <si>
    <t>Hj</t>
  </si>
  <si>
    <t>Rajmah</t>
  </si>
  <si>
    <t>6285329294848</t>
  </si>
  <si>
    <t>Jalan Galangan Kapal 1</t>
  </si>
  <si>
    <t>R-623</t>
  </si>
  <si>
    <t>Raju</t>
  </si>
  <si>
    <t>R-1367</t>
  </si>
  <si>
    <t>Raka</t>
  </si>
  <si>
    <t>6281319457377</t>
  </si>
  <si>
    <t>Perum Taman Pondok Gede, Blok E No.10</t>
  </si>
  <si>
    <t>R-1093</t>
  </si>
  <si>
    <t>Rakhmad</t>
  </si>
  <si>
    <t>Afifuddin</t>
  </si>
  <si>
    <t>R-1311</t>
  </si>
  <si>
    <t>Ralda</t>
  </si>
  <si>
    <t>Hankina</t>
  </si>
  <si>
    <t>Bona vista Residence</t>
  </si>
  <si>
    <t>R-0710</t>
  </si>
  <si>
    <t>R-1502</t>
  </si>
  <si>
    <t>Ratu Raisa Tanjung</t>
  </si>
  <si>
    <t>achatanjing@gmail.com</t>
  </si>
  <si>
    <t>+6289603153015</t>
  </si>
  <si>
    <t>R-377</t>
  </si>
  <si>
    <t>Rama</t>
  </si>
  <si>
    <t>R-0754</t>
  </si>
  <si>
    <t>R-568</t>
  </si>
  <si>
    <t>R-591</t>
  </si>
  <si>
    <t>Budisetyo</t>
  </si>
  <si>
    <t>Jl. Tebet Raya 44A</t>
  </si>
  <si>
    <t>R-1127</t>
  </si>
  <si>
    <t>R-1069</t>
  </si>
  <si>
    <t>R-0841</t>
  </si>
  <si>
    <t>R-021</t>
  </si>
  <si>
    <t>Ramadhinta</t>
  </si>
  <si>
    <t>Els</t>
  </si>
  <si>
    <t>Jl. Lingkar Mega Kuningan Kav. E.1.1 No. 1</t>
  </si>
  <si>
    <t>Mega Kuningan</t>
  </si>
  <si>
    <t>R-614</t>
  </si>
  <si>
    <t>Ramadipta</t>
  </si>
  <si>
    <t>Soeriaatmadja</t>
  </si>
  <si>
    <t>R-0792</t>
  </si>
  <si>
    <t>Ramali</t>
  </si>
  <si>
    <t>Jalan Wirajati Blok U No. 2</t>
  </si>
  <si>
    <t>R-1355</t>
  </si>
  <si>
    <t>ramali.goesaff@gmail.com</t>
  </si>
  <si>
    <t>+6285888518888</t>
  </si>
  <si>
    <t>R-1412</t>
  </si>
  <si>
    <t>Rambo</t>
  </si>
  <si>
    <t>6282299999925</t>
  </si>
  <si>
    <t>Apart Belleza Permata Hijau</t>
  </si>
  <si>
    <t>R-1175</t>
  </si>
  <si>
    <t>Ramesh</t>
  </si>
  <si>
    <t>Sudarshan</t>
  </si>
  <si>
    <t>R-345</t>
  </si>
  <si>
    <t>Rami</t>
  </si>
  <si>
    <t>R-0814</t>
  </si>
  <si>
    <t>Ramlah</t>
  </si>
  <si>
    <t>Aksa</t>
  </si>
  <si>
    <t>Jalan Pandeglang No. 27, Menteng</t>
  </si>
  <si>
    <t>R-022</t>
  </si>
  <si>
    <t>Ramon</t>
  </si>
  <si>
    <t>Daandel</t>
  </si>
  <si>
    <t>R-405</t>
  </si>
  <si>
    <t>Ramona</t>
  </si>
  <si>
    <t>R-487</t>
  </si>
  <si>
    <t>Ramu</t>
  </si>
  <si>
    <t>Surachman</t>
  </si>
  <si>
    <t>R-0969</t>
  </si>
  <si>
    <t>R-023</t>
  </si>
  <si>
    <t>Rana</t>
  </si>
  <si>
    <t>Apt. Sudirman Park B15 BJ</t>
  </si>
  <si>
    <t>Central Jakarta</t>
  </si>
  <si>
    <t>R-1139</t>
  </si>
  <si>
    <t>Talithshani</t>
  </si>
  <si>
    <t>+6281319097107</t>
  </si>
  <si>
    <t>Jl. Pejaten Barat IV no.18B, Pejaten Barat, Pasar Minggu -  Jakarta Selatan 12510</t>
  </si>
  <si>
    <t>R-1439</t>
  </si>
  <si>
    <t>Randita</t>
  </si>
  <si>
    <t>Poetri</t>
  </si>
  <si>
    <t>6281298255552</t>
  </si>
  <si>
    <t>R-024</t>
  </si>
  <si>
    <t>Randy</t>
  </si>
  <si>
    <t>R-1478</t>
  </si>
  <si>
    <t>081110112553</t>
  </si>
  <si>
    <t>R-370</t>
  </si>
  <si>
    <t>R-515</t>
  </si>
  <si>
    <t>Tampubolon</t>
  </si>
  <si>
    <t>monthesdrei@yahoo.com</t>
  </si>
  <si>
    <t>Jl.Cempaka Putih Timur No.5</t>
  </si>
  <si>
    <t>R-0900</t>
  </si>
  <si>
    <t>Rangga</t>
  </si>
  <si>
    <t xml:space="preserve">Bintaro Palma Townhouse blok D no 2 Sektor 9 
Jl Palem Puri rt 01/rw 02 , sawah Baru. Jombang Ciputat .</t>
  </si>
  <si>
    <t>R-1225</t>
  </si>
  <si>
    <t>Hafizhan</t>
  </si>
  <si>
    <t>hrangga22@gmail.com</t>
  </si>
  <si>
    <t>K-0473</t>
  </si>
  <si>
    <t>Rani</t>
  </si>
  <si>
    <t>R-502</t>
  </si>
  <si>
    <t>R-1397</t>
  </si>
  <si>
    <t>raniamanda86@gmail.com</t>
  </si>
  <si>
    <t>62811261313</t>
  </si>
  <si>
    <t>Jl. Sekolah Kencana II No. 18, Pondok Indah, Jakarta Selatan, 12310</t>
  </si>
  <si>
    <t>R-1504</t>
  </si>
  <si>
    <t>ranianggraini22@icloud.com</t>
  </si>
  <si>
    <t>+6281247081200</t>
  </si>
  <si>
    <t>R-026</t>
  </si>
  <si>
    <t>R-0756</t>
  </si>
  <si>
    <t>Angraini.S</t>
  </si>
  <si>
    <t>R-1110</t>
  </si>
  <si>
    <t>raniez_19@yahoo.com</t>
  </si>
  <si>
    <t>R-1137</t>
  </si>
  <si>
    <t>awal</t>
  </si>
  <si>
    <t>R-0824</t>
  </si>
  <si>
    <t>R-1207</t>
  </si>
  <si>
    <t>Mulyasari</t>
  </si>
  <si>
    <t>squinil_girls@yahoo.com</t>
  </si>
  <si>
    <t>Jl. Muhi raya No 37</t>
  </si>
  <si>
    <t>R-1359</t>
  </si>
  <si>
    <t>Ferniasari</t>
  </si>
  <si>
    <t>ranie.fs@gmail.com</t>
  </si>
  <si>
    <t>6281139000038</t>
  </si>
  <si>
    <t>R-027</t>
  </si>
  <si>
    <t>R-1345</t>
  </si>
  <si>
    <t>Nrsalim</t>
  </si>
  <si>
    <t>Taman Alfa Indah Blok C3/1</t>
  </si>
  <si>
    <t>R-1043</t>
  </si>
  <si>
    <t>Sutari</t>
  </si>
  <si>
    <t>R-584</t>
  </si>
  <si>
    <t>R-1325</t>
  </si>
  <si>
    <t>Komp.DurenSawit Baru A4 No.7</t>
  </si>
  <si>
    <t>R-0844</t>
  </si>
  <si>
    <t>Osama</t>
  </si>
  <si>
    <t>R-0983</t>
  </si>
  <si>
    <t>Raniii</t>
  </si>
  <si>
    <t>R-1000</t>
  </si>
  <si>
    <t>Ranita</t>
  </si>
  <si>
    <t>Angkosubroto</t>
  </si>
  <si>
    <t>R-0960</t>
  </si>
  <si>
    <t>Rannia</t>
  </si>
  <si>
    <t>Jl. Taman Kemang II No. D8</t>
  </si>
  <si>
    <t>R-603</t>
  </si>
  <si>
    <t>Ranny</t>
  </si>
  <si>
    <t>R-1031</t>
  </si>
  <si>
    <t>R-0720</t>
  </si>
  <si>
    <t>Meydiana</t>
  </si>
  <si>
    <t>R-0736</t>
  </si>
  <si>
    <t>Ranti</t>
  </si>
  <si>
    <t>62816936641</t>
  </si>
  <si>
    <t>Mra</t>
  </si>
  <si>
    <t>R-0683</t>
  </si>
  <si>
    <t>Rantika</t>
  </si>
  <si>
    <t>mo.rantika@yahoo.com</t>
  </si>
  <si>
    <t>Kota Medan</t>
  </si>
  <si>
    <t>R-285</t>
  </si>
  <si>
    <t>Ranty</t>
  </si>
  <si>
    <t>R-029</t>
  </si>
  <si>
    <t>Taman Rasuna Apt. Tower 1 #32-A</t>
  </si>
  <si>
    <t>Jl. HR. Rasuna Said, Kuningan</t>
  </si>
  <si>
    <t>R-406</t>
  </si>
  <si>
    <t>Rany</t>
  </si>
  <si>
    <t>Arumsari</t>
  </si>
  <si>
    <t>6281298298449</t>
  </si>
  <si>
    <t>R-1255</t>
  </si>
  <si>
    <t>R-1231</t>
  </si>
  <si>
    <t>Rapiolita</t>
  </si>
  <si>
    <t>R-1352</t>
  </si>
  <si>
    <t>MURI KENCANA RESIDENCE NO.200 B2</t>
  </si>
  <si>
    <t>M-1577</t>
  </si>
  <si>
    <t>Marzuki</t>
  </si>
  <si>
    <t>Jl. Taman Radio Dalam 7</t>
  </si>
  <si>
    <t>R-522</t>
  </si>
  <si>
    <t>Bakti</t>
  </si>
  <si>
    <t>rara.interior09@yahoo.com</t>
  </si>
  <si>
    <t xml:space="preserve">Jl. Lembang No.37
Menteng</t>
  </si>
  <si>
    <t>R-1414</t>
  </si>
  <si>
    <t>Ciku</t>
  </si>
  <si>
    <t>6282237773553</t>
  </si>
  <si>
    <t>R-635</t>
  </si>
  <si>
    <t>Raseno</t>
  </si>
  <si>
    <t>R-1480</t>
  </si>
  <si>
    <t>Bansal</t>
  </si>
  <si>
    <t>919673534555</t>
  </si>
  <si>
    <t>R-433</t>
  </si>
  <si>
    <t>Rassya</t>
  </si>
  <si>
    <t>R-1229</t>
  </si>
  <si>
    <t>Rasti</t>
  </si>
  <si>
    <t>R-1044</t>
  </si>
  <si>
    <t>Rasyad</t>
  </si>
  <si>
    <t>Pandhega</t>
  </si>
  <si>
    <t>R-033</t>
  </si>
  <si>
    <t>R-495</t>
  </si>
  <si>
    <t>Rasyula</t>
  </si>
  <si>
    <t>Andari</t>
  </si>
  <si>
    <t>rasyula@gmail.com</t>
  </si>
  <si>
    <t>+628121228484</t>
  </si>
  <si>
    <t xml:space="preserve">Serenia Hills Signature o10-11
Lebak Bulus - Jakarta Selatan 12440</t>
  </si>
  <si>
    <t>R-384</t>
  </si>
  <si>
    <t>Rati</t>
  </si>
  <si>
    <t>R-1403</t>
  </si>
  <si>
    <t>ratisjy@gmail.com</t>
  </si>
  <si>
    <t>6281318349613</t>
  </si>
  <si>
    <t>R-034</t>
  </si>
  <si>
    <t>Perum. Pondok Kacang Prima</t>
  </si>
  <si>
    <t>Jl. Anggur Blok A-2 No. 2, Pondok Aren, Cileduk</t>
  </si>
  <si>
    <t>R-0885</t>
  </si>
  <si>
    <t>R-1435</t>
  </si>
  <si>
    <t>6285215043431</t>
  </si>
  <si>
    <t>R-035</t>
  </si>
  <si>
    <t>Arnaya</t>
  </si>
  <si>
    <t>Taman Provence No. 41 BSD</t>
  </si>
  <si>
    <t>R-1374</t>
  </si>
  <si>
    <t>ratih.hdy@gmail.com</t>
  </si>
  <si>
    <t>6283186025999</t>
  </si>
  <si>
    <t>R-0849</t>
  </si>
  <si>
    <t>Bengawan 17</t>
  </si>
  <si>
    <t>R-1327</t>
  </si>
  <si>
    <t>Wimba</t>
  </si>
  <si>
    <t>R-0961</t>
  </si>
  <si>
    <t>R-1314</t>
  </si>
  <si>
    <t>ratih.sekaarp@gmail.com</t>
  </si>
  <si>
    <t xml:space="preserve">PT PATRA LOGISTIC LT 2
EPICENTRUM - KUNINGAN - JAK SEL</t>
  </si>
  <si>
    <t>R-1353</t>
  </si>
  <si>
    <t>Rosiyani</t>
  </si>
  <si>
    <t>ratihrosiyani2@gmail.com</t>
  </si>
  <si>
    <t>R-1490</t>
  </si>
  <si>
    <t>6281311531799</t>
  </si>
  <si>
    <t>R-1179</t>
  </si>
  <si>
    <t>yulianti</t>
  </si>
  <si>
    <t>R-432</t>
  </si>
  <si>
    <t>Ratil</t>
  </si>
  <si>
    <t>R-1155</t>
  </si>
  <si>
    <t>Ratman</t>
  </si>
  <si>
    <t>Taman Kendari 2 no.50</t>
  </si>
  <si>
    <t>R-583</t>
  </si>
  <si>
    <t>Ratmoko</t>
  </si>
  <si>
    <t>ratmokohadi@yahoo.co.id</t>
  </si>
  <si>
    <t xml:space="preserve">Jln.Hang Jebat 2/33
Kebayoran Baru
Jakarta</t>
  </si>
  <si>
    <t>R-0915</t>
  </si>
  <si>
    <t>+62816890814#</t>
  </si>
  <si>
    <t>R-628</t>
  </si>
  <si>
    <t>R-041</t>
  </si>
  <si>
    <t>R-040</t>
  </si>
  <si>
    <t>(6221) 6502132</t>
  </si>
  <si>
    <t>Jl.Alamanda 2 C2 No.9 Sunter Mas</t>
  </si>
  <si>
    <t>R-1294</t>
  </si>
  <si>
    <t>R-0804</t>
  </si>
  <si>
    <t>R-037</t>
  </si>
  <si>
    <t>R-0914</t>
  </si>
  <si>
    <t>R-390</t>
  </si>
  <si>
    <t>Bruce</t>
  </si>
  <si>
    <t xml:space="preserve">Jl.Taman Wijaya Kusuma 3
Cilandak Barat 
Jakarta Selatan</t>
  </si>
  <si>
    <t>R-038</t>
  </si>
  <si>
    <t>Taman Rasuna Apt. Tower 2 #4-E</t>
  </si>
  <si>
    <t>R-363</t>
  </si>
  <si>
    <t>R-287</t>
  </si>
  <si>
    <t>Jl. Sunter Pratama 3 / E16</t>
  </si>
  <si>
    <t>R-1199</t>
  </si>
  <si>
    <t>+62816845953</t>
  </si>
  <si>
    <t>R-264</t>
  </si>
  <si>
    <t>R-319</t>
  </si>
  <si>
    <t>Hannimi</t>
  </si>
  <si>
    <t>R-607</t>
  </si>
  <si>
    <t>Irmawati</t>
  </si>
  <si>
    <t>R-1182</t>
  </si>
  <si>
    <t>R-0765</t>
  </si>
  <si>
    <t>Murniwati</t>
  </si>
  <si>
    <t>ratna_murniwati@yahoo.com</t>
  </si>
  <si>
    <t xml:space="preserve">jl.affandi ct c I/A deresan
yogyakarta</t>
  </si>
  <si>
    <t>R-042</t>
  </si>
  <si>
    <t>R-0971</t>
  </si>
  <si>
    <t>Pulau Peniki I Blok 03/23 Jakarta Barat</t>
  </si>
  <si>
    <t>R-0801</t>
  </si>
  <si>
    <t>Ria</t>
  </si>
  <si>
    <t>Kemang Timur Dalam F10</t>
  </si>
  <si>
    <t>R-1448</t>
  </si>
  <si>
    <t>Ratna Rosilawati</t>
  </si>
  <si>
    <t>Kadarisman</t>
  </si>
  <si>
    <t>kiki.kadarisman@gmail.com</t>
  </si>
  <si>
    <t>628161972139</t>
  </si>
  <si>
    <t>Jl. Ampera Raya No.6 Jakarta</t>
  </si>
  <si>
    <t>R-1222</t>
  </si>
  <si>
    <t>R-0785</t>
  </si>
  <si>
    <t>R-472</t>
  </si>
  <si>
    <t>62818953768</t>
  </si>
  <si>
    <t xml:space="preserve">Springhill Residence PH 2 No.6
Jl Benyamin Sueb Kemayoran</t>
  </si>
  <si>
    <t>R-1228</t>
  </si>
  <si>
    <t>R-043</t>
  </si>
  <si>
    <t>Hartoyo</t>
  </si>
  <si>
    <t>+6281999928699</t>
  </si>
  <si>
    <t>R-418</t>
  </si>
  <si>
    <t>Ratnawaty</t>
  </si>
  <si>
    <t>R-044</t>
  </si>
  <si>
    <t>Ratnayu</t>
  </si>
  <si>
    <t>JL. Benda Alam 1 no.1 Cilandak Timur</t>
  </si>
  <si>
    <t>R-1266</t>
  </si>
  <si>
    <t>Ratno/</t>
  </si>
  <si>
    <t>R-427</t>
  </si>
  <si>
    <t>Ratri</t>
  </si>
  <si>
    <t>Natarini</t>
  </si>
  <si>
    <t>Panglima Polim XII No, 18</t>
  </si>
  <si>
    <t>R-0950</t>
  </si>
  <si>
    <t>Arlini Sriwahyuni</t>
  </si>
  <si>
    <t>Ratuarlinis@gmail.com</t>
  </si>
  <si>
    <t>+62811109142</t>
  </si>
  <si>
    <t>Jl. Cikatomas 11/31</t>
  </si>
  <si>
    <t>R-1303</t>
  </si>
  <si>
    <t>Bilqis</t>
  </si>
  <si>
    <t>ra.bilqis@yahoo.com</t>
  </si>
  <si>
    <t>The Hive Apartment</t>
  </si>
  <si>
    <t>R-1336</t>
  </si>
  <si>
    <t>ratufikadr@gmail.com</t>
  </si>
  <si>
    <t>+6281222375222</t>
  </si>
  <si>
    <t>R-498</t>
  </si>
  <si>
    <t>R-430</t>
  </si>
  <si>
    <t>rneilla@gmail.com</t>
  </si>
  <si>
    <t>62816904937</t>
  </si>
  <si>
    <t>R-0794</t>
  </si>
  <si>
    <t>R-1257</t>
  </si>
  <si>
    <t>Raudiah</t>
  </si>
  <si>
    <t>Oskar</t>
  </si>
  <si>
    <t>R-0976</t>
  </si>
  <si>
    <t>Raul</t>
  </si>
  <si>
    <t>Lemos</t>
  </si>
  <si>
    <t>R-1185</t>
  </si>
  <si>
    <t>Raveena</t>
  </si>
  <si>
    <t>R-045</t>
  </si>
  <si>
    <t>Ravi</t>
  </si>
  <si>
    <t>Bitraguntra</t>
  </si>
  <si>
    <t>1008 Oakwood Apartment</t>
  </si>
  <si>
    <t>R-1388</t>
  </si>
  <si>
    <t>Tewari</t>
  </si>
  <si>
    <t>+6593980646</t>
  </si>
  <si>
    <t>R-1393</t>
  </si>
  <si>
    <t>Rawan Ahmed</t>
  </si>
  <si>
    <t>Noori</t>
  </si>
  <si>
    <t>rawanalrubaic@gmail.com</t>
  </si>
  <si>
    <t>964070902990683</t>
  </si>
  <si>
    <t>R-046</t>
  </si>
  <si>
    <t>Rawono</t>
  </si>
  <si>
    <t>R-401</t>
  </si>
  <si>
    <t>R-1390</t>
  </si>
  <si>
    <t>Mandeno</t>
  </si>
  <si>
    <t>6281295975698</t>
  </si>
  <si>
    <t>R-047</t>
  </si>
  <si>
    <t>Rayes</t>
  </si>
  <si>
    <t xml:space="preserve">J' Raden Inten II No2 Buaran
Duren sawit.</t>
  </si>
  <si>
    <t>R-1256</t>
  </si>
  <si>
    <t>Rayhan</t>
  </si>
  <si>
    <t>R-629</t>
  </si>
  <si>
    <t>Rayi</t>
  </si>
  <si>
    <t>Aurora</t>
  </si>
  <si>
    <t>rayi_aurora@yahoo.com</t>
  </si>
  <si>
    <t>R-048</t>
  </si>
  <si>
    <t>Dhinar</t>
  </si>
  <si>
    <t>6582643991</t>
  </si>
  <si>
    <t xml:space="preserve">Providance Park 7d
Jl. Kalimaya no.27 permata hijau
jak-sel</t>
  </si>
  <si>
    <t>R-0724</t>
  </si>
  <si>
    <t>Raymon</t>
  </si>
  <si>
    <t>Yessano</t>
  </si>
  <si>
    <t>reysings8@yahoo.com</t>
  </si>
  <si>
    <t xml:space="preserve">jln. Kolonel Sugiono No.5, Temanggung
Jawa Tengah.</t>
  </si>
  <si>
    <t>R-1117</t>
  </si>
  <si>
    <t>Raymond</t>
  </si>
  <si>
    <t>R-519</t>
  </si>
  <si>
    <t>R-424</t>
  </si>
  <si>
    <t>raysejahtera@yahoo.co.id</t>
  </si>
  <si>
    <t xml:space="preserve">Jl Cendana II Blok A-44
Bekasi Selatan 17148</t>
  </si>
  <si>
    <t>R-1134</t>
  </si>
  <si>
    <t>R-1405</t>
  </si>
  <si>
    <t>Jauhari</t>
  </si>
  <si>
    <t>6281279790000</t>
  </si>
  <si>
    <t>R-1235</t>
  </si>
  <si>
    <t>0818233223</t>
  </si>
  <si>
    <t>Jl.Gunung Semeru 20. Taman Himalaya Lippo Karawaci</t>
  </si>
  <si>
    <t>R-1387</t>
  </si>
  <si>
    <t>Lau Jiawei</t>
  </si>
  <si>
    <t>6598807111</t>
  </si>
  <si>
    <t>Singapura</t>
  </si>
  <si>
    <t>R-0838</t>
  </si>
  <si>
    <t xml:space="preserve">Jl.Gedung Hijau 3 No.5
Pondok Indah</t>
  </si>
  <si>
    <t>R-545</t>
  </si>
  <si>
    <t>Perumahan Long Beach blok D No 12, PIK.</t>
  </si>
  <si>
    <t>R-1250</t>
  </si>
  <si>
    <t xml:space="preserve">Cendrawasih No 163B
</t>
  </si>
  <si>
    <t>R-0775</t>
  </si>
  <si>
    <t>Rayna</t>
  </si>
  <si>
    <t>Marchyiane</t>
  </si>
  <si>
    <t>Citra Garden 1 Blok AE 2/3A</t>
  </si>
  <si>
    <t>R-1233</t>
  </si>
  <si>
    <t>Raynaldi</t>
  </si>
  <si>
    <t>6287880799466</t>
  </si>
  <si>
    <t>Cipete , Jaksel</t>
  </si>
  <si>
    <t>R-1481</t>
  </si>
  <si>
    <t>Razade</t>
  </si>
  <si>
    <t>razadepulungan2023@gmail.com</t>
  </si>
  <si>
    <t>082188168606</t>
  </si>
  <si>
    <t>R-0803</t>
  </si>
  <si>
    <t>Razi</t>
  </si>
  <si>
    <t>R-247</t>
  </si>
  <si>
    <t>Raziman</t>
  </si>
  <si>
    <t>R-1226</t>
  </si>
  <si>
    <t>Razqadipta</t>
  </si>
  <si>
    <t>Jl,Dr susib IV NO,45 Grogol</t>
  </si>
  <si>
    <t>R-299</t>
  </si>
  <si>
    <t>Soeraatmadja</t>
  </si>
  <si>
    <t xml:space="preserve">Jl. Dr. Susilo IV No.45
Jakarta Barat</t>
  </si>
  <si>
    <t>R-571</t>
  </si>
  <si>
    <t>Ready</t>
  </si>
  <si>
    <t>Kambo</t>
  </si>
  <si>
    <t xml:space="preserve">Gedung Artha Graha Lt 19
PT PANDU NUSANTARA SAKTI</t>
  </si>
  <si>
    <t>R-375</t>
  </si>
  <si>
    <t>Rebecca</t>
  </si>
  <si>
    <t>Pantai Mutiara Blok 4/A No.21</t>
  </si>
  <si>
    <t>R-0784</t>
  </si>
  <si>
    <t>Pluit sakti raya</t>
  </si>
  <si>
    <t>R-439</t>
  </si>
  <si>
    <t>+628111554886</t>
  </si>
  <si>
    <t xml:space="preserve">Komplek Bumi sarinah Estate L15
Cikoko, Pancoran - Jakarta Selatan 12770</t>
  </si>
  <si>
    <t>R-559</t>
  </si>
  <si>
    <t>Rebekka</t>
  </si>
  <si>
    <t>M-1176</t>
  </si>
  <si>
    <t>Rechard.</t>
  </si>
  <si>
    <t>R-0730</t>
  </si>
  <si>
    <t>Reem</t>
  </si>
  <si>
    <t>Abdelhamid</t>
  </si>
  <si>
    <t>R-1143</t>
  </si>
  <si>
    <t>R-1440</t>
  </si>
  <si>
    <t>Reema Saleh A</t>
  </si>
  <si>
    <t>Alghofaili</t>
  </si>
  <si>
    <t>dr.reema.s@hotmail.com</t>
  </si>
  <si>
    <t>966508985866</t>
  </si>
  <si>
    <t>R-0680</t>
  </si>
  <si>
    <t>Reena</t>
  </si>
  <si>
    <t>R-053</t>
  </si>
  <si>
    <t>Regar</t>
  </si>
  <si>
    <t>Jl. Senayan 8</t>
  </si>
  <si>
    <t>R-054</t>
  </si>
  <si>
    <t>Regent</t>
  </si>
  <si>
    <t>R-1154</t>
  </si>
  <si>
    <t>Reggie</t>
  </si>
  <si>
    <t>R-0872</t>
  </si>
  <si>
    <t>Tentero</t>
  </si>
  <si>
    <t xml:space="preserve">Jl. Jupiter IC No.15
Cinere Mas</t>
  </si>
  <si>
    <t>R-055</t>
  </si>
  <si>
    <t>Reggy</t>
  </si>
  <si>
    <t>Kurniadjaya</t>
  </si>
  <si>
    <t>R-276</t>
  </si>
  <si>
    <t>Regi</t>
  </si>
  <si>
    <t>R-1197</t>
  </si>
  <si>
    <t>Regimantas</t>
  </si>
  <si>
    <t>R-0995</t>
  </si>
  <si>
    <t>R-650</t>
  </si>
  <si>
    <t>regina_ong_id@yahoo.com</t>
  </si>
  <si>
    <t>Jalan Erlangga V No.10 Kebayoran Baru</t>
  </si>
  <si>
    <t>R-1016</t>
  </si>
  <si>
    <t>reginayunda@ymail.com</t>
  </si>
  <si>
    <t>Jl.Kramat Aris No.150</t>
  </si>
  <si>
    <t>R-1286</t>
  </si>
  <si>
    <t>6281281317700</t>
  </si>
  <si>
    <t>Jl Pulau Laki 3 Blok k3 No 38 Taman Permata Buana Jakarta Barat</t>
  </si>
  <si>
    <t>R-1373</t>
  </si>
  <si>
    <t>Magda Hutagalung</t>
  </si>
  <si>
    <t>62816898706</t>
  </si>
  <si>
    <t>R-308</t>
  </si>
  <si>
    <t>Vega</t>
  </si>
  <si>
    <t xml:space="preserve">Jl. Kertanegara No. 48 
Kebayoran Baru
Jakarta Selatan</t>
  </si>
  <si>
    <t>R-1243</t>
  </si>
  <si>
    <t>R-1505</t>
  </si>
  <si>
    <t>Reginald</t>
  </si>
  <si>
    <t>Bowman</t>
  </si>
  <si>
    <t>regbow35@gmail.com</t>
  </si>
  <si>
    <t>13092990299</t>
  </si>
  <si>
    <t>Duncap, IL 61525</t>
  </si>
  <si>
    <t>61525</t>
  </si>
  <si>
    <t>R-1304</t>
  </si>
  <si>
    <t>Regine,</t>
  </si>
  <si>
    <t>Golivet</t>
  </si>
  <si>
    <t>FRANCE</t>
  </si>
  <si>
    <t>R-1324</t>
  </si>
  <si>
    <t>Regita</t>
  </si>
  <si>
    <t>Ramadhanty</t>
  </si>
  <si>
    <t>R-1365</t>
  </si>
  <si>
    <t>Rehmuliana</t>
  </si>
  <si>
    <t>Yasinta</t>
  </si>
  <si>
    <t>rehmulianayasinta@gmail.com</t>
  </si>
  <si>
    <t>+6281227393226</t>
  </si>
  <si>
    <t>Jl. Soekarno Hatta No.27 LK II</t>
  </si>
  <si>
    <t>R-265</t>
  </si>
  <si>
    <t>Reim Tusin</t>
  </si>
  <si>
    <t>62816882582</t>
  </si>
  <si>
    <t>R-058</t>
  </si>
  <si>
    <t>Reimer</t>
  </si>
  <si>
    <t>R-1379</t>
  </si>
  <si>
    <t>Rei</t>
  </si>
  <si>
    <t>6281932400045</t>
  </si>
  <si>
    <t>R-1164</t>
  </si>
  <si>
    <t>Reinaldy</t>
  </si>
  <si>
    <t>R-0999</t>
  </si>
  <si>
    <t>Reine</t>
  </si>
  <si>
    <t>Setiadikurnia</t>
  </si>
  <si>
    <t>R-525</t>
  </si>
  <si>
    <t>Reino</t>
  </si>
  <si>
    <t>Barack</t>
  </si>
  <si>
    <t>R-1361</t>
  </si>
  <si>
    <t>Reisa</t>
  </si>
  <si>
    <t>Brotoasmoro</t>
  </si>
  <si>
    <t>R-1496</t>
  </si>
  <si>
    <t>Reiza</t>
  </si>
  <si>
    <t>Hafitarani</t>
  </si>
  <si>
    <t>reizahafitarani11@gmail.com</t>
  </si>
  <si>
    <t>6281297393927</t>
  </si>
  <si>
    <t>R-387</t>
  </si>
  <si>
    <t>Reizia</t>
  </si>
  <si>
    <t>R-059</t>
  </si>
  <si>
    <t>Rekha</t>
  </si>
  <si>
    <t xml:space="preserve">Jl. Sukabumi #26
Menteng 
Jakarta Pusat</t>
  </si>
  <si>
    <t>R-1503</t>
  </si>
  <si>
    <t>Reksa</t>
  </si>
  <si>
    <t>Efman</t>
  </si>
  <si>
    <t>mrpefman@gmail.com</t>
  </si>
  <si>
    <t>628112244343</t>
  </si>
  <si>
    <t>R-516</t>
  </si>
  <si>
    <t>Remaja</t>
  </si>
  <si>
    <t>+62811861611</t>
  </si>
  <si>
    <t>R-1165</t>
  </si>
  <si>
    <t>Ren</t>
  </si>
  <si>
    <t>R-1455</t>
  </si>
  <si>
    <t>rachel.ren333@gmail.com</t>
  </si>
  <si>
    <t>61476173729</t>
  </si>
  <si>
    <t>Australian</t>
  </si>
  <si>
    <t>R-467</t>
  </si>
  <si>
    <t>R-1371</t>
  </si>
  <si>
    <t>Xinqyan</t>
  </si>
  <si>
    <t>8618501622038</t>
  </si>
  <si>
    <t>R-1302</t>
  </si>
  <si>
    <t>Renaldi</t>
  </si>
  <si>
    <t>renaldi@mra.co.id</t>
  </si>
  <si>
    <t>Jl. Jeruk Purut No 58 Rt 05/ Rw 03 Cilandak Timur Pasar Minggu Jak-sel</t>
  </si>
  <si>
    <t>R-1298</t>
  </si>
  <si>
    <t>San Fransisco A4/73</t>
  </si>
  <si>
    <t>R-0908</t>
  </si>
  <si>
    <t>Renaldo</t>
  </si>
  <si>
    <t>Therman</t>
  </si>
  <si>
    <t>R-1106</t>
  </si>
  <si>
    <t>R-542</t>
  </si>
  <si>
    <t>Gresya</t>
  </si>
  <si>
    <t>R-061</t>
  </si>
  <si>
    <t>natalia2612@gmail.com</t>
  </si>
  <si>
    <t>Jl. Zamrud III Blok  E No. 120</t>
  </si>
  <si>
    <t>R-520</t>
  </si>
  <si>
    <t>Pohan</t>
  </si>
  <si>
    <t>R-459</t>
  </si>
  <si>
    <t>Rendhika</t>
  </si>
  <si>
    <t>R-1209</t>
  </si>
  <si>
    <t>Rendi</t>
  </si>
  <si>
    <t>R-1247</t>
  </si>
  <si>
    <t>R-1395</t>
  </si>
  <si>
    <t>Sose</t>
  </si>
  <si>
    <t>+447427598497</t>
  </si>
  <si>
    <t>Inggris</t>
  </si>
  <si>
    <t>R-632</t>
  </si>
  <si>
    <t>Rendy</t>
  </si>
  <si>
    <t>Jl. Rohana Kudus No.64</t>
  </si>
  <si>
    <t>R-1062</t>
  </si>
  <si>
    <t xml:space="preserve">Jln. Ruka Istana Pasteur Regency CRB 89
Bandung</t>
  </si>
  <si>
    <t>R-1280</t>
  </si>
  <si>
    <t>Rulando</t>
  </si>
  <si>
    <t>628113390065</t>
  </si>
  <si>
    <t xml:space="preserve">Citra Garden Greenhill GH1 No.10,
Buduran, Sidoarjo, Jawa Timur, 61252</t>
  </si>
  <si>
    <t>R-062</t>
  </si>
  <si>
    <t>Sendy</t>
  </si>
  <si>
    <t>628123197777</t>
  </si>
  <si>
    <t>R-521</t>
  </si>
  <si>
    <t>Renee</t>
  </si>
  <si>
    <t>R-064</t>
  </si>
  <si>
    <t>Pacific Place Residence Tower 1/23B  12190</t>
  </si>
  <si>
    <t>R-1417</t>
  </si>
  <si>
    <t>Cheryl Ann</t>
  </si>
  <si>
    <t>Renella</t>
  </si>
  <si>
    <t>john.mlynski@gmail.com</t>
  </si>
  <si>
    <t>13123150499</t>
  </si>
  <si>
    <t>R-548</t>
  </si>
  <si>
    <t>Rengganis</t>
  </si>
  <si>
    <t>Pw</t>
  </si>
  <si>
    <t>rengganispw@yahoo.com</t>
  </si>
  <si>
    <t>R-1089</t>
  </si>
  <si>
    <t>R-1423</t>
  </si>
  <si>
    <t>Agustiani</t>
  </si>
  <si>
    <t>reni@dh-lines.com</t>
  </si>
  <si>
    <t>+6282130908858</t>
  </si>
  <si>
    <t>Kota Wisata Hacienda Se2/12</t>
  </si>
  <si>
    <t>R-349</t>
  </si>
  <si>
    <t>R-1058</t>
  </si>
  <si>
    <t>Riyawati</t>
  </si>
  <si>
    <t>R-1216</t>
  </si>
  <si>
    <t>Renita</t>
  </si>
  <si>
    <t>latier@yahoo.com</t>
  </si>
  <si>
    <t>+62816927957</t>
  </si>
  <si>
    <t>Ascott Apartment Unit 1709, Jl. Kebon Kacang Raya No. 2, Jakarta Pusat 10230</t>
  </si>
  <si>
    <t>R-322</t>
  </si>
  <si>
    <t>Rusman</t>
  </si>
  <si>
    <t xml:space="preserve">Balai Pustaka Timur No.29
Rawamangun</t>
  </si>
  <si>
    <t>R-0943</t>
  </si>
  <si>
    <t xml:space="preserve">Taman Grisenda Blok D1/14
PIK</t>
  </si>
  <si>
    <t>R-1184</t>
  </si>
  <si>
    <t>R-494</t>
  </si>
  <si>
    <t>Renius</t>
  </si>
  <si>
    <t>R-1436</t>
  </si>
  <si>
    <t>Rennie</t>
  </si>
  <si>
    <t>628128482889</t>
  </si>
  <si>
    <t>R-0753</t>
  </si>
  <si>
    <t>Renno</t>
  </si>
  <si>
    <t>WIcaksono</t>
  </si>
  <si>
    <t>renno.wicak@gmail.com</t>
  </si>
  <si>
    <t>Jalan Hangtuah Raya 46</t>
  </si>
  <si>
    <t>R-1488</t>
  </si>
  <si>
    <t>Renny</t>
  </si>
  <si>
    <t>Khow</t>
  </si>
  <si>
    <t>6287878818985</t>
  </si>
  <si>
    <t>R-1057</t>
  </si>
  <si>
    <t>Soedino</t>
  </si>
  <si>
    <t>R-0875</t>
  </si>
  <si>
    <t>6281286899990</t>
  </si>
  <si>
    <t>Condominium Green Bay Pluit Jl. Pluit Karang Ayu Blok BI Tower J .20.Ap</t>
  </si>
  <si>
    <t>R-1156</t>
  </si>
  <si>
    <t>Reno</t>
  </si>
  <si>
    <t>R-1346</t>
  </si>
  <si>
    <t>Renova</t>
  </si>
  <si>
    <t>R-0847</t>
  </si>
  <si>
    <t>Reny</t>
  </si>
  <si>
    <t>R-0963</t>
  </si>
  <si>
    <t>Afriani</t>
  </si>
  <si>
    <t>Apt.Tower Lt.II Unit No.7</t>
  </si>
  <si>
    <t>R-449</t>
  </si>
  <si>
    <t>Reni Sitawati</t>
  </si>
  <si>
    <t>0811160121</t>
  </si>
  <si>
    <t xml:space="preserve">Jl.Keamnggisan Raya No: 56
Slipi</t>
  </si>
  <si>
    <t>R-0917</t>
  </si>
  <si>
    <t>Sarmili</t>
  </si>
  <si>
    <t>Taman Kedoya Indah Kav SH JAKBAR</t>
  </si>
  <si>
    <t>R-1318</t>
  </si>
  <si>
    <t>Pelangi Ungu 6 C3T/20</t>
  </si>
  <si>
    <t>R-461</t>
  </si>
  <si>
    <t>Reo</t>
  </si>
  <si>
    <t>Tokimasa</t>
  </si>
  <si>
    <t>R-1279</t>
  </si>
  <si>
    <t>Rere</t>
  </si>
  <si>
    <t>Napitu Pulu</t>
  </si>
  <si>
    <t>62811805565</t>
  </si>
  <si>
    <t>R-1396</t>
  </si>
  <si>
    <t>Reny Sukmawati</t>
  </si>
  <si>
    <t>reretabita@gmail.com</t>
  </si>
  <si>
    <t>628112105757</t>
  </si>
  <si>
    <t>R-468</t>
  </si>
  <si>
    <t>R-1217</t>
  </si>
  <si>
    <t>Resende</t>
  </si>
  <si>
    <t>R-1261</t>
  </si>
  <si>
    <t>R-0746</t>
  </si>
  <si>
    <t>Resi</t>
  </si>
  <si>
    <t>R-517</t>
  </si>
  <si>
    <t>Resila</t>
  </si>
  <si>
    <t>Kaniya</t>
  </si>
  <si>
    <t>R-330</t>
  </si>
  <si>
    <t>Resita</t>
  </si>
  <si>
    <t>R-0871</t>
  </si>
  <si>
    <t>Resmin</t>
  </si>
  <si>
    <t>Sijabat</t>
  </si>
  <si>
    <t>Jln.Raden Saleh N0.40</t>
  </si>
  <si>
    <t>R-1460</t>
  </si>
  <si>
    <t>Resse Kay</t>
  </si>
  <si>
    <t>Uwe</t>
  </si>
  <si>
    <t>kay.reese@me.com</t>
  </si>
  <si>
    <t>491726887000</t>
  </si>
  <si>
    <t>R-1094</t>
  </si>
  <si>
    <t>Ressy</t>
  </si>
  <si>
    <t>Jl. Pagaden No. 52 Kawalu</t>
  </si>
  <si>
    <t>R-1201</t>
  </si>
  <si>
    <t>Ressya</t>
  </si>
  <si>
    <t>Apt.Elpis Kemayoran Jakarta Pusat</t>
  </si>
  <si>
    <t>R-1212</t>
  </si>
  <si>
    <t>Resta</t>
  </si>
  <si>
    <t>Delvini</t>
  </si>
  <si>
    <t>R-0821</t>
  </si>
  <si>
    <t>R-1191</t>
  </si>
  <si>
    <t>Resti Stephanie</t>
  </si>
  <si>
    <t>62818806168</t>
  </si>
  <si>
    <t>R-0957</t>
  </si>
  <si>
    <t>Streifer</t>
  </si>
  <si>
    <t>+6281210586689</t>
  </si>
  <si>
    <t>R-0889</t>
  </si>
  <si>
    <t>Restia</t>
  </si>
  <si>
    <t>R-1041</t>
  </si>
  <si>
    <t>Restu</t>
  </si>
  <si>
    <t>Violet</t>
  </si>
  <si>
    <t>R-1492</t>
  </si>
  <si>
    <t>restuwinarno256@gmail.com</t>
  </si>
  <si>
    <t>6289604179700</t>
  </si>
  <si>
    <t>R-1063</t>
  </si>
  <si>
    <t>R-282</t>
  </si>
  <si>
    <t>Retno</t>
  </si>
  <si>
    <t>R-068</t>
  </si>
  <si>
    <t>Cahyaningtyas</t>
  </si>
  <si>
    <t>Jl. Kartanegara 2A</t>
  </si>
  <si>
    <t>R-336</t>
  </si>
  <si>
    <t>Jl.Brawaijaya VIII no.22,Kebayoran Baru</t>
  </si>
  <si>
    <t>R-0788</t>
  </si>
  <si>
    <t>AIPDA KS TUBUN 130B</t>
  </si>
  <si>
    <t>R-1464</t>
  </si>
  <si>
    <t>Melianti</t>
  </si>
  <si>
    <t>retnomelianti19@gmail.com</t>
  </si>
  <si>
    <t>6285212132474</t>
  </si>
  <si>
    <t>Jl. Kelurahan No.21 Jakarta Selatan</t>
  </si>
  <si>
    <t>R-0988</t>
  </si>
  <si>
    <t>Murwani</t>
  </si>
  <si>
    <t>R-597</t>
  </si>
  <si>
    <t>Nugraheni</t>
  </si>
  <si>
    <t>6281384990099</t>
  </si>
  <si>
    <t>R-0700</t>
  </si>
  <si>
    <t>Soelistianti</t>
  </si>
  <si>
    <t>soelistianti@gmail.com</t>
  </si>
  <si>
    <t>628121039937</t>
  </si>
  <si>
    <t>(Date Of Birthday 12-07-1973)</t>
  </si>
  <si>
    <t>R-0993</t>
  </si>
  <si>
    <t>Triwahyuni</t>
  </si>
  <si>
    <t>retnoparis@gmail.com</t>
  </si>
  <si>
    <t xml:space="preserve">Jl.Legian Kaja 490
Villa Bali
Bali 8'+6231
anniverasry 31 Nop 2015</t>
  </si>
  <si>
    <t>R-069</t>
  </si>
  <si>
    <t>Retnofati</t>
  </si>
  <si>
    <t>R-1140</t>
  </si>
  <si>
    <t>Reva</t>
  </si>
  <si>
    <t>R-1268</t>
  </si>
  <si>
    <t>Revani</t>
  </si>
  <si>
    <t>Triyana</t>
  </si>
  <si>
    <t>revani.triyana@gmail.com</t>
  </si>
  <si>
    <t>R-0743</t>
  </si>
  <si>
    <t>Revata</t>
  </si>
  <si>
    <t>Silaparamita</t>
  </si>
  <si>
    <t>R-070</t>
  </si>
  <si>
    <t>Revi</t>
  </si>
  <si>
    <t>JL. Angke Jaya I / 37</t>
  </si>
  <si>
    <t>R-0716</t>
  </si>
  <si>
    <t>R-501</t>
  </si>
  <si>
    <t>Revia</t>
  </si>
  <si>
    <t>R-538</t>
  </si>
  <si>
    <t>Revin</t>
  </si>
  <si>
    <t>Ghazaly</t>
  </si>
  <si>
    <t>revin.ghazaly@gmail.com</t>
  </si>
  <si>
    <t>R-0906</t>
  </si>
  <si>
    <t>Revina</t>
  </si>
  <si>
    <t>R-1276</t>
  </si>
  <si>
    <t>Reygina</t>
  </si>
  <si>
    <t>Allagan</t>
  </si>
  <si>
    <t>the.cherry.tales@gmail.com</t>
  </si>
  <si>
    <t>7 Sophia RD, #01-06 Singapore 228192</t>
  </si>
  <si>
    <t>R-504</t>
  </si>
  <si>
    <t>Reynaldo</t>
  </si>
  <si>
    <t>Bruss</t>
  </si>
  <si>
    <t xml:space="preserve">Jl. Kamper No.7 
18 Februari 1984</t>
  </si>
  <si>
    <t>R-1432</t>
  </si>
  <si>
    <t>Reyndy</t>
  </si>
  <si>
    <t>reyndyfernando@gmail.com</t>
  </si>
  <si>
    <t>+628119181254</t>
  </si>
  <si>
    <t>R-1124</t>
  </si>
  <si>
    <t>Reynold</t>
  </si>
  <si>
    <t>R-0922</t>
  </si>
  <si>
    <t>Reyza</t>
  </si>
  <si>
    <t>R-298</t>
  </si>
  <si>
    <t>Taman Alfa INdah B19/5</t>
  </si>
  <si>
    <t>R-1082</t>
  </si>
  <si>
    <t>+6287773102575</t>
  </si>
  <si>
    <t>R-1006</t>
  </si>
  <si>
    <t>Jln, Paus B1 N0.9 Pondok Aren</t>
  </si>
  <si>
    <t>R-1420</t>
  </si>
  <si>
    <t>Ashary</t>
  </si>
  <si>
    <t>6282277886464</t>
  </si>
  <si>
    <t>Bendungan Hilir</t>
  </si>
  <si>
    <t>R-1269</t>
  </si>
  <si>
    <t>Chandika</t>
  </si>
  <si>
    <t>Legoso Raya No 10 Tangerang Selatan</t>
  </si>
  <si>
    <t>R-1450</t>
  </si>
  <si>
    <t>6281313222067</t>
  </si>
  <si>
    <t>R-1237</t>
  </si>
  <si>
    <t>Dante</t>
  </si>
  <si>
    <t>RZHAMAMI2309@GMAIL.COM</t>
  </si>
  <si>
    <t>R-280</t>
  </si>
  <si>
    <t>Haruman</t>
  </si>
  <si>
    <t xml:space="preserve">The Pakubuwono Residence 812 S
Pakubuwono VI No.68</t>
  </si>
  <si>
    <t>R-1358</t>
  </si>
  <si>
    <t>+62811887387</t>
  </si>
  <si>
    <t>R-621</t>
  </si>
  <si>
    <t>Suganda</t>
  </si>
  <si>
    <t>R-1399</t>
  </si>
  <si>
    <t>Sungkono</t>
  </si>
  <si>
    <t>628168925584</t>
  </si>
  <si>
    <t>R-1281</t>
  </si>
  <si>
    <t>Anggara</t>
  </si>
  <si>
    <t>R-1009</t>
  </si>
  <si>
    <t>reza.a.wicaksono@gmail.com</t>
  </si>
  <si>
    <t>R-1473</t>
  </si>
  <si>
    <t>Md. Rezaul</t>
  </si>
  <si>
    <t>Bari</t>
  </si>
  <si>
    <t>+8801711989507</t>
  </si>
  <si>
    <t>R-1433</t>
  </si>
  <si>
    <t>Rezha Anrie</t>
  </si>
  <si>
    <t>Hadad</t>
  </si>
  <si>
    <t>rezhahadad@gmail.com</t>
  </si>
  <si>
    <t>6281511100210</t>
  </si>
  <si>
    <t>Duren 3 Selatan No.32</t>
  </si>
  <si>
    <t>R-1102</t>
  </si>
  <si>
    <t>Rezki</t>
  </si>
  <si>
    <t>R-1066</t>
  </si>
  <si>
    <t>Rezko</t>
  </si>
  <si>
    <t>R-1005</t>
  </si>
  <si>
    <t>Rhayna</t>
  </si>
  <si>
    <t>R-1306</t>
  </si>
  <si>
    <t>Rheine</t>
  </si>
  <si>
    <t>R-1349</t>
  </si>
  <si>
    <t>Rhena</t>
  </si>
  <si>
    <t>Sunarno</t>
  </si>
  <si>
    <t>R-1453</t>
  </si>
  <si>
    <t>Rhenca</t>
  </si>
  <si>
    <t>Pristara</t>
  </si>
  <si>
    <t>rhencaap@gmail.com</t>
  </si>
  <si>
    <t>Apt. Meikarta - Bekasih</t>
  </si>
  <si>
    <t>R-1033</t>
  </si>
  <si>
    <t>Rhesita</t>
  </si>
  <si>
    <t>Yustitiana</t>
  </si>
  <si>
    <t>yustitia17@gmail.com</t>
  </si>
  <si>
    <t>R-1497</t>
  </si>
  <si>
    <t>Rheza</t>
  </si>
  <si>
    <t>Rheza.cr@gmail.com</t>
  </si>
  <si>
    <t>628111229229</t>
  </si>
  <si>
    <t>R-615</t>
  </si>
  <si>
    <t>Rhineka</t>
  </si>
  <si>
    <t>rhineka.sariyusan@gmail.com</t>
  </si>
  <si>
    <t>Cluster Serenada Lake Blok c10/Paramount Gading serpong</t>
  </si>
  <si>
    <t>R-0876</t>
  </si>
  <si>
    <t>R-478</t>
  </si>
  <si>
    <t>R-396</t>
  </si>
  <si>
    <t>R-0904</t>
  </si>
  <si>
    <t xml:space="preserve">Jl. Pesanggrahan No.11
Jakarta 11620</t>
  </si>
  <si>
    <t>R-1047</t>
  </si>
  <si>
    <t>Rica</t>
  </si>
  <si>
    <t>6282229299929</t>
  </si>
  <si>
    <t>R-0967</t>
  </si>
  <si>
    <t>Andryanto</t>
  </si>
  <si>
    <t xml:space="preserve">Garden House 
Jalan Garden Marble PIK</t>
  </si>
  <si>
    <t>R-664</t>
  </si>
  <si>
    <t>R-0741</t>
  </si>
  <si>
    <t>Ranayu</t>
  </si>
  <si>
    <t>R-409</t>
  </si>
  <si>
    <t>Chau</t>
  </si>
  <si>
    <t>Vila Taman Gapura F2 No.7 Citra Land Surabaya</t>
  </si>
  <si>
    <t>R-361</t>
  </si>
  <si>
    <t>Dwijayani</t>
  </si>
  <si>
    <t>R-073</t>
  </si>
  <si>
    <t>Helfajar</t>
  </si>
  <si>
    <t>Jl. Pangkalan Jati III No. 12A</t>
  </si>
  <si>
    <t>Cipinang Melayu</t>
  </si>
  <si>
    <t>R-369</t>
  </si>
  <si>
    <t>Pasaman</t>
  </si>
  <si>
    <t>R-611</t>
  </si>
  <si>
    <t>R-474</t>
  </si>
  <si>
    <t>R-549</t>
  </si>
  <si>
    <t>6281384840265</t>
  </si>
  <si>
    <t>Plaza Aminta, 2nd Floor, Jl. TB Simatupang No. 10</t>
  </si>
  <si>
    <t>R-1443</t>
  </si>
  <si>
    <t>6281110700</t>
  </si>
  <si>
    <t>R-079</t>
  </si>
  <si>
    <t>riaprawiro@yahoo.com</t>
  </si>
  <si>
    <t xml:space="preserve">Jl. Gedung Pinang SM 10
Pondok Indah</t>
  </si>
  <si>
    <t>R-1347</t>
  </si>
  <si>
    <t>628121226099</t>
  </si>
  <si>
    <t>R-1343</t>
  </si>
  <si>
    <t>Ria Radja</t>
  </si>
  <si>
    <t>Haba</t>
  </si>
  <si>
    <t>rradjahaba@gmail.com</t>
  </si>
  <si>
    <t>+6281237927211</t>
  </si>
  <si>
    <t>Jl.Bendungan Jatiluhur No.42 Jakarta Pusat</t>
  </si>
  <si>
    <t>R-1278</t>
  </si>
  <si>
    <t>+628113330110</t>
  </si>
  <si>
    <t>R-601</t>
  </si>
  <si>
    <t>R-1366</t>
  </si>
  <si>
    <t>riagustina.tbn@gmail.com</t>
  </si>
  <si>
    <t>628111800223</t>
  </si>
  <si>
    <t>Villa Gading Indah O/37, Jakarta</t>
  </si>
  <si>
    <t>R-0762</t>
  </si>
  <si>
    <t>R-540</t>
  </si>
  <si>
    <t>Taman Parahyangan 5 No.28, Lippo Karawaci</t>
  </si>
  <si>
    <t>R-080</t>
  </si>
  <si>
    <t>0818695927</t>
  </si>
  <si>
    <t>Jl. Suka Lestari I Blok L No. 18</t>
  </si>
  <si>
    <t>R-1241</t>
  </si>
  <si>
    <t>R-1116</t>
  </si>
  <si>
    <t>Ria,</t>
  </si>
  <si>
    <t>R-0946</t>
  </si>
  <si>
    <t>Rian</t>
  </si>
  <si>
    <t>R-0845</t>
  </si>
  <si>
    <t>R-1459</t>
  </si>
  <si>
    <t>Rian Aqsa</t>
  </si>
  <si>
    <t>rianaqsa@yahoo.com</t>
  </si>
  <si>
    <t>6287885738488</t>
  </si>
  <si>
    <t>R-0916</t>
  </si>
  <si>
    <t>D.S</t>
  </si>
  <si>
    <t>R-0705</t>
  </si>
  <si>
    <t>R-1052</t>
  </si>
  <si>
    <t>Ibram</t>
  </si>
  <si>
    <t>R-1389</t>
  </si>
  <si>
    <t>Pradipta</t>
  </si>
  <si>
    <t>62811861902</t>
  </si>
  <si>
    <t>Jl Kelud No.4</t>
  </si>
  <si>
    <t>R-484</t>
  </si>
  <si>
    <t>R-1053</t>
  </si>
  <si>
    <t>Ticen</t>
  </si>
  <si>
    <t>6281316551188</t>
  </si>
  <si>
    <t>R-0816</t>
  </si>
  <si>
    <t>Riana</t>
  </si>
  <si>
    <t>R-464</t>
  </si>
  <si>
    <t>Bismarak</t>
  </si>
  <si>
    <t>R-1319</t>
  </si>
  <si>
    <t>Budiastuti</t>
  </si>
  <si>
    <t>rianaeka.budiastuti@gmail.com</t>
  </si>
  <si>
    <t>Jl.Talang Bengkok GMR I-2</t>
  </si>
  <si>
    <t>R-1021</t>
  </si>
  <si>
    <t>Fortunata</t>
  </si>
  <si>
    <t>R-074</t>
  </si>
  <si>
    <t>6281212000202</t>
  </si>
  <si>
    <t>R-0952</t>
  </si>
  <si>
    <t>Rilanda</t>
  </si>
  <si>
    <t>R-1408</t>
  </si>
  <si>
    <t>Rianik</t>
  </si>
  <si>
    <t>rianik.lim@gmail,com</t>
  </si>
  <si>
    <t>6281338288888</t>
  </si>
  <si>
    <t>Jl Soeharto 116A</t>
  </si>
  <si>
    <t>NTT</t>
  </si>
  <si>
    <t>85141</t>
  </si>
  <si>
    <t>R-1277</t>
  </si>
  <si>
    <t>Rianti</t>
  </si>
  <si>
    <t>R-539</t>
  </si>
  <si>
    <t>Dwiastuti</t>
  </si>
  <si>
    <t>riantidwiastuti@hotmail.com</t>
  </si>
  <si>
    <t xml:space="preserve">Jl. Agraria Blok E No. B6
Pondok Labu, CIlandak</t>
  </si>
  <si>
    <t>R-076</t>
  </si>
  <si>
    <t>62816795577</t>
  </si>
  <si>
    <t>Jl. Wijaya III No. 4</t>
  </si>
  <si>
    <t>R-077</t>
  </si>
  <si>
    <t>Nurhadi</t>
  </si>
  <si>
    <t>R-618</t>
  </si>
  <si>
    <t>Rianty</t>
  </si>
  <si>
    <t>R-1368</t>
  </si>
  <si>
    <t>Ana Carolina</t>
  </si>
  <si>
    <t>Ribeiro Valadares Gontijo</t>
  </si>
  <si>
    <t>nramalho@cbve.com.br</t>
  </si>
  <si>
    <t>5531992269892</t>
  </si>
  <si>
    <t>R-0681</t>
  </si>
  <si>
    <t>Ribka</t>
  </si>
  <si>
    <t>628161838871</t>
  </si>
  <si>
    <t xml:space="preserve">Puri Menia
Blok C7/36
Kembangan</t>
  </si>
  <si>
    <t>R-0970</t>
  </si>
  <si>
    <t>R-0996</t>
  </si>
  <si>
    <t>Septiyana</t>
  </si>
  <si>
    <t>+6281232000475</t>
  </si>
  <si>
    <t>Cluster Vienna VN 9/91 Tangerang</t>
  </si>
  <si>
    <t>R-1239</t>
  </si>
  <si>
    <t>Ricardo</t>
  </si>
  <si>
    <t>+6282111911777</t>
  </si>
  <si>
    <t>Villa Melati Mas L1 no 6</t>
  </si>
  <si>
    <t>R-1187</t>
  </si>
  <si>
    <t>R-1308</t>
  </si>
  <si>
    <t>Rice</t>
  </si>
  <si>
    <t>rice520633@hotmail.com</t>
  </si>
  <si>
    <t>R-1462</t>
  </si>
  <si>
    <t>Richan</t>
  </si>
  <si>
    <t>Mudzakar</t>
  </si>
  <si>
    <t>Richan@arminarekaperdana.com</t>
  </si>
  <si>
    <t>6281380605236</t>
  </si>
  <si>
    <t>M-1216</t>
  </si>
  <si>
    <t>R-0973</t>
  </si>
  <si>
    <t>R-1288</t>
  </si>
  <si>
    <t>R-1065</t>
  </si>
  <si>
    <t>6285222222002</t>
  </si>
  <si>
    <t>R-458</t>
  </si>
  <si>
    <t>Dagvise</t>
  </si>
  <si>
    <t>R-585</t>
  </si>
  <si>
    <t>Dharmadi</t>
  </si>
  <si>
    <t>R-1369</t>
  </si>
  <si>
    <t>+628113000145</t>
  </si>
  <si>
    <t>R-414</t>
  </si>
  <si>
    <t>R-082</t>
  </si>
  <si>
    <t>3rd Fl. Grand Hyatt Galleria</t>
  </si>
  <si>
    <t>Jl. MH. Thamrin Kav. 28</t>
  </si>
  <si>
    <t>R-1380</t>
  </si>
  <si>
    <t>dr.richardlee85@gmail.com</t>
  </si>
  <si>
    <t>6282177577577</t>
  </si>
  <si>
    <t>R-1227</t>
  </si>
  <si>
    <t>Richard Arief</t>
  </si>
  <si>
    <t>richard.muljadi@gmail.com</t>
  </si>
  <si>
    <t>+6281919051919</t>
  </si>
  <si>
    <t>Providence Park Apartment Unit 31B, Jl. Kalimaya No. 27, Permata Hijau, Jakarta Selatan 12210</t>
  </si>
  <si>
    <t>R-083</t>
  </si>
  <si>
    <t>Nyotokusumo</t>
  </si>
  <si>
    <t>Jl. Ir. H. Juanda 42</t>
  </si>
  <si>
    <t>R-0898</t>
  </si>
  <si>
    <t>R-0789</t>
  </si>
  <si>
    <t>Jl. Pratama No.12 Duren Sawit</t>
  </si>
  <si>
    <t>R-0826</t>
  </si>
  <si>
    <t>Siswoyo</t>
  </si>
  <si>
    <t>R-0893</t>
  </si>
  <si>
    <t>Smith</t>
  </si>
  <si>
    <t>javaricho65@gmail.com</t>
  </si>
  <si>
    <t>R-251</t>
  </si>
  <si>
    <t>Soeprapto</t>
  </si>
  <si>
    <t>soeprapto_richard@yahoo.com</t>
  </si>
  <si>
    <t>Dharmawangsa 17/B - 43</t>
  </si>
  <si>
    <t>R-1477</t>
  </si>
  <si>
    <t>Wandri</t>
  </si>
  <si>
    <t>+6285920020097</t>
  </si>
  <si>
    <t>Diamond Golf PIK</t>
  </si>
  <si>
    <t>R-1507</t>
  </si>
  <si>
    <t>richard.wong1997@gmail.com</t>
  </si>
  <si>
    <t>+628115802212</t>
  </si>
  <si>
    <t>R-1023</t>
  </si>
  <si>
    <t>Richardson</t>
  </si>
  <si>
    <t>Jayaputra</t>
  </si>
  <si>
    <t>R-1136</t>
  </si>
  <si>
    <t>Richenda</t>
  </si>
  <si>
    <t>R-1444</t>
  </si>
  <si>
    <t>Richie</t>
  </si>
  <si>
    <t>Wahyoe</t>
  </si>
  <si>
    <t>richiebagus9@gmail.com</t>
  </si>
  <si>
    <t>Jl Satria No14 Grogol</t>
  </si>
  <si>
    <t>R-1506</t>
  </si>
  <si>
    <t>Ricka</t>
  </si>
  <si>
    <t>Ambarini</t>
  </si>
  <si>
    <t>rickaadinda@yahoo.com</t>
  </si>
  <si>
    <t>628119872303</t>
  </si>
  <si>
    <t>Verde Apartment</t>
  </si>
  <si>
    <t>R-1189</t>
  </si>
  <si>
    <t>Rickhen</t>
  </si>
  <si>
    <t>R-435</t>
  </si>
  <si>
    <t>Ricky</t>
  </si>
  <si>
    <t>R-259</t>
  </si>
  <si>
    <t>R-086</t>
  </si>
  <si>
    <t>Gd Peluru Selatan II/354</t>
  </si>
  <si>
    <t>R-1004</t>
  </si>
  <si>
    <t>R-1018</t>
  </si>
  <si>
    <t>R-1166</t>
  </si>
  <si>
    <t>+628121888805</t>
  </si>
  <si>
    <t xml:space="preserve">Evian Garden 32B French Walk Apartment ,MOI,
Kelapa Gading</t>
  </si>
  <si>
    <t>R-302</t>
  </si>
  <si>
    <t>Donals</t>
  </si>
  <si>
    <t>R-1254</t>
  </si>
  <si>
    <t>E.R</t>
  </si>
  <si>
    <t>R-1024</t>
  </si>
  <si>
    <t>Pantai Mutiara Blok Sano 1A</t>
  </si>
  <si>
    <t>R-321</t>
  </si>
  <si>
    <t>Istamto</t>
  </si>
  <si>
    <t>628151800323</t>
  </si>
  <si>
    <t xml:space="preserve">Graha Taman HC 10 No.3 Sektor 9
Bintaro</t>
  </si>
  <si>
    <t>R-1494</t>
  </si>
  <si>
    <t>Laurel</t>
  </si>
  <si>
    <t>ricky.laurel@yahoo.com</t>
  </si>
  <si>
    <t>6281219181870</t>
  </si>
  <si>
    <t>R-480</t>
  </si>
  <si>
    <t>R-252</t>
  </si>
  <si>
    <t>Jl. Jend Gatot Subroto 177 A Kav 56</t>
  </si>
  <si>
    <t>R-1482</t>
  </si>
  <si>
    <t>Ricky.tanzil@yahoo.com</t>
  </si>
  <si>
    <t>6282125592513</t>
  </si>
  <si>
    <t>R-541</t>
  </si>
  <si>
    <t>ricky.utomo@bulgarihotels.com</t>
  </si>
  <si>
    <t>R-1240</t>
  </si>
  <si>
    <t>solo central</t>
  </si>
  <si>
    <t>M-1496</t>
  </si>
  <si>
    <t>62811647272</t>
  </si>
  <si>
    <t>R-0931</t>
  </si>
  <si>
    <t>Wirianto</t>
  </si>
  <si>
    <t>Sutera Onyx 12 No. 8</t>
  </si>
  <si>
    <t>Tangerang, Banten</t>
  </si>
  <si>
    <t>R-0862</t>
  </si>
  <si>
    <t>Wutama</t>
  </si>
  <si>
    <t>R-1103</t>
  </si>
  <si>
    <t>Rico</t>
  </si>
  <si>
    <t>R-1287</t>
  </si>
  <si>
    <t>Golf Island PIK, Cluster Harmony 8 No 67</t>
  </si>
  <si>
    <t>R-1334</t>
  </si>
  <si>
    <t>Tanggara</t>
  </si>
  <si>
    <t>R-656</t>
  </si>
  <si>
    <t>Riddhi</t>
  </si>
  <si>
    <t>R-523</t>
  </si>
  <si>
    <t>Umam</t>
  </si>
  <si>
    <t>R-1001</t>
  </si>
  <si>
    <t>Irsal</t>
  </si>
  <si>
    <t>ridho.masruri@yahoo.com</t>
  </si>
  <si>
    <t>Jl. Lembah Palem Blok J9 No.20</t>
  </si>
  <si>
    <t>R-1248</t>
  </si>
  <si>
    <t>R-092</t>
  </si>
  <si>
    <t>Tebet Timur Dalam 4/16</t>
  </si>
  <si>
    <t>R-1135</t>
  </si>
  <si>
    <t>Alannuary</t>
  </si>
  <si>
    <t>R-0901</t>
  </si>
  <si>
    <t>R-529</t>
  </si>
  <si>
    <t>Jl Cibodas 2 No.31 Puri Cinere.</t>
  </si>
  <si>
    <t>R-1323</t>
  </si>
  <si>
    <t>wijaya_ridwan@icloud.com</t>
  </si>
  <si>
    <t>PHG, Jade S 1 No.19a</t>
  </si>
  <si>
    <t>R-0685</t>
  </si>
  <si>
    <t>ridwanwijaya04@gmail.com</t>
  </si>
  <si>
    <t>Jembatan Lima TSS no 101</t>
  </si>
  <si>
    <t>R-1232</t>
  </si>
  <si>
    <t>Rienna</t>
  </si>
  <si>
    <t>Diansari</t>
  </si>
  <si>
    <t>R-668</t>
  </si>
  <si>
    <t>Riesanna</t>
  </si>
  <si>
    <t>R-0699</t>
  </si>
  <si>
    <t>Riesca Martina</t>
  </si>
  <si>
    <t>Rustombi</t>
  </si>
  <si>
    <t>6281314581234</t>
  </si>
  <si>
    <t>The Capital Residence APT Tower 1-16A SCBD Lot 24</t>
  </si>
  <si>
    <t>R-309</t>
  </si>
  <si>
    <t>Riesca</t>
  </si>
  <si>
    <t>Simanur</t>
  </si>
  <si>
    <t>R-1322</t>
  </si>
  <si>
    <t>Rifaldy</t>
  </si>
  <si>
    <t>6282231114031</t>
  </si>
  <si>
    <t>Perum Metropolitan Blok F No 2, Makasar</t>
  </si>
  <si>
    <t>R-1382</t>
  </si>
  <si>
    <t>Rifat rabeya</t>
  </si>
  <si>
    <t>Qassim</t>
  </si>
  <si>
    <t>rabiaqassim@gmail.com</t>
  </si>
  <si>
    <t>+923028239734</t>
  </si>
  <si>
    <t>R-400</t>
  </si>
  <si>
    <t>Rifki</t>
  </si>
  <si>
    <t>N-0627</t>
  </si>
  <si>
    <t>Rifky</t>
  </si>
  <si>
    <t>rifky_ramdani80@yahoo.com</t>
  </si>
  <si>
    <t>6281280373000</t>
  </si>
  <si>
    <t>Jl.Janur Raya Blok B No 28</t>
  </si>
  <si>
    <t>R-0956</t>
  </si>
  <si>
    <t>Rifqi</t>
  </si>
  <si>
    <t>R-646</t>
  </si>
  <si>
    <t>Riicky</t>
  </si>
  <si>
    <t>Silaen</t>
  </si>
  <si>
    <t>Komp POLRI Duren Tiga No.20</t>
  </si>
  <si>
    <t>R-0934</t>
  </si>
  <si>
    <t>Rika</t>
  </si>
  <si>
    <t>R-482</t>
  </si>
  <si>
    <t>R-645</t>
  </si>
  <si>
    <t>R-1260</t>
  </si>
  <si>
    <t>R-1300</t>
  </si>
  <si>
    <t>R-1253</t>
  </si>
  <si>
    <t>Afriati/Munadi</t>
  </si>
  <si>
    <t>R-094</t>
  </si>
  <si>
    <t>rika.amelia.trafoindo@gmail.com</t>
  </si>
  <si>
    <t>Apartemen Mediterania Garden Tower A-19-BL</t>
  </si>
  <si>
    <t>R-0959</t>
  </si>
  <si>
    <t>Balkis</t>
  </si>
  <si>
    <t xml:space="preserve">Aquila Residence 
Jl. Garuda 
Medan</t>
  </si>
  <si>
    <t>R-1262</t>
  </si>
  <si>
    <t>Beiby</t>
  </si>
  <si>
    <t xml:space="preserve">Jln. Kebon Sirih Satelit Blok 6 N0.4
Palembang</t>
  </si>
  <si>
    <t>R-1431</t>
  </si>
  <si>
    <t>rika18.md@gmail.com</t>
  </si>
  <si>
    <t>+6285226070707</t>
  </si>
  <si>
    <t>Barcelona Residence C7,</t>
  </si>
  <si>
    <t>R-0992</t>
  </si>
  <si>
    <t>R-1059</t>
  </si>
  <si>
    <t>Jl.Dharmawangsa XVII No.37C</t>
  </si>
  <si>
    <t>R-0954</t>
  </si>
  <si>
    <t>6287829071970</t>
  </si>
  <si>
    <t>R-477</t>
  </si>
  <si>
    <t>Rika Kato</t>
  </si>
  <si>
    <t>+628118705111</t>
  </si>
  <si>
    <t>Jl. Dharmawangsa XVII No. 37C</t>
  </si>
  <si>
    <t>R-0755</t>
  </si>
  <si>
    <t>Mandalany</t>
  </si>
  <si>
    <t>R-1210</t>
  </si>
  <si>
    <t>R-1146</t>
  </si>
  <si>
    <t>Pauzie</t>
  </si>
  <si>
    <t>+628118300288</t>
  </si>
  <si>
    <t>R-1169</t>
  </si>
  <si>
    <t>Pattimura No 8Q Komp Greatwall Binjai</t>
  </si>
  <si>
    <t>R-096</t>
  </si>
  <si>
    <t>Jl. Cipinang Baru No. 30</t>
  </si>
  <si>
    <t>R-1114</t>
  </si>
  <si>
    <t>R-1307</t>
  </si>
  <si>
    <t>R-0877</t>
  </si>
  <si>
    <t>Sugesti</t>
  </si>
  <si>
    <t>R-0984</t>
  </si>
  <si>
    <t>R-1230</t>
  </si>
  <si>
    <t>6285921258937</t>
  </si>
  <si>
    <t>Apartment south Hills Unit 30N</t>
  </si>
  <si>
    <t>R-1400</t>
  </si>
  <si>
    <t>62813315002154</t>
  </si>
  <si>
    <t>R-1208</t>
  </si>
  <si>
    <t>Rikhai</t>
  </si>
  <si>
    <t>Lok</t>
  </si>
  <si>
    <t>R-609</t>
  </si>
  <si>
    <t>Riki</t>
  </si>
  <si>
    <t>Yariandi</t>
  </si>
  <si>
    <t>rikiyariandi@yahoo.com</t>
  </si>
  <si>
    <t xml:space="preserve">Jl. Tambak II No.1
Pegangsaan
Menteng</t>
  </si>
  <si>
    <t>R-1072</t>
  </si>
  <si>
    <t>Rikka</t>
  </si>
  <si>
    <t>Anggitha</t>
  </si>
  <si>
    <t>rikkapardede@yahoo.com</t>
  </si>
  <si>
    <t>R-098</t>
  </si>
  <si>
    <t>Rikko</t>
  </si>
  <si>
    <t>031 71003000</t>
  </si>
  <si>
    <t xml:space="preserve">Graha Family Kondominium Prima B 803
Surabaya</t>
  </si>
  <si>
    <t>R-1046</t>
  </si>
  <si>
    <t>Riko</t>
  </si>
  <si>
    <t>R-100</t>
  </si>
  <si>
    <t>Riky</t>
  </si>
  <si>
    <t>7th Fl. Hero Building II</t>
  </si>
  <si>
    <t>Jl. Jend. Gatot Subroto 177A Kav. 64</t>
  </si>
  <si>
    <t>R-1259</t>
  </si>
  <si>
    <t>Rilas</t>
  </si>
  <si>
    <t>R-1364</t>
  </si>
  <si>
    <t>Rildi triandana</t>
  </si>
  <si>
    <t>+6281219720284</t>
  </si>
  <si>
    <t>R-442</t>
  </si>
  <si>
    <t>R-0750</t>
  </si>
  <si>
    <t>Rilyani</t>
  </si>
  <si>
    <t>62816716666627</t>
  </si>
  <si>
    <t>R-1457</t>
  </si>
  <si>
    <t>Rilowidadi</t>
  </si>
  <si>
    <t>6282211904624</t>
  </si>
  <si>
    <t>R-1392</t>
  </si>
  <si>
    <t>Mardiayani</t>
  </si>
  <si>
    <t>rinamardani11@gmail.com</t>
  </si>
  <si>
    <t>6287797878931</t>
  </si>
  <si>
    <t>Jl.Cipete Raya no.12A, Jakarta Selatan</t>
  </si>
  <si>
    <t>R-527</t>
  </si>
  <si>
    <t>Rima</t>
  </si>
  <si>
    <t>R-0696</t>
  </si>
  <si>
    <t>Rimbi</t>
  </si>
  <si>
    <t>Brahmasari</t>
  </si>
  <si>
    <t>+6287876481288</t>
  </si>
  <si>
    <t>Kemang Selatan XII / Esmede B No.12A</t>
  </si>
  <si>
    <t>R-0767</t>
  </si>
  <si>
    <t>R-103</t>
  </si>
  <si>
    <t>Jl. KH. Mas Mansyur 47H</t>
  </si>
  <si>
    <t>R-111</t>
  </si>
  <si>
    <t>R-105</t>
  </si>
  <si>
    <t>R-324</t>
  </si>
  <si>
    <t>A[artement Istana Sahid ME #16A</t>
  </si>
  <si>
    <t>R-553</t>
  </si>
  <si>
    <t>Herkiamto</t>
  </si>
  <si>
    <t xml:space="preserve">Apartemen Istana Sahid Melati
Penihouse 20/21
Jl. Jendral Sudirman No66</t>
  </si>
  <si>
    <t>R-454</t>
  </si>
  <si>
    <t>R-654</t>
  </si>
  <si>
    <t>Soewando</t>
  </si>
  <si>
    <t>R-1342</t>
  </si>
  <si>
    <t>Jl. Pulomas IB No. 15, Jakarta 12310</t>
  </si>
  <si>
    <t>R-1451</t>
  </si>
  <si>
    <t>628119441109</t>
  </si>
  <si>
    <t>R-1491</t>
  </si>
  <si>
    <t>Rasdiana</t>
  </si>
  <si>
    <t>rrsdn7@gmail.com</t>
  </si>
  <si>
    <t>6281114082000</t>
  </si>
  <si>
    <t>Jl. Dharmawangsa X No.86</t>
  </si>
  <si>
    <t>R-1428</t>
  </si>
  <si>
    <t>Rosanawati</t>
  </si>
  <si>
    <t>6281519999088</t>
  </si>
  <si>
    <t>R-112</t>
  </si>
  <si>
    <t>R-1495</t>
  </si>
  <si>
    <t>rinasetyowati20@yahoo.com</t>
  </si>
  <si>
    <t>6281289525447</t>
  </si>
  <si>
    <t>R-1273</t>
  </si>
  <si>
    <t>Tosin</t>
  </si>
  <si>
    <t>+62816716263</t>
  </si>
  <si>
    <t xml:space="preserve">Jl. Simprug Golf 8 No. 88, Jakarta Selatan 12220
</t>
  </si>
  <si>
    <t>R-1472</t>
  </si>
  <si>
    <t>081288128885</t>
  </si>
  <si>
    <t>R-0927</t>
  </si>
  <si>
    <t>R-0886</t>
  </si>
  <si>
    <t>Rinaa</t>
  </si>
  <si>
    <t>R-108</t>
  </si>
  <si>
    <t>Hawadi</t>
  </si>
  <si>
    <t>JL. Gedung Hijau Raya No.34</t>
  </si>
  <si>
    <t>R-473</t>
  </si>
  <si>
    <t>Ph.D</t>
  </si>
  <si>
    <t xml:space="preserve">Apartment Thamrin Residence Tower Alamanda Lantain 39 Unit AK,
Jl Kebon Kacang Raya , Jakarta</t>
  </si>
  <si>
    <t>jakarta Pusat</t>
  </si>
  <si>
    <t>R-110</t>
  </si>
  <si>
    <t>62811985584</t>
  </si>
  <si>
    <t>Karang Asem Raya No.1-2, Kuningan Timur</t>
  </si>
  <si>
    <t>R-1190</t>
  </si>
  <si>
    <t>Rince</t>
  </si>
  <si>
    <t>Rostiani</t>
  </si>
  <si>
    <t>+6281386622939</t>
  </si>
  <si>
    <t xml:space="preserve">East Kemang Residence Kavling H 
Jln. Kemang Timur No.70,
Banka, Mampang Prapatan Jakarta Selatan</t>
  </si>
  <si>
    <t>R-0830</t>
  </si>
  <si>
    <t>Rinda</t>
  </si>
  <si>
    <t>R-1265</t>
  </si>
  <si>
    <t>District 8 Senopati 60H</t>
  </si>
  <si>
    <t>R-113</t>
  </si>
  <si>
    <t>Berliani</t>
  </si>
  <si>
    <t>Jl. Bangka Raya No. 10</t>
  </si>
  <si>
    <t>R-0781</t>
  </si>
  <si>
    <t>Jl Sutera Danau Biru 2 no 10</t>
  </si>
  <si>
    <t>M-1279</t>
  </si>
  <si>
    <t>Rindangsari</t>
  </si>
  <si>
    <t>Kurniawati.</t>
  </si>
  <si>
    <t>R-1438</t>
  </si>
  <si>
    <t>Rindawati</t>
  </si>
  <si>
    <t>FS</t>
  </si>
  <si>
    <t>rindafey@gmail.com</t>
  </si>
  <si>
    <t>628113600108</t>
  </si>
  <si>
    <t>R-1292</t>
  </si>
  <si>
    <t>Rindina</t>
  </si>
  <si>
    <t>Hundura</t>
  </si>
  <si>
    <t>R-1055</t>
  </si>
  <si>
    <t>Rindu</t>
  </si>
  <si>
    <t>Istomo</t>
  </si>
  <si>
    <t>R-1010</t>
  </si>
  <si>
    <t>R-466</t>
  </si>
  <si>
    <t>Rinek</t>
  </si>
  <si>
    <t>R-1295</t>
  </si>
  <si>
    <t>Ringel</t>
  </si>
  <si>
    <t>Ernst</t>
  </si>
  <si>
    <t>R-537</t>
  </si>
  <si>
    <t>Ringin</t>
  </si>
  <si>
    <t>R-116</t>
  </si>
  <si>
    <t>Rini</t>
  </si>
  <si>
    <t>Jl. Mangunggal II No. 8e</t>
  </si>
  <si>
    <t>Komp KODAM, Jatiwaringin</t>
  </si>
  <si>
    <t>R-402</t>
  </si>
  <si>
    <t>R-1088</t>
  </si>
  <si>
    <t>R-0759</t>
  </si>
  <si>
    <t>Satangga I No. 2, Makassar</t>
  </si>
  <si>
    <t>R-291</t>
  </si>
  <si>
    <t xml:space="preserve">Jl. Hegasari 3 No. 3
Bandung</t>
  </si>
  <si>
    <t>R-1499</t>
  </si>
  <si>
    <t>Djette_Three@yahoo.com</t>
  </si>
  <si>
    <t>6285211116667</t>
  </si>
  <si>
    <t>R-0715</t>
  </si>
  <si>
    <t>Ririn</t>
  </si>
  <si>
    <t>+6281297897936</t>
  </si>
  <si>
    <t>Puri Padi-Padi B17 Bintaro</t>
  </si>
  <si>
    <t>R-445</t>
  </si>
  <si>
    <t>Satanga 1 No 2 Makasar</t>
  </si>
  <si>
    <t>R-1012</t>
  </si>
  <si>
    <t>R-555</t>
  </si>
  <si>
    <t>Hendaris</t>
  </si>
  <si>
    <t>Jln.Bumi Ayu 37, Sanur</t>
  </si>
  <si>
    <t>R-117</t>
  </si>
  <si>
    <t>Setia Budi Barat No. 19</t>
  </si>
  <si>
    <t>R-0868</t>
  </si>
  <si>
    <t>Apartemen I Park Avanue</t>
  </si>
  <si>
    <t>R-0813</t>
  </si>
  <si>
    <t>628119091965</t>
  </si>
  <si>
    <t>R-334</t>
  </si>
  <si>
    <t>R-0978</t>
  </si>
  <si>
    <t>Raniwati</t>
  </si>
  <si>
    <t>Baranang Siang Indah CS NO.17</t>
  </si>
  <si>
    <t>R-491</t>
  </si>
  <si>
    <t>Rolens</t>
  </si>
  <si>
    <t>R-456</t>
  </si>
  <si>
    <t>Soeparmono</t>
  </si>
  <si>
    <t>Jl. Darmawangsa II</t>
  </si>
  <si>
    <t>R-488</t>
  </si>
  <si>
    <t>Sulistyowati</t>
  </si>
  <si>
    <t>R-1263</t>
  </si>
  <si>
    <t>Sumardi</t>
  </si>
  <si>
    <t>R-640</t>
  </si>
  <si>
    <t>R-1163</t>
  </si>
  <si>
    <t>62816925595</t>
  </si>
  <si>
    <t>R-380</t>
  </si>
  <si>
    <t>Sutiyoso</t>
  </si>
  <si>
    <t>R-1413</t>
  </si>
  <si>
    <t>Syahminur</t>
  </si>
  <si>
    <t>rini.syahminur@gmail.com</t>
  </si>
  <si>
    <t>+628170082165</t>
  </si>
  <si>
    <t>Jalan Janur XV CH 22-23, Jakarta Timur 13450</t>
  </si>
  <si>
    <t>R-493</t>
  </si>
  <si>
    <t>R-1101</t>
  </si>
  <si>
    <t>R-1158</t>
  </si>
  <si>
    <t>Rinita</t>
  </si>
  <si>
    <t>62811917646</t>
  </si>
  <si>
    <t>R-1174</t>
  </si>
  <si>
    <t>Rinna</t>
  </si>
  <si>
    <t>Zachrona</t>
  </si>
  <si>
    <t>Kuta Indah No.23, Bukit Gading Villa, Kelapa Gading</t>
  </si>
  <si>
    <t>R-1362</t>
  </si>
  <si>
    <t>Rinni</t>
  </si>
  <si>
    <t>rr.rini@yahoo.com</t>
  </si>
  <si>
    <t>+6281908262571</t>
  </si>
  <si>
    <t>R-563</t>
  </si>
  <si>
    <t>R-323</t>
  </si>
  <si>
    <t>Jl. Ayani No.6 KM 25</t>
  </si>
  <si>
    <t>R-1410</t>
  </si>
  <si>
    <t>6285263859994</t>
  </si>
  <si>
    <t>R-118</t>
  </si>
  <si>
    <t>Oestara</t>
  </si>
  <si>
    <t>20th Fl. Plaza Bapindo Mandiri Tower</t>
  </si>
  <si>
    <t>Jl. Jend. Sudirman Kav. 54-55</t>
  </si>
  <si>
    <t>R-1172</t>
  </si>
  <si>
    <t>Rinto</t>
  </si>
  <si>
    <t>R-651</t>
  </si>
  <si>
    <t>Riny</t>
  </si>
  <si>
    <t>Siddik</t>
  </si>
  <si>
    <t>Bulevard Hijau Blok B2 No 21</t>
  </si>
  <si>
    <t>R-394</t>
  </si>
  <si>
    <t>Rio</t>
  </si>
  <si>
    <t>R-120</t>
  </si>
  <si>
    <t>R-425</t>
  </si>
  <si>
    <t>M-1442</t>
  </si>
  <si>
    <t>R-0739</t>
  </si>
  <si>
    <t>+6287881777177</t>
  </si>
  <si>
    <t>R-1086</t>
  </si>
  <si>
    <t>Jl. Perserikatan No.3 Rawamangun Jakarta Timur</t>
  </si>
  <si>
    <t>R-278</t>
  </si>
  <si>
    <t>R-0807</t>
  </si>
  <si>
    <t>Ripy</t>
  </si>
  <si>
    <t xml:space="preserve">Setiabudi Residence Tower B#607
Kuningan</t>
  </si>
  <si>
    <t>R-0843</t>
  </si>
  <si>
    <t>Riri</t>
  </si>
  <si>
    <t>R-1029</t>
  </si>
  <si>
    <t>6281380055403</t>
  </si>
  <si>
    <t>R-431</t>
  </si>
  <si>
    <t>Hawa</t>
  </si>
  <si>
    <t>R-1474</t>
  </si>
  <si>
    <t>Riri Julian</t>
  </si>
  <si>
    <t>Nurrochman</t>
  </si>
  <si>
    <t>6281221922691</t>
  </si>
  <si>
    <t>Tabebuya BSD City</t>
  </si>
  <si>
    <t>R-325</t>
  </si>
  <si>
    <t>Jl. Kemang Raya No.89 Jakarta 12730</t>
  </si>
  <si>
    <t>R-1475</t>
  </si>
  <si>
    <t>Supriyaningsih</t>
  </si>
  <si>
    <t>riri_ika thaha @yahoo.com</t>
  </si>
  <si>
    <t>628176882079</t>
  </si>
  <si>
    <t>R-0684</t>
  </si>
  <si>
    <t>Ririez</t>
  </si>
  <si>
    <t>ririezfauzi88@gmail.com</t>
  </si>
  <si>
    <t>R-1017</t>
  </si>
  <si>
    <t>R-1130</t>
  </si>
  <si>
    <t>R-616</t>
  </si>
  <si>
    <t>R-556</t>
  </si>
  <si>
    <t>Ehrhardt</t>
  </si>
  <si>
    <t>62811888570</t>
  </si>
  <si>
    <t>R-1037</t>
  </si>
  <si>
    <t>R-1238</t>
  </si>
  <si>
    <t>Kustianti</t>
  </si>
  <si>
    <t>r.kustianti@gmail.com</t>
  </si>
  <si>
    <t>62811135701</t>
  </si>
  <si>
    <t>R-1434</t>
  </si>
  <si>
    <t>62811109711</t>
  </si>
  <si>
    <t>R-123</t>
  </si>
  <si>
    <t>ririn.nopiani@gmail.com</t>
  </si>
  <si>
    <t xml:space="preserve">Komp. Deplu Pondok Aren
Jl. Kenanga B.25</t>
  </si>
  <si>
    <t>R-1425</t>
  </si>
  <si>
    <t>ririnqadritriwahyuli@gmail.com</t>
  </si>
  <si>
    <t>+6282240090083</t>
  </si>
  <si>
    <t>Kendari Sulawesi Tenggara</t>
  </si>
  <si>
    <t>R-533</t>
  </si>
  <si>
    <t>Ririna</t>
  </si>
  <si>
    <t>R-1100</t>
  </si>
  <si>
    <t>Ririx</t>
  </si>
  <si>
    <t>08129272218</t>
  </si>
  <si>
    <t>R-0827</t>
  </si>
  <si>
    <t>Ris</t>
  </si>
  <si>
    <t>Sudradjat</t>
  </si>
  <si>
    <t>R-359</t>
  </si>
  <si>
    <t>R-0769</t>
  </si>
  <si>
    <t>amelia_risa20@yahoo.com</t>
  </si>
  <si>
    <t>R-1312</t>
  </si>
  <si>
    <t>Jl. Niaga Hijau VIII No.2</t>
  </si>
  <si>
    <t>R-0925</t>
  </si>
  <si>
    <t>Risah</t>
  </si>
  <si>
    <t>R-124</t>
  </si>
  <si>
    <t>R-1206</t>
  </si>
  <si>
    <t>Risaldi</t>
  </si>
  <si>
    <t>Green Lake</t>
  </si>
  <si>
    <t>R-1176</t>
  </si>
  <si>
    <t>Risallina</t>
  </si>
  <si>
    <t>R-1486</t>
  </si>
  <si>
    <t>Risca Piscensia</t>
  </si>
  <si>
    <t>risca.piscensia@gmail.com</t>
  </si>
  <si>
    <t>6281366668006</t>
  </si>
  <si>
    <t>R-1244</t>
  </si>
  <si>
    <t>Risia</t>
  </si>
  <si>
    <t>Christrian</t>
  </si>
  <si>
    <t xml:space="preserve">APARTMENT MEDITERANIA GAJAH MADA
TOWER A0716
JL GAJAH MADA NO.174 - JAKARTA PUSAT</t>
  </si>
  <si>
    <t>R-126</t>
  </si>
  <si>
    <t>Riska</t>
  </si>
  <si>
    <t>R-0708</t>
  </si>
  <si>
    <t>R-0757</t>
  </si>
  <si>
    <t>R-1313</t>
  </si>
  <si>
    <t>rny1219@gmail.com</t>
  </si>
  <si>
    <t>BRI Tower II Jl.Jend Sudirman</t>
  </si>
  <si>
    <t>R-348</t>
  </si>
  <si>
    <t>Riary</t>
  </si>
  <si>
    <t>R-554</t>
  </si>
  <si>
    <t>Satariah</t>
  </si>
  <si>
    <t>R-631</t>
  </si>
  <si>
    <t>Risma</t>
  </si>
  <si>
    <t>Sayyidatun Nisa</t>
  </si>
  <si>
    <t>rismanisaa92@gmail.com</t>
  </si>
  <si>
    <t>6281299088492</t>
  </si>
  <si>
    <t xml:space="preserve">Jl. Pejaten Barat IV No. 5B
Pejaten Valley Residence</t>
  </si>
  <si>
    <t>R-413</t>
  </si>
  <si>
    <t>R-1429</t>
  </si>
  <si>
    <t>Risna</t>
  </si>
  <si>
    <t>poetrirnizha@gmail.com</t>
  </si>
  <si>
    <t>6285775951190</t>
  </si>
  <si>
    <t>R-262</t>
  </si>
  <si>
    <t>Muhti</t>
  </si>
  <si>
    <t>R-669</t>
  </si>
  <si>
    <t>Toerino</t>
  </si>
  <si>
    <t>r.toerino@gmail.com</t>
  </si>
  <si>
    <t xml:space="preserve">Perumahan mampang Indah 2 Blok N/1C
Kel rangkapan jaya Kec  pancoran Mas,Depok
Jawa BArat 16434</t>
  </si>
  <si>
    <t>R-0853</t>
  </si>
  <si>
    <t>R-378</t>
  </si>
  <si>
    <t>Rista</t>
  </si>
  <si>
    <t>R-1264</t>
  </si>
  <si>
    <t>R-362</t>
  </si>
  <si>
    <t>Risti</t>
  </si>
  <si>
    <t>R-1470</t>
  </si>
  <si>
    <t>Ristina</t>
  </si>
  <si>
    <t>Sugiarti</t>
  </si>
  <si>
    <t>628161347503</t>
  </si>
  <si>
    <t>Jl. Raya Hankam (Gang Rambutan) No.99</t>
  </si>
  <si>
    <t>R-1204</t>
  </si>
  <si>
    <t>Risty</t>
  </si>
  <si>
    <t>Rustarto</t>
  </si>
  <si>
    <t>Jl Tebet Barat 8 N0.33A</t>
  </si>
  <si>
    <t>R-600</t>
  </si>
  <si>
    <t>Riswin</t>
  </si>
  <si>
    <t>R-0870</t>
  </si>
  <si>
    <t>Risyad</t>
  </si>
  <si>
    <t>R-0694</t>
  </si>
  <si>
    <t>R-0742</t>
  </si>
  <si>
    <t>R-1214</t>
  </si>
  <si>
    <t>R-1061</t>
  </si>
  <si>
    <t>R-0987</t>
  </si>
  <si>
    <t>R-391</t>
  </si>
  <si>
    <t>R-132</t>
  </si>
  <si>
    <t>R-1113</t>
  </si>
  <si>
    <t>R-1074</t>
  </si>
  <si>
    <t>Abdulah</t>
  </si>
  <si>
    <t>R-304</t>
  </si>
  <si>
    <t>Akil</t>
  </si>
  <si>
    <t xml:space="preserve">Komp Liba Mas III No 8 
Jakarta</t>
  </si>
  <si>
    <t>R-1375</t>
  </si>
  <si>
    <t>Alice Kurniawan</t>
  </si>
  <si>
    <t>alice_kur@yahoo.com</t>
  </si>
  <si>
    <t>62811113237</t>
  </si>
  <si>
    <t>Gading Kirana Barat II F2/5</t>
  </si>
  <si>
    <t>R-1246</t>
  </si>
  <si>
    <t>Sita</t>
  </si>
  <si>
    <t>sitaresmilistya.na@gmail.com</t>
  </si>
  <si>
    <t>6281330563347</t>
  </si>
  <si>
    <t xml:space="preserve">Harapan Indah Regency
DC 3A Pejuang-Medan Satria</t>
  </si>
  <si>
    <t>R-0980</t>
  </si>
  <si>
    <t>R-1168</t>
  </si>
  <si>
    <t>Anjelina</t>
  </si>
  <si>
    <t>R-129</t>
  </si>
  <si>
    <t>Blake</t>
  </si>
  <si>
    <t>Jl. Batununggal Mulia III No. 9</t>
  </si>
  <si>
    <t>R-0758</t>
  </si>
  <si>
    <t>Djali</t>
  </si>
  <si>
    <t>R-1337</t>
  </si>
  <si>
    <t>R-0773</t>
  </si>
  <si>
    <t>R-0879</t>
  </si>
  <si>
    <t>R-131</t>
  </si>
  <si>
    <t>R-0897</t>
  </si>
  <si>
    <t>R-0737</t>
  </si>
  <si>
    <t>R-313</t>
  </si>
  <si>
    <t xml:space="preserve">Jl.Cisanggiri III No:14
Jakarta Selatan</t>
  </si>
  <si>
    <t>R-1071</t>
  </si>
  <si>
    <t>Komplek Cemara Asri ,Jl.Bangau No.8 AD Deli Serdang, Medan ,Sumatera Utara</t>
  </si>
  <si>
    <t>R-0763</t>
  </si>
  <si>
    <t>R-1221</t>
  </si>
  <si>
    <t>margalena</t>
  </si>
  <si>
    <t>R-1329</t>
  </si>
  <si>
    <t>R-0924</t>
  </si>
  <si>
    <t>R-1489</t>
  </si>
  <si>
    <t>628111451168</t>
  </si>
  <si>
    <t>R-133</t>
  </si>
  <si>
    <t>R-1084</t>
  </si>
  <si>
    <t>62811888857</t>
  </si>
  <si>
    <t>R-128</t>
  </si>
  <si>
    <t>Sak</t>
  </si>
  <si>
    <t>628119444633</t>
  </si>
  <si>
    <t>PERUM PONDOK KOPI ERAMAS B</t>
  </si>
  <si>
    <t>R-134</t>
  </si>
  <si>
    <t>R-1096</t>
  </si>
  <si>
    <t>Soekarlan</t>
  </si>
  <si>
    <t>6287777796360</t>
  </si>
  <si>
    <t>R-135</t>
  </si>
  <si>
    <t>Perum. Gading Arcadia Blok D No. 12</t>
  </si>
  <si>
    <t>R-550</t>
  </si>
  <si>
    <t>Susianawati</t>
  </si>
  <si>
    <t>R-269</t>
  </si>
  <si>
    <t>Tagor</t>
  </si>
  <si>
    <t>R-655</t>
  </si>
  <si>
    <t>Wahjudi</t>
  </si>
  <si>
    <t>jl.darmajaya pejaten no.55</t>
  </si>
  <si>
    <t>R-1107</t>
  </si>
  <si>
    <t>R-393</t>
  </si>
  <si>
    <t>R-1348</t>
  </si>
  <si>
    <t>+447460266613</t>
  </si>
  <si>
    <t>The Capital Residences SCBD</t>
  </si>
  <si>
    <t>R-0808</t>
  </si>
  <si>
    <t>Rita(081318421078)</t>
  </si>
  <si>
    <t>R-0764</t>
  </si>
  <si>
    <t>Ritha</t>
  </si>
  <si>
    <t>JL Prof Moh Yamin no 8</t>
  </si>
  <si>
    <t>R-1476</t>
  </si>
  <si>
    <t>Ritter</t>
  </si>
  <si>
    <t>Geralyn Smitherman</t>
  </si>
  <si>
    <t>geralyn.ritter@gmail.com</t>
  </si>
  <si>
    <t>Email	:	ge</t>
  </si>
  <si>
    <t>R-1404</t>
  </si>
  <si>
    <t>Riva</t>
  </si>
  <si>
    <t>Effrianti</t>
  </si>
  <si>
    <t>R-1335</t>
  </si>
  <si>
    <t>Rivaldy</t>
  </si>
  <si>
    <t>Jl. Hibiskus 2 Blok B3 No7</t>
  </si>
  <si>
    <t>R-486</t>
  </si>
  <si>
    <t>R-329</t>
  </si>
  <si>
    <t>Rivan</t>
  </si>
  <si>
    <t>R-1415</t>
  </si>
  <si>
    <t>R-136</t>
  </si>
  <si>
    <t>Rivano</t>
  </si>
  <si>
    <t>JL. Taman Tirta Golf Blok F Kav.3</t>
  </si>
  <si>
    <t>R-0890</t>
  </si>
  <si>
    <t>Triana</t>
  </si>
  <si>
    <t>R-1289</t>
  </si>
  <si>
    <t>Riveron</t>
  </si>
  <si>
    <t>Adolfo</t>
  </si>
  <si>
    <t>R-1463</t>
  </si>
  <si>
    <t>Dayani</t>
  </si>
  <si>
    <t>tama.crumblecrew@gmail.com</t>
  </si>
  <si>
    <t>628118820823</t>
  </si>
  <si>
    <t>R-0938</t>
  </si>
  <si>
    <t>Riyan</t>
  </si>
  <si>
    <t>Herriandi</t>
  </si>
  <si>
    <t xml:space="preserve">Jl. Kelapa Hibrida Blok AE 10/14 
Jakarta Timur 13450</t>
  </si>
  <si>
    <t>R-1138</t>
  </si>
  <si>
    <t>Riyandi</t>
  </si>
  <si>
    <t>R-1142</t>
  </si>
  <si>
    <t>Riyani</t>
  </si>
  <si>
    <t>R-0693</t>
  </si>
  <si>
    <t>Jl. Beringin blok F 91 bambu apus</t>
  </si>
  <si>
    <t>R-0725</t>
  </si>
  <si>
    <t>R-0873</t>
  </si>
  <si>
    <t>Mutyara</t>
  </si>
  <si>
    <t>R-137</t>
  </si>
  <si>
    <t>Rizaganti</t>
  </si>
  <si>
    <t>Syahrun</t>
  </si>
  <si>
    <t>JL. Kecapi No.2</t>
  </si>
  <si>
    <t>Kemang Timur</t>
  </si>
  <si>
    <t>R-1126</t>
  </si>
  <si>
    <t>R-1075</t>
  </si>
  <si>
    <t>Hermansyal</t>
  </si>
  <si>
    <t>Jln. Angkatan 45 Ir Sempurna 1 No. 27 rt 42/12 kec ilir barat 1 kel lorok pakjo palembang</t>
  </si>
  <si>
    <t>R-138</t>
  </si>
  <si>
    <t>19th Fl. Wisma GKBI</t>
  </si>
  <si>
    <t>Jl. Jend. Sudirman Kav. 28</t>
  </si>
  <si>
    <t>R-1356</t>
  </si>
  <si>
    <t>Nangoy</t>
  </si>
  <si>
    <t>0811801886</t>
  </si>
  <si>
    <t>R-419</t>
  </si>
  <si>
    <t>Normadi</t>
  </si>
  <si>
    <t>R-1465</t>
  </si>
  <si>
    <t>Nuri</t>
  </si>
  <si>
    <t>6281235624709</t>
  </si>
  <si>
    <t>R-0815</t>
  </si>
  <si>
    <t>Rizal(0811158777)</t>
  </si>
  <si>
    <t>R-0714</t>
  </si>
  <si>
    <t>R-421</t>
  </si>
  <si>
    <t>Rizka</t>
  </si>
  <si>
    <t>R-382</t>
  </si>
  <si>
    <t>alfrina</t>
  </si>
  <si>
    <t>R-0965</t>
  </si>
  <si>
    <t xml:space="preserve">Harvest Residance Blok C12
Jl.WR Supratman, Cempaka Putih 
Ciputat Timur</t>
  </si>
  <si>
    <t>R-1171</t>
  </si>
  <si>
    <t>Agustinah</t>
  </si>
  <si>
    <t>rizkydatau@yahoo.com</t>
  </si>
  <si>
    <t>+628158200882</t>
  </si>
  <si>
    <t>R-1332</t>
  </si>
  <si>
    <t>Binus Sequare Hall Of Residence</t>
  </si>
  <si>
    <t>R-1128</t>
  </si>
  <si>
    <t>omelopi@gmail.com</t>
  </si>
  <si>
    <t xml:space="preserve">Villa 34
Jl.Pejompongan 3A no.17 Bendungan Hilir Jakarta Pusat</t>
  </si>
  <si>
    <t>1'+'+62210</t>
  </si>
  <si>
    <t>R-1338</t>
  </si>
  <si>
    <t>Saripudin</t>
  </si>
  <si>
    <t>CLUSTER LE GRANDE , SUKAHATI NO.A8, JL. MUARA BREBES - CIBINONG</t>
  </si>
  <si>
    <t>R-0905</t>
  </si>
  <si>
    <t>R-457</t>
  </si>
  <si>
    <t>rizki@yahoo.com</t>
  </si>
  <si>
    <t xml:space="preserve">Bintaro Puspita Raya H3 
Komplek Bumi Bintaro Permai</t>
  </si>
  <si>
    <t>R-1340</t>
  </si>
  <si>
    <t>62811155057</t>
  </si>
  <si>
    <t>R-373</t>
  </si>
  <si>
    <t>R-1296</t>
  </si>
  <si>
    <t>R-1249</t>
  </si>
  <si>
    <t>Muharram</t>
  </si>
  <si>
    <t>risky.dhaniswara@gmail.com</t>
  </si>
  <si>
    <t>M-1460</t>
  </si>
  <si>
    <t>Uus.)</t>
  </si>
  <si>
    <t>R-1284</t>
  </si>
  <si>
    <t>Guntama</t>
  </si>
  <si>
    <t>R-1469</t>
  </si>
  <si>
    <t>Rizky Irena</t>
  </si>
  <si>
    <t>6285211999926</t>
  </si>
  <si>
    <t>The Windsor</t>
  </si>
  <si>
    <t>R-297</t>
  </si>
  <si>
    <t>R-0912</t>
  </si>
  <si>
    <t>R-1123</t>
  </si>
  <si>
    <t>6281210304765</t>
  </si>
  <si>
    <t>R-1285</t>
  </si>
  <si>
    <t>Rizna</t>
  </si>
  <si>
    <t>Nyctagina</t>
  </si>
  <si>
    <t>6281807878687</t>
  </si>
  <si>
    <t xml:space="preserve">PULO MAS BARAT 5A NO.16
JAKARTA UTARA 13210</t>
  </si>
  <si>
    <t>R-255</t>
  </si>
  <si>
    <t>Rizqi</t>
  </si>
  <si>
    <t>R-0791</t>
  </si>
  <si>
    <t>Rizya</t>
  </si>
  <si>
    <t>RIZYA.VERMEULEN@YAHOO.COM</t>
  </si>
  <si>
    <t>6287776023886</t>
  </si>
  <si>
    <t>R-1193</t>
  </si>
  <si>
    <t>RM</t>
  </si>
  <si>
    <t>R-0698</t>
  </si>
  <si>
    <t>RM.</t>
  </si>
  <si>
    <t>R-1081</t>
  </si>
  <si>
    <t>Roan</t>
  </si>
  <si>
    <t>Anprira</t>
  </si>
  <si>
    <t>Jl Tamborin No.25</t>
  </si>
  <si>
    <t>R-1183</t>
  </si>
  <si>
    <t>Rob</t>
  </si>
  <si>
    <t>kelapa gading</t>
  </si>
  <si>
    <t>R-0770</t>
  </si>
  <si>
    <t>Robbi</t>
  </si>
  <si>
    <t>R-1034</t>
  </si>
  <si>
    <t>R-436</t>
  </si>
  <si>
    <t>R-145</t>
  </si>
  <si>
    <t>Gading Kirana Barat VIII C9/31</t>
  </si>
  <si>
    <t>R-146</t>
  </si>
  <si>
    <t>Karnadi</t>
  </si>
  <si>
    <t xml:space="preserve">Jl. Rosmala No. 10
Tomang</t>
  </si>
  <si>
    <t>R-0779</t>
  </si>
  <si>
    <t>Loho</t>
  </si>
  <si>
    <t>R-1085</t>
  </si>
  <si>
    <t>Ongah</t>
  </si>
  <si>
    <t>R-1045</t>
  </si>
  <si>
    <t>R-0812</t>
  </si>
  <si>
    <t>R-0778</t>
  </si>
  <si>
    <t>Sormadiharjo</t>
  </si>
  <si>
    <t>628567647000</t>
  </si>
  <si>
    <t>R-337</t>
  </si>
  <si>
    <t>Susatyo</t>
  </si>
  <si>
    <t>R-1418</t>
  </si>
  <si>
    <t>628118490433</t>
  </si>
  <si>
    <t>R-0907</t>
  </si>
  <si>
    <t>Roberly</t>
  </si>
  <si>
    <t>R-1441</t>
  </si>
  <si>
    <t>McIntyre</t>
  </si>
  <si>
    <t>rob@mcintyrehome.au</t>
  </si>
  <si>
    <t>61427194780</t>
  </si>
  <si>
    <t>R-1030</t>
  </si>
  <si>
    <t>R-148</t>
  </si>
  <si>
    <t>Alief</t>
  </si>
  <si>
    <t>drrobert@indo.net.id</t>
  </si>
  <si>
    <t>apt.puri casablanca a 1602 - 03 jaksel</t>
  </si>
  <si>
    <t>R-170</t>
  </si>
  <si>
    <t>Jl. M. Saari 17</t>
  </si>
  <si>
    <t>RT. 011/009, Pulo Kecil, Cempaka Mas</t>
  </si>
  <si>
    <t>R-661</t>
  </si>
  <si>
    <t>koe-robert@gmail.com</t>
  </si>
  <si>
    <t>R-438</t>
  </si>
  <si>
    <t>Laing</t>
  </si>
  <si>
    <t>R-470</t>
  </si>
  <si>
    <t>6281299071919</t>
  </si>
  <si>
    <t xml:space="preserve">One Park Residences Tower C No 19F
Gandaria Kebayoran Baru 
Jakarta Selatan</t>
  </si>
  <si>
    <t>R-397</t>
  </si>
  <si>
    <t>mathes</t>
  </si>
  <si>
    <t>R-0894</t>
  </si>
  <si>
    <t>R-1498</t>
  </si>
  <si>
    <t>Sitinjak</t>
  </si>
  <si>
    <t>6285100121363</t>
  </si>
  <si>
    <t>R-1120</t>
  </si>
  <si>
    <t>Roberta</t>
  </si>
  <si>
    <t>Rawamangun , Jakarta Timur</t>
  </si>
  <si>
    <t>R-528</t>
  </si>
  <si>
    <t>Sangfka</t>
  </si>
  <si>
    <t>R-183</t>
  </si>
  <si>
    <t>Jl. Puri Bunga 2</t>
  </si>
  <si>
    <t>Cilandak Timur</t>
  </si>
  <si>
    <t>R-1003</t>
  </si>
  <si>
    <t>Robi</t>
  </si>
  <si>
    <t xml:space="preserve">Apartemen Central Park
19 - 03C</t>
  </si>
  <si>
    <t>R-1401</t>
  </si>
  <si>
    <t>Okta Fahlevi</t>
  </si>
  <si>
    <t>62811788400</t>
  </si>
  <si>
    <t>R-604</t>
  </si>
  <si>
    <t>Thera</t>
  </si>
  <si>
    <t>R-0932</t>
  </si>
  <si>
    <t>Robin</t>
  </si>
  <si>
    <t>R-1160</t>
  </si>
  <si>
    <t>isooa76@never.com</t>
  </si>
  <si>
    <t>+628111115931</t>
  </si>
  <si>
    <t>Blok J8-10, Rafles Hills- Cibubur</t>
  </si>
  <si>
    <t>R-1485</t>
  </si>
  <si>
    <t>Kataren</t>
  </si>
  <si>
    <t>+6281311236540</t>
  </si>
  <si>
    <t>R-503</t>
  </si>
  <si>
    <t>Roby</t>
  </si>
  <si>
    <t>Sugama</t>
  </si>
  <si>
    <t>R-343</t>
  </si>
  <si>
    <t>Rocky</t>
  </si>
  <si>
    <t>Maza</t>
  </si>
  <si>
    <t>Senayan residence A.32 Jakarta Selatan 12210</t>
  </si>
  <si>
    <t>R-1363</t>
  </si>
  <si>
    <t>+62811838325</t>
  </si>
  <si>
    <t>R-415</t>
  </si>
  <si>
    <t>Rod</t>
  </si>
  <si>
    <t>Williams</t>
  </si>
  <si>
    <t>R-0745</t>
  </si>
  <si>
    <t>Rodiana</t>
  </si>
  <si>
    <t>outbound@RUT.co.id</t>
  </si>
  <si>
    <t>62811610613</t>
  </si>
  <si>
    <t>R-404</t>
  </si>
  <si>
    <t>Rodney</t>
  </si>
  <si>
    <t>R-1039</t>
  </si>
  <si>
    <t>Rodolfo</t>
  </si>
  <si>
    <t>ivan</t>
  </si>
  <si>
    <t>R-1360</t>
  </si>
  <si>
    <t>Ivonne Marie</t>
  </si>
  <si>
    <t>Rodriguez</t>
  </si>
  <si>
    <t>ivonne.rodriguez@mac.com</t>
  </si>
  <si>
    <t>+17875907070</t>
  </si>
  <si>
    <t>R-1386</t>
  </si>
  <si>
    <t>Roed</t>
  </si>
  <si>
    <t>Jens</t>
  </si>
  <si>
    <t>jens@jr-dk.com</t>
  </si>
  <si>
    <t>491716103513</t>
  </si>
  <si>
    <t>Denmark</t>
  </si>
  <si>
    <t>R-1402</t>
  </si>
  <si>
    <t>Roesida</t>
  </si>
  <si>
    <t>Sambodjo</t>
  </si>
  <si>
    <t>mrs.roesida@gmail.com</t>
  </si>
  <si>
    <t>6281357581968</t>
  </si>
  <si>
    <t>Green Orchid Venosa B50 , Malang</t>
  </si>
  <si>
    <t>R-1509</t>
  </si>
  <si>
    <t>Roeslina</t>
  </si>
  <si>
    <t>Roeslina@yahoo.com</t>
  </si>
  <si>
    <t>62811136222</t>
  </si>
  <si>
    <t xml:space="preserve">Apartemen Verde One unit102
</t>
  </si>
  <si>
    <t>R-1141</t>
  </si>
  <si>
    <t>Rofik</t>
  </si>
  <si>
    <t>R-1186</t>
  </si>
  <si>
    <t>Rofiky</t>
  </si>
  <si>
    <t>R-578</t>
  </si>
  <si>
    <t>R-0837</t>
  </si>
  <si>
    <t>R-1242</t>
  </si>
  <si>
    <t>Roland</t>
  </si>
  <si>
    <t>Jl.Benda 66 H.MUSA NO.28 B</t>
  </si>
  <si>
    <t>R-561</t>
  </si>
  <si>
    <t>Staehler</t>
  </si>
  <si>
    <t>rolandstaehler@gmail.com</t>
  </si>
  <si>
    <t xml:space="preserve">Sailendra Apartement 10A
Mega Kuningan</t>
  </si>
  <si>
    <t>Jakarta - 12950</t>
  </si>
  <si>
    <t>R-1162</t>
  </si>
  <si>
    <t>Rolla</t>
  </si>
  <si>
    <t>R-256</t>
  </si>
  <si>
    <t>Roma</t>
  </si>
  <si>
    <t>R-1145</t>
  </si>
  <si>
    <t>Romadanti</t>
  </si>
  <si>
    <t>Jalan Pluit Karang Ayu no 1</t>
  </si>
  <si>
    <t>R-1454</t>
  </si>
  <si>
    <t>Latkin</t>
  </si>
  <si>
    <t>79855350569</t>
  </si>
  <si>
    <t>R-1161</t>
  </si>
  <si>
    <t>R-1341</t>
  </si>
  <si>
    <t>Novak</t>
  </si>
  <si>
    <t>+971585400505</t>
  </si>
  <si>
    <t>R-1487</t>
  </si>
  <si>
    <t>Smirnov</t>
  </si>
  <si>
    <t>smirnov.r.o@yandex.com</t>
  </si>
  <si>
    <t>R-1224</t>
  </si>
  <si>
    <t>Romano</t>
  </si>
  <si>
    <t>Felipe</t>
  </si>
  <si>
    <t>R-0797</t>
  </si>
  <si>
    <t>Romario</t>
  </si>
  <si>
    <t>R-354</t>
  </si>
  <si>
    <t>Romena</t>
  </si>
  <si>
    <t>R-0991</t>
  </si>
  <si>
    <t>Romi</t>
  </si>
  <si>
    <t>R-0805</t>
  </si>
  <si>
    <t>Himawati</t>
  </si>
  <si>
    <t xml:space="preserve">Jl. Martimbang I No.14
Kebayoran Baru 12120</t>
  </si>
  <si>
    <t>R-1015</t>
  </si>
  <si>
    <t>Romida</t>
  </si>
  <si>
    <t>R-1078</t>
  </si>
  <si>
    <t>Romlah</t>
  </si>
  <si>
    <t>6281384235555</t>
  </si>
  <si>
    <t>Victoriant no 17 Galuh Mas Karawang</t>
  </si>
  <si>
    <t>R-186</t>
  </si>
  <si>
    <t xml:space="preserve">Jl. Batu Ampar 2 No. 4
Kramat Jati</t>
  </si>
  <si>
    <t>R-648</t>
  </si>
  <si>
    <t>Rommy</t>
  </si>
  <si>
    <t>A.</t>
  </si>
  <si>
    <t>R-0748</t>
  </si>
  <si>
    <t>Fibri</t>
  </si>
  <si>
    <t>R-284</t>
  </si>
  <si>
    <t>R-1095</t>
  </si>
  <si>
    <t>Romy</t>
  </si>
  <si>
    <t>R-0919</t>
  </si>
  <si>
    <t>R-1297</t>
  </si>
  <si>
    <t>Ronald</t>
  </si>
  <si>
    <t>R-1087</t>
  </si>
  <si>
    <t>R-300</t>
  </si>
  <si>
    <t>R-188</t>
  </si>
  <si>
    <t>R-1178</t>
  </si>
  <si>
    <t>Junior</t>
  </si>
  <si>
    <t>R-1073</t>
  </si>
  <si>
    <t>Gumulya</t>
  </si>
  <si>
    <t>R-0780</t>
  </si>
  <si>
    <t>Handrian</t>
  </si>
  <si>
    <t>R-1271</t>
  </si>
  <si>
    <t>R-595</t>
  </si>
  <si>
    <t>R-1258</t>
  </si>
  <si>
    <t>Soe</t>
  </si>
  <si>
    <t>SoeRonald@gmail.com</t>
  </si>
  <si>
    <t>R-1500</t>
  </si>
  <si>
    <t>Tansil</t>
  </si>
  <si>
    <t>ronaldtansil38@gmail.com</t>
  </si>
  <si>
    <t>6281388032086</t>
  </si>
  <si>
    <t>Apt Medit 2 Tower Jasmine Unit 25 JJ, Jakarta Barat</t>
  </si>
  <si>
    <t>R-0676</t>
  </si>
  <si>
    <t>Rondang</t>
  </si>
  <si>
    <t>R-1479</t>
  </si>
  <si>
    <t>brong0866@gmail.com</t>
  </si>
  <si>
    <t>8615000246269</t>
  </si>
  <si>
    <t>R-1493</t>
  </si>
  <si>
    <t>Roni</t>
  </si>
  <si>
    <t>6282341988889</t>
  </si>
  <si>
    <t>Nova Park BSD</t>
  </si>
  <si>
    <t>R-1326</t>
  </si>
  <si>
    <t>Ronico</t>
  </si>
  <si>
    <t>Yuswardy</t>
  </si>
  <si>
    <t>R-1111</t>
  </si>
  <si>
    <t>R-0717</t>
  </si>
  <si>
    <t>Ronnie</t>
  </si>
  <si>
    <t>R-190</t>
  </si>
  <si>
    <t>R-1177</t>
  </si>
  <si>
    <t>Adhipurna</t>
  </si>
  <si>
    <t>R-0836</t>
  </si>
  <si>
    <t>Cipaganti 148</t>
  </si>
  <si>
    <t>R-0682</t>
  </si>
  <si>
    <t>janis@cbn.nat.id</t>
  </si>
  <si>
    <t>Tebet Bakat Dalam IIC/16</t>
  </si>
  <si>
    <t>R-258</t>
  </si>
  <si>
    <t>Jaris</t>
  </si>
  <si>
    <t xml:space="preserve">Royal Palaace Blok C11
Jakarta Selatan</t>
  </si>
  <si>
    <t>R-1091</t>
  </si>
  <si>
    <t>R-460</t>
  </si>
  <si>
    <t>ronnyliem@gmail.com</t>
  </si>
  <si>
    <t xml:space="preserve">Senayan Golf Residence, South Point,B-09
Jakarta -Selatan</t>
  </si>
  <si>
    <t>R-0691</t>
  </si>
  <si>
    <t>koyayides@gmail.com</t>
  </si>
  <si>
    <t>Jl. Tukad Panwian 20F Panjer</t>
  </si>
  <si>
    <t>R-593</t>
  </si>
  <si>
    <t>simassawii@yahoo.com</t>
  </si>
  <si>
    <t>+628117521483</t>
  </si>
  <si>
    <t>R-1132</t>
  </si>
  <si>
    <t>R-0731</t>
  </si>
  <si>
    <t>Jl Tebet Timur Dalam III J/6</t>
  </si>
  <si>
    <t>R-288</t>
  </si>
  <si>
    <t xml:space="preserve">Tebet Timur dalam II J No.6
Jakarta Selatan</t>
  </si>
  <si>
    <t>R-191</t>
  </si>
  <si>
    <t>Tamstil</t>
  </si>
  <si>
    <t>Perum. Bukit Gading Mediteranian</t>
  </si>
  <si>
    <t>Blok SI No. 1, Kelapa Gading</t>
  </si>
  <si>
    <t>R-0723</t>
  </si>
  <si>
    <t>R-1068</t>
  </si>
  <si>
    <t>RonnyMr</t>
  </si>
  <si>
    <t>R-0958</t>
  </si>
  <si>
    <t>Rony</t>
  </si>
  <si>
    <t>R-671</t>
  </si>
  <si>
    <t>Ronysetyadi@yahoo.com</t>
  </si>
  <si>
    <t>Gayungsari Timur VII No.10, Gayungan</t>
  </si>
  <si>
    <t>R-0735</t>
  </si>
  <si>
    <t>randy.sugiarto@gmail.com</t>
  </si>
  <si>
    <t>628993727699</t>
  </si>
  <si>
    <t>R-1354</t>
  </si>
  <si>
    <t>R-1344</t>
  </si>
  <si>
    <t>Roosevelt</t>
  </si>
  <si>
    <t>Chantana</t>
  </si>
  <si>
    <t>R-318</t>
  </si>
  <si>
    <t>Roosie</t>
  </si>
  <si>
    <t>Admar</t>
  </si>
  <si>
    <t>R-296</t>
  </si>
  <si>
    <t>Roosilawati</t>
  </si>
  <si>
    <t xml:space="preserve">Jati Bening Estate Blok E5/6
Bekasi</t>
  </si>
  <si>
    <t>R-1467</t>
  </si>
  <si>
    <t>Lilin</t>
  </si>
  <si>
    <t>lilin.halim1963@gmail.com</t>
  </si>
  <si>
    <t>62816805266</t>
  </si>
  <si>
    <t>Jalan Rasamala no.11 Menteng</t>
  </si>
  <si>
    <t>R-0728</t>
  </si>
  <si>
    <t>Rooswanti</t>
  </si>
  <si>
    <t>Soeharno</t>
  </si>
  <si>
    <t>R-1416</t>
  </si>
  <si>
    <t>Roro</t>
  </si>
  <si>
    <t>Cahyaningsih</t>
  </si>
  <si>
    <t>roroningsih03@gmail.com</t>
  </si>
  <si>
    <t>6281364811456</t>
  </si>
  <si>
    <t>R-0910</t>
  </si>
  <si>
    <t>Ros</t>
  </si>
  <si>
    <t>Lynda karim</t>
  </si>
  <si>
    <t>6281311390268</t>
  </si>
  <si>
    <t xml:space="preserve">Taman Duta Mas B/34
jak Bar 11460</t>
  </si>
  <si>
    <t>R-596</t>
  </si>
  <si>
    <t>R-1219</t>
  </si>
  <si>
    <t>6281398535448</t>
  </si>
  <si>
    <t>R-195</t>
  </si>
  <si>
    <t>R-303</t>
  </si>
  <si>
    <t>Asrul</t>
  </si>
  <si>
    <t>R-1449</t>
  </si>
  <si>
    <t>Rosa Dasi</t>
  </si>
  <si>
    <t>eduardodasi@hotmail.com</t>
  </si>
  <si>
    <t>5547991432006</t>
  </si>
  <si>
    <t>R-0787</t>
  </si>
  <si>
    <t>Mailani</t>
  </si>
  <si>
    <t>R-580</t>
  </si>
  <si>
    <t>THE ICON - CLUSTER RITZONE . JL RITZONE IV / BLOK N7-33 BSD CITY</t>
  </si>
  <si>
    <t>R-0697</t>
  </si>
  <si>
    <t>R-1339</t>
  </si>
  <si>
    <t>Rosa Willia</t>
  </si>
  <si>
    <t>+628129463333</t>
  </si>
  <si>
    <t>Anandamaya Residence Jakarta</t>
  </si>
  <si>
    <t>R-1406</t>
  </si>
  <si>
    <t>Rosalie</t>
  </si>
  <si>
    <t>Honosutomo</t>
  </si>
  <si>
    <t>kulturekiosk@icloud.com</t>
  </si>
  <si>
    <t>6281584197739</t>
  </si>
  <si>
    <t>Jl Wijaya IX No 5, Jakarta Selatan</t>
  </si>
  <si>
    <t>R-0921</t>
  </si>
  <si>
    <t>R-0848</t>
  </si>
  <si>
    <t>R-408</t>
  </si>
  <si>
    <t>R-0783</t>
  </si>
  <si>
    <t>Syafrul</t>
  </si>
  <si>
    <t>R-0994</t>
  </si>
  <si>
    <t>Rosalindynata</t>
  </si>
  <si>
    <t>+6281290770522</t>
  </si>
  <si>
    <t xml:space="preserve">Jalan Terusan Hanglekir 4 No. 33, Keb. Lama, Jakarta Selatan 12220
</t>
  </si>
  <si>
    <t>R-1301</t>
  </si>
  <si>
    <t>Rosaline</t>
  </si>
  <si>
    <t>Dharmanto</t>
  </si>
  <si>
    <t>JL Safir Blok C-7 N0 34 - Jakarta</t>
  </si>
  <si>
    <t>R-317</t>
  </si>
  <si>
    <t>Stella</t>
  </si>
  <si>
    <t>R-1422</t>
  </si>
  <si>
    <t>Thow</t>
  </si>
  <si>
    <t>62811156272</t>
  </si>
  <si>
    <t>R-1170</t>
  </si>
  <si>
    <t>Rosamatul</t>
  </si>
  <si>
    <t>Adha</t>
  </si>
  <si>
    <t>rosamatuadha@gmail.com</t>
  </si>
  <si>
    <t>M-1202</t>
  </si>
  <si>
    <t>Rosana</t>
  </si>
  <si>
    <t>Landi</t>
  </si>
  <si>
    <t>R-1245</t>
  </si>
  <si>
    <t>Rosanna</t>
  </si>
  <si>
    <t>R-1202</t>
  </si>
  <si>
    <t>Rosensweig</t>
  </si>
  <si>
    <t>R-201</t>
  </si>
  <si>
    <t>Roshny</t>
  </si>
  <si>
    <t xml:space="preserve">Jl. Cut Nyak Dien No Z1
Menteng 
Jak-Sel.</t>
  </si>
  <si>
    <t>R-257</t>
  </si>
  <si>
    <t>Rosi</t>
  </si>
  <si>
    <t>Hoesin</t>
  </si>
  <si>
    <t>R-1215</t>
  </si>
  <si>
    <t>R-1407</t>
  </si>
  <si>
    <t>Rosiana</t>
  </si>
  <si>
    <t>Marthy</t>
  </si>
  <si>
    <t>rosianamarthy030191@gmail.com</t>
  </si>
  <si>
    <t>6281219908180</t>
  </si>
  <si>
    <t>R-1305</t>
  </si>
  <si>
    <t>R-1200</t>
  </si>
  <si>
    <t>Rosianne</t>
  </si>
  <si>
    <t>Somanatta</t>
  </si>
  <si>
    <t>Jalan Taman Golf XIV/17</t>
  </si>
  <si>
    <t>R-306</t>
  </si>
  <si>
    <t>Rosida</t>
  </si>
  <si>
    <t>R-0702</t>
  </si>
  <si>
    <t>Rosiliana</t>
  </si>
  <si>
    <t xml:space="preserve">Komp. Villa Hening Kav. 10 
Taman Griya, Jimbaran Bali</t>
  </si>
  <si>
    <t>R-1104</t>
  </si>
  <si>
    <t>zitarosita1@gmail.com</t>
  </si>
  <si>
    <t>R-1398</t>
  </si>
  <si>
    <t>Rosta</t>
  </si>
  <si>
    <t>6281364402000</t>
  </si>
  <si>
    <t>Jl.Piranti Puri No.1 Cibubur</t>
  </si>
  <si>
    <t>R-1483</t>
  </si>
  <si>
    <t>R-453</t>
  </si>
  <si>
    <t>Rosje</t>
  </si>
  <si>
    <t>Kemang Dalam XI / L9</t>
  </si>
  <si>
    <t>R-0817</t>
  </si>
  <si>
    <t>Rosli</t>
  </si>
  <si>
    <t>R-509</t>
  </si>
  <si>
    <t>Roslin</t>
  </si>
  <si>
    <t>Pakpahan</t>
  </si>
  <si>
    <t>R-0695</t>
  </si>
  <si>
    <t>Roslina</t>
  </si>
  <si>
    <t>Mendut no 19 Menteng</t>
  </si>
  <si>
    <t>R-0722</t>
  </si>
  <si>
    <t>Rosma Yanti</t>
  </si>
  <si>
    <t>rozmasuhardi@gmail.com</t>
  </si>
  <si>
    <t>6282135598888</t>
  </si>
  <si>
    <t>Jl.Warga Raya,Town House Mutiara Pejaten no.88 Kav 12</t>
  </si>
  <si>
    <t>R-1042</t>
  </si>
  <si>
    <t>Rosman</t>
  </si>
  <si>
    <t>R-1309</t>
  </si>
  <si>
    <t>Rosmawati</t>
  </si>
  <si>
    <t>Sufian</t>
  </si>
  <si>
    <t>rsufian@cbn.net.id</t>
  </si>
  <si>
    <t>+62811965155</t>
  </si>
  <si>
    <t xml:space="preserve">Taman Kebon Jeruk, Jl. Jeruk Mas Barat Blok C1 No. 60 (Intercon), Jakarta Barat 11630
</t>
  </si>
  <si>
    <t>R-605</t>
  </si>
  <si>
    <t>Rosmeli</t>
  </si>
  <si>
    <t>R-0962</t>
  </si>
  <si>
    <t>R-388</t>
  </si>
  <si>
    <t>R-0825</t>
  </si>
  <si>
    <t>Rosmery</t>
  </si>
  <si>
    <t>R-1144</t>
  </si>
  <si>
    <t>+6281287808028</t>
  </si>
  <si>
    <t>Taman Grisenda Cluster Lucky Park D17, Kapuk Muara</t>
  </si>
  <si>
    <t>R-0855</t>
  </si>
  <si>
    <t>Rosna</t>
  </si>
  <si>
    <t>Marlyani</t>
  </si>
  <si>
    <t>R-602</t>
  </si>
  <si>
    <t>Rosnaeny</t>
  </si>
  <si>
    <t>R-1020</t>
  </si>
  <si>
    <t>Rosnhi</t>
  </si>
  <si>
    <t>R-0923</t>
  </si>
  <si>
    <t>Rossa</t>
  </si>
  <si>
    <t>R-644</t>
  </si>
  <si>
    <t>Rossalina</t>
  </si>
  <si>
    <t>rossalina082@gmail.com</t>
  </si>
  <si>
    <t>+6281320122209</t>
  </si>
  <si>
    <t>Jl. S. Hatta No.508</t>
  </si>
  <si>
    <t>R-1026</t>
  </si>
  <si>
    <t>Sorongan</t>
  </si>
  <si>
    <t>Jl.Mendawai I/16, Kebayoran Baru 12130</t>
  </si>
  <si>
    <t>R-1317</t>
  </si>
  <si>
    <t>Rossy</t>
  </si>
  <si>
    <t>Tamboto</t>
  </si>
  <si>
    <t>Green Garden Blok J2/5</t>
  </si>
  <si>
    <t>R-429</t>
  </si>
  <si>
    <t>Rostina</t>
  </si>
  <si>
    <t>R-294</t>
  </si>
  <si>
    <t>Rosyan</t>
  </si>
  <si>
    <t>R-1019</t>
  </si>
  <si>
    <t>Rovi</t>
  </si>
  <si>
    <t>Solikah</t>
  </si>
  <si>
    <t>solikahrovi@gmail.com</t>
  </si>
  <si>
    <t>Dsn Dadapan rt 8/1</t>
  </si>
  <si>
    <t>Tulung Agung</t>
  </si>
  <si>
    <t>R-1203</t>
  </si>
  <si>
    <t>Roxas</t>
  </si>
  <si>
    <t>Rollom</t>
  </si>
  <si>
    <t>R-534</t>
  </si>
  <si>
    <t>Roy</t>
  </si>
  <si>
    <t>R-260</t>
  </si>
  <si>
    <t>R-1383</t>
  </si>
  <si>
    <t>8613799209685</t>
  </si>
  <si>
    <t>R-492</t>
  </si>
  <si>
    <t>royh@kiky.com</t>
  </si>
  <si>
    <t>Jl. A. Yani No. 378</t>
  </si>
  <si>
    <t>R-0774</t>
  </si>
  <si>
    <t>Kainama</t>
  </si>
  <si>
    <t>R-0891</t>
  </si>
  <si>
    <t>R-0711</t>
  </si>
  <si>
    <t>R-212</t>
  </si>
  <si>
    <t>(BALIKPAPAN)</t>
  </si>
  <si>
    <t>R-1108</t>
  </si>
  <si>
    <t>R-1223</t>
  </si>
  <si>
    <t>R-1320</t>
  </si>
  <si>
    <t>Roza</t>
  </si>
  <si>
    <t>KOMP POLRI PEJATEN BLOK A NO 6</t>
  </si>
  <si>
    <t>R-214</t>
  </si>
  <si>
    <t>Rr.</t>
  </si>
  <si>
    <t>Jl. Rambutan Raya 10A</t>
  </si>
  <si>
    <t>RT. 06 / 02, Komp. Kodam Jaya, Kramat Jati</t>
  </si>
  <si>
    <t>R-422</t>
  </si>
  <si>
    <t>RR.Ishawan</t>
  </si>
  <si>
    <t>R-1461</t>
  </si>
  <si>
    <t>628119114705</t>
  </si>
  <si>
    <t>R-0854</t>
  </si>
  <si>
    <t>Rubiana</t>
  </si>
  <si>
    <t>R-279</t>
  </si>
  <si>
    <t>Rubin</t>
  </si>
  <si>
    <t>R-0902</t>
  </si>
  <si>
    <t>Rubinni</t>
  </si>
  <si>
    <t>R-0675</t>
  </si>
  <si>
    <t>Rubiyanto</t>
  </si>
  <si>
    <t>mahkota198@yahoo.co.id</t>
  </si>
  <si>
    <t xml:space="preserve">Jln. Raya Candi Mas Km. 25 No. 198
Natar - Lampung Selatan - Bandar Lampung</t>
  </si>
  <si>
    <t>R-0733</t>
  </si>
  <si>
    <t>Ruby</t>
  </si>
  <si>
    <t>R-637</t>
  </si>
  <si>
    <t>R-0926</t>
  </si>
  <si>
    <t>Ruddi</t>
  </si>
  <si>
    <t>R-219</t>
  </si>
  <si>
    <t>Ruddy</t>
  </si>
  <si>
    <t>Tjanaka</t>
  </si>
  <si>
    <t>R-222</t>
  </si>
  <si>
    <t>R-0990</t>
  </si>
  <si>
    <t>R-0880</t>
  </si>
  <si>
    <t>R-446</t>
  </si>
  <si>
    <t>Hartana</t>
  </si>
  <si>
    <t>R-1002</t>
  </si>
  <si>
    <t>R-366</t>
  </si>
  <si>
    <t>rudi@barokahperkasagroup.com</t>
  </si>
  <si>
    <t xml:space="preserve">Jl Gading Batavia Blok Harmoni LC 11 No.29
Kelapa Gading Jakarta utara</t>
  </si>
  <si>
    <t>R-1070</t>
  </si>
  <si>
    <t>R-1167</t>
  </si>
  <si>
    <t>12 Biesiada Ct, New York, USA</t>
  </si>
  <si>
    <t>R-267</t>
  </si>
  <si>
    <t>R-1131</t>
  </si>
  <si>
    <t>Jl. Manyar Permai 5 ( U6 N0 6)</t>
  </si>
  <si>
    <t>R-1149</t>
  </si>
  <si>
    <t>R-307</t>
  </si>
  <si>
    <t>Rudiantara</t>
  </si>
  <si>
    <t>R-220</t>
  </si>
  <si>
    <t>R-399</t>
  </si>
  <si>
    <t>Rudiart</t>
  </si>
  <si>
    <t>R-1133</t>
  </si>
  <si>
    <t>Rudias</t>
  </si>
  <si>
    <t>R-0865</t>
  </si>
  <si>
    <t>Rudiyanto</t>
  </si>
  <si>
    <t>Pei</t>
  </si>
  <si>
    <t>R-582</t>
  </si>
  <si>
    <t>Rudni</t>
  </si>
  <si>
    <t>R-379</t>
  </si>
  <si>
    <t>R-0839</t>
  </si>
  <si>
    <t>R-558</t>
  </si>
  <si>
    <t>R-225</t>
  </si>
  <si>
    <t>Jl. Durian 25</t>
  </si>
  <si>
    <t>Pekan Baru</t>
  </si>
  <si>
    <t>R-511</t>
  </si>
  <si>
    <t>R-368</t>
  </si>
  <si>
    <t>Akili</t>
  </si>
  <si>
    <t>K-168</t>
  </si>
  <si>
    <t>goldebear168@gmail.com</t>
  </si>
  <si>
    <t>+628158007282</t>
  </si>
  <si>
    <t>R-227</t>
  </si>
  <si>
    <t>PTB Duren Sawit Blok P-6 No. 19</t>
  </si>
  <si>
    <t>R-1385</t>
  </si>
  <si>
    <t>628111098821</t>
  </si>
  <si>
    <t>R-622</t>
  </si>
  <si>
    <t>Bday : 21 October 2016</t>
  </si>
  <si>
    <t>R-0940</t>
  </si>
  <si>
    <t>Ciayadi</t>
  </si>
  <si>
    <t>R-512</t>
  </si>
  <si>
    <t>R-1218</t>
  </si>
  <si>
    <t>Foniaty</t>
  </si>
  <si>
    <t>R-620</t>
  </si>
  <si>
    <t>rudolfwjy10@yahoo.com</t>
  </si>
  <si>
    <t>Sabaruddin 5B Medan 20214</t>
  </si>
  <si>
    <t>R-505</t>
  </si>
  <si>
    <t>goldenbear@gmail.com</t>
  </si>
  <si>
    <t>Jl.Dr Kusuma Atmaja No.74 Menteng</t>
  </si>
  <si>
    <t>R-1274</t>
  </si>
  <si>
    <t>R-277</t>
  </si>
  <si>
    <t>R-1350</t>
  </si>
  <si>
    <t>Herianto</t>
  </si>
  <si>
    <t>emtilyfull@gmail.com</t>
  </si>
  <si>
    <t>6281239654389</t>
  </si>
  <si>
    <t>R-0688</t>
  </si>
  <si>
    <t>Husaini</t>
  </si>
  <si>
    <t>rudy_husaini@yahoo.com</t>
  </si>
  <si>
    <t>KOTA WISATA H3/15</t>
  </si>
  <si>
    <t>R-0985</t>
  </si>
  <si>
    <t>Lailossa</t>
  </si>
  <si>
    <t>R-0790</t>
  </si>
  <si>
    <t>Lawantara</t>
  </si>
  <si>
    <t>R-524</t>
  </si>
  <si>
    <t>R-0989</t>
  </si>
  <si>
    <t>Mashud</t>
  </si>
  <si>
    <t>R-231</t>
  </si>
  <si>
    <t>Ramany</t>
  </si>
  <si>
    <t>R-0888</t>
  </si>
  <si>
    <t>R-1252</t>
  </si>
  <si>
    <t>R-0822</t>
  </si>
  <si>
    <t>R-471</t>
  </si>
  <si>
    <t>R-566</t>
  </si>
  <si>
    <t>Teh</t>
  </si>
  <si>
    <t>Rudy_teh@yahoo.com</t>
  </si>
  <si>
    <t>R-226</t>
  </si>
  <si>
    <t>Rudyanto</t>
  </si>
  <si>
    <t>Jl. Patra Kuningan Raya 1</t>
  </si>
  <si>
    <t>R-1028</t>
  </si>
  <si>
    <t>Rufi</t>
  </si>
  <si>
    <t>R-1181</t>
  </si>
  <si>
    <t>Rufwan</t>
  </si>
  <si>
    <t>Syukur</t>
  </si>
  <si>
    <t>R-1466</t>
  </si>
  <si>
    <t>62812665557</t>
  </si>
  <si>
    <t>R-1430</t>
  </si>
  <si>
    <t>628119567850</t>
  </si>
  <si>
    <t>R-1394</t>
  </si>
  <si>
    <t>Rui Qiang</t>
  </si>
  <si>
    <t>mark.lee8666@gmail.com</t>
  </si>
  <si>
    <t>+6281289884139</t>
  </si>
  <si>
    <t>Tower Landmark Pluit E12.Lt8 Jakarta</t>
  </si>
  <si>
    <t>R-1447</t>
  </si>
  <si>
    <t>Ruiz Bornscheuer</t>
  </si>
  <si>
    <t>Jaime Fracisco</t>
  </si>
  <si>
    <t>jruizb29@gmail.com</t>
  </si>
  <si>
    <t>+56957878075</t>
  </si>
  <si>
    <t>Chilena Concepcion</t>
  </si>
  <si>
    <t>R-0828</t>
  </si>
  <si>
    <t>Rujuniarti</t>
  </si>
  <si>
    <t>Sapta Pertiwi</t>
  </si>
  <si>
    <t>62816949000</t>
  </si>
  <si>
    <t>Jl. Kapten Tendean No. 15, Hegarmanah, Bandung 40141</t>
  </si>
  <si>
    <t>R-1008</t>
  </si>
  <si>
    <t>Rukun</t>
  </si>
  <si>
    <t>R-1508</t>
  </si>
  <si>
    <t>Ruliana</t>
  </si>
  <si>
    <t>6281381383343</t>
  </si>
  <si>
    <t>R-547</t>
  </si>
  <si>
    <t>Rummy</t>
  </si>
  <si>
    <t>Arafat</t>
  </si>
  <si>
    <t>Kemang Selatan XII.A No. 8</t>
  </si>
  <si>
    <t>R-314</t>
  </si>
  <si>
    <t>Runi</t>
  </si>
  <si>
    <t>Irnandari</t>
  </si>
  <si>
    <t xml:space="preserve">Park Royale Apt.Tower 3 Unit 734
Jl.Jend Gatot  Subroto Kav.35-37</t>
  </si>
  <si>
    <t>R-0782</t>
  </si>
  <si>
    <t>Runtun</t>
  </si>
  <si>
    <t>Tjiptaning</t>
  </si>
  <si>
    <t xml:space="preserve">Jl.ciptomangunkusumo no.12 Tangerang 
15153</t>
  </si>
  <si>
    <t>R-0858</t>
  </si>
  <si>
    <t>Rurin</t>
  </si>
  <si>
    <t>nirmalarurin@yahoo.com</t>
  </si>
  <si>
    <t>griya loka sektor 16 jl.labu 1 6.2 no.2</t>
  </si>
  <si>
    <t>R-530</t>
  </si>
  <si>
    <t>Ruruh</t>
  </si>
  <si>
    <t>Perum Puri kedaton Blok A35</t>
  </si>
  <si>
    <t>R-1159</t>
  </si>
  <si>
    <t>Rury</t>
  </si>
  <si>
    <t>Dhanurzmi</t>
  </si>
  <si>
    <t>R-1445</t>
  </si>
  <si>
    <t>Rusdi</t>
  </si>
  <si>
    <t>6281382021450</t>
  </si>
  <si>
    <t>R-273</t>
  </si>
  <si>
    <t>R-0718</t>
  </si>
  <si>
    <t>Rusdiana</t>
  </si>
  <si>
    <t>Jl. M. Sohor no. 88 Ptk</t>
  </si>
  <si>
    <t>R-544</t>
  </si>
  <si>
    <t>Rusen</t>
  </si>
  <si>
    <t>R-1351</t>
  </si>
  <si>
    <t>Gasymov</t>
  </si>
  <si>
    <t>rusgrats@gmail.com</t>
  </si>
  <si>
    <t>Moscow, Russia</t>
  </si>
  <si>
    <t>R-1426</t>
  </si>
  <si>
    <t>Kyryliuk</t>
  </si>
  <si>
    <t>wrestnut1@gmail.com</t>
  </si>
  <si>
    <t>48788752375</t>
  </si>
  <si>
    <t>R-1290</t>
  </si>
  <si>
    <t>R-0823</t>
  </si>
  <si>
    <t>R-543</t>
  </si>
  <si>
    <t>febri.rusli@gmai.com</t>
  </si>
  <si>
    <t xml:space="preserve">Jl. Greja Theresia No 1 Pavillion Menteng
Jakarta Pusat</t>
  </si>
  <si>
    <t>R-320</t>
  </si>
  <si>
    <t>R-1283</t>
  </si>
  <si>
    <t>Rusliati</t>
  </si>
  <si>
    <t xml:space="preserve">Springville I No.1A
Bandung </t>
  </si>
  <si>
    <t>R-526</t>
  </si>
  <si>
    <t>Rusliawati</t>
  </si>
  <si>
    <t>R-1330</t>
  </si>
  <si>
    <t>Ruslina</t>
  </si>
  <si>
    <t>ruslina_28@yahoo.com</t>
  </si>
  <si>
    <t>6281280435811</t>
  </si>
  <si>
    <t>Cluster Jadeite G8/25 Bsd City</t>
  </si>
  <si>
    <t>R-1484</t>
  </si>
  <si>
    <t>Rusly</t>
  </si>
  <si>
    <t>Askar</t>
  </si>
  <si>
    <t>RuslyA@gmail.com</t>
  </si>
  <si>
    <t>62816939443</t>
  </si>
  <si>
    <t>R-1188</t>
  </si>
  <si>
    <t>Rusmiani</t>
  </si>
  <si>
    <t>R-0729</t>
  </si>
  <si>
    <t>R-1424</t>
  </si>
  <si>
    <t>Russell Emmanuel</t>
  </si>
  <si>
    <t>Tika</t>
  </si>
  <si>
    <t>remmanueltika@gmail.com</t>
  </si>
  <si>
    <t>6287746392505</t>
  </si>
  <si>
    <t>R-1381</t>
  </si>
  <si>
    <t>Vitak</t>
  </si>
  <si>
    <t>1111111</t>
  </si>
  <si>
    <t>R-1211</t>
  </si>
  <si>
    <t>Russo</t>
  </si>
  <si>
    <t>Gerrard</t>
  </si>
  <si>
    <t>R-0874</t>
  </si>
  <si>
    <t>R-236</t>
  </si>
  <si>
    <t>Rustianty</t>
  </si>
  <si>
    <t>R-1391</t>
  </si>
  <si>
    <t>+6281321317775</t>
  </si>
  <si>
    <t>R-1310</t>
  </si>
  <si>
    <t>Rusty</t>
  </si>
  <si>
    <t>Anandita</t>
  </si>
  <si>
    <t>Jl P antasari no 40D</t>
  </si>
  <si>
    <t>R-237</t>
  </si>
  <si>
    <t>Ruswaty</t>
  </si>
  <si>
    <t>(KALIMANTAN)</t>
  </si>
  <si>
    <t>R-0751</t>
  </si>
  <si>
    <t>Abellan</t>
  </si>
  <si>
    <t>abellan.ruth@gmail.com</t>
  </si>
  <si>
    <t>R-0835</t>
  </si>
  <si>
    <t>R-428</t>
  </si>
  <si>
    <t>Kamali</t>
  </si>
  <si>
    <t>R-626</t>
  </si>
  <si>
    <t>Lintin</t>
  </si>
  <si>
    <t>ruthranda.lintin@gmail.com</t>
  </si>
  <si>
    <t xml:space="preserve">Jl. Kutilang No.71 Komp Pondok Pucung Indah1
Pondok Aren Bintaro Sek 9
Tangerang Selatan</t>
  </si>
  <si>
    <t>R-0930</t>
  </si>
  <si>
    <t>R-577</t>
  </si>
  <si>
    <t>Malvina</t>
  </si>
  <si>
    <t>R-465</t>
  </si>
  <si>
    <t>Rutnan</t>
  </si>
  <si>
    <t>R-1384</t>
  </si>
  <si>
    <t>Ruy</t>
  </si>
  <si>
    <t>Maximilian</t>
  </si>
  <si>
    <t>+19172328150</t>
  </si>
  <si>
    <t>R-1213</t>
  </si>
  <si>
    <t>Ruya</t>
  </si>
  <si>
    <t>Bayegan</t>
  </si>
  <si>
    <t>R-0982</t>
  </si>
  <si>
    <t>R-0887</t>
  </si>
  <si>
    <t>62811201088</t>
  </si>
  <si>
    <t>R-1119</t>
  </si>
  <si>
    <t>Buntaram</t>
  </si>
  <si>
    <t>R-0819</t>
  </si>
  <si>
    <t>Janitra</t>
  </si>
  <si>
    <t>+6281314773399</t>
  </si>
  <si>
    <t>R-1437</t>
  </si>
  <si>
    <t>ryan.synch@gmail.com</t>
  </si>
  <si>
    <t>6282118345368</t>
  </si>
  <si>
    <t>Gardujati no.10</t>
  </si>
  <si>
    <t>R-658</t>
  </si>
  <si>
    <t>R-1076</t>
  </si>
  <si>
    <t>ryan.tyo93@gmail.com</t>
  </si>
  <si>
    <t>6281398682691</t>
  </si>
  <si>
    <t>Apartment Gold Coast ,Tower Atlantic Unit 20H ,Pantai Indah Kapuk</t>
  </si>
  <si>
    <t>R-0948</t>
  </si>
  <si>
    <t>R-1148</t>
  </si>
  <si>
    <t>rgozali@gmail.com</t>
  </si>
  <si>
    <t>R-1270</t>
  </si>
  <si>
    <t>Savero</t>
  </si>
  <si>
    <t>R-1378</t>
  </si>
  <si>
    <t>Sum</t>
  </si>
  <si>
    <t>861292567462</t>
  </si>
  <si>
    <t>R-450</t>
  </si>
  <si>
    <t>R-1151</t>
  </si>
  <si>
    <t>Ryan/</t>
  </si>
  <si>
    <t>R-0771</t>
  </si>
  <si>
    <t>Ryana</t>
  </si>
  <si>
    <t>Kusuma Dewi</t>
  </si>
  <si>
    <t>rianakusuma72@gmail.com</t>
  </si>
  <si>
    <t>6281360014628</t>
  </si>
  <si>
    <t>R-1293</t>
  </si>
  <si>
    <t>Ryanald</t>
  </si>
  <si>
    <t>+6281270008089</t>
  </si>
  <si>
    <t>R-1333</t>
  </si>
  <si>
    <t>Ryandiaz</t>
  </si>
  <si>
    <t>R-1079</t>
  </si>
  <si>
    <t>Ryanto</t>
  </si>
  <si>
    <t>Husodo</t>
  </si>
  <si>
    <t>R-1458</t>
  </si>
  <si>
    <t>Ryo</t>
  </si>
  <si>
    <t>Hisiba</t>
  </si>
  <si>
    <t>hibiyaryo36@protonmail.com</t>
  </si>
  <si>
    <t>+818097118005</t>
  </si>
  <si>
    <t>2-8-412 Kokubunji Tokyo - Japan</t>
  </si>
  <si>
    <t>R-452</t>
  </si>
  <si>
    <t>Ryrie</t>
  </si>
  <si>
    <t>R-1468</t>
  </si>
  <si>
    <t>Kwihee</t>
  </si>
  <si>
    <t>m9033@naver.com</t>
  </si>
  <si>
    <t>821064246390</t>
  </si>
  <si>
    <t>R-1316</t>
  </si>
  <si>
    <t>Ryuji</t>
  </si>
  <si>
    <t>Hasegawa</t>
  </si>
  <si>
    <t>R-364</t>
  </si>
  <si>
    <t>Ryunosuke</t>
  </si>
  <si>
    <t>Takeishi</t>
  </si>
  <si>
    <t>S-596</t>
  </si>
  <si>
    <t>Okawa</t>
  </si>
  <si>
    <t>S-316</t>
  </si>
  <si>
    <t>Dayawati</t>
  </si>
  <si>
    <t>Taman Pesona Mediteranian A-18</t>
  </si>
  <si>
    <t>S-092</t>
  </si>
  <si>
    <t>Giyanto</t>
  </si>
  <si>
    <t>S-151</t>
  </si>
  <si>
    <t>S-185</t>
  </si>
  <si>
    <t>Jl. Teluk Semangka C4 No. 6</t>
  </si>
  <si>
    <t>Duren Sawit</t>
  </si>
  <si>
    <t>S-072</t>
  </si>
  <si>
    <t>S.C</t>
  </si>
  <si>
    <t>2nd Fl. S. Widjojo Center</t>
  </si>
  <si>
    <t>Jl. Jend. Sudirman 71</t>
  </si>
  <si>
    <t>S-1809</t>
  </si>
  <si>
    <t>Sabreena</t>
  </si>
  <si>
    <t>The Residence Dharmawangsa</t>
  </si>
  <si>
    <t>S-661</t>
  </si>
  <si>
    <t>Sabrian</t>
  </si>
  <si>
    <t>S-627</t>
  </si>
  <si>
    <t>sabtinalheman@gmail.com</t>
  </si>
  <si>
    <t>62818814599</t>
  </si>
  <si>
    <t>S-1845</t>
  </si>
  <si>
    <t>Bensawan</t>
  </si>
  <si>
    <t>sabrinabensawan@yahoo.com</t>
  </si>
  <si>
    <t>+6285959177865</t>
  </si>
  <si>
    <t>Wallet Permai 3 No.19</t>
  </si>
  <si>
    <t>S-1608</t>
  </si>
  <si>
    <t>Moelyono</t>
  </si>
  <si>
    <t>S-823</t>
  </si>
  <si>
    <t>S-1528</t>
  </si>
  <si>
    <t>Sachiko</t>
  </si>
  <si>
    <t>Asada</t>
  </si>
  <si>
    <t>S-1708</t>
  </si>
  <si>
    <t>Sadaki</t>
  </si>
  <si>
    <t>S-1454</t>
  </si>
  <si>
    <t>Susy</t>
  </si>
  <si>
    <t>S-002</t>
  </si>
  <si>
    <t>Sadikin</t>
  </si>
  <si>
    <t>S-003</t>
  </si>
  <si>
    <t>JL. Tanjung No.1</t>
  </si>
  <si>
    <t>S-774</t>
  </si>
  <si>
    <t>Sadji</t>
  </si>
  <si>
    <t>Hamou</t>
  </si>
  <si>
    <t>sadji.1604@gmail.com</t>
  </si>
  <si>
    <t>Pavilion apartemen Sudirman</t>
  </si>
  <si>
    <t>S-1794</t>
  </si>
  <si>
    <t>Sadri</t>
  </si>
  <si>
    <t>S-1723</t>
  </si>
  <si>
    <t>Almarri</t>
  </si>
  <si>
    <t>S-004</t>
  </si>
  <si>
    <t>Saemah</t>
  </si>
  <si>
    <t>Zia</t>
  </si>
  <si>
    <t>Allson Apt. Tower A #2103</t>
  </si>
  <si>
    <t>Jl. Senen Raya</t>
  </si>
  <si>
    <t>S-1031</t>
  </si>
  <si>
    <t>Saepul</t>
  </si>
  <si>
    <t>Abdulloh</t>
  </si>
  <si>
    <t>S-0922</t>
  </si>
  <si>
    <t>Safa</t>
  </si>
  <si>
    <t>Aloud</t>
  </si>
  <si>
    <t>S-586</t>
  </si>
  <si>
    <t>Saffana</t>
  </si>
  <si>
    <t>Affif</t>
  </si>
  <si>
    <t>S-005</t>
  </si>
  <si>
    <t>Saffrudin</t>
  </si>
  <si>
    <t>Jl. Swadaya II No. 10</t>
  </si>
  <si>
    <t>S-1663</t>
  </si>
  <si>
    <t>Safia</t>
  </si>
  <si>
    <t>Safia.widianto@gmail.com</t>
  </si>
  <si>
    <t>Jln.Cempaka IV NO.58,RT 6/RW11 Bintaro Pesanggrahan</t>
  </si>
  <si>
    <t>S-868</t>
  </si>
  <si>
    <t>Safiah</t>
  </si>
  <si>
    <t>Moore</t>
  </si>
  <si>
    <t>4/830 Bourke Steet, Sydney (Date Of Birth 03-12-1986) (Anniversary 28-03-2015)</t>
  </si>
  <si>
    <t>Sydny</t>
  </si>
  <si>
    <t>S-381</t>
  </si>
  <si>
    <t>Safina</t>
  </si>
  <si>
    <t>Jl. H. Domana No.18F</t>
  </si>
  <si>
    <t>S-1834</t>
  </si>
  <si>
    <t>Evanti</t>
  </si>
  <si>
    <t>sfndea@gmail.cim</t>
  </si>
  <si>
    <t>Sunter Indah Raya</t>
  </si>
  <si>
    <t>S-1147</t>
  </si>
  <si>
    <t>Safiya</t>
  </si>
  <si>
    <t>Busaidi</t>
  </si>
  <si>
    <t>S-1978</t>
  </si>
  <si>
    <t>Safna</t>
  </si>
  <si>
    <t>bella.bdg2015@gmailcom</t>
  </si>
  <si>
    <t>6281233003303</t>
  </si>
  <si>
    <t>S-1876</t>
  </si>
  <si>
    <t>Safrida</t>
  </si>
  <si>
    <t>+62811873784</t>
  </si>
  <si>
    <t>S-1560</t>
  </si>
  <si>
    <t>Safrinna</t>
  </si>
  <si>
    <t>S-577</t>
  </si>
  <si>
    <t>S-347</t>
  </si>
  <si>
    <t>Sagar</t>
  </si>
  <si>
    <t>S-2116</t>
  </si>
  <si>
    <t>Sagino</t>
  </si>
  <si>
    <t>62811629909</t>
  </si>
  <si>
    <t>S-597</t>
  </si>
  <si>
    <t>Sahat</t>
  </si>
  <si>
    <t>S-1731</t>
  </si>
  <si>
    <t>Sahil</t>
  </si>
  <si>
    <t>Setiabudi Residence</t>
  </si>
  <si>
    <t>S-2059</t>
  </si>
  <si>
    <t>Sahnia</t>
  </si>
  <si>
    <t>Achda</t>
  </si>
  <si>
    <t>sahnia.achda@gmail.com</t>
  </si>
  <si>
    <t>31652303146</t>
  </si>
  <si>
    <t>S-1191</t>
  </si>
  <si>
    <t>Sahril</t>
  </si>
  <si>
    <t>S-659</t>
  </si>
  <si>
    <t>Sahtrianta</t>
  </si>
  <si>
    <t>S-0913</t>
  </si>
  <si>
    <t>S-1494</t>
  </si>
  <si>
    <t>Siroj</t>
  </si>
  <si>
    <t>fadhilahaqiqi@gmail.com</t>
  </si>
  <si>
    <t>Jl. Sadar raya No. 3A</t>
  </si>
  <si>
    <t>S-846</t>
  </si>
  <si>
    <t>S-008</t>
  </si>
  <si>
    <t xml:space="preserve">Pancoran Timur III A/35
Perdatam</t>
  </si>
  <si>
    <t>S-1795</t>
  </si>
  <si>
    <t>Saiful</t>
  </si>
  <si>
    <t>S-637</t>
  </si>
  <si>
    <t>Anam</t>
  </si>
  <si>
    <t>S-010</t>
  </si>
  <si>
    <t>Saimah</t>
  </si>
  <si>
    <t>Reinhardt</t>
  </si>
  <si>
    <t>S-1132</t>
  </si>
  <si>
    <t>Saint</t>
  </si>
  <si>
    <t>Liaw</t>
  </si>
  <si>
    <t xml:space="preserve">Katamaran Permai 1/24 
Pantai Indah kapuk</t>
  </si>
  <si>
    <t>S-325</t>
  </si>
  <si>
    <t>Sakai</t>
  </si>
  <si>
    <t>Masataka</t>
  </si>
  <si>
    <t>S-012</t>
  </si>
  <si>
    <t>Sakamoto</t>
  </si>
  <si>
    <t>Jl. Petanahan Lestari 31X</t>
  </si>
  <si>
    <t>S-499</t>
  </si>
  <si>
    <t>Sakdia</t>
  </si>
  <si>
    <t>S-1759</t>
  </si>
  <si>
    <t>Saki</t>
  </si>
  <si>
    <t>Kusagaya</t>
  </si>
  <si>
    <t>S-0883</t>
  </si>
  <si>
    <t>Sakiman</t>
  </si>
  <si>
    <t>S-517</t>
  </si>
  <si>
    <t>Sakina</t>
  </si>
  <si>
    <t>S-0971</t>
  </si>
  <si>
    <t>Sakinah</t>
  </si>
  <si>
    <t>Mahri</t>
  </si>
  <si>
    <t>Jl Nyiur 4 Blok AE 2 No 11, Pondok Kelapa</t>
  </si>
  <si>
    <t>S-750</t>
  </si>
  <si>
    <t>Sakroni</t>
  </si>
  <si>
    <t>Polda Metro Jaya</t>
  </si>
  <si>
    <t>S-1785</t>
  </si>
  <si>
    <t>Rachel Elizabeth</t>
  </si>
  <si>
    <t>Saks</t>
  </si>
  <si>
    <t>14155802417</t>
  </si>
  <si>
    <t>S-1801</t>
  </si>
  <si>
    <t>S-016</t>
  </si>
  <si>
    <t>Jl. Denpasar III No. 23</t>
  </si>
  <si>
    <t>S-015</t>
  </si>
  <si>
    <t>SaktioWibisono</t>
  </si>
  <si>
    <t>Jl. Patra Kuningan Raya Blok M-4 No. 3</t>
  </si>
  <si>
    <t>S-735</t>
  </si>
  <si>
    <t>Sakura</t>
  </si>
  <si>
    <t>Moret</t>
  </si>
  <si>
    <t>S-0992</t>
  </si>
  <si>
    <t>Salah</t>
  </si>
  <si>
    <t>S-423</t>
  </si>
  <si>
    <t>Soeed</t>
  </si>
  <si>
    <t>S-872</t>
  </si>
  <si>
    <t>Salam</t>
  </si>
  <si>
    <t xml:space="preserve">Juanda no.1
JAkarta pusat</t>
  </si>
  <si>
    <t>S-662</t>
  </si>
  <si>
    <t>Salamah</t>
  </si>
  <si>
    <t>S-696</t>
  </si>
  <si>
    <t>Alturki</t>
  </si>
  <si>
    <t>s1a1l1e1h@hotmail.com</t>
  </si>
  <si>
    <t>S-737</t>
  </si>
  <si>
    <t>Saleher</t>
  </si>
  <si>
    <t>Abdallah</t>
  </si>
  <si>
    <t>S-018</t>
  </si>
  <si>
    <t>Salehudin</t>
  </si>
  <si>
    <t>S-017</t>
  </si>
  <si>
    <t>Timur)</t>
  </si>
  <si>
    <t>S-1245</t>
  </si>
  <si>
    <t>S-1858</t>
  </si>
  <si>
    <t>Salikov</t>
  </si>
  <si>
    <t>S-1905</t>
  </si>
  <si>
    <t>+62816877613</t>
  </si>
  <si>
    <t>S-651</t>
  </si>
  <si>
    <t>Juprie</t>
  </si>
  <si>
    <t>S-019</t>
  </si>
  <si>
    <t>Jl. H. Agus Salim 43A</t>
  </si>
  <si>
    <t>S-020</t>
  </si>
  <si>
    <t>Jl. Cideng Barat 59</t>
  </si>
  <si>
    <t>S-021</t>
  </si>
  <si>
    <t>Nordin</t>
  </si>
  <si>
    <t>10th Fl. Sentra Mulia #1008</t>
  </si>
  <si>
    <t>Jl. HR. Rasuna Said Kav. X-6 No. 8</t>
  </si>
  <si>
    <t>S-1837</t>
  </si>
  <si>
    <t>Zin</t>
  </si>
  <si>
    <t xml:space="preserve">10 Jelebu Road #06-20 
Singapore </t>
  </si>
  <si>
    <t>S-839</t>
  </si>
  <si>
    <t>Sally</t>
  </si>
  <si>
    <t>S-658</t>
  </si>
  <si>
    <t xml:space="preserve">Jl.Melati Kav 7 Ampera Raya 
Jak Sel</t>
  </si>
  <si>
    <t>M-1271</t>
  </si>
  <si>
    <t>S-787</t>
  </si>
  <si>
    <t>sallycclya@yahoo.com</t>
  </si>
  <si>
    <t>jln.sei raya dalam,komplek villa kelapa gading permai no c7 (pontianak)</t>
  </si>
  <si>
    <t>S-1113</t>
  </si>
  <si>
    <t>6281297000722</t>
  </si>
  <si>
    <t>Apt. The Kuningan Place, Jakarta</t>
  </si>
  <si>
    <t>S-1713</t>
  </si>
  <si>
    <t>Christing</t>
  </si>
  <si>
    <t>S-305</t>
  </si>
  <si>
    <t>Sultan Ashari</t>
  </si>
  <si>
    <t>S-734</t>
  </si>
  <si>
    <t>Dandel</t>
  </si>
  <si>
    <t xml:space="preserve">Jl. Gatot Subroto Kav 35-39
Park Royale Exex Suites . Tower 1 unit 0181</t>
  </si>
  <si>
    <t>S-0998</t>
  </si>
  <si>
    <t>Mambo</t>
  </si>
  <si>
    <t>S-023</t>
  </si>
  <si>
    <t>Mounir</t>
  </si>
  <si>
    <t xml:space="preserve">Pacific Place Apartment 
Tower 2 #8A</t>
  </si>
  <si>
    <t>S-1920</t>
  </si>
  <si>
    <t>sally.vidy@gmail.com</t>
  </si>
  <si>
    <t>+6285888961912</t>
  </si>
  <si>
    <t>Kalipasir - Jakarta</t>
  </si>
  <si>
    <t>S-511</t>
  </si>
  <si>
    <t>Sallyana</t>
  </si>
  <si>
    <t>sallysorongan@yahoo.com</t>
  </si>
  <si>
    <t xml:space="preserve">Jl.Lamandan I/8 Kebayoran Baru
Jakarta Selatan</t>
  </si>
  <si>
    <t>S-1749</t>
  </si>
  <si>
    <t>S-024</t>
  </si>
  <si>
    <t>Salmona</t>
  </si>
  <si>
    <t xml:space="preserve">Jl. P. Antasari No.11B
Cipete</t>
  </si>
  <si>
    <t>S-1769</t>
  </si>
  <si>
    <t>Salome</t>
  </si>
  <si>
    <t>S-1646</t>
  </si>
  <si>
    <t>Salsa</t>
  </si>
  <si>
    <t>S-1777</t>
  </si>
  <si>
    <t>Salsabila</t>
  </si>
  <si>
    <t>S-1585</t>
  </si>
  <si>
    <t>Zaneta</t>
  </si>
  <si>
    <t>salsabilazaneta.sz@gmail.com</t>
  </si>
  <si>
    <t>S-1748</t>
  </si>
  <si>
    <t>SAM</t>
  </si>
  <si>
    <t>JOHN</t>
  </si>
  <si>
    <t>S-2095</t>
  </si>
  <si>
    <t>Sam</t>
  </si>
  <si>
    <t>Sampulawar</t>
  </si>
  <si>
    <t>628121067445</t>
  </si>
  <si>
    <t>S-1268</t>
  </si>
  <si>
    <t>Sariaatmadja</t>
  </si>
  <si>
    <t>sam.sariaatmadja@hotmail.com</t>
  </si>
  <si>
    <t>S-1848</t>
  </si>
  <si>
    <t>Sereyratanak</t>
  </si>
  <si>
    <t>S-327</t>
  </si>
  <si>
    <t>Samahita</t>
  </si>
  <si>
    <t>Jl. Gedong Sawsah III No.7</t>
  </si>
  <si>
    <t>S-0955</t>
  </si>
  <si>
    <t>Saman</t>
  </si>
  <si>
    <t>S-2064</t>
  </si>
  <si>
    <t>6287875382007</t>
  </si>
  <si>
    <t>S-1444</t>
  </si>
  <si>
    <t>S-1638</t>
  </si>
  <si>
    <t>Islan</t>
  </si>
  <si>
    <t>S-1915</t>
  </si>
  <si>
    <t>Samantha prijadi purwono</t>
  </si>
  <si>
    <t>Purwono</t>
  </si>
  <si>
    <t>08113441002</t>
  </si>
  <si>
    <t xml:space="preserve">Citraland, Tanjung Golf G2-10
</t>
  </si>
  <si>
    <t>S-026</t>
  </si>
  <si>
    <t>Samiasih</t>
  </si>
  <si>
    <t>Graha Famili H29</t>
  </si>
  <si>
    <t>S-0954</t>
  </si>
  <si>
    <t>Samick</t>
  </si>
  <si>
    <t>S-1944</t>
  </si>
  <si>
    <t>Saminskiy</t>
  </si>
  <si>
    <t>Emmylou</t>
  </si>
  <si>
    <t>es@siargaobleu.com</t>
  </si>
  <si>
    <t>639176210002</t>
  </si>
  <si>
    <t>S-027</t>
  </si>
  <si>
    <t>Sammy</t>
  </si>
  <si>
    <t>Jl. Moch Suyudi 17A</t>
  </si>
  <si>
    <t>S-456</t>
  </si>
  <si>
    <t>S-1881</t>
  </si>
  <si>
    <t>Sampat</t>
  </si>
  <si>
    <t>S-2037</t>
  </si>
  <si>
    <t>Samsia</t>
  </si>
  <si>
    <t>Masipa</t>
  </si>
  <si>
    <t>S-1416</t>
  </si>
  <si>
    <t>Samsu</t>
  </si>
  <si>
    <t>niang</t>
  </si>
  <si>
    <t>S-389</t>
  </si>
  <si>
    <t>S-029</t>
  </si>
  <si>
    <t>Abrahams</t>
  </si>
  <si>
    <t>S-307</t>
  </si>
  <si>
    <t>628179870173</t>
  </si>
  <si>
    <t xml:space="preserve">Jl. Pinisi Indah IV No. 38, PIK, Jakarta Utara 14470
</t>
  </si>
  <si>
    <t>S-565</t>
  </si>
  <si>
    <t>Muller</t>
  </si>
  <si>
    <t>mullersam@gmail.com</t>
  </si>
  <si>
    <t>Jl Sekolah Duta Raya Pondok Indah</t>
  </si>
  <si>
    <t>S-584</t>
  </si>
  <si>
    <t>samuel.hanafi@yahoo.com</t>
  </si>
  <si>
    <t xml:space="preserve">Villa Bukit Regency I PC8-18
Perumahan PAKUON Indah.</t>
  </si>
  <si>
    <t>S-1629</t>
  </si>
  <si>
    <t>S-1804</t>
  </si>
  <si>
    <t>S-0934</t>
  </si>
  <si>
    <t>Samuell</t>
  </si>
  <si>
    <t>S-721</t>
  </si>
  <si>
    <t>San</t>
  </si>
  <si>
    <t>Citra Garden G Blok H2 No. 24, Jakarta Barat</t>
  </si>
  <si>
    <t>S-1651</t>
  </si>
  <si>
    <t>Sandan</t>
  </si>
  <si>
    <t>Emre</t>
  </si>
  <si>
    <t>S-342</t>
  </si>
  <si>
    <t>Sandeep</t>
  </si>
  <si>
    <t>S-1632</t>
  </si>
  <si>
    <t>Sander</t>
  </si>
  <si>
    <t>Parawira</t>
  </si>
  <si>
    <t>sander.parawira@gmail.com</t>
  </si>
  <si>
    <t xml:space="preserve">Jl. Tawakal Ujung C-II /7
Jakarta</t>
  </si>
  <si>
    <t>S-1670</t>
  </si>
  <si>
    <t>Sanderson</t>
  </si>
  <si>
    <t>S-0964</t>
  </si>
  <si>
    <t>Sandi</t>
  </si>
  <si>
    <t>S-0968</t>
  </si>
  <si>
    <t>Sandie</t>
  </si>
  <si>
    <t>Apartment Greenbay Tower C 5 AP</t>
  </si>
  <si>
    <t>Jakarta 14450</t>
  </si>
  <si>
    <t>S-1751</t>
  </si>
  <si>
    <t>S-1162</t>
  </si>
  <si>
    <t>S-1445</t>
  </si>
  <si>
    <t>S-548</t>
  </si>
  <si>
    <t>sandraaprio@ymail.com</t>
  </si>
  <si>
    <t>Jl.Danau Permai Timur 3 C2/23</t>
  </si>
  <si>
    <t>S-1734</t>
  </si>
  <si>
    <t>Buang</t>
  </si>
  <si>
    <t>S-0917</t>
  </si>
  <si>
    <t>Apt. Pakubuwono View Redwood 30A, Jl. Sultan Iskandar Muda No. 12, Kebayoran Lama 12240</t>
  </si>
  <si>
    <t>S-1583</t>
  </si>
  <si>
    <t xml:space="preserve">Komplel Polri Pengadegan Blok O No 1
Pengadengan Pancoran</t>
  </si>
  <si>
    <t>S-421</t>
  </si>
  <si>
    <t>S-1702</t>
  </si>
  <si>
    <t>S-1981</t>
  </si>
  <si>
    <t>62811800802</t>
  </si>
  <si>
    <t>S-2114</t>
  </si>
  <si>
    <t>Sandra Patrycja</t>
  </si>
  <si>
    <t>Ksiazek</t>
  </si>
  <si>
    <t>s.ksiazek@icloud.com</t>
  </si>
  <si>
    <t>481547163</t>
  </si>
  <si>
    <t>S-1806</t>
  </si>
  <si>
    <t>Ramadietha</t>
  </si>
  <si>
    <t>62811987481</t>
  </si>
  <si>
    <t>S-1972</t>
  </si>
  <si>
    <t>Yap Dianggorobles</t>
  </si>
  <si>
    <t>6281282165160</t>
  </si>
  <si>
    <t>S-318</t>
  </si>
  <si>
    <t>Somantri</t>
  </si>
  <si>
    <t>S-1129</t>
  </si>
  <si>
    <t>Melati Mas Residence U8 / 11 Serpong</t>
  </si>
  <si>
    <t>S-1634</t>
  </si>
  <si>
    <t>Sandrana</t>
  </si>
  <si>
    <t>Rorong</t>
  </si>
  <si>
    <t>rorongsandrana@gmail.com</t>
  </si>
  <si>
    <t>Bitung - Sulawesi Utara</t>
  </si>
  <si>
    <t>S-529</t>
  </si>
  <si>
    <t>Sandrawati</t>
  </si>
  <si>
    <t>Jl. Siaga Raya RT 007/RW04</t>
  </si>
  <si>
    <t>S-1509</t>
  </si>
  <si>
    <t>Sandre</t>
  </si>
  <si>
    <t>Dee Siwalette</t>
  </si>
  <si>
    <t>sandredee@yahoo.com</t>
  </si>
  <si>
    <t>6281218182214</t>
  </si>
  <si>
    <t>Sutera Alba III/23 Alam Sutera</t>
  </si>
  <si>
    <t>S-1988</t>
  </si>
  <si>
    <t>Lisa Therese</t>
  </si>
  <si>
    <t>Sandrin</t>
  </si>
  <si>
    <t>lisa@hepgold.com.au</t>
  </si>
  <si>
    <t>61416160277</t>
  </si>
  <si>
    <t>S-1430</t>
  </si>
  <si>
    <t>Sandro</t>
  </si>
  <si>
    <t>S-520</t>
  </si>
  <si>
    <t>Muara Karang Blok G3T no.18</t>
  </si>
  <si>
    <t>S-034</t>
  </si>
  <si>
    <t>S-1991</t>
  </si>
  <si>
    <t>Ariyanti</t>
  </si>
  <si>
    <t>sandyariyanti@icloud.com</t>
  </si>
  <si>
    <t>62811195418</t>
  </si>
  <si>
    <t>The Elements Apt</t>
  </si>
  <si>
    <t>S-794</t>
  </si>
  <si>
    <t>Budiwarman</t>
  </si>
  <si>
    <t>Jl Kemang 5/30c</t>
  </si>
  <si>
    <t>S-1669</t>
  </si>
  <si>
    <t>Firnandes</t>
  </si>
  <si>
    <t>S-1645</t>
  </si>
  <si>
    <t>S-1846</t>
  </si>
  <si>
    <t>Indahsari</t>
  </si>
  <si>
    <t>S-1435</t>
  </si>
  <si>
    <t>S-334</t>
  </si>
  <si>
    <t>Mcfadden</t>
  </si>
  <si>
    <t>MPR X 12A,Cilandak Jakarta-Selatan</t>
  </si>
  <si>
    <t>S-1968</t>
  </si>
  <si>
    <t>6281398883132</t>
  </si>
  <si>
    <t>S-037</t>
  </si>
  <si>
    <t xml:space="preserve">Mitra Gading Villa A 1 No. 9
Kelapa Gading</t>
  </si>
  <si>
    <t>S-036</t>
  </si>
  <si>
    <t>Suryaningrum</t>
  </si>
  <si>
    <t>S-1722</t>
  </si>
  <si>
    <t>Dwimarini</t>
  </si>
  <si>
    <t>S-849</t>
  </si>
  <si>
    <t>S-1274</t>
  </si>
  <si>
    <t>S-1955</t>
  </si>
  <si>
    <t>Sangik</t>
  </si>
  <si>
    <t>Taman Anggrek Residence, Tower Beach 15F</t>
  </si>
  <si>
    <t>S-564</t>
  </si>
  <si>
    <t>S-619</t>
  </si>
  <si>
    <t>Sania</t>
  </si>
  <si>
    <t>S-1833</t>
  </si>
  <si>
    <t>Stefanie</t>
  </si>
  <si>
    <t xml:space="preserve">Cluster Mulawarman NO. 60 
Karawang</t>
  </si>
  <si>
    <t>S-1597</t>
  </si>
  <si>
    <t>Sanjay</t>
  </si>
  <si>
    <t>Nava Park BSD</t>
  </si>
  <si>
    <t>S-1540</t>
  </si>
  <si>
    <t>+628121322561</t>
  </si>
  <si>
    <t>S-1035</t>
  </si>
  <si>
    <t>Upasena</t>
  </si>
  <si>
    <t>S-861</t>
  </si>
  <si>
    <t>S-2042</t>
  </si>
  <si>
    <t>Sanlie</t>
  </si>
  <si>
    <t>6287761726053</t>
  </si>
  <si>
    <t>S-1185</t>
  </si>
  <si>
    <t>Sanly</t>
  </si>
  <si>
    <t xml:space="preserve">Tanjung Duren timur 6 No.182 
Jakarta Barat</t>
  </si>
  <si>
    <t>S-392</t>
  </si>
  <si>
    <t>S-680</t>
  </si>
  <si>
    <t>S-1047</t>
  </si>
  <si>
    <t>S-1414</t>
  </si>
  <si>
    <t>S-1066</t>
  </si>
  <si>
    <t>Chandra Wijaya</t>
  </si>
  <si>
    <t>sannycw8@yahoo.com</t>
  </si>
  <si>
    <t>081398044015</t>
  </si>
  <si>
    <t>Kembang Indah III Blok G3 No. 8, Jakarta</t>
  </si>
  <si>
    <t>S-502</t>
  </si>
  <si>
    <t>L,</t>
  </si>
  <si>
    <t>S-039</t>
  </si>
  <si>
    <t>Liawati</t>
  </si>
  <si>
    <t>Jl. Boulevar Barat Blok XC-D5</t>
  </si>
  <si>
    <t>S-463</t>
  </si>
  <si>
    <t>Sanrio</t>
  </si>
  <si>
    <t>S-1178</t>
  </si>
  <si>
    <t>Sansan</t>
  </si>
  <si>
    <t>Pacific Place Lantai 1 no. 69</t>
  </si>
  <si>
    <t>S-1215</t>
  </si>
  <si>
    <t>Agustian</t>
  </si>
  <si>
    <t>S-0931</t>
  </si>
  <si>
    <t>santaufar@gmail.com</t>
  </si>
  <si>
    <t>Uresident 2</t>
  </si>
  <si>
    <t>S-1910</t>
  </si>
  <si>
    <t>Santhi</t>
  </si>
  <si>
    <t>+628118208082</t>
  </si>
  <si>
    <t>S-040</t>
  </si>
  <si>
    <t>Serad</t>
  </si>
  <si>
    <t>62818130139</t>
  </si>
  <si>
    <t>S-041</t>
  </si>
  <si>
    <t>S-610</t>
  </si>
  <si>
    <t>S-1882</t>
  </si>
  <si>
    <t>Sherwood Residences</t>
  </si>
  <si>
    <t>S-1478</t>
  </si>
  <si>
    <t>S-1506</t>
  </si>
  <si>
    <t>ekaputri.chanti@gmail.com</t>
  </si>
  <si>
    <t>6281121202011</t>
  </si>
  <si>
    <t xml:space="preserve">APARTEMENT GRAND HEIGHT GANDARIA
JAK-SEL</t>
  </si>
  <si>
    <t>S-1958</t>
  </si>
  <si>
    <t>Kennardi</t>
  </si>
  <si>
    <t>Komplek Pakuwon I Jl.Intan Pakuwon II N0.12A ,Bogor</t>
  </si>
  <si>
    <t>S-724</t>
  </si>
  <si>
    <t>S-1559</t>
  </si>
  <si>
    <t>Turino</t>
  </si>
  <si>
    <t>S-1630</t>
  </si>
  <si>
    <t>Widayani</t>
  </si>
  <si>
    <t>S-615</t>
  </si>
  <si>
    <t>YZ</t>
  </si>
  <si>
    <t>S-1487</t>
  </si>
  <si>
    <t>Sharavasti</t>
  </si>
  <si>
    <t>S-1767</t>
  </si>
  <si>
    <t>Santini</t>
  </si>
  <si>
    <t>628163145222</t>
  </si>
  <si>
    <t>S-353</t>
  </si>
  <si>
    <t>Santje</t>
  </si>
  <si>
    <t>Suwaldan</t>
  </si>
  <si>
    <t>S-437</t>
  </si>
  <si>
    <t>S-428</t>
  </si>
  <si>
    <t>S-566</t>
  </si>
  <si>
    <t>Permata Buana, Jl. Pulau Tondan blok R1 no.40</t>
  </si>
  <si>
    <t>S-2077</t>
  </si>
  <si>
    <t>Gunara</t>
  </si>
  <si>
    <t>628112199999</t>
  </si>
  <si>
    <t>S-488</t>
  </si>
  <si>
    <t>Santy</t>
  </si>
  <si>
    <t>S-1319</t>
  </si>
  <si>
    <t>S-1582</t>
  </si>
  <si>
    <t>Taman Semanan IndahH9/36 Jakarta barat</t>
  </si>
  <si>
    <t>S-1647</t>
  </si>
  <si>
    <t>Pramuji</t>
  </si>
  <si>
    <t>S-1609</t>
  </si>
  <si>
    <t>S-1822</t>
  </si>
  <si>
    <t>tjuatja.santy@gmail.com</t>
  </si>
  <si>
    <t>6281299019000</t>
  </si>
  <si>
    <t xml:space="preserve">Perumahan Alam Sutera 
Jalan Sutera Olivia 3 no.9 </t>
  </si>
  <si>
    <t>S-1730</t>
  </si>
  <si>
    <t>Santy..</t>
  </si>
  <si>
    <t>S-043</t>
  </si>
  <si>
    <t>Sany</t>
  </si>
  <si>
    <t>S-1757</t>
  </si>
  <si>
    <t>Sapiiat</t>
  </si>
  <si>
    <t>Akhmedova</t>
  </si>
  <si>
    <t>S-1045</t>
  </si>
  <si>
    <t>Sapna</t>
  </si>
  <si>
    <t>S-691</t>
  </si>
  <si>
    <t>Sapti</t>
  </si>
  <si>
    <t>septiw@yahoo.com</t>
  </si>
  <si>
    <t xml:space="preserve">Apt. Dharmawangsa Essence Twr I / 2208A
Jl.Darmawangsa X/86 Kebayoran Baru
12160</t>
  </si>
  <si>
    <t>S-792</t>
  </si>
  <si>
    <t>Wicahyo</t>
  </si>
  <si>
    <t>Kp Pos Rt/Rw 01/11 Cibinong Bogor</t>
  </si>
  <si>
    <t>S-1204</t>
  </si>
  <si>
    <t>Saptono</t>
  </si>
  <si>
    <t>S-1424</t>
  </si>
  <si>
    <t>S-1668</t>
  </si>
  <si>
    <t>Al-taumi</t>
  </si>
  <si>
    <t>S-0888</t>
  </si>
  <si>
    <t>Loving</t>
  </si>
  <si>
    <t>mattloving@gmail.com</t>
  </si>
  <si>
    <t>Jl. Kemang Timur XI Komplek Melati no. 11</t>
  </si>
  <si>
    <t>S-1288</t>
  </si>
  <si>
    <t>S-747</t>
  </si>
  <si>
    <t>S-786</t>
  </si>
  <si>
    <t>S-645</t>
  </si>
  <si>
    <t xml:space="preserve">Apartement Mediterania I 
Tanjung Duran</t>
  </si>
  <si>
    <t>S-1106</t>
  </si>
  <si>
    <t xml:space="preserve">Jl.Sekolah Kencana IV
Apt.GreenView Tower B Lt.10 No.1
Nuansa Hijau</t>
  </si>
  <si>
    <t>S-044</t>
  </si>
  <si>
    <t>S-714</t>
  </si>
  <si>
    <t>S-1258</t>
  </si>
  <si>
    <t>S-045</t>
  </si>
  <si>
    <t>Arno</t>
  </si>
  <si>
    <t>0251-8338811</t>
  </si>
  <si>
    <t>Jl. Wijaya Kusuma 12</t>
  </si>
  <si>
    <t>S-2010</t>
  </si>
  <si>
    <t>Buaboos</t>
  </si>
  <si>
    <t>sara.buaboos@gmail.com</t>
  </si>
  <si>
    <t>628119451809</t>
  </si>
  <si>
    <t>Pantai Mutiara Bok G No.5</t>
  </si>
  <si>
    <t>S-314</t>
  </si>
  <si>
    <t>Pitch</t>
  </si>
  <si>
    <t xml:space="preserve">Jl Karang Asem V/2
Kuningan Timur</t>
  </si>
  <si>
    <t>S-490</t>
  </si>
  <si>
    <t>+62816881511</t>
  </si>
  <si>
    <t>S-1139</t>
  </si>
  <si>
    <t>Ferri</t>
  </si>
  <si>
    <t>sarahferri@gmail.com</t>
  </si>
  <si>
    <t>+628111611214</t>
  </si>
  <si>
    <t>Cirendeu Residence E8</t>
  </si>
  <si>
    <t>S-1750</t>
  </si>
  <si>
    <t>Gibsoly</t>
  </si>
  <si>
    <t>lombok</t>
  </si>
  <si>
    <t>S-1720</t>
  </si>
  <si>
    <t>Gibson</t>
  </si>
  <si>
    <t>S-2020</t>
  </si>
  <si>
    <t>Sarah Irianti</t>
  </si>
  <si>
    <t>Busser</t>
  </si>
  <si>
    <t>62811249359</t>
  </si>
  <si>
    <t>S-1825</t>
  </si>
  <si>
    <t>Sarah Isabella</t>
  </si>
  <si>
    <t>628176587484</t>
  </si>
  <si>
    <t>Jl.Paus Blok B1 No.9 Jurangmangu Timur Pondok Aren Rt.006/007</t>
  </si>
  <si>
    <t>S-731</t>
  </si>
  <si>
    <t>S-397</t>
  </si>
  <si>
    <t>S-2051</t>
  </si>
  <si>
    <t>Kondjol</t>
  </si>
  <si>
    <t>6281248620320</t>
  </si>
  <si>
    <t>Moi</t>
  </si>
  <si>
    <t>S-1284</t>
  </si>
  <si>
    <t>Mohed</t>
  </si>
  <si>
    <t>Golf Apartment</t>
  </si>
  <si>
    <t>S-1945</t>
  </si>
  <si>
    <t>Nurbaiti</t>
  </si>
  <si>
    <t>hutasuhut.faldano@gmail.com</t>
  </si>
  <si>
    <t>6281290008321</t>
  </si>
  <si>
    <t>Jl. Bukit Firdaus No.06</t>
  </si>
  <si>
    <t>S-0958</t>
  </si>
  <si>
    <t>Ryzkia</t>
  </si>
  <si>
    <t>S-1618</t>
  </si>
  <si>
    <t>Shabrina</t>
  </si>
  <si>
    <t>S-336</t>
  </si>
  <si>
    <t>+628111314712</t>
  </si>
  <si>
    <t>S-1696</t>
  </si>
  <si>
    <t>Pantai Mutiara R/19</t>
  </si>
  <si>
    <t>S-1598</t>
  </si>
  <si>
    <t>Mtrs</t>
  </si>
  <si>
    <t>S-1660</t>
  </si>
  <si>
    <t>Sarastri</t>
  </si>
  <si>
    <t>Baskoro</t>
  </si>
  <si>
    <t>S-1521</t>
  </si>
  <si>
    <t>S-1652</t>
  </si>
  <si>
    <t>Saraviana</t>
  </si>
  <si>
    <t>+6281281745606</t>
  </si>
  <si>
    <t>S-047</t>
  </si>
  <si>
    <t>Sardjono</t>
  </si>
  <si>
    <t>Simpruk Teras Apt. Tower B #606</t>
  </si>
  <si>
    <t>Jl. Arteri Pondok Indah</t>
  </si>
  <si>
    <t>S-1004</t>
  </si>
  <si>
    <t>S-1440</t>
  </si>
  <si>
    <t>S-826</t>
  </si>
  <si>
    <t>Baharis</t>
  </si>
  <si>
    <t>S-1995</t>
  </si>
  <si>
    <t>Cahya</t>
  </si>
  <si>
    <t>6281913503757</t>
  </si>
  <si>
    <t>S-448</t>
  </si>
  <si>
    <t>Ghopta</t>
  </si>
  <si>
    <t>S-1431</t>
  </si>
  <si>
    <t>S-535</t>
  </si>
  <si>
    <t>Palem indah Blok B no3</t>
  </si>
  <si>
    <t>C-174</t>
  </si>
  <si>
    <t>Murdowati</t>
  </si>
  <si>
    <t>S-1511</t>
  </si>
  <si>
    <t>Nangoi</t>
  </si>
  <si>
    <t>S-0941</t>
  </si>
  <si>
    <t>Nirmolo</t>
  </si>
  <si>
    <t>Jalan Puri Mutiara 1 No. 71A, Cipete Selatan</t>
  </si>
  <si>
    <t>S-1456</t>
  </si>
  <si>
    <t>Dumayanti Panjaitan</t>
  </si>
  <si>
    <t>sari.farel@yahoo.com</t>
  </si>
  <si>
    <t>+6281389078198</t>
  </si>
  <si>
    <t>Prima Harapan Bekasi Blok H9/19, Bekasi 17125</t>
  </si>
  <si>
    <t>S-0997</t>
  </si>
  <si>
    <t>Sri</t>
  </si>
  <si>
    <t>rashsarisdewi@yahoo.co.id</t>
  </si>
  <si>
    <t>6281212880021</t>
  </si>
  <si>
    <t>S-1824</t>
  </si>
  <si>
    <t>S-1823</t>
  </si>
  <si>
    <t>S-528</t>
  </si>
  <si>
    <t>S-749</t>
  </si>
  <si>
    <t>Widyastuti</t>
  </si>
  <si>
    <t>sarioxy88@gmail.com</t>
  </si>
  <si>
    <t xml:space="preserve">Komp Green Garden blok CS/7 
Rorotan</t>
  </si>
  <si>
    <t>S-1302</t>
  </si>
  <si>
    <t>Yosan</t>
  </si>
  <si>
    <t>Foresia Colinare C 6 No. 9 BSD</t>
  </si>
  <si>
    <t>S-1735</t>
  </si>
  <si>
    <t>Sarianti</t>
  </si>
  <si>
    <t xml:space="preserve">JL SULTHAN ALAUDDIN 2
MAKASSAR</t>
  </si>
  <si>
    <t>S-2063</t>
  </si>
  <si>
    <t>Sarika</t>
  </si>
  <si>
    <t>Singh</t>
  </si>
  <si>
    <t>62816898800</t>
  </si>
  <si>
    <t>8E Pakubuwono Residence</t>
  </si>
  <si>
    <t>S-470</t>
  </si>
  <si>
    <t>Sarikha</t>
  </si>
  <si>
    <t>S-1852</t>
  </si>
  <si>
    <t>Sarir</t>
  </si>
  <si>
    <t>S-1063</t>
  </si>
  <si>
    <t>Sarita</t>
  </si>
  <si>
    <t>S-1023</t>
  </si>
  <si>
    <t>628123808366</t>
  </si>
  <si>
    <t xml:space="preserve">Jl.Teuku Umar Barat 789 Denpasar 
Birthday 01.01.63</t>
  </si>
  <si>
    <t>S-1828</t>
  </si>
  <si>
    <t>Sariwati</t>
  </si>
  <si>
    <t>semutsemut123@yahoo.com</t>
  </si>
  <si>
    <t>S-050</t>
  </si>
  <si>
    <t>Sarjono</t>
  </si>
  <si>
    <t>S-1745</t>
  </si>
  <si>
    <t>Saro</t>
  </si>
  <si>
    <t>Belekdanian</t>
  </si>
  <si>
    <t>S-051</t>
  </si>
  <si>
    <t>Sarri</t>
  </si>
  <si>
    <t>Komp. Villa Permata Gading Blok C No. 1</t>
  </si>
  <si>
    <t>S-1223</t>
  </si>
  <si>
    <t>S-1522</t>
  </si>
  <si>
    <t>Sartono</t>
  </si>
  <si>
    <t>+628121034697</t>
  </si>
  <si>
    <t>S-052</t>
  </si>
  <si>
    <t>S-053</t>
  </si>
  <si>
    <t>Sarwan</t>
  </si>
  <si>
    <t>JL. Puri Kembang Timur, Puri Indah</t>
  </si>
  <si>
    <t>S-1554</t>
  </si>
  <si>
    <t>Sarwendah</t>
  </si>
  <si>
    <t>S-501</t>
  </si>
  <si>
    <t>62816789060</t>
  </si>
  <si>
    <t xml:space="preserve">Essence Apartement Darmawangsa
Kebayoran</t>
  </si>
  <si>
    <t>S-1333</t>
  </si>
  <si>
    <t>Sasa</t>
  </si>
  <si>
    <t>S-054</t>
  </si>
  <si>
    <t>Jayakarta Apt. #6210</t>
  </si>
  <si>
    <t>Jl. Legian</t>
  </si>
  <si>
    <t>S-1671</t>
  </si>
  <si>
    <t>Sasha</t>
  </si>
  <si>
    <t>S-1659</t>
  </si>
  <si>
    <t>Sasia</t>
  </si>
  <si>
    <t>S-820</t>
  </si>
  <si>
    <t>Saskia</t>
  </si>
  <si>
    <t>Apt. Puri Park View Tower BB Unit BB 21/07</t>
  </si>
  <si>
    <t>S-1883</t>
  </si>
  <si>
    <t>saskiareno95@gmail.com</t>
  </si>
  <si>
    <t>S-1756</t>
  </si>
  <si>
    <t>Sasya</t>
  </si>
  <si>
    <t>S-0911</t>
  </si>
  <si>
    <t>Satia</t>
  </si>
  <si>
    <t>Indrarini</t>
  </si>
  <si>
    <t>satiaindrarinie@yahoo.com</t>
  </si>
  <si>
    <t>Gading Grande Residence No.10, Kelapa Gading</t>
  </si>
  <si>
    <t>S-2052</t>
  </si>
  <si>
    <t>Satoe</t>
  </si>
  <si>
    <t>Chiba</t>
  </si>
  <si>
    <t>satoec@gmail.com</t>
  </si>
  <si>
    <t>819046228543</t>
  </si>
  <si>
    <t>S-1999</t>
  </si>
  <si>
    <t>Satoko</t>
  </si>
  <si>
    <t>Murayama</t>
  </si>
  <si>
    <t>6281284361243</t>
  </si>
  <si>
    <t>S-057</t>
  </si>
  <si>
    <t>Satomi</t>
  </si>
  <si>
    <t>Takeo</t>
  </si>
  <si>
    <t>Jl. Daksa IV</t>
  </si>
  <si>
    <t>S-530</t>
  </si>
  <si>
    <t>Satoshi</t>
  </si>
  <si>
    <t>Takagi</t>
  </si>
  <si>
    <t xml:space="preserve">Sentra Mulia lt 12 
Jl. HR Rasuna Said</t>
  </si>
  <si>
    <t>S-0882</t>
  </si>
  <si>
    <t>S-0999</t>
  </si>
  <si>
    <t>S-1803</t>
  </si>
  <si>
    <t>Jl. Keuangan II No.70 Cilandak</t>
  </si>
  <si>
    <t>S-1617</t>
  </si>
  <si>
    <t>Satrio</t>
  </si>
  <si>
    <t>S-1072</t>
  </si>
  <si>
    <t>S-1653</t>
  </si>
  <si>
    <t>S-1661</t>
  </si>
  <si>
    <t>Satvinder</t>
  </si>
  <si>
    <t>Villa 42</t>
  </si>
  <si>
    <t>S-1312</t>
  </si>
  <si>
    <t>Satwinder</t>
  </si>
  <si>
    <t>sunny@rahaos.net</t>
  </si>
  <si>
    <t>S-064</t>
  </si>
  <si>
    <t>Satya</t>
  </si>
  <si>
    <t>S-2057</t>
  </si>
  <si>
    <t>6281232253803</t>
  </si>
  <si>
    <t>S-0910</t>
  </si>
  <si>
    <t>Darjosanjoto</t>
  </si>
  <si>
    <t>savitri.darjosanjoto@yahoo.com</t>
  </si>
  <si>
    <t>Jl. Benda 78, W Residence #220, Kemang</t>
  </si>
  <si>
    <t>S-2100</t>
  </si>
  <si>
    <t>Saw</t>
  </si>
  <si>
    <t>Shilpa</t>
  </si>
  <si>
    <t>Shilpasahu@yahoo.com</t>
  </si>
  <si>
    <t>13106253128</t>
  </si>
  <si>
    <t>S-821</t>
  </si>
  <si>
    <t>Sawsan</t>
  </si>
  <si>
    <t>Bahrawi</t>
  </si>
  <si>
    <t>saw.bah@gmail.com</t>
  </si>
  <si>
    <t xml:space="preserve">PO BOX 52003
Jeddah 21563
Saudi Arabia</t>
  </si>
  <si>
    <t>S-1605</t>
  </si>
  <si>
    <t>Sayoga</t>
  </si>
  <si>
    <t>S-2119</t>
  </si>
  <si>
    <t>Scepanovic</t>
  </si>
  <si>
    <t>alek.scepanovic247@icloud.com</t>
  </si>
  <si>
    <t>38267265899</t>
  </si>
  <si>
    <t>S-1698</t>
  </si>
  <si>
    <t>Schebesch</t>
  </si>
  <si>
    <t>Munchen</t>
  </si>
  <si>
    <t>S-1818</t>
  </si>
  <si>
    <t>Schopf</t>
  </si>
  <si>
    <t>S-2131</t>
  </si>
  <si>
    <t>Scorpiona putri</t>
  </si>
  <si>
    <t>Heyzer</t>
  </si>
  <si>
    <t>6281297007772</t>
  </si>
  <si>
    <t>Jl Niaga Duta 1</t>
  </si>
  <si>
    <t>S-315</t>
  </si>
  <si>
    <t>Scott</t>
  </si>
  <si>
    <t>Boyer</t>
  </si>
  <si>
    <t>Jl, H Rasuna Said</t>
  </si>
  <si>
    <t>S-1535</t>
  </si>
  <si>
    <t>Seah</t>
  </si>
  <si>
    <t>Tak</t>
  </si>
  <si>
    <t>ckcalvin1449@gmail.com</t>
  </si>
  <si>
    <t>Regatta Apartment</t>
  </si>
  <si>
    <t>S-1811</t>
  </si>
  <si>
    <t>Sean</t>
  </si>
  <si>
    <t>Astine</t>
  </si>
  <si>
    <t>S-2123</t>
  </si>
  <si>
    <t>sean.moeis@gmail.com</t>
  </si>
  <si>
    <t>6285311888189</t>
  </si>
  <si>
    <t>S-1989</t>
  </si>
  <si>
    <t>Rumi</t>
  </si>
  <si>
    <t>seanelrumi@gmail.com</t>
  </si>
  <si>
    <t>62878777797725</t>
  </si>
  <si>
    <t>Madja Residences No.15 Cipete</t>
  </si>
  <si>
    <t>S-344</t>
  </si>
  <si>
    <t>S-073</t>
  </si>
  <si>
    <t>S-1515</t>
  </si>
  <si>
    <t xml:space="preserve">Apt 1 Park Avenue Tower Royal 3AB
Jakarta 12240</t>
  </si>
  <si>
    <t>S-1438</t>
  </si>
  <si>
    <t>Togelang</t>
  </si>
  <si>
    <t>S-2069</t>
  </si>
  <si>
    <t>Seet Geok Neo</t>
  </si>
  <si>
    <t>patseet@me.com</t>
  </si>
  <si>
    <t>6596302130</t>
  </si>
  <si>
    <t>S-1953</t>
  </si>
  <si>
    <t>Sefti</t>
  </si>
  <si>
    <t>Fanli</t>
  </si>
  <si>
    <t>6281288560925</t>
  </si>
  <si>
    <t>Dharmawangsa</t>
  </si>
  <si>
    <t>S-1013</t>
  </si>
  <si>
    <t>Seiichi</t>
  </si>
  <si>
    <t>Asaya</t>
  </si>
  <si>
    <t>Jalan Raya Jakarta Bogor KM35</t>
  </si>
  <si>
    <t>S-1158</t>
  </si>
  <si>
    <t>Aftrianingrum</t>
  </si>
  <si>
    <t>S-1934</t>
  </si>
  <si>
    <t>Hanjani</t>
  </si>
  <si>
    <t>sekar.hanjani@gmail.com</t>
  </si>
  <si>
    <t>6285883802020</t>
  </si>
  <si>
    <t>S-0994</t>
  </si>
  <si>
    <t>S-2058</t>
  </si>
  <si>
    <t>Bu Ayu</t>
  </si>
  <si>
    <t>6281318421425</t>
  </si>
  <si>
    <t>S-1985</t>
  </si>
  <si>
    <t>Dalith</t>
  </si>
  <si>
    <t>Sledman-Edgar</t>
  </si>
  <si>
    <t>15164062071</t>
  </si>
  <si>
    <t>S-2029</t>
  </si>
  <si>
    <t>S-1481</t>
  </si>
  <si>
    <t>Seli</t>
  </si>
  <si>
    <t>Jalan Cempaka Putih Barat XVIII/12</t>
  </si>
  <si>
    <t>S-1555</t>
  </si>
  <si>
    <t>Selina</t>
  </si>
  <si>
    <t>S-1694</t>
  </si>
  <si>
    <t>Sella</t>
  </si>
  <si>
    <t>S-1877</t>
  </si>
  <si>
    <t>Jl H. Akbar No.40 Kebon Kawung, Bandung</t>
  </si>
  <si>
    <t>S-2024</t>
  </si>
  <si>
    <t>Novika Anjali</t>
  </si>
  <si>
    <t>6289675926180</t>
  </si>
  <si>
    <t>Ponorogo</t>
  </si>
  <si>
    <t>S-2028</t>
  </si>
  <si>
    <t>sellaseptiani@gmail.com</t>
  </si>
  <si>
    <t>62817240988</t>
  </si>
  <si>
    <t>Pakubuwono House 26c</t>
  </si>
  <si>
    <t>S-1448</t>
  </si>
  <si>
    <t>Sellina</t>
  </si>
  <si>
    <t>S-1774</t>
  </si>
  <si>
    <t>Jl,Belibis No,A9</t>
  </si>
  <si>
    <t>S-1603</t>
  </si>
  <si>
    <t>S-0939</t>
  </si>
  <si>
    <t>Jalan Maleo Raya JE 5 No. 2, Bintaro Jaya Sektor 9, Tangerang</t>
  </si>
  <si>
    <t>S-079</t>
  </si>
  <si>
    <t>Zaenab</t>
  </si>
  <si>
    <t>S-1531</t>
  </si>
  <si>
    <t>Selma</t>
  </si>
  <si>
    <t>S-568</t>
  </si>
  <si>
    <t>Selsia</t>
  </si>
  <si>
    <t xml:space="preserve">Jl Pancoran Indah 2 Blok D/20
Komplek Ligamas</t>
  </si>
  <si>
    <t>S-781</t>
  </si>
  <si>
    <t>Selvi</t>
  </si>
  <si>
    <t>S-1071</t>
  </si>
  <si>
    <t>+6281285760239</t>
  </si>
  <si>
    <t>S-2013</t>
  </si>
  <si>
    <t>Chrisinda</t>
  </si>
  <si>
    <t>sabudarin@gmail.com</t>
  </si>
  <si>
    <t>+628123034969</t>
  </si>
  <si>
    <t>Jl.Raya Persada No.38 Banjarmasin</t>
  </si>
  <si>
    <t>S-678</t>
  </si>
  <si>
    <t>S-873</t>
  </si>
  <si>
    <t>Harnita</t>
  </si>
  <si>
    <t>S-807</t>
  </si>
  <si>
    <t>Flamboyan 2 No.20 PIK</t>
  </si>
  <si>
    <t>S-769</t>
  </si>
  <si>
    <t>Pamho</t>
  </si>
  <si>
    <t>borobudur70@gmail.com</t>
  </si>
  <si>
    <t xml:space="preserve">Pinisi Permai 6 No 12 A
Pantai Indah Kapuk</t>
  </si>
  <si>
    <t>S-1866</t>
  </si>
  <si>
    <t>Rezalina</t>
  </si>
  <si>
    <t>Selvirezalina@gmail.com</t>
  </si>
  <si>
    <t>628111781982</t>
  </si>
  <si>
    <t>S-761</t>
  </si>
  <si>
    <t>S-673</t>
  </si>
  <si>
    <t>Selvia</t>
  </si>
  <si>
    <t>S-1712</t>
  </si>
  <si>
    <t>Rasid</t>
  </si>
  <si>
    <t xml:space="preserve">VILLA ARTA GADING F39
JAKARTA UTARA</t>
  </si>
  <si>
    <t>S-396</t>
  </si>
  <si>
    <t>Apartement Istana Harmoni 19H</t>
  </si>
  <si>
    <t>S-0974</t>
  </si>
  <si>
    <t>S-1169</t>
  </si>
  <si>
    <t>Zulianti</t>
  </si>
  <si>
    <t>S-719</t>
  </si>
  <si>
    <t>Selviana</t>
  </si>
  <si>
    <t>tan</t>
  </si>
  <si>
    <t>selvi.tan@yahoo.com</t>
  </si>
  <si>
    <t>Duta Buntu BLOK B 58</t>
  </si>
  <si>
    <t>S-1621</t>
  </si>
  <si>
    <t>Selvina</t>
  </si>
  <si>
    <t>Koesyamin</t>
  </si>
  <si>
    <t>selvina.koesyamin@gmail.com</t>
  </si>
  <si>
    <t>Taman Kencana A13/14</t>
  </si>
  <si>
    <t>Jakbar</t>
  </si>
  <si>
    <t>S-1001</t>
  </si>
  <si>
    <t>Selvy</t>
  </si>
  <si>
    <t>S-083</t>
  </si>
  <si>
    <t>Selvyria</t>
  </si>
  <si>
    <t>Atap Merah Apt. #1126</t>
  </si>
  <si>
    <t>Jl. Pecenongan 72</t>
  </si>
  <si>
    <t>S-2003</t>
  </si>
  <si>
    <t>Semenko</t>
  </si>
  <si>
    <t>o.semeko@bk.ru</t>
  </si>
  <si>
    <t>79161541433</t>
  </si>
  <si>
    <t>S-1805</t>
  </si>
  <si>
    <t>Sen</t>
  </si>
  <si>
    <t>Amrita</t>
  </si>
  <si>
    <t>UNITED KINGDOM OF GREAT BRITAIN</t>
  </si>
  <si>
    <t>S-1500</t>
  </si>
  <si>
    <t>Senarta</t>
  </si>
  <si>
    <t xml:space="preserve">Rukun Nusantara Blok.A1 No.5
Jl. Danau Sunter Barat</t>
  </si>
  <si>
    <t>S-664</t>
  </si>
  <si>
    <t>Sendhi</t>
  </si>
  <si>
    <t>Januarlin</t>
  </si>
  <si>
    <t>cindy-chaniago@yahoo.com</t>
  </si>
  <si>
    <t>S-1931</t>
  </si>
  <si>
    <t>6281388918888</t>
  </si>
  <si>
    <t>S-1971</t>
  </si>
  <si>
    <t>Sendy Ramania</t>
  </si>
  <si>
    <t>Wurandani</t>
  </si>
  <si>
    <t>62811870226</t>
  </si>
  <si>
    <t>Bunga Kenanga No.23 Cipete</t>
  </si>
  <si>
    <t>S-1498</t>
  </si>
  <si>
    <t>Wanty</t>
  </si>
  <si>
    <t>sendysss999@gmail.com</t>
  </si>
  <si>
    <t>S-1455</t>
  </si>
  <si>
    <t>Senny</t>
  </si>
  <si>
    <t>sennt_87@hotmail.com</t>
  </si>
  <si>
    <t>S-1499</t>
  </si>
  <si>
    <t>S-1865</t>
  </si>
  <si>
    <t>Seno</t>
  </si>
  <si>
    <t>Kusnindar</t>
  </si>
  <si>
    <t>S-1966</t>
  </si>
  <si>
    <t>Sensen</t>
  </si>
  <si>
    <t>6285757000197</t>
  </si>
  <si>
    <t>S-084</t>
  </si>
  <si>
    <t>TTS1 Blok B No. 10</t>
  </si>
  <si>
    <t>Sunter Jaya</t>
  </si>
  <si>
    <t>S-556</t>
  </si>
  <si>
    <t>Sentot</t>
  </si>
  <si>
    <t>Kooshartawan</t>
  </si>
  <si>
    <t>S-085</t>
  </si>
  <si>
    <t>Taman Raja Apt. Blok B #406</t>
  </si>
  <si>
    <t>S-1765</t>
  </si>
  <si>
    <t>Seohyeon</t>
  </si>
  <si>
    <t>celina0221@gmail.com</t>
  </si>
  <si>
    <t>S-1821</t>
  </si>
  <si>
    <t>Seong</t>
  </si>
  <si>
    <t>Dahye</t>
  </si>
  <si>
    <t>S-1762</t>
  </si>
  <si>
    <t>gloriashin1007@gmail.com</t>
  </si>
  <si>
    <t>S-1763</t>
  </si>
  <si>
    <t>lsk8816@gmail.com</t>
  </si>
  <si>
    <t>S-2109</t>
  </si>
  <si>
    <t>Seongil</t>
  </si>
  <si>
    <t>dongsan300@daum.net</t>
  </si>
  <si>
    <t>81110538524</t>
  </si>
  <si>
    <t>S-1591</t>
  </si>
  <si>
    <t>Septi</t>
  </si>
  <si>
    <t>Priatiningsih</t>
  </si>
  <si>
    <t>Jl.Ks Tubun III Blok D9</t>
  </si>
  <si>
    <t>S-559</t>
  </si>
  <si>
    <t>Septo</t>
  </si>
  <si>
    <t>Sudiro</t>
  </si>
  <si>
    <t>S-086</t>
  </si>
  <si>
    <t>Jl. Taman Sunter Agung 2 Blok C-2 No. 23</t>
  </si>
  <si>
    <t>S-1901</t>
  </si>
  <si>
    <t>Sera Sani</t>
  </si>
  <si>
    <t>Verana</t>
  </si>
  <si>
    <t>6281223641155</t>
  </si>
  <si>
    <t>Jalan Situsari VIII No.16</t>
  </si>
  <si>
    <t>S-1548</t>
  </si>
  <si>
    <t>Serah</t>
  </si>
  <si>
    <t>S-1752</t>
  </si>
  <si>
    <t>S-2094</t>
  </si>
  <si>
    <t>Sere</t>
  </si>
  <si>
    <t>Florenncia</t>
  </si>
  <si>
    <t>S-1844</t>
  </si>
  <si>
    <t>Sergeeva</t>
  </si>
  <si>
    <t>S-542</t>
  </si>
  <si>
    <t>Seroja</t>
  </si>
  <si>
    <t>S-1372</t>
  </si>
  <si>
    <t>Serphina</t>
  </si>
  <si>
    <t>6281219160068</t>
  </si>
  <si>
    <t>S-1359</t>
  </si>
  <si>
    <t>Servia</t>
  </si>
  <si>
    <t>S-2056</t>
  </si>
  <si>
    <t>Service</t>
  </si>
  <si>
    <t>Center</t>
  </si>
  <si>
    <t>S-386</t>
  </si>
  <si>
    <t>Sesa</t>
  </si>
  <si>
    <t>S-088</t>
  </si>
  <si>
    <t>Jl. Pulomas III No. 7</t>
  </si>
  <si>
    <t>C-0413</t>
  </si>
  <si>
    <t>S-1189</t>
  </si>
  <si>
    <t>S-1370</t>
  </si>
  <si>
    <t>+62816843849</t>
  </si>
  <si>
    <t xml:space="preserve">Jl. Metro Pd Indah UF-16 N0 22
kel. Pondok Pinang  Kec Kebayoran Lama</t>
  </si>
  <si>
    <t>S-0902</t>
  </si>
  <si>
    <t>Setiati</t>
  </si>
  <si>
    <t>Wdijaja</t>
  </si>
  <si>
    <t>Jl. Metro Pondok Indah UF 16</t>
  </si>
  <si>
    <t>S-1357</t>
  </si>
  <si>
    <t>setiawan.sea@gmail.com</t>
  </si>
  <si>
    <t>casagrande residence jakarta</t>
  </si>
  <si>
    <t>S-852</t>
  </si>
  <si>
    <t>Jl. Gedong Sawah III No.7 Kota Bogor Tengah</t>
  </si>
  <si>
    <t>S-1073</t>
  </si>
  <si>
    <t>Setiyani/</t>
  </si>
  <si>
    <t>Galatiam</t>
  </si>
  <si>
    <t xml:space="preserve">jl.Laksda adi sucipto 23B /45 Rt 04/01 Blimbing
Malang Kota</t>
  </si>
  <si>
    <t>S-1343</t>
  </si>
  <si>
    <t>Setiyo</t>
  </si>
  <si>
    <t>Santosa</t>
  </si>
  <si>
    <t>S-1526</t>
  </si>
  <si>
    <t>Sebayang</t>
  </si>
  <si>
    <t>S-090</t>
  </si>
  <si>
    <t>Rheza)</t>
  </si>
  <si>
    <t>Jl. Wijaya 13 No. 19</t>
  </si>
  <si>
    <t>S-414</t>
  </si>
  <si>
    <t>Seu</t>
  </si>
  <si>
    <t xml:space="preserve">Senayan Residence Apt Tower 31913,
Jakarta</t>
  </si>
  <si>
    <t>S-2078</t>
  </si>
  <si>
    <t>Seung</t>
  </si>
  <si>
    <t>Chul Shin</t>
  </si>
  <si>
    <t>+6590301845</t>
  </si>
  <si>
    <t>S-1263</t>
  </si>
  <si>
    <t>S-1426</t>
  </si>
  <si>
    <t>S-1896</t>
  </si>
  <si>
    <t>seungyoon821@gmail.com</t>
  </si>
  <si>
    <t>Menteng Park Jakarta</t>
  </si>
  <si>
    <t>S-1717</t>
  </si>
  <si>
    <t>Sevira</t>
  </si>
  <si>
    <t>Sjamsul</t>
  </si>
  <si>
    <t>S-2004</t>
  </si>
  <si>
    <t>Seydak</t>
  </si>
  <si>
    <t>oseydak@gmail.com</t>
  </si>
  <si>
    <t>971581501986</t>
  </si>
  <si>
    <t>55 0266274</t>
  </si>
  <si>
    <t>S-695</t>
  </si>
  <si>
    <t>Seyed</t>
  </si>
  <si>
    <t>S-2127</t>
  </si>
  <si>
    <t>Sha</t>
  </si>
  <si>
    <t>92289@qq.com</t>
  </si>
  <si>
    <t>88613940400000</t>
  </si>
  <si>
    <t>S-438</t>
  </si>
  <si>
    <t>Shabad</t>
  </si>
  <si>
    <t>S-600</t>
  </si>
  <si>
    <t>Shade</t>
  </si>
  <si>
    <t>S-1026</t>
  </si>
  <si>
    <t>Hadiz</t>
  </si>
  <si>
    <t>Jl Taman Pendidikan IV No.48 Jakarta</t>
  </si>
  <si>
    <t>S-1101</t>
  </si>
  <si>
    <t>S-1534</t>
  </si>
  <si>
    <t>Shafwa</t>
  </si>
  <si>
    <t>S-093</t>
  </si>
  <si>
    <t>S-830</t>
  </si>
  <si>
    <t>S-473</t>
  </si>
  <si>
    <t>S-1100</t>
  </si>
  <si>
    <t>Paska</t>
  </si>
  <si>
    <t>S-1980</t>
  </si>
  <si>
    <t>Shah Sema</t>
  </si>
  <si>
    <t>Amukti</t>
  </si>
  <si>
    <t>shahsemaamukti306@gmail.com</t>
  </si>
  <si>
    <t>6281329350625</t>
  </si>
  <si>
    <t>S-2097</t>
  </si>
  <si>
    <t>Shan Pierre</t>
  </si>
  <si>
    <t>Shahbaz</t>
  </si>
  <si>
    <t>vmaljian@gmail.com</t>
  </si>
  <si>
    <t>18188609345</t>
  </si>
  <si>
    <t>S-2108</t>
  </si>
  <si>
    <t>Shahbazyan</t>
  </si>
  <si>
    <t>Paruyr</t>
  </si>
  <si>
    <t>79160785207</t>
  </si>
  <si>
    <t>S-1935</t>
  </si>
  <si>
    <t>Shahram</t>
  </si>
  <si>
    <t>Nejad</t>
  </si>
  <si>
    <t>S-608</t>
  </si>
  <si>
    <t>Shahreza</t>
  </si>
  <si>
    <t>Annaz</t>
  </si>
  <si>
    <t>62811161351</t>
  </si>
  <si>
    <t>Jln Dwijaya 2 No.11 kenayoran Baru</t>
  </si>
  <si>
    <t>S-1486</t>
  </si>
  <si>
    <t>Shakyla</t>
  </si>
  <si>
    <t>Tebet Mas Indah F3, 12810 Jakarta</t>
  </si>
  <si>
    <t>S-1005</t>
  </si>
  <si>
    <t>Shali</t>
  </si>
  <si>
    <t>S-1747</t>
  </si>
  <si>
    <t>Shally</t>
  </si>
  <si>
    <t>6281361664253</t>
  </si>
  <si>
    <t>JL.Darat N0.50A</t>
  </si>
  <si>
    <t>S-672</t>
  </si>
  <si>
    <t>Jalan Cempaka Putih Tengah 27D No.48</t>
  </si>
  <si>
    <t>S-1433</t>
  </si>
  <si>
    <t>Anindya</t>
  </si>
  <si>
    <t>S-094</t>
  </si>
  <si>
    <t>Shandy</t>
  </si>
  <si>
    <t>Jl. Abdul Majid Dalam 3 No. 41</t>
  </si>
  <si>
    <t>Komp. Deplu, Cipete</t>
  </si>
  <si>
    <t>S-035</t>
  </si>
  <si>
    <t>6281322261765</t>
  </si>
  <si>
    <t>S-1388</t>
  </si>
  <si>
    <t>JLN Sunggal Komp Green Medeternia</t>
  </si>
  <si>
    <t>S-095</t>
  </si>
  <si>
    <t>Apartment Bellagio 20 BF 19</t>
  </si>
  <si>
    <t>S-1539</t>
  </si>
  <si>
    <t>Shandya</t>
  </si>
  <si>
    <t>Vasandani</t>
  </si>
  <si>
    <t>S-1941</t>
  </si>
  <si>
    <t>Shane</t>
  </si>
  <si>
    <t>Soetaniman</t>
  </si>
  <si>
    <t>soetanimans@gmail.com</t>
  </si>
  <si>
    <t>62817788234</t>
  </si>
  <si>
    <t>S-1553</t>
  </si>
  <si>
    <t>S-1707</t>
  </si>
  <si>
    <t>Shania</t>
  </si>
  <si>
    <t>S-705</t>
  </si>
  <si>
    <t>Shanker</t>
  </si>
  <si>
    <t>RS</t>
  </si>
  <si>
    <t>SHANXQ@GMAIL.COM</t>
  </si>
  <si>
    <t xml:space="preserve">Jl. Danau Indah Barat Blok B2/No.25.
Sunter . Jakarta</t>
  </si>
  <si>
    <t>S-768</t>
  </si>
  <si>
    <t>Shanli</t>
  </si>
  <si>
    <t>S-1976</t>
  </si>
  <si>
    <t>Shanna Benjamin</t>
  </si>
  <si>
    <t>shannabhassan@gmail.com</t>
  </si>
  <si>
    <t>+628126838339</t>
  </si>
  <si>
    <t>Jl Talang No.3</t>
  </si>
  <si>
    <t>S-1839</t>
  </si>
  <si>
    <t>Jln. Kenanga No. 24 Kavling C, Cilandak Timur, Jakarta Selatan 12560</t>
  </si>
  <si>
    <t>S-1590</t>
  </si>
  <si>
    <t>Shanny</t>
  </si>
  <si>
    <t>S-0894</t>
  </si>
  <si>
    <t>Shanshan</t>
  </si>
  <si>
    <t>330803931@qq.com</t>
  </si>
  <si>
    <t>pakubuwono residence jb basswood</t>
  </si>
  <si>
    <t>S-373</t>
  </si>
  <si>
    <t>Giridhar</t>
  </si>
  <si>
    <t>S-1329</t>
  </si>
  <si>
    <t>S-817</t>
  </si>
  <si>
    <t>Shantica</t>
  </si>
  <si>
    <t>Warman</t>
  </si>
  <si>
    <t>S-628</t>
  </si>
  <si>
    <t>S-097</t>
  </si>
  <si>
    <t>S-0953</t>
  </si>
  <si>
    <t>Bechet</t>
  </si>
  <si>
    <t>S-1243</t>
  </si>
  <si>
    <t>Garden House Jl Golden Marble 7 No.2 PIK JAKARTA UTARA</t>
  </si>
  <si>
    <t>S-2005</t>
  </si>
  <si>
    <t>Widhiyanti</t>
  </si>
  <si>
    <t>62811871234</t>
  </si>
  <si>
    <t>S-1105</t>
  </si>
  <si>
    <t>S-0906</t>
  </si>
  <si>
    <t>Shao</t>
  </si>
  <si>
    <t>1184962646@qq.com</t>
  </si>
  <si>
    <t>Shenzhen</t>
  </si>
  <si>
    <t>S-1796</t>
  </si>
  <si>
    <t>Xiu</t>
  </si>
  <si>
    <t>vencyshao@126.com</t>
  </si>
  <si>
    <t>S-1272</t>
  </si>
  <si>
    <t>Shao,</t>
  </si>
  <si>
    <t>Chengnan</t>
  </si>
  <si>
    <t>S-2088</t>
  </si>
  <si>
    <t>Yuchen</t>
  </si>
  <si>
    <t>selenashaoshao@hotmail.com</t>
  </si>
  <si>
    <t>+19850610680</t>
  </si>
  <si>
    <t>S-2130</t>
  </si>
  <si>
    <t>Shaoqing</t>
  </si>
  <si>
    <t>leishaoqing@hotmail.com</t>
  </si>
  <si>
    <t>S-2099</t>
  </si>
  <si>
    <t>Sharad</t>
  </si>
  <si>
    <t>Talaviya</t>
  </si>
  <si>
    <t>+628161138138</t>
  </si>
  <si>
    <t>S-1074</t>
  </si>
  <si>
    <t>Sharan</t>
  </si>
  <si>
    <t>Chugani</t>
  </si>
  <si>
    <t>S-1332</t>
  </si>
  <si>
    <t>Jethnani</t>
  </si>
  <si>
    <t>S-0916</t>
  </si>
  <si>
    <t>Vaswani</t>
  </si>
  <si>
    <t>S-1875</t>
  </si>
  <si>
    <t>Sharda</t>
  </si>
  <si>
    <t>Saurabh</t>
  </si>
  <si>
    <t>S-2055</t>
  </si>
  <si>
    <t>Sharen</t>
  </si>
  <si>
    <t>6281806791980</t>
  </si>
  <si>
    <t>S-472</t>
  </si>
  <si>
    <t>Sahrianta</t>
  </si>
  <si>
    <t>+62818117240</t>
  </si>
  <si>
    <t>S-1859</t>
  </si>
  <si>
    <t>Sharif</t>
  </si>
  <si>
    <t>S-450</t>
  </si>
  <si>
    <t>Sharifah</t>
  </si>
  <si>
    <t>S-694</t>
  </si>
  <si>
    <t>Aza</t>
  </si>
  <si>
    <t>shazasyadnan@gmail.com</t>
  </si>
  <si>
    <t>No. 6, Jln. 12/1, Tmn Tun Abd. Razak</t>
  </si>
  <si>
    <t>Ampang</t>
  </si>
  <si>
    <t>S-0920</t>
  </si>
  <si>
    <t>Sharmilla</t>
  </si>
  <si>
    <t xml:space="preserve">Jl Pancoran Timur IX/24
Perdatam - Jakarta Selatan
(dekat Masjid AN-NUR)</t>
  </si>
  <si>
    <t>S-1497</t>
  </si>
  <si>
    <t>S-2086</t>
  </si>
  <si>
    <t>sharonkaurgsminhas@hotmail.com</t>
  </si>
  <si>
    <t>08119876780</t>
  </si>
  <si>
    <t>Pacific Place Residence, Tower 2, Unit 22A</t>
  </si>
  <si>
    <t>S-496</t>
  </si>
  <si>
    <t>S-2026</t>
  </si>
  <si>
    <t>Sharren</t>
  </si>
  <si>
    <t>6287889892311</t>
  </si>
  <si>
    <t>Sunter Paradise Tahap 2 Blok H no 1</t>
  </si>
  <si>
    <t>M-1262</t>
  </si>
  <si>
    <t>Shasya</t>
  </si>
  <si>
    <t>S-0901</t>
  </si>
  <si>
    <t>Shaun</t>
  </si>
  <si>
    <t>shaunchandra19@gmail.com</t>
  </si>
  <si>
    <t xml:space="preserve">Jl Raya Permata Hijau no 8B 
Tower 1 unit 9B
Apartment Permata Hijau</t>
  </si>
  <si>
    <t>S-1831</t>
  </si>
  <si>
    <t>Djuhari</t>
  </si>
  <si>
    <t>shaundjuhari@gmail.com</t>
  </si>
  <si>
    <t>Sekolah Kencana IVB TMI 3</t>
  </si>
  <si>
    <t>S-476</t>
  </si>
  <si>
    <t>S-2118</t>
  </si>
  <si>
    <t>Shauqi</t>
  </si>
  <si>
    <t>6281232183455</t>
  </si>
  <si>
    <t>International Village 2 H-11 No.26</t>
  </si>
  <si>
    <t>S-1888</t>
  </si>
  <si>
    <t>Shavira</t>
  </si>
  <si>
    <t>Anandiara</t>
  </si>
  <si>
    <t>6281291360997</t>
  </si>
  <si>
    <t>Jl. Anggrek Rosliana II H-5 Slipi</t>
  </si>
  <si>
    <t>S-0979</t>
  </si>
  <si>
    <t>Hidayanti</t>
  </si>
  <si>
    <t>Jl Bendi Besar No.28 Tanah Kusir Jakarta Selatan</t>
  </si>
  <si>
    <t>S-1242</t>
  </si>
  <si>
    <t>Shawn</t>
  </si>
  <si>
    <t>Sher Bin Latiff</t>
  </si>
  <si>
    <t>60176913031</t>
  </si>
  <si>
    <t>S-2107</t>
  </si>
  <si>
    <t>Sheena</t>
  </si>
  <si>
    <t>sheena_smail@yahoo.com</t>
  </si>
  <si>
    <t>628122136430</t>
  </si>
  <si>
    <t>Jl.Pasir Salam I No.9</t>
  </si>
  <si>
    <t>S-514</t>
  </si>
  <si>
    <t>Sutjiawan</t>
  </si>
  <si>
    <t>S-0936</t>
  </si>
  <si>
    <t>Sheeny</t>
  </si>
  <si>
    <t>Sunter Permai Jaya Blok A4 No.22A</t>
  </si>
  <si>
    <t>S-2044</t>
  </si>
  <si>
    <t>Sheikh</t>
  </si>
  <si>
    <t>Ahma</t>
  </si>
  <si>
    <t>S-1135</t>
  </si>
  <si>
    <t>Sheila</t>
  </si>
  <si>
    <t>S-099</t>
  </si>
  <si>
    <t>Jl. Kebon Kacang Raya 9</t>
  </si>
  <si>
    <t>S-1816</t>
  </si>
  <si>
    <t>Mahboobani</t>
  </si>
  <si>
    <t>S-1014</t>
  </si>
  <si>
    <t>Suhaeli</t>
  </si>
  <si>
    <t>sheila.suhaeli@yahoo.com</t>
  </si>
  <si>
    <t>Capital Residence Tower 3/29c</t>
  </si>
  <si>
    <t>S-1729</t>
  </si>
  <si>
    <t>S-2132</t>
  </si>
  <si>
    <t>Vitti</t>
  </si>
  <si>
    <t>sheilavitti@gmail.com</t>
  </si>
  <si>
    <t>6281303311509</t>
  </si>
  <si>
    <t>S-1119</t>
  </si>
  <si>
    <t>Sheilla</t>
  </si>
  <si>
    <t>S-1606</t>
  </si>
  <si>
    <t>Shekti</t>
  </si>
  <si>
    <t xml:space="preserve">Jl. Kebon Nanas Selatan 015/002
Cipinang Cempedak
Jatinegara</t>
  </si>
  <si>
    <t>S-2014</t>
  </si>
  <si>
    <t>Shela</t>
  </si>
  <si>
    <t>6281348582444</t>
  </si>
  <si>
    <t>S-1909</t>
  </si>
  <si>
    <t>Shelin</t>
  </si>
  <si>
    <t>shelinkhairunisa@gmail.com</t>
  </si>
  <si>
    <t>+6287884895208</t>
  </si>
  <si>
    <t>S-1775</t>
  </si>
  <si>
    <t>Shella</t>
  </si>
  <si>
    <t>S-1588</t>
  </si>
  <si>
    <t>S-1776</t>
  </si>
  <si>
    <t>S-2082</t>
  </si>
  <si>
    <t>Luanda</t>
  </si>
  <si>
    <t>6287889999475</t>
  </si>
  <si>
    <t>Kosambi Baru Blok F ext.12 No.3 Jak Bar</t>
  </si>
  <si>
    <t>S-1287</t>
  </si>
  <si>
    <t>087788008806</t>
  </si>
  <si>
    <t>S-395</t>
  </si>
  <si>
    <t>Yap</t>
  </si>
  <si>
    <t>S-1615</t>
  </si>
  <si>
    <t>Shelley</t>
  </si>
  <si>
    <t>S-1032</t>
  </si>
  <si>
    <t>Shellina</t>
  </si>
  <si>
    <t>S-1052</t>
  </si>
  <si>
    <t>Shelly</t>
  </si>
  <si>
    <t>S-378</t>
  </si>
  <si>
    <t>S-1627</t>
  </si>
  <si>
    <t>Khemary</t>
  </si>
  <si>
    <t>sheelica@yahoo.com</t>
  </si>
  <si>
    <t>628170701993</t>
  </si>
  <si>
    <t>S-2061</t>
  </si>
  <si>
    <t>The Jimbaran Residence E6J/37-38</t>
  </si>
  <si>
    <t>S-1960</t>
  </si>
  <si>
    <t>shellyzoktavia@gmail.com</t>
  </si>
  <si>
    <t>628111028885</t>
  </si>
  <si>
    <t>S-1546</t>
  </si>
  <si>
    <t>Shelvie</t>
  </si>
  <si>
    <t>S-539</t>
  </si>
  <si>
    <t>S-1485</t>
  </si>
  <si>
    <t>Hongquan</t>
  </si>
  <si>
    <t>S-2070</t>
  </si>
  <si>
    <t>Zhiran</t>
  </si>
  <si>
    <t>+861320113609</t>
  </si>
  <si>
    <t>S-1959</t>
  </si>
  <si>
    <t>Guanglai</t>
  </si>
  <si>
    <t>foreverfanny@gmail.com</t>
  </si>
  <si>
    <t>+61452309866</t>
  </si>
  <si>
    <t>S-2031</t>
  </si>
  <si>
    <t>shenxiao314@gmail.com</t>
  </si>
  <si>
    <t>85261056515</t>
  </si>
  <si>
    <t>Ultima BCK7 Apt 6B, HongKong</t>
  </si>
  <si>
    <t>S-2106</t>
  </si>
  <si>
    <t>Shen,</t>
  </si>
  <si>
    <t>S-1395</t>
  </si>
  <si>
    <t>Shendy</t>
  </si>
  <si>
    <t>Leonardi</t>
  </si>
  <si>
    <t>S-1075</t>
  </si>
  <si>
    <t>Sheng</t>
  </si>
  <si>
    <t>S-2047</t>
  </si>
  <si>
    <t>Qiuping</t>
  </si>
  <si>
    <t>+1572793645</t>
  </si>
  <si>
    <t>S-1807</t>
  </si>
  <si>
    <t>Shenina</t>
  </si>
  <si>
    <t>Cinnamon</t>
  </si>
  <si>
    <t>+6287774094575</t>
  </si>
  <si>
    <t>Jl Beo No 6 RT 3/7 Tangerang Selatan 15413</t>
  </si>
  <si>
    <t>S-544</t>
  </si>
  <si>
    <t>Shenny</t>
  </si>
  <si>
    <t>S-1760</t>
  </si>
  <si>
    <t>Shenzie</t>
  </si>
  <si>
    <t>S-1688</t>
  </si>
  <si>
    <t>Sherif</t>
  </si>
  <si>
    <t>Rezk</t>
  </si>
  <si>
    <t>myvodka@yahoo.com</t>
  </si>
  <si>
    <t>2718 N.Meredith St.</t>
  </si>
  <si>
    <t>Orange</t>
  </si>
  <si>
    <t>S-2035</t>
  </si>
  <si>
    <t>Sherin</t>
  </si>
  <si>
    <t>Valomie</t>
  </si>
  <si>
    <t>sv.99.yy@gmail.com</t>
  </si>
  <si>
    <t>+6281218861886</t>
  </si>
  <si>
    <t>Golf Lake Residence Jak - Bar</t>
  </si>
  <si>
    <t>S-2103</t>
  </si>
  <si>
    <t>Sherlie</t>
  </si>
  <si>
    <t>Vanessa</t>
  </si>
  <si>
    <t>sherlievanessa@gmail.com</t>
  </si>
  <si>
    <t>6282210038726</t>
  </si>
  <si>
    <t>Harapan Indah Cluster Asera One South</t>
  </si>
  <si>
    <t>S-2093</t>
  </si>
  <si>
    <t>Sherlina</t>
  </si>
  <si>
    <t>S-2072</t>
  </si>
  <si>
    <t>benitasherlina@gmail.com</t>
  </si>
  <si>
    <t>628119001390</t>
  </si>
  <si>
    <t>S-2092</t>
  </si>
  <si>
    <t>Taniro Salim</t>
  </si>
  <si>
    <t>cly_na@yahoo.com</t>
  </si>
  <si>
    <t>628111900111</t>
  </si>
  <si>
    <t>S-1793</t>
  </si>
  <si>
    <t>Sherly</t>
  </si>
  <si>
    <t>S-1616</t>
  </si>
  <si>
    <t>628117777146</t>
  </si>
  <si>
    <t>Apartment Greenbay Pluit Tower C27AE</t>
  </si>
  <si>
    <t>S-516</t>
  </si>
  <si>
    <t>S-1330</t>
  </si>
  <si>
    <t>PLUIT RAYA NO 19</t>
  </si>
  <si>
    <t>S-1727</t>
  </si>
  <si>
    <t>S-1900</t>
  </si>
  <si>
    <t>Sherly Febryanne</t>
  </si>
  <si>
    <t>0811868380</t>
  </si>
  <si>
    <t>S-102</t>
  </si>
  <si>
    <t>Worth</t>
  </si>
  <si>
    <t>Pakubuwono Apt. Tower Eaglewood #9B</t>
  </si>
  <si>
    <t>S-751</t>
  </si>
  <si>
    <t>Lenggogeny</t>
  </si>
  <si>
    <t>S-103</t>
  </si>
  <si>
    <t>Lunardy</t>
  </si>
  <si>
    <t>JL. Duri Ruko Palem Indah No. 5 MN</t>
  </si>
  <si>
    <t>S-1143</t>
  </si>
  <si>
    <t>Puri Kencana Blok K8 No 11</t>
  </si>
  <si>
    <t>S-1442</t>
  </si>
  <si>
    <t>sherlykontak@gmail.com</t>
  </si>
  <si>
    <t>+6582679108</t>
  </si>
  <si>
    <t>Sutera Telaga Biru 2 No.5</t>
  </si>
  <si>
    <t>S-571</t>
  </si>
  <si>
    <t>Sherlyana</t>
  </si>
  <si>
    <t>S-1681</t>
  </si>
  <si>
    <t>Sherra</t>
  </si>
  <si>
    <t>Renindra</t>
  </si>
  <si>
    <t>M-1284</t>
  </si>
  <si>
    <t>Sherrie</t>
  </si>
  <si>
    <t>6287783814856</t>
  </si>
  <si>
    <t>S-1656</t>
  </si>
  <si>
    <t>Sherry</t>
  </si>
  <si>
    <t>Gyan</t>
  </si>
  <si>
    <t>afcgansherry@gmail.com</t>
  </si>
  <si>
    <t>S-1462</t>
  </si>
  <si>
    <t>+6282280078066</t>
  </si>
  <si>
    <t>Ambassade Residences</t>
  </si>
  <si>
    <t>S-1595</t>
  </si>
  <si>
    <t>Sheryn</t>
  </si>
  <si>
    <t>S-1586</t>
  </si>
  <si>
    <t>S-1691</t>
  </si>
  <si>
    <t>Chanlong</t>
  </si>
  <si>
    <t>S-775</t>
  </si>
  <si>
    <t>S-1975</t>
  </si>
  <si>
    <t>Hongxing</t>
  </si>
  <si>
    <t>0019493818851</t>
  </si>
  <si>
    <t>S-809</t>
  </si>
  <si>
    <t>Jianghe</t>
  </si>
  <si>
    <t>S-1732</t>
  </si>
  <si>
    <t>Jinyu</t>
  </si>
  <si>
    <t>894987211@qq.com</t>
  </si>
  <si>
    <t>Apartement baywalk tower M</t>
  </si>
  <si>
    <t>S-1171</t>
  </si>
  <si>
    <t>S-1122</t>
  </si>
  <si>
    <t>14430191@qq.com</t>
  </si>
  <si>
    <t>8619850027999</t>
  </si>
  <si>
    <t>M-1193</t>
  </si>
  <si>
    <t>S-1733</t>
  </si>
  <si>
    <t>Yunding</t>
  </si>
  <si>
    <t>S-1869</t>
  </si>
  <si>
    <t>Boyang</t>
  </si>
  <si>
    <t>S-2007</t>
  </si>
  <si>
    <t>longzi190@163.com</t>
  </si>
  <si>
    <t>8613910960020</t>
  </si>
  <si>
    <t>S-2090</t>
  </si>
  <si>
    <t>Yuqin</t>
  </si>
  <si>
    <t>328845589@qq.com</t>
  </si>
  <si>
    <t>8613641630407</t>
  </si>
  <si>
    <t>S-2122</t>
  </si>
  <si>
    <t>Yuxin</t>
  </si>
  <si>
    <t>2841167156@qq.com</t>
  </si>
  <si>
    <t>8618121200285</t>
  </si>
  <si>
    <t>S-570</t>
  </si>
  <si>
    <t>Shiella</t>
  </si>
  <si>
    <t>62816621509</t>
  </si>
  <si>
    <t>S-108</t>
  </si>
  <si>
    <t>Shielly</t>
  </si>
  <si>
    <t>Lierience</t>
  </si>
  <si>
    <t>Jl. Muara Karang Blok C-7 Selatan No. 2</t>
  </si>
  <si>
    <t>S-640</t>
  </si>
  <si>
    <t>Shifa aziz</t>
  </si>
  <si>
    <t>6281932720789</t>
  </si>
  <si>
    <t>S-1270</t>
  </si>
  <si>
    <t>Shihab</t>
  </si>
  <si>
    <t>S-1394</t>
  </si>
  <si>
    <t>Shilvy</t>
  </si>
  <si>
    <t>Jl.Hang Lekir VII/90C Jakarta 12120</t>
  </si>
  <si>
    <t>S-844</t>
  </si>
  <si>
    <t>Shim</t>
  </si>
  <si>
    <t>Myochul</t>
  </si>
  <si>
    <t>S-0886</t>
  </si>
  <si>
    <t>sin860601@gmail.com</t>
  </si>
  <si>
    <t xml:space="preserve">PT  pratama 
tanggerang,serpong
Bday : 01.06.1986</t>
  </si>
  <si>
    <t>S-593</t>
  </si>
  <si>
    <t>Kwang Taek</t>
  </si>
  <si>
    <t>628161816864</t>
  </si>
  <si>
    <t>S-1643</t>
  </si>
  <si>
    <t>Shinae</t>
  </si>
  <si>
    <t>dudulley@gmail.com</t>
  </si>
  <si>
    <t xml:space="preserve">Apt.Taman Rasuna Tower 7 6C 
jakarta</t>
  </si>
  <si>
    <t>S-109</t>
  </si>
  <si>
    <t>Shinichi</t>
  </si>
  <si>
    <t>Fukuda</t>
  </si>
  <si>
    <t>S-1516</t>
  </si>
  <si>
    <t>Shinnosuke</t>
  </si>
  <si>
    <t>Kawanami</t>
  </si>
  <si>
    <t>S-388</t>
  </si>
  <si>
    <t>Shinohara</t>
  </si>
  <si>
    <t>S-1127</t>
  </si>
  <si>
    <t>S-639</t>
  </si>
  <si>
    <t>S-0988</t>
  </si>
  <si>
    <t>S-1933</t>
  </si>
  <si>
    <t>Arsydianti</t>
  </si>
  <si>
    <t>628191887775</t>
  </si>
  <si>
    <t>S-113</t>
  </si>
  <si>
    <t>Komp. Pati 40 Gatot Subroto</t>
  </si>
  <si>
    <t>S-654</t>
  </si>
  <si>
    <t>Checawali</t>
  </si>
  <si>
    <t>S-652</t>
  </si>
  <si>
    <t>Mcginn</t>
  </si>
  <si>
    <t>S-1924</t>
  </si>
  <si>
    <t>+6281222787879</t>
  </si>
  <si>
    <t>S-114</t>
  </si>
  <si>
    <t>S-115</t>
  </si>
  <si>
    <t>Jl. Aneka Elok 9, RT. 011/004</t>
  </si>
  <si>
    <t>Cipinang Elok</t>
  </si>
  <si>
    <t>S-482</t>
  </si>
  <si>
    <t>S-510</t>
  </si>
  <si>
    <t>saras</t>
  </si>
  <si>
    <t>S-1543</t>
  </si>
  <si>
    <t>Senak</t>
  </si>
  <si>
    <t>S-650</t>
  </si>
  <si>
    <t>S-0995</t>
  </si>
  <si>
    <t>shinta_17@hotmail.com</t>
  </si>
  <si>
    <t>S-1754</t>
  </si>
  <si>
    <t>wijaya.shinta@gmail.com</t>
  </si>
  <si>
    <t xml:space="preserve">Jl. P Genteng VI blok Q1/1
Taman Permata Buana</t>
  </si>
  <si>
    <t>S-1664</t>
  </si>
  <si>
    <t>Wiryo</t>
  </si>
  <si>
    <t>S-855</t>
  </si>
  <si>
    <t>Zahara</t>
  </si>
  <si>
    <t>zaharashinta@yahoo.com</t>
  </si>
  <si>
    <t>S-701</t>
  </si>
  <si>
    <t>Shintalia</t>
  </si>
  <si>
    <t xml:space="preserve">Jl. Kampar No 12
RT 003 RW 003
Cideng Barat</t>
  </si>
  <si>
    <t>S-1923</t>
  </si>
  <si>
    <t>Gelly</t>
  </si>
  <si>
    <t>S-0900</t>
  </si>
  <si>
    <t>Hadiman</t>
  </si>
  <si>
    <t>shintiahadiman@yahoo.com</t>
  </si>
  <si>
    <t>Jl. Kampung Bali 4 no 26</t>
  </si>
  <si>
    <t>S-710</t>
  </si>
  <si>
    <t>Shinya</t>
  </si>
  <si>
    <t>S-878</t>
  </si>
  <si>
    <t>Matsuyama</t>
  </si>
  <si>
    <t>S-1810</t>
  </si>
  <si>
    <t>Shirlay</t>
  </si>
  <si>
    <t>shirlays@gmail.com</t>
  </si>
  <si>
    <t>Taman Kedoya baru B8/20, jakarta barat</t>
  </si>
  <si>
    <t>S-1711</t>
  </si>
  <si>
    <t>S-116</t>
  </si>
  <si>
    <t>Blok Q-1 No. 27</t>
  </si>
  <si>
    <t>S-1269</t>
  </si>
  <si>
    <t>Herbowo</t>
  </si>
  <si>
    <t>S-1970</t>
  </si>
  <si>
    <t>Katopo</t>
  </si>
  <si>
    <t>6281288281183</t>
  </si>
  <si>
    <t>S-1613</t>
  </si>
  <si>
    <t>Prayudi</t>
  </si>
  <si>
    <t>S-1217</t>
  </si>
  <si>
    <t>S-1048</t>
  </si>
  <si>
    <t>Shiro</t>
  </si>
  <si>
    <t>Yoshimi</t>
  </si>
  <si>
    <t>S-0925</t>
  </si>
  <si>
    <t>Shivangi</t>
  </si>
  <si>
    <t>shivangisharda@gmail.com</t>
  </si>
  <si>
    <t xml:space="preserve">SENAYAN RESIDENCE T2 KN 26
JL. PASAR SENAYAN 1/5</t>
  </si>
  <si>
    <t>Y-0965</t>
  </si>
  <si>
    <t>Shiying</t>
  </si>
  <si>
    <t>Tu</t>
  </si>
  <si>
    <t>6281287943826</t>
  </si>
  <si>
    <t>S-1781</t>
  </si>
  <si>
    <t>Shmelkin</t>
  </si>
  <si>
    <t>S-1780</t>
  </si>
  <si>
    <t>Yury</t>
  </si>
  <si>
    <t>S-118</t>
  </si>
  <si>
    <t>Shogi</t>
  </si>
  <si>
    <t>S-120</t>
  </si>
  <si>
    <t>Shogo</t>
  </si>
  <si>
    <t>Marriott Apartment</t>
  </si>
  <si>
    <t>S-433</t>
  </si>
  <si>
    <t>Mi Rye</t>
  </si>
  <si>
    <t>08118465526</t>
  </si>
  <si>
    <t>S-2126</t>
  </si>
  <si>
    <t>Shoraya Lolyta</t>
  </si>
  <si>
    <t>Octaviana</t>
  </si>
  <si>
    <t>+6281330008800</t>
  </si>
  <si>
    <t>S-1695</t>
  </si>
  <si>
    <t>Shorba</t>
  </si>
  <si>
    <t>khouloud</t>
  </si>
  <si>
    <t>S-631</t>
  </si>
  <si>
    <t>Shotaro</t>
  </si>
  <si>
    <t>yoshida</t>
  </si>
  <si>
    <t>S-0905</t>
  </si>
  <si>
    <t>Shu</t>
  </si>
  <si>
    <t>shufeilan@163.com</t>
  </si>
  <si>
    <t>Taizhou</t>
  </si>
  <si>
    <t>S-1064</t>
  </si>
  <si>
    <t>S-1772</t>
  </si>
  <si>
    <t>Shuai</t>
  </si>
  <si>
    <t>Xiuyang</t>
  </si>
  <si>
    <t>S-1886</t>
  </si>
  <si>
    <t>Shuleyko</t>
  </si>
  <si>
    <t>Daniil</t>
  </si>
  <si>
    <t>S-772</t>
  </si>
  <si>
    <t>Shunsuke</t>
  </si>
  <si>
    <t>Morokuma</t>
  </si>
  <si>
    <t>S-668</t>
  </si>
  <si>
    <t>Shuuji</t>
  </si>
  <si>
    <t>Nakayama</t>
  </si>
  <si>
    <t>S-1815</t>
  </si>
  <si>
    <t>Shy</t>
  </si>
  <si>
    <t>1412739451@gq.com</t>
  </si>
  <si>
    <t>S-1662</t>
  </si>
  <si>
    <t>shchae07@naver.com</t>
  </si>
  <si>
    <t xml:space="preserve">Kemang Village Tippany 
Jakarta Selatan </t>
  </si>
  <si>
    <t>S-1890</t>
  </si>
  <si>
    <t>Si,</t>
  </si>
  <si>
    <t>Wenyu</t>
  </si>
  <si>
    <t>sigrace2010@163.com</t>
  </si>
  <si>
    <t>S-1987</t>
  </si>
  <si>
    <t>Siaglo</t>
  </si>
  <si>
    <t>Nemyra</t>
  </si>
  <si>
    <t>nemyra.j@gmail.com</t>
  </si>
  <si>
    <t>37060066629</t>
  </si>
  <si>
    <t>Lithuania</t>
  </si>
  <si>
    <t>S-833</t>
  </si>
  <si>
    <t xml:space="preserve">Apt Residence 8 TWR 3/18A2
Jl Senopati No 8</t>
  </si>
  <si>
    <t>S-1808</t>
  </si>
  <si>
    <t>Siaminur</t>
  </si>
  <si>
    <t>Sukardi</t>
  </si>
  <si>
    <t>S-674</t>
  </si>
  <si>
    <t>Siana</t>
  </si>
  <si>
    <t>Sila</t>
  </si>
  <si>
    <t>S-1741</t>
  </si>
  <si>
    <t>Siane</t>
  </si>
  <si>
    <t>S-700</t>
  </si>
  <si>
    <t>628129441708</t>
  </si>
  <si>
    <t>S-828</t>
  </si>
  <si>
    <t>Siani</t>
  </si>
  <si>
    <t>siani178@gmail.com</t>
  </si>
  <si>
    <t>Jl. Kweni No. 35C, Kebayoran Lama</t>
  </si>
  <si>
    <t>S-1419</t>
  </si>
  <si>
    <t>Sianne</t>
  </si>
  <si>
    <t>S-1233</t>
  </si>
  <si>
    <t>Sianny</t>
  </si>
  <si>
    <t>S-1496</t>
  </si>
  <si>
    <t>S-1624</t>
  </si>
  <si>
    <t>Siantin</t>
  </si>
  <si>
    <t>Arianti</t>
  </si>
  <si>
    <t>Michelia 10 No.17</t>
  </si>
  <si>
    <t>S-1938</t>
  </si>
  <si>
    <t>Siarhei</t>
  </si>
  <si>
    <t>Zubik</t>
  </si>
  <si>
    <t>+082112740949</t>
  </si>
  <si>
    <t>S-1614</t>
  </si>
  <si>
    <t>Siau lui</t>
  </si>
  <si>
    <t>siauluis.agus@yahoo.com</t>
  </si>
  <si>
    <t>62811882877</t>
  </si>
  <si>
    <t>S-1692</t>
  </si>
  <si>
    <t>anzzz_s@yahoo.com</t>
  </si>
  <si>
    <t>S-1220</t>
  </si>
  <si>
    <t>Dhariana</t>
  </si>
  <si>
    <t>S-1704</t>
  </si>
  <si>
    <t>Siddalingappa</t>
  </si>
  <si>
    <t>Rakshit</t>
  </si>
  <si>
    <t>Bengaluru</t>
  </si>
  <si>
    <t>S-128</t>
  </si>
  <si>
    <t>Martoredjo</t>
  </si>
  <si>
    <t>Jl. Sriwijaya Raya 36</t>
  </si>
  <si>
    <t>S-1550</t>
  </si>
  <si>
    <t>Sidhi</t>
  </si>
  <si>
    <t>Isarjho</t>
  </si>
  <si>
    <t>62878893424999</t>
  </si>
  <si>
    <t>Jl. Kebagusan Dalam 4 No.40A, Pasar Minggu</t>
  </si>
  <si>
    <t>S-129</t>
  </si>
  <si>
    <t>Perum. Green Garden</t>
  </si>
  <si>
    <t>Blok N-15A No. 56</t>
  </si>
  <si>
    <t>S-2060</t>
  </si>
  <si>
    <t>Sieny</t>
  </si>
  <si>
    <t>628118822047</t>
  </si>
  <si>
    <t>S-0963</t>
  </si>
  <si>
    <t>Siew</t>
  </si>
  <si>
    <t>S-1473</t>
  </si>
  <si>
    <t>SiFang</t>
  </si>
  <si>
    <t>S-1840</t>
  </si>
  <si>
    <t>Sigit</t>
  </si>
  <si>
    <t>S-1932</t>
  </si>
  <si>
    <t>Prastyanto</t>
  </si>
  <si>
    <t>+628115397781</t>
  </si>
  <si>
    <t>S-598</t>
  </si>
  <si>
    <t>S-130</t>
  </si>
  <si>
    <t>Priawan</t>
  </si>
  <si>
    <t>Jl. BDN I No. 30</t>
  </si>
  <si>
    <t>S-0885</t>
  </si>
  <si>
    <t>Yudhanto</t>
  </si>
  <si>
    <t>Jl. Camar I BA/7 Bintaro Jaya Sektor 3</t>
  </si>
  <si>
    <t>S-1891</t>
  </si>
  <si>
    <t>Siguroddsson</t>
  </si>
  <si>
    <t>Bogi</t>
  </si>
  <si>
    <t>Iceland</t>
  </si>
  <si>
    <t>S-1057</t>
  </si>
  <si>
    <t>Sihar</t>
  </si>
  <si>
    <t>S-1078</t>
  </si>
  <si>
    <t>Sihni</t>
  </si>
  <si>
    <t>sihni_susanty@yahoo.com</t>
  </si>
  <si>
    <t>(Date Of Birth 11-10-1978)</t>
  </si>
  <si>
    <t>S-1862</t>
  </si>
  <si>
    <t>Sihyon</t>
  </si>
  <si>
    <t>S-1841</t>
  </si>
  <si>
    <t>Silfanie</t>
  </si>
  <si>
    <t>silfanietjoe@live.com</t>
  </si>
  <si>
    <t>Pluit Kencana Raya No.30</t>
  </si>
  <si>
    <t>S-131</t>
  </si>
  <si>
    <t>Sili</t>
  </si>
  <si>
    <t>Jl. Pramuka 5A No. 1</t>
  </si>
  <si>
    <t>S-1552</t>
  </si>
  <si>
    <t>Silky</t>
  </si>
  <si>
    <t>S-1784</t>
  </si>
  <si>
    <t>S-2112</t>
  </si>
  <si>
    <t>Silvana</t>
  </si>
  <si>
    <t>Soei</t>
  </si>
  <si>
    <t>soeisilvana@gmail.com</t>
  </si>
  <si>
    <t>6281210898111</t>
  </si>
  <si>
    <t>S-1678</t>
  </si>
  <si>
    <t>Silvanny</t>
  </si>
  <si>
    <t>Royale Residences</t>
  </si>
  <si>
    <t>S-1059</t>
  </si>
  <si>
    <t>Silvany</t>
  </si>
  <si>
    <t>Pejagalan III No.3 A/S</t>
  </si>
  <si>
    <t>S-1384</t>
  </si>
  <si>
    <t>S-877</t>
  </si>
  <si>
    <t>S-755</t>
  </si>
  <si>
    <t>Liswandi</t>
  </si>
  <si>
    <t>+62818164002</t>
  </si>
  <si>
    <t>S-1952</t>
  </si>
  <si>
    <t>silvi.olivia@yahoo.com</t>
  </si>
  <si>
    <t>6287788174280</t>
  </si>
  <si>
    <t>Agung Tengah 10.3C</t>
  </si>
  <si>
    <t>S-783</t>
  </si>
  <si>
    <t>S-1842</t>
  </si>
  <si>
    <t>S-348</t>
  </si>
  <si>
    <t>+6281280869999</t>
  </si>
  <si>
    <t>S-0926</t>
  </si>
  <si>
    <t>S-1619</t>
  </si>
  <si>
    <t>Choanardi</t>
  </si>
  <si>
    <t>S-1604</t>
  </si>
  <si>
    <t>Handaya</t>
  </si>
  <si>
    <t xml:space="preserve">Jl. Kartika Pinan SG 2-3 Pondok Indah 
Pondok Pinang</t>
  </si>
  <si>
    <t>S-745</t>
  </si>
  <si>
    <t>Kurniady</t>
  </si>
  <si>
    <t>skurniady23@icloud.com</t>
  </si>
  <si>
    <t>+6590940883</t>
  </si>
  <si>
    <t>S-1623</t>
  </si>
  <si>
    <t>Muryadi</t>
  </si>
  <si>
    <t>S-1644</t>
  </si>
  <si>
    <t>Apt Distric 8, Jakarta</t>
  </si>
  <si>
    <t>S-2053</t>
  </si>
  <si>
    <t>Wulandary</t>
  </si>
  <si>
    <t>6282216664542</t>
  </si>
  <si>
    <t>S-1892</t>
  </si>
  <si>
    <t>Silviana</t>
  </si>
  <si>
    <t>Jl Pulau Putri 2 No.52 Jakarta Barat</t>
  </si>
  <si>
    <t>S-1813</t>
  </si>
  <si>
    <t>Jl,Nangka Gg Langgar rt 08/rw05</t>
  </si>
  <si>
    <t>S-1561</t>
  </si>
  <si>
    <t>Ajen</t>
  </si>
  <si>
    <t>6287858598999</t>
  </si>
  <si>
    <t>S-1738</t>
  </si>
  <si>
    <t>Silvy</t>
  </si>
  <si>
    <t>S-1737</t>
  </si>
  <si>
    <t>S-1982</t>
  </si>
  <si>
    <t>62811867745</t>
  </si>
  <si>
    <t>S-536</t>
  </si>
  <si>
    <t>Silvyanti</t>
  </si>
  <si>
    <t xml:space="preserve">Jl. H Agus Salim No104
Menteng Jak Pusat 10350</t>
  </si>
  <si>
    <t>S-1792</t>
  </si>
  <si>
    <t>dollydai@sph.com.sg</t>
  </si>
  <si>
    <t>S-722</t>
  </si>
  <si>
    <t>Simanungkalit</t>
  </si>
  <si>
    <t>Panangian</t>
  </si>
  <si>
    <t>S-767</t>
  </si>
  <si>
    <t>Simeon</t>
  </si>
  <si>
    <t>S-1919</t>
  </si>
  <si>
    <t>xiaohebai2@gmail.com</t>
  </si>
  <si>
    <t>+6282117001700</t>
  </si>
  <si>
    <t>Gandaria 8</t>
  </si>
  <si>
    <t>S-667</t>
  </si>
  <si>
    <t>S-1965</t>
  </si>
  <si>
    <t>Shaw</t>
  </si>
  <si>
    <t>simonandrewshaw@yahoo.com</t>
  </si>
  <si>
    <t>6282130160342</t>
  </si>
  <si>
    <t>S-1529</t>
  </si>
  <si>
    <t>Simpirwati</t>
  </si>
  <si>
    <t>Simarno</t>
  </si>
  <si>
    <t>simpirsimarno@gmail.com</t>
  </si>
  <si>
    <t xml:space="preserve">TAMAN BEVERLY GOLF
JL.DANAU LIMBOTO NO.18
LIPPO KARAWACI, TANGERANG
BANTEN 15811</t>
  </si>
  <si>
    <t>S-136</t>
  </si>
  <si>
    <t>Simran</t>
  </si>
  <si>
    <t xml:space="preserve">JL. Danau Agung 4 Blok E 8 No.5
Sunter Agung Podomoro</t>
  </si>
  <si>
    <t>S-1635</t>
  </si>
  <si>
    <t>Sinatrya</t>
  </si>
  <si>
    <t>Haryadi</t>
  </si>
  <si>
    <t>S-0996</t>
  </si>
  <si>
    <t>Sinddy</t>
  </si>
  <si>
    <t>sinddy_14@gmail.com</t>
  </si>
  <si>
    <t>+6281284056233</t>
  </si>
  <si>
    <t>Jln. Kakatua Blok CF/38</t>
  </si>
  <si>
    <t>S-1974</t>
  </si>
  <si>
    <t>Sindy</t>
  </si>
  <si>
    <t>Hafitri</t>
  </si>
  <si>
    <t>S-784</t>
  </si>
  <si>
    <t>S-1466</t>
  </si>
  <si>
    <t>Jl. Bungur 11</t>
  </si>
  <si>
    <t>S-1719</t>
  </si>
  <si>
    <t>S-1902</t>
  </si>
  <si>
    <t>Viktor</t>
  </si>
  <si>
    <t>Siniakin</t>
  </si>
  <si>
    <t>sinyakin89@icloud.com</t>
  </si>
  <si>
    <t>+971585809629</t>
  </si>
  <si>
    <t>S-1351</t>
  </si>
  <si>
    <t>S-1450</t>
  </si>
  <si>
    <t>Jl. Haji Jian No.60 A</t>
  </si>
  <si>
    <t>S-874</t>
  </si>
  <si>
    <t>S-354</t>
  </si>
  <si>
    <t>S-332</t>
  </si>
  <si>
    <t>S-2015</t>
  </si>
  <si>
    <t>Trijayanti</t>
  </si>
  <si>
    <t>sintiatrijayanti@gmail.com</t>
  </si>
  <si>
    <t>6281284103366</t>
  </si>
  <si>
    <t xml:space="preserve">Jl. Brantas No.1 Cideng - Jakarta Pusat
</t>
  </si>
  <si>
    <t>S-1411</t>
  </si>
  <si>
    <t>Sinto</t>
  </si>
  <si>
    <t>S-1893</t>
  </si>
  <si>
    <t>Sirena</t>
  </si>
  <si>
    <t>S-2081</t>
  </si>
  <si>
    <t>Sirivatanaaksorn</t>
  </si>
  <si>
    <t>Nalinee</t>
  </si>
  <si>
    <t>mei.nalinee@gmail.com</t>
  </si>
  <si>
    <t>66614156666</t>
  </si>
  <si>
    <t>S-141</t>
  </si>
  <si>
    <t>S-142</t>
  </si>
  <si>
    <t>Sis</t>
  </si>
  <si>
    <t>Wijayanto</t>
  </si>
  <si>
    <t>S-500</t>
  </si>
  <si>
    <t>S-2023</t>
  </si>
  <si>
    <t>siscacholifahagustin@gmail.com</t>
  </si>
  <si>
    <t>+6281287063502</t>
  </si>
  <si>
    <t>S-1683</t>
  </si>
  <si>
    <t>S-863</t>
  </si>
  <si>
    <t>AdiKoesoema</t>
  </si>
  <si>
    <t>S-1397</t>
  </si>
  <si>
    <t>siscadaraandari@gmail.com</t>
  </si>
  <si>
    <t>S-1297</t>
  </si>
  <si>
    <t>Jl.Kali pasir Dalam No.156 B</t>
  </si>
  <si>
    <t>Jak-Pus</t>
  </si>
  <si>
    <t>S-1441</t>
  </si>
  <si>
    <t>S-804</t>
  </si>
  <si>
    <t>siscatania@yahoo.com</t>
  </si>
  <si>
    <t>+6282110099200</t>
  </si>
  <si>
    <t>The Castilla B5 No.1 BSD City 15310</t>
  </si>
  <si>
    <t>S-1576</t>
  </si>
  <si>
    <t>Sisi</t>
  </si>
  <si>
    <t>S-1115</t>
  </si>
  <si>
    <t>Sisil</t>
  </si>
  <si>
    <t>6281310028550</t>
  </si>
  <si>
    <t>S-1926</t>
  </si>
  <si>
    <t>Sisilia</t>
  </si>
  <si>
    <t>Indradjaja</t>
  </si>
  <si>
    <t>+628159419135</t>
  </si>
  <si>
    <t xml:space="preserve">JL.PRAPANCA RAYA NO.20
JAKSEL</t>
  </si>
  <si>
    <t>S-647</t>
  </si>
  <si>
    <t>S-847</t>
  </si>
  <si>
    <t>S-1501</t>
  </si>
  <si>
    <t>M-1498</t>
  </si>
  <si>
    <t>S-311</t>
  </si>
  <si>
    <t>S-333</t>
  </si>
  <si>
    <t>Natsir</t>
  </si>
  <si>
    <t>S-518</t>
  </si>
  <si>
    <t>S-1568</t>
  </si>
  <si>
    <t>Gerfianti</t>
  </si>
  <si>
    <t>S-858</t>
  </si>
  <si>
    <t>siskalestari@hotmail.com</t>
  </si>
  <si>
    <t>Apt.Menteng Park, Tower Diamond 8I,</t>
  </si>
  <si>
    <t>S-1631</t>
  </si>
  <si>
    <t>628161861228</t>
  </si>
  <si>
    <t>S-1961</t>
  </si>
  <si>
    <t>+62818637037</t>
  </si>
  <si>
    <t>S-1948</t>
  </si>
  <si>
    <t>S-685</t>
  </si>
  <si>
    <t>S-1060</t>
  </si>
  <si>
    <t>Selbie</t>
  </si>
  <si>
    <t>S-756</t>
  </si>
  <si>
    <t>silvanavaeker@gmail.com</t>
  </si>
  <si>
    <t>6281237695999</t>
  </si>
  <si>
    <t>Puri Kedaton Blok A-35,</t>
  </si>
  <si>
    <t>Kediri</t>
  </si>
  <si>
    <t>S-1137</t>
  </si>
  <si>
    <t>Suryaman</t>
  </si>
  <si>
    <t>S-364</t>
  </si>
  <si>
    <t>Siska,</t>
  </si>
  <si>
    <t>S-1524</t>
  </si>
  <si>
    <t>Chrisnawaty</t>
  </si>
  <si>
    <t>Fransischa</t>
  </si>
  <si>
    <t>08111702370</t>
  </si>
  <si>
    <t>S-1018</t>
  </si>
  <si>
    <t>Siskanita</t>
  </si>
  <si>
    <t>S-2036</t>
  </si>
  <si>
    <t>Sisnahani</t>
  </si>
  <si>
    <t>6281210849008</t>
  </si>
  <si>
    <t>S-1082</t>
  </si>
  <si>
    <t>Sissi</t>
  </si>
  <si>
    <t>Sirapandji</t>
  </si>
  <si>
    <t>S-1954</t>
  </si>
  <si>
    <t>Sissy</t>
  </si>
  <si>
    <t>62811102250</t>
  </si>
  <si>
    <t>S-1176</t>
  </si>
  <si>
    <t>S-0887</t>
  </si>
  <si>
    <t>sitadewanto@gmail.com</t>
  </si>
  <si>
    <t>S-526</t>
  </si>
  <si>
    <t>S-713</t>
  </si>
  <si>
    <t>+6281212075559</t>
  </si>
  <si>
    <t>Jalan Industri No. 14</t>
  </si>
  <si>
    <t>17530</t>
  </si>
  <si>
    <t>S-869</t>
  </si>
  <si>
    <t>Satar</t>
  </si>
  <si>
    <t xml:space="preserve">Kemang Dalam IV / K25
Jakarta Selatan</t>
  </si>
  <si>
    <t>S-641</t>
  </si>
  <si>
    <t>S-575</t>
  </si>
  <si>
    <t>S-1192</t>
  </si>
  <si>
    <t>Sumitro</t>
  </si>
  <si>
    <t>S-683</t>
  </si>
  <si>
    <t>S-629</t>
  </si>
  <si>
    <t>S-1339</t>
  </si>
  <si>
    <t>aisyah.akhmadzurfaih@yahoo.co.id</t>
  </si>
  <si>
    <t>S-2083</t>
  </si>
  <si>
    <t>saag6661@yahoo.com</t>
  </si>
  <si>
    <t>08128887088</t>
  </si>
  <si>
    <t>The Green BSd</t>
  </si>
  <si>
    <t>S-2068</t>
  </si>
  <si>
    <t>Siti Amalina</t>
  </si>
  <si>
    <t>loemonggaaa@gmail.com</t>
  </si>
  <si>
    <t>+61420673977</t>
  </si>
  <si>
    <t>Jl Sci Asahan n0.76</t>
  </si>
  <si>
    <t>S-144</t>
  </si>
  <si>
    <t>Masnuh</t>
  </si>
  <si>
    <t>S-1567</t>
  </si>
  <si>
    <t>Ayuningdyah</t>
  </si>
  <si>
    <t>S-1835</t>
  </si>
  <si>
    <t>Komp. Tasbi Blok G NO 10, Medan</t>
  </si>
  <si>
    <t>S-1898</t>
  </si>
  <si>
    <t>+628119888119</t>
  </si>
  <si>
    <t>S-1392</t>
  </si>
  <si>
    <t>Hanipah</t>
  </si>
  <si>
    <t>Gama Tower Lantai 31 Jak Sel</t>
  </si>
  <si>
    <t>S-145</t>
  </si>
  <si>
    <t>Jl. Gunung Sahari VI No. 24</t>
  </si>
  <si>
    <t>S-630</t>
  </si>
  <si>
    <t>Nuraida</t>
  </si>
  <si>
    <t>Jl. Andara Ujung 1 no.7</t>
  </si>
  <si>
    <t>S-1997</t>
  </si>
  <si>
    <t>Khosijah Mas'ud</t>
  </si>
  <si>
    <t>628117337298</t>
  </si>
  <si>
    <t>S-1851</t>
  </si>
  <si>
    <t>Kodijah</t>
  </si>
  <si>
    <t>Tebet, Jakarta</t>
  </si>
  <si>
    <t>S-425</t>
  </si>
  <si>
    <t>62811631222</t>
  </si>
  <si>
    <t>S-1983</t>
  </si>
  <si>
    <t>Mamduhah</t>
  </si>
  <si>
    <t>6281213774399</t>
  </si>
  <si>
    <t>S-326</t>
  </si>
  <si>
    <t>S-1993</t>
  </si>
  <si>
    <t>6285693796507</t>
  </si>
  <si>
    <t>S-0899</t>
  </si>
  <si>
    <t xml:space="preserve">Jl. Pisang no 5 
RT 03 RW 13 
Kerten Laweyan</t>
  </si>
  <si>
    <t>S-853</t>
  </si>
  <si>
    <t>Masnuri</t>
  </si>
  <si>
    <t>6281249714088</t>
  </si>
  <si>
    <t>M-1208</t>
  </si>
  <si>
    <t>Mylanie</t>
  </si>
  <si>
    <t>S-2073</t>
  </si>
  <si>
    <t>Abdulrachman</t>
  </si>
  <si>
    <t>nunanabilabd@gmail.com</t>
  </si>
  <si>
    <t>N-0690</t>
  </si>
  <si>
    <t>Nuraisyah</t>
  </si>
  <si>
    <t>S-1885</t>
  </si>
  <si>
    <t>Jl Yos Sudarso no 111</t>
  </si>
  <si>
    <t>S-1479</t>
  </si>
  <si>
    <t>S-1622</t>
  </si>
  <si>
    <t>ita-1204@yahoo.com</t>
  </si>
  <si>
    <t>Perum Metland Valbo A-10</t>
  </si>
  <si>
    <t>JakTim</t>
  </si>
  <si>
    <t>A-548</t>
  </si>
  <si>
    <t>Rajasa</t>
  </si>
  <si>
    <t xml:space="preserve">Golf Manson Fatmawati no 25-26 ( Samping Giant Fatmawati)
Jakarta Selatan</t>
  </si>
  <si>
    <t>S-2006</t>
  </si>
  <si>
    <t>saraholaaa24@gmail.com</t>
  </si>
  <si>
    <t>6282112981847</t>
  </si>
  <si>
    <t>Kebaoran Villas Blok C II, Tangsel</t>
  </si>
  <si>
    <t>S-1155</t>
  </si>
  <si>
    <t>Hasya</t>
  </si>
  <si>
    <t>S-1356</t>
  </si>
  <si>
    <t>Sofiah</t>
  </si>
  <si>
    <t>S-562</t>
  </si>
  <si>
    <t>Sulistyawati</t>
  </si>
  <si>
    <t>ssulisty@gmail.com</t>
  </si>
  <si>
    <t>6281290930175</t>
  </si>
  <si>
    <t>S-0948</t>
  </si>
  <si>
    <t>Siti Sutinah</t>
  </si>
  <si>
    <t>6281343625384</t>
  </si>
  <si>
    <t>S-1058</t>
  </si>
  <si>
    <t>Wardah</t>
  </si>
  <si>
    <t>Jl.Beringin 1/35 Tipar</t>
  </si>
  <si>
    <t>S-1725</t>
  </si>
  <si>
    <t>Sitti</t>
  </si>
  <si>
    <t>Isroin</t>
  </si>
  <si>
    <t>BPN- Perum BDI No 11 blok C</t>
  </si>
  <si>
    <t>S-1641</t>
  </si>
  <si>
    <t>Siu</t>
  </si>
  <si>
    <t>scen112@gmail.com</t>
  </si>
  <si>
    <t>Taman Beverly Golf Jl.Danau S No.11 lippo karawaci banten</t>
  </si>
  <si>
    <t>S-2096</t>
  </si>
  <si>
    <t>Siu Hwei</t>
  </si>
  <si>
    <t>wwdia1965@gmail.com</t>
  </si>
  <si>
    <t>6281285222239</t>
  </si>
  <si>
    <t>Jatinegara Timur 14</t>
  </si>
  <si>
    <t>S-441</t>
  </si>
  <si>
    <t>Liung</t>
  </si>
  <si>
    <t>S-1412</t>
  </si>
  <si>
    <t>Siulie</t>
  </si>
  <si>
    <t>julitacen79@yahoo.co.id</t>
  </si>
  <si>
    <t>628111707999</t>
  </si>
  <si>
    <t>Alam Sutera Cluster Telaga Biru I no 6</t>
  </si>
  <si>
    <t>S-1773</t>
  </si>
  <si>
    <t>Siva</t>
  </si>
  <si>
    <t>Avila</t>
  </si>
  <si>
    <t>S-1943</t>
  </si>
  <si>
    <t>Siwei</t>
  </si>
  <si>
    <t>8615010730517</t>
  </si>
  <si>
    <t>S-1726</t>
  </si>
  <si>
    <t>S-1125</t>
  </si>
  <si>
    <t>Siyu</t>
  </si>
  <si>
    <t>S-591</t>
  </si>
  <si>
    <t>Sjahrial</t>
  </si>
  <si>
    <t>S-716</t>
  </si>
  <si>
    <t>Sjambiri</t>
  </si>
  <si>
    <t>S-149</t>
  </si>
  <si>
    <t>Hilataha</t>
  </si>
  <si>
    <t>Jl. Bougenville No. 14</t>
  </si>
  <si>
    <t>Jatibening</t>
  </si>
  <si>
    <t>S-1019</t>
  </si>
  <si>
    <t>S-1800</t>
  </si>
  <si>
    <t>Jl Pondok Hijau 5/21</t>
  </si>
  <si>
    <t>S-1979</t>
  </si>
  <si>
    <t>Skolastika karmila</t>
  </si>
  <si>
    <t>Skolastika karmila lilis@gmail.com</t>
  </si>
  <si>
    <t>6281330096588</t>
  </si>
  <si>
    <t>S-2080</t>
  </si>
  <si>
    <t>Skenly</t>
  </si>
  <si>
    <t>skenlyyy@gmail.com</t>
  </si>
  <si>
    <t>6281222388040</t>
  </si>
  <si>
    <t>Asya Matana 7 No.53 , Cakung Timur</t>
  </si>
  <si>
    <t>S-1914</t>
  </si>
  <si>
    <t>Skojo</t>
  </si>
  <si>
    <t>Mato</t>
  </si>
  <si>
    <t>mato.skojo1@gmail.com</t>
  </si>
  <si>
    <t>+385919232299</t>
  </si>
  <si>
    <t>Croatia</t>
  </si>
  <si>
    <t>S-2022</t>
  </si>
  <si>
    <t>Skroman</t>
  </si>
  <si>
    <t>6281338521413</t>
  </si>
  <si>
    <t>S-1843</t>
  </si>
  <si>
    <t>Slamet</t>
  </si>
  <si>
    <t>S-803</t>
  </si>
  <si>
    <t>S-1907</t>
  </si>
  <si>
    <t>Gulmira</t>
  </si>
  <si>
    <t>Smatlayeva</t>
  </si>
  <si>
    <t>+6282144061564</t>
  </si>
  <si>
    <t>S-2062</t>
  </si>
  <si>
    <t>Smita</t>
  </si>
  <si>
    <t>Shailesh Lad</t>
  </si>
  <si>
    <t>smitalad86@gmail.com</t>
  </si>
  <si>
    <t>17323099197</t>
  </si>
  <si>
    <t>S-358</t>
  </si>
  <si>
    <t>Smon</t>
  </si>
  <si>
    <t>KJenny</t>
  </si>
  <si>
    <t>S-1770</t>
  </si>
  <si>
    <t>S-177</t>
  </si>
  <si>
    <t>so</t>
  </si>
  <si>
    <t>Komp. Grand Puri Grisenda</t>
  </si>
  <si>
    <t>Blok GG No. 17</t>
  </si>
  <si>
    <t>S-2018</t>
  </si>
  <si>
    <t>Sze Sze</t>
  </si>
  <si>
    <t>soszzszz@yahoo.com.hk</t>
  </si>
  <si>
    <t>+85292265060</t>
  </si>
  <si>
    <t>S-2001</t>
  </si>
  <si>
    <t>Daniella</t>
  </si>
  <si>
    <t>Soares Carvalho De Almeida</t>
  </si>
  <si>
    <t>dscarvaalmeida@gmail.com</t>
  </si>
  <si>
    <t>5562998740808</t>
  </si>
  <si>
    <t>S-1680</t>
  </si>
  <si>
    <t>Soares</t>
  </si>
  <si>
    <t>S-1556</t>
  </si>
  <si>
    <t>Sodam</t>
  </si>
  <si>
    <t>S-866</t>
  </si>
  <si>
    <t>Soderbom</t>
  </si>
  <si>
    <t>Kemang Timur XI No. 25 , Jakarta Selatan</t>
  </si>
  <si>
    <t>S-494</t>
  </si>
  <si>
    <t>Sodri</t>
  </si>
  <si>
    <t>N-0515</t>
  </si>
  <si>
    <t>S-2012</t>
  </si>
  <si>
    <t>Naing</t>
  </si>
  <si>
    <t>dsmdiy@gmail.com</t>
  </si>
  <si>
    <t>9595020574</t>
  </si>
  <si>
    <t>S-1491</t>
  </si>
  <si>
    <t>Soedibyo</t>
  </si>
  <si>
    <t>S-440</t>
  </si>
  <si>
    <t>Oesman</t>
  </si>
  <si>
    <t>jon3-16@hotmail.com</t>
  </si>
  <si>
    <t xml:space="preserve">A Yani 35 M
Makassar</t>
  </si>
  <si>
    <t>S-355</t>
  </si>
  <si>
    <t>Sarjadi</t>
  </si>
  <si>
    <t>S-152</t>
  </si>
  <si>
    <t>Soegiandi</t>
  </si>
  <si>
    <t>Perum. Kota Wisata</t>
  </si>
  <si>
    <t>Pesona Paris Blok C-5 No. 25</t>
  </si>
  <si>
    <t>S-0892</t>
  </si>
  <si>
    <t>Soegianto</t>
  </si>
  <si>
    <t>Ellies</t>
  </si>
  <si>
    <t>ellies@inbox.com</t>
  </si>
  <si>
    <t>Jl. Dr Oxxen 4</t>
  </si>
  <si>
    <t>S-154</t>
  </si>
  <si>
    <t>Puri Mutiara V No. 17</t>
  </si>
  <si>
    <t>S-156</t>
  </si>
  <si>
    <t xml:space="preserve">Jl Adhyaksa IX-11
Lebak Bulus</t>
  </si>
  <si>
    <t>S-1693</t>
  </si>
  <si>
    <t>Soeharty</t>
  </si>
  <si>
    <t>S-157</t>
  </si>
  <si>
    <t>Soejono</t>
  </si>
  <si>
    <t>Varinata</t>
  </si>
  <si>
    <t>Jl. Kebon Jeruk Intercon</t>
  </si>
  <si>
    <t>Blok G-2 No. 3A</t>
  </si>
  <si>
    <t>S-1451</t>
  </si>
  <si>
    <t>Soenaryono</t>
  </si>
  <si>
    <t>S-1868</t>
  </si>
  <si>
    <t>Soenke</t>
  </si>
  <si>
    <t>Gloede</t>
  </si>
  <si>
    <t>soenke.gloede61@gmail.com</t>
  </si>
  <si>
    <t>S-159</t>
  </si>
  <si>
    <t>Soerjo</t>
  </si>
  <si>
    <t>Sampoerna Strategic Square Tower A</t>
  </si>
  <si>
    <t>Jl. Jend. Sudirman Kav. 45</t>
  </si>
  <si>
    <t>S-841</t>
  </si>
  <si>
    <t>Soeryo</t>
  </si>
  <si>
    <t>Jl Jambu Blok U No.32-33 Kalibata</t>
  </si>
  <si>
    <t>S-835</t>
  </si>
  <si>
    <t>Soesana</t>
  </si>
  <si>
    <t>S-160</t>
  </si>
  <si>
    <t>Hadiprajitno</t>
  </si>
  <si>
    <t>Jl. Raya Kertajaya Indah 28</t>
  </si>
  <si>
    <t>S-717</t>
  </si>
  <si>
    <t>Soesi</t>
  </si>
  <si>
    <t>S-1573</t>
  </si>
  <si>
    <t>Aribowo</t>
  </si>
  <si>
    <t>aribowosoesilo@yahoo.co,id</t>
  </si>
  <si>
    <t>Jl. Lebak Bulus IV No.11</t>
  </si>
  <si>
    <t>S-801</t>
  </si>
  <si>
    <t>Soewati</t>
  </si>
  <si>
    <t>Sukiman</t>
  </si>
  <si>
    <t>S-1689</t>
  </si>
  <si>
    <t>Sofi</t>
  </si>
  <si>
    <t>Indriarti</t>
  </si>
  <si>
    <t xml:space="preserve">Jl. Rancho indah dalam Kav 1A
jak sel</t>
  </si>
  <si>
    <t>S-1024</t>
  </si>
  <si>
    <t>Sugiharto</t>
  </si>
  <si>
    <t>S-1929</t>
  </si>
  <si>
    <t>628118072785</t>
  </si>
  <si>
    <t>S-0946</t>
  </si>
  <si>
    <t>Alamsjair</t>
  </si>
  <si>
    <t>Danau Indah Timur D1/3</t>
  </si>
  <si>
    <t>S-1530</t>
  </si>
  <si>
    <t>S-797</t>
  </si>
  <si>
    <t>Sofiari</t>
  </si>
  <si>
    <t>Fallianda</t>
  </si>
  <si>
    <t>jl kemang timur komplek iiapco no 24</t>
  </si>
  <si>
    <t>S-1041</t>
  </si>
  <si>
    <t>Sofie</t>
  </si>
  <si>
    <t>S-299</t>
  </si>
  <si>
    <t>Awal</t>
  </si>
  <si>
    <t>S-1998</t>
  </si>
  <si>
    <t>Sasradinata</t>
  </si>
  <si>
    <t>sofie.sasradinata@gmail.com</t>
  </si>
  <si>
    <t>62818981063</t>
  </si>
  <si>
    <t>S-2128</t>
  </si>
  <si>
    <t>Syafei</t>
  </si>
  <si>
    <t>62811241964</t>
  </si>
  <si>
    <t>S-555</t>
  </si>
  <si>
    <t>Sofin</t>
  </si>
  <si>
    <t>+628568088777</t>
  </si>
  <si>
    <t>S-2066</t>
  </si>
  <si>
    <t>Sofiyah</t>
  </si>
  <si>
    <t>sofiyahhalim@gmail.com</t>
  </si>
  <si>
    <t>6281291628260</t>
  </si>
  <si>
    <t>Green Permata Residence Jakarta Selatan</t>
  </si>
  <si>
    <t>S-163</t>
  </si>
  <si>
    <t>Sofuku</t>
  </si>
  <si>
    <t>S-0978</t>
  </si>
  <si>
    <t>S-164</t>
  </si>
  <si>
    <t>Rambey</t>
  </si>
  <si>
    <t>Komp. Bank Mandiri Blok A No. 3</t>
  </si>
  <si>
    <t>Bumi Slipi, Jl. S. Parman</t>
  </si>
  <si>
    <t>S-1173</t>
  </si>
  <si>
    <t>Soh</t>
  </si>
  <si>
    <t>S-2111</t>
  </si>
  <si>
    <t>Soha</t>
  </si>
  <si>
    <t>mhw1209@never.com</t>
  </si>
  <si>
    <t>6281280736262</t>
  </si>
  <si>
    <t>S-321</t>
  </si>
  <si>
    <t>Sohari</t>
  </si>
  <si>
    <t xml:space="preserve">Jl. Poltangan 48
Pasar Minggu</t>
  </si>
  <si>
    <t>S-2043</t>
  </si>
  <si>
    <t>Sohichi</t>
  </si>
  <si>
    <t>6281380276748</t>
  </si>
  <si>
    <t>S-2087</t>
  </si>
  <si>
    <t>Soko</t>
  </si>
  <si>
    <t>+628126863770</t>
  </si>
  <si>
    <t>S-842</t>
  </si>
  <si>
    <t>Solekhah</t>
  </si>
  <si>
    <t>S-167</t>
  </si>
  <si>
    <t>Solfy</t>
  </si>
  <si>
    <t>6287876665688</t>
  </si>
  <si>
    <t>Pantai Mutiara Blok T A No.7 Pluit Jakarta Utara</t>
  </si>
  <si>
    <t>S-1361</t>
  </si>
  <si>
    <t>Solikhan</t>
  </si>
  <si>
    <t>Wardoyo</t>
  </si>
  <si>
    <t>S-1715</t>
  </si>
  <si>
    <t>Solovyen</t>
  </si>
  <si>
    <t>S-1797</t>
  </si>
  <si>
    <t>Som</t>
  </si>
  <si>
    <t>S-1832</t>
  </si>
  <si>
    <t>Somporn</t>
  </si>
  <si>
    <t>Keaboot</t>
  </si>
  <si>
    <t>S-1517</t>
  </si>
  <si>
    <t>Son</t>
  </si>
  <si>
    <t>S-573</t>
  </si>
  <si>
    <t>Hyunjun</t>
  </si>
  <si>
    <t>hjson@lottenc.com</t>
  </si>
  <si>
    <t>S-831</t>
  </si>
  <si>
    <t>S-1640</t>
  </si>
  <si>
    <t>justy0318@hanmail.net</t>
  </si>
  <si>
    <t>Apt French Walk Paris Garden 25E, JL.Boulevard Barat Raya Kelapa Gading Square Jakarta Utara</t>
  </si>
  <si>
    <t>S-1649</t>
  </si>
  <si>
    <t>Sonam</t>
  </si>
  <si>
    <t>Mohan</t>
  </si>
  <si>
    <t>sonam.ssethi@gmail.com</t>
  </si>
  <si>
    <t>39 pleasant st. Pascoe Vale 3044 VIC</t>
  </si>
  <si>
    <t>S-1480</t>
  </si>
  <si>
    <t>Amarnani</t>
  </si>
  <si>
    <t>sonamamarnani@yahoo.com</t>
  </si>
  <si>
    <t xml:space="preserve">Bukit Gading Mediterania,Blok BC-8,3L Casablanca 1 
Kelapa Gading.</t>
  </si>
  <si>
    <t>S-1303</t>
  </si>
  <si>
    <t>S-0993</t>
  </si>
  <si>
    <t>Sondang</t>
  </si>
  <si>
    <t>S-1913</t>
  </si>
  <si>
    <t>Jung Hwan</t>
  </si>
  <si>
    <t>+628119001127</t>
  </si>
  <si>
    <t>S-1050</t>
  </si>
  <si>
    <t>smqhyx@hotmail.com</t>
  </si>
  <si>
    <t xml:space="preserve">Suite 65-101
58 Chun Yuan RD</t>
  </si>
  <si>
    <t>Shang Hai</t>
  </si>
  <si>
    <t>S-1706</t>
  </si>
  <si>
    <t>Ramawati</t>
  </si>
  <si>
    <t>acin78@gmail.com</t>
  </si>
  <si>
    <t>Taman Permata Buana, Jl. Pulau Panggang, Jakarta Barat 11610.  Indonesia</t>
  </si>
  <si>
    <t>S-2009</t>
  </si>
  <si>
    <t>song.edmund@gmail.com</t>
  </si>
  <si>
    <t>6591681913</t>
  </si>
  <si>
    <t>S-1365</t>
  </si>
  <si>
    <t>Gilo</t>
  </si>
  <si>
    <t xml:space="preserve">pondok indah residence
kartika tower 2801
jakarta selatan</t>
  </si>
  <si>
    <t>S-1633</t>
  </si>
  <si>
    <t>Yadi</t>
  </si>
  <si>
    <t>S-2030</t>
  </si>
  <si>
    <t>Jiayan</t>
  </si>
  <si>
    <t>313620834@qq.com</t>
  </si>
  <si>
    <t>+8618785333777</t>
  </si>
  <si>
    <t>S-2065</t>
  </si>
  <si>
    <t>Song,</t>
  </si>
  <si>
    <t>Yanxin</t>
  </si>
  <si>
    <t>2242181659@qq.com</t>
  </si>
  <si>
    <t>08092025</t>
  </si>
  <si>
    <t>S-1849</t>
  </si>
  <si>
    <t>Yimin</t>
  </si>
  <si>
    <t>S-1911</t>
  </si>
  <si>
    <t>Soni</t>
  </si>
  <si>
    <t>sonipretty04@gmail.com</t>
  </si>
  <si>
    <t>Jl.Kuantan Raya Villa Kuantan</t>
  </si>
  <si>
    <t>S-587</t>
  </si>
  <si>
    <t>Sonia</t>
  </si>
  <si>
    <t xml:space="preserve">Jl Hegarmanah No.30A
BANDUNG</t>
  </si>
  <si>
    <t>S-1701</t>
  </si>
  <si>
    <t>Sonja</t>
  </si>
  <si>
    <t>Gibiana</t>
  </si>
  <si>
    <t>Taman Surya 3Blok F1/36</t>
  </si>
  <si>
    <t>S-2120</t>
  </si>
  <si>
    <t>6281231358787</t>
  </si>
  <si>
    <t>S-171</t>
  </si>
  <si>
    <t>Jl. Pesona Montreal Blok YA-1 No. 30</t>
  </si>
  <si>
    <t>S-1166</t>
  </si>
  <si>
    <t>Laksito</t>
  </si>
  <si>
    <t>sonny.laksito2gmail.com</t>
  </si>
  <si>
    <t>S-525</t>
  </si>
  <si>
    <t>Thendian</t>
  </si>
  <si>
    <t>awen8989@yahoo.com</t>
  </si>
  <si>
    <t>S-519</t>
  </si>
  <si>
    <t>Sony</t>
  </si>
  <si>
    <t>S-0976</t>
  </si>
  <si>
    <t>Cendiawan</t>
  </si>
  <si>
    <t>S-1594</t>
  </si>
  <si>
    <t>Junaidy</t>
  </si>
  <si>
    <t>sonyjunaidy@yahoo.com</t>
  </si>
  <si>
    <t xml:space="preserve">JL.GRIYA PRATAMA VII BLOK 1 NO.4
PEGANGSAAN DUA - KELAPA GADING
JAKARTA UTARA 14260</t>
  </si>
  <si>
    <t>S-1814</t>
  </si>
  <si>
    <t>Sonya</t>
  </si>
  <si>
    <t>+628111949950</t>
  </si>
  <si>
    <t xml:space="preserve">Jl. Olahraga I No 7 
kemanggisan 
Jakarta 11480</t>
  </si>
  <si>
    <t>S-1601</t>
  </si>
  <si>
    <t>S-642</t>
  </si>
  <si>
    <t>S-876</t>
  </si>
  <si>
    <t>Sook-Hee</t>
  </si>
  <si>
    <t>S-1674</t>
  </si>
  <si>
    <t>SookleongChong</t>
  </si>
  <si>
    <t>S-1484</t>
  </si>
  <si>
    <t>Sooky</t>
  </si>
  <si>
    <t>S-1636</t>
  </si>
  <si>
    <t>S-1847</t>
  </si>
  <si>
    <t>orange12164@never.com</t>
  </si>
  <si>
    <t>S-175</t>
  </si>
  <si>
    <t>Soong</t>
  </si>
  <si>
    <t>S-1085</t>
  </si>
  <si>
    <t>Soony</t>
  </si>
  <si>
    <t>S-1878</t>
  </si>
  <si>
    <t>Sooyun</t>
  </si>
  <si>
    <t>S-1746</t>
  </si>
  <si>
    <t>Sophia</t>
  </si>
  <si>
    <t>Halim Widjaja</t>
  </si>
  <si>
    <t>+6282115767733</t>
  </si>
  <si>
    <t>Apt The Mansion Bougenville Tower Fontana</t>
  </si>
  <si>
    <t>S-1536</t>
  </si>
  <si>
    <t>S-1799</t>
  </si>
  <si>
    <t>62811329536</t>
  </si>
  <si>
    <t>Grand Golf AD#-16 Pakuwon Indah, Surabaya</t>
  </si>
  <si>
    <t>S-462</t>
  </si>
  <si>
    <t>Tjipta</t>
  </si>
  <si>
    <t xml:space="preserve">Kuta indah 18 Bukit gading villa
Kelapa gading</t>
  </si>
  <si>
    <t>S-497</t>
  </si>
  <si>
    <t>Sophie</t>
  </si>
  <si>
    <t>S-411</t>
  </si>
  <si>
    <t>Sopian</t>
  </si>
  <si>
    <t>sopian</t>
  </si>
  <si>
    <t>S-1665</t>
  </si>
  <si>
    <t>Sopiyan</t>
  </si>
  <si>
    <t>S-692</t>
  </si>
  <si>
    <t>Sopyan</t>
  </si>
  <si>
    <t xml:space="preserve">Villa Serpong Blok C9 No.2
BSD - Tanggerang</t>
  </si>
  <si>
    <t>S-1918</t>
  </si>
  <si>
    <t>Sora</t>
  </si>
  <si>
    <t>+6285210923771</t>
  </si>
  <si>
    <t>S-1520</t>
  </si>
  <si>
    <t>S-1159</t>
  </si>
  <si>
    <t>S-1034</t>
  </si>
  <si>
    <t>mylilpurplestar@gmail.com</t>
  </si>
  <si>
    <t>S-2105</t>
  </si>
  <si>
    <t>soraya_jor@yahoo.com</t>
  </si>
  <si>
    <t>6282299882203</t>
  </si>
  <si>
    <t>Jl. Cisanggiri 2/J Jakarta Selatan, 12170</t>
  </si>
  <si>
    <t>S-675</t>
  </si>
  <si>
    <t>Begum</t>
  </si>
  <si>
    <t>S-0938</t>
  </si>
  <si>
    <t>Marbella Kemang Residence A07-08</t>
  </si>
  <si>
    <t>S-681</t>
  </si>
  <si>
    <t>sorayaoktaviani@yahoo.com</t>
  </si>
  <si>
    <t xml:space="preserve">Cluster Fluorite Barat 1 No 8
Gading Serpong</t>
  </si>
  <si>
    <t>S-738</t>
  </si>
  <si>
    <t>Jl. Jendral Sudirman Kav. 52-53, Office 5th Floor</t>
  </si>
  <si>
    <t>S-467</t>
  </si>
  <si>
    <t>S-1880</t>
  </si>
  <si>
    <t>Sori</t>
  </si>
  <si>
    <t>S-1684</t>
  </si>
  <si>
    <t>Soufiarina/</t>
  </si>
  <si>
    <t>S-1421</t>
  </si>
  <si>
    <t>Soung</t>
  </si>
  <si>
    <t>S-1786</t>
  </si>
  <si>
    <t>Soyoung</t>
  </si>
  <si>
    <t>Pondok Indah Residence Amala #2006</t>
  </si>
  <si>
    <t>S-1380</t>
  </si>
  <si>
    <t>S-1676</t>
  </si>
  <si>
    <t>Mihari</t>
  </si>
  <si>
    <t>S-1887</t>
  </si>
  <si>
    <t>Budiyani</t>
  </si>
  <si>
    <t>S-341</t>
  </si>
  <si>
    <t>Dahlianti</t>
  </si>
  <si>
    <t>S-1903</t>
  </si>
  <si>
    <t>62818808685</t>
  </si>
  <si>
    <t>S-1040</t>
  </si>
  <si>
    <t>S-0972</t>
  </si>
  <si>
    <t>Jl Pulau Opak III Blok A12 No.1</t>
  </si>
  <si>
    <t>S-1742</t>
  </si>
  <si>
    <t>S-1077</t>
  </si>
  <si>
    <t>Wardhana</t>
  </si>
  <si>
    <t>JL.BATAN MIROTO III NO.391 SEMARANG</t>
  </si>
  <si>
    <t>S-1721</t>
  </si>
  <si>
    <t>Empire</t>
  </si>
  <si>
    <t>S-1705</t>
  </si>
  <si>
    <t>Florianti</t>
  </si>
  <si>
    <t>S-1569</t>
  </si>
  <si>
    <t>6281233568999</t>
  </si>
  <si>
    <t>S-669</t>
  </si>
  <si>
    <t>62811256498</t>
  </si>
  <si>
    <t>S-785</t>
  </si>
  <si>
    <t>Sri Hariani</t>
  </si>
  <si>
    <t>Soeprapti</t>
  </si>
  <si>
    <t>62811864363</t>
  </si>
  <si>
    <t xml:space="preserve">jl. delima raya b11. villa delima. lebak bulus
jak-sel</t>
  </si>
  <si>
    <t>S-1232</t>
  </si>
  <si>
    <t>S-729</t>
  </si>
  <si>
    <t>sriharyadi@buanautamakarya.com</t>
  </si>
  <si>
    <t>085777777309</t>
  </si>
  <si>
    <t xml:space="preserve">Jalan Jimbaran F3-8
Purimas , Surabaya</t>
  </si>
  <si>
    <t>S-1513</t>
  </si>
  <si>
    <t>Pakubuwono View Apartment Redwood 25B</t>
  </si>
  <si>
    <t>S-1292</t>
  </si>
  <si>
    <t>Herliani</t>
  </si>
  <si>
    <t>6281381354486</t>
  </si>
  <si>
    <t>S-1149</t>
  </si>
  <si>
    <t>S-447</t>
  </si>
  <si>
    <t xml:space="preserve">Graha Taman HC4 No.15
Bintaro Sektor IX</t>
  </si>
  <si>
    <t>S-796</t>
  </si>
  <si>
    <t>Labantari</t>
  </si>
  <si>
    <t>S-1826</t>
  </si>
  <si>
    <t>madiarti</t>
  </si>
  <si>
    <t>S-1281</t>
  </si>
  <si>
    <t>S-1088</t>
  </si>
  <si>
    <t>S-181</t>
  </si>
  <si>
    <t>S-182</t>
  </si>
  <si>
    <t>Murniati</t>
  </si>
  <si>
    <t>S-1051</t>
  </si>
  <si>
    <t>ekaganta@yahoo.com</t>
  </si>
  <si>
    <t>sorong,papua</t>
  </si>
  <si>
    <t>S-2054</t>
  </si>
  <si>
    <t>Sri Pangestuti Satrio</t>
  </si>
  <si>
    <t>62811388508</t>
  </si>
  <si>
    <t>Istana Regency Blok Tampak Siring No.1</t>
  </si>
  <si>
    <t>S-1111</t>
  </si>
  <si>
    <t>S-1666</t>
  </si>
  <si>
    <t>Jl.Mutiara Graha Family II no.23</t>
  </si>
  <si>
    <t>S-0898</t>
  </si>
  <si>
    <t>Ranidigdo</t>
  </si>
  <si>
    <t xml:space="preserve">Jl.Delima Jaya No.1 Rt.05/02
Rempoa</t>
  </si>
  <si>
    <t>S-1174</t>
  </si>
  <si>
    <t>Rezeki</t>
  </si>
  <si>
    <t>6281223914249</t>
  </si>
  <si>
    <t>Jl Hayam Wuruk No.4E RT 006/002 JAKARTA</t>
  </si>
  <si>
    <t>S-2115</t>
  </si>
  <si>
    <t>Rejeki</t>
  </si>
  <si>
    <t>6281238396997</t>
  </si>
  <si>
    <t>S-1607</t>
  </si>
  <si>
    <t>Sri Rossa</t>
  </si>
  <si>
    <t>Roslaina Handiyani</t>
  </si>
  <si>
    <t>6287878833006</t>
  </si>
  <si>
    <t>S-1420</t>
  </si>
  <si>
    <t>Sanje</t>
  </si>
  <si>
    <t>+62811818911</t>
  </si>
  <si>
    <t>S-552</t>
  </si>
  <si>
    <t>S-1053</t>
  </si>
  <si>
    <t>Sudiarti</t>
  </si>
  <si>
    <t>M-1764</t>
  </si>
  <si>
    <t>628121071301</t>
  </si>
  <si>
    <t>JL.HAJI ABU NO.15 JAKARTA SELATN</t>
  </si>
  <si>
    <t>S-1718</t>
  </si>
  <si>
    <t>Surjani</t>
  </si>
  <si>
    <t>62816933363</t>
  </si>
  <si>
    <t>S-1523</t>
  </si>
  <si>
    <t>628111088040</t>
  </si>
  <si>
    <t>Jl Sriwijaya Raya No 7 Jakarta</t>
  </si>
  <si>
    <t>M-1401</t>
  </si>
  <si>
    <t>Susanti.</t>
  </si>
  <si>
    <t>S-491</t>
  </si>
  <si>
    <t>S-0984</t>
  </si>
  <si>
    <t>Pearl Garden Apartment, Jl Jendral Gatot Subroto Kav 5-7</t>
  </si>
  <si>
    <t>S-709</t>
  </si>
  <si>
    <t>S-184</t>
  </si>
  <si>
    <t>Widarti</t>
  </si>
  <si>
    <t>Perum. Pondok Kelapa Indah Blok A-1 No. 16</t>
  </si>
  <si>
    <t>Inspeksi Kalimalang</t>
  </si>
  <si>
    <t>S-1572</t>
  </si>
  <si>
    <t>Widianti</t>
  </si>
  <si>
    <t>chi0906@yahoo.com</t>
  </si>
  <si>
    <t>628164858663</t>
  </si>
  <si>
    <t>S-720</t>
  </si>
  <si>
    <t>agustiosby@gmail.com</t>
  </si>
  <si>
    <t xml:space="preserve">Jl Jingga 8 No 6
Alam Sutera, Sutera Sitora, Cluster Jingga</t>
  </si>
  <si>
    <t>S-1472</t>
  </si>
  <si>
    <t>S-2011</t>
  </si>
  <si>
    <t>wsri8593@gmail.com</t>
  </si>
  <si>
    <t>6281333018111</t>
  </si>
  <si>
    <t>Wengga Agung Jln V no.919</t>
  </si>
  <si>
    <t>S-1758</t>
  </si>
  <si>
    <t>Yesa</t>
  </si>
  <si>
    <t>S-0928</t>
  </si>
  <si>
    <t>S-486</t>
  </si>
  <si>
    <t>Srianingsih</t>
  </si>
  <si>
    <t>S-468</t>
  </si>
  <si>
    <t>Srijanti</t>
  </si>
  <si>
    <t>S-183</t>
  </si>
  <si>
    <t>Sriwaty</t>
  </si>
  <si>
    <t>Jl. Cempaka Putih Barat Raya 16</t>
  </si>
  <si>
    <t>S-360</t>
  </si>
  <si>
    <t>Sriyanti</t>
  </si>
  <si>
    <t>S-1986</t>
  </si>
  <si>
    <t>Srur Rosales</t>
  </si>
  <si>
    <t>pablosrur@gmail.com</t>
  </si>
  <si>
    <t>5511992446615</t>
  </si>
  <si>
    <t>S-186</t>
  </si>
  <si>
    <t>ST.</t>
  </si>
  <si>
    <t>Jl. Rawa Simpruk III No. 27</t>
  </si>
  <si>
    <t>Kebayoran Lama</t>
  </si>
  <si>
    <t>S-741</t>
  </si>
  <si>
    <t>Tjondro</t>
  </si>
  <si>
    <t>Prakosa</t>
  </si>
  <si>
    <t>+62811181113</t>
  </si>
  <si>
    <t xml:space="preserve">Jl. Pancoran Timur 5 No.10a Rt/Rw 008/005 
Pengadegan Pancoran. Jak Sel</t>
  </si>
  <si>
    <t>S-1779</t>
  </si>
  <si>
    <t>Stanczyk</t>
  </si>
  <si>
    <t>Dorota</t>
  </si>
  <si>
    <t>S-1648</t>
  </si>
  <si>
    <t>Stanley</t>
  </si>
  <si>
    <t>STANLEY.ZHOO@yahoo.com</t>
  </si>
  <si>
    <t xml:space="preserve">Venise 135 
PIK</t>
  </si>
  <si>
    <t>S-1360</t>
  </si>
  <si>
    <t>Stanly</t>
  </si>
  <si>
    <t>Mangindaan</t>
  </si>
  <si>
    <t>S-1922</t>
  </si>
  <si>
    <t>Stannia</t>
  </si>
  <si>
    <t>+6281228128128</t>
  </si>
  <si>
    <t>Kembang Ayu E8/25,Puri Indah</t>
  </si>
  <si>
    <t>S-1551</t>
  </si>
  <si>
    <t>Starly</t>
  </si>
  <si>
    <t>Greenlake City Cluster ALI 36</t>
  </si>
  <si>
    <t>S-1889</t>
  </si>
  <si>
    <t>Steanly</t>
  </si>
  <si>
    <t>S-718</t>
  </si>
  <si>
    <t>Stedhan</t>
  </si>
  <si>
    <t>Siebera</t>
  </si>
  <si>
    <t>S-1476</t>
  </si>
  <si>
    <t>Stefan</t>
  </si>
  <si>
    <t>S-1306</t>
  </si>
  <si>
    <t>Stefandy</t>
  </si>
  <si>
    <t>S-2124</t>
  </si>
  <si>
    <t>Stefani</t>
  </si>
  <si>
    <t>Kosalim</t>
  </si>
  <si>
    <t>628116549988</t>
  </si>
  <si>
    <t>Citraland gama City Komplek Fullerton Blok C2 no 07</t>
  </si>
  <si>
    <t>S-1699</t>
  </si>
  <si>
    <t>Soepangat</t>
  </si>
  <si>
    <t>lexxal_then@yahoo.com</t>
  </si>
  <si>
    <t>S-0895</t>
  </si>
  <si>
    <t>stefanie.bee@gmail.com</t>
  </si>
  <si>
    <t>62818966977</t>
  </si>
  <si>
    <t>HANGLEKIR 2 NO.25 JAKSEL</t>
  </si>
  <si>
    <t>S-0991</t>
  </si>
  <si>
    <t>Yonelis</t>
  </si>
  <si>
    <t>S-1906</t>
  </si>
  <si>
    <t>Witono</t>
  </si>
  <si>
    <t>step_shuang@hotmail.com</t>
  </si>
  <si>
    <t>62817381232</t>
  </si>
  <si>
    <t>Jl.Sumbing 45 ,Malang</t>
  </si>
  <si>
    <t>S-2098</t>
  </si>
  <si>
    <t>Stefanny</t>
  </si>
  <si>
    <t>Lamintha</t>
  </si>
  <si>
    <t>stefannynatasha@gmail.com</t>
  </si>
  <si>
    <t>628122220803</t>
  </si>
  <si>
    <t>S-1505</t>
  </si>
  <si>
    <t>Stefano</t>
  </si>
  <si>
    <t>Lorenzini</t>
  </si>
  <si>
    <t>S-1637</t>
  </si>
  <si>
    <t>Stefanus</t>
  </si>
  <si>
    <t>Wiranata</t>
  </si>
  <si>
    <t>S-394</t>
  </si>
  <si>
    <t>Buditama</t>
  </si>
  <si>
    <t>S-759</t>
  </si>
  <si>
    <t>Steffani</t>
  </si>
  <si>
    <t>Lule</t>
  </si>
  <si>
    <t>steffanibeatrixlule@gmail.com</t>
  </si>
  <si>
    <t>+6281288527278</t>
  </si>
  <si>
    <t>S-663</t>
  </si>
  <si>
    <t>Steffi</t>
  </si>
  <si>
    <t>S-1904</t>
  </si>
  <si>
    <t>steffi_tjandra@hotmail.com</t>
  </si>
  <si>
    <t>0811122199</t>
  </si>
  <si>
    <t>S-1791</t>
  </si>
  <si>
    <t>Steffie</t>
  </si>
  <si>
    <t>+62818171030</t>
  </si>
  <si>
    <t>S-1443</t>
  </si>
  <si>
    <t>Steffy</t>
  </si>
  <si>
    <t>Burase</t>
  </si>
  <si>
    <t>Apartement Kemang Jaya Taman No. 9B</t>
  </si>
  <si>
    <t>S-1802</t>
  </si>
  <si>
    <t>S-1110</t>
  </si>
  <si>
    <t>S-1184</t>
  </si>
  <si>
    <t>S-633</t>
  </si>
  <si>
    <t>wan</t>
  </si>
  <si>
    <t>ika_5678@hotmail.com</t>
  </si>
  <si>
    <t xml:space="preserve">Muara Karang,Pluit Apartement
River Side Tower IIB CT 7/7</t>
  </si>
  <si>
    <t>S-2085</t>
  </si>
  <si>
    <t>stel.kawilarang@gmail.com</t>
  </si>
  <si>
    <t>6281290800313</t>
  </si>
  <si>
    <t>Jl. Nangka Selatan 161A Denpasar</t>
  </si>
  <si>
    <t>S-1453</t>
  </si>
  <si>
    <t>Sudjasmin</t>
  </si>
  <si>
    <t>62818888135</t>
  </si>
  <si>
    <t>Jl. Palem Kartika V no.18 Bambu Apus, Cipayung</t>
  </si>
  <si>
    <t>S-1512</t>
  </si>
  <si>
    <t>S-771</t>
  </si>
  <si>
    <t>sow1684@yahoo.com</t>
  </si>
  <si>
    <t>Taman Bugenvil Golf B3/4</t>
  </si>
  <si>
    <t>Bogor Lake Side</t>
  </si>
  <si>
    <t>S-1963</t>
  </si>
  <si>
    <t>6262626262</t>
  </si>
  <si>
    <t>S-1350</t>
  </si>
  <si>
    <t>S-1940</t>
  </si>
  <si>
    <t>Setyiadi</t>
  </si>
  <si>
    <t>vincentyastella@gmail.com</t>
  </si>
  <si>
    <t>+6287825272909</t>
  </si>
  <si>
    <t>S-338</t>
  </si>
  <si>
    <t>Puspitaloka Blok A5 No.12A BSD Tanggerang</t>
  </si>
  <si>
    <t>S-191</t>
  </si>
  <si>
    <t>Fransz</t>
  </si>
  <si>
    <t>S-1957</t>
  </si>
  <si>
    <t>6281586308888</t>
  </si>
  <si>
    <t>M-1421</t>
  </si>
  <si>
    <t>Stella.</t>
  </si>
  <si>
    <t>S-1740</t>
  </si>
  <si>
    <t>Stenberg</t>
  </si>
  <si>
    <t>Jayne</t>
  </si>
  <si>
    <t>S-1927</t>
  </si>
  <si>
    <t>Stepan</t>
  </si>
  <si>
    <t>+6281239808342</t>
  </si>
  <si>
    <t>S-834</t>
  </si>
  <si>
    <t>Stepanie</t>
  </si>
  <si>
    <t>Soewono</t>
  </si>
  <si>
    <t>S-192</t>
  </si>
  <si>
    <t>Komp. MPR No. 15</t>
  </si>
  <si>
    <t>S-297</t>
  </si>
  <si>
    <t>T-0793</t>
  </si>
  <si>
    <t>steph_standefer@yahoo.com</t>
  </si>
  <si>
    <t>628119331608</t>
  </si>
  <si>
    <t>S-609</t>
  </si>
  <si>
    <t>+628999227468</t>
  </si>
  <si>
    <t>S-1492</t>
  </si>
  <si>
    <t>S-1947</t>
  </si>
  <si>
    <t>stephanieangie@gmail.com</t>
  </si>
  <si>
    <t>62818808000</t>
  </si>
  <si>
    <t>St Regis Residence 30C Jakarta</t>
  </si>
  <si>
    <t>S-851</t>
  </si>
  <si>
    <t>Surjana</t>
  </si>
  <si>
    <t>S-1002</t>
  </si>
  <si>
    <t>S-1942</t>
  </si>
  <si>
    <t>62818229989</t>
  </si>
  <si>
    <t>S-1046</t>
  </si>
  <si>
    <t>S-1870</t>
  </si>
  <si>
    <t>setiawan.stephanie@yahoo.com</t>
  </si>
  <si>
    <t>APARTEMENT ROYAL MEDITERANIA GARDEN</t>
  </si>
  <si>
    <t>S-2032</t>
  </si>
  <si>
    <t>Stephanie Shayna</t>
  </si>
  <si>
    <t>Dos Santos</t>
  </si>
  <si>
    <t>stephanie_ds1@hotmail.com</t>
  </si>
  <si>
    <t>59995619053</t>
  </si>
  <si>
    <t>Netherland</t>
  </si>
  <si>
    <t>S-2067</t>
  </si>
  <si>
    <t>628117322822</t>
  </si>
  <si>
    <t>S-1977</t>
  </si>
  <si>
    <t>Tjendra</t>
  </si>
  <si>
    <t>stjend@yahoo.com</t>
  </si>
  <si>
    <t>+6281296662619</t>
  </si>
  <si>
    <t>S-0944</t>
  </si>
  <si>
    <t>S-1422</t>
  </si>
  <si>
    <t>Stephen</t>
  </si>
  <si>
    <t>S-576</t>
  </si>
  <si>
    <t>S-1102</t>
  </si>
  <si>
    <t>stephenleemd@gmail.com</t>
  </si>
  <si>
    <t>14155778363</t>
  </si>
  <si>
    <t>S-1168</t>
  </si>
  <si>
    <t>Jl.KH Hasyim Ashari 46E Jakarta</t>
  </si>
  <si>
    <t>S-857</t>
  </si>
  <si>
    <t>Stevanie</t>
  </si>
  <si>
    <t>Kemanggisan Raya Utama No. 50</t>
  </si>
  <si>
    <t>S-2117</t>
  </si>
  <si>
    <t>stevanieherlambang@gmail.com</t>
  </si>
  <si>
    <t>6281298124555</t>
  </si>
  <si>
    <t>1 Park Avenue Q 19 A</t>
  </si>
  <si>
    <t>S-1838</t>
  </si>
  <si>
    <t>Pluit Utara 4/17 Jakarta Utara</t>
  </si>
  <si>
    <t>S-390</t>
  </si>
  <si>
    <t>S-1208</t>
  </si>
  <si>
    <t>jl.kembang elok III H3/4</t>
  </si>
  <si>
    <t>S-1921</t>
  </si>
  <si>
    <t>stevanus86@gmail.com</t>
  </si>
  <si>
    <t>+81280091986</t>
  </si>
  <si>
    <t>S-196</t>
  </si>
  <si>
    <t>Steve</t>
  </si>
  <si>
    <t>S-543</t>
  </si>
  <si>
    <t>S-590</t>
  </si>
  <si>
    <t xml:space="preserve">Jl. Danau Permai Timur 3 No.17 C2
Sunter</t>
  </si>
  <si>
    <t>S-1654</t>
  </si>
  <si>
    <t>Yeofvine</t>
  </si>
  <si>
    <t>S-1782</t>
  </si>
  <si>
    <t>S-1812</t>
  </si>
  <si>
    <t>Graaff</t>
  </si>
  <si>
    <t>628118604967</t>
  </si>
  <si>
    <t>S-1067</t>
  </si>
  <si>
    <t>628155189369</t>
  </si>
  <si>
    <t>S-393</t>
  </si>
  <si>
    <t>6281298272721</t>
  </si>
  <si>
    <t>S-1489</t>
  </si>
  <si>
    <t>S-1423</t>
  </si>
  <si>
    <t>S-1861</t>
  </si>
  <si>
    <t>6281311328870</t>
  </si>
  <si>
    <t>Taman Permata buana,Jalan Pramuka 3Blok P3 No.32</t>
  </si>
  <si>
    <t>S-357</t>
  </si>
  <si>
    <t>S-1768</t>
  </si>
  <si>
    <t>steven julian wijaya@gmail.com</t>
  </si>
  <si>
    <t>Jl Gelong baru utara 2G No.18</t>
  </si>
  <si>
    <t>S-1700</t>
  </si>
  <si>
    <t>Kioe</t>
  </si>
  <si>
    <t>S-1612</t>
  </si>
  <si>
    <t>6281188800994</t>
  </si>
  <si>
    <t xml:space="preserve">Cluster Menaggio Barat 6 No.22, gading Serpong
15810</t>
  </si>
  <si>
    <t>S-1577</t>
  </si>
  <si>
    <t>S-2033</t>
  </si>
  <si>
    <t>Manyar Permai 8 V% no.6</t>
  </si>
  <si>
    <t>S-1289</t>
  </si>
  <si>
    <t>Oen</t>
  </si>
  <si>
    <t>steven_oen@yahoo.com</t>
  </si>
  <si>
    <t>S-1789</t>
  </si>
  <si>
    <t>Rain</t>
  </si>
  <si>
    <t>S-1580</t>
  </si>
  <si>
    <t>Reinaldo</t>
  </si>
  <si>
    <t>S-1819</t>
  </si>
  <si>
    <t>Serpong M Town Residences</t>
  </si>
  <si>
    <t>S-1657</t>
  </si>
  <si>
    <t>moto92haru@gmail.com</t>
  </si>
  <si>
    <t>Komplek Cemara Kuta 80 Medan 20245</t>
  </si>
  <si>
    <t>S-0891</t>
  </si>
  <si>
    <t>jantjandra@gmail.com</t>
  </si>
  <si>
    <t xml:space="preserve">Jl.Danau permai timur 3 no 17/c2 sunter
birthday 16/02/1983</t>
  </si>
  <si>
    <t>S-1884</t>
  </si>
  <si>
    <t>Casa De Ross Residence</t>
  </si>
  <si>
    <t>S-1514</t>
  </si>
  <si>
    <t>+62811192270</t>
  </si>
  <si>
    <t>S-1872</t>
  </si>
  <si>
    <t>Yanfieter</t>
  </si>
  <si>
    <t>Cluster Azalea 3 No. 100, Tangerang</t>
  </si>
  <si>
    <t>S-1092</t>
  </si>
  <si>
    <t>S-2071</t>
  </si>
  <si>
    <t>Stevans Naomi</t>
  </si>
  <si>
    <t>Leigh</t>
  </si>
  <si>
    <t>naomi.fry@esquisse.com</t>
  </si>
  <si>
    <t>+61419002043</t>
  </si>
  <si>
    <t>S-198</t>
  </si>
  <si>
    <t>Stevenson</t>
  </si>
  <si>
    <t>Wibisana</t>
  </si>
  <si>
    <t>Jl. Agung Jaya IV/No 36</t>
  </si>
  <si>
    <t>S-579</t>
  </si>
  <si>
    <t>Stevi</t>
  </si>
  <si>
    <t>S-2034</t>
  </si>
  <si>
    <t>Stevie</t>
  </si>
  <si>
    <t>stevie.lie179@gmail.com</t>
  </si>
  <si>
    <t>6262626262626262626262</t>
  </si>
  <si>
    <t>S-1212</t>
  </si>
  <si>
    <t>Stevy</t>
  </si>
  <si>
    <t>Octafa</t>
  </si>
  <si>
    <t>S-0921</t>
  </si>
  <si>
    <t>Tatimu</t>
  </si>
  <si>
    <t>S-558</t>
  </si>
  <si>
    <t>Stig</t>
  </si>
  <si>
    <t>Torvund</t>
  </si>
  <si>
    <t>S-2074</t>
  </si>
  <si>
    <t>Stone</t>
  </si>
  <si>
    <t>abigailstone95@gmail.com</t>
  </si>
  <si>
    <t>19144501454</t>
  </si>
  <si>
    <t>S-1990</t>
  </si>
  <si>
    <t>Stroikov</t>
  </si>
  <si>
    <t>79039690883</t>
  </si>
  <si>
    <t>S-1673</t>
  </si>
  <si>
    <t>Diplock</t>
  </si>
  <si>
    <t>S-2104</t>
  </si>
  <si>
    <t>Stupin</t>
  </si>
  <si>
    <t>7502924@gmail.com</t>
  </si>
  <si>
    <t>79036502924</t>
  </si>
  <si>
    <t>S-621</t>
  </si>
  <si>
    <t>sulang39@gmail.com</t>
  </si>
  <si>
    <t xml:space="preserve">Jl Jamblang 3a No 11
Duri Selatan Tambora</t>
  </si>
  <si>
    <t>S-0880</t>
  </si>
  <si>
    <t>Date Of Birth 18-09-1989</t>
  </si>
  <si>
    <t>S-648</t>
  </si>
  <si>
    <t>SU</t>
  </si>
  <si>
    <t>S-1873</t>
  </si>
  <si>
    <t>Yonglin</t>
  </si>
  <si>
    <t>S-455</t>
  </si>
  <si>
    <t>S-2039</t>
  </si>
  <si>
    <t>345617750@qq.com</t>
  </si>
  <si>
    <t>8615044068889</t>
  </si>
  <si>
    <t>S-698</t>
  </si>
  <si>
    <t>Suandi</t>
  </si>
  <si>
    <t>suandi.bsdcity@gmail.com</t>
  </si>
  <si>
    <t>628176883965</t>
  </si>
  <si>
    <t>Jalan Menggala no.60</t>
  </si>
  <si>
    <t>S-879</t>
  </si>
  <si>
    <t>Suarzi</t>
  </si>
  <si>
    <t>S-383</t>
  </si>
  <si>
    <t>Subhan</t>
  </si>
  <si>
    <t>S-199</t>
  </si>
  <si>
    <t>S-1133</t>
  </si>
  <si>
    <t>S-1928</t>
  </si>
  <si>
    <t>Fuja Lestari</t>
  </si>
  <si>
    <t>6281222226442</t>
  </si>
  <si>
    <t>S-201</t>
  </si>
  <si>
    <t>S-2008</t>
  </si>
  <si>
    <t>sucinirmala@yahho.com</t>
  </si>
  <si>
    <t>628121488801</t>
  </si>
  <si>
    <t>Batutunggal Indah VII No.51A</t>
  </si>
  <si>
    <t>S-1415</t>
  </si>
  <si>
    <t>Rahmadona</t>
  </si>
  <si>
    <t>S-1532</t>
  </si>
  <si>
    <t>Romadhona</t>
  </si>
  <si>
    <t>JL. Batu Zamrut non41 Pulomas Jakarta timur</t>
  </si>
  <si>
    <t>S-811</t>
  </si>
  <si>
    <t>Sulistyaningsih</t>
  </si>
  <si>
    <t>sulistyaningsihsuci@gmail.com</t>
  </si>
  <si>
    <t xml:space="preserve">Apartment Semanggi 
JL. Jendral Gatot Subroto no 53B 
Lt 8/13</t>
  </si>
  <si>
    <t>DKI JAkarta</t>
  </si>
  <si>
    <t>S-1373</t>
  </si>
  <si>
    <t>Winasti</t>
  </si>
  <si>
    <t xml:space="preserve">Jln Pondok Indah N0. 28 RT 003/010
Rempoa Ciputat Timur</t>
  </si>
  <si>
    <t>S-1349</t>
  </si>
  <si>
    <t>Sucianti</t>
  </si>
  <si>
    <t>Suaib Saenong</t>
  </si>
  <si>
    <t>suciantisuaib@yahoo.com</t>
  </si>
  <si>
    <t>+62811444441</t>
  </si>
  <si>
    <t xml:space="preserve">Kebayoran,Simprug
Jakarta Selatan</t>
  </si>
  <si>
    <t>S-1130</t>
  </si>
  <si>
    <t>Sucie</t>
  </si>
  <si>
    <t>S-1667</t>
  </si>
  <si>
    <t>S-533</t>
  </si>
  <si>
    <t>Suda</t>
  </si>
  <si>
    <t xml:space="preserve">Jl. Angke Raya 7 no40A 
Jkt 11330</t>
  </si>
  <si>
    <t>S-0970</t>
  </si>
  <si>
    <t>Sudarman</t>
  </si>
  <si>
    <t>S-1301</t>
  </si>
  <si>
    <t>S-546</t>
  </si>
  <si>
    <t>Sudiman</t>
  </si>
  <si>
    <t>S-1916</t>
  </si>
  <si>
    <t>Sudini</t>
  </si>
  <si>
    <t>sudiniharsono1@gmail.com</t>
  </si>
  <si>
    <t>+62811859676</t>
  </si>
  <si>
    <t>S-689</t>
  </si>
  <si>
    <t>Sufang</t>
  </si>
  <si>
    <t>S-2000</t>
  </si>
  <si>
    <t>Sufilia</t>
  </si>
  <si>
    <t>sofigunawan@yahoo.com</t>
  </si>
  <si>
    <t>+6282299223553</t>
  </si>
  <si>
    <t>Pedurenan Masjid Raya No. 73, Kuningan 12940</t>
  </si>
  <si>
    <t>S-765</t>
  </si>
  <si>
    <t>Sufli</t>
  </si>
  <si>
    <t>sufli-ys@yahoo.com</t>
  </si>
  <si>
    <t xml:space="preserve">JL. Duta II No. 46B 
Belakang Kelurahan Duri Kopa, Jakarta-Barat</t>
  </si>
  <si>
    <t>S-1114</t>
  </si>
  <si>
    <t>S-461</t>
  </si>
  <si>
    <t>Dwiyono</t>
  </si>
  <si>
    <t>S-493</t>
  </si>
  <si>
    <t>S-2125</t>
  </si>
  <si>
    <t>bimbim.sindangsari993@gmail.com</t>
  </si>
  <si>
    <t>6281350451823</t>
  </si>
  <si>
    <t>S-330</t>
  </si>
  <si>
    <t>Sulastiono</t>
  </si>
  <si>
    <t xml:space="preserve">The Green Blossom Ville
BSD city</t>
  </si>
  <si>
    <t>S-793</t>
  </si>
  <si>
    <t>Suparwoto</t>
  </si>
  <si>
    <t xml:space="preserve">Green Andara Residance . blok b1/02 
pangkalan jatibaru
cinere jawa barat</t>
  </si>
  <si>
    <t>S-1413</t>
  </si>
  <si>
    <t>Sugi</t>
  </si>
  <si>
    <t>S-1557</t>
  </si>
  <si>
    <t>S-495</t>
  </si>
  <si>
    <t>S-205</t>
  </si>
  <si>
    <t>Redjeki</t>
  </si>
  <si>
    <t>JL. P. Matahari A8/27</t>
  </si>
  <si>
    <t>S-391</t>
  </si>
  <si>
    <t>Iriadi</t>
  </si>
  <si>
    <t>S-206</t>
  </si>
  <si>
    <t>Moechammad</t>
  </si>
  <si>
    <t>Indonesia Stock Exchange Building Tower 1, 18th -22nd Floor</t>
  </si>
  <si>
    <t>Jl. Jendral Sudirman Kav. 52</t>
  </si>
  <si>
    <t>S-1124</t>
  </si>
  <si>
    <t>S-207</t>
  </si>
  <si>
    <t>Sugihadjo</t>
  </si>
  <si>
    <t>S-2002</t>
  </si>
  <si>
    <t>Sugiharti</t>
  </si>
  <si>
    <t>+628126075800</t>
  </si>
  <si>
    <t xml:space="preserve">The Residences of Dharmawangsa 2 #2309
Sebelah Hotel Dharmawangsa
Dharmawangsa Raya No.39 Kebayoran Baru.</t>
  </si>
  <si>
    <t>S-208</t>
  </si>
  <si>
    <t>Darmakusuma</t>
  </si>
  <si>
    <t>6th Fl.  Manggala Wanabakti IV</t>
  </si>
  <si>
    <t>S-1710</t>
  </si>
  <si>
    <t>S-379</t>
  </si>
  <si>
    <t>S-1214</t>
  </si>
  <si>
    <t>Sugihnata</t>
  </si>
  <si>
    <t>6281808690989</t>
  </si>
  <si>
    <t>S-1564</t>
  </si>
  <si>
    <t>S-298</t>
  </si>
  <si>
    <t>S-1459</t>
  </si>
  <si>
    <t>Sugiyana</t>
  </si>
  <si>
    <t>S-1950</t>
  </si>
  <si>
    <t>Suha</t>
  </si>
  <si>
    <t>Abusuliman</t>
  </si>
  <si>
    <t>suha.abusuliman@gmail.com</t>
  </si>
  <si>
    <t>9666505289856</t>
  </si>
  <si>
    <t>S-452</t>
  </si>
  <si>
    <t>S-740</t>
  </si>
  <si>
    <t>Suhadibroto</t>
  </si>
  <si>
    <t>S-210</t>
  </si>
  <si>
    <t>Suhaibi</t>
  </si>
  <si>
    <t>Hz</t>
  </si>
  <si>
    <t>Raffles Hill Blok K3 No.2</t>
  </si>
  <si>
    <t>S-285</t>
  </si>
  <si>
    <t>Suhaimi</t>
  </si>
  <si>
    <t>N-127</t>
  </si>
  <si>
    <t>suhaimi</t>
  </si>
  <si>
    <t>S-1620</t>
  </si>
  <si>
    <t>S-346</t>
  </si>
  <si>
    <t>S-1508</t>
  </si>
  <si>
    <t>Duka</t>
  </si>
  <si>
    <t>S-545</t>
  </si>
  <si>
    <t>Suharni</t>
  </si>
  <si>
    <t xml:space="preserve">Pekayon Jaya No.90A
RT04/03</t>
  </si>
  <si>
    <t>Bekasi 17148</t>
  </si>
  <si>
    <t>S-211</t>
  </si>
  <si>
    <t>Suharta</t>
  </si>
  <si>
    <t>16th Fl. Menara Imperium LT. 16 B</t>
  </si>
  <si>
    <t>Jl. HR. Rasuna Said Kav. 1</t>
  </si>
  <si>
    <t>S-1248</t>
  </si>
  <si>
    <t>Suharti</t>
  </si>
  <si>
    <t>S-1602</t>
  </si>
  <si>
    <t>H-579</t>
  </si>
  <si>
    <t>jl Jend Gatot Subroto Kav 58 Pancoran</t>
  </si>
  <si>
    <t>S-1836</t>
  </si>
  <si>
    <t>hermandjeremi@yahoo.co.id</t>
  </si>
  <si>
    <t>S-214</t>
  </si>
  <si>
    <t>Jl. Renggganis 14</t>
  </si>
  <si>
    <t>S-213</t>
  </si>
  <si>
    <t>S-1458</t>
  </si>
  <si>
    <t>Suherty</t>
  </si>
  <si>
    <t>6281584045755</t>
  </si>
  <si>
    <t>Jl.Pasir Dalam 3 No.55A,Ciganjur, Jak Sel</t>
  </si>
  <si>
    <t>S-1033</t>
  </si>
  <si>
    <t>Sui</t>
  </si>
  <si>
    <t>Kieng</t>
  </si>
  <si>
    <t xml:space="preserve">Jln.Kartini X No.56N
Kel. Kartini Kec. Sawah Besar</t>
  </si>
  <si>
    <t>S-466</t>
  </si>
  <si>
    <t>Sujanti</t>
  </si>
  <si>
    <t>Tritena</t>
  </si>
  <si>
    <t>S-1686</t>
  </si>
  <si>
    <t>Sujeong</t>
  </si>
  <si>
    <t>S-492</t>
  </si>
  <si>
    <t>Suji</t>
  </si>
  <si>
    <t>S-1510</t>
  </si>
  <si>
    <t>Sujin</t>
  </si>
  <si>
    <t>+628111225322</t>
  </si>
  <si>
    <t>Lippo Karawaci Tanggerang</t>
  </si>
  <si>
    <t>S-2040</t>
  </si>
  <si>
    <t>Sujiwanto</t>
  </si>
  <si>
    <t>62811104131</t>
  </si>
  <si>
    <t>S-1241</t>
  </si>
  <si>
    <t>Sujoko</t>
  </si>
  <si>
    <t>Winanto</t>
  </si>
  <si>
    <t>S-339</t>
  </si>
  <si>
    <t>S-1221</t>
  </si>
  <si>
    <t>Sukamdi</t>
  </si>
  <si>
    <t>S-217</t>
  </si>
  <si>
    <t>Sukanti</t>
  </si>
  <si>
    <t>M-1461</t>
  </si>
  <si>
    <t>Sukar</t>
  </si>
  <si>
    <t>Sono.</t>
  </si>
  <si>
    <t>S-557</t>
  </si>
  <si>
    <t>suk4rd1@hotmail.com</t>
  </si>
  <si>
    <t>S-1766</t>
  </si>
  <si>
    <t>Sukhoruchkina</t>
  </si>
  <si>
    <t>S-871</t>
  </si>
  <si>
    <t>Sukii</t>
  </si>
  <si>
    <t>S-1703</t>
  </si>
  <si>
    <t>Sukimto</t>
  </si>
  <si>
    <t>Sjamsuli</t>
  </si>
  <si>
    <t>S-779</t>
  </si>
  <si>
    <t>sukmadewi60@yahoo.com</t>
  </si>
  <si>
    <t xml:space="preserve">Bintaro Jaya Sektor 7 
Bukit Menteng BME01</t>
  </si>
  <si>
    <t>S-1502</t>
  </si>
  <si>
    <t>Sanita</t>
  </si>
  <si>
    <t>6281977997999</t>
  </si>
  <si>
    <t>S-1764</t>
  </si>
  <si>
    <t>Sukowati</t>
  </si>
  <si>
    <t>S-221</t>
  </si>
  <si>
    <t>Sosrodjoyo</t>
  </si>
  <si>
    <t>sko@rekso.com</t>
  </si>
  <si>
    <t>08111928100</t>
  </si>
  <si>
    <t>Tampak Siring Indah 41/43, Bukit Gading-Villa-Kelapa Gading</t>
  </si>
  <si>
    <t>S-222</t>
  </si>
  <si>
    <t>Sukresno</t>
  </si>
  <si>
    <t>Jl. Letjen Suprapto Cempaka Putih</t>
  </si>
  <si>
    <t>Pusat Niaga Cempaka Mas Blok N/23</t>
  </si>
  <si>
    <t>S-1216</t>
  </si>
  <si>
    <t>Sulaeha Nur</t>
  </si>
  <si>
    <t>Gregoria</t>
  </si>
  <si>
    <t>628111836128</t>
  </si>
  <si>
    <t>S-2048</t>
  </si>
  <si>
    <t>628138111711</t>
  </si>
  <si>
    <t>S-1642</t>
  </si>
  <si>
    <t>Sufi</t>
  </si>
  <si>
    <t>S-1587</t>
  </si>
  <si>
    <t>Sulastri</t>
  </si>
  <si>
    <t>S-1000</t>
  </si>
  <si>
    <t>Sulfiah</t>
  </si>
  <si>
    <t>ambardy</t>
  </si>
  <si>
    <t>S-1080</t>
  </si>
  <si>
    <t>Suli</t>
  </si>
  <si>
    <t xml:space="preserve">JL.KAMPAR NO.17B CIDENG BARAT 
JAKPUS
10150</t>
  </si>
  <si>
    <t>S-1229</t>
  </si>
  <si>
    <t>Suliana</t>
  </si>
  <si>
    <t>S-1519</t>
  </si>
  <si>
    <t>S-0957</t>
  </si>
  <si>
    <t>Sulianti</t>
  </si>
  <si>
    <t>S-843</t>
  </si>
  <si>
    <t>Limbono</t>
  </si>
  <si>
    <t>S-371</t>
  </si>
  <si>
    <t>Sulinati</t>
  </si>
  <si>
    <t>Aripin</t>
  </si>
  <si>
    <t>S-225</t>
  </si>
  <si>
    <t>Sulinaty</t>
  </si>
  <si>
    <t>BEJ Tower 2 Lt.6</t>
  </si>
  <si>
    <t>S-1117</t>
  </si>
  <si>
    <t>Sulislowati</t>
  </si>
  <si>
    <t xml:space="preserve">Apt.Mangga Dua Court Rt.006/012 
Kel Mangga Dua Selatan</t>
  </si>
  <si>
    <t>S-2089</t>
  </si>
  <si>
    <t>Sulistiandriatmoko</t>
  </si>
  <si>
    <t>truly_sulis@gmail.com</t>
  </si>
  <si>
    <t>081186691</t>
  </si>
  <si>
    <t>Vila Dago Tol Blok G1/ 8, Sarua, Ciputat, Tangerang Selatan</t>
  </si>
  <si>
    <t>S-385</t>
  </si>
  <si>
    <t>S-1994</t>
  </si>
  <si>
    <t>Rakhmadi</t>
  </si>
  <si>
    <t>brakhmadi@gmail.com</t>
  </si>
  <si>
    <t>S-0966</t>
  </si>
  <si>
    <t>Buddyarto</t>
  </si>
  <si>
    <t>S-1335</t>
  </si>
  <si>
    <t>Suliyanti/</t>
  </si>
  <si>
    <t>C-0403</t>
  </si>
  <si>
    <t>Sulki</t>
  </si>
  <si>
    <t xml:space="preserve">PACIFIC PLACE APARTMENT TOWER 1 NO 10B
SCBD - JAKARTA SELATAN</t>
  </si>
  <si>
    <t>S-1299</t>
  </si>
  <si>
    <t>Sully</t>
  </si>
  <si>
    <t>Suharjo</t>
  </si>
  <si>
    <t>628158744464</t>
  </si>
  <si>
    <t>Tebet Timur Dalam III L No.1</t>
  </si>
  <si>
    <t>S-1709</t>
  </si>
  <si>
    <t>Sultan</t>
  </si>
  <si>
    <t>Alqahtani</t>
  </si>
  <si>
    <t>S-2045</t>
  </si>
  <si>
    <t>S-1574</t>
  </si>
  <si>
    <t>Tio</t>
  </si>
  <si>
    <t>S-1677</t>
  </si>
  <si>
    <t>Sulviria</t>
  </si>
  <si>
    <t>sulviria@gmail.com</t>
  </si>
  <si>
    <t>+628121078434</t>
  </si>
  <si>
    <t xml:space="preserve">Perumahan Mutiara depok Blok FA no.1
DEPOK - 16412</t>
  </si>
  <si>
    <t>S-509</t>
  </si>
  <si>
    <t>Suma</t>
  </si>
  <si>
    <t>S-671</t>
  </si>
  <si>
    <t>Sumadi</t>
  </si>
  <si>
    <t>Jl.Radio dalam raya No.100</t>
  </si>
  <si>
    <t>S-372</t>
  </si>
  <si>
    <t xml:space="preserve">Citra Grand Blok S6 No 6
Bekasi</t>
  </si>
  <si>
    <t>S-1946</t>
  </si>
  <si>
    <t>Sumali</t>
  </si>
  <si>
    <t>6282124131618</t>
  </si>
  <si>
    <t>S-226</t>
  </si>
  <si>
    <t>S-1967</t>
  </si>
  <si>
    <t>6281514361983</t>
  </si>
  <si>
    <t>Cempaka Putih Tengah NO.27</t>
  </si>
  <si>
    <t>S-227</t>
  </si>
  <si>
    <t>Sumana</t>
  </si>
  <si>
    <t>Jl. Pandeglang 36</t>
  </si>
  <si>
    <t>S-1544</t>
  </si>
  <si>
    <t xml:space="preserve">Jln Layar Permai 5 No.9
Pantai Indah Kapuk
jak Ut 14460</t>
  </si>
  <si>
    <t>S-1276</t>
  </si>
  <si>
    <t>Sumarinah</t>
  </si>
  <si>
    <t>S-1363</t>
  </si>
  <si>
    <t>Sumarlin</t>
  </si>
  <si>
    <t>S-1672</t>
  </si>
  <si>
    <t>Sumarno</t>
  </si>
  <si>
    <t>Onggo</t>
  </si>
  <si>
    <t>S-229</t>
  </si>
  <si>
    <t>Sumarthin</t>
  </si>
  <si>
    <t>S-230</t>
  </si>
  <si>
    <t>Sumaryani</t>
  </si>
  <si>
    <t>S-1165</t>
  </si>
  <si>
    <t>Sumaryoto</t>
  </si>
  <si>
    <t>S-723</t>
  </si>
  <si>
    <t>S-541</t>
  </si>
  <si>
    <t>Sumeni</t>
  </si>
  <si>
    <t>sumeniatmadja@yahoo.co.id</t>
  </si>
  <si>
    <t>Perum Kosambi Baru E1/21 Cengkareng 11750</t>
  </si>
  <si>
    <t>S-1231</t>
  </si>
  <si>
    <t>Sumiani</t>
  </si>
  <si>
    <t>S-1352</t>
  </si>
  <si>
    <t>Sumiarsih</t>
  </si>
  <si>
    <t>S-2101</t>
  </si>
  <si>
    <t>Sumiati</t>
  </si>
  <si>
    <t>628158785478</t>
  </si>
  <si>
    <t>S-1467</t>
  </si>
  <si>
    <t>+62816878735</t>
  </si>
  <si>
    <t>S-1432</t>
  </si>
  <si>
    <t>Sumihar</t>
  </si>
  <si>
    <t>S-1626</t>
  </si>
  <si>
    <t>S-1334</t>
  </si>
  <si>
    <t>S-1611</t>
  </si>
  <si>
    <t>Pakubuwono View Apt.City</t>
  </si>
  <si>
    <t>S-1992</t>
  </si>
  <si>
    <t>Fengzhi</t>
  </si>
  <si>
    <t>+628</t>
  </si>
  <si>
    <t>S-1753</t>
  </si>
  <si>
    <t>SUN</t>
  </si>
  <si>
    <t>FU</t>
  </si>
  <si>
    <t>S-1867</t>
  </si>
  <si>
    <t>Sue</t>
  </si>
  <si>
    <t>myjabong22@gmail.com</t>
  </si>
  <si>
    <t>821057329847</t>
  </si>
  <si>
    <t>S-1401</t>
  </si>
  <si>
    <t>Liumei</t>
  </si>
  <si>
    <t>S-1820</t>
  </si>
  <si>
    <t>Sun suna</t>
  </si>
  <si>
    <t>6281285212323</t>
  </si>
  <si>
    <t>S-2016</t>
  </si>
  <si>
    <t>Wa</t>
  </si>
  <si>
    <t>nelsonwwsung@yahoo.co.hk</t>
  </si>
  <si>
    <t>S-2102</t>
  </si>
  <si>
    <t>Wanjing</t>
  </si>
  <si>
    <t>1277555888@qq.com</t>
  </si>
  <si>
    <t>+18643130555</t>
  </si>
  <si>
    <t>S-1055</t>
  </si>
  <si>
    <t>234078277@qq.com</t>
  </si>
  <si>
    <t>S-1743</t>
  </si>
  <si>
    <t>S-1939</t>
  </si>
  <si>
    <t>Sun Young</t>
  </si>
  <si>
    <t>62819703665</t>
  </si>
  <si>
    <t>S-1863</t>
  </si>
  <si>
    <t>namsuz0817@gmail.com</t>
  </si>
  <si>
    <t>6281284463314</t>
  </si>
  <si>
    <t xml:space="preserve">KEMANG VILLAGE TOWER RITZ 1805
KEMANG - JAK SEL</t>
  </si>
  <si>
    <t>S-1951</t>
  </si>
  <si>
    <t>Park Ae</t>
  </si>
  <si>
    <t>sicckakek@naver.com</t>
  </si>
  <si>
    <t>+628161803496</t>
  </si>
  <si>
    <t>S-2113</t>
  </si>
  <si>
    <t>Sun,</t>
  </si>
  <si>
    <t>1607223448@qq.com</t>
  </si>
  <si>
    <t>+8613311669718</t>
  </si>
  <si>
    <t>Liaoning</t>
  </si>
  <si>
    <t>L-1678</t>
  </si>
  <si>
    <t>linasunjp@gmail.com</t>
  </si>
  <si>
    <t>819099763316</t>
  </si>
  <si>
    <t>S-1894</t>
  </si>
  <si>
    <t>Maoshuai</t>
  </si>
  <si>
    <t>664024861@qq.com</t>
  </si>
  <si>
    <t>S-2038</t>
  </si>
  <si>
    <t>Qiaoling</t>
  </si>
  <si>
    <t>381516535@qq.com</t>
  </si>
  <si>
    <t>+8613424349392</t>
  </si>
  <si>
    <t>HUBEI</t>
  </si>
  <si>
    <t>S-2091</t>
  </si>
  <si>
    <t>suny08410@gmail.com</t>
  </si>
  <si>
    <t>8615317522016</t>
  </si>
  <si>
    <t>S-2019</t>
  </si>
  <si>
    <t>Yusi</t>
  </si>
  <si>
    <t>claire.sun@outlook.com</t>
  </si>
  <si>
    <t>+12016878975</t>
  </si>
  <si>
    <t>S-1141</t>
  </si>
  <si>
    <t>Sunandi</t>
  </si>
  <si>
    <t>abiliem35@gmail.com</t>
  </si>
  <si>
    <t xml:space="preserve">Calgary UE5/39
Cileungsi</t>
  </si>
  <si>
    <t>S-1829</t>
  </si>
  <si>
    <t>Sunani</t>
  </si>
  <si>
    <t>Soewandi</t>
  </si>
  <si>
    <t>sunanisoewandi@gmail.com</t>
  </si>
  <si>
    <t>+6281584001115</t>
  </si>
  <si>
    <t>S-232</t>
  </si>
  <si>
    <t>S-1495</t>
  </si>
  <si>
    <t>Sunarni</t>
  </si>
  <si>
    <t>+62816827170</t>
  </si>
  <si>
    <t>S-370</t>
  </si>
  <si>
    <t>S-233</t>
  </si>
  <si>
    <t>S-1525</t>
  </si>
  <si>
    <t>S-401</t>
  </si>
  <si>
    <t>Bukit Pakar Timur 25</t>
  </si>
  <si>
    <t>S-1964</t>
  </si>
  <si>
    <t>628126075452</t>
  </si>
  <si>
    <t>S-1578</t>
  </si>
  <si>
    <t>Sundip</t>
  </si>
  <si>
    <t>Dundushiya</t>
  </si>
  <si>
    <t>S-2121</t>
  </si>
  <si>
    <t>Sung Hi</t>
  </si>
  <si>
    <t>sunghiprk@gmail.com</t>
  </si>
  <si>
    <t>61421112320</t>
  </si>
  <si>
    <t>S-1570</t>
  </si>
  <si>
    <t>S-1761</t>
  </si>
  <si>
    <t>Reunmo</t>
  </si>
  <si>
    <t>S-2017</t>
  </si>
  <si>
    <t>Wai Wa</t>
  </si>
  <si>
    <t>+85291946807</t>
  </si>
  <si>
    <t>S-234</t>
  </si>
  <si>
    <t>Sick</t>
  </si>
  <si>
    <t>Pakubuwono Apt. Cotton Wood Tower C #17F</t>
  </si>
  <si>
    <t>S-2050</t>
  </si>
  <si>
    <t>Tai-Wei</t>
  </si>
  <si>
    <t>2240637814@qq.com</t>
  </si>
  <si>
    <t>886932028904</t>
  </si>
  <si>
    <t>S-1682</t>
  </si>
  <si>
    <t>Sung-Keun</t>
  </si>
  <si>
    <t>S-1042</t>
  </si>
  <si>
    <t>Sungah</t>
  </si>
  <si>
    <t>S-2110</t>
  </si>
  <si>
    <t>Sunghwan</t>
  </si>
  <si>
    <t>6281110101950</t>
  </si>
  <si>
    <t>S-1326</t>
  </si>
  <si>
    <t>Sunho</t>
  </si>
  <si>
    <t>+628119774507</t>
  </si>
  <si>
    <t>S-235</t>
  </si>
  <si>
    <t>Sunichi</t>
  </si>
  <si>
    <t>Nishizawa</t>
  </si>
  <si>
    <t xml:space="preserve">5-10-19 Matsubara Setagaya Ku
Tokyo Japan</t>
  </si>
  <si>
    <t>S-236</t>
  </si>
  <si>
    <t>Sunil</t>
  </si>
  <si>
    <t>S-0893</t>
  </si>
  <si>
    <t>Sunindyo</t>
  </si>
  <si>
    <t>tanjung mas raya blok a10 no 10 tanjung mas jaksel</t>
  </si>
  <si>
    <t>S-1739</t>
  </si>
  <si>
    <t>Sunita</t>
  </si>
  <si>
    <t>S-1724</t>
  </si>
  <si>
    <t>lakhiani</t>
  </si>
  <si>
    <t>S-773</t>
  </si>
  <si>
    <t>Sunnle</t>
  </si>
  <si>
    <t>Apt. Kemayoran</t>
  </si>
  <si>
    <t>S-1856</t>
  </si>
  <si>
    <t>Sunhee</t>
  </si>
  <si>
    <t>6285290185147</t>
  </si>
  <si>
    <t>S-1314</t>
  </si>
  <si>
    <t>Sunny</t>
  </si>
  <si>
    <t>Bun.Sunny@yahoo.com</t>
  </si>
  <si>
    <t>S-1358</t>
  </si>
  <si>
    <t>081519199191</t>
  </si>
  <si>
    <t>S-547</t>
  </si>
  <si>
    <t>sunnyz2003@hotmail.com</t>
  </si>
  <si>
    <t xml:space="preserve">Jl. Duri Selatan III No.27A/B 
RT 003/02</t>
  </si>
  <si>
    <t>S-300</t>
  </si>
  <si>
    <t>Suntoro</t>
  </si>
  <si>
    <t>S-349</t>
  </si>
  <si>
    <t>S-479</t>
  </si>
  <si>
    <t>Suphannika</t>
  </si>
  <si>
    <t>Pearman</t>
  </si>
  <si>
    <t>S-240</t>
  </si>
  <si>
    <t>Suprati</t>
  </si>
  <si>
    <t>Jl. Green Garden A11 No. 11</t>
  </si>
  <si>
    <t>S-1311</t>
  </si>
  <si>
    <t>Supratman</t>
  </si>
  <si>
    <t>S-0923</t>
  </si>
  <si>
    <t>Supriandy</t>
  </si>
  <si>
    <t>S-1429</t>
  </si>
  <si>
    <t>Supriatno</t>
  </si>
  <si>
    <t>S-1639</t>
  </si>
  <si>
    <t>Suprijantono</t>
  </si>
  <si>
    <t>S-377</t>
  </si>
  <si>
    <t>Supriyana</t>
  </si>
  <si>
    <t>S-603</t>
  </si>
  <si>
    <t>Supriyatin</t>
  </si>
  <si>
    <t>S-1984</t>
  </si>
  <si>
    <t>Surendra</t>
  </si>
  <si>
    <t>Menon</t>
  </si>
  <si>
    <t>628118656461</t>
  </si>
  <si>
    <t>S-382</t>
  </si>
  <si>
    <t>Surijawati</t>
  </si>
  <si>
    <t>Sumihardjo</t>
  </si>
  <si>
    <t xml:space="preserve">Pantai Indah Kapuk
Jl. Kano Permai  4 No.24</t>
  </si>
  <si>
    <t>S-0942</t>
  </si>
  <si>
    <t>Surjati</t>
  </si>
  <si>
    <t>+62811816777</t>
  </si>
  <si>
    <t xml:space="preserve">Springhill Residence Blok GH2 No.56
Kemayoran</t>
  </si>
  <si>
    <t>S-649</t>
  </si>
  <si>
    <t>Surjatini</t>
  </si>
  <si>
    <t>S-614</t>
  </si>
  <si>
    <t>Surjawaty</t>
  </si>
  <si>
    <t>watitatang@yahoo.com</t>
  </si>
  <si>
    <t>Taman kebon jeruk blok Q1/59</t>
  </si>
  <si>
    <t>S-1650</t>
  </si>
  <si>
    <t>Surjo</t>
  </si>
  <si>
    <t>S-1549</t>
  </si>
  <si>
    <t>Surpani</t>
  </si>
  <si>
    <t xml:space="preserve">A WAHAB SYAHRANI BLOK M RA
SAMARINDA 75122</t>
  </si>
  <si>
    <t>S-1378</t>
  </si>
  <si>
    <t>Surti</t>
  </si>
  <si>
    <t>BHR V20</t>
  </si>
  <si>
    <t>S-320</t>
  </si>
  <si>
    <t>Surtini</t>
  </si>
  <si>
    <t>Sukirna</t>
  </si>
  <si>
    <t>S-1298</t>
  </si>
  <si>
    <t>Sururi</t>
  </si>
  <si>
    <t>Haque</t>
  </si>
  <si>
    <t>S-0959</t>
  </si>
  <si>
    <t>Surver</t>
  </si>
  <si>
    <t>Alvonsus</t>
  </si>
  <si>
    <t>S-682</t>
  </si>
  <si>
    <t>S-398</t>
  </si>
  <si>
    <t>S-656</t>
  </si>
  <si>
    <t>S-757</t>
  </si>
  <si>
    <t>JL. KENDARI GOLF 5 NO.59</t>
  </si>
  <si>
    <t>S-1247</t>
  </si>
  <si>
    <t>Afan</t>
  </si>
  <si>
    <t>S-795</t>
  </si>
  <si>
    <t>S-1599</t>
  </si>
  <si>
    <t>S-1385</t>
  </si>
  <si>
    <t xml:space="preserve">Taman Kedoya Permai A8
Jakarta Barat</t>
  </si>
  <si>
    <t>S-1655</t>
  </si>
  <si>
    <t>suryanadut@gmail.com</t>
  </si>
  <si>
    <t>S-1658</t>
  </si>
  <si>
    <t>suryanitjoa1964@gmail.com</t>
  </si>
  <si>
    <t>Thamrin Dalam NO 3A Tebing Tinggi Medan</t>
  </si>
  <si>
    <t>S-323</t>
  </si>
  <si>
    <t>S-523</t>
  </si>
  <si>
    <t>628122489999</t>
  </si>
  <si>
    <t>Jl. Kartini No. 21, Cirebon</t>
  </si>
  <si>
    <t>S-376</t>
  </si>
  <si>
    <t>Suryaningsih</t>
  </si>
  <si>
    <t>Subeno</t>
  </si>
  <si>
    <t>S-310</t>
  </si>
  <si>
    <t>S-827</t>
  </si>
  <si>
    <t>S-1482</t>
  </si>
  <si>
    <t>Suryarintin</t>
  </si>
  <si>
    <t>S-245</t>
  </si>
  <si>
    <t>Suryasin</t>
  </si>
  <si>
    <t>Jl. Siena 12</t>
  </si>
  <si>
    <t>S-1116</t>
  </si>
  <si>
    <t>sgunadi@hotmail.com</t>
  </si>
  <si>
    <t xml:space="preserve">Green Garden Blok D2/12
RT002/009
KEDOYA UTARA
KEBON JERUK 11520</t>
  </si>
  <si>
    <t>S-453</t>
  </si>
  <si>
    <t>Moerwibowo</t>
  </si>
  <si>
    <t>Jl. Tirtayasa Raya no 26</t>
  </si>
  <si>
    <t>S-1855</t>
  </si>
  <si>
    <t>Munawaroh</t>
  </si>
  <si>
    <t>+62895809472030</t>
  </si>
  <si>
    <t>Rainbow Spring Condo G11-P01</t>
  </si>
  <si>
    <t>15332</t>
  </si>
  <si>
    <t>S-1685</t>
  </si>
  <si>
    <t>Suryawan</t>
  </si>
  <si>
    <t>S-859</t>
  </si>
  <si>
    <t>Suryawati</t>
  </si>
  <si>
    <t>Sutemi</t>
  </si>
  <si>
    <t>+628119469961</t>
  </si>
  <si>
    <t>Puri Kemayoran Apartment Tower 2/25A Jl. Landasan Pacu Selatan, Kota Baru Bandar Kemayoran - Jakarta Pusat (Sebrang Grand Mercure Kemayoran)</t>
  </si>
  <si>
    <t>S-1061</t>
  </si>
  <si>
    <t>S-430</t>
  </si>
  <si>
    <t>Pratomo</t>
  </si>
  <si>
    <t>S-478</t>
  </si>
  <si>
    <t>S-404</t>
  </si>
  <si>
    <t>S-815</t>
  </si>
  <si>
    <t>S-248</t>
  </si>
  <si>
    <t>Bahtiar</t>
  </si>
  <si>
    <t>JL. Daan Mogot 7 No.7</t>
  </si>
  <si>
    <t>S-1152</t>
  </si>
  <si>
    <t>S-1571</t>
  </si>
  <si>
    <t>S-1899</t>
  </si>
  <si>
    <t>ms.susanlo@gmail.com</t>
  </si>
  <si>
    <t>087871447879</t>
  </si>
  <si>
    <t xml:space="preserve">GADING SERPONG, JL TOPAZ TIMUR 5 NO.28
TANGERANG 15332</t>
  </si>
  <si>
    <t>S-1728</t>
  </si>
  <si>
    <t>S-1579</t>
  </si>
  <si>
    <t>pejaten</t>
  </si>
  <si>
    <t>S-1771</t>
  </si>
  <si>
    <t>Tasdin</t>
  </si>
  <si>
    <t>susantasdin999@gmail.com</t>
  </si>
  <si>
    <t>S-252</t>
  </si>
  <si>
    <t>S-764</t>
  </si>
  <si>
    <t>Tedjadinata</t>
  </si>
  <si>
    <t>S-1687</t>
  </si>
  <si>
    <t>6287883004609</t>
  </si>
  <si>
    <t>Damar Golf 1/39 (BGM) PIK</t>
  </si>
  <si>
    <t>S-1937</t>
  </si>
  <si>
    <t>Susanyuliana02@gmail.com</t>
  </si>
  <si>
    <t>+6281286776288</t>
  </si>
  <si>
    <t>JL. Puri Kartika Baru No 18 .</t>
  </si>
  <si>
    <t>S-1827</t>
  </si>
  <si>
    <t>Susan,S.S</t>
  </si>
  <si>
    <t xml:space="preserve">taman elang B/18 PERIUK
TANGERANG</t>
  </si>
  <si>
    <t>S-251</t>
  </si>
  <si>
    <t>Susan.S</t>
  </si>
  <si>
    <t>S-1871</t>
  </si>
  <si>
    <t>Susana</t>
  </si>
  <si>
    <t>Jl. Pembangunan 2/18, Jakarta 10130</t>
  </si>
  <si>
    <t>S-1157</t>
  </si>
  <si>
    <t>Susandri</t>
  </si>
  <si>
    <t>Modernland Blok G2 No. 12, Tangerang</t>
  </si>
  <si>
    <t>S-1172</t>
  </si>
  <si>
    <t>Susanlina</t>
  </si>
  <si>
    <t>tanpir</t>
  </si>
  <si>
    <t>S-0889</t>
  </si>
  <si>
    <t>Kusnowo</t>
  </si>
  <si>
    <t>susannakusnowo@yahoo.com</t>
  </si>
  <si>
    <t>Jl. Tirtayasa X no 2</t>
  </si>
  <si>
    <t>S-753</t>
  </si>
  <si>
    <t>Kuswono</t>
  </si>
  <si>
    <t>S-1200</t>
  </si>
  <si>
    <t>S-249</t>
  </si>
  <si>
    <t>021-5223768 (Office)</t>
  </si>
  <si>
    <t>S-2076</t>
  </si>
  <si>
    <t>sstj1210@gmail.com</t>
  </si>
  <si>
    <t>628118775675</t>
  </si>
  <si>
    <t>S-415</t>
  </si>
  <si>
    <t>Komp, Pun Indah</t>
  </si>
  <si>
    <t>S-1315</t>
  </si>
  <si>
    <t>Jl Tubogas Angke Taman Harapan Indah BLok u/7</t>
  </si>
  <si>
    <t>S-788</t>
  </si>
  <si>
    <t>S-253</t>
  </si>
  <si>
    <t>Susantija</t>
  </si>
  <si>
    <t>(Mrs.Suswati)</t>
  </si>
  <si>
    <t>Mitra Bahari Apt. B #2301</t>
  </si>
  <si>
    <t>Jl. Pakin Pejaringan</t>
  </si>
  <si>
    <t>S-1076</t>
  </si>
  <si>
    <t>S-1463</t>
  </si>
  <si>
    <t>S-0967</t>
  </si>
  <si>
    <t>S-331</t>
  </si>
  <si>
    <t>S-560</t>
  </si>
  <si>
    <t>M-1491</t>
  </si>
  <si>
    <t>Susanto.</t>
  </si>
  <si>
    <t>M-1370</t>
  </si>
  <si>
    <t>S-1912</t>
  </si>
  <si>
    <t>sinar.cibinonggs@gmail.com</t>
  </si>
  <si>
    <t>+62817177655</t>
  </si>
  <si>
    <t>Perum. Erfina Kencana Regency, Cibinong</t>
  </si>
  <si>
    <t>Cibinong</t>
  </si>
  <si>
    <t>S-480</t>
  </si>
  <si>
    <t>S-607</t>
  </si>
  <si>
    <t xml:space="preserve">Jl.Kembang Indah IV/44 Blok G3-Puri INdah 
Jkt. 11610</t>
  </si>
  <si>
    <t>S-1679</t>
  </si>
  <si>
    <t>Sushmitha</t>
  </si>
  <si>
    <t>Satishreddy</t>
  </si>
  <si>
    <t>S-1294</t>
  </si>
  <si>
    <t>S-702</t>
  </si>
  <si>
    <t>susiirawaty@yahoo.com</t>
  </si>
  <si>
    <t>S-255</t>
  </si>
  <si>
    <t>628111208331</t>
  </si>
  <si>
    <t>S-375</t>
  </si>
  <si>
    <t>Ardhani</t>
  </si>
  <si>
    <t xml:space="preserve">Villa Gading Indah G 14
Kelapa Gading 
Jakarta Utara 14240</t>
  </si>
  <si>
    <t>S-1853</t>
  </si>
  <si>
    <t>MRA Building Lantai 8, Jl TB Simatupang no.9, Cilandak - Jakarta Selatan</t>
  </si>
  <si>
    <t>S-1474</t>
  </si>
  <si>
    <t>Kurniasih</t>
  </si>
  <si>
    <t>S-259</t>
  </si>
  <si>
    <t>Pudjiastuti</t>
  </si>
  <si>
    <t>Country Apartment, Ciputat #1415</t>
  </si>
  <si>
    <t>S-666</t>
  </si>
  <si>
    <t>S-1095</t>
  </si>
  <si>
    <t xml:space="preserve">SCHNEIDER ELECTRIC
Jl.Beringi Lot 04 Batamindo Industrial Park
Muka Kuning</t>
  </si>
  <si>
    <t>S-715</t>
  </si>
  <si>
    <t>Susiana</t>
  </si>
  <si>
    <t>Kertajaya Indah Regency 6-8</t>
  </si>
  <si>
    <t>S-1079</t>
  </si>
  <si>
    <t>6281190009781</t>
  </si>
  <si>
    <t>S-1897</t>
  </si>
  <si>
    <t>Susiaty</t>
  </si>
  <si>
    <t>0811192406</t>
  </si>
  <si>
    <t>Metro Permata I Blok F1 no.33A</t>
  </si>
  <si>
    <t>S-585</t>
  </si>
  <si>
    <t>S-0914</t>
  </si>
  <si>
    <t>iskandarsusie@hotmail.com</t>
  </si>
  <si>
    <t xml:space="preserve">Taman Golf Timur 1 No.6 
Pantai Indah Kapuk</t>
  </si>
  <si>
    <t>S-1183</t>
  </si>
  <si>
    <t>S-1196</t>
  </si>
  <si>
    <t>Ch</t>
  </si>
  <si>
    <t>S-727</t>
  </si>
  <si>
    <t>Susilawaty</t>
  </si>
  <si>
    <t>susi_rahim@yahoo.com</t>
  </si>
  <si>
    <t>62811105807</t>
  </si>
  <si>
    <t>S-1164</t>
  </si>
  <si>
    <t>Susilowasti</t>
  </si>
  <si>
    <t>S-1690</t>
  </si>
  <si>
    <t>6287719999917</t>
  </si>
  <si>
    <t>S-829</t>
  </si>
  <si>
    <t>+62816917447</t>
  </si>
  <si>
    <t xml:space="preserve">Jl.Hadiah Utama 2A Blok F1 no.1442
kavling polri , jelambar
Jakarta Barat</t>
  </si>
  <si>
    <t>S-257</t>
  </si>
  <si>
    <t>Jl. Sunter Sakna Nusantara X Blok D No. 33</t>
  </si>
  <si>
    <t>S-790</t>
  </si>
  <si>
    <t>Susilowaty</t>
  </si>
  <si>
    <t>Wangsa</t>
  </si>
  <si>
    <t>S-1917</t>
  </si>
  <si>
    <t>Susiwati</t>
  </si>
  <si>
    <t>S-1925</t>
  </si>
  <si>
    <t>Susrina</t>
  </si>
  <si>
    <t>Sanyoto</t>
  </si>
  <si>
    <t>628170121812</t>
  </si>
  <si>
    <t>S-424</t>
  </si>
  <si>
    <t xml:space="preserve">Modernland Golf MTC 08H
Tangerang</t>
  </si>
  <si>
    <t>S-1538</t>
  </si>
  <si>
    <t>S-1362</t>
  </si>
  <si>
    <t>S-1558</t>
  </si>
  <si>
    <t>Chanaka</t>
  </si>
  <si>
    <t>6281219549921</t>
  </si>
  <si>
    <t>S-0918</t>
  </si>
  <si>
    <t>Hadikusumo</t>
  </si>
  <si>
    <t xml:space="preserve">Jl. Pluit Putra 4 No. 14
Jakarta utara</t>
  </si>
  <si>
    <t>S-2021</t>
  </si>
  <si>
    <t>Shusy</t>
  </si>
  <si>
    <t>6281310855076</t>
  </si>
  <si>
    <t>S-457</t>
  </si>
  <si>
    <t>Suprantio</t>
  </si>
  <si>
    <t>S-1628</t>
  </si>
  <si>
    <t>Susyanti</t>
  </si>
  <si>
    <t>Oakwood Apartemen Jakarta Pusat</t>
  </si>
  <si>
    <t>S-1381</t>
  </si>
  <si>
    <t>Susylowati,</t>
  </si>
  <si>
    <t>S-459</t>
  </si>
  <si>
    <t>628119781300</t>
  </si>
  <si>
    <t>S-1850</t>
  </si>
  <si>
    <t>6281319809264</t>
  </si>
  <si>
    <t xml:space="preserve">Jln. Danau Sentani No. 17 Beverly Golf 
Lippo Karawaci - Tangerang</t>
  </si>
  <si>
    <t>S-1266</t>
  </si>
  <si>
    <t>S-436</t>
  </si>
  <si>
    <t>Sutiana</t>
  </si>
  <si>
    <t>S-319</t>
  </si>
  <si>
    <t>S-384</t>
  </si>
  <si>
    <t>S-1250</t>
  </si>
  <si>
    <t>S-1788</t>
  </si>
  <si>
    <t>628119700907</t>
  </si>
  <si>
    <t>Jalan Kintamani I No. 138</t>
  </si>
  <si>
    <t>S-1049</t>
  </si>
  <si>
    <t>Sutiono</t>
  </si>
  <si>
    <t>S-1044</t>
  </si>
  <si>
    <t>Sutjahjono</t>
  </si>
  <si>
    <t>Jl Raya Dayeuh Kolot Bandung</t>
  </si>
  <si>
    <t>S-2027</t>
  </si>
  <si>
    <t>62816934004</t>
  </si>
  <si>
    <t>S-1857</t>
  </si>
  <si>
    <t>Sutjiaty</t>
  </si>
  <si>
    <t>S-1874</t>
  </si>
  <si>
    <t>Tonasal</t>
  </si>
  <si>
    <t>+628126202327</t>
  </si>
  <si>
    <t>S-1452</t>
  </si>
  <si>
    <t>Suvianti</t>
  </si>
  <si>
    <t>S-563</t>
  </si>
  <si>
    <t>Suvy</t>
  </si>
  <si>
    <t>S-1545</t>
  </si>
  <si>
    <t>Suwana</t>
  </si>
  <si>
    <t>Ateng</t>
  </si>
  <si>
    <t>S-266</t>
  </si>
  <si>
    <t>Suwanda</t>
  </si>
  <si>
    <t>S-522</t>
  </si>
  <si>
    <t>Suwandar</t>
  </si>
  <si>
    <t>Jl Hasan Basri Komplex Pondok Indah blok i no 14</t>
  </si>
  <si>
    <t>S-1547</t>
  </si>
  <si>
    <t>S-1279</t>
  </si>
  <si>
    <t>S-1039</t>
  </si>
  <si>
    <t>S-1193</t>
  </si>
  <si>
    <t>S-762</t>
  </si>
  <si>
    <t>Jalan Taman Mimosa 51, Bandung</t>
  </si>
  <si>
    <t>S-1056</t>
  </si>
  <si>
    <t>Suwarti</t>
  </si>
  <si>
    <t>Taman Anggrek 5-19 B</t>
  </si>
  <si>
    <t>S-365</t>
  </si>
  <si>
    <t>Suwartini</t>
  </si>
  <si>
    <t xml:space="preserve">Jl. Kemang Selatan II/5
Jakarta Selatan </t>
  </si>
  <si>
    <t>S-1348</t>
  </si>
  <si>
    <t>622171916385</t>
  </si>
  <si>
    <t>S-1017</t>
  </si>
  <si>
    <t>Suwati</t>
  </si>
  <si>
    <t>S-690</t>
  </si>
  <si>
    <t>Suwidja</t>
  </si>
  <si>
    <t>Pangadjaja</t>
  </si>
  <si>
    <t xml:space="preserve">Jl. Genteng Hijau No.4A
Karet Kuningan Setiabudi</t>
  </si>
  <si>
    <t>S-1008</t>
  </si>
  <si>
    <t>S-1830</t>
  </si>
  <si>
    <t>Suyatno</t>
  </si>
  <si>
    <t>S-1503</t>
  </si>
  <si>
    <t>+628118163220</t>
  </si>
  <si>
    <t>Apartment Botanica T.I 15</t>
  </si>
  <si>
    <t>S-2075</t>
  </si>
  <si>
    <t>Suzan</t>
  </si>
  <si>
    <t>PH</t>
  </si>
  <si>
    <t>628111734586</t>
  </si>
  <si>
    <t>S-352</t>
  </si>
  <si>
    <t>S-267</t>
  </si>
  <si>
    <t>Suzanna</t>
  </si>
  <si>
    <t>S-506</t>
  </si>
  <si>
    <t xml:space="preserve">Bangka raya 5B Pela Mampang
Jakarta</t>
  </si>
  <si>
    <t>S-572</t>
  </si>
  <si>
    <t>S-1697</t>
  </si>
  <si>
    <t>Suzanne</t>
  </si>
  <si>
    <t>S-726</t>
  </si>
  <si>
    <t>Suzi</t>
  </si>
  <si>
    <t>S-531</t>
  </si>
  <si>
    <t>Marsitawati</t>
  </si>
  <si>
    <t>S-356</t>
  </si>
  <si>
    <t>Suziani</t>
  </si>
  <si>
    <t>Fitriyana</t>
  </si>
  <si>
    <t xml:space="preserve">Jl. RSPP No. 1
Cilandak
Jakarta Selatan 12430</t>
  </si>
  <si>
    <t>S-1267</t>
  </si>
  <si>
    <t>Shambazy</t>
  </si>
  <si>
    <t>6281916083369</t>
  </si>
  <si>
    <t>S-269</t>
  </si>
  <si>
    <t>S-2046</t>
  </si>
  <si>
    <t>Keitaro</t>
  </si>
  <si>
    <t>ktr511szk@yahoo.co.jp</t>
  </si>
  <si>
    <t>+818041162899</t>
  </si>
  <si>
    <t>Tokyo, Japan</t>
  </si>
  <si>
    <t>S-1787</t>
  </si>
  <si>
    <t>Suzy</t>
  </si>
  <si>
    <t xml:space="preserve">Cluster Cajuputi Blok AC1 No.5 BSD
Tangerang Selatan</t>
  </si>
  <si>
    <t>S-1596</t>
  </si>
  <si>
    <t>Nuryati</t>
  </si>
  <si>
    <t>S-410</t>
  </si>
  <si>
    <t>S-273</t>
  </si>
  <si>
    <t>Swanny</t>
  </si>
  <si>
    <t>Apartment Belleza Permata Hijau Tower Versailles lt 25 unit 1</t>
  </si>
  <si>
    <t>S-1908</t>
  </si>
  <si>
    <t>Swany</t>
  </si>
  <si>
    <t>sw.widjaja@hotmail.com</t>
  </si>
  <si>
    <t>+62811921057</t>
  </si>
  <si>
    <t>S-0879</t>
  </si>
  <si>
    <t>Swati</t>
  </si>
  <si>
    <t>S-1488</t>
  </si>
  <si>
    <t>Syadli</t>
  </si>
  <si>
    <t>Awad</t>
  </si>
  <si>
    <t xml:space="preserve">Gedung Recapital Lt 3 
PT. La Tahzan
Jl Adityawarman</t>
  </si>
  <si>
    <t>S-276</t>
  </si>
  <si>
    <t>Syafa</t>
  </si>
  <si>
    <t>S-1089</t>
  </si>
  <si>
    <t>Syafnita</t>
  </si>
  <si>
    <t>S-1566</t>
  </si>
  <si>
    <t>Syafrizal</t>
  </si>
  <si>
    <t>62811758888</t>
  </si>
  <si>
    <t>S-277</t>
  </si>
  <si>
    <t>Syahmudrian</t>
  </si>
  <si>
    <t>CentraL Park C5 Kota Wisata Cibubur</t>
  </si>
  <si>
    <t>S-432</t>
  </si>
  <si>
    <t>Syahrani</t>
  </si>
  <si>
    <t>S-732</t>
  </si>
  <si>
    <t>Syahreza</t>
  </si>
  <si>
    <t>GADING 3 / 666 - 667 PONDOK BAMBU</t>
  </si>
  <si>
    <t>S-617</t>
  </si>
  <si>
    <t>Syahrial</t>
  </si>
  <si>
    <t>S-1973</t>
  </si>
  <si>
    <t>Syahrina</t>
  </si>
  <si>
    <t>+6281288433974</t>
  </si>
  <si>
    <t>S-1790</t>
  </si>
  <si>
    <t>Syahrul</t>
  </si>
  <si>
    <t>S-1969</t>
  </si>
  <si>
    <t>Syahrullah</t>
  </si>
  <si>
    <t>syahrullah_aul@yahoo.com</t>
  </si>
  <si>
    <t>6281213427785</t>
  </si>
  <si>
    <t>S-361</t>
  </si>
  <si>
    <t>Syaiful</t>
  </si>
  <si>
    <t>6281319700630</t>
  </si>
  <si>
    <t>S-2084</t>
  </si>
  <si>
    <t>Syalshabila</t>
  </si>
  <si>
    <t>Syalshabilla</t>
  </si>
  <si>
    <t>syalshabillaald@yahoo.com</t>
  </si>
  <si>
    <t>6282221313459</t>
  </si>
  <si>
    <t>S-2025</t>
  </si>
  <si>
    <t>Syam</t>
  </si>
  <si>
    <t>syam.alif.amiruddin@gmail.com</t>
  </si>
  <si>
    <t>6282112202069</t>
  </si>
  <si>
    <t>S-279</t>
  </si>
  <si>
    <t>Syamsuir</t>
  </si>
  <si>
    <t>Plaza Pacifik Bldg Blok A-3 No. 68</t>
  </si>
  <si>
    <t>S-1864</t>
  </si>
  <si>
    <t>Syamsul</t>
  </si>
  <si>
    <t>S-758</t>
  </si>
  <si>
    <t>Bahri</t>
  </si>
  <si>
    <t>S-836</t>
  </si>
  <si>
    <t>Syanda</t>
  </si>
  <si>
    <t>Kunto</t>
  </si>
  <si>
    <t>sanda.kunto@gmail.com</t>
  </si>
  <si>
    <t>62816708136</t>
  </si>
  <si>
    <t>Taman Pesona Townhaouse #20A Jl Kemang Pondok Pinang.</t>
  </si>
  <si>
    <t>S-1783</t>
  </si>
  <si>
    <t>Syandy</t>
  </si>
  <si>
    <t>6282110474700</t>
  </si>
  <si>
    <t>S-1038</t>
  </si>
  <si>
    <t>Syanne</t>
  </si>
  <si>
    <t>Green Mansion GD6/10</t>
  </si>
  <si>
    <t>S-1675</t>
  </si>
  <si>
    <t>Patricia Mulyadi</t>
  </si>
  <si>
    <t>+6281212258000</t>
  </si>
  <si>
    <t>S-1610</t>
  </si>
  <si>
    <t>Syara</t>
  </si>
  <si>
    <t>Daly</t>
  </si>
  <si>
    <t xml:space="preserve">VILLA AYANA 66 NO 66XX
JL KAYU AYA, OBERAY
DENPASAR - BALI</t>
  </si>
  <si>
    <t>S-1798</t>
  </si>
  <si>
    <t>Syarah</t>
  </si>
  <si>
    <t>syarah2k@gmail.com</t>
  </si>
  <si>
    <t xml:space="preserve">Komp, Cassia No 79 J6C
Jak Tim
</t>
  </si>
  <si>
    <t>S-1949</t>
  </si>
  <si>
    <t>Syarfi</t>
  </si>
  <si>
    <t>628116261960</t>
  </si>
  <si>
    <t>S-1391</t>
  </si>
  <si>
    <t>Syarif</t>
  </si>
  <si>
    <t>Fasha</t>
  </si>
  <si>
    <t>628127418404</t>
  </si>
  <si>
    <t>S-1084</t>
  </si>
  <si>
    <t>Sarifah</t>
  </si>
  <si>
    <t>6281293932009</t>
  </si>
  <si>
    <t>Jl Muara Rajeun Baru No.14</t>
  </si>
  <si>
    <t>S-1504</t>
  </si>
  <si>
    <t>Chaira</t>
  </si>
  <si>
    <t>Petamburan ,Slipi ,Jakarta Barat</t>
  </si>
  <si>
    <t>S-1477</t>
  </si>
  <si>
    <t>628129132012</t>
  </si>
  <si>
    <t>S-2049</t>
  </si>
  <si>
    <t>Mardalena</t>
  </si>
  <si>
    <t>6281260165505</t>
  </si>
  <si>
    <t>S-1589</t>
  </si>
  <si>
    <t>Syarifuddin</t>
  </si>
  <si>
    <t>Hindun</t>
  </si>
  <si>
    <t>S-301</t>
  </si>
  <si>
    <t>Syariful</t>
  </si>
  <si>
    <t>S-1190</t>
  </si>
  <si>
    <t>Syaugi</t>
  </si>
  <si>
    <t>MBA</t>
  </si>
  <si>
    <t>Jl Pangeran Diponegoro No.108</t>
  </si>
  <si>
    <t>Tambun</t>
  </si>
  <si>
    <t>S-1194</t>
  </si>
  <si>
    <t>Syaukat</t>
  </si>
  <si>
    <t>Fashita</t>
  </si>
  <si>
    <t>S-1260</t>
  </si>
  <si>
    <t>Sybilla</t>
  </si>
  <si>
    <t>sybillahardikusumo@yahoo.com</t>
  </si>
  <si>
    <t>+628161902424</t>
  </si>
  <si>
    <t>S-0962</t>
  </si>
  <si>
    <t>Sydnie</t>
  </si>
  <si>
    <t>S-362</t>
  </si>
  <si>
    <t>Syhirvana</t>
  </si>
  <si>
    <t>S-1177</t>
  </si>
  <si>
    <t>S-1527</t>
  </si>
  <si>
    <t>Syilvia</t>
  </si>
  <si>
    <t>S-1181</t>
  </si>
  <si>
    <t>S-1879</t>
  </si>
  <si>
    <t>cipinang</t>
  </si>
  <si>
    <t>S-280</t>
  </si>
  <si>
    <t>D.Y.</t>
  </si>
  <si>
    <t>S-622</t>
  </si>
  <si>
    <t>Dwiputra</t>
  </si>
  <si>
    <t>62816713397</t>
  </si>
  <si>
    <t>S-1483</t>
  </si>
  <si>
    <t>Ehom</t>
  </si>
  <si>
    <t>S-1930</t>
  </si>
  <si>
    <t>Eltom</t>
  </si>
  <si>
    <t>628115425301</t>
  </si>
  <si>
    <t>S-0903</t>
  </si>
  <si>
    <t>franciscasylvia@yahoo.com</t>
  </si>
  <si>
    <t xml:space="preserve">Pinisi Permai 6 no 5 
PIK</t>
  </si>
  <si>
    <t>S-1736</t>
  </si>
  <si>
    <t>628176656733</t>
  </si>
  <si>
    <t>Jl,setiabudi barat no,2 sudirman residence apartement tulip 3D</t>
  </si>
  <si>
    <t>S-1817</t>
  </si>
  <si>
    <t>South Hills 5K , DEnpasar Raya 5-7</t>
  </si>
  <si>
    <t>S-626</t>
  </si>
  <si>
    <t>S-324</t>
  </si>
  <si>
    <t>Kartawijaya</t>
  </si>
  <si>
    <t>S-534</t>
  </si>
  <si>
    <t>Villa artha Gading lt18</t>
  </si>
  <si>
    <t>S-454</t>
  </si>
  <si>
    <t>sylsujapri@gmail.com</t>
  </si>
  <si>
    <t>Jl. Kano Indah 3 no.8</t>
  </si>
  <si>
    <t>S-845</t>
  </si>
  <si>
    <t>Novieta</t>
  </si>
  <si>
    <t xml:space="preserve">Sentral Senayan1 17th floor
Jl.Asia Afrika No.08 
Jakarta</t>
  </si>
  <si>
    <t>S-281</t>
  </si>
  <si>
    <t>S-2079</t>
  </si>
  <si>
    <t>milkyfudge_22@hotmail.com</t>
  </si>
  <si>
    <t>+628123335188</t>
  </si>
  <si>
    <t>Jalan AW. Syahrani Perum. Villa Tamara Blok D No. 3</t>
  </si>
  <si>
    <t>75124</t>
  </si>
  <si>
    <t>S-483</t>
  </si>
  <si>
    <t>628161119947</t>
  </si>
  <si>
    <t>Jl Teratai XV Blok Q No.7 Tanjung Barat Indah</t>
  </si>
  <si>
    <t>S-1325</t>
  </si>
  <si>
    <t>Sujapri</t>
  </si>
  <si>
    <t xml:space="preserve">Jl. Sumenep No. 20
Menteng</t>
  </si>
  <si>
    <t>S-445</t>
  </si>
  <si>
    <t>Torina</t>
  </si>
  <si>
    <t>S-837</t>
  </si>
  <si>
    <t>Yusrianti</t>
  </si>
  <si>
    <t>Jl Darmawangsa XI No 7A Kebayoran Baru</t>
  </si>
  <si>
    <t>S-551</t>
  </si>
  <si>
    <t>Sylvie</t>
  </si>
  <si>
    <t>S-1369</t>
  </si>
  <si>
    <t>Syndi</t>
  </si>
  <si>
    <t>S-282</t>
  </si>
  <si>
    <t>Sys</t>
  </si>
  <si>
    <t>NS</t>
  </si>
  <si>
    <t>Jl. Kemang Raya Komp. IAPCO No. 16</t>
  </si>
  <si>
    <t>S-1043</t>
  </si>
  <si>
    <t>S-588</t>
  </si>
  <si>
    <t>Syultra</t>
  </si>
  <si>
    <t>S-458</t>
  </si>
  <si>
    <t>Syviani</t>
  </si>
  <si>
    <t>santoso</t>
  </si>
  <si>
    <t xml:space="preserve">JL.Terusan hanglekir 2/W-49
simpruk permata
Jakarta selatan 12220</t>
  </si>
  <si>
    <t>T-218</t>
  </si>
  <si>
    <t xml:space="preserve">Gading Park V ZE3 No.02
Kelapa Gading</t>
  </si>
  <si>
    <t>T-039</t>
  </si>
  <si>
    <t>Ayoeb</t>
  </si>
  <si>
    <t>T-050</t>
  </si>
  <si>
    <t>(Aceh)</t>
  </si>
  <si>
    <t>Jl. Mulia 10</t>
  </si>
  <si>
    <t>T-300</t>
  </si>
  <si>
    <t>T.Puspita</t>
  </si>
  <si>
    <t>T-0627</t>
  </si>
  <si>
    <t>Taba</t>
  </si>
  <si>
    <t>Sanchabakhtiar</t>
  </si>
  <si>
    <t>T-0764</t>
  </si>
  <si>
    <t>Taboh</t>
  </si>
  <si>
    <t>Mitchell</t>
  </si>
  <si>
    <t>T-0886</t>
  </si>
  <si>
    <t>Tae Sik</t>
  </si>
  <si>
    <t>628118852955</t>
  </si>
  <si>
    <t>T-0517</t>
  </si>
  <si>
    <t>Tae</t>
  </si>
  <si>
    <t>T-0864</t>
  </si>
  <si>
    <t>Young Ho</t>
  </si>
  <si>
    <t>yerik.tae@gmail.com</t>
  </si>
  <si>
    <t>+62811800813</t>
  </si>
  <si>
    <t>T-0803</t>
  </si>
  <si>
    <t>Taehun</t>
  </si>
  <si>
    <t>th.jung.my@gmail.com</t>
  </si>
  <si>
    <t>T-0837</t>
  </si>
  <si>
    <t>mkkr.5592@gmail.com</t>
  </si>
  <si>
    <t>819071405455</t>
  </si>
  <si>
    <t>T-277</t>
  </si>
  <si>
    <t>Takahiro</t>
  </si>
  <si>
    <t xml:space="preserve">The Denpasar Residence
Kuningan, Setia Budi</t>
  </si>
  <si>
    <t>T-225</t>
  </si>
  <si>
    <t>Takaishi</t>
  </si>
  <si>
    <t>T-330</t>
  </si>
  <si>
    <t>Takako</t>
  </si>
  <si>
    <t>Kawai</t>
  </si>
  <si>
    <t>T-0543</t>
  </si>
  <si>
    <t>Takanobu</t>
  </si>
  <si>
    <t>T-0610</t>
  </si>
  <si>
    <t>Takanori</t>
  </si>
  <si>
    <t>Onogi</t>
  </si>
  <si>
    <t>T-011</t>
  </si>
  <si>
    <t>Takashi</t>
  </si>
  <si>
    <t>mimimama8321@gmail.com</t>
  </si>
  <si>
    <t>Jl. Sentra Gandamayu III</t>
  </si>
  <si>
    <t>Tanjung Benoa</t>
  </si>
  <si>
    <t>T-297</t>
  </si>
  <si>
    <t>Junko</t>
  </si>
  <si>
    <t>T-0666</t>
  </si>
  <si>
    <t>TAKASHI</t>
  </si>
  <si>
    <t>KATSUMATA</t>
  </si>
  <si>
    <t>T-166</t>
  </si>
  <si>
    <t>T-0861</t>
  </si>
  <si>
    <t>Takeda</t>
  </si>
  <si>
    <t>Yuko</t>
  </si>
  <si>
    <t>yuko.takeda49165@gmail.com</t>
  </si>
  <si>
    <t>09061011372</t>
  </si>
  <si>
    <t>Tokyo</t>
  </si>
  <si>
    <t>T-295</t>
  </si>
  <si>
    <t>Takenaka</t>
  </si>
  <si>
    <t>T-0645</t>
  </si>
  <si>
    <t>Takeshi</t>
  </si>
  <si>
    <t>Nakashima</t>
  </si>
  <si>
    <t xml:space="preserve">Verde Two. Monteverde.
Jl. Kuningan Mulia</t>
  </si>
  <si>
    <t>T-0801</t>
  </si>
  <si>
    <t>Takeuchi</t>
  </si>
  <si>
    <t>Natsumi</t>
  </si>
  <si>
    <t>gmafukuda@gmail.com</t>
  </si>
  <si>
    <t>T-0395</t>
  </si>
  <si>
    <t>Taknya</t>
  </si>
  <si>
    <t>Aihara</t>
  </si>
  <si>
    <t>M-1309</t>
  </si>
  <si>
    <t>Tako</t>
  </si>
  <si>
    <t>Morino</t>
  </si>
  <si>
    <t>T-0579</t>
  </si>
  <si>
    <t>Takumi</t>
  </si>
  <si>
    <t>Tcuchiya</t>
  </si>
  <si>
    <t>(603) 16792637</t>
  </si>
  <si>
    <t>T-0766</t>
  </si>
  <si>
    <t>Talal</t>
  </si>
  <si>
    <t>Alqarni</t>
  </si>
  <si>
    <t>T-0807</t>
  </si>
  <si>
    <t>Resna</t>
  </si>
  <si>
    <t>Talwar</t>
  </si>
  <si>
    <t>resnatalwan88@gmail.com</t>
  </si>
  <si>
    <t>+18479033262</t>
  </si>
  <si>
    <t>T-347</t>
  </si>
  <si>
    <t>Tam</t>
  </si>
  <si>
    <t>T-270</t>
  </si>
  <si>
    <t>Tamanna</t>
  </si>
  <si>
    <t>T-0838</t>
  </si>
  <si>
    <t>Tamanyu</t>
  </si>
  <si>
    <t>ntamanyu@gmail.com</t>
  </si>
  <si>
    <t>818044481893</t>
  </si>
  <si>
    <t>T-0725</t>
  </si>
  <si>
    <t>T-0782</t>
  </si>
  <si>
    <t>tamarasuhaelikalla@gmail.com</t>
  </si>
  <si>
    <t>T-0588</t>
  </si>
  <si>
    <t>Tami</t>
  </si>
  <si>
    <t>T-0673</t>
  </si>
  <si>
    <t>T-0531</t>
  </si>
  <si>
    <t>Tamiza</t>
  </si>
  <si>
    <t>T-0454</t>
  </si>
  <si>
    <t>T-024</t>
  </si>
  <si>
    <t>Tamzil</t>
  </si>
  <si>
    <t>Tanmizi</t>
  </si>
  <si>
    <t>15th Fl. Tropic Apt. #1502</t>
  </si>
  <si>
    <t>Jl. S. Parman</t>
  </si>
  <si>
    <t>T-0827</t>
  </si>
  <si>
    <t>Tan Carrie</t>
  </si>
  <si>
    <t>628121170123</t>
  </si>
  <si>
    <t>C-6279</t>
  </si>
  <si>
    <t>Christopher Tan</t>
  </si>
  <si>
    <t>639175346789</t>
  </si>
  <si>
    <t>M-466</t>
  </si>
  <si>
    <t>T-0701</t>
  </si>
  <si>
    <t>T-322</t>
  </si>
  <si>
    <t>Lisardi</t>
  </si>
  <si>
    <t>hlisardi@gmail.com</t>
  </si>
  <si>
    <t xml:space="preserve">Brawijaya Golf 36
Lippo Karawaci</t>
  </si>
  <si>
    <t>T-028</t>
  </si>
  <si>
    <t>Pong</t>
  </si>
  <si>
    <t>T-0722</t>
  </si>
  <si>
    <t>T-0718</t>
  </si>
  <si>
    <t>TAN</t>
  </si>
  <si>
    <t>ASTER</t>
  </si>
  <si>
    <t>T-0552</t>
  </si>
  <si>
    <t>Srimany</t>
  </si>
  <si>
    <t>Pantai Mutiara Blok B/35</t>
  </si>
  <si>
    <t>T-0865</t>
  </si>
  <si>
    <t>Tan Richard</t>
  </si>
  <si>
    <t>sacred_tan@yaho.com</t>
  </si>
  <si>
    <t>+63905999058</t>
  </si>
  <si>
    <t>phlippines</t>
  </si>
  <si>
    <t>T-0467</t>
  </si>
  <si>
    <t>Rinawati</t>
  </si>
  <si>
    <t>T-0767</t>
  </si>
  <si>
    <t>Pantai Mutiara Blok A No 38</t>
  </si>
  <si>
    <t>T-0401</t>
  </si>
  <si>
    <t>coolzzzz_2005@yahoo.com</t>
  </si>
  <si>
    <t xml:space="preserve">Apartement Greenbay pluit Bay View
Tower H/07BC</t>
  </si>
  <si>
    <t>T-388</t>
  </si>
  <si>
    <t>SUNHAN</t>
  </si>
  <si>
    <t>Jl. Bumbak dauh, Gg no 1</t>
  </si>
  <si>
    <t>T-0705</t>
  </si>
  <si>
    <t>T-031</t>
  </si>
  <si>
    <t>Jl. Duta Indah 3 Blok TC No.   32</t>
  </si>
  <si>
    <t>T-0856</t>
  </si>
  <si>
    <t>U-Jiun</t>
  </si>
  <si>
    <t>ujiantan@gmail.com</t>
  </si>
  <si>
    <t>60192662127</t>
  </si>
  <si>
    <t>T-223</t>
  </si>
  <si>
    <t>Tanar</t>
  </si>
  <si>
    <t>Matondang</t>
  </si>
  <si>
    <t>T-0411</t>
  </si>
  <si>
    <t>Tandijono</t>
  </si>
  <si>
    <t>Koko</t>
  </si>
  <si>
    <t>kayte24@gmail.com</t>
  </si>
  <si>
    <t>E-345</t>
  </si>
  <si>
    <t>Zaherdy</t>
  </si>
  <si>
    <t>tandyzh88@icloud.com</t>
  </si>
  <si>
    <t>T-0784</t>
  </si>
  <si>
    <t>+85256428698</t>
  </si>
  <si>
    <t>T-0832</t>
  </si>
  <si>
    <t>Hong hui</t>
  </si>
  <si>
    <t>+6281211720730</t>
  </si>
  <si>
    <t>T-0772</t>
  </si>
  <si>
    <t>Liwen</t>
  </si>
  <si>
    <t>GUANGXI</t>
  </si>
  <si>
    <t>T-0853</t>
  </si>
  <si>
    <t>6282121666688</t>
  </si>
  <si>
    <t>T-0863</t>
  </si>
  <si>
    <t>Shiqin</t>
  </si>
  <si>
    <t>6281291827158</t>
  </si>
  <si>
    <t>T-310</t>
  </si>
  <si>
    <t>T-0806</t>
  </si>
  <si>
    <t>+8613671659897</t>
  </si>
  <si>
    <t>T-0796</t>
  </si>
  <si>
    <t>T-0758</t>
  </si>
  <si>
    <t>Tang,</t>
  </si>
  <si>
    <t>Chung-Han</t>
  </si>
  <si>
    <t>Taiwan - China</t>
  </si>
  <si>
    <t>T-0859</t>
  </si>
  <si>
    <t>Xianyu</t>
  </si>
  <si>
    <t>txianyu@gmail.com</t>
  </si>
  <si>
    <t>8613366862766</t>
  </si>
  <si>
    <t>Hainan</t>
  </si>
  <si>
    <t>T-0873</t>
  </si>
  <si>
    <t>Yuxuan</t>
  </si>
  <si>
    <t>8618783847169</t>
  </si>
  <si>
    <t>Sichuan</t>
  </si>
  <si>
    <t>T-0850</t>
  </si>
  <si>
    <t>Tange</t>
  </si>
  <si>
    <t>Masaru</t>
  </si>
  <si>
    <t>shiftinc0907@i.softbank.jp</t>
  </si>
  <si>
    <t>8108041190847</t>
  </si>
  <si>
    <t>T-029</t>
  </si>
  <si>
    <t>T-0649</t>
  </si>
  <si>
    <t>6281291647555</t>
  </si>
  <si>
    <t>T-281</t>
  </si>
  <si>
    <t>Haroen</t>
  </si>
  <si>
    <t>27505756+haroen1@yahoo.com</t>
  </si>
  <si>
    <t>Pakubuwono Residence I03F</t>
  </si>
  <si>
    <t>T-0719</t>
  </si>
  <si>
    <t>Capistran</t>
  </si>
  <si>
    <t>T-308</t>
  </si>
  <si>
    <t>Tanishia</t>
  </si>
  <si>
    <t>T-0774</t>
  </si>
  <si>
    <t>eonov.zen@gmail.com</t>
  </si>
  <si>
    <t>T-0708</t>
  </si>
  <si>
    <t>Tannie</t>
  </si>
  <si>
    <t>tan-lie689@gmail.com</t>
  </si>
  <si>
    <t>Taman Sunter Agung 2 C1/9 Jakarta Utara</t>
  </si>
  <si>
    <t>T-169</t>
  </si>
  <si>
    <t>Tanrinawati</t>
  </si>
  <si>
    <t>T-0551</t>
  </si>
  <si>
    <t>Tantan</t>
  </si>
  <si>
    <t>T-251</t>
  </si>
  <si>
    <t>Tanti</t>
  </si>
  <si>
    <t>T-0813</t>
  </si>
  <si>
    <t>Afrianti</t>
  </si>
  <si>
    <t>628567902660</t>
  </si>
  <si>
    <t>T-0730</t>
  </si>
  <si>
    <t>Risianti</t>
  </si>
  <si>
    <t>tantirrd@gmail.com</t>
  </si>
  <si>
    <t>62811898253</t>
  </si>
  <si>
    <t>T-0608</t>
  </si>
  <si>
    <t>T-0462</t>
  </si>
  <si>
    <t>T-313</t>
  </si>
  <si>
    <t>Tanti1</t>
  </si>
  <si>
    <t>T-032</t>
  </si>
  <si>
    <t>Tantowi</t>
  </si>
  <si>
    <t>T-0634</t>
  </si>
  <si>
    <t>Tantra</t>
  </si>
  <si>
    <t>tantratobing2@gmail.com</t>
  </si>
  <si>
    <t>T-0748</t>
  </si>
  <si>
    <t>Tantri</t>
  </si>
  <si>
    <t>jl siaga II No,7 rt 02/ rw 05</t>
  </si>
  <si>
    <t>T-0790</t>
  </si>
  <si>
    <t xml:space="preserve">KEBONSARI ELVEKA 2 NO 10 
SURABAYA</t>
  </si>
  <si>
    <t>T-0728</t>
  </si>
  <si>
    <t>Tanya</t>
  </si>
  <si>
    <t>628118010062</t>
  </si>
  <si>
    <t>T-359</t>
  </si>
  <si>
    <t>T-0424</t>
  </si>
  <si>
    <t>Yanan</t>
  </si>
  <si>
    <t>512141700@qq.com</t>
  </si>
  <si>
    <t>Fuleyuan 214905</t>
  </si>
  <si>
    <t>Hebei Tangshan</t>
  </si>
  <si>
    <t>T-0835</t>
  </si>
  <si>
    <t>Tara</t>
  </si>
  <si>
    <t>62816852549</t>
  </si>
  <si>
    <t>T-271</t>
  </si>
  <si>
    <t>T-179</t>
  </si>
  <si>
    <t>T-0431</t>
  </si>
  <si>
    <t xml:space="preserve">Pesona Khayangan estate V Blok O no.01
DEPOK</t>
  </si>
  <si>
    <t>T-0860</t>
  </si>
  <si>
    <t>628117232009</t>
  </si>
  <si>
    <t>Jl. Pd. Karya XI Blok I No. 40, Jakarta Selatan</t>
  </si>
  <si>
    <t>T-0554</t>
  </si>
  <si>
    <t>Soetowo</t>
  </si>
  <si>
    <t>T-034</t>
  </si>
  <si>
    <t>Tarcio</t>
  </si>
  <si>
    <t>Caetano</t>
  </si>
  <si>
    <t>San Paolo, Brazil</t>
  </si>
  <si>
    <t>T-0743</t>
  </si>
  <si>
    <t>Tareq</t>
  </si>
  <si>
    <t>Alsaqobi</t>
  </si>
  <si>
    <t>kuwaitt</t>
  </si>
  <si>
    <t>T-0780</t>
  </si>
  <si>
    <t>Tari</t>
  </si>
  <si>
    <t>T-035</t>
  </si>
  <si>
    <t>T-262</t>
  </si>
  <si>
    <t xml:space="preserve">Taman Permata Milenium Blok B12 No5
Lippo Karawaci Tangerang</t>
  </si>
  <si>
    <t>T-367</t>
  </si>
  <si>
    <t>T-339</t>
  </si>
  <si>
    <t>T-248</t>
  </si>
  <si>
    <t>T-241</t>
  </si>
  <si>
    <t>Tariq</t>
  </si>
  <si>
    <t>T-354</t>
  </si>
  <si>
    <t>Tarman</t>
  </si>
  <si>
    <t>T-186</t>
  </si>
  <si>
    <t>Tarniza</t>
  </si>
  <si>
    <t>T-198</t>
  </si>
  <si>
    <t>Tasia</t>
  </si>
  <si>
    <t>T-336</t>
  </si>
  <si>
    <t>T-269</t>
  </si>
  <si>
    <t>Tasmijati</t>
  </si>
  <si>
    <t>T-0489</t>
  </si>
  <si>
    <t>Tasno</t>
  </si>
  <si>
    <t>T-0869</t>
  </si>
  <si>
    <t>Tassya</t>
  </si>
  <si>
    <t>6285217175889</t>
  </si>
  <si>
    <t>T-222</t>
  </si>
  <si>
    <t>tassyaseptiana@hotmail.com</t>
  </si>
  <si>
    <t>Jl. Mandar 6 DC6 No.11, Bintaro Jaya, Sektor 3A,</t>
  </si>
  <si>
    <t>T-0491</t>
  </si>
  <si>
    <t>T-036</t>
  </si>
  <si>
    <t>Tasya</t>
  </si>
  <si>
    <t>T-0727</t>
  </si>
  <si>
    <t>T-0817</t>
  </si>
  <si>
    <t>Alvionnita</t>
  </si>
  <si>
    <t>6281310898123</t>
  </si>
  <si>
    <t>T-0775</t>
  </si>
  <si>
    <t>Andhrea</t>
  </si>
  <si>
    <t xml:space="preserve">Grand Depok City, Acacia K 12
Depok</t>
  </si>
  <si>
    <t>T-0690</t>
  </si>
  <si>
    <t>Farasya</t>
  </si>
  <si>
    <t>081223791522</t>
  </si>
  <si>
    <t>Jl.Anggur 1 No.16 Cipete Jakarta Selatan</t>
  </si>
  <si>
    <t>T-0563</t>
  </si>
  <si>
    <t>T-0558</t>
  </si>
  <si>
    <t>T-0781</t>
  </si>
  <si>
    <t>628121021118</t>
  </si>
  <si>
    <t>T-301</t>
  </si>
  <si>
    <t>Tati</t>
  </si>
  <si>
    <t>T-0397</t>
  </si>
  <si>
    <t>T-0655</t>
  </si>
  <si>
    <t>Janursari</t>
  </si>
  <si>
    <t>6281219653000</t>
  </si>
  <si>
    <t>T-0828</t>
  </si>
  <si>
    <t>6282259328603</t>
  </si>
  <si>
    <t>T-0768</t>
  </si>
  <si>
    <t>Ramlie</t>
  </si>
  <si>
    <t>ramlie_tati@yahoo.com</t>
  </si>
  <si>
    <t>62811842999</t>
  </si>
  <si>
    <t xml:space="preserve">Pakubuwono Signature 28D, Jl. Pakubuwono VI No.72, Jakarta Selatan 12120
</t>
  </si>
  <si>
    <t>T-0851</t>
  </si>
  <si>
    <t>Tatiana</t>
  </si>
  <si>
    <t>Kvasnikova</t>
  </si>
  <si>
    <t>k.t.7891@gmail.com</t>
  </si>
  <si>
    <t>79084423711</t>
  </si>
  <si>
    <t>T-0600</t>
  </si>
  <si>
    <t>Salimova</t>
  </si>
  <si>
    <t>Bali, Indonesia</t>
  </si>
  <si>
    <t>T-0749</t>
  </si>
  <si>
    <t>Soloveva</t>
  </si>
  <si>
    <t>T-285</t>
  </si>
  <si>
    <t>Tatiek</t>
  </si>
  <si>
    <t>T-284</t>
  </si>
  <si>
    <t>Tatty</t>
  </si>
  <si>
    <t xml:space="preserve">Jl.Mangunsarkoro No 42
Menteng Jak-Pus</t>
  </si>
  <si>
    <t>T-0658</t>
  </si>
  <si>
    <t>Taufan</t>
  </si>
  <si>
    <t>taufan@jexcom.id</t>
  </si>
  <si>
    <t>T-0750</t>
  </si>
  <si>
    <t>Apt Sahid</t>
  </si>
  <si>
    <t>T-181</t>
  </si>
  <si>
    <t>Jl. Brawijaya 18 No.73</t>
  </si>
  <si>
    <t>Jakarta Selatan 12160</t>
  </si>
  <si>
    <t>T-0478</t>
  </si>
  <si>
    <t>alvin_ke3@yahoo.com</t>
  </si>
  <si>
    <t>T-0522</t>
  </si>
  <si>
    <t>T-0826</t>
  </si>
  <si>
    <t>6281384877468</t>
  </si>
  <si>
    <t>T-0674</t>
  </si>
  <si>
    <t>ope.surya@gmail.com</t>
  </si>
  <si>
    <t>Jl. Trimaran permai 4 N0 3</t>
  </si>
  <si>
    <t>T-0849</t>
  </si>
  <si>
    <t>James taylor</t>
  </si>
  <si>
    <t>jrwo_idwide@icloud.com</t>
  </si>
  <si>
    <t>447545803980</t>
  </si>
  <si>
    <t>T-0818</t>
  </si>
  <si>
    <t>Techa</t>
  </si>
  <si>
    <t>Suprawardhani</t>
  </si>
  <si>
    <t>6281294836958</t>
  </si>
  <si>
    <t>T-180</t>
  </si>
  <si>
    <t>Ted</t>
  </si>
  <si>
    <t xml:space="preserve">Satmarindo Blgd/Grd.F1
Jl.Ampera Raya no.5 
Jakarta 12560</t>
  </si>
  <si>
    <t>T-283</t>
  </si>
  <si>
    <t>62817138888</t>
  </si>
  <si>
    <t>T-0687</t>
  </si>
  <si>
    <t>Fitrian</t>
  </si>
  <si>
    <t>BVLGARI PS</t>
  </si>
  <si>
    <t>T-041</t>
  </si>
  <si>
    <t>Jl. Dharmawangsa IV No. 8</t>
  </si>
  <si>
    <t>T-042</t>
  </si>
  <si>
    <t>Limano</t>
  </si>
  <si>
    <t>T-043</t>
  </si>
  <si>
    <t>T-044</t>
  </si>
  <si>
    <t>T-0739</t>
  </si>
  <si>
    <t>T-321</t>
  </si>
  <si>
    <t>teddysuhartono@live.com</t>
  </si>
  <si>
    <t xml:space="preserve">taman giri loka M-8
SCB SERPONG</t>
  </si>
  <si>
    <t>TANG SEL</t>
  </si>
  <si>
    <t>T-0778</t>
  </si>
  <si>
    <t>Surianto</t>
  </si>
  <si>
    <t>T-045</t>
  </si>
  <si>
    <t>Jl. Ki Mangun Sarkoro 54</t>
  </si>
  <si>
    <t>T-0602</t>
  </si>
  <si>
    <t>T-0675</t>
  </si>
  <si>
    <t>6287886669111</t>
  </si>
  <si>
    <t>T-306</t>
  </si>
  <si>
    <t>pbajkt@gmail.com</t>
  </si>
  <si>
    <t>Jl. Pantai Mutiara blok Q no 5</t>
  </si>
  <si>
    <t>T-0442</t>
  </si>
  <si>
    <t>T-0713</t>
  </si>
  <si>
    <t>T-0824</t>
  </si>
  <si>
    <t>6281293999833</t>
  </si>
  <si>
    <t>T-331</t>
  </si>
  <si>
    <t>T-183</t>
  </si>
  <si>
    <t>T-047</t>
  </si>
  <si>
    <t>Tee</t>
  </si>
  <si>
    <t>Kuian</t>
  </si>
  <si>
    <t xml:space="preserve">Jl. Alam Asri 4 No. 7
Pondok Indah</t>
  </si>
  <si>
    <t>T-0755</t>
  </si>
  <si>
    <t>Tegar</t>
  </si>
  <si>
    <t>T-0596</t>
  </si>
  <si>
    <t>Citra Garden Greenhill GH12/2 Sidoarjo, Surabaya</t>
  </si>
  <si>
    <t>T-193</t>
  </si>
  <si>
    <t>T-340</t>
  </si>
  <si>
    <t>tthebest@cbn.net.id</t>
  </si>
  <si>
    <t>pakubuwono VI no11a , kebayoran baru jaksel</t>
  </si>
  <si>
    <t>T-0405</t>
  </si>
  <si>
    <t>Teky</t>
  </si>
  <si>
    <t>Maloa</t>
  </si>
  <si>
    <t>Plaza BII lt 14</t>
  </si>
  <si>
    <t>T-243</t>
  </si>
  <si>
    <t>Temmy</t>
  </si>
  <si>
    <t>T-0455</t>
  </si>
  <si>
    <t>Tengku</t>
  </si>
  <si>
    <t>628161934103</t>
  </si>
  <si>
    <t>T-0819</t>
  </si>
  <si>
    <t>6281298895577</t>
  </si>
  <si>
    <t>T-292</t>
  </si>
  <si>
    <t>Mandarina</t>
  </si>
  <si>
    <t>T-351</t>
  </si>
  <si>
    <t>628161801367</t>
  </si>
  <si>
    <t>T-0804</t>
  </si>
  <si>
    <t>T-0646</t>
  </si>
  <si>
    <t>Tenri</t>
  </si>
  <si>
    <t>Pawelangi</t>
  </si>
  <si>
    <t>628131848055</t>
  </si>
  <si>
    <t>Jl Aditiyawarman 36 Jakarta Selatan</t>
  </si>
  <si>
    <t>T-051</t>
  </si>
  <si>
    <t>T-0795</t>
  </si>
  <si>
    <t>Teodoro</t>
  </si>
  <si>
    <t>alvin.teodoro.md@gmail.com</t>
  </si>
  <si>
    <t>T-0760</t>
  </si>
  <si>
    <t>Terdy</t>
  </si>
  <si>
    <t>Mengko</t>
  </si>
  <si>
    <t>+6281156728</t>
  </si>
  <si>
    <t xml:space="preserve">APT.French Walk Tower Paris Gardwn 30C. 
Kel.Kep Gading Barat </t>
  </si>
  <si>
    <t>T-0783</t>
  </si>
  <si>
    <t>Terence</t>
  </si>
  <si>
    <t>T-0808</t>
  </si>
  <si>
    <t>Teresa</t>
  </si>
  <si>
    <t>Limandra</t>
  </si>
  <si>
    <t>teresa.limandra@yahoo.com</t>
  </si>
  <si>
    <t>+6282219339992</t>
  </si>
  <si>
    <t>Jl Ponoasi Ujung Jakarta</t>
  </si>
  <si>
    <t>T-053</t>
  </si>
  <si>
    <t>Teresia</t>
  </si>
  <si>
    <t>(0751) 21098</t>
  </si>
  <si>
    <t>JL. Bahagia No.18 Kelapa Sawit Pekan Baru-Riau</t>
  </si>
  <si>
    <t>Riau, Pekanbaru</t>
  </si>
  <si>
    <t>T-0699</t>
  </si>
  <si>
    <t>T-0805</t>
  </si>
  <si>
    <t>Roselina</t>
  </si>
  <si>
    <t>+6281219898899</t>
  </si>
  <si>
    <t>Taman Beverly Golf, Jl. Danau Ranau No. 29, Lippo Karawaci</t>
  </si>
  <si>
    <t>T-054</t>
  </si>
  <si>
    <t>Villa Permata Gading</t>
  </si>
  <si>
    <t>Jl. Kumala 1 Blok J/7</t>
  </si>
  <si>
    <t>T-0681</t>
  </si>
  <si>
    <t>Teri</t>
  </si>
  <si>
    <t>T-0765</t>
  </si>
  <si>
    <t>Terrence</t>
  </si>
  <si>
    <t>Tiffany</t>
  </si>
  <si>
    <t>terr.tiffany@gmail.com</t>
  </si>
  <si>
    <t>Jl. Kelapa Nias I PB 2/3</t>
  </si>
  <si>
    <t>T-0586</t>
  </si>
  <si>
    <t>T-187</t>
  </si>
  <si>
    <t>wijayaterry@yahoo.com</t>
  </si>
  <si>
    <t xml:space="preserve">Senayan Bintaro HI - 9/1-2
Sektor 9. Bintaro Jaya</t>
  </si>
  <si>
    <t>T-250</t>
  </si>
  <si>
    <t>Tessa</t>
  </si>
  <si>
    <t>T-0773</t>
  </si>
  <si>
    <t>Manarina</t>
  </si>
  <si>
    <t>tessanm24@gmail.com</t>
  </si>
  <si>
    <t>Jl Kemang I D NO.17 RT012 RW001, Bangka,Mampang Prapatan</t>
  </si>
  <si>
    <t>T-0446</t>
  </si>
  <si>
    <t>Soviany</t>
  </si>
  <si>
    <t>tperdana@gmail.com</t>
  </si>
  <si>
    <t>628122350025</t>
  </si>
  <si>
    <t>Tebet Barat 2F</t>
  </si>
  <si>
    <t>T-059</t>
  </si>
  <si>
    <t>Teta</t>
  </si>
  <si>
    <t>T-0611</t>
  </si>
  <si>
    <t>Tetty</t>
  </si>
  <si>
    <t>T-0512</t>
  </si>
  <si>
    <t>Jl Bulevard Raya, Blok WE2/8 Jakarta.</t>
  </si>
  <si>
    <t>T-298</t>
  </si>
  <si>
    <t>Tety</t>
  </si>
  <si>
    <t>T-062</t>
  </si>
  <si>
    <t>Teuku</t>
  </si>
  <si>
    <t>Komp. Pesona Khayangan</t>
  </si>
  <si>
    <t>T-188</t>
  </si>
  <si>
    <t>Afriansyah</t>
  </si>
  <si>
    <t>T-0574</t>
  </si>
  <si>
    <t>Trisyadi</t>
  </si>
  <si>
    <t>628116321970</t>
  </si>
  <si>
    <t>T-0499</t>
  </si>
  <si>
    <t>6281210101001</t>
  </si>
  <si>
    <t>T-063</t>
  </si>
  <si>
    <t>Revikashah</t>
  </si>
  <si>
    <t xml:space="preserve">Komp Bukit Indah Kav 3
JL. Margasatwa Raya Cilandak Timur</t>
  </si>
  <si>
    <t>T-0885</t>
  </si>
  <si>
    <t>Teuku Ridawan</t>
  </si>
  <si>
    <t>teryza249@gmail.com</t>
  </si>
  <si>
    <t>+628114890611</t>
  </si>
  <si>
    <t>Jl. Anyelir G. 34, Jakarta Timur, Indonesia</t>
  </si>
  <si>
    <t>T-0534</t>
  </si>
  <si>
    <t>Zacky</t>
  </si>
  <si>
    <t>+628121080008</t>
  </si>
  <si>
    <t>Jl. Mushola No. 8A Ciputat</t>
  </si>
  <si>
    <t>T-0434</t>
  </si>
  <si>
    <t>Tevi</t>
  </si>
  <si>
    <t>Sarie</t>
  </si>
  <si>
    <t>6281299072722</t>
  </si>
  <si>
    <t>Kresna Tower Lt 6 18 Pasific Place</t>
  </si>
  <si>
    <t>T-076</t>
  </si>
  <si>
    <t>TH.</t>
  </si>
  <si>
    <t>T-0717</t>
  </si>
  <si>
    <t>Thahirah</t>
  </si>
  <si>
    <t>Andamas</t>
  </si>
  <si>
    <t>T-0479</t>
  </si>
  <si>
    <t>Thalianita</t>
  </si>
  <si>
    <t>6287878487679</t>
  </si>
  <si>
    <t>Jl.Camar I AE-10 Bintaro Jaya 3</t>
  </si>
  <si>
    <t>T-0585</t>
  </si>
  <si>
    <t>Thalisa</t>
  </si>
  <si>
    <t>T-391</t>
  </si>
  <si>
    <t>T-064</t>
  </si>
  <si>
    <t>W.U.</t>
  </si>
  <si>
    <t>T-065</t>
  </si>
  <si>
    <t>(Sumatera)</t>
  </si>
  <si>
    <t>T-0882</t>
  </si>
  <si>
    <t>Thanie</t>
  </si>
  <si>
    <t>6281932420324</t>
  </si>
  <si>
    <t xml:space="preserve">Duta Garden Cluster Hills E9 /29 
Tangerang</t>
  </si>
  <si>
    <t>T-066</t>
  </si>
  <si>
    <t>Thata</t>
  </si>
  <si>
    <t>Ruko Cempaka Mas Blok M-1 No. 12</t>
  </si>
  <si>
    <t>T-379</t>
  </si>
  <si>
    <t>Thaufick</t>
  </si>
  <si>
    <t>Jalan Cempaka Putih Timur</t>
  </si>
  <si>
    <t>T-0398</t>
  </si>
  <si>
    <t>T-0601</t>
  </si>
  <si>
    <t>JAN</t>
  </si>
  <si>
    <t>T-0846</t>
  </si>
  <si>
    <t>Mui</t>
  </si>
  <si>
    <t>T-165</t>
  </si>
  <si>
    <t>T-276</t>
  </si>
  <si>
    <t>Timotius</t>
  </si>
  <si>
    <t>T-0720</t>
  </si>
  <si>
    <t>Thedja</t>
  </si>
  <si>
    <t>T-0734</t>
  </si>
  <si>
    <t>Thelma</t>
  </si>
  <si>
    <t>T-172</t>
  </si>
  <si>
    <t>That</t>
  </si>
  <si>
    <t>T-272</t>
  </si>
  <si>
    <t>Theodoros</t>
  </si>
  <si>
    <t>Pertsinidis</t>
  </si>
  <si>
    <t>T-0867</t>
  </si>
  <si>
    <t>Theravithayangkura</t>
  </si>
  <si>
    <t>Kotchakamol Miss</t>
  </si>
  <si>
    <t>kotchamakamol.t@gmail.com</t>
  </si>
  <si>
    <t>66919595916</t>
  </si>
  <si>
    <t>T-0651</t>
  </si>
  <si>
    <t>T-217</t>
  </si>
  <si>
    <t>T-349</t>
  </si>
  <si>
    <t>T-316</t>
  </si>
  <si>
    <t xml:space="preserve">Jl. Martimbang 1 No.7
Kebayoran Baru</t>
  </si>
  <si>
    <t>T-0693</t>
  </si>
  <si>
    <t>Budhin</t>
  </si>
  <si>
    <t>628121020771</t>
  </si>
  <si>
    <t>T-0830</t>
  </si>
  <si>
    <t>Fulbrirtus</t>
  </si>
  <si>
    <t>6281319732204</t>
  </si>
  <si>
    <t>T-0473</t>
  </si>
  <si>
    <t>T-0444</t>
  </si>
  <si>
    <t>Syarief ABD No.81 CIREBON</t>
  </si>
  <si>
    <t>T-382</t>
  </si>
  <si>
    <t>Jl.Kencana Utama 1</t>
  </si>
  <si>
    <t>T-0631</t>
  </si>
  <si>
    <t>T-197</t>
  </si>
  <si>
    <t>Stefany</t>
  </si>
  <si>
    <t>T-0671</t>
  </si>
  <si>
    <t>628121152200</t>
  </si>
  <si>
    <t>Metro Kencana IV NO.10 PONDOK INDAH</t>
  </si>
  <si>
    <t>T-0797</t>
  </si>
  <si>
    <t>T-323</t>
  </si>
  <si>
    <t>BHR Bali</t>
  </si>
  <si>
    <t>T-303</t>
  </si>
  <si>
    <t>widjaya.theresia@gmail.com</t>
  </si>
  <si>
    <t>taman gisenda Blok E3/5 PIK</t>
  </si>
  <si>
    <t>T-0539</t>
  </si>
  <si>
    <t>Yemmy</t>
  </si>
  <si>
    <t>62811382115</t>
  </si>
  <si>
    <t>T-0559</t>
  </si>
  <si>
    <t>Taman Royal 3 Cluster Edelweiss</t>
  </si>
  <si>
    <t>T-0878</t>
  </si>
  <si>
    <t>Yuliaty</t>
  </si>
  <si>
    <t>Jalan Kemuning 20</t>
  </si>
  <si>
    <t>T-0877</t>
  </si>
  <si>
    <t>628122010581</t>
  </si>
  <si>
    <t>T-228</t>
  </si>
  <si>
    <t>Theresias.</t>
  </si>
  <si>
    <t>T-0834</t>
  </si>
  <si>
    <t>Theressia</t>
  </si>
  <si>
    <t>ibseressia.1977@yahoo.com</t>
  </si>
  <si>
    <t>62818880188</t>
  </si>
  <si>
    <t>Jalan Sunter Mediterania Blok D/12</t>
  </si>
  <si>
    <t>T-0880</t>
  </si>
  <si>
    <t>Thi Le</t>
  </si>
  <si>
    <t>Vu</t>
  </si>
  <si>
    <t>jolinvu158@gmail.com</t>
  </si>
  <si>
    <t>6287889894666</t>
  </si>
  <si>
    <t>T-0881</t>
  </si>
  <si>
    <t>Thia</t>
  </si>
  <si>
    <t>Chotijah</t>
  </si>
  <si>
    <t>thia.almena@yahoo.com</t>
  </si>
  <si>
    <t>+610474226025</t>
  </si>
  <si>
    <t>T-0443</t>
  </si>
  <si>
    <t>T-069</t>
  </si>
  <si>
    <t>Thias</t>
  </si>
  <si>
    <t>T-253</t>
  </si>
  <si>
    <t>T-0572</t>
  </si>
  <si>
    <t>Thien</t>
  </si>
  <si>
    <t>T-205</t>
  </si>
  <si>
    <t>Thierry</t>
  </si>
  <si>
    <t>Sebillotte</t>
  </si>
  <si>
    <t>T-350</t>
  </si>
  <si>
    <t>margiebsg@yahoo.com</t>
  </si>
  <si>
    <t>Taman Meruya Ilir Blok E2 No 16</t>
  </si>
  <si>
    <t>T-0667</t>
  </si>
  <si>
    <t>thiosiulie0209@gmail.com</t>
  </si>
  <si>
    <t>Orchid Vies No. 22, Indonesia</t>
  </si>
  <si>
    <t>T-0747</t>
  </si>
  <si>
    <t>Thirsya</t>
  </si>
  <si>
    <t>thirsya@gmail.com</t>
  </si>
  <si>
    <t>08118820512</t>
  </si>
  <si>
    <t>T-255</t>
  </si>
  <si>
    <t>Thirza</t>
  </si>
  <si>
    <t>T-0407</t>
  </si>
  <si>
    <t>Thita</t>
  </si>
  <si>
    <t>thita312@gmail.com</t>
  </si>
  <si>
    <t>Kempinski 49D</t>
  </si>
  <si>
    <t>T-240</t>
  </si>
  <si>
    <t>T-070</t>
  </si>
  <si>
    <t>Jl. Pedurenan 2A</t>
  </si>
  <si>
    <t>T-0872</t>
  </si>
  <si>
    <t>Thomas Allen</t>
  </si>
  <si>
    <t>Henthorne</t>
  </si>
  <si>
    <t>Thomas@thomashenthorne.com</t>
  </si>
  <si>
    <t>14158475584</t>
  </si>
  <si>
    <t>Alabama</t>
  </si>
  <si>
    <t>T-386</t>
  </si>
  <si>
    <t>Aquino</t>
  </si>
  <si>
    <t xml:space="preserve">Perumahan Puri Padi-Padi No. D25
Jalan Baiti Salmah 31, Tegal Rotan
Bintaro</t>
  </si>
  <si>
    <t>T-329</t>
  </si>
  <si>
    <t>Behrenbeck</t>
  </si>
  <si>
    <t>jbehrenbeck@gmail.com</t>
  </si>
  <si>
    <t xml:space="preserve">Shangrila Residences
Unit 17C</t>
  </si>
  <si>
    <t>T-0858</t>
  </si>
  <si>
    <t>816707370</t>
  </si>
  <si>
    <t>T-0868</t>
  </si>
  <si>
    <t>Thomas Patrick</t>
  </si>
  <si>
    <t>Mc Carthy</t>
  </si>
  <si>
    <t>tmccarth4@mytomthumb.com</t>
  </si>
  <si>
    <t>17862955298</t>
  </si>
  <si>
    <t>Miami, Florida,</t>
  </si>
  <si>
    <t>T-0663</t>
  </si>
  <si>
    <t>62811881561</t>
  </si>
  <si>
    <t>T-0820</t>
  </si>
  <si>
    <t>Berndt</t>
  </si>
  <si>
    <t>41787375021</t>
  </si>
  <si>
    <t>T-0742</t>
  </si>
  <si>
    <t>Thorogood</t>
  </si>
  <si>
    <t>T-0510</t>
  </si>
  <si>
    <t>Thryanthinar</t>
  </si>
  <si>
    <t>Bali View Cirendeu</t>
  </si>
  <si>
    <t>T-189</t>
  </si>
  <si>
    <t>Tia</t>
  </si>
  <si>
    <t>T-0516</t>
  </si>
  <si>
    <t>T-0553</t>
  </si>
  <si>
    <t>62811830909</t>
  </si>
  <si>
    <t>T-0792</t>
  </si>
  <si>
    <t>628121194151</t>
  </si>
  <si>
    <t>T-373</t>
  </si>
  <si>
    <t>Bramastra</t>
  </si>
  <si>
    <t>T-264</t>
  </si>
  <si>
    <t>T-311</t>
  </si>
  <si>
    <t>Iramawan</t>
  </si>
  <si>
    <t>T-0640</t>
  </si>
  <si>
    <t>T-315</t>
  </si>
  <si>
    <t>Setiamihardja</t>
  </si>
  <si>
    <t>T-319</t>
  </si>
  <si>
    <t>Tiamsyah</t>
  </si>
  <si>
    <t>Angka</t>
  </si>
  <si>
    <t>cet-elle23@yahoo.com</t>
  </si>
  <si>
    <t xml:space="preserve">Taman Rempoa Indah
Jln Palm Indah Blok 6/11</t>
  </si>
  <si>
    <t>T-0423</t>
  </si>
  <si>
    <t>Tian</t>
  </si>
  <si>
    <t>T-368</t>
  </si>
  <si>
    <t>T-0676</t>
  </si>
  <si>
    <t>Kinasih</t>
  </si>
  <si>
    <t>Bumi Karang Indah Blok C6 No 23</t>
  </si>
  <si>
    <t>T-0414</t>
  </si>
  <si>
    <t>totobo@sina.com</t>
  </si>
  <si>
    <t xml:space="preserve">Rm 251-3-401 Beijing Olympic Garden
Chao Yand District</t>
  </si>
  <si>
    <t>T-0659</t>
  </si>
  <si>
    <t>Tiana</t>
  </si>
  <si>
    <t>Kinantyas</t>
  </si>
  <si>
    <t>6287771001717</t>
  </si>
  <si>
    <t>Apartment 1Park Avenue Tower King unit K20a</t>
  </si>
  <si>
    <t>T-0810</t>
  </si>
  <si>
    <t>+6281293421995</t>
  </si>
  <si>
    <t>T-0682</t>
  </si>
  <si>
    <t>62818804500</t>
  </si>
  <si>
    <t>T-0506</t>
  </si>
  <si>
    <t>Azarine</t>
  </si>
  <si>
    <t>T-0723</t>
  </si>
  <si>
    <t>T-0706</t>
  </si>
  <si>
    <t>Jl.Simponi Mas 3 B318</t>
  </si>
  <si>
    <t>T-0879</t>
  </si>
  <si>
    <t>Gianina</t>
  </si>
  <si>
    <t>tiaragianina@gmail.com</t>
  </si>
  <si>
    <t>628117900099</t>
  </si>
  <si>
    <t>T-0811</t>
  </si>
  <si>
    <t>+6281128510777</t>
  </si>
  <si>
    <t>T-0670</t>
  </si>
  <si>
    <t>T-366</t>
  </si>
  <si>
    <t>Permatahari</t>
  </si>
  <si>
    <t>T-0840</t>
  </si>
  <si>
    <t>Rinardi</t>
  </si>
  <si>
    <t>tiara.rinardi14@gmail.com</t>
  </si>
  <si>
    <t>6285695591958</t>
  </si>
  <si>
    <t>T-0709</t>
  </si>
  <si>
    <t>blaclara 08@gmail.com</t>
  </si>
  <si>
    <t>Marbella Kemang Residence</t>
  </si>
  <si>
    <t>T-0769</t>
  </si>
  <si>
    <t>Jl.Puspita 7 no.12</t>
  </si>
  <si>
    <t>T-0821</t>
  </si>
  <si>
    <t>Zulfa</t>
  </si>
  <si>
    <t>tiarazulfa76@gmail.com</t>
  </si>
  <si>
    <t>6281299149977</t>
  </si>
  <si>
    <t>Perum De Mansion H-19 Alam Sutra T6R</t>
  </si>
  <si>
    <t>T-393</t>
  </si>
  <si>
    <t>Tias</t>
  </si>
  <si>
    <t>Nuziar</t>
  </si>
  <si>
    <t>T-0844</t>
  </si>
  <si>
    <t>tedewidjaja@gmail.com</t>
  </si>
  <si>
    <t>6281231688838</t>
  </si>
  <si>
    <t>Pantai Mutiara, Blok R/No. 42</t>
  </si>
  <si>
    <t>T-0680</t>
  </si>
  <si>
    <t>Sulijanto</t>
  </si>
  <si>
    <t>T-0763</t>
  </si>
  <si>
    <t>Tienniwaty</t>
  </si>
  <si>
    <t>tienniwaty@gmail.com</t>
  </si>
  <si>
    <t>T-0761</t>
  </si>
  <si>
    <t>Tifanny</t>
  </si>
  <si>
    <t>Bursa</t>
  </si>
  <si>
    <t>T-0866</t>
  </si>
  <si>
    <t>Tiffani</t>
  </si>
  <si>
    <t>Venia Sari</t>
  </si>
  <si>
    <t>tveniaa01@gmail.com</t>
  </si>
  <si>
    <t>6285961000098</t>
  </si>
  <si>
    <t>T-0874</t>
  </si>
  <si>
    <t>creativeworksbytiffanyaria@gmail.com</t>
  </si>
  <si>
    <t>6282129501935</t>
  </si>
  <si>
    <t>Pakubuwono House 31 G</t>
  </si>
  <si>
    <t>T-0787</t>
  </si>
  <si>
    <t>T-0647</t>
  </si>
  <si>
    <t>Khongo</t>
  </si>
  <si>
    <t>T-0715</t>
  </si>
  <si>
    <t>T-0876</t>
  </si>
  <si>
    <t xml:space="preserve">JL Walikota no.12
MedanPolonia, Medan Anggrung</t>
  </si>
  <si>
    <t>T-0726</t>
  </si>
  <si>
    <t>Tigo</t>
  </si>
  <si>
    <t>Wahono</t>
  </si>
  <si>
    <t>Tigo,wahono@gmail.com</t>
  </si>
  <si>
    <t>T-0684</t>
  </si>
  <si>
    <t>T-0562</t>
  </si>
  <si>
    <t>T-212</t>
  </si>
  <si>
    <t xml:space="preserve">Bukit Indah Cilandak Kav. 17
Jakarta Selatan</t>
  </si>
  <si>
    <t>T-0815</t>
  </si>
  <si>
    <t>Tika Ayu</t>
  </si>
  <si>
    <t>Hardianti</t>
  </si>
  <si>
    <t>ayuchantika1795@gmail.com</t>
  </si>
  <si>
    <t>6282210918494</t>
  </si>
  <si>
    <t>T-348</t>
  </si>
  <si>
    <t>Hendarto</t>
  </si>
  <si>
    <t xml:space="preserve">Jagakarsa Residence B3/11
Jagakarsa</t>
  </si>
  <si>
    <t>T-081</t>
  </si>
  <si>
    <t>62817113232</t>
  </si>
  <si>
    <t>T-320</t>
  </si>
  <si>
    <t>Pandanwangi</t>
  </si>
  <si>
    <t>tika.savitri@gmail.com</t>
  </si>
  <si>
    <t xml:space="preserve">JL. Janur Indah II Blok LA 9 No 2
Kelapa Gading Permai</t>
  </si>
  <si>
    <t>T-0638</t>
  </si>
  <si>
    <t>Tim</t>
  </si>
  <si>
    <t>N-0476</t>
  </si>
  <si>
    <t>Tima</t>
  </si>
  <si>
    <t>T-199</t>
  </si>
  <si>
    <t>Timbo</t>
  </si>
  <si>
    <t xml:space="preserve">JakTV 
Jl. Jendral Sudirman Kav.52-53 SCBD</t>
  </si>
  <si>
    <t>T-237</t>
  </si>
  <si>
    <t>Timmie</t>
  </si>
  <si>
    <t>T-0548</t>
  </si>
  <si>
    <t>Timontius</t>
  </si>
  <si>
    <t>T-182</t>
  </si>
  <si>
    <t>T-0656</t>
  </si>
  <si>
    <t>T-0857</t>
  </si>
  <si>
    <t>+14256283031</t>
  </si>
  <si>
    <t>T-168</t>
  </si>
  <si>
    <t>T-0400</t>
  </si>
  <si>
    <t>Thimotius</t>
  </si>
  <si>
    <t>Hnasen</t>
  </si>
  <si>
    <t>timitius2203@yahoo.com</t>
  </si>
  <si>
    <t>+6281331299888</t>
  </si>
  <si>
    <t>Kencana utama II Blok M8/20 Puri Kencana</t>
  </si>
  <si>
    <t>11610</t>
  </si>
  <si>
    <t>T-091</t>
  </si>
  <si>
    <t>Tin</t>
  </si>
  <si>
    <t>Zuraida</t>
  </si>
  <si>
    <t>Jl. Terusan Hang Lekir I Blok C No. 3</t>
  </si>
  <si>
    <t>T-226</t>
  </si>
  <si>
    <t>T-0776</t>
  </si>
  <si>
    <t>T-0721</t>
  </si>
  <si>
    <t>T-0470</t>
  </si>
  <si>
    <t>628139048899</t>
  </si>
  <si>
    <t>T-314</t>
  </si>
  <si>
    <t>tina</t>
  </si>
  <si>
    <t>agustina</t>
  </si>
  <si>
    <t>hanya TEST</t>
  </si>
  <si>
    <t>T-334</t>
  </si>
  <si>
    <t xml:space="preserve">Jln Bukit Golf Blok B1 no.11
BSD City</t>
  </si>
  <si>
    <t>T-242</t>
  </si>
  <si>
    <t>T-0396</t>
  </si>
  <si>
    <t>T-0488</t>
  </si>
  <si>
    <t>Ariane</t>
  </si>
  <si>
    <t>T-083</t>
  </si>
  <si>
    <t>Asnawati</t>
  </si>
  <si>
    <t>Jl. Sumenep 4</t>
  </si>
  <si>
    <t>T-0696</t>
  </si>
  <si>
    <t xml:space="preserve">Jl Kucica XVII JF 22 no 2 
Bintaro</t>
  </si>
  <si>
    <t>T-0403</t>
  </si>
  <si>
    <t>tmoonlove@gmail.com</t>
  </si>
  <si>
    <t>Tomang Utara no 23</t>
  </si>
  <si>
    <t>T-0428</t>
  </si>
  <si>
    <t>T-0412</t>
  </si>
  <si>
    <t>Gartina</t>
  </si>
  <si>
    <t>628111041458</t>
  </si>
  <si>
    <t>Tebet Barat VI/10</t>
  </si>
  <si>
    <t>T-0463</t>
  </si>
  <si>
    <t>Hamka</t>
  </si>
  <si>
    <t>T-0712</t>
  </si>
  <si>
    <t>62811722781</t>
  </si>
  <si>
    <t>JL. Way Semangka Atas No 45 Bandar Lampung</t>
  </si>
  <si>
    <t>T-0620</t>
  </si>
  <si>
    <t>Sangka</t>
  </si>
  <si>
    <t>T-086</t>
  </si>
  <si>
    <t>Jl. Pegolan Bunder 9</t>
  </si>
  <si>
    <t>T-0641</t>
  </si>
  <si>
    <t>Hj Siti Sutinah</t>
  </si>
  <si>
    <t>6281355885733</t>
  </si>
  <si>
    <t>T-0839</t>
  </si>
  <si>
    <t>T-0842</t>
  </si>
  <si>
    <t>Talisa</t>
  </si>
  <si>
    <t>628111928797</t>
  </si>
  <si>
    <t>Harewood House Kav 3 Cilandak</t>
  </si>
  <si>
    <t>T-305</t>
  </si>
  <si>
    <t>Tince</t>
  </si>
  <si>
    <t>Sumartini</t>
  </si>
  <si>
    <t xml:space="preserve">Jl. Bukit Golf Utama  PD 31
Pondok Indah</t>
  </si>
  <si>
    <t>T-0461</t>
  </si>
  <si>
    <t>Tinggo</t>
  </si>
  <si>
    <t>Subandi</t>
  </si>
  <si>
    <t>T-0422</t>
  </si>
  <si>
    <t>Tini</t>
  </si>
  <si>
    <t>T-0794</t>
  </si>
  <si>
    <t>Tantawi</t>
  </si>
  <si>
    <t>T-275</t>
  </si>
  <si>
    <t>Tinna</t>
  </si>
  <si>
    <t>T-090</t>
  </si>
  <si>
    <t>Tinne</t>
  </si>
  <si>
    <t>Rachmania</t>
  </si>
  <si>
    <t>23th Fl. Artha Graha Bldg.</t>
  </si>
  <si>
    <t>T-345</t>
  </si>
  <si>
    <t>T-0777</t>
  </si>
  <si>
    <t>Tintin</t>
  </si>
  <si>
    <t>Muksin</t>
  </si>
  <si>
    <t>Springville Boulevard PIK</t>
  </si>
  <si>
    <t>T-190</t>
  </si>
  <si>
    <t>62816746072</t>
  </si>
  <si>
    <t>T-0662</t>
  </si>
  <si>
    <t>Tinton</t>
  </si>
  <si>
    <t>T-0529</t>
  </si>
  <si>
    <t>Tinu</t>
  </si>
  <si>
    <t>T-0528</t>
  </si>
  <si>
    <t>ti_dell@yahoo.com</t>
  </si>
  <si>
    <t>6281333055085</t>
  </si>
  <si>
    <t>T-0711</t>
  </si>
  <si>
    <t>Setiyoso</t>
  </si>
  <si>
    <t>6281380316080</t>
  </si>
  <si>
    <t>M-1166</t>
  </si>
  <si>
    <t>Tiolan</t>
  </si>
  <si>
    <t>T-0707</t>
  </si>
  <si>
    <t>Tion</t>
  </si>
  <si>
    <t>Qoing</t>
  </si>
  <si>
    <t>T-0532</t>
  </si>
  <si>
    <t>Tiopan</t>
  </si>
  <si>
    <t>T-0822</t>
  </si>
  <si>
    <t>+62811782032</t>
  </si>
  <si>
    <t>T-0418</t>
  </si>
  <si>
    <t>Tirsa</t>
  </si>
  <si>
    <t>628111926890</t>
  </si>
  <si>
    <t>T-289</t>
  </si>
  <si>
    <t>T-370</t>
  </si>
  <si>
    <t>T-233</t>
  </si>
  <si>
    <t>Tirto</t>
  </si>
  <si>
    <t>Wahyoedi</t>
  </si>
  <si>
    <t>T-0472</t>
  </si>
  <si>
    <t>Tisa</t>
  </si>
  <si>
    <t>T-216</t>
  </si>
  <si>
    <t>Tisni</t>
  </si>
  <si>
    <t>T-291</t>
  </si>
  <si>
    <t>Tissa</t>
  </si>
  <si>
    <t>+628118856899</t>
  </si>
  <si>
    <t>T-092</t>
  </si>
  <si>
    <t>T-0736</t>
  </si>
  <si>
    <t>Suwandi Putri</t>
  </si>
  <si>
    <t>titasuwandip@gmail.com</t>
  </si>
  <si>
    <t>+6289652848206</t>
  </si>
  <si>
    <t>T-304</t>
  </si>
  <si>
    <t>T-0495</t>
  </si>
  <si>
    <t>Titi</t>
  </si>
  <si>
    <t>T-244</t>
  </si>
  <si>
    <t>T-327</t>
  </si>
  <si>
    <t>Titi DJ</t>
  </si>
  <si>
    <t>DJ</t>
  </si>
  <si>
    <t>6281311333000</t>
  </si>
  <si>
    <t>T-094</t>
  </si>
  <si>
    <t>T-0575</t>
  </si>
  <si>
    <t>kasinah</t>
  </si>
  <si>
    <t>T-0729</t>
  </si>
  <si>
    <t>Titi Radjo</t>
  </si>
  <si>
    <t>Padmaja</t>
  </si>
  <si>
    <t>08568834684</t>
  </si>
  <si>
    <t xml:space="preserve">JL.CIPAKU II NO.9
KEBAYORAN BARU , JAK - SEL</t>
  </si>
  <si>
    <t>T-0580</t>
  </si>
  <si>
    <t>T-0697</t>
  </si>
  <si>
    <t>T-0497</t>
  </si>
  <si>
    <t>Kota Wisata ,Madrid F3/20 Jakarta</t>
  </si>
  <si>
    <t>T-096</t>
  </si>
  <si>
    <t>JL. Anugerah Raya GG.H Alus No.28</t>
  </si>
  <si>
    <t>T-097</t>
  </si>
  <si>
    <t xml:space="preserve">Jl,Purworejo No,27
Jakarta Pusat</t>
  </si>
  <si>
    <t>T-0501</t>
  </si>
  <si>
    <t>Titi(08196658500)</t>
  </si>
  <si>
    <t>T-170</t>
  </si>
  <si>
    <t>Titiek</t>
  </si>
  <si>
    <t xml:space="preserve">Jl.Limau II/6
Jakarta</t>
  </si>
  <si>
    <t>T-0785</t>
  </si>
  <si>
    <t>Titik</t>
  </si>
  <si>
    <t>T-095</t>
  </si>
  <si>
    <t>Komariah</t>
  </si>
  <si>
    <t>T-274</t>
  </si>
  <si>
    <t>Mustikasari</t>
  </si>
  <si>
    <t>T-0436</t>
  </si>
  <si>
    <t>Titin</t>
  </si>
  <si>
    <t>T-0456</t>
  </si>
  <si>
    <t>titinchaidir@yahoo.com</t>
  </si>
  <si>
    <t>T-357</t>
  </si>
  <si>
    <t>Titis</t>
  </si>
  <si>
    <t>SH.MH</t>
  </si>
  <si>
    <t xml:space="preserve">Jl. Angkatan 45/ Kacaping No 1123A Dwikora 
Kec DEmang lebar daun 
Sumatera selatan</t>
  </si>
  <si>
    <t>T-0809</t>
  </si>
  <si>
    <t>Karto</t>
  </si>
  <si>
    <t>+628977149682</t>
  </si>
  <si>
    <t>T-0871</t>
  </si>
  <si>
    <t>Tiurin</t>
  </si>
  <si>
    <t>628286337985</t>
  </si>
  <si>
    <t>T-394</t>
  </si>
  <si>
    <t>Tiurma</t>
  </si>
  <si>
    <t>natalie.silalahi@gmail.com</t>
  </si>
  <si>
    <t>Suka Ramai Km 10, Duri Riau (Date Of Birth 12-12-1986)</t>
  </si>
  <si>
    <t>Duri, Riau</t>
  </si>
  <si>
    <t>T-184</t>
  </si>
  <si>
    <t>T-0703</t>
  </si>
  <si>
    <t>Beru</t>
  </si>
  <si>
    <t>tjanberu@gmail.com</t>
  </si>
  <si>
    <t>+6281288895899</t>
  </si>
  <si>
    <t xml:space="preserve">Puri Mansion, Atlanta 3/39
JL.Lingkar Luar BArat
Kembangan Selatan - Jak Bar 11610</t>
  </si>
  <si>
    <t>T-0616</t>
  </si>
  <si>
    <t>Jalan ancol Karang Bolong III/22</t>
  </si>
  <si>
    <t>T-0419</t>
  </si>
  <si>
    <t>Wie</t>
  </si>
  <si>
    <t>tjen.wie@id.ey.com</t>
  </si>
  <si>
    <t>BEI Tower 1 12th FL</t>
  </si>
  <si>
    <t>T-0546</t>
  </si>
  <si>
    <t>Tjendrawati</t>
  </si>
  <si>
    <t>T-0604</t>
  </si>
  <si>
    <t>Tjetjep</t>
  </si>
  <si>
    <t>T-0445</t>
  </si>
  <si>
    <t>Manyak Permai 7 Blok V-3 No.II</t>
  </si>
  <si>
    <t>T-0550</t>
  </si>
  <si>
    <t>Jansen</t>
  </si>
  <si>
    <t>6281938669729</t>
  </si>
  <si>
    <t>Sutra Delima 2 No.22 Alam Sutra</t>
  </si>
  <si>
    <t>T-309</t>
  </si>
  <si>
    <t>Maryanti</t>
  </si>
  <si>
    <t>T-325</t>
  </si>
  <si>
    <t>T-371</t>
  </si>
  <si>
    <t>Huat</t>
  </si>
  <si>
    <t>T-0694</t>
  </si>
  <si>
    <t>Bansen</t>
  </si>
  <si>
    <t>T-0581</t>
  </si>
  <si>
    <t>Tjin</t>
  </si>
  <si>
    <t>T-0870</t>
  </si>
  <si>
    <t>Tjiang</t>
  </si>
  <si>
    <t>Su San</t>
  </si>
  <si>
    <t>tjiang.susan@gmail.com</t>
  </si>
  <si>
    <t>6281350174656</t>
  </si>
  <si>
    <t>Jl. H. Agus Salim 32</t>
  </si>
  <si>
    <t>T-0814</t>
  </si>
  <si>
    <t>Tjie Khong</t>
  </si>
  <si>
    <t>Nyan</t>
  </si>
  <si>
    <t>6281764034403</t>
  </si>
  <si>
    <t>T-099</t>
  </si>
  <si>
    <t>Tjie</t>
  </si>
  <si>
    <t>Hwee</t>
  </si>
  <si>
    <t xml:space="preserve">Jl. Seminung No. 152
RT 08
Kepandean Baru</t>
  </si>
  <si>
    <t>T-0457</t>
  </si>
  <si>
    <t>Tjikok</t>
  </si>
  <si>
    <t>Tjikok@gmail.com</t>
  </si>
  <si>
    <t>Damar I No. 32 PIK</t>
  </si>
  <si>
    <t>T-307</t>
  </si>
  <si>
    <t>+6287785572929</t>
  </si>
  <si>
    <t>T-208</t>
  </si>
  <si>
    <t>Tjion</t>
  </si>
  <si>
    <t>T-0597</t>
  </si>
  <si>
    <t>Tjio</t>
  </si>
  <si>
    <t>hwa</t>
  </si>
  <si>
    <t>T-185</t>
  </si>
  <si>
    <t>Tjo</t>
  </si>
  <si>
    <t>Foe</t>
  </si>
  <si>
    <t>T-0668</t>
  </si>
  <si>
    <t>Hui She</t>
  </si>
  <si>
    <t>6282164954835</t>
  </si>
  <si>
    <t>T-0503</t>
  </si>
  <si>
    <t>Tjoaayyono</t>
  </si>
  <si>
    <t>Pronoto</t>
  </si>
  <si>
    <t>T-0448</t>
  </si>
  <si>
    <t>hidayat</t>
  </si>
  <si>
    <t>T-0823</t>
  </si>
  <si>
    <t>Berlim</t>
  </si>
  <si>
    <t>debbieberlim@gmail.com</t>
  </si>
  <si>
    <t>628119453195</t>
  </si>
  <si>
    <t>T-0612</t>
  </si>
  <si>
    <t>Tjoen</t>
  </si>
  <si>
    <t>Sjamsudin</t>
  </si>
  <si>
    <t>Jalan Gajah Mada No 149E</t>
  </si>
  <si>
    <t>T-0855</t>
  </si>
  <si>
    <t>6281585050900</t>
  </si>
  <si>
    <t>T-317</t>
  </si>
  <si>
    <t>handayani</t>
  </si>
  <si>
    <t>T-176</t>
  </si>
  <si>
    <t>Tjuastuti</t>
  </si>
  <si>
    <t>628158180909</t>
  </si>
  <si>
    <t>T-0636</t>
  </si>
  <si>
    <t xml:space="preserve">Pantai Mutiara Blok TB No.5
Pluit</t>
  </si>
  <si>
    <t>T-0406</t>
  </si>
  <si>
    <t>Tjut</t>
  </si>
  <si>
    <t>tjutfarah@yahoo.co.id</t>
  </si>
  <si>
    <t>T-0802</t>
  </si>
  <si>
    <t>Iskya</t>
  </si>
  <si>
    <t>Jl. Tebet Barat Dalam VI K/6</t>
  </si>
  <si>
    <t>T-0404</t>
  </si>
  <si>
    <t>Tjutju</t>
  </si>
  <si>
    <t>Istana Pasteur Regency CRB 57</t>
  </si>
  <si>
    <t>T-0698</t>
  </si>
  <si>
    <t>Toeloes</t>
  </si>
  <si>
    <t>BW</t>
  </si>
  <si>
    <t>T-0417</t>
  </si>
  <si>
    <t>Togar</t>
  </si>
  <si>
    <t>T-238</t>
  </si>
  <si>
    <t>Toha</t>
  </si>
  <si>
    <t>T-365</t>
  </si>
  <si>
    <t>Tohana</t>
  </si>
  <si>
    <t>62816914493</t>
  </si>
  <si>
    <t>T-0862</t>
  </si>
  <si>
    <t>Alexey</t>
  </si>
  <si>
    <t>Tolstogan</t>
  </si>
  <si>
    <t>atolstogan@mail.ru</t>
  </si>
  <si>
    <t>+79857693789</t>
  </si>
  <si>
    <t>T-0875</t>
  </si>
  <si>
    <t>Tom</t>
  </si>
  <si>
    <t>6282298666888</t>
  </si>
  <si>
    <t>T-245</t>
  </si>
  <si>
    <t>Tomas</t>
  </si>
  <si>
    <t>T-0724</t>
  </si>
  <si>
    <t>Tomi</t>
  </si>
  <si>
    <t>Triawan</t>
  </si>
  <si>
    <t>tomytriawan@gmail.com</t>
  </si>
  <si>
    <t>6285769538077</t>
  </si>
  <si>
    <t>Pecatu, uluwatu. bali</t>
  </si>
  <si>
    <t>T-0653</t>
  </si>
  <si>
    <t>Tommy</t>
  </si>
  <si>
    <t>T-0732</t>
  </si>
  <si>
    <t>T-105</t>
  </si>
  <si>
    <t>T-0584</t>
  </si>
  <si>
    <t>T-0854</t>
  </si>
  <si>
    <t>Barrell</t>
  </si>
  <si>
    <t>628164722002</t>
  </si>
  <si>
    <t>T-0786</t>
  </si>
  <si>
    <t>Chahyadi</t>
  </si>
  <si>
    <t>T-0692</t>
  </si>
  <si>
    <t>T-0660</t>
  </si>
  <si>
    <t>Kemenangan V No.11B</t>
  </si>
  <si>
    <t>T-0884</t>
  </si>
  <si>
    <t>Tomy</t>
  </si>
  <si>
    <t>Lyston</t>
  </si>
  <si>
    <t>6287888882631</t>
  </si>
  <si>
    <t>T-0731</t>
  </si>
  <si>
    <t>tommy.hermin@gmail.com</t>
  </si>
  <si>
    <t>T-0812</t>
  </si>
  <si>
    <t>tommy_senjaya168@icloud.com</t>
  </si>
  <si>
    <t>628112226168</t>
  </si>
  <si>
    <t>JL SEMAR NO.24 - JAWA BARAT</t>
  </si>
  <si>
    <t>T-375</t>
  </si>
  <si>
    <t>wardana-tommy@yahoo.com</t>
  </si>
  <si>
    <t>Jl. Petojo VIY 2 No.40</t>
  </si>
  <si>
    <t>T-286</t>
  </si>
  <si>
    <t>T-0561</t>
  </si>
  <si>
    <t>Jl.Cipinang Cempedak 1 No.26</t>
  </si>
  <si>
    <t>T-0633</t>
  </si>
  <si>
    <t>Tomo</t>
  </si>
  <si>
    <t>T-0520</t>
  </si>
  <si>
    <t>T-0471</t>
  </si>
  <si>
    <t>Overa</t>
  </si>
  <si>
    <t>6281574172502</t>
  </si>
  <si>
    <t>T-0661</t>
  </si>
  <si>
    <t>Rhamadian</t>
  </si>
  <si>
    <t>T-0648</t>
  </si>
  <si>
    <t>T-0540</t>
  </si>
  <si>
    <t>Tondi</t>
  </si>
  <si>
    <t>T-0565</t>
  </si>
  <si>
    <t>13864207010@163.com</t>
  </si>
  <si>
    <t>+8613864207010</t>
  </si>
  <si>
    <t>T-0883</t>
  </si>
  <si>
    <t>Tong</t>
  </si>
  <si>
    <t>Zhijun</t>
  </si>
  <si>
    <t>tzsij@263.net</t>
  </si>
  <si>
    <t>8618688786862</t>
  </si>
  <si>
    <t>T-328</t>
  </si>
  <si>
    <t>Toni</t>
  </si>
  <si>
    <t>T-107</t>
  </si>
  <si>
    <t>Jl. Babakan Sari No.14</t>
  </si>
  <si>
    <t>T-0686</t>
  </si>
  <si>
    <t>Aristono</t>
  </si>
  <si>
    <t>628119980464</t>
  </si>
  <si>
    <t>T-0475</t>
  </si>
  <si>
    <t>fujiarta</t>
  </si>
  <si>
    <t>T-252</t>
  </si>
  <si>
    <t>setiawan</t>
  </si>
  <si>
    <t>tonisetiawan@gmail.com</t>
  </si>
  <si>
    <t xml:space="preserve">Kintamani Barat Blok LF No.12A
Jakarta</t>
  </si>
  <si>
    <t>T-0791</t>
  </si>
  <si>
    <t>T-267</t>
  </si>
  <si>
    <t>Witanto</t>
  </si>
  <si>
    <t>T-219</t>
  </si>
  <si>
    <t>Tonie</t>
  </si>
  <si>
    <t>T-0450</t>
  </si>
  <si>
    <t>Tonny</t>
  </si>
  <si>
    <t>T-0449</t>
  </si>
  <si>
    <t>TONNY</t>
  </si>
  <si>
    <t>T-110</t>
  </si>
  <si>
    <t>Jl. Sekolah Duta Raya 37</t>
  </si>
  <si>
    <t>T-108</t>
  </si>
  <si>
    <t>Herdianto</t>
  </si>
  <si>
    <t>T-0410</t>
  </si>
  <si>
    <t>Tony</t>
  </si>
  <si>
    <t>T-0606</t>
  </si>
  <si>
    <t>T-234</t>
  </si>
  <si>
    <t>T-111</t>
  </si>
  <si>
    <t>Jl, Walet Permai V/7</t>
  </si>
  <si>
    <t>T-112</t>
  </si>
  <si>
    <t>Aristrokat</t>
  </si>
  <si>
    <t>T-0541</t>
  </si>
  <si>
    <t>Budiawan</t>
  </si>
  <si>
    <t>+6281126578</t>
  </si>
  <si>
    <t xml:space="preserve">Virginia Lagoon Blok C7/16 
BSD</t>
  </si>
  <si>
    <t>T-0759</t>
  </si>
  <si>
    <t>Curran</t>
  </si>
  <si>
    <t>62811994119</t>
  </si>
  <si>
    <t xml:space="preserve">ATMOSFERA RESIDENCE
JAKARTA SELATAN</t>
  </si>
  <si>
    <t>T-113</t>
  </si>
  <si>
    <t>Jl. Diponogoro 24B</t>
  </si>
  <si>
    <t>T-0599</t>
  </si>
  <si>
    <t>T-266</t>
  </si>
  <si>
    <t>T-0678</t>
  </si>
  <si>
    <t>Ongkowijoyo</t>
  </si>
  <si>
    <t xml:space="preserve">Pakuwon City Cluster East Coast Park R7-22 
Surabaya</t>
  </si>
  <si>
    <t>T-0425</t>
  </si>
  <si>
    <t>T-227</t>
  </si>
  <si>
    <t>Prasetiantono</t>
  </si>
  <si>
    <t xml:space="preserve">Pesona Merapi J-7
Jl. Kali urang KM 95</t>
  </si>
  <si>
    <t>T-0689</t>
  </si>
  <si>
    <t>T-290</t>
  </si>
  <si>
    <t>T-0644</t>
  </si>
  <si>
    <t>Surabaya, Indonesia</t>
  </si>
  <si>
    <t>T-380</t>
  </si>
  <si>
    <t>Topians</t>
  </si>
  <si>
    <t>Silindu</t>
  </si>
  <si>
    <t>Topians.silindu@pmi.com</t>
  </si>
  <si>
    <t xml:space="preserve">One Pacific Place Lt. 20 SCBD 
Jl. Jendral Sudirman Kav 52-53</t>
  </si>
  <si>
    <t>T-0623</t>
  </si>
  <si>
    <t>Topin</t>
  </si>
  <si>
    <t>T-0578</t>
  </si>
  <si>
    <t>TORZAWA</t>
  </si>
  <si>
    <t>RYO</t>
  </si>
  <si>
    <t>T-207</t>
  </si>
  <si>
    <t>Toshihro</t>
  </si>
  <si>
    <t>Arai</t>
  </si>
  <si>
    <t>T-0657</t>
  </si>
  <si>
    <t>Toto</t>
  </si>
  <si>
    <t>T-127</t>
  </si>
  <si>
    <t>T-0447</t>
  </si>
  <si>
    <t>Sugiri</t>
  </si>
  <si>
    <t>T-361</t>
  </si>
  <si>
    <t>Jl. Cilandak Bawah II/44</t>
  </si>
  <si>
    <t>T-0799</t>
  </si>
  <si>
    <t>Toure</t>
  </si>
  <si>
    <t>Gnegneri</t>
  </si>
  <si>
    <t>qiannan.guu7@gmail.com</t>
  </si>
  <si>
    <t>T-0685</t>
  </si>
  <si>
    <t>Tracy</t>
  </si>
  <si>
    <t>T-0538</t>
  </si>
  <si>
    <t>Treacia</t>
  </si>
  <si>
    <t>T-133</t>
  </si>
  <si>
    <t>Treesye</t>
  </si>
  <si>
    <t>Rhodes</t>
  </si>
  <si>
    <t>Komp. Kusuma Dwipa Blok G No. 8</t>
  </si>
  <si>
    <t>Cikupa</t>
  </si>
  <si>
    <t>T-134</t>
  </si>
  <si>
    <t>2nd Fl. Kosgoro Bldg.</t>
  </si>
  <si>
    <t>T-0502</t>
  </si>
  <si>
    <t>Tresia</t>
  </si>
  <si>
    <t>Dapu</t>
  </si>
  <si>
    <t>T-0677</t>
  </si>
  <si>
    <t>Sarumpaet</t>
  </si>
  <si>
    <t>6281310077747</t>
  </si>
  <si>
    <t>T-0637</t>
  </si>
  <si>
    <t>Tresno</t>
  </si>
  <si>
    <t>T-0496</t>
  </si>
  <si>
    <t>Tri</t>
  </si>
  <si>
    <t>T-0753</t>
  </si>
  <si>
    <t>Bintorowati</t>
  </si>
  <si>
    <t xml:space="preserve">Mahkota Residence 3 No,456, Jl.Siaga II.
Pejaten Barat, Pasar Minggu </t>
  </si>
  <si>
    <t>T-0798</t>
  </si>
  <si>
    <t>Hanurita</t>
  </si>
  <si>
    <t>6285692935788</t>
  </si>
  <si>
    <t>T-194</t>
  </si>
  <si>
    <t>Hardiyanto</t>
  </si>
  <si>
    <t xml:space="preserve">Jl. Wijaya Kusuma Raya no. 98
Taman Jasmin - Bogor
Jawa Barat</t>
  </si>
  <si>
    <t>T-200</t>
  </si>
  <si>
    <t>T-0704</t>
  </si>
  <si>
    <t>Koriany</t>
  </si>
  <si>
    <t>T-213</t>
  </si>
  <si>
    <t xml:space="preserve">LORIN RESIDENCE F27
SUKOHARJO - SOLO</t>
  </si>
  <si>
    <t>T-0771</t>
  </si>
  <si>
    <t>Mukkhdi</t>
  </si>
  <si>
    <t>T-353</t>
  </si>
  <si>
    <t>Perumahan Villa Permata Gading Blok M21-22</t>
  </si>
  <si>
    <t>T-0650</t>
  </si>
  <si>
    <t>T-0613</t>
  </si>
  <si>
    <t>Tri Riska</t>
  </si>
  <si>
    <t>6282174234745</t>
  </si>
  <si>
    <t xml:space="preserve">Jl. Rambutan No. 9
Pejaten Barat</t>
  </si>
  <si>
    <t>T-0852</t>
  </si>
  <si>
    <t>trisanjayaliu@gmail.com</t>
  </si>
  <si>
    <t>6281255455566</t>
  </si>
  <si>
    <t>T-140</t>
  </si>
  <si>
    <t xml:space="preserve">Gedung Mitra Lt. 8
Jl. Gatot Subroto Kav. 21</t>
  </si>
  <si>
    <t>T-0432</t>
  </si>
  <si>
    <t>T-372</t>
  </si>
  <si>
    <t>mirazraja@yahoo.co.id</t>
  </si>
  <si>
    <t>T-236</t>
  </si>
  <si>
    <t>T-0740</t>
  </si>
  <si>
    <t>utamisutomo311@gmail.com</t>
  </si>
  <si>
    <t>T-0741</t>
  </si>
  <si>
    <t>Joyosentoso</t>
  </si>
  <si>
    <t>Citraland the greenlake Surabaya</t>
  </si>
  <si>
    <t>T-0746</t>
  </si>
  <si>
    <t>T-0710</t>
  </si>
  <si>
    <t>wahyunitri@gmail.com</t>
  </si>
  <si>
    <t>Jl. Ahmad Wongso Perum Bukit Permata</t>
  </si>
  <si>
    <t>Pangkalan Bun</t>
  </si>
  <si>
    <t>T-376</t>
  </si>
  <si>
    <t>Tria</t>
  </si>
  <si>
    <t>nanushka247@gmail.com</t>
  </si>
  <si>
    <t xml:space="preserve">The Mayflower Unit 3309
Indofood Tower
Jl. Jendral Sudirman Kav 76-78</t>
  </si>
  <si>
    <t>T-0483</t>
  </si>
  <si>
    <t>Perum Citragran ,Mansion Garden,Blok K5 No.8 Cibubur</t>
  </si>
  <si>
    <t>T-0762</t>
  </si>
  <si>
    <t>Krisandini</t>
  </si>
  <si>
    <t>T-0643</t>
  </si>
  <si>
    <t>T-0702</t>
  </si>
  <si>
    <t xml:space="preserve">Jl. BDN II No.27 South  Jakarta 12430
</t>
  </si>
  <si>
    <t>T-0526</t>
  </si>
  <si>
    <t>Triandi</t>
  </si>
  <si>
    <t>T-0788</t>
  </si>
  <si>
    <t>Trianti</t>
  </si>
  <si>
    <t>Anorogo</t>
  </si>
  <si>
    <t>trianorogo@gmail.com</t>
  </si>
  <si>
    <t>+6282112112765</t>
  </si>
  <si>
    <t xml:space="preserve">Jl Jati Murni no.9 RT8/2
Jati Padang, Pejaten
Pasar Minggu - JAk Sel</t>
  </si>
  <si>
    <t>T-229</t>
  </si>
  <si>
    <t>Tribowo</t>
  </si>
  <si>
    <t>T-0622</t>
  </si>
  <si>
    <t>T-299</t>
  </si>
  <si>
    <t>Tridia</t>
  </si>
  <si>
    <t>T-0714</t>
  </si>
  <si>
    <t>Triesna</t>
  </si>
  <si>
    <t>Wacik</t>
  </si>
  <si>
    <t>joglo193@gmail.com</t>
  </si>
  <si>
    <t xml:space="preserve">JL.Senayan Utama H1 6/1 Bintaro Jaya
Tangerang Selatan 15229</t>
  </si>
  <si>
    <t>T-279</t>
  </si>
  <si>
    <t>Trifena</t>
  </si>
  <si>
    <t>T-246</t>
  </si>
  <si>
    <t>Trini</t>
  </si>
  <si>
    <t>M-1201</t>
  </si>
  <si>
    <t>Yuniar.</t>
  </si>
  <si>
    <t>Wedding Anniversary 20/02</t>
  </si>
  <si>
    <t>T-0498</t>
  </si>
  <si>
    <t>Tris</t>
  </si>
  <si>
    <t>Paeruhan</t>
  </si>
  <si>
    <t>T-0480</t>
  </si>
  <si>
    <t>Triska</t>
  </si>
  <si>
    <t>sastiono</t>
  </si>
  <si>
    <t>T-0523</t>
  </si>
  <si>
    <t>Trisna</t>
  </si>
  <si>
    <t>T-342</t>
  </si>
  <si>
    <t>T-0672</t>
  </si>
  <si>
    <t>F-0646</t>
  </si>
  <si>
    <t>6282165168555</t>
  </si>
  <si>
    <t>komplek givency one blok k12A ,gaperta ujung medan helvetia</t>
  </si>
  <si>
    <t>20113</t>
  </si>
  <si>
    <t>T-0625</t>
  </si>
  <si>
    <t>T-0654</t>
  </si>
  <si>
    <t>Trissa</t>
  </si>
  <si>
    <t xml:space="preserve">komp polri ulujami blok d no 8 jakarta 
aniv : 02/10/2004</t>
  </si>
  <si>
    <t>T-0515</t>
  </si>
  <si>
    <t>Tristan</t>
  </si>
  <si>
    <t>T-0789</t>
  </si>
  <si>
    <t>Trisuseno</t>
  </si>
  <si>
    <t>T-0745</t>
  </si>
  <si>
    <t>Triweka</t>
  </si>
  <si>
    <t>Rinanti</t>
  </si>
  <si>
    <t>T-0800</t>
  </si>
  <si>
    <t>Triyosowati</t>
  </si>
  <si>
    <t>+628121061603</t>
  </si>
  <si>
    <t>T-0843</t>
  </si>
  <si>
    <t>Triyudo</t>
  </si>
  <si>
    <t>6285959090985</t>
  </si>
  <si>
    <t>Aspen Residences Tower B17/11</t>
  </si>
  <si>
    <t>T-0402</t>
  </si>
  <si>
    <t>Trudi</t>
  </si>
  <si>
    <t>tc@dave2wear.com</t>
  </si>
  <si>
    <t>Villa TAnu Umalas 4 Satu 63</t>
  </si>
  <si>
    <t>T-335</t>
  </si>
  <si>
    <t>Trupti</t>
  </si>
  <si>
    <t>Biyani Saboo</t>
  </si>
  <si>
    <t>trupti1975@hotmail.com</t>
  </si>
  <si>
    <t>62811806921</t>
  </si>
  <si>
    <t>T-0469</t>
  </si>
  <si>
    <t>Tsahyono</t>
  </si>
  <si>
    <t>Imawan</t>
  </si>
  <si>
    <t>T-0847</t>
  </si>
  <si>
    <t>Shen-An</t>
  </si>
  <si>
    <t>tuyyang901224@gmail.com</t>
  </si>
  <si>
    <t>8860912349582</t>
  </si>
  <si>
    <t>T-0833</t>
  </si>
  <si>
    <t>Tsaniya Diva</t>
  </si>
  <si>
    <t>Puteri</t>
  </si>
  <si>
    <t>divatdp6@gamil.com</t>
  </si>
  <si>
    <t>61493325224</t>
  </si>
  <si>
    <t>Kota Wisata Paris C8/1</t>
  </si>
  <si>
    <t>T-0836</t>
  </si>
  <si>
    <t>Tsareva</t>
  </si>
  <si>
    <t>Iuliia</t>
  </si>
  <si>
    <t>79279068906</t>
  </si>
  <si>
    <t>T-0537</t>
  </si>
  <si>
    <t>Tshang</t>
  </si>
  <si>
    <t>T-0831</t>
  </si>
  <si>
    <t>Tsubota</t>
  </si>
  <si>
    <t>Nobutaka</t>
  </si>
  <si>
    <t>nobutakatsubota@gmail.com</t>
  </si>
  <si>
    <t>819060811555</t>
  </si>
  <si>
    <t>T-383</t>
  </si>
  <si>
    <t>Tsuchiya</t>
  </si>
  <si>
    <t>Keizi</t>
  </si>
  <si>
    <t>T-0825</t>
  </si>
  <si>
    <t>Tsukanova</t>
  </si>
  <si>
    <t>Liubov</t>
  </si>
  <si>
    <t>te8eda1983@gmail.com</t>
  </si>
  <si>
    <t>79257190727</t>
  </si>
  <si>
    <t>T-0848</t>
  </si>
  <si>
    <t>Tsuroshi</t>
  </si>
  <si>
    <t>Niida</t>
  </si>
  <si>
    <t>+09018089222</t>
  </si>
  <si>
    <t>T-0738</t>
  </si>
  <si>
    <t>Tsuzuki</t>
  </si>
  <si>
    <t>Shoichi</t>
  </si>
  <si>
    <t>T-0770</t>
  </si>
  <si>
    <t>T-162</t>
  </si>
  <si>
    <t>Tudong</t>
  </si>
  <si>
    <t>Jl. Sudirman 28</t>
  </si>
  <si>
    <t>T-0757</t>
  </si>
  <si>
    <t>Tulchynska</t>
  </si>
  <si>
    <t>anastasiia</t>
  </si>
  <si>
    <t>T-0779</t>
  </si>
  <si>
    <t>Tumbu</t>
  </si>
  <si>
    <t>T-0535</t>
  </si>
  <si>
    <t>T-0441</t>
  </si>
  <si>
    <t>Tumiyono</t>
  </si>
  <si>
    <t xml:space="preserve">Jl. Bumi 14
Cipayung</t>
  </si>
  <si>
    <t>T-0744</t>
  </si>
  <si>
    <t>Tumsaroj</t>
  </si>
  <si>
    <t>Saovaluck</t>
  </si>
  <si>
    <t>T-0816</t>
  </si>
  <si>
    <t>Tunoy</t>
  </si>
  <si>
    <t>Mukherjee</t>
  </si>
  <si>
    <t>08118655255</t>
  </si>
  <si>
    <t>T-0609</t>
  </si>
  <si>
    <t>Turina</t>
  </si>
  <si>
    <t>T-392</t>
  </si>
  <si>
    <t>Suyatman</t>
  </si>
  <si>
    <t>T-0841</t>
  </si>
  <si>
    <t>Turkun</t>
  </si>
  <si>
    <t>Serra</t>
  </si>
  <si>
    <t>serraturkunn@gmail.com</t>
  </si>
  <si>
    <t>+905383829696</t>
  </si>
  <si>
    <t>T-0505</t>
  </si>
  <si>
    <t>Tusin</t>
  </si>
  <si>
    <t>kaman</t>
  </si>
  <si>
    <t>T-0683</t>
  </si>
  <si>
    <t>Tusyana</t>
  </si>
  <si>
    <t>62816821057</t>
  </si>
  <si>
    <t xml:space="preserve">Perumahan Mutiara Kedoya Blok B2 No.4 , Jl. Puri Kembangan, Jakarta 11520
</t>
  </si>
  <si>
    <t>T-333</t>
  </si>
  <si>
    <t>T-0603</t>
  </si>
  <si>
    <t>T-0547</t>
  </si>
  <si>
    <t>T-149</t>
  </si>
  <si>
    <t>Jl. Gaharu VII No. 2D</t>
  </si>
  <si>
    <t>T-150</t>
  </si>
  <si>
    <t>628161852970</t>
  </si>
  <si>
    <t>Jl. Lembang III/12</t>
  </si>
  <si>
    <t>T-167</t>
  </si>
  <si>
    <t>T-0591</t>
  </si>
  <si>
    <t>62811822022</t>
  </si>
  <si>
    <t>Jalan Taman Golf Timur Diamond Golf DDG No. 23, Pantai Indah Kapuk, Jakarta Utara 14470</t>
  </si>
  <si>
    <t>T-341</t>
  </si>
  <si>
    <t>Nurchayati</t>
  </si>
  <si>
    <t>tutynurchayaty63@gmail.com</t>
  </si>
  <si>
    <t>Terusan Galunggung No 5</t>
  </si>
  <si>
    <t>T-154</t>
  </si>
  <si>
    <t>6281381381593</t>
  </si>
  <si>
    <t>Jl.Iskandarsyah II/88</t>
  </si>
  <si>
    <t>T-195</t>
  </si>
  <si>
    <t>Tutik</t>
  </si>
  <si>
    <t>Moko</t>
  </si>
  <si>
    <t>Jl. Kangkung No. 28 Kebayoran Lama</t>
  </si>
  <si>
    <t>T-384</t>
  </si>
  <si>
    <t>Tutut</t>
  </si>
  <si>
    <t>Hareni</t>
  </si>
  <si>
    <t>tutut.hareni@yahoo.com</t>
  </si>
  <si>
    <t>Jl.alam segar V no.52 kel.kebayoran lama jaksel</t>
  </si>
  <si>
    <t>T-0735</t>
  </si>
  <si>
    <t>Tuty</t>
  </si>
  <si>
    <t>tuty_sbr@yahoo.com</t>
  </si>
  <si>
    <t>62811154917</t>
  </si>
  <si>
    <t>Kalibata Timur 4G no 8</t>
  </si>
  <si>
    <t>T-151</t>
  </si>
  <si>
    <t>Sumarsono</t>
  </si>
  <si>
    <t>Jl. Kencana II No. 3</t>
  </si>
  <si>
    <t>Komp. DPR Cilandak</t>
  </si>
  <si>
    <t>T-302</t>
  </si>
  <si>
    <t>Twiggy</t>
  </si>
  <si>
    <t>T-273</t>
  </si>
  <si>
    <t>Tya</t>
  </si>
  <si>
    <t>T-230</t>
  </si>
  <si>
    <t>T-0716</t>
  </si>
  <si>
    <t>T-0756</t>
  </si>
  <si>
    <t>6282210467047</t>
  </si>
  <si>
    <t>T-152</t>
  </si>
  <si>
    <t>Mirasih</t>
  </si>
  <si>
    <t>Perum. Raffles Hill Blok I-16 No. 19</t>
  </si>
  <si>
    <t>T-294</t>
  </si>
  <si>
    <t>T-389</t>
  </si>
  <si>
    <t>Rachmadizal</t>
  </si>
  <si>
    <t>T-260</t>
  </si>
  <si>
    <t>Tyaz</t>
  </si>
  <si>
    <t>T-0845</t>
  </si>
  <si>
    <t>Tymchuk</t>
  </si>
  <si>
    <t>hello@incircledxb.com</t>
  </si>
  <si>
    <t>971569972523</t>
  </si>
  <si>
    <t>T-153</t>
  </si>
  <si>
    <t>Tyo</t>
  </si>
  <si>
    <t>Setyoso</t>
  </si>
  <si>
    <t>The Resident Tower 1 / 42305</t>
  </si>
  <si>
    <t>T-0829</t>
  </si>
  <si>
    <t>Tyrrell</t>
  </si>
  <si>
    <t>leeandsve15@gmail.com</t>
  </si>
  <si>
    <t>61449802234</t>
  </si>
  <si>
    <t>T-0754</t>
  </si>
  <si>
    <t>Tzu</t>
  </si>
  <si>
    <t>T-0752</t>
  </si>
  <si>
    <t>Tzu,</t>
  </si>
  <si>
    <t>Pei-Fen</t>
  </si>
  <si>
    <t>U-0072</t>
  </si>
  <si>
    <t>Ubbo</t>
  </si>
  <si>
    <t>Christian De Witt</t>
  </si>
  <si>
    <t>u.dewitt@projekt-gmbh.de</t>
  </si>
  <si>
    <t>+491715027261</t>
  </si>
  <si>
    <t>U-0043</t>
  </si>
  <si>
    <t>Uchy</t>
  </si>
  <si>
    <t xml:space="preserve">Jln. Cempaka Putih Barat 25 No.4
Jakarta</t>
  </si>
  <si>
    <t>U-0068</t>
  </si>
  <si>
    <t>Ucok</t>
  </si>
  <si>
    <t>Ambarita</t>
  </si>
  <si>
    <t>Jl. Nuri Blok D5 , No 6</t>
  </si>
  <si>
    <t>U-0071</t>
  </si>
  <si>
    <t>+62811870021</t>
  </si>
  <si>
    <t>U-0055</t>
  </si>
  <si>
    <t>Udin</t>
  </si>
  <si>
    <t>U-033</t>
  </si>
  <si>
    <t>Ugi</t>
  </si>
  <si>
    <t>U-0049</t>
  </si>
  <si>
    <t>U-015</t>
  </si>
  <si>
    <t>Ujang</t>
  </si>
  <si>
    <t>+62811527212</t>
  </si>
  <si>
    <t>U-004</t>
  </si>
  <si>
    <t>Ukke</t>
  </si>
  <si>
    <t>Semanggi Apt. #1101</t>
  </si>
  <si>
    <t>Jl. Gatot Subroto Kav. 53B</t>
  </si>
  <si>
    <t>U-019</t>
  </si>
  <si>
    <t>Ukon</t>
  </si>
  <si>
    <t>Hendartono</t>
  </si>
  <si>
    <t>U-0059</t>
  </si>
  <si>
    <t>Uky</t>
  </si>
  <si>
    <t>U-0047</t>
  </si>
  <si>
    <t>Ulima</t>
  </si>
  <si>
    <t>Dynda</t>
  </si>
  <si>
    <t>PORSCHE CENTRE JAKARTA</t>
  </si>
  <si>
    <t>U-0056</t>
  </si>
  <si>
    <t>Ulina</t>
  </si>
  <si>
    <t>Komp Grand Polonia 5117 Medan</t>
  </si>
  <si>
    <t>U-018</t>
  </si>
  <si>
    <t>Ullie</t>
  </si>
  <si>
    <t>U-0058</t>
  </si>
  <si>
    <t>U-0050</t>
  </si>
  <si>
    <t>U-0067</t>
  </si>
  <si>
    <t>Nasatekay</t>
  </si>
  <si>
    <t>6282134348778</t>
  </si>
  <si>
    <t>U-0060</t>
  </si>
  <si>
    <t>umarrasyid2304@gmail.com</t>
  </si>
  <si>
    <t>U-0069</t>
  </si>
  <si>
    <t>U-008</t>
  </si>
  <si>
    <t>Umeda</t>
  </si>
  <si>
    <t>Tyusoh</t>
  </si>
  <si>
    <t>U-009</t>
  </si>
  <si>
    <t>Umi</t>
  </si>
  <si>
    <t>Taman Cilandak No. E.19</t>
  </si>
  <si>
    <t>U-0066</t>
  </si>
  <si>
    <t>Umiyati</t>
  </si>
  <si>
    <t>628129143641</t>
  </si>
  <si>
    <t>Jl. Pos Inerbang No. 39B</t>
  </si>
  <si>
    <t>U-0064</t>
  </si>
  <si>
    <t>Underwood</t>
  </si>
  <si>
    <t>Sean Patrick</t>
  </si>
  <si>
    <t>spunderwood@gmail.com</t>
  </si>
  <si>
    <t>17038592946</t>
  </si>
  <si>
    <t>U-017</t>
  </si>
  <si>
    <t>Ung</t>
  </si>
  <si>
    <t xml:space="preserve">#708 Dharmawangsa Apartemen
Jakarta Selatan</t>
  </si>
  <si>
    <t>U-0042</t>
  </si>
  <si>
    <t>Uni</t>
  </si>
  <si>
    <t>U-016</t>
  </si>
  <si>
    <t>Unie</t>
  </si>
  <si>
    <t>U-0034</t>
  </si>
  <si>
    <t>Unsuna</t>
  </si>
  <si>
    <t xml:space="preserve">Jl.Jembatan II Kompleks Arwana 2
Blok G No.34</t>
  </si>
  <si>
    <t>U-012</t>
  </si>
  <si>
    <t>Untung</t>
  </si>
  <si>
    <t xml:space="preserve">Jl. Pondok Hijau VII/20
Pondok Indah</t>
  </si>
  <si>
    <t>U-014</t>
  </si>
  <si>
    <t>Suyati</t>
  </si>
  <si>
    <t>U-022</t>
  </si>
  <si>
    <t>Upay</t>
  </si>
  <si>
    <t>Supartika Handoyo</t>
  </si>
  <si>
    <t>angelpay78@gmail.com</t>
  </si>
  <si>
    <t>+628111102788</t>
  </si>
  <si>
    <t xml:space="preserve">Jl. Salak No.12, RT 004/004
Bogor - Jawa Barat 16128</t>
  </si>
  <si>
    <t>U-0038</t>
  </si>
  <si>
    <t>Upik</t>
  </si>
  <si>
    <t>Susiyawati</t>
  </si>
  <si>
    <t>Jl. Medan Merdeka Selatan 14,</t>
  </si>
  <si>
    <t>U-026</t>
  </si>
  <si>
    <t>Uri</t>
  </si>
  <si>
    <t>Juhri</t>
  </si>
  <si>
    <t>U-030</t>
  </si>
  <si>
    <t>Urmay</t>
  </si>
  <si>
    <t>U-0065</t>
  </si>
  <si>
    <t>Niang</t>
  </si>
  <si>
    <t>maymayurmay@gmail.com</t>
  </si>
  <si>
    <t>6281319320526</t>
  </si>
  <si>
    <t>U-0061</t>
  </si>
  <si>
    <t>Urpis</t>
  </si>
  <si>
    <t>U-0044</t>
  </si>
  <si>
    <t>Tjuanda</t>
  </si>
  <si>
    <t>ursula_julia@yahoo.com</t>
  </si>
  <si>
    <t>Serenade Lake 35/1 Gading Serpong Jakarta</t>
  </si>
  <si>
    <t>U-028</t>
  </si>
  <si>
    <t>Usan</t>
  </si>
  <si>
    <t>U-0062</t>
  </si>
  <si>
    <t>Usanova</t>
  </si>
  <si>
    <t>Kostyantynivna</t>
  </si>
  <si>
    <t>U-0063</t>
  </si>
  <si>
    <t>Uschi</t>
  </si>
  <si>
    <t>U-0057</t>
  </si>
  <si>
    <t>Usha</t>
  </si>
  <si>
    <t>Jayachandra</t>
  </si>
  <si>
    <t>suresoft@yahoo.com</t>
  </si>
  <si>
    <t>573,upper palace orchaed,karnataka</t>
  </si>
  <si>
    <t>bangalore</t>
  </si>
  <si>
    <t>U-0048</t>
  </si>
  <si>
    <t>Usi</t>
  </si>
  <si>
    <t>U-031</t>
  </si>
  <si>
    <t>u-fakih@yaho.com</t>
  </si>
  <si>
    <t>APARTEMEN PATRIA PARK JL.DI.PANJAITAN KAV 5-7 CAWANG</t>
  </si>
  <si>
    <t>U-0037</t>
  </si>
  <si>
    <t>U-0051</t>
  </si>
  <si>
    <t>Saefudin</t>
  </si>
  <si>
    <t>U-0052</t>
  </si>
  <si>
    <t>Ussy</t>
  </si>
  <si>
    <t>U-0035</t>
  </si>
  <si>
    <t>Sulistiawaty</t>
  </si>
  <si>
    <t>U-029</t>
  </si>
  <si>
    <t>Ustin</t>
  </si>
  <si>
    <t>U-0070</t>
  </si>
  <si>
    <t>Uswatun</t>
  </si>
  <si>
    <t>oeswanah@gmail.com</t>
  </si>
  <si>
    <t>6285269830201</t>
  </si>
  <si>
    <t>Bandar Lampung - Lampung</t>
  </si>
  <si>
    <t>U-0054</t>
  </si>
  <si>
    <t>Jl.Puri Mutiara Raya No.1 Cipete Selatan</t>
  </si>
  <si>
    <t>U-010</t>
  </si>
  <si>
    <t>utami_ds@yahoo.com</t>
  </si>
  <si>
    <t xml:space="preserve">Jl. Tutul Raya H / 248 
Pondok Bambu</t>
  </si>
  <si>
    <t>U-011</t>
  </si>
  <si>
    <t>U-0053</t>
  </si>
  <si>
    <t>U-020</t>
  </si>
  <si>
    <t>Ute</t>
  </si>
  <si>
    <t>U-027</t>
  </si>
  <si>
    <t>Uthe</t>
  </si>
  <si>
    <t>U-0045</t>
  </si>
  <si>
    <t>Uti</t>
  </si>
  <si>
    <t>U-025</t>
  </si>
  <si>
    <t>Uwie</t>
  </si>
  <si>
    <t>uwiejulie47@yahoo.com</t>
  </si>
  <si>
    <t xml:space="preserve">Pulau Tabuan 4/18 Bandar lampung
Lampung 35135</t>
  </si>
  <si>
    <t>V-0370</t>
  </si>
  <si>
    <t>Vadillah</t>
  </si>
  <si>
    <t>Jl.Kusnan No.6. Cirebon</t>
  </si>
  <si>
    <t>V-0420</t>
  </si>
  <si>
    <t>Vaelovexia</t>
  </si>
  <si>
    <t>V-0553</t>
  </si>
  <si>
    <t>Anzhelika</t>
  </si>
  <si>
    <t>Vagapova</t>
  </si>
  <si>
    <t>Anzhelika.vagapova1@gmail.com</t>
  </si>
  <si>
    <t>971526265900</t>
  </si>
  <si>
    <t>V-0407</t>
  </si>
  <si>
    <t>Amijo</t>
  </si>
  <si>
    <t xml:space="preserve">Graha Family J-41A
Surabaya</t>
  </si>
  <si>
    <t>V-0475</t>
  </si>
  <si>
    <t>valenciajesslyn97@gmail.com</t>
  </si>
  <si>
    <t>6281399468615</t>
  </si>
  <si>
    <t xml:space="preserve">Greenbay Condominium Tower J 
Jakarta Utara</t>
  </si>
  <si>
    <t>V-0506</t>
  </si>
  <si>
    <t xml:space="preserve">Jl.Gading Golf Timur no.17
Paramount Hill Golf
Gading Serpong</t>
  </si>
  <si>
    <t>V-0447</t>
  </si>
  <si>
    <t>Jln. Kemang Harum Blok C6/14</t>
  </si>
  <si>
    <t>V-0499</t>
  </si>
  <si>
    <t>Valentine</t>
  </si>
  <si>
    <t>V-0577</t>
  </si>
  <si>
    <t>Valeri</t>
  </si>
  <si>
    <t>Hadiningrat</t>
  </si>
  <si>
    <t>valeriputri05@gmail.com</t>
  </si>
  <si>
    <t>6281213742740</t>
  </si>
  <si>
    <t>Jl. Dempo 1 No.70</t>
  </si>
  <si>
    <t>V-0471</t>
  </si>
  <si>
    <t>Valerie</t>
  </si>
  <si>
    <t>V-0576</t>
  </si>
  <si>
    <t>Valery</t>
  </si>
  <si>
    <t>Brahmana</t>
  </si>
  <si>
    <t>628111872988</t>
  </si>
  <si>
    <t>Denpasar Barat</t>
  </si>
  <si>
    <t>V-0496</t>
  </si>
  <si>
    <t>Valeryan</t>
  </si>
  <si>
    <t>V-0501</t>
  </si>
  <si>
    <t>Van</t>
  </si>
  <si>
    <t>Nederlandse</t>
  </si>
  <si>
    <t>Amsterdam</t>
  </si>
  <si>
    <t>V-344</t>
  </si>
  <si>
    <t>Vancelia</t>
  </si>
  <si>
    <t>Wiradjaja</t>
  </si>
  <si>
    <t>V-084</t>
  </si>
  <si>
    <t>Vanda</t>
  </si>
  <si>
    <t>Jl. Alam Asri 68L25</t>
  </si>
  <si>
    <t>V-001</t>
  </si>
  <si>
    <t>Kusumaningrum</t>
  </si>
  <si>
    <t>V-0535</t>
  </si>
  <si>
    <t>Vandenbroeck</t>
  </si>
  <si>
    <t>Vincent Eduard A</t>
  </si>
  <si>
    <t>32478503947</t>
  </si>
  <si>
    <t>V-0468</t>
  </si>
  <si>
    <t>Vandy</t>
  </si>
  <si>
    <t>novamdy.haroen@gmail.com</t>
  </si>
  <si>
    <t>62817871811</t>
  </si>
  <si>
    <t>V-0492</t>
  </si>
  <si>
    <t>Tjhang</t>
  </si>
  <si>
    <t>V-0467</t>
  </si>
  <si>
    <t>Vanesha</t>
  </si>
  <si>
    <t>vanesh99999@gmail.com</t>
  </si>
  <si>
    <t>V-0480</t>
  </si>
  <si>
    <t>Prescilla</t>
  </si>
  <si>
    <t>vaneshaass@gmail.com</t>
  </si>
  <si>
    <t>6285214881106</t>
  </si>
  <si>
    <t xml:space="preserve">Jl. Garuda 1 No.101 RT 01/02
Bintaro</t>
  </si>
  <si>
    <t>V-0358</t>
  </si>
  <si>
    <t>V-0439</t>
  </si>
  <si>
    <t>V-002</t>
  </si>
  <si>
    <t>Jl. Permata Hijau Blok C No. 72</t>
  </si>
  <si>
    <t>Grogol</t>
  </si>
  <si>
    <t>V-0534</t>
  </si>
  <si>
    <t>Vanessa Cindy</t>
  </si>
  <si>
    <t>Koenarto</t>
  </si>
  <si>
    <t>vanessacindyk@gmail.com</t>
  </si>
  <si>
    <t>628176946888</t>
  </si>
  <si>
    <t>Bogor Nirwana Residece Blok E No.85</t>
  </si>
  <si>
    <t>V-0466</t>
  </si>
  <si>
    <t>vanessfransisca@gmail.com</t>
  </si>
  <si>
    <t>Taman Grisenda Blok BI No.10,jakarta</t>
  </si>
  <si>
    <t>V-0427</t>
  </si>
  <si>
    <t>628111116312</t>
  </si>
  <si>
    <t>V-0479</t>
  </si>
  <si>
    <t>Michele</t>
  </si>
  <si>
    <t>V-0402</t>
  </si>
  <si>
    <t>ong</t>
  </si>
  <si>
    <t>V-056</t>
  </si>
  <si>
    <t>V-0558</t>
  </si>
  <si>
    <t>Vanessy</t>
  </si>
  <si>
    <t>6281295538590</t>
  </si>
  <si>
    <t>V-0524</t>
  </si>
  <si>
    <t>Vani</t>
  </si>
  <si>
    <t>V-0503</t>
  </si>
  <si>
    <t>6281212812844</t>
  </si>
  <si>
    <t>V-0404</t>
  </si>
  <si>
    <t>Fo</t>
  </si>
  <si>
    <t>V-104</t>
  </si>
  <si>
    <t>V-0455</t>
  </si>
  <si>
    <t>Vannesa</t>
  </si>
  <si>
    <t>Tiffanie</t>
  </si>
  <si>
    <t>V-0456</t>
  </si>
  <si>
    <t>Vanness</t>
  </si>
  <si>
    <t>V-0574</t>
  </si>
  <si>
    <t>Vannie</t>
  </si>
  <si>
    <t>Estecat</t>
  </si>
  <si>
    <t>astecatster@gmail.com</t>
  </si>
  <si>
    <t>628118002077</t>
  </si>
  <si>
    <t>Kemang Village Residence, Tiffany Tower, Jaksel</t>
  </si>
  <si>
    <t>V-0411</t>
  </si>
  <si>
    <t>Vanny</t>
  </si>
  <si>
    <t xml:space="preserve">Cluster San Lorenzo 7 No 8
Illago. Gading Serpong</t>
  </si>
  <si>
    <t>V-0363</t>
  </si>
  <si>
    <t>Vannysa</t>
  </si>
  <si>
    <t>Septiyani</t>
  </si>
  <si>
    <t>Apt.One Park Gandaria</t>
  </si>
  <si>
    <t>V-0419</t>
  </si>
  <si>
    <t>Vanty</t>
  </si>
  <si>
    <t>V-0514</t>
  </si>
  <si>
    <t>Vany</t>
  </si>
  <si>
    <t>Greenview Appartement A/015 B</t>
  </si>
  <si>
    <t>V-0458</t>
  </si>
  <si>
    <t>Vanya</t>
  </si>
  <si>
    <t>Ouvaroff</t>
  </si>
  <si>
    <t>Jl. Martimbang V No.10</t>
  </si>
  <si>
    <t>V-0519</t>
  </si>
  <si>
    <t>Vardanyan</t>
  </si>
  <si>
    <t>Aram</t>
  </si>
  <si>
    <t>V-0538</t>
  </si>
  <si>
    <t>Varel</t>
  </si>
  <si>
    <t>Exelino</t>
  </si>
  <si>
    <t>6281355757329</t>
  </si>
  <si>
    <t>V-0539</t>
  </si>
  <si>
    <t>Vashukevich</t>
  </si>
  <si>
    <t>nasa333316@gmail.com</t>
  </si>
  <si>
    <t>+79991142246</t>
  </si>
  <si>
    <t>Belarus</t>
  </si>
  <si>
    <t>V-322</t>
  </si>
  <si>
    <t>V-0579</t>
  </si>
  <si>
    <t>Vaya</t>
  </si>
  <si>
    <t>628125103551</t>
  </si>
  <si>
    <t>V-0401</t>
  </si>
  <si>
    <t>Vaysse</t>
  </si>
  <si>
    <t>V-0382</t>
  </si>
  <si>
    <t>Vea</t>
  </si>
  <si>
    <t>V-0470</t>
  </si>
  <si>
    <t>Vebiola</t>
  </si>
  <si>
    <t>Lavebi</t>
  </si>
  <si>
    <t>vlabebi@gmail.com</t>
  </si>
  <si>
    <t>V-0498</t>
  </si>
  <si>
    <t>Vee</t>
  </si>
  <si>
    <t>Narulita</t>
  </si>
  <si>
    <t xml:space="preserve">Jl.Camar blok BG/4 Sektor 3
Bintaro</t>
  </si>
  <si>
    <t>V-313</t>
  </si>
  <si>
    <t>V-105</t>
  </si>
  <si>
    <t>Rantetoding</t>
  </si>
  <si>
    <t xml:space="preserve">Ruko Bintaro Terrace II
Jl.Sumatera No.99 Bintaro(Office)</t>
  </si>
  <si>
    <t>Tang Sel</t>
  </si>
  <si>
    <t>V-0355</t>
  </si>
  <si>
    <t>Puri Cinere. Jl. Dago Blok KIII No. 17, Cinere</t>
  </si>
  <si>
    <t>V-0488</t>
  </si>
  <si>
    <t>Velagapudi</t>
  </si>
  <si>
    <t>Nikhitha</t>
  </si>
  <si>
    <t>V-0526</t>
  </si>
  <si>
    <t>Velen</t>
  </si>
  <si>
    <t>velenvelen@rocketmail.com</t>
  </si>
  <si>
    <t>Villa Taman Bandara Tangerang</t>
  </si>
  <si>
    <t>V-039</t>
  </si>
  <si>
    <t>Velezia</t>
  </si>
  <si>
    <t>V-081</t>
  </si>
  <si>
    <t>Velina</t>
  </si>
  <si>
    <t>V-0520</t>
  </si>
  <si>
    <t>Veliska</t>
  </si>
  <si>
    <t>laurensiaveliska@yahoo.com</t>
  </si>
  <si>
    <t>+628989316307</t>
  </si>
  <si>
    <t xml:space="preserve">Duren Sawit Indah A8/9 13470
</t>
  </si>
  <si>
    <t>V-091</t>
  </si>
  <si>
    <t>Velia</t>
  </si>
  <si>
    <t>velia.sonia@yahoo.com</t>
  </si>
  <si>
    <t>628179171717</t>
  </si>
  <si>
    <t>V-0541</t>
  </si>
  <si>
    <t>Vellen</t>
  </si>
  <si>
    <t>6285886476040</t>
  </si>
  <si>
    <t>Jl. Kenari Golf 7 BGM, PIK</t>
  </si>
  <si>
    <t>V-111</t>
  </si>
  <si>
    <t>Vellis</t>
  </si>
  <si>
    <t>V-0426</t>
  </si>
  <si>
    <t>Vembra</t>
  </si>
  <si>
    <t>Eldys</t>
  </si>
  <si>
    <t>V-0393</t>
  </si>
  <si>
    <t>Venantius</t>
  </si>
  <si>
    <t>T.H</t>
  </si>
  <si>
    <t>V-057</t>
  </si>
  <si>
    <t>Vendiana</t>
  </si>
  <si>
    <t>V-0384</t>
  </si>
  <si>
    <t>Venenza</t>
  </si>
  <si>
    <t>6281327331986</t>
  </si>
  <si>
    <t>Bintaro Palma townhouse D2 Sektor 9</t>
  </si>
  <si>
    <t>V-0442</t>
  </si>
  <si>
    <t>Venera</t>
  </si>
  <si>
    <t>Pratova</t>
  </si>
  <si>
    <t>Ubud - Bali</t>
  </si>
  <si>
    <t>V-0484</t>
  </si>
  <si>
    <t>Venesia</t>
  </si>
  <si>
    <t xml:space="preserve">Jl.Kesatria No.21 
Medan 20125</t>
  </si>
  <si>
    <t>V-340</t>
  </si>
  <si>
    <t>Venessa</t>
  </si>
  <si>
    <t>V-0569</t>
  </si>
  <si>
    <t>Venira</t>
  </si>
  <si>
    <t>621111805088</t>
  </si>
  <si>
    <t>V-110</t>
  </si>
  <si>
    <t>Venizia</t>
  </si>
  <si>
    <t>Zeng</t>
  </si>
  <si>
    <t>venizia_zheng@yahoo.com</t>
  </si>
  <si>
    <t>6282112054575</t>
  </si>
  <si>
    <t>Jl.asia baru blok H2</t>
  </si>
  <si>
    <t>V-0564</t>
  </si>
  <si>
    <t>Venly</t>
  </si>
  <si>
    <t>venyolivia.p@gmail.com</t>
  </si>
  <si>
    <t>6287765070275</t>
  </si>
  <si>
    <t>V-0356</t>
  </si>
  <si>
    <t>Venny</t>
  </si>
  <si>
    <t>Terianto</t>
  </si>
  <si>
    <t>+628111553000</t>
  </si>
  <si>
    <t>V-311</t>
  </si>
  <si>
    <t>vne_bob@yahoo.com</t>
  </si>
  <si>
    <t xml:space="preserve">Perum permata regency 
Permata HIjau 6 no 9</t>
  </si>
  <si>
    <t>M-1264</t>
  </si>
  <si>
    <t>V-089</t>
  </si>
  <si>
    <t>bahasadenny@gmail.com</t>
  </si>
  <si>
    <t>08112667575</t>
  </si>
  <si>
    <t>Bukit Golf Mediterania JL. Ebony 5 No.33 PIK</t>
  </si>
  <si>
    <t>V-086</t>
  </si>
  <si>
    <t>V-077</t>
  </si>
  <si>
    <t>Venti</t>
  </si>
  <si>
    <t>Ventina</t>
  </si>
  <si>
    <t>628161999464</t>
  </si>
  <si>
    <t>V-009</t>
  </si>
  <si>
    <t>Ventje</t>
  </si>
  <si>
    <t>Jl. Janur Elok III Blok QB-11 No. 3</t>
  </si>
  <si>
    <t>V-106</t>
  </si>
  <si>
    <t>Veny</t>
  </si>
  <si>
    <t>V-0450</t>
  </si>
  <si>
    <t>Venyy</t>
  </si>
  <si>
    <t xml:space="preserve">Golf  Lake Residence VH N0.82
Cengkareng</t>
  </si>
  <si>
    <t>V-0461</t>
  </si>
  <si>
    <t>V-063</t>
  </si>
  <si>
    <t>veraajavera@gmail.com</t>
  </si>
  <si>
    <t>+628989000727</t>
  </si>
  <si>
    <t xml:space="preserve">Perum Taman Pilaha Asri No.58
Jl.Retno Dumilah
Rejowinangun Jogja</t>
  </si>
  <si>
    <t>V-0489</t>
  </si>
  <si>
    <t>V-0567</t>
  </si>
  <si>
    <t>Vera Damayanti</t>
  </si>
  <si>
    <t>Albeto</t>
  </si>
  <si>
    <t>6282133243888</t>
  </si>
  <si>
    <t>V-0473</t>
  </si>
  <si>
    <t>Jl. Erlangga V No.1</t>
  </si>
  <si>
    <t>V-074</t>
  </si>
  <si>
    <t>Likin</t>
  </si>
  <si>
    <t>V-0497</t>
  </si>
  <si>
    <t>verasianipar24@gmail.com</t>
  </si>
  <si>
    <t>6287779373370</t>
  </si>
  <si>
    <t>V-069</t>
  </si>
  <si>
    <t>Jl. Bima No.17</t>
  </si>
  <si>
    <t>V-318</t>
  </si>
  <si>
    <t>Mufti</t>
  </si>
  <si>
    <t>Aridi</t>
  </si>
  <si>
    <t>vera23basir@gmail.com</t>
  </si>
  <si>
    <t>628111757578</t>
  </si>
  <si>
    <t xml:space="preserve">Taman Bendungan Jatiluhur No.3
Benhil</t>
  </si>
  <si>
    <t>V-0388</t>
  </si>
  <si>
    <t>Yapari</t>
  </si>
  <si>
    <t>verayapari@yahoo.com</t>
  </si>
  <si>
    <t xml:space="preserve">Jl.Manyar Permai 6 45 No.12 A
PIK</t>
  </si>
  <si>
    <t>V-0451</t>
  </si>
  <si>
    <t>Verah</t>
  </si>
  <si>
    <t>ren</t>
  </si>
  <si>
    <t>V-0478</t>
  </si>
  <si>
    <t>Verali</t>
  </si>
  <si>
    <t>6281211112188</t>
  </si>
  <si>
    <t>Citraland Gama City Medan</t>
  </si>
  <si>
    <t>V-0509</t>
  </si>
  <si>
    <t>Veranica</t>
  </si>
  <si>
    <t>V-0508</t>
  </si>
  <si>
    <t>V-0412</t>
  </si>
  <si>
    <t>Verawati</t>
  </si>
  <si>
    <t>V-0369</t>
  </si>
  <si>
    <t>V-0542</t>
  </si>
  <si>
    <t>6281226820949</t>
  </si>
  <si>
    <t xml:space="preserve">PANDEGA MARTA X NO.9
SLEMAN - YOGYAKARTA</t>
  </si>
  <si>
    <t>V-337</t>
  </si>
  <si>
    <t>Verdika</t>
  </si>
  <si>
    <t>Prasetya</t>
  </si>
  <si>
    <t>G-0404</t>
  </si>
  <si>
    <t>Veriana</t>
  </si>
  <si>
    <t>6281289692908</t>
  </si>
  <si>
    <t>V-0551</t>
  </si>
  <si>
    <t>Verica</t>
  </si>
  <si>
    <t>KHVN23@gmail.com</t>
  </si>
  <si>
    <t>628117211299</t>
  </si>
  <si>
    <t>PERUM CITRA GARDEN E1/1</t>
  </si>
  <si>
    <t>35233</t>
  </si>
  <si>
    <t>V-0572</t>
  </si>
  <si>
    <t>Verly</t>
  </si>
  <si>
    <t>Hanlie</t>
  </si>
  <si>
    <t>verlylaurencia@gmail.com</t>
  </si>
  <si>
    <t>V-0528</t>
  </si>
  <si>
    <t>Verni</t>
  </si>
  <si>
    <t>+6281251686888</t>
  </si>
  <si>
    <t>V-0575</t>
  </si>
  <si>
    <t>Vernita</t>
  </si>
  <si>
    <t>vernita.h@gmail.com</t>
  </si>
  <si>
    <t>6281298337716</t>
  </si>
  <si>
    <t>V-0422</t>
  </si>
  <si>
    <t>Veronia</t>
  </si>
  <si>
    <t>V-341</t>
  </si>
  <si>
    <t>stephen@plazamebel.com</t>
  </si>
  <si>
    <t xml:space="preserve">Jl. Soekarno Hatta Perum Puri Waringin Indah B2
Pekan Baru 
Riau</t>
  </si>
  <si>
    <t>V-333</t>
  </si>
  <si>
    <t>Sultan Muhammad No.32</t>
  </si>
  <si>
    <t>V-0486</t>
  </si>
  <si>
    <t>verochan21@gmail.com</t>
  </si>
  <si>
    <t>V-342</t>
  </si>
  <si>
    <t>Trevista #06-11 23 Lor 3 Toa Payoh</t>
  </si>
  <si>
    <t>V-0353</t>
  </si>
  <si>
    <t>Gondowardojo</t>
  </si>
  <si>
    <t>The Summit Kelapa Gading Alpen II/ No.3a</t>
  </si>
  <si>
    <t>V-0357</t>
  </si>
  <si>
    <t>Hogan</t>
  </si>
  <si>
    <t xml:space="preserve">Margorejo Indah 1 Blok A-402
date birthday (11-05-1989)</t>
  </si>
  <si>
    <t>V-0405</t>
  </si>
  <si>
    <t>62816706918</t>
  </si>
  <si>
    <t>V-0352</t>
  </si>
  <si>
    <t>vningrum@yahoo.com</t>
  </si>
  <si>
    <t>Jl. Tebet Utara IC no 28</t>
  </si>
  <si>
    <t>V-0560</t>
  </si>
  <si>
    <t>vputrianaw@gmail.com</t>
  </si>
  <si>
    <t>6282133443104</t>
  </si>
  <si>
    <t>Jl. Bukit Duri Tanjakan No.87</t>
  </si>
  <si>
    <t>V-098</t>
  </si>
  <si>
    <t>Ratnaningrum</t>
  </si>
  <si>
    <t>Jl. Palbatu III</t>
  </si>
  <si>
    <t>V-0403</t>
  </si>
  <si>
    <t>.L</t>
  </si>
  <si>
    <t>V-0469</t>
  </si>
  <si>
    <t>62811873333</t>
  </si>
  <si>
    <t xml:space="preserve">Jalan Pantai Mutiara Blok A No. 49, Jakarta Utara 14450
</t>
  </si>
  <si>
    <t>V-0581</t>
  </si>
  <si>
    <t>mailmeuerotanada@gmail.com</t>
  </si>
  <si>
    <t>6282138698220</t>
  </si>
  <si>
    <t>V-0550</t>
  </si>
  <si>
    <t>6281290928195</t>
  </si>
  <si>
    <t>V-013</t>
  </si>
  <si>
    <t>ver_777@telkomsel.blackberry.com</t>
  </si>
  <si>
    <t xml:space="preserve">Jl. Permata Intan I Blok S No. 12
Permata Hijau</t>
  </si>
  <si>
    <t>V-0444</t>
  </si>
  <si>
    <t xml:space="preserve">Angke Jaya 13 no.2B
Jakarta Barat 11330</t>
  </si>
  <si>
    <t>V-0521</t>
  </si>
  <si>
    <t>pinkstory26@yahoo.co.id</t>
  </si>
  <si>
    <t>V-0511</t>
  </si>
  <si>
    <t>Soentiono</t>
  </si>
  <si>
    <t>veronica_soentiono@yahoo.com</t>
  </si>
  <si>
    <t>+62811316147</t>
  </si>
  <si>
    <t>Jl. Raya Casablanca No.Kav. 88, RT.16/RW.5, Menteng Dalam, Kec. Tebet, Kota Jakarta Selatan, Daerah Khusus Ibukota Jakarta 12870, Tower Bella 2708</t>
  </si>
  <si>
    <t>60115</t>
  </si>
  <si>
    <t>V-014</t>
  </si>
  <si>
    <t>Verra</t>
  </si>
  <si>
    <t>Jl. Bukit Barisan Blok J No. 221</t>
  </si>
  <si>
    <t>V-046</t>
  </si>
  <si>
    <t>Verrasto</t>
  </si>
  <si>
    <t>Divna</t>
  </si>
  <si>
    <t>V-0546</t>
  </si>
  <si>
    <t>Verrent</t>
  </si>
  <si>
    <t>Geonardo</t>
  </si>
  <si>
    <t>6281323847390</t>
  </si>
  <si>
    <t>V-0512</t>
  </si>
  <si>
    <t>Maksim</t>
  </si>
  <si>
    <t>Vertiakov</t>
  </si>
  <si>
    <t>79673366636</t>
  </si>
  <si>
    <t>V-0390</t>
  </si>
  <si>
    <t>Vesby</t>
  </si>
  <si>
    <t>V-021</t>
  </si>
  <si>
    <t>Vi</t>
  </si>
  <si>
    <t>Bagdi</t>
  </si>
  <si>
    <t>Pakubuwono RSDC, Jakarta Selatan</t>
  </si>
  <si>
    <t>V-0548</t>
  </si>
  <si>
    <t>viaamalia11@gmail.com</t>
  </si>
  <si>
    <t>628111662019</t>
  </si>
  <si>
    <t>Jl.Jatiiraya</t>
  </si>
  <si>
    <t>V-0350</t>
  </si>
  <si>
    <t>Kardana</t>
  </si>
  <si>
    <t>viasimarmata@gmail.com</t>
  </si>
  <si>
    <t xml:space="preserve">Taman Anggrek Apt,Tower 5
unit 1140</t>
  </si>
  <si>
    <t>V-0555</t>
  </si>
  <si>
    <t>Ryn</t>
  </si>
  <si>
    <t>viarparyani@gmail.com</t>
  </si>
  <si>
    <t>6282130901821</t>
  </si>
  <si>
    <t>V-0432</t>
  </si>
  <si>
    <t>Viana</t>
  </si>
  <si>
    <t>V-0359</t>
  </si>
  <si>
    <t>Viane</t>
  </si>
  <si>
    <t>V-0441</t>
  </si>
  <si>
    <t>Vice</t>
  </si>
  <si>
    <t>Marsoedi</t>
  </si>
  <si>
    <t>jalan Panglima Poli</t>
  </si>
  <si>
    <t>V-0543</t>
  </si>
  <si>
    <t>Vicens</t>
  </si>
  <si>
    <t>Rafael Andres</t>
  </si>
  <si>
    <t>rafomd@gmail.com</t>
  </si>
  <si>
    <t>17879146069</t>
  </si>
  <si>
    <t>V-0483</t>
  </si>
  <si>
    <t>Vici</t>
  </si>
  <si>
    <t>Sienna</t>
  </si>
  <si>
    <t>vicisienna@yahoo.com</t>
  </si>
  <si>
    <t>V-0445</t>
  </si>
  <si>
    <t>Vicko</t>
  </si>
  <si>
    <t>V-0487</t>
  </si>
  <si>
    <t>V-045</t>
  </si>
  <si>
    <t>V-0554</t>
  </si>
  <si>
    <t>Alaydrus</t>
  </si>
  <si>
    <t>6287884888432</t>
  </si>
  <si>
    <t>V-0562</t>
  </si>
  <si>
    <t>vicky.prabudiningrat@gmail.com</t>
  </si>
  <si>
    <t>628121083882</t>
  </si>
  <si>
    <t>Bona Indah A6/15 Lenak Bulus</t>
  </si>
  <si>
    <t>V-017</t>
  </si>
  <si>
    <t>V-0377</t>
  </si>
  <si>
    <t>Yuvindo</t>
  </si>
  <si>
    <t xml:space="preserve">Jln. Telaga Gading serpong 
Ruko The Spring Utara</t>
  </si>
  <si>
    <t>V-327</t>
  </si>
  <si>
    <t>V-088</t>
  </si>
  <si>
    <t>V-330</t>
  </si>
  <si>
    <t xml:space="preserve">Taman Ubud Asri 3/25
Lippo Village</t>
  </si>
  <si>
    <t>V-0568</t>
  </si>
  <si>
    <t>victor,fangxp@gmail.com</t>
  </si>
  <si>
    <t>+628111627232</t>
  </si>
  <si>
    <t>V-0545</t>
  </si>
  <si>
    <t>628118429298</t>
  </si>
  <si>
    <t>Jl. Soemantri Brojonegoro No.1, Kel. Solok sipin. Kec. Danau sipin. Jambi</t>
  </si>
  <si>
    <t>V-064</t>
  </si>
  <si>
    <t>Jl.Lautze No. B</t>
  </si>
  <si>
    <t>Jakarta 10710</t>
  </si>
  <si>
    <t>V-0464</t>
  </si>
  <si>
    <t>Lesmono</t>
  </si>
  <si>
    <t>victor.lesmana@hotmail.com</t>
  </si>
  <si>
    <t>I Park Avenue Q16D</t>
  </si>
  <si>
    <t>V-0406</t>
  </si>
  <si>
    <t>V-0351</t>
  </si>
  <si>
    <t>Santami</t>
  </si>
  <si>
    <t>vsantami@gmail.com</t>
  </si>
  <si>
    <t>V-075</t>
  </si>
  <si>
    <t>V-0525</t>
  </si>
  <si>
    <t>+6281338042809</t>
  </si>
  <si>
    <t>V-0424</t>
  </si>
  <si>
    <t>Wiredja</t>
  </si>
  <si>
    <t>victor_2404@yahoo.com</t>
  </si>
  <si>
    <t>Jl.Merdeka No.41</t>
  </si>
  <si>
    <t>BOGOR</t>
  </si>
  <si>
    <t>V-0573</t>
  </si>
  <si>
    <t>Fedovony</t>
  </si>
  <si>
    <t>g_victoria1@mail.ru</t>
  </si>
  <si>
    <t>779629557755</t>
  </si>
  <si>
    <t>V-0482</t>
  </si>
  <si>
    <t>Gorbunova</t>
  </si>
  <si>
    <t>Moscow</t>
  </si>
  <si>
    <t>V-0495</t>
  </si>
  <si>
    <t>6281316023333</t>
  </si>
  <si>
    <t>V-0477</t>
  </si>
  <si>
    <t>Yee</t>
  </si>
  <si>
    <t>V-0416</t>
  </si>
  <si>
    <t>Victrovia</t>
  </si>
  <si>
    <t>V-0449</t>
  </si>
  <si>
    <t>Vida</t>
  </si>
  <si>
    <t>Susirika</t>
  </si>
  <si>
    <t>V-0527</t>
  </si>
  <si>
    <t>Vidi</t>
  </si>
  <si>
    <t>Aldiano</t>
  </si>
  <si>
    <t>oxavia.aldiano@gmail.com</t>
  </si>
  <si>
    <t>+6281218603023</t>
  </si>
  <si>
    <t>V-080</t>
  </si>
  <si>
    <t>erlin.liliann@gmail.com</t>
  </si>
  <si>
    <t>6281212094698</t>
  </si>
  <si>
    <t xml:space="preserve">Blok C8/5 Permata Puri Media
Jakarta Barat 11610</t>
  </si>
  <si>
    <t>V-0513</t>
  </si>
  <si>
    <t>Vidya</t>
  </si>
  <si>
    <t>V-043</t>
  </si>
  <si>
    <t>Vien</t>
  </si>
  <si>
    <t xml:space="preserve">Jl.Purwakarta No.22
Menteng</t>
  </si>
  <si>
    <t>V-0400</t>
  </si>
  <si>
    <t>Viena</t>
  </si>
  <si>
    <t>6281223344943</t>
  </si>
  <si>
    <t xml:space="preserve">Persada Kemala Blok 22 no.01
Bekasi 17145</t>
  </si>
  <si>
    <t>V-0557</t>
  </si>
  <si>
    <t>viena.alula@gmail.com</t>
  </si>
  <si>
    <t>62811136961</t>
  </si>
  <si>
    <t>Pejaten Jakarta</t>
  </si>
  <si>
    <t>V-0583</t>
  </si>
  <si>
    <t>6281222222988</t>
  </si>
  <si>
    <t>Komplek Pondok Hijau</t>
  </si>
  <si>
    <t>V-0383</t>
  </si>
  <si>
    <t>Viene</t>
  </si>
  <si>
    <t>Dien</t>
  </si>
  <si>
    <t>V-076</t>
  </si>
  <si>
    <t>Viera</t>
  </si>
  <si>
    <t>V-0481</t>
  </si>
  <si>
    <t>Vika</t>
  </si>
  <si>
    <t>Sunjaya</t>
  </si>
  <si>
    <t>Puri Indah blok E2/10 Kembang Ayu Utama Jakarta</t>
  </si>
  <si>
    <t>V-0578</t>
  </si>
  <si>
    <t>Viktoriia</t>
  </si>
  <si>
    <t>victoriajivio@gmail.com</t>
  </si>
  <si>
    <t>79810212121</t>
  </si>
  <si>
    <t>V-0490</t>
  </si>
  <si>
    <t>Vilda</t>
  </si>
  <si>
    <t>Ariesya</t>
  </si>
  <si>
    <t>Metro Alam 1 SF12, Pondok Indah</t>
  </si>
  <si>
    <t>V-0448</t>
  </si>
  <si>
    <t>Villia</t>
  </si>
  <si>
    <t>Mara</t>
  </si>
  <si>
    <t>V-022</t>
  </si>
  <si>
    <t>V-0371</t>
  </si>
  <si>
    <t>V-0372</t>
  </si>
  <si>
    <t>+6281703016969</t>
  </si>
  <si>
    <t>V-094</t>
  </si>
  <si>
    <t>Lusita</t>
  </si>
  <si>
    <t>628159500619</t>
  </si>
  <si>
    <t>V-023</t>
  </si>
  <si>
    <t>V-0517</t>
  </si>
  <si>
    <t>vinafield@yahoo.com</t>
  </si>
  <si>
    <t>6281297653003</t>
  </si>
  <si>
    <t>Jalan Piano 2 No. 38, Golf Island PIK</t>
  </si>
  <si>
    <t>V-0544</t>
  </si>
  <si>
    <t>Septriana</t>
  </si>
  <si>
    <t>62817399771</t>
  </si>
  <si>
    <t>Kodamar Tabah 1 NO.27 JAKARTA UTARA</t>
  </si>
  <si>
    <t>V-329</t>
  </si>
  <si>
    <t>vinaveronica1@yahoo.com</t>
  </si>
  <si>
    <t>Jaya Ancol Seafront</t>
  </si>
  <si>
    <t>V-0536</t>
  </si>
  <si>
    <t>6281510755555</t>
  </si>
  <si>
    <t>V-0537</t>
  </si>
  <si>
    <t>V-079</t>
  </si>
  <si>
    <t>V-061</t>
  </si>
  <si>
    <t>Vincensius</t>
  </si>
  <si>
    <t>V-0561</t>
  </si>
  <si>
    <t>Vincent</t>
  </si>
  <si>
    <t>vincent1175@bcha.com</t>
  </si>
  <si>
    <t>628161659760</t>
  </si>
  <si>
    <t>Berlia Blok B1/15 , Cimanggis</t>
  </si>
  <si>
    <t>V-319</t>
  </si>
  <si>
    <t>V-0396</t>
  </si>
  <si>
    <t>V-0485</t>
  </si>
  <si>
    <t xml:space="preserve">Jalan Mongonsidi No 95 
Solo</t>
  </si>
  <si>
    <t>V-0418</t>
  </si>
  <si>
    <t>Jalan Tanah mas B/26</t>
  </si>
  <si>
    <t>V-0417</t>
  </si>
  <si>
    <t>Usnandi</t>
  </si>
  <si>
    <t>V-024</t>
  </si>
  <si>
    <t>Mediterania Lagoon Apt. Tower B #02T</t>
  </si>
  <si>
    <t>V-082</t>
  </si>
  <si>
    <t>Vincy</t>
  </si>
  <si>
    <t>V-334</t>
  </si>
  <si>
    <t>Vinda</t>
  </si>
  <si>
    <t>V-0516</t>
  </si>
  <si>
    <t>Vinda Revalia</t>
  </si>
  <si>
    <t>vinda.harahap@gmail.com</t>
  </si>
  <si>
    <t>+6287885316933</t>
  </si>
  <si>
    <t>Jl.Taman Radio Dalam V/8 Jakarta Selatan</t>
  </si>
  <si>
    <t>V-092</t>
  </si>
  <si>
    <t>Vindy</t>
  </si>
  <si>
    <t>volyvia@gmail.com</t>
  </si>
  <si>
    <t>6282254210166</t>
  </si>
  <si>
    <t>V-0582</t>
  </si>
  <si>
    <t>Vineeth</t>
  </si>
  <si>
    <t>Reddy Yeddula</t>
  </si>
  <si>
    <t>vinu.vit@gmail.com</t>
  </si>
  <si>
    <t>14024190906</t>
  </si>
  <si>
    <t>V-0440</t>
  </si>
  <si>
    <t>Vini</t>
  </si>
  <si>
    <t>Casablanca Mansion</t>
  </si>
  <si>
    <t>V-078</t>
  </si>
  <si>
    <t>Viniia</t>
  </si>
  <si>
    <t>V-0433</t>
  </si>
  <si>
    <t>Vinna</t>
  </si>
  <si>
    <t>fransicavinna@yahoo.co.id</t>
  </si>
  <si>
    <t>V-0428</t>
  </si>
  <si>
    <t>V-328</t>
  </si>
  <si>
    <t>vinna.karlina@gmail.com</t>
  </si>
  <si>
    <t>Jl. Margasatwa Raya no 8 CIlandak</t>
  </si>
  <si>
    <t>V-036</t>
  </si>
  <si>
    <t>Vinny</t>
  </si>
  <si>
    <t>Aistasia</t>
  </si>
  <si>
    <t>V-070</t>
  </si>
  <si>
    <t>Vino</t>
  </si>
  <si>
    <t>V-324</t>
  </si>
  <si>
    <t>Viola</t>
  </si>
  <si>
    <t>violaputri@outlook.com</t>
  </si>
  <si>
    <t>Yusuf Adiwinata 61 Menteng</t>
  </si>
  <si>
    <t>V-0443</t>
  </si>
  <si>
    <t>Viona</t>
  </si>
  <si>
    <t>vionalavenia@hotmail.com</t>
  </si>
  <si>
    <t>Casa Grande Residence Bella-M06</t>
  </si>
  <si>
    <t>V-314</t>
  </si>
  <si>
    <t>Putti</t>
  </si>
  <si>
    <t>V-0570</t>
  </si>
  <si>
    <t>628126624866</t>
  </si>
  <si>
    <t>Dharmawangsa Home Bintara</t>
  </si>
  <si>
    <t>V-103</t>
  </si>
  <si>
    <t>V-066</t>
  </si>
  <si>
    <t>Viorentya</t>
  </si>
  <si>
    <t>V-026</t>
  </si>
  <si>
    <t>Vira</t>
  </si>
  <si>
    <t xml:space="preserve">Jl. sunter Bisma IV
B9 No.16</t>
  </si>
  <si>
    <t>V-310</t>
  </si>
  <si>
    <t>kavilla_91205@yahoo.com</t>
  </si>
  <si>
    <t>JL. Tebet Barat II No 14</t>
  </si>
  <si>
    <t>V-0399</t>
  </si>
  <si>
    <t>Istiantoro</t>
  </si>
  <si>
    <t>V-339</t>
  </si>
  <si>
    <t>Soekardiman</t>
  </si>
  <si>
    <t>vira_soekardiman@yahoo.com</t>
  </si>
  <si>
    <t>V-072</t>
  </si>
  <si>
    <t>V-335</t>
  </si>
  <si>
    <t>Virashanty</t>
  </si>
  <si>
    <t>Mudhakir</t>
  </si>
  <si>
    <t>vira_shanty@yahoo.com</t>
  </si>
  <si>
    <t xml:space="preserve">Komplek Kartika Jaya Kav 6-18 Rt01/04
Bambu Apus</t>
  </si>
  <si>
    <t>V-309</t>
  </si>
  <si>
    <t>Virda</t>
  </si>
  <si>
    <t>kafelatte@yahoo.com</t>
  </si>
  <si>
    <t xml:space="preserve">Jl. Kucica X Blok JF 8/1 
Sektor 9  Bintaro Jaya 15229</t>
  </si>
  <si>
    <t>V-0493</t>
  </si>
  <si>
    <t>Virgi</t>
  </si>
  <si>
    <t>V-0348</t>
  </si>
  <si>
    <t>Virgin</t>
  </si>
  <si>
    <t>yulianto.ty@gmail.com</t>
  </si>
  <si>
    <t>V-065</t>
  </si>
  <si>
    <t>Virgina</t>
  </si>
  <si>
    <t>Elliyanti</t>
  </si>
  <si>
    <t xml:space="preserve">Jl.Lele no.14 kel.Jati kecamatan pulo gadung
Jak-Tim</t>
  </si>
  <si>
    <t>V-027</t>
  </si>
  <si>
    <t>V-0425</t>
  </si>
  <si>
    <t>Ivanka</t>
  </si>
  <si>
    <t>Bvlgari Villa</t>
  </si>
  <si>
    <t>V-093</t>
  </si>
  <si>
    <t>V-107</t>
  </si>
  <si>
    <t>V-0494</t>
  </si>
  <si>
    <t>V-040</t>
  </si>
  <si>
    <t>V-0376</t>
  </si>
  <si>
    <t>Virine</t>
  </si>
  <si>
    <t>V-0531</t>
  </si>
  <si>
    <t>Virlia</t>
  </si>
  <si>
    <t>081290603999</t>
  </si>
  <si>
    <t>V-0530</t>
  </si>
  <si>
    <t>Jain</t>
  </si>
  <si>
    <t>vishal79jain@gmai.com</t>
  </si>
  <si>
    <t>+62817125000</t>
  </si>
  <si>
    <t>TKC Kemayoran Lt. 9 No. 5</t>
  </si>
  <si>
    <t>V-0565</t>
  </si>
  <si>
    <t>Doddamanevishal</t>
  </si>
  <si>
    <t>Sivappa</t>
  </si>
  <si>
    <t>vishalsivappa@gmail.com</t>
  </si>
  <si>
    <t>919845600415</t>
  </si>
  <si>
    <t>V-0429</t>
  </si>
  <si>
    <t>Visyen</t>
  </si>
  <si>
    <t>V-0435</t>
  </si>
  <si>
    <t>V-346</t>
  </si>
  <si>
    <t>V-053</t>
  </si>
  <si>
    <t>vita</t>
  </si>
  <si>
    <t>Pramadhi</t>
  </si>
  <si>
    <t xml:space="preserve">Casandra Residence Kav. C27
Jl. Cilandak Dalam</t>
  </si>
  <si>
    <t>V-0566</t>
  </si>
  <si>
    <t>Sadewo</t>
  </si>
  <si>
    <t>6281289899858</t>
  </si>
  <si>
    <t>V-102</t>
  </si>
  <si>
    <t>V-0540</t>
  </si>
  <si>
    <t>Zunaeni</t>
  </si>
  <si>
    <t>6281326717166</t>
  </si>
  <si>
    <t>V-347</t>
  </si>
  <si>
    <t>Vital</t>
  </si>
  <si>
    <t>Matskevich</t>
  </si>
  <si>
    <t>V-0364</t>
  </si>
  <si>
    <t>Vitale</t>
  </si>
  <si>
    <t>Tullio</t>
  </si>
  <si>
    <t>V-0556</t>
  </si>
  <si>
    <t>Vitha</t>
  </si>
  <si>
    <t>V-048</t>
  </si>
  <si>
    <t>Vitri</t>
  </si>
  <si>
    <t>V-0462</t>
  </si>
  <si>
    <t>Vitrianti</t>
  </si>
  <si>
    <t>V-028</t>
  </si>
  <si>
    <t>Vitrie</t>
  </si>
  <si>
    <t>V-0518</t>
  </si>
  <si>
    <t>Vivek</t>
  </si>
  <si>
    <t>V-0474</t>
  </si>
  <si>
    <t>Viven</t>
  </si>
  <si>
    <t>V-052</t>
  </si>
  <si>
    <t>Vivi</t>
  </si>
  <si>
    <t>V-0460</t>
  </si>
  <si>
    <t>V-0409</t>
  </si>
  <si>
    <t>628161858289</t>
  </si>
  <si>
    <t>V-100</t>
  </si>
  <si>
    <t>Desvita</t>
  </si>
  <si>
    <t>V-0413</t>
  </si>
  <si>
    <t>628126610676</t>
  </si>
  <si>
    <t xml:space="preserve">Jln. Kayu Jati No.23A
Rawamangun</t>
  </si>
  <si>
    <t>V-112</t>
  </si>
  <si>
    <t>V-0502</t>
  </si>
  <si>
    <t>Kumalasari</t>
  </si>
  <si>
    <t xml:space="preserve">Jln. Narmada No.1 Cakranegara 
Mataram Lombok
</t>
  </si>
  <si>
    <t>V-085</t>
  </si>
  <si>
    <t>speddy_128@gmail.com</t>
  </si>
  <si>
    <t>Adam Malik C6-68 Medan</t>
  </si>
  <si>
    <t>V-345</t>
  </si>
  <si>
    <t>just88_vivi@yahoo.com</t>
  </si>
  <si>
    <t>6281298923965</t>
  </si>
  <si>
    <t>Jl.Lautze Raya No.79 (pagar warna biru), Pasar Baru, Jakarta Pusat 10740</t>
  </si>
  <si>
    <t>V-0563</t>
  </si>
  <si>
    <t>Megarani Susanto</t>
  </si>
  <si>
    <t>vivimegarani@gmail.com</t>
  </si>
  <si>
    <t>628118898933</t>
  </si>
  <si>
    <t>Jl. Tampak Siring Indah N0.53 Kelapa Gading</t>
  </si>
  <si>
    <t>V-0580</t>
  </si>
  <si>
    <t>Misdia</t>
  </si>
  <si>
    <t>628116040026</t>
  </si>
  <si>
    <t>V-0549</t>
  </si>
  <si>
    <t>octaviarawung@yahoo.com</t>
  </si>
  <si>
    <t>6281210001798</t>
  </si>
  <si>
    <t>V-096</t>
  </si>
  <si>
    <t>V-0491</t>
  </si>
  <si>
    <t>V-035</t>
  </si>
  <si>
    <t>V-0446</t>
  </si>
  <si>
    <t>62811873297</t>
  </si>
  <si>
    <t>V-0532</t>
  </si>
  <si>
    <t>Suyenti</t>
  </si>
  <si>
    <t>+628212342399</t>
  </si>
  <si>
    <t>Kencana Elok Barat 3 Blok K10/11</t>
  </si>
  <si>
    <t>V-0500</t>
  </si>
  <si>
    <t>Cluster Alicante Blok A13 7 no 18</t>
  </si>
  <si>
    <t>V-042</t>
  </si>
  <si>
    <t>Rosad</t>
  </si>
  <si>
    <t>Kalibata Baru B/6</t>
  </si>
  <si>
    <t>V-0453</t>
  </si>
  <si>
    <t>V-0360</t>
  </si>
  <si>
    <t>Vivia</t>
  </si>
  <si>
    <t>viviasetiawan@gmail.com</t>
  </si>
  <si>
    <t>Jalan Sukajadi No. 147</t>
  </si>
  <si>
    <t>V-323</t>
  </si>
  <si>
    <t>tan.viva@gmail.com</t>
  </si>
  <si>
    <t>Jl. Permata Hijau II A/16</t>
  </si>
  <si>
    <t>V-0454</t>
  </si>
  <si>
    <t>Vivian</t>
  </si>
  <si>
    <t>V-0434</t>
  </si>
  <si>
    <t>V-068</t>
  </si>
  <si>
    <t>V-0349</t>
  </si>
  <si>
    <t>vivian_bong@yahoo.com</t>
  </si>
  <si>
    <t xml:space="preserve">Citra Gran the - Dense P2/79, Cibubur
Bekasi, 16456</t>
  </si>
  <si>
    <t>bday : 21.10.1976</t>
  </si>
  <si>
    <t>V-0463</t>
  </si>
  <si>
    <t>62816831425</t>
  </si>
  <si>
    <t>V-0476</t>
  </si>
  <si>
    <t>vivian_ngg@yahoo.com</t>
  </si>
  <si>
    <t>Zainal Arifin</t>
  </si>
  <si>
    <t>V-050</t>
  </si>
  <si>
    <t>Apt. Sudirman Sahid Residence Unit 28E Jakarta</t>
  </si>
  <si>
    <t>V-0552</t>
  </si>
  <si>
    <t>Vallencia</t>
  </si>
  <si>
    <t>vivian_vallencia@yahoo.com</t>
  </si>
  <si>
    <t>+6281281021898</t>
  </si>
  <si>
    <t>Lippo Karawaci Tangerang</t>
  </si>
  <si>
    <t>M-1186</t>
  </si>
  <si>
    <t>Vivick</t>
  </si>
  <si>
    <t>Tjangkung</t>
  </si>
  <si>
    <t>V-051</t>
  </si>
  <si>
    <t>Vivie</t>
  </si>
  <si>
    <t>Jl. Kelapa Baru III No.4/10</t>
  </si>
  <si>
    <t>V-0375</t>
  </si>
  <si>
    <t xml:space="preserve">Jl. Senopati No. 8B
Kebayoran Baru</t>
  </si>
  <si>
    <t>V-0522</t>
  </si>
  <si>
    <t>vsusanti01@gmail.com</t>
  </si>
  <si>
    <t>Komplek Kedamaian Permai B10</t>
  </si>
  <si>
    <t>V-0392</t>
  </si>
  <si>
    <t>Vivien</t>
  </si>
  <si>
    <t>V-0571</t>
  </si>
  <si>
    <t>Hovien</t>
  </si>
  <si>
    <t>vhovien13@gmail.com</t>
  </si>
  <si>
    <t>+6281217501231</t>
  </si>
  <si>
    <t>Northwesthill NI 10/17, Citraland Utara, Surabaya</t>
  </si>
  <si>
    <t>V-060</t>
  </si>
  <si>
    <t>Kusumowardhani</t>
  </si>
  <si>
    <t>V-041</t>
  </si>
  <si>
    <t>Vixsi</t>
  </si>
  <si>
    <t xml:space="preserve">Jl. Dr.Mawardi 1 nO.42
Grogol</t>
  </si>
  <si>
    <t>V-320</t>
  </si>
  <si>
    <t>Viyata</t>
  </si>
  <si>
    <t>viyatadv@yahoo.com</t>
  </si>
  <si>
    <t xml:space="preserve">JL Pekayon I No 8H Pasar Minggu
Pejaten</t>
  </si>
  <si>
    <t>V-114</t>
  </si>
  <si>
    <t>Viza</t>
  </si>
  <si>
    <t>V-0505</t>
  </si>
  <si>
    <t>Vladislau</t>
  </si>
  <si>
    <t>koteldinov</t>
  </si>
  <si>
    <t>vlandik@gmail.com</t>
  </si>
  <si>
    <t>russian</t>
  </si>
  <si>
    <t>dubai</t>
  </si>
  <si>
    <t>V-0510</t>
  </si>
  <si>
    <t>Vladislav</t>
  </si>
  <si>
    <t>Seminyak</t>
  </si>
  <si>
    <t>V-0547</t>
  </si>
  <si>
    <t>Vloro Maxi</t>
  </si>
  <si>
    <t>Sulaksono</t>
  </si>
  <si>
    <t>Vloro.maxi@gmail.com</t>
  </si>
  <si>
    <t>628176676884</t>
  </si>
  <si>
    <t>Harapan Indah</t>
  </si>
  <si>
    <t>V-0465</t>
  </si>
  <si>
    <t>Voke</t>
  </si>
  <si>
    <t>Kimbal</t>
  </si>
  <si>
    <t>sentotovoke@gmail.com</t>
  </si>
  <si>
    <t>Puri Marina Town House K6 Ancol</t>
  </si>
  <si>
    <t>V-0504</t>
  </si>
  <si>
    <t>Volkova</t>
  </si>
  <si>
    <t>V-0523</t>
  </si>
  <si>
    <t>Volov</t>
  </si>
  <si>
    <t>+79264369993</t>
  </si>
  <si>
    <t>V-0368</t>
  </si>
  <si>
    <t>Vonie</t>
  </si>
  <si>
    <t>Kurniawaty</t>
  </si>
  <si>
    <t xml:space="preserve">AUTO 2000 
Bodi dan Cat
Jl.Gaya Motor III No.03
Sunter 2</t>
  </si>
  <si>
    <t>V-031</t>
  </si>
  <si>
    <t>Vonna</t>
  </si>
  <si>
    <t xml:space="preserve">Jl. Solo KM12,5 Kalasan
Jogjakarta 55571</t>
  </si>
  <si>
    <t>V-0515</t>
  </si>
  <si>
    <t>Vonny</t>
  </si>
  <si>
    <t>V-0559</t>
  </si>
  <si>
    <t>vonnychandra7@gmail.com</t>
  </si>
  <si>
    <t>6287786583111</t>
  </si>
  <si>
    <t>Kelapa Lilin Raya Nb 8 No.8 Kelapa Gading</t>
  </si>
  <si>
    <t>V-0415</t>
  </si>
  <si>
    <t>Golf Residences Kemayoran  Blok Gra /23</t>
  </si>
  <si>
    <t>V-0379</t>
  </si>
  <si>
    <t>Ongkie</t>
  </si>
  <si>
    <t>Kedoya Raya 23 Jakarta</t>
  </si>
  <si>
    <t>V-0389</t>
  </si>
  <si>
    <t>Herrywati</t>
  </si>
  <si>
    <t>V-0507</t>
  </si>
  <si>
    <t>V-0436</t>
  </si>
  <si>
    <t>V-0431</t>
  </si>
  <si>
    <t>Malinda</t>
  </si>
  <si>
    <t>V-109</t>
  </si>
  <si>
    <t>Budisatyo</t>
  </si>
  <si>
    <t>Jl.Embong Tanjung 40 Rt.001/Rw 001 kecamatan genteng surabaya 60271</t>
  </si>
  <si>
    <t>V-0394</t>
  </si>
  <si>
    <t>V-321</t>
  </si>
  <si>
    <t>Vorry</t>
  </si>
  <si>
    <t>Koloay</t>
  </si>
  <si>
    <t>V-095</t>
  </si>
  <si>
    <t>Voughan</t>
  </si>
  <si>
    <t>V-0533</t>
  </si>
  <si>
    <t>Voznesenskiy</t>
  </si>
  <si>
    <t>+35796272772</t>
  </si>
  <si>
    <t>V-032</t>
  </si>
  <si>
    <t>Vreeke</t>
  </si>
  <si>
    <t>V-0529</t>
  </si>
  <si>
    <t>Vugec</t>
  </si>
  <si>
    <t>vugec.dora@gmail.com</t>
  </si>
  <si>
    <t>+385917620405</t>
  </si>
  <si>
    <t>V-0423</t>
  </si>
  <si>
    <t>Vusula</t>
  </si>
  <si>
    <t>Abdullayeva</t>
  </si>
  <si>
    <t>Sudirman 52-53</t>
  </si>
  <si>
    <t>M-1446</t>
  </si>
  <si>
    <t>Prasodjo.</t>
  </si>
  <si>
    <t>W-029</t>
  </si>
  <si>
    <t>W.E.</t>
  </si>
  <si>
    <t>Citra Grand Bekasi</t>
  </si>
  <si>
    <t>W-0775</t>
  </si>
  <si>
    <t>W.Rosa</t>
  </si>
  <si>
    <t>W-0765</t>
  </si>
  <si>
    <t>Wachjuni</t>
  </si>
  <si>
    <t>W-001</t>
  </si>
  <si>
    <t>Wada</t>
  </si>
  <si>
    <t>W-0782</t>
  </si>
  <si>
    <t>Wafida</t>
  </si>
  <si>
    <t>Dharmawi</t>
  </si>
  <si>
    <t>62816923526</t>
  </si>
  <si>
    <t>JL.AMPERA BUNTU IV, RAGUNAN, PASAR MINNGU - JAKARTA SELATAN</t>
  </si>
  <si>
    <t>W-246</t>
  </si>
  <si>
    <t>Wahid</t>
  </si>
  <si>
    <t>W-0874</t>
  </si>
  <si>
    <t>Haleema</t>
  </si>
  <si>
    <t>haleema.wahid@gmail.com</t>
  </si>
  <si>
    <t>971585781160</t>
  </si>
  <si>
    <t>Birmingham</t>
  </si>
  <si>
    <t>W-249</t>
  </si>
  <si>
    <t>Wahjoe</t>
  </si>
  <si>
    <t>W-0608</t>
  </si>
  <si>
    <t>W-0654</t>
  </si>
  <si>
    <t>Eko Santoso</t>
  </si>
  <si>
    <t>6281586540830</t>
  </si>
  <si>
    <t>W-0570</t>
  </si>
  <si>
    <t>Fitriya</t>
  </si>
  <si>
    <t xml:space="preserve">Jl. Ratna Cluster California H9/7
Jatibening Bekasi</t>
  </si>
  <si>
    <t>W-240</t>
  </si>
  <si>
    <t>W-0877</t>
  </si>
  <si>
    <t>6281337303782</t>
  </si>
  <si>
    <t>W-0576</t>
  </si>
  <si>
    <t>W-0439</t>
  </si>
  <si>
    <t>W-0682</t>
  </si>
  <si>
    <t>W-0800</t>
  </si>
  <si>
    <t>6281242611312</t>
  </si>
  <si>
    <t>W-0754</t>
  </si>
  <si>
    <t>luckyforwb@gmail.com</t>
  </si>
  <si>
    <t>Atria Residence aeturan B506</t>
  </si>
  <si>
    <t>YOGYAKARTA</t>
  </si>
  <si>
    <t>W-0830</t>
  </si>
  <si>
    <t>Wahyuningsih</t>
  </si>
  <si>
    <t>+6281210004000</t>
  </si>
  <si>
    <t>W-0512</t>
  </si>
  <si>
    <t>Waidah</t>
  </si>
  <si>
    <t>W-0413</t>
  </si>
  <si>
    <t>Waleed</t>
  </si>
  <si>
    <t>Nazer</t>
  </si>
  <si>
    <t>W-0730</t>
  </si>
  <si>
    <t>Walker</t>
  </si>
  <si>
    <t>Frye</t>
  </si>
  <si>
    <t>W-0854</t>
  </si>
  <si>
    <t>W-0829</t>
  </si>
  <si>
    <t>Jiayu</t>
  </si>
  <si>
    <t>628558872567</t>
  </si>
  <si>
    <t>W-0712</t>
  </si>
  <si>
    <t>W-355</t>
  </si>
  <si>
    <t>W-0740</t>
  </si>
  <si>
    <t>WAN</t>
  </si>
  <si>
    <t>YUEHAO</t>
  </si>
  <si>
    <t>W-0884</t>
  </si>
  <si>
    <t>Wan,</t>
  </si>
  <si>
    <t>249107050@qq.com</t>
  </si>
  <si>
    <t>+8613816967676</t>
  </si>
  <si>
    <t>W-009</t>
  </si>
  <si>
    <t>Jl. Kebon Jeruk Baru Blok A9 No. 6</t>
  </si>
  <si>
    <t>W-0820</t>
  </si>
  <si>
    <t>Ponika</t>
  </si>
  <si>
    <t>6208551689999</t>
  </si>
  <si>
    <t>W-233</t>
  </si>
  <si>
    <t>Ponike</t>
  </si>
  <si>
    <t>wandaponika@yahoo.com</t>
  </si>
  <si>
    <t>Apartement Taman Anggrek UG/U37</t>
  </si>
  <si>
    <t>Jakarta - Barat</t>
  </si>
  <si>
    <t>W-0670</t>
  </si>
  <si>
    <t>6285298200020</t>
  </si>
  <si>
    <t>Jl. RE Martadinata IV No26 Dendengan luar ,Paal 2</t>
  </si>
  <si>
    <t>951217</t>
  </si>
  <si>
    <t>W-0443</t>
  </si>
  <si>
    <t>Tamidjaja</t>
  </si>
  <si>
    <t>W-0390</t>
  </si>
  <si>
    <t>Wandry</t>
  </si>
  <si>
    <t>628197857888</t>
  </si>
  <si>
    <t>W-010</t>
  </si>
  <si>
    <t>Wandy</t>
  </si>
  <si>
    <t>Wanto</t>
  </si>
  <si>
    <t>W-0773</t>
  </si>
  <si>
    <t>6281210305</t>
  </si>
  <si>
    <t>W-0718</t>
  </si>
  <si>
    <t>FENG</t>
  </si>
  <si>
    <t>jasoncao_333@hotmail.com</t>
  </si>
  <si>
    <t>W-0847</t>
  </si>
  <si>
    <t>Hoi Lun</t>
  </si>
  <si>
    <t>alan.hl.wang@alumni.princeton.edu</t>
  </si>
  <si>
    <t>13473249509</t>
  </si>
  <si>
    <t>W-0761</t>
  </si>
  <si>
    <t>Huafeng</t>
  </si>
  <si>
    <t>W-338</t>
  </si>
  <si>
    <t>W-0766</t>
  </si>
  <si>
    <t>Jue</t>
  </si>
  <si>
    <t>+8618514752836</t>
  </si>
  <si>
    <t>W-0708</t>
  </si>
  <si>
    <t>Junyi</t>
  </si>
  <si>
    <t>SICHUAN</t>
  </si>
  <si>
    <t>W-0666</t>
  </si>
  <si>
    <t>Liangliang</t>
  </si>
  <si>
    <t>W-0813</t>
  </si>
  <si>
    <t>Liowei</t>
  </si>
  <si>
    <t>401159152@qq.com</t>
  </si>
  <si>
    <t>8613262289701</t>
  </si>
  <si>
    <t>W-0470</t>
  </si>
  <si>
    <t>Kobe</t>
  </si>
  <si>
    <t>081296916943</t>
  </si>
  <si>
    <t>W-0372</t>
  </si>
  <si>
    <t>NAN</t>
  </si>
  <si>
    <t>3938725172qq.com</t>
  </si>
  <si>
    <t>Beijing, China</t>
  </si>
  <si>
    <t>W-0679</t>
  </si>
  <si>
    <t>W-0819</t>
  </si>
  <si>
    <t>+8618591986627</t>
  </si>
  <si>
    <t>W-0510</t>
  </si>
  <si>
    <t>W-0835</t>
  </si>
  <si>
    <t>609518235@qq.com</t>
  </si>
  <si>
    <t>8613922337975</t>
  </si>
  <si>
    <t>W-0713</t>
  </si>
  <si>
    <t>Shuilian</t>
  </si>
  <si>
    <t>W-0548</t>
  </si>
  <si>
    <t>628161635688</t>
  </si>
  <si>
    <t>W-280</t>
  </si>
  <si>
    <t>W-015</t>
  </si>
  <si>
    <t>Apartment Mandala, Hayam Wuruk</t>
  </si>
  <si>
    <t>W-0882</t>
  </si>
  <si>
    <t>+8615962756368</t>
  </si>
  <si>
    <t>W-0868</t>
  </si>
  <si>
    <t>Guangzhen</t>
  </si>
  <si>
    <t>wangxfyc@gmail.com</t>
  </si>
  <si>
    <t>6285266669889</t>
  </si>
  <si>
    <t>W-318</t>
  </si>
  <si>
    <t>W-0770</t>
  </si>
  <si>
    <t>eternalpython6666@gmail.com</t>
  </si>
  <si>
    <t>W-0521</t>
  </si>
  <si>
    <t>Quo</t>
  </si>
  <si>
    <t>W-0860</t>
  </si>
  <si>
    <t>W-0731</t>
  </si>
  <si>
    <t>Zhuo</t>
  </si>
  <si>
    <t>W-0842</t>
  </si>
  <si>
    <t>Chu-Hsuan</t>
  </si>
  <si>
    <t>chuhsuan1023@gmail.com</t>
  </si>
  <si>
    <t>6590831036</t>
  </si>
  <si>
    <t>W-0883</t>
  </si>
  <si>
    <t>DongChen</t>
  </si>
  <si>
    <t>shuangdongchen@163.com</t>
  </si>
  <si>
    <t>8618201736005</t>
  </si>
  <si>
    <t>W-0805</t>
  </si>
  <si>
    <t>Wang,</t>
  </si>
  <si>
    <t>wwn.1215@126.com</t>
  </si>
  <si>
    <t>W-0810</t>
  </si>
  <si>
    <t>8613151305377</t>
  </si>
  <si>
    <t>W-0833</t>
  </si>
  <si>
    <t>swever@sina.cn</t>
  </si>
  <si>
    <t>+8618638788126</t>
  </si>
  <si>
    <t>Nei Mongol</t>
  </si>
  <si>
    <t>W-0817</t>
  </si>
  <si>
    <t>214986676@99.com</t>
  </si>
  <si>
    <t>8615295036108</t>
  </si>
  <si>
    <t>W-0856</t>
  </si>
  <si>
    <t>8615210026777</t>
  </si>
  <si>
    <t>W-0841</t>
  </si>
  <si>
    <t>alexwangpku@163.com</t>
  </si>
  <si>
    <t>8615117988585</t>
  </si>
  <si>
    <t>W-0809</t>
  </si>
  <si>
    <t>Lingjie</t>
  </si>
  <si>
    <t>86104466@qq.com</t>
  </si>
  <si>
    <t>6618676677631</t>
  </si>
  <si>
    <t>W-0789</t>
  </si>
  <si>
    <t>623233827@qq.com</t>
  </si>
  <si>
    <t>W-0785</t>
  </si>
  <si>
    <t>673600169@qq.com</t>
  </si>
  <si>
    <t>W-0746</t>
  </si>
  <si>
    <t>W-0863</t>
  </si>
  <si>
    <t>Siqi</t>
  </si>
  <si>
    <t>219298799@qq.com</t>
  </si>
  <si>
    <t>8619845531056</t>
  </si>
  <si>
    <t>W-0880</t>
  </si>
  <si>
    <t>blingy@hotmail.co.uk</t>
  </si>
  <si>
    <t>+8613708879889</t>
  </si>
  <si>
    <t>W-0821</t>
  </si>
  <si>
    <t>jackww282@gmail.com</t>
  </si>
  <si>
    <t>+6598992655</t>
  </si>
  <si>
    <t>W-0803</t>
  </si>
  <si>
    <t>Wenjun</t>
  </si>
  <si>
    <t>iris960801@outlook.com</t>
  </si>
  <si>
    <t>8613889639066</t>
  </si>
  <si>
    <t>W-0799</t>
  </si>
  <si>
    <t>tobias.gondrom@gondrom.org</t>
  </si>
  <si>
    <t>+6585156583</t>
  </si>
  <si>
    <t>W-0801</t>
  </si>
  <si>
    <t>Yiyu</t>
  </si>
  <si>
    <t>wangyiyu060622@163.com</t>
  </si>
  <si>
    <t>+8613738420666</t>
  </si>
  <si>
    <t>W-0836</t>
  </si>
  <si>
    <t>Yue</t>
  </si>
  <si>
    <t>1486722572@qq.com</t>
  </si>
  <si>
    <t>8615899777088</t>
  </si>
  <si>
    <t>W-0784</t>
  </si>
  <si>
    <t>784442843@qq.com</t>
  </si>
  <si>
    <t>W-0851</t>
  </si>
  <si>
    <t>Zhongyi</t>
  </si>
  <si>
    <t>754539804@99.com</t>
  </si>
  <si>
    <t>8617895212793</t>
  </si>
  <si>
    <t>W-0790</t>
  </si>
  <si>
    <t>Ziming</t>
  </si>
  <si>
    <t>bobbywang1211@gmail.com</t>
  </si>
  <si>
    <t>W-0866</t>
  </si>
  <si>
    <t>Zisu</t>
  </si>
  <si>
    <t>1691072743@qq.com</t>
  </si>
  <si>
    <t>8618610206688</t>
  </si>
  <si>
    <t>W-232</t>
  </si>
  <si>
    <t>Wani</t>
  </si>
  <si>
    <t>W-0727</t>
  </si>
  <si>
    <t>W-0758</t>
  </si>
  <si>
    <t>Wanrry</t>
  </si>
  <si>
    <t>W-016</t>
  </si>
  <si>
    <t>Wanseri</t>
  </si>
  <si>
    <t>Villa Danau Indah</t>
  </si>
  <si>
    <t>Jl. Danau Indah Barat Blok AA No. 2</t>
  </si>
  <si>
    <t>W-270</t>
  </si>
  <si>
    <t>W-0849</t>
  </si>
  <si>
    <t>Wara</t>
  </si>
  <si>
    <t>Saminarsih</t>
  </si>
  <si>
    <t>62816793100</t>
  </si>
  <si>
    <t>W-0380</t>
  </si>
  <si>
    <t>Waras</t>
  </si>
  <si>
    <t>W-0645</t>
  </si>
  <si>
    <t>Warda</t>
  </si>
  <si>
    <t>W-349</t>
  </si>
  <si>
    <t>Wardheny</t>
  </si>
  <si>
    <t>Etmigvsri</t>
  </si>
  <si>
    <t>628158767838</t>
  </si>
  <si>
    <t>W-0683</t>
  </si>
  <si>
    <t>Warsinah</t>
  </si>
  <si>
    <t>W-0857</t>
  </si>
  <si>
    <t>watanabe.acchan@gmail.com</t>
  </si>
  <si>
    <t>+66955645067</t>
  </si>
  <si>
    <t>W-022</t>
  </si>
  <si>
    <t>M-1211</t>
  </si>
  <si>
    <t>W-0485</t>
  </si>
  <si>
    <t>628118076788</t>
  </si>
  <si>
    <t>W-024</t>
  </si>
  <si>
    <t>Rusmawati</t>
  </si>
  <si>
    <t>081310550870</t>
  </si>
  <si>
    <t>W-275</t>
  </si>
  <si>
    <t>ambo</t>
  </si>
  <si>
    <t>W-0807</t>
  </si>
  <si>
    <t>Watts</t>
  </si>
  <si>
    <t>W-0806</t>
  </si>
  <si>
    <t>Wattz</t>
  </si>
  <si>
    <t>stwatts23@yahoo.com</t>
  </si>
  <si>
    <t>14044025552</t>
  </si>
  <si>
    <t>W-0823</t>
  </si>
  <si>
    <t>Satriawati</t>
  </si>
  <si>
    <t>6281210990248</t>
  </si>
  <si>
    <t>W-0751</t>
  </si>
  <si>
    <t>Waty/Laila</t>
  </si>
  <si>
    <t>W-0815</t>
  </si>
  <si>
    <t>Wawa</t>
  </si>
  <si>
    <t>62818992899</t>
  </si>
  <si>
    <t>W-0709</t>
  </si>
  <si>
    <t>Wawan</t>
  </si>
  <si>
    <t>W-0839</t>
  </si>
  <si>
    <t>W-242</t>
  </si>
  <si>
    <t>W-0703</t>
  </si>
  <si>
    <t>Salum,</t>
  </si>
  <si>
    <t>wawansalum@gmail.com</t>
  </si>
  <si>
    <t>Infinity Tower Unit 21 A District 8</t>
  </si>
  <si>
    <t>W-0764</t>
  </si>
  <si>
    <t>W-228</t>
  </si>
  <si>
    <t>Wayan</t>
  </si>
  <si>
    <t>W-025</t>
  </si>
  <si>
    <t>Villa Bukit Regency I PC No. 43</t>
  </si>
  <si>
    <t>6'+'+62216</t>
  </si>
  <si>
    <t>W-026</t>
  </si>
  <si>
    <t xml:space="preserve">Jl. Damai Komplek
Kompas B4</t>
  </si>
  <si>
    <t>W-0408</t>
  </si>
  <si>
    <t>W-0601</t>
  </si>
  <si>
    <t>Subagia</t>
  </si>
  <si>
    <t>wynsubagia67@gmail.com</t>
  </si>
  <si>
    <t>W-0620</t>
  </si>
  <si>
    <t>Sumarja</t>
  </si>
  <si>
    <t>W-0387</t>
  </si>
  <si>
    <t>W-193</t>
  </si>
  <si>
    <t>Wayong</t>
  </si>
  <si>
    <t>Yukmen</t>
  </si>
  <si>
    <t>Jl.Pluit Permai 7 No.1</t>
  </si>
  <si>
    <t>Jakarta- Utara</t>
  </si>
  <si>
    <t>W-0673</t>
  </si>
  <si>
    <t>Weda</t>
  </si>
  <si>
    <t>W-0772</t>
  </si>
  <si>
    <t>Weddell</t>
  </si>
  <si>
    <t>United Kingdom Of Great Britain and northern Ireland</t>
  </si>
  <si>
    <t>W-352</t>
  </si>
  <si>
    <t>Jl. Pulau Nirwana I Blok H1 No.17</t>
  </si>
  <si>
    <t>W-293</t>
  </si>
  <si>
    <t>Wega</t>
  </si>
  <si>
    <t>wega.nanda@yahoo.co.id</t>
  </si>
  <si>
    <t xml:space="preserve">Sudirman Manson 37E
Jl.Jend Sudirman Kav59
Jakarta - Selatan</t>
  </si>
  <si>
    <t>W-0711</t>
  </si>
  <si>
    <t>W-0814</t>
  </si>
  <si>
    <t>W-027</t>
  </si>
  <si>
    <t>W-0409</t>
  </si>
  <si>
    <t>VivianQin@m-tu.com</t>
  </si>
  <si>
    <t>#2115, C2 Building, Xiangjiang Road, Kai Fu District</t>
  </si>
  <si>
    <t>Changsha</t>
  </si>
  <si>
    <t>W-0864</t>
  </si>
  <si>
    <t>62811250750</t>
  </si>
  <si>
    <t>W-0827</t>
  </si>
  <si>
    <t>Jiong Bo</t>
  </si>
  <si>
    <t>13918183161@139.com</t>
  </si>
  <si>
    <t>8613918183161</t>
  </si>
  <si>
    <t>W-0756</t>
  </si>
  <si>
    <t>Wei,</t>
  </si>
  <si>
    <t>W-0879</t>
  </si>
  <si>
    <t>w568025068@163.com</t>
  </si>
  <si>
    <t>8618639013567</t>
  </si>
  <si>
    <t>W-0617</t>
  </si>
  <si>
    <t>Weibin</t>
  </si>
  <si>
    <t>Chinesse</t>
  </si>
  <si>
    <t>X-0186</t>
  </si>
  <si>
    <t>Weijun</t>
  </si>
  <si>
    <t>+18868680680</t>
  </si>
  <si>
    <t>W-0447</t>
  </si>
  <si>
    <t>Weili</t>
  </si>
  <si>
    <t>Dharmawangsa Residance Tower 2</t>
  </si>
  <si>
    <t>W-0876</t>
  </si>
  <si>
    <t>Welcker Christine</t>
  </si>
  <si>
    <t>christinewelcker74@gmail.com</t>
  </si>
  <si>
    <t>19495911299</t>
  </si>
  <si>
    <t>W-0774</t>
  </si>
  <si>
    <t>Welda</t>
  </si>
  <si>
    <t>Oktorina</t>
  </si>
  <si>
    <t>welda.oktorinaa@gmail.com</t>
  </si>
  <si>
    <t>Puri Cinere /Pangkalan Jati</t>
  </si>
  <si>
    <t>W-0678</t>
  </si>
  <si>
    <t>Weley</t>
  </si>
  <si>
    <t>Syalma</t>
  </si>
  <si>
    <t>W-207</t>
  </si>
  <si>
    <t>Wella</t>
  </si>
  <si>
    <t xml:space="preserve">Jl. Taman Kebon Jeruk J9 No.1
Jakarta Barat 11630</t>
  </si>
  <si>
    <t>W-0707</t>
  </si>
  <si>
    <t>wellachristie@gmail.com</t>
  </si>
  <si>
    <t>+628111613016</t>
  </si>
  <si>
    <t xml:space="preserve">Discovery Aluvia ,Divine 0-19.
Tangsel Banten </t>
  </si>
  <si>
    <t>W-0752</t>
  </si>
  <si>
    <t>Welling</t>
  </si>
  <si>
    <t>Taman Palem Lestari Blok D5A No 19</t>
  </si>
  <si>
    <t>W-191</t>
  </si>
  <si>
    <t>Welly</t>
  </si>
  <si>
    <t>W-288</t>
  </si>
  <si>
    <t>W-0700</t>
  </si>
  <si>
    <t>welly_salam@yahoo.com</t>
  </si>
  <si>
    <t>6281518804488</t>
  </si>
  <si>
    <t xml:space="preserve">Taman Golf No.326
LIPPO Karawaci</t>
  </si>
  <si>
    <t>W-0840</t>
  </si>
  <si>
    <t>628117168989</t>
  </si>
  <si>
    <t>W-0714</t>
  </si>
  <si>
    <t>dr.wellywijaya@gmail.com</t>
  </si>
  <si>
    <t>W-217</t>
  </si>
  <si>
    <t>Wellyardi</t>
  </si>
  <si>
    <t>W-263</t>
  </si>
  <si>
    <t>Welman</t>
  </si>
  <si>
    <t>Fery</t>
  </si>
  <si>
    <t>W-0697</t>
  </si>
  <si>
    <t>W-0795</t>
  </si>
  <si>
    <t>Doudou</t>
  </si>
  <si>
    <t>115201736837@163.com</t>
  </si>
  <si>
    <t>+861152017368377</t>
  </si>
  <si>
    <t>W-0778</t>
  </si>
  <si>
    <t>266 Rongle Road, Shanghai</t>
  </si>
  <si>
    <t>W-0885</t>
  </si>
  <si>
    <t>Jie Lu</t>
  </si>
  <si>
    <t>1839816852@qq.com</t>
  </si>
  <si>
    <t>8613615295829</t>
  </si>
  <si>
    <t>W-194</t>
  </si>
  <si>
    <t>W-0398</t>
  </si>
  <si>
    <t>W-0553</t>
  </si>
  <si>
    <t>Yuegang</t>
  </si>
  <si>
    <t>W-0794</t>
  </si>
  <si>
    <t>Wen,</t>
  </si>
  <si>
    <t>DouDou</t>
  </si>
  <si>
    <t>15201736837@163.com</t>
  </si>
  <si>
    <t>W-0779</t>
  </si>
  <si>
    <t>Jiemin</t>
  </si>
  <si>
    <t>W-350</t>
  </si>
  <si>
    <t>Wenawati</t>
  </si>
  <si>
    <t>W-0736</t>
  </si>
  <si>
    <t>Wenda</t>
  </si>
  <si>
    <t>Permata Hijau Blok I2/28</t>
  </si>
  <si>
    <t>W-0397</t>
  </si>
  <si>
    <t>Wendy</t>
  </si>
  <si>
    <t>san22@gmail.com</t>
  </si>
  <si>
    <t>+27728066666</t>
  </si>
  <si>
    <t>Jalan Kartini Raya No. 35C, Jakarta Pusat</t>
  </si>
  <si>
    <t>W-031</t>
  </si>
  <si>
    <t>Jl. Kencana Sari Barat II Blok B No. 8</t>
  </si>
  <si>
    <t>W-0431</t>
  </si>
  <si>
    <t>W-0811</t>
  </si>
  <si>
    <t>Jl. Karya Indah No.89</t>
  </si>
  <si>
    <t>W-0739</t>
  </si>
  <si>
    <t>W-0870</t>
  </si>
  <si>
    <t>Maharani Suyono</t>
  </si>
  <si>
    <t>628129962988</t>
  </si>
  <si>
    <t>W-0695</t>
  </si>
  <si>
    <t>BSB A33 - 35</t>
  </si>
  <si>
    <t>W-0729</t>
  </si>
  <si>
    <t>Weng</t>
  </si>
  <si>
    <t>W-0844</t>
  </si>
  <si>
    <t>Lisong</t>
  </si>
  <si>
    <t>628128555181</t>
  </si>
  <si>
    <t>Fujian</t>
  </si>
  <si>
    <t>W-0886</t>
  </si>
  <si>
    <t>Qinqing</t>
  </si>
  <si>
    <t>154476704@qq.com</t>
  </si>
  <si>
    <t>8618683126688</t>
  </si>
  <si>
    <t>W-0660</t>
  </si>
  <si>
    <t>Wenny</t>
  </si>
  <si>
    <t>W-034</t>
  </si>
  <si>
    <t>Jl. Graha Family Blok O No. 88</t>
  </si>
  <si>
    <t>W-0681</t>
  </si>
  <si>
    <t>Herawaty</t>
  </si>
  <si>
    <t>W-0853</t>
  </si>
  <si>
    <t>wenny63@live.com</t>
  </si>
  <si>
    <t>628164819520</t>
  </si>
  <si>
    <t>Jl. Simprug Golf 13 No.28</t>
  </si>
  <si>
    <t>W-032</t>
  </si>
  <si>
    <t>Jl. Cimahi 22</t>
  </si>
  <si>
    <t>W-0728</t>
  </si>
  <si>
    <t>indonesia</t>
  </si>
  <si>
    <t>W-0735</t>
  </si>
  <si>
    <t>Wentoro</t>
  </si>
  <si>
    <t>W-0442</t>
  </si>
  <si>
    <t>Wenyong</t>
  </si>
  <si>
    <t>W-0717</t>
  </si>
  <si>
    <t>Weriarty</t>
  </si>
  <si>
    <t>W-0469</t>
  </si>
  <si>
    <t>Wesley</t>
  </si>
  <si>
    <t>wesley.wijaya@gmail.com</t>
  </si>
  <si>
    <t>Jl.Rasamala No.5</t>
  </si>
  <si>
    <t>W-0364</t>
  </si>
  <si>
    <t>Wesly</t>
  </si>
  <si>
    <t>weslysilalahi@yahoo.com</t>
  </si>
  <si>
    <t>Jl. Cimandiri no 16</t>
  </si>
  <si>
    <t>W-085</t>
  </si>
  <si>
    <t>Wethandrie</t>
  </si>
  <si>
    <t>W-343</t>
  </si>
  <si>
    <t>Whisnu</t>
  </si>
  <si>
    <t xml:space="preserve">Jl. Palem botol IV blok H5 no.3 Perumahan Boulevar Hijau 
birthday 16-2-1972</t>
  </si>
  <si>
    <t>W-0446</t>
  </si>
  <si>
    <t>Whitney</t>
  </si>
  <si>
    <t xml:space="preserve">The Royale Spring Ressidence Tower Bulgari Unit 10V
kemayoran</t>
  </si>
  <si>
    <t>W-0858</t>
  </si>
  <si>
    <t>Wi</t>
  </si>
  <si>
    <t>Bi</t>
  </si>
  <si>
    <t>W-0793</t>
  </si>
  <si>
    <t>Seyeon</t>
  </si>
  <si>
    <t>macsayonara3@gmail.com</t>
  </si>
  <si>
    <t>+821051697536</t>
  </si>
  <si>
    <t>Republic Of Korea, Seoul</t>
  </si>
  <si>
    <t>W-037</t>
  </si>
  <si>
    <t>Jl. Cempaka Putih Barat 20 No. 35</t>
  </si>
  <si>
    <t>W-0791</t>
  </si>
  <si>
    <t>Harry nugroho</t>
  </si>
  <si>
    <t>wicaksono.harry@gmail.com</t>
  </si>
  <si>
    <t>081935555511</t>
  </si>
  <si>
    <t>Apartement Gunawangsa Mayer</t>
  </si>
  <si>
    <t>W-226</t>
  </si>
  <si>
    <t>W-238</t>
  </si>
  <si>
    <t>W-245</t>
  </si>
  <si>
    <t>Wicardy2</t>
  </si>
  <si>
    <t>W-0859</t>
  </si>
  <si>
    <t>Wice</t>
  </si>
  <si>
    <t>Yustiana</t>
  </si>
  <si>
    <t>6281286130535</t>
  </si>
  <si>
    <t>W-0846</t>
  </si>
  <si>
    <t>Wieche</t>
  </si>
  <si>
    <t>+6281806321110</t>
  </si>
  <si>
    <t>W-0373</t>
  </si>
  <si>
    <t>Wicky</t>
  </si>
  <si>
    <t>W-0783</t>
  </si>
  <si>
    <t>W-0689</t>
  </si>
  <si>
    <t>W-0541</t>
  </si>
  <si>
    <t>Wida</t>
  </si>
  <si>
    <t>drg</t>
  </si>
  <si>
    <t>drg.wida@gmail.com</t>
  </si>
  <si>
    <t xml:space="preserve">Komplek Patra II/10
Jl. Ahmad Yani
Jakarta Pusat 10510</t>
  </si>
  <si>
    <t>W-0878</t>
  </si>
  <si>
    <t>Widiasari</t>
  </si>
  <si>
    <t>widapradjna@gmail.com</t>
  </si>
  <si>
    <t>6281319889889</t>
  </si>
  <si>
    <t>W-218</t>
  </si>
  <si>
    <t>Widharta</t>
  </si>
  <si>
    <t>W-0624</t>
  </si>
  <si>
    <t>Widi</t>
  </si>
  <si>
    <t>Prasetijono</t>
  </si>
  <si>
    <t>W-041</t>
  </si>
  <si>
    <t>W-0550</t>
  </si>
  <si>
    <t>Widiarty</t>
  </si>
  <si>
    <t>+62818121718</t>
  </si>
  <si>
    <t>Apartemen Mediterania Lagoon</t>
  </si>
  <si>
    <t>W-040</t>
  </si>
  <si>
    <t>Widiaty</t>
  </si>
  <si>
    <t>Jl. Kalisari III No. 10</t>
  </si>
  <si>
    <t>W-0699</t>
  </si>
  <si>
    <t>Widijanti</t>
  </si>
  <si>
    <t>+162816800248</t>
  </si>
  <si>
    <t xml:space="preserve">Jalan Gedung Pinang 165 SM 12 
PONDOK INDAH</t>
  </si>
  <si>
    <t>W-0889</t>
  </si>
  <si>
    <t>Widia</t>
  </si>
  <si>
    <t>widiyaasari20@gmail.com</t>
  </si>
  <si>
    <t>+6289518401003</t>
  </si>
  <si>
    <t>W-042</t>
  </si>
  <si>
    <t>Jl. RE Martadinata No. 1</t>
  </si>
  <si>
    <t>Blk B20</t>
  </si>
  <si>
    <t>W-274</t>
  </si>
  <si>
    <t>W-043</t>
  </si>
  <si>
    <t>W-044</t>
  </si>
  <si>
    <t>widjojob@bip.co.id</t>
  </si>
  <si>
    <t>Wisma Slipi #1209</t>
  </si>
  <si>
    <t>W-0519</t>
  </si>
  <si>
    <t>Widjonarko</t>
  </si>
  <si>
    <t>W-283</t>
  </si>
  <si>
    <t>W-204</t>
  </si>
  <si>
    <t>Widy</t>
  </si>
  <si>
    <t>W-0668</t>
  </si>
  <si>
    <t>Victoria River Park A21/01 BSD</t>
  </si>
  <si>
    <t>W-0455</t>
  </si>
  <si>
    <t>W-0473</t>
  </si>
  <si>
    <t>W-0769</t>
  </si>
  <si>
    <t>Widya basuki</t>
  </si>
  <si>
    <t>Wicaksono atmodjo,S.H.,M.Hum.,M.M.</t>
  </si>
  <si>
    <t>+628111702778</t>
  </si>
  <si>
    <t>W-0429</t>
  </si>
  <si>
    <t>W-0577</t>
  </si>
  <si>
    <t>Habibie</t>
  </si>
  <si>
    <t>W-091</t>
  </si>
  <si>
    <t>Leksmanawati</t>
  </si>
  <si>
    <t>W-090</t>
  </si>
  <si>
    <t xml:space="preserve">Jl. Pulomas Timur II B/8
Jakarta</t>
  </si>
  <si>
    <t>W-0710</t>
  </si>
  <si>
    <t>W-0686</t>
  </si>
  <si>
    <t>Velayati</t>
  </si>
  <si>
    <t>W-0768</t>
  </si>
  <si>
    <t>Providence Park</t>
  </si>
  <si>
    <t>W-0559</t>
  </si>
  <si>
    <t>Tarjono</t>
  </si>
  <si>
    <t>W-0767</t>
  </si>
  <si>
    <t>62818805400</t>
  </si>
  <si>
    <t>W-0822</t>
  </si>
  <si>
    <t>Widita</t>
  </si>
  <si>
    <t>628114141208</t>
  </si>
  <si>
    <t>W-195</t>
  </si>
  <si>
    <t>Widyarta</t>
  </si>
  <si>
    <t>W-271</t>
  </si>
  <si>
    <t>Widyatamaka</t>
  </si>
  <si>
    <t>widyasari.w@gmail.com</t>
  </si>
  <si>
    <t>Sriwijaya 5 No.3B</t>
  </si>
  <si>
    <t>M-1414</t>
  </si>
  <si>
    <t>Widyasmara</t>
  </si>
  <si>
    <t>6281333569252</t>
  </si>
  <si>
    <t>W-0676</t>
  </si>
  <si>
    <t>W-0484</t>
  </si>
  <si>
    <t>W-0737</t>
  </si>
  <si>
    <t>Wiedha</t>
  </si>
  <si>
    <t>Soedjana</t>
  </si>
  <si>
    <t>wiedhasoedjana@yahoo.com</t>
  </si>
  <si>
    <t>Jl. Dago Asri II n0.34, Bandung 40135</t>
  </si>
  <si>
    <t>W-0725</t>
  </si>
  <si>
    <t>Wieke</t>
  </si>
  <si>
    <t>Jl Cikajang No 65 Jakarta Selatan</t>
  </si>
  <si>
    <t>W-045</t>
  </si>
  <si>
    <t>Wien</t>
  </si>
  <si>
    <t>W-0395</t>
  </si>
  <si>
    <t>Ritola</t>
  </si>
  <si>
    <t>W-0721</t>
  </si>
  <si>
    <t>W-0391</t>
  </si>
  <si>
    <t>Wihan</t>
  </si>
  <si>
    <t>Kustono</t>
  </si>
  <si>
    <t>W-0528</t>
  </si>
  <si>
    <t>Wihana</t>
  </si>
  <si>
    <t>Tanuwidjaya</t>
  </si>
  <si>
    <t>W-088</t>
  </si>
  <si>
    <t>Wihanna</t>
  </si>
  <si>
    <t>W-047</t>
  </si>
  <si>
    <t>Wiharjo</t>
  </si>
  <si>
    <t>Soebagiyo</t>
  </si>
  <si>
    <t>Dharamahusada Indah 1/60</t>
  </si>
  <si>
    <t>CL-7A</t>
  </si>
  <si>
    <t>W-239</t>
  </si>
  <si>
    <t>Wiharto</t>
  </si>
  <si>
    <t>wiharto.surya@gmail.com</t>
  </si>
  <si>
    <t>Jl. Mt HAryono Citra Bukit Indah Blok GV 2 no 8</t>
  </si>
  <si>
    <t>W-0563</t>
  </si>
  <si>
    <t>Wihawa</t>
  </si>
  <si>
    <t>Inya</t>
  </si>
  <si>
    <t>W-0646</t>
  </si>
  <si>
    <t>W-0650</t>
  </si>
  <si>
    <t>Gondokusumo</t>
  </si>
  <si>
    <t>W-290</t>
  </si>
  <si>
    <t>Kelapa II No 34 Menteng</t>
  </si>
  <si>
    <t>W-0664</t>
  </si>
  <si>
    <t>W-0659</t>
  </si>
  <si>
    <t>Wijaya.</t>
  </si>
  <si>
    <t>W-354</t>
  </si>
  <si>
    <t>Wika</t>
  </si>
  <si>
    <t>Jl.Pisangan lama No.2</t>
  </si>
  <si>
    <t>W-0449</t>
  </si>
  <si>
    <t>Wike</t>
  </si>
  <si>
    <t>Anandia</t>
  </si>
  <si>
    <t>W-0636</t>
  </si>
  <si>
    <t>Dwiyana</t>
  </si>
  <si>
    <t>6281188081176</t>
  </si>
  <si>
    <t>Jl Dago Pakar Mawar II no 59</t>
  </si>
  <si>
    <t>W-0875</t>
  </si>
  <si>
    <t>Noviandani</t>
  </si>
  <si>
    <t>wikeezelinda@gmail.com</t>
  </si>
  <si>
    <t>W-048</t>
  </si>
  <si>
    <t>Wilawati</t>
  </si>
  <si>
    <t>Alzzanudin</t>
  </si>
  <si>
    <t>Jl. Pengadegan Utara II No. 3</t>
  </si>
  <si>
    <t>W-0724</t>
  </si>
  <si>
    <t>Wilda Tety</t>
  </si>
  <si>
    <t>Arydesia</t>
  </si>
  <si>
    <t>62818184468</t>
  </si>
  <si>
    <t>W-0421</t>
  </si>
  <si>
    <t>Wildan</t>
  </si>
  <si>
    <t>W-0597</t>
  </si>
  <si>
    <t>W-215</t>
  </si>
  <si>
    <t>Wilhelmus</t>
  </si>
  <si>
    <t>W-0396</t>
  </si>
  <si>
    <t>W-0554</t>
  </si>
  <si>
    <t>Resandhi</t>
  </si>
  <si>
    <t>M-1113</t>
  </si>
  <si>
    <t>Wilianto</t>
  </si>
  <si>
    <t>W-0381</t>
  </si>
  <si>
    <t>Wilina</t>
  </si>
  <si>
    <t>W-0452</t>
  </si>
  <si>
    <t>WILL</t>
  </si>
  <si>
    <t>Jl.pantai Mutiara Apt Regutta Mc 17d</t>
  </si>
  <si>
    <t>W-0526</t>
  </si>
  <si>
    <t>Will</t>
  </si>
  <si>
    <t>W-049</t>
  </si>
  <si>
    <t>Willem</t>
  </si>
  <si>
    <t>Rampangilei</t>
  </si>
  <si>
    <t>Jl. Cempaka Putih Raya Blok B-1 No. 14</t>
  </si>
  <si>
    <t>W-0652</t>
  </si>
  <si>
    <t>W-273</t>
  </si>
  <si>
    <t>W-0777</t>
  </si>
  <si>
    <t>W-0798</t>
  </si>
  <si>
    <t>Adianto</t>
  </si>
  <si>
    <t>+6281281933695</t>
  </si>
  <si>
    <t>W-0406</t>
  </si>
  <si>
    <t>Alirudin</t>
  </si>
  <si>
    <t>Jl Janur Eok VIII Qi 4/6 Kelapa Gading</t>
  </si>
  <si>
    <t>W-0547</t>
  </si>
  <si>
    <t>taman grisenda blok H2/15 jak ut 14460</t>
  </si>
  <si>
    <t>W-0704</t>
  </si>
  <si>
    <t>williamanthonych@gmail.com</t>
  </si>
  <si>
    <t>Citra garden 3, Blok E8 no.8</t>
  </si>
  <si>
    <t>W-0738</t>
  </si>
  <si>
    <t>W-0743</t>
  </si>
  <si>
    <t>Armstrong</t>
  </si>
  <si>
    <t>W-0407</t>
  </si>
  <si>
    <t>W-0441</t>
  </si>
  <si>
    <t>Daniol</t>
  </si>
  <si>
    <t>W-0715</t>
  </si>
  <si>
    <t>Jl,sunia negara no,999</t>
  </si>
  <si>
    <t>depansar selatan</t>
  </si>
  <si>
    <t>W-0432</t>
  </si>
  <si>
    <t>Forrester</t>
  </si>
  <si>
    <t>williamforester8@gmail.com</t>
  </si>
  <si>
    <t>W-0792</t>
  </si>
  <si>
    <t>6282124153000</t>
  </si>
  <si>
    <t>W-319</t>
  </si>
  <si>
    <t>Hardy</t>
  </si>
  <si>
    <t>W-0499</t>
  </si>
  <si>
    <t>W-326</t>
  </si>
  <si>
    <t>Nusalim</t>
  </si>
  <si>
    <t>w@williamnusalim.com</t>
  </si>
  <si>
    <t>Pelepah Elok 3QB2 No.4 Kelapa Gading</t>
  </si>
  <si>
    <t>W-0653</t>
  </si>
  <si>
    <t>6281111119911</t>
  </si>
  <si>
    <t>W-0701</t>
  </si>
  <si>
    <t>Sjaichudin</t>
  </si>
  <si>
    <t>wsjaichuddin@gmail.com</t>
  </si>
  <si>
    <t>W-244</t>
  </si>
  <si>
    <t>Sullyanto</t>
  </si>
  <si>
    <t xml:space="preserve">Jl.Muara Karang Blok 0/6 Timur no.12A
Jakarta</t>
  </si>
  <si>
    <t>W-053</t>
  </si>
  <si>
    <t>W-054</t>
  </si>
  <si>
    <t>Rukan Puri Mutiara Blok D No. 115</t>
  </si>
  <si>
    <t>W-313</t>
  </si>
  <si>
    <t>williamtan87@gmail.com</t>
  </si>
  <si>
    <t>Muara karang E4T/38</t>
  </si>
  <si>
    <t>W-0490</t>
  </si>
  <si>
    <t>W-268</t>
  </si>
  <si>
    <t>wahyudi</t>
  </si>
  <si>
    <t>W-0808</t>
  </si>
  <si>
    <t>+4915212872356</t>
  </si>
  <si>
    <t>W-0759</t>
  </si>
  <si>
    <t>its.william.y@gmail.com</t>
  </si>
  <si>
    <t>W-0763</t>
  </si>
  <si>
    <t>Williamson</t>
  </si>
  <si>
    <t>W-286</t>
  </si>
  <si>
    <t>Willian</t>
  </si>
  <si>
    <t>W-055</t>
  </si>
  <si>
    <t>Willianto</t>
  </si>
  <si>
    <t>wasalim@hotmail.com</t>
  </si>
  <si>
    <t>W-0812</t>
  </si>
  <si>
    <t>Willing</t>
  </si>
  <si>
    <t>6281933295295</t>
  </si>
  <si>
    <t>W-0869</t>
  </si>
  <si>
    <t>Willinson</t>
  </si>
  <si>
    <t>willinson.chen@gmail.com</t>
  </si>
  <si>
    <t>6285692585773</t>
  </si>
  <si>
    <t>W-0733</t>
  </si>
  <si>
    <t>Willson</t>
  </si>
  <si>
    <t>W-282</t>
  </si>
  <si>
    <t>W-0472</t>
  </si>
  <si>
    <t>W-056</t>
  </si>
  <si>
    <t>Chone</t>
  </si>
  <si>
    <t>W-0726</t>
  </si>
  <si>
    <t>Deni</t>
  </si>
  <si>
    <t>W-0741</t>
  </si>
  <si>
    <t xml:space="preserve">Villa Gading Indah N48 
Kelapa Gading Jakarta</t>
  </si>
  <si>
    <t>W-277</t>
  </si>
  <si>
    <t>W-0661</t>
  </si>
  <si>
    <t>W-0464</t>
  </si>
  <si>
    <t>vhsu19@gmail.com</t>
  </si>
  <si>
    <t>W-058</t>
  </si>
  <si>
    <t>Yoseph</t>
  </si>
  <si>
    <t>Jl. Anggrek Rosliana VII</t>
  </si>
  <si>
    <t>Komp. Kijang Kencana No. 55</t>
  </si>
  <si>
    <t>W-0871</t>
  </si>
  <si>
    <t>Sakareza</t>
  </si>
  <si>
    <t>wsakareza@gmail.com</t>
  </si>
  <si>
    <t>628128160037</t>
  </si>
  <si>
    <t>Jl. Accasia Kav. 1497</t>
  </si>
  <si>
    <t>W-0684</t>
  </si>
  <si>
    <t>W-0647</t>
  </si>
  <si>
    <t>W-196</t>
  </si>
  <si>
    <t>Tano</t>
  </si>
  <si>
    <t>W-0755</t>
  </si>
  <si>
    <t>W-0665</t>
  </si>
  <si>
    <t>W-237</t>
  </si>
  <si>
    <t>willyanto87@hotmail.com</t>
  </si>
  <si>
    <t xml:space="preserve">Perumahan Puri Mansion
Jl.Buckingham 1 No.7-9
Kembangan</t>
  </si>
  <si>
    <t>W-0430</t>
  </si>
  <si>
    <t>Willy10</t>
  </si>
  <si>
    <t>W-262</t>
  </si>
  <si>
    <t>Willy2</t>
  </si>
  <si>
    <t>W-0838</t>
  </si>
  <si>
    <t>62</t>
  </si>
  <si>
    <t>W-0420</t>
  </si>
  <si>
    <t>Wilma</t>
  </si>
  <si>
    <t>W-220</t>
  </si>
  <si>
    <t>Wilopo</t>
  </si>
  <si>
    <t>W-0722</t>
  </si>
  <si>
    <t>W-0663</t>
  </si>
  <si>
    <t>W-0691</t>
  </si>
  <si>
    <t>W-0786</t>
  </si>
  <si>
    <t>+628111877720</t>
  </si>
  <si>
    <t>Intercon Taman Kebun Jeruk P 1 no 10</t>
  </si>
  <si>
    <t>W-212</t>
  </si>
  <si>
    <t>Rukan Green Mansion Blok B No.18</t>
  </si>
  <si>
    <t>W-0690</t>
  </si>
  <si>
    <t>Tanamas</t>
  </si>
  <si>
    <t>W-0750</t>
  </si>
  <si>
    <t>Wilyana</t>
  </si>
  <si>
    <t>Jl.Sutomo No.13 - Tanjung Balai - Asahan - Sumut 21312</t>
  </si>
  <si>
    <t>W-332</t>
  </si>
  <si>
    <t>Wilyana,</t>
  </si>
  <si>
    <t>W-303</t>
  </si>
  <si>
    <t>Win</t>
  </si>
  <si>
    <t>W-243</t>
  </si>
  <si>
    <t>W-0520</t>
  </si>
  <si>
    <t>W-062</t>
  </si>
  <si>
    <t>628126825277</t>
  </si>
  <si>
    <t xml:space="preserve">Jl. Flamboyan II No. 3
Puri Beta
Ciledug</t>
  </si>
  <si>
    <t>W-0873</t>
  </si>
  <si>
    <t>alvernia.wina@yahoo.com</t>
  </si>
  <si>
    <t>+6281296070509</t>
  </si>
  <si>
    <t>W-299</t>
  </si>
  <si>
    <t>Julistya</t>
  </si>
  <si>
    <t>W-0523</t>
  </si>
  <si>
    <t>W-0891</t>
  </si>
  <si>
    <t>Sukamdhani</t>
  </si>
  <si>
    <t>winas88@gmail.com</t>
  </si>
  <si>
    <t>62811152173</t>
  </si>
  <si>
    <t>W-250</t>
  </si>
  <si>
    <t>W-0776</t>
  </si>
  <si>
    <t>Arrandra Residance Jakarta Pusat</t>
  </si>
  <si>
    <t>W-0802</t>
  </si>
  <si>
    <t>Winandriani</t>
  </si>
  <si>
    <t>+6282114090686</t>
  </si>
  <si>
    <t>Discovery Cielo A39</t>
  </si>
  <si>
    <t>W-0687</t>
  </si>
  <si>
    <t>dwh.winarta@gmail.com</t>
  </si>
  <si>
    <t>St. Moritz - The New Royal Suite Tower # 1703</t>
  </si>
  <si>
    <t>W-0692</t>
  </si>
  <si>
    <t>Winarti</t>
  </si>
  <si>
    <t>TK</t>
  </si>
  <si>
    <t>winartitk.rnd@gmail.com</t>
  </si>
  <si>
    <t>628161852893</t>
  </si>
  <si>
    <t>W-323</t>
  </si>
  <si>
    <t>Winaryo</t>
  </si>
  <si>
    <t>W-0720</t>
  </si>
  <si>
    <t>Wirjaputra</t>
  </si>
  <si>
    <t>W-0702</t>
  </si>
  <si>
    <t>Wind</t>
  </si>
  <si>
    <t>ngwinda12@gmail.com</t>
  </si>
  <si>
    <t>Ko,p Padang Golf Mansion CBB</t>
  </si>
  <si>
    <t>W-300</t>
  </si>
  <si>
    <t>Winda</t>
  </si>
  <si>
    <t>W-312</t>
  </si>
  <si>
    <t>628151617858</t>
  </si>
  <si>
    <t>W-0850</t>
  </si>
  <si>
    <t>afriyantinda@gmail.com</t>
  </si>
  <si>
    <t>62811878744</t>
  </si>
  <si>
    <t>W-064</t>
  </si>
  <si>
    <t>Fajra</t>
  </si>
  <si>
    <t>W-0586</t>
  </si>
  <si>
    <t xml:space="preserve">JL Dr Nurdin Gg 1 no 27
Grogol</t>
  </si>
  <si>
    <t>W-0583</t>
  </si>
  <si>
    <t>W-222</t>
  </si>
  <si>
    <t>W-216</t>
  </si>
  <si>
    <t>W-0742</t>
  </si>
  <si>
    <t>W-314</t>
  </si>
  <si>
    <t>Windarty</t>
  </si>
  <si>
    <t>M-1475</t>
  </si>
  <si>
    <t>Winda.</t>
  </si>
  <si>
    <t>W-230</t>
  </si>
  <si>
    <t>Windarini.</t>
  </si>
  <si>
    <t>W-260</t>
  </si>
  <si>
    <t>Windasari</t>
  </si>
  <si>
    <t>W-0747</t>
  </si>
  <si>
    <t>Windawati</t>
  </si>
  <si>
    <t>W-0723</t>
  </si>
  <si>
    <t>Windi</t>
  </si>
  <si>
    <t>hartatiwindy@yahoo.co.id</t>
  </si>
  <si>
    <t>W-0824</t>
  </si>
  <si>
    <t>Windri</t>
  </si>
  <si>
    <t>Merieta</t>
  </si>
  <si>
    <t>windri.merieta@gmsailcom</t>
  </si>
  <si>
    <t>628119201660</t>
  </si>
  <si>
    <t>W-0797</t>
  </si>
  <si>
    <t>Windu</t>
  </si>
  <si>
    <t>Sastra Wiguna</t>
  </si>
  <si>
    <t>windualvaras@gmail.com</t>
  </si>
  <si>
    <t>+628133788442</t>
  </si>
  <si>
    <t>Jl Kerta Pertasikan, sidakarya denpasar, bali</t>
  </si>
  <si>
    <t>W-0622</t>
  </si>
  <si>
    <t>W-0677</t>
  </si>
  <si>
    <t>W-206</t>
  </si>
  <si>
    <t>W-307</t>
  </si>
  <si>
    <t>W-0796</t>
  </si>
  <si>
    <t>+6287868494921</t>
  </si>
  <si>
    <t>W-0816</t>
  </si>
  <si>
    <t>Wihardja</t>
  </si>
  <si>
    <t>W-266</t>
  </si>
  <si>
    <t>windy1312@gmail.com</t>
  </si>
  <si>
    <t xml:space="preserve">Niaga Hijau 2/30
Pondok Indah
Jakarta Selatan
Bday : 13.12.79</t>
  </si>
  <si>
    <t>W-321</t>
  </si>
  <si>
    <t xml:space="preserve">Jl. Hudal Islam 1Rt 001 /07 No. 60
Jatimakmur pondok gede
17413</t>
  </si>
  <si>
    <t>W-0890</t>
  </si>
  <si>
    <t>Respatiningtyas</t>
  </si>
  <si>
    <t>6281318767171</t>
  </si>
  <si>
    <t>W-0698</t>
  </si>
  <si>
    <t>Wine</t>
  </si>
  <si>
    <t xml:space="preserve">Jl Intan 2
Block X No 5</t>
  </si>
  <si>
    <t>W-065</t>
  </si>
  <si>
    <t>Winfred</t>
  </si>
  <si>
    <t>W-0705</t>
  </si>
  <si>
    <t>Winnona</t>
  </si>
  <si>
    <t>Endawan</t>
  </si>
  <si>
    <t>W-066</t>
  </si>
  <si>
    <t>W-0734</t>
  </si>
  <si>
    <t>W-0524</t>
  </si>
  <si>
    <t>River Park GFI/16 Bintaro Jaya</t>
  </si>
  <si>
    <t>W-341</t>
  </si>
  <si>
    <t>W-087</t>
  </si>
  <si>
    <t>Widiany</t>
  </si>
  <si>
    <t>W-0834</t>
  </si>
  <si>
    <t>6287770307171</t>
  </si>
  <si>
    <t>W-0656</t>
  </si>
  <si>
    <t>Permata Jingga Blok Sawo 18 Malang 65143</t>
  </si>
  <si>
    <t>W-0732</t>
  </si>
  <si>
    <t>W-0671</t>
  </si>
  <si>
    <t>Winston</t>
  </si>
  <si>
    <t>+6281373354980</t>
  </si>
  <si>
    <t>W-0536</t>
  </si>
  <si>
    <t>Jauri</t>
  </si>
  <si>
    <t xml:space="preserve">Jl. Safir 4 C8 No. 7 Puri Media
Jakarta Barat</t>
  </si>
  <si>
    <t>W-199</t>
  </si>
  <si>
    <t xml:space="preserve">Intiland Tower Building 2nd Fl.
Jl. Jend Sudirman Kav. 32
Jakarta 10220</t>
  </si>
  <si>
    <t>W-0440</t>
  </si>
  <si>
    <t>W-0361</t>
  </si>
  <si>
    <t>Auw</t>
  </si>
  <si>
    <t>winy.wien@hotmail.com</t>
  </si>
  <si>
    <t xml:space="preserve">Jl. Rajawali VI Blok HD 6 no 12
Bintaro Jaya Sektor 9</t>
  </si>
  <si>
    <t>W-0669</t>
  </si>
  <si>
    <t>Winya</t>
  </si>
  <si>
    <t>W-067</t>
  </si>
  <si>
    <t>Wipin</t>
  </si>
  <si>
    <t>W-0453</t>
  </si>
  <si>
    <t>andika.sudrajat@gmail.com</t>
  </si>
  <si>
    <t>W-068</t>
  </si>
  <si>
    <t>Wirahadi</t>
  </si>
  <si>
    <t>Jl. Pluit Raya 200 Blok B-12</t>
  </si>
  <si>
    <t>W-348</t>
  </si>
  <si>
    <t>Wiranegara</t>
  </si>
  <si>
    <t xml:space="preserve">Jl.RS Fatmawati no.52
Wisma Subud 36
Cilandak Barat, jakarta Selatan</t>
  </si>
  <si>
    <t>W-284</t>
  </si>
  <si>
    <t>W-070</t>
  </si>
  <si>
    <t>W-324</t>
  </si>
  <si>
    <t>Wirdhan</t>
  </si>
  <si>
    <t>6281213638888</t>
  </si>
  <si>
    <t>W-072</t>
  </si>
  <si>
    <t>Wisaksono</t>
  </si>
  <si>
    <t>Jl. Diponegoro 7</t>
  </si>
  <si>
    <t>W-0693</t>
  </si>
  <si>
    <t>Wisjnu</t>
  </si>
  <si>
    <t>Darmasetiawan</t>
  </si>
  <si>
    <t>Jl.Praja</t>
  </si>
  <si>
    <t>W-257</t>
  </si>
  <si>
    <t>Wismaniyati</t>
  </si>
  <si>
    <t>Jl. Wonosari Km 8</t>
  </si>
  <si>
    <t>Yogya</t>
  </si>
  <si>
    <t>W-247</t>
  </si>
  <si>
    <t>Wisnu</t>
  </si>
  <si>
    <t>Darmobroto</t>
  </si>
  <si>
    <t>W-208</t>
  </si>
  <si>
    <t>Dewontoro</t>
  </si>
  <si>
    <t>Jl. PPR ITB B23 Bandung 40351</t>
  </si>
  <si>
    <t>W-285</t>
  </si>
  <si>
    <t>Jln. Widya Chandra x/11</t>
  </si>
  <si>
    <t>W-092</t>
  </si>
  <si>
    <t>Suhardono</t>
  </si>
  <si>
    <t>628161811302</t>
  </si>
  <si>
    <t>W-0619</t>
  </si>
  <si>
    <t>Suyoga</t>
  </si>
  <si>
    <t>W-256</t>
  </si>
  <si>
    <t>Wita</t>
  </si>
  <si>
    <t>+628119722307</t>
  </si>
  <si>
    <t>W-0564</t>
  </si>
  <si>
    <t>WITA</t>
  </si>
  <si>
    <t>SACHMANIANA</t>
  </si>
  <si>
    <t>W-304</t>
  </si>
  <si>
    <t>JL.JERUK GARUT RAYA NO.16, DURI KEPA KEBON JERUK</t>
  </si>
  <si>
    <t>W-0437</t>
  </si>
  <si>
    <t>Broco</t>
  </si>
  <si>
    <t>+628161859058</t>
  </si>
  <si>
    <t>W-075</t>
  </si>
  <si>
    <t>Witri</t>
  </si>
  <si>
    <t>JL. Benda IV/16 Kebayoran baru</t>
  </si>
  <si>
    <t>W-076</t>
  </si>
  <si>
    <t>Wiwi</t>
  </si>
  <si>
    <t>Jl. Kebon Sirih Raya 65 Lt. 6</t>
  </si>
  <si>
    <t>W-328</t>
  </si>
  <si>
    <t>Hariyati</t>
  </si>
  <si>
    <t xml:space="preserve">Sudirman Park B 42 AJ
JAkarta Pusat
bday 17091967</t>
  </si>
  <si>
    <t>W-089</t>
  </si>
  <si>
    <t>W-0365</t>
  </si>
  <si>
    <t>wiwi@pca.co.id</t>
  </si>
  <si>
    <t xml:space="preserve">Town House Cordoba no 57 BGM
PIK</t>
  </si>
  <si>
    <t>W-0655</t>
  </si>
  <si>
    <t>Wiwie</t>
  </si>
  <si>
    <t>wiwie_christabele@yahoo.com</t>
  </si>
  <si>
    <t>081513292774</t>
  </si>
  <si>
    <t>W-351</t>
  </si>
  <si>
    <t>W-235</t>
  </si>
  <si>
    <t>Wiwiek</t>
  </si>
  <si>
    <t>Okamawati</t>
  </si>
  <si>
    <t>628129162892</t>
  </si>
  <si>
    <t>W-0862</t>
  </si>
  <si>
    <t>W-0549</t>
  </si>
  <si>
    <t>W-322</t>
  </si>
  <si>
    <t>Wiwik</t>
  </si>
  <si>
    <t>Jl. Kencana Permai 8 No.9, Pondok Indah</t>
  </si>
  <si>
    <t>W-224</t>
  </si>
  <si>
    <t>W-223</t>
  </si>
  <si>
    <t>Fitriah</t>
  </si>
  <si>
    <t>Jl.Kuningan Madya Kavling 5-6</t>
  </si>
  <si>
    <t>Jakarta 12980</t>
  </si>
  <si>
    <t>W-0845</t>
  </si>
  <si>
    <t>Kadarwatin</t>
  </si>
  <si>
    <t>6281336488903</t>
  </si>
  <si>
    <t>Jalan Perintis Kemerdekaan KM17</t>
  </si>
  <si>
    <t>W-0375</t>
  </si>
  <si>
    <t>mariati</t>
  </si>
  <si>
    <t>Kav Dki Blok 121/9 meruyu Jakarta Barat</t>
  </si>
  <si>
    <t>W-077</t>
  </si>
  <si>
    <t>Wiwin</t>
  </si>
  <si>
    <t>W-0598</t>
  </si>
  <si>
    <t>Anggriani</t>
  </si>
  <si>
    <t>MENADO</t>
  </si>
  <si>
    <t>W-198</t>
  </si>
  <si>
    <t>Wiwit</t>
  </si>
  <si>
    <t>W-279</t>
  </si>
  <si>
    <t>Wiyanti</t>
  </si>
  <si>
    <t>Widayat</t>
  </si>
  <si>
    <t>Jl tunjung biru I</t>
  </si>
  <si>
    <t>W-308</t>
  </si>
  <si>
    <t>Wizanty</t>
  </si>
  <si>
    <t>W-0716</t>
  </si>
  <si>
    <t>Wo</t>
  </si>
  <si>
    <t>Yon</t>
  </si>
  <si>
    <t>W-0657</t>
  </si>
  <si>
    <t>Yanto</t>
  </si>
  <si>
    <t>W-0837</t>
  </si>
  <si>
    <t>Wolanin</t>
  </si>
  <si>
    <t>Tomasz Edmund</t>
  </si>
  <si>
    <t>tomasz.wolanin@accenture.com</t>
  </si>
  <si>
    <t>+966508030963</t>
  </si>
  <si>
    <t>W-0438</t>
  </si>
  <si>
    <t>W-080</t>
  </si>
  <si>
    <t>Permata Safir Apt. #310</t>
  </si>
  <si>
    <t>Jl. Permata Hijau, Kebayoran Baru</t>
  </si>
  <si>
    <t>W-0804</t>
  </si>
  <si>
    <t>Young seok</t>
  </si>
  <si>
    <t>unasyn12@naver.com</t>
  </si>
  <si>
    <t>821091180574</t>
  </si>
  <si>
    <t>W-0518</t>
  </si>
  <si>
    <t>Chong do</t>
  </si>
  <si>
    <t>chiongdowong@yahoo.co.id</t>
  </si>
  <si>
    <t>811858886</t>
  </si>
  <si>
    <t>W-0771</t>
  </si>
  <si>
    <t>Man</t>
  </si>
  <si>
    <t>M-1355</t>
  </si>
  <si>
    <t>+62816774888</t>
  </si>
  <si>
    <t>W-0760</t>
  </si>
  <si>
    <t>W-0745</t>
  </si>
  <si>
    <t>Munyie</t>
  </si>
  <si>
    <t>W-0855</t>
  </si>
  <si>
    <t>Hui Yi</t>
  </si>
  <si>
    <t>60149293982</t>
  </si>
  <si>
    <t>W-0433</t>
  </si>
  <si>
    <t>W-0749</t>
  </si>
  <si>
    <t>W-0753</t>
  </si>
  <si>
    <t>Kuala Lumpur</t>
  </si>
  <si>
    <t>W-0685</t>
  </si>
  <si>
    <t>Wong Yoon</t>
  </si>
  <si>
    <t>+6281998880908</t>
  </si>
  <si>
    <t>W-0867</t>
  </si>
  <si>
    <t>Wongpaitoonpiya</t>
  </si>
  <si>
    <t>Pasawich</t>
  </si>
  <si>
    <t>pasawichw@gmail.com</t>
  </si>
  <si>
    <t>+668189502345</t>
  </si>
  <si>
    <t>W-0762</t>
  </si>
  <si>
    <t>Wongshayaphan</t>
  </si>
  <si>
    <t>Pannapas</t>
  </si>
  <si>
    <t>W-0826</t>
  </si>
  <si>
    <t>Wood</t>
  </si>
  <si>
    <t>6281329124459</t>
  </si>
  <si>
    <t>Simprug Golf 1 Kav 117</t>
  </si>
  <si>
    <t>W-0843</t>
  </si>
  <si>
    <t>Mooers IV</t>
  </si>
  <si>
    <t>Woodford James</t>
  </si>
  <si>
    <t>woody@psymultimedia.com</t>
  </si>
  <si>
    <t>15515001275</t>
  </si>
  <si>
    <t>W-0696</t>
  </si>
  <si>
    <t>Woong</t>
  </si>
  <si>
    <t>Apt.French Walk Paris Garden 25E, Kelapa Gading, Jak Ut</t>
  </si>
  <si>
    <t>W-081</t>
  </si>
  <si>
    <t>Woro</t>
  </si>
  <si>
    <t>W-0662</t>
  </si>
  <si>
    <t>Wren</t>
  </si>
  <si>
    <t>Hernando</t>
  </si>
  <si>
    <t>6281282600237</t>
  </si>
  <si>
    <t>W-0848</t>
  </si>
  <si>
    <t>Chak Yuen</t>
  </si>
  <si>
    <t>chuckcywu@gmail.com</t>
  </si>
  <si>
    <t>85291590199</t>
  </si>
  <si>
    <t>W-0787</t>
  </si>
  <si>
    <t>6287717681419</t>
  </si>
  <si>
    <t>W-0780</t>
  </si>
  <si>
    <t>Danjuan</t>
  </si>
  <si>
    <t>EK6073902</t>
  </si>
  <si>
    <t>W-0748</t>
  </si>
  <si>
    <t>W-0744</t>
  </si>
  <si>
    <t>Zhejiang</t>
  </si>
  <si>
    <t>W-0781</t>
  </si>
  <si>
    <t>wuhao_123_4@hotmail.com</t>
  </si>
  <si>
    <t>W-0888</t>
  </si>
  <si>
    <t>Jianan</t>
  </si>
  <si>
    <t>W-210</t>
  </si>
  <si>
    <t>62818418599</t>
  </si>
  <si>
    <t>W-0706</t>
  </si>
  <si>
    <t>W-0369</t>
  </si>
  <si>
    <t>Songda</t>
  </si>
  <si>
    <t>W-0568</t>
  </si>
  <si>
    <t>W-0887</t>
  </si>
  <si>
    <t>Xihui</t>
  </si>
  <si>
    <t>jiangsuwxh@gmail.com</t>
  </si>
  <si>
    <t>+15409985402</t>
  </si>
  <si>
    <t>W-0498</t>
  </si>
  <si>
    <t>W-0632</t>
  </si>
  <si>
    <t>WU</t>
  </si>
  <si>
    <t>YING</t>
  </si>
  <si>
    <t>W-0694</t>
  </si>
  <si>
    <t>W-0872</t>
  </si>
  <si>
    <t>ziweijiang@me.com</t>
  </si>
  <si>
    <t>+8615024390777</t>
  </si>
  <si>
    <t>W-0757</t>
  </si>
  <si>
    <t>Wu,</t>
  </si>
  <si>
    <t>W-0832</t>
  </si>
  <si>
    <t>Pingli</t>
  </si>
  <si>
    <t>lilymusicch@163.com</t>
  </si>
  <si>
    <t>8613568909233</t>
  </si>
  <si>
    <t>W-0818</t>
  </si>
  <si>
    <t>alessandrowu@hotmail.com</t>
  </si>
  <si>
    <t>8613547892413</t>
  </si>
  <si>
    <t>W-0788</t>
  </si>
  <si>
    <t>Weina</t>
  </si>
  <si>
    <t>413942773@qq.com</t>
  </si>
  <si>
    <t>W-0719</t>
  </si>
  <si>
    <t>WU,</t>
  </si>
  <si>
    <t>WENJIE</t>
  </si>
  <si>
    <t>W-0825</t>
  </si>
  <si>
    <t>Yanfei</t>
  </si>
  <si>
    <t>1131905818@qq.com</t>
  </si>
  <si>
    <t>8613735533703</t>
  </si>
  <si>
    <t>W-0861</t>
  </si>
  <si>
    <t>Yanjing</t>
  </si>
  <si>
    <t>154450339@qq.com</t>
  </si>
  <si>
    <t>8613681606451</t>
  </si>
  <si>
    <t>W-0865</t>
  </si>
  <si>
    <t>Wu Yun</t>
  </si>
  <si>
    <t>415156549@qq.com</t>
  </si>
  <si>
    <t>13336133398</t>
  </si>
  <si>
    <t>W-0852</t>
  </si>
  <si>
    <t>Sezhi</t>
  </si>
  <si>
    <t>159595223@qq.com</t>
  </si>
  <si>
    <t>+61450288996</t>
  </si>
  <si>
    <t>W-255</t>
  </si>
  <si>
    <t>W-0483</t>
  </si>
  <si>
    <t>W-082</t>
  </si>
  <si>
    <t>W-0672</t>
  </si>
  <si>
    <t>Jl. Sriwijaya Raya No. 39, Jakarta Selatan</t>
  </si>
  <si>
    <t>W-209</t>
  </si>
  <si>
    <t>Roos</t>
  </si>
  <si>
    <t>W-344</t>
  </si>
  <si>
    <t>wulan.soetopo@gmail.com</t>
  </si>
  <si>
    <t xml:space="preserve">Jl. Cucur Barat III  B3/4
Bintaro Jaya Sektor IV
15225</t>
  </si>
  <si>
    <t>W-0508</t>
  </si>
  <si>
    <t>W-231</t>
  </si>
  <si>
    <t>Thawatany</t>
  </si>
  <si>
    <t>W-0881</t>
  </si>
  <si>
    <t>obiijett@gmail.com</t>
  </si>
  <si>
    <t>628118881027</t>
  </si>
  <si>
    <t>W-0828</t>
  </si>
  <si>
    <t>Wuri Oktaviani</t>
  </si>
  <si>
    <t>Indraswati</t>
  </si>
  <si>
    <t>628119290155</t>
  </si>
  <si>
    <t>Discovery Alton DNG/12</t>
  </si>
  <si>
    <t>X-001</t>
  </si>
  <si>
    <t>Xaverius</t>
  </si>
  <si>
    <t>Jl. Wijaya IX No. 8</t>
  </si>
  <si>
    <t>X-0088</t>
  </si>
  <si>
    <t>ci</t>
  </si>
  <si>
    <t>X-0072</t>
  </si>
  <si>
    <t>X-0184</t>
  </si>
  <si>
    <t>Xuehong</t>
  </si>
  <si>
    <t>6282191850156</t>
  </si>
  <si>
    <t>X-0160</t>
  </si>
  <si>
    <t>Xia,</t>
  </si>
  <si>
    <t>Chuncha</t>
  </si>
  <si>
    <t>E54457190</t>
  </si>
  <si>
    <t>X-0180</t>
  </si>
  <si>
    <t>1115317857@qq.com</t>
  </si>
  <si>
    <t>8615208292614</t>
  </si>
  <si>
    <t>X-0179</t>
  </si>
  <si>
    <t>xiangchu12345@qq.com</t>
  </si>
  <si>
    <t>8613758520188</t>
  </si>
  <si>
    <t>X-0172</t>
  </si>
  <si>
    <t>8615099960328</t>
  </si>
  <si>
    <t>X-0148</t>
  </si>
  <si>
    <t>X-0147</t>
  </si>
  <si>
    <t>X-009</t>
  </si>
  <si>
    <t>Soekarno Hatta 713</t>
  </si>
  <si>
    <t>X-0135</t>
  </si>
  <si>
    <t>X-0163</t>
  </si>
  <si>
    <t>X-0152</t>
  </si>
  <si>
    <t>nangofis@gmail.com</t>
  </si>
  <si>
    <t>X-008</t>
  </si>
  <si>
    <t>xi</t>
  </si>
  <si>
    <t>X-003</t>
  </si>
  <si>
    <t>X-0169</t>
  </si>
  <si>
    <t>X-0101</t>
  </si>
  <si>
    <t>X-0079</t>
  </si>
  <si>
    <t>XIAO</t>
  </si>
  <si>
    <t>X-0166</t>
  </si>
  <si>
    <t>Xiao,</t>
  </si>
  <si>
    <t>sandyxiaoq@163.com</t>
  </si>
  <si>
    <t>X-0176</t>
  </si>
  <si>
    <t>Shengqi</t>
  </si>
  <si>
    <t>1771914712@qq.com</t>
  </si>
  <si>
    <t>8617779183117</t>
  </si>
  <si>
    <t>X-0165</t>
  </si>
  <si>
    <t>Yao</t>
  </si>
  <si>
    <t>natiellyxyy@hotmail.com</t>
  </si>
  <si>
    <t>X-0173</t>
  </si>
  <si>
    <t>joycexiao331@gmail.com</t>
  </si>
  <si>
    <t>8615165338959</t>
  </si>
  <si>
    <t>X-0183</t>
  </si>
  <si>
    <t>Yuyao</t>
  </si>
  <si>
    <t>641095257@qq.com</t>
  </si>
  <si>
    <t>8618368048001</t>
  </si>
  <si>
    <t>X-0181</t>
  </si>
  <si>
    <t>Xiaoping</t>
  </si>
  <si>
    <t>Zheng</t>
  </si>
  <si>
    <t>6281316747383</t>
  </si>
  <si>
    <t>M-1261</t>
  </si>
  <si>
    <t>X-0112</t>
  </si>
  <si>
    <t>XIE</t>
  </si>
  <si>
    <t>CAIQIANG</t>
  </si>
  <si>
    <t>X-0151</t>
  </si>
  <si>
    <t>Cuiting</t>
  </si>
  <si>
    <t>X-0102</t>
  </si>
  <si>
    <t>X-0141</t>
  </si>
  <si>
    <t>Miau</t>
  </si>
  <si>
    <t>X-0150</t>
  </si>
  <si>
    <t>X-0162</t>
  </si>
  <si>
    <t>834637877@99.com</t>
  </si>
  <si>
    <t>X-0127</t>
  </si>
  <si>
    <t>X-0068</t>
  </si>
  <si>
    <t>X-0159</t>
  </si>
  <si>
    <t>Xie,</t>
  </si>
  <si>
    <t>X-0171</t>
  </si>
  <si>
    <t>471444949@qq.com</t>
  </si>
  <si>
    <t>8613918474138</t>
  </si>
  <si>
    <t>X-012</t>
  </si>
  <si>
    <t>Haiyan</t>
  </si>
  <si>
    <t>X-0144</t>
  </si>
  <si>
    <t xml:space="preserve">Apartment Regatta Tower New York Lt 7N, 
Pantai Mutiara ,Penjaringan</t>
  </si>
  <si>
    <t>X-0149</t>
  </si>
  <si>
    <t>6285773333322</t>
  </si>
  <si>
    <t>X-0041</t>
  </si>
  <si>
    <t>Chunhua</t>
  </si>
  <si>
    <t>186'+'+622131119@163.com</t>
  </si>
  <si>
    <t>X-0161</t>
  </si>
  <si>
    <t>Xing,</t>
  </si>
  <si>
    <t>Tingting</t>
  </si>
  <si>
    <t>E59504147</t>
  </si>
  <si>
    <t>X-0051</t>
  </si>
  <si>
    <t>Xiong</t>
  </si>
  <si>
    <t>Kun</t>
  </si>
  <si>
    <t>X-0142</t>
  </si>
  <si>
    <t>Xiuping</t>
  </si>
  <si>
    <t>6282228289988</t>
  </si>
  <si>
    <t>X-0158</t>
  </si>
  <si>
    <t>XU</t>
  </si>
  <si>
    <t>XIADI</t>
  </si>
  <si>
    <t>X-0164</t>
  </si>
  <si>
    <t>X-0132</t>
  </si>
  <si>
    <t>X-0154</t>
  </si>
  <si>
    <t>X-0155</t>
  </si>
  <si>
    <t>xumeijoob@gmail.com</t>
  </si>
  <si>
    <t>X-020</t>
  </si>
  <si>
    <t>RAN</t>
  </si>
  <si>
    <t>Apartement Gandaria Heights</t>
  </si>
  <si>
    <t>X-0157</t>
  </si>
  <si>
    <t>SHUXIN</t>
  </si>
  <si>
    <t>X-0177</t>
  </si>
  <si>
    <t>Xu Su</t>
  </si>
  <si>
    <t>6282113584516</t>
  </si>
  <si>
    <t>PIK 2</t>
  </si>
  <si>
    <t>X-0178</t>
  </si>
  <si>
    <t>Jianfen</t>
  </si>
  <si>
    <t>747341175@qq.com</t>
  </si>
  <si>
    <t>8613923170774</t>
  </si>
  <si>
    <t>X-0175</t>
  </si>
  <si>
    <t>Liangdong</t>
  </si>
  <si>
    <t>countrydevil@sina.com</t>
  </si>
  <si>
    <t>8618017760726</t>
  </si>
  <si>
    <t>X-0185</t>
  </si>
  <si>
    <t>Qianhong</t>
  </si>
  <si>
    <t>1419913119@qq.com</t>
  </si>
  <si>
    <t>8617731533633</t>
  </si>
  <si>
    <t>X-0168</t>
  </si>
  <si>
    <t>Hua,</t>
  </si>
  <si>
    <t>Jiyan</t>
  </si>
  <si>
    <t>+8618768103157</t>
  </si>
  <si>
    <t>X-0174</t>
  </si>
  <si>
    <t>Zhenhue</t>
  </si>
  <si>
    <t>3110566@qq.com</t>
  </si>
  <si>
    <t>8613501728795</t>
  </si>
  <si>
    <t>SHANGHAI</t>
  </si>
  <si>
    <t>X-0043</t>
  </si>
  <si>
    <t>Xuan</t>
  </si>
  <si>
    <t>37722678@qq.com</t>
  </si>
  <si>
    <t>Apartemen Taman Anggrek</t>
  </si>
  <si>
    <t>X-0170</t>
  </si>
  <si>
    <t>Xue</t>
  </si>
  <si>
    <t>+6282116213688</t>
  </si>
  <si>
    <t>X-0042</t>
  </si>
  <si>
    <t>X-0167</t>
  </si>
  <si>
    <t>Xue,</t>
  </si>
  <si>
    <t>Guoqing</t>
  </si>
  <si>
    <t>gains_79@hotmail.com</t>
  </si>
  <si>
    <t>X-0182</t>
  </si>
  <si>
    <t>Liangquan</t>
  </si>
  <si>
    <t>xuedalvshi@gmail.com</t>
  </si>
  <si>
    <t>+16266243814</t>
  </si>
  <si>
    <t>X-0075</t>
  </si>
  <si>
    <t>Xuemei</t>
  </si>
  <si>
    <t>Shangi</t>
  </si>
  <si>
    <t>Y-236</t>
  </si>
  <si>
    <t>Xuen</t>
  </si>
  <si>
    <t>X-0153</t>
  </si>
  <si>
    <t>Xyzquo</t>
  </si>
  <si>
    <t>Eramas 2000 E4/8, PULO GEBANG,CAKUNG</t>
  </si>
  <si>
    <t>Y-388</t>
  </si>
  <si>
    <t>Y-0832</t>
  </si>
  <si>
    <t>Yacob</t>
  </si>
  <si>
    <t>Chili</t>
  </si>
  <si>
    <t>628128184218</t>
  </si>
  <si>
    <t>Y-304</t>
  </si>
  <si>
    <t>Enoch</t>
  </si>
  <si>
    <t>Y-1048</t>
  </si>
  <si>
    <t>Yading</t>
  </si>
  <si>
    <t>wangyadingjp@hotmail.com</t>
  </si>
  <si>
    <t>+61478295876</t>
  </si>
  <si>
    <t>Y-0909</t>
  </si>
  <si>
    <t>Yae</t>
  </si>
  <si>
    <t>Y-0940</t>
  </si>
  <si>
    <t>Yafi</t>
  </si>
  <si>
    <t>Razqan</t>
  </si>
  <si>
    <t>6281264610497</t>
  </si>
  <si>
    <t>Y-0801</t>
  </si>
  <si>
    <t>Yagimin</t>
  </si>
  <si>
    <t>Y-0689</t>
  </si>
  <si>
    <t>Y-0697</t>
  </si>
  <si>
    <t>Yahya.W.Amban</t>
  </si>
  <si>
    <t>Y-1044</t>
  </si>
  <si>
    <t>yakinrusdi@gmail.com</t>
  </si>
  <si>
    <t>6281271902005</t>
  </si>
  <si>
    <t>Y-0757</t>
  </si>
  <si>
    <t>Yakup</t>
  </si>
  <si>
    <t>Apt Eternity tower Distric 8 Unit 60F</t>
  </si>
  <si>
    <t>Y-0954</t>
  </si>
  <si>
    <t>Yamaani</t>
  </si>
  <si>
    <t>6287880910404</t>
  </si>
  <si>
    <t>Kalibata Timur</t>
  </si>
  <si>
    <t>Y-0985</t>
  </si>
  <si>
    <t>Yamamoto</t>
  </si>
  <si>
    <t>Joji</t>
  </si>
  <si>
    <t>beauty_and_beast.m@docomo.ne.jp</t>
  </si>
  <si>
    <t>+8109086368009</t>
  </si>
  <si>
    <t>Y-0890</t>
  </si>
  <si>
    <t>Kenji</t>
  </si>
  <si>
    <t>Y-0700</t>
  </si>
  <si>
    <t>Yamanaka</t>
  </si>
  <si>
    <t>Y-0948</t>
  </si>
  <si>
    <t>6281255738484</t>
  </si>
  <si>
    <t>Y-0430</t>
  </si>
  <si>
    <t>Riverside Apartment Royal Tower, Jakarta</t>
  </si>
  <si>
    <t>Y-0529</t>
  </si>
  <si>
    <t>Changzhi</t>
  </si>
  <si>
    <t>Y-0907</t>
  </si>
  <si>
    <t>Che</t>
  </si>
  <si>
    <t>Y-391</t>
  </si>
  <si>
    <t>sally_yan1@hotmail.com</t>
  </si>
  <si>
    <t>Y-0615</t>
  </si>
  <si>
    <t>1329560@QQ.com</t>
  </si>
  <si>
    <t>Y-0749</t>
  </si>
  <si>
    <t>0811345633</t>
  </si>
  <si>
    <t>Y-0853</t>
  </si>
  <si>
    <t>Shuyan</t>
  </si>
  <si>
    <t>Y-0960</t>
  </si>
  <si>
    <t>1162315294</t>
  </si>
  <si>
    <t>Y-0810</t>
  </si>
  <si>
    <t>hiyinghua@gmail.com</t>
  </si>
  <si>
    <t>Y-0917</t>
  </si>
  <si>
    <t>Jingting</t>
  </si>
  <si>
    <t>mckeyyan@me.com</t>
  </si>
  <si>
    <t>Y-0992</t>
  </si>
  <si>
    <t>Jiong</t>
  </si>
  <si>
    <t>Y-1033</t>
  </si>
  <si>
    <t>Minghui</t>
  </si>
  <si>
    <t>2075173396@qq.com</t>
  </si>
  <si>
    <t>8615637956319</t>
  </si>
  <si>
    <t>Y-0464</t>
  </si>
  <si>
    <t>+628111044339</t>
  </si>
  <si>
    <t xml:space="preserve">Jl.Sekolah Duta V/43
Pondok Indah</t>
  </si>
  <si>
    <t>Y-0876</t>
  </si>
  <si>
    <t>Lavrinenko</t>
  </si>
  <si>
    <t>lavrinenko120496@gmail.com</t>
  </si>
  <si>
    <t>Y-0737</t>
  </si>
  <si>
    <t>Y-0635</t>
  </si>
  <si>
    <t>Supriatna</t>
  </si>
  <si>
    <t>Y-0882</t>
  </si>
  <si>
    <t xml:space="preserve">Swakarsa IV n0 55 
jak Tim</t>
  </si>
  <si>
    <t>Y-0884</t>
  </si>
  <si>
    <t>Yanari</t>
  </si>
  <si>
    <t>Y-188</t>
  </si>
  <si>
    <t>Yance</t>
  </si>
  <si>
    <t>Y-0849</t>
  </si>
  <si>
    <t>Y-0725</t>
  </si>
  <si>
    <t>Yane</t>
  </si>
  <si>
    <t>Y-0796</t>
  </si>
  <si>
    <t>M-0807</t>
  </si>
  <si>
    <t>Y-263</t>
  </si>
  <si>
    <t>Yunarni</t>
  </si>
  <si>
    <t>Y-0565</t>
  </si>
  <si>
    <t>Yanes</t>
  </si>
  <si>
    <t>Theny</t>
  </si>
  <si>
    <t>Y-0498</t>
  </si>
  <si>
    <t>Angle</t>
  </si>
  <si>
    <t>Y-0914</t>
  </si>
  <si>
    <t>Chunying</t>
  </si>
  <si>
    <t>Y-0889</t>
  </si>
  <si>
    <t>Dexin</t>
  </si>
  <si>
    <t>Y-0822</t>
  </si>
  <si>
    <t>Y-0865</t>
  </si>
  <si>
    <t>Y-0903</t>
  </si>
  <si>
    <t>Houqun</t>
  </si>
  <si>
    <t>Y-0496</t>
  </si>
  <si>
    <t>Y-0701</t>
  </si>
  <si>
    <t>Jemus</t>
  </si>
  <si>
    <t>Y-0851</t>
  </si>
  <si>
    <t>+6285322993377</t>
  </si>
  <si>
    <t>Y-0951</t>
  </si>
  <si>
    <t>+613862207008</t>
  </si>
  <si>
    <t>Y-0558</t>
  </si>
  <si>
    <t>Y-0678</t>
  </si>
  <si>
    <t>Y-0427</t>
  </si>
  <si>
    <t>anson.lixs@gmail.com</t>
  </si>
  <si>
    <t>Y-0403</t>
  </si>
  <si>
    <t>SIKUN</t>
  </si>
  <si>
    <t>2561489008qq.com</t>
  </si>
  <si>
    <t>Guangzhou</t>
  </si>
  <si>
    <t>Y-0918</t>
  </si>
  <si>
    <t>Y-1040</t>
  </si>
  <si>
    <t>Xiaofan</t>
  </si>
  <si>
    <t>mspyhk@hotmail.com</t>
  </si>
  <si>
    <t>85263487825</t>
  </si>
  <si>
    <t>Y-0900</t>
  </si>
  <si>
    <t>Xiya</t>
  </si>
  <si>
    <t>Y-0899</t>
  </si>
  <si>
    <t>Yikang</t>
  </si>
  <si>
    <t>Y-0966</t>
  </si>
  <si>
    <t>Yue Ye</t>
  </si>
  <si>
    <t>6288809866290</t>
  </si>
  <si>
    <t>Y-1008</t>
  </si>
  <si>
    <t>Chaowei</t>
  </si>
  <si>
    <t>charlieyang313@gmail.com</t>
  </si>
  <si>
    <t>8618408252106</t>
  </si>
  <si>
    <t>Y-0919</t>
  </si>
  <si>
    <t>Yang,</t>
  </si>
  <si>
    <t>Y-1028</t>
  </si>
  <si>
    <t>Dezhi</t>
  </si>
  <si>
    <t>306926324@qq.com</t>
  </si>
  <si>
    <t>+8613908009776</t>
  </si>
  <si>
    <t>Y-0916</t>
  </si>
  <si>
    <t>yanghe1887@gmail.com</t>
  </si>
  <si>
    <t>Y-0926</t>
  </si>
  <si>
    <t>543001426@qq.com</t>
  </si>
  <si>
    <t>8613688069711</t>
  </si>
  <si>
    <t>Y-1037</t>
  </si>
  <si>
    <t>13809839893@139.com</t>
  </si>
  <si>
    <t>8613809839893</t>
  </si>
  <si>
    <t>Y-1026</t>
  </si>
  <si>
    <t>Yanhua</t>
  </si>
  <si>
    <t>+6586697979</t>
  </si>
  <si>
    <t>Y-400</t>
  </si>
  <si>
    <t>setiyanisetiyani@gmail.com</t>
  </si>
  <si>
    <t>Jl. Wijaya XV No.9</t>
  </si>
  <si>
    <t>Y-0676</t>
  </si>
  <si>
    <t>Y-0682</t>
  </si>
  <si>
    <t>Y-005</t>
  </si>
  <si>
    <t>Jl. Mahakam I No. 6</t>
  </si>
  <si>
    <t>Y-0451</t>
  </si>
  <si>
    <t>Y-0715</t>
  </si>
  <si>
    <t>Irfai</t>
  </si>
  <si>
    <t>+628124499291</t>
  </si>
  <si>
    <t>Y-0535</t>
  </si>
  <si>
    <t>Oetji</t>
  </si>
  <si>
    <t>Abu Dhabi</t>
  </si>
  <si>
    <t>Y-0744</t>
  </si>
  <si>
    <t>Palawati</t>
  </si>
  <si>
    <t>+6281522816886</t>
  </si>
  <si>
    <t xml:space="preserve">Jl. Delman Elok 2 No.14 Tanah Kusir
</t>
  </si>
  <si>
    <t>Y-0941</t>
  </si>
  <si>
    <t>Siskartika</t>
  </si>
  <si>
    <t>ysiskartika@gmail.com</t>
  </si>
  <si>
    <t>6281218145608</t>
  </si>
  <si>
    <t>Depsos I No.8 Bintaro Jakarta Selatan 12330</t>
  </si>
  <si>
    <t>Y-0840</t>
  </si>
  <si>
    <t>YANIE</t>
  </si>
  <si>
    <t>Y-384</t>
  </si>
  <si>
    <t>Lona</t>
  </si>
  <si>
    <t>+628118073968</t>
  </si>
  <si>
    <t xml:space="preserve">Sudirman Park B27/AF
Jl KH Mas Mansyur Kav 35</t>
  </si>
  <si>
    <t>Y-0642</t>
  </si>
  <si>
    <t>Yanka</t>
  </si>
  <si>
    <t>Y-0481</t>
  </si>
  <si>
    <t>Yanli</t>
  </si>
  <si>
    <t xml:space="preserve">Sutra Palma X no. 11
Alam Sutra</t>
  </si>
  <si>
    <t>Y-177</t>
  </si>
  <si>
    <t>Yanna</t>
  </si>
  <si>
    <t>Y-007</t>
  </si>
  <si>
    <t>Yannah</t>
  </si>
  <si>
    <t>Y-0669</t>
  </si>
  <si>
    <t>Yanni</t>
  </si>
  <si>
    <t>Y-0913</t>
  </si>
  <si>
    <t>Hadi Winoto</t>
  </si>
  <si>
    <t>6281311187626</t>
  </si>
  <si>
    <t>Y-0994</t>
  </si>
  <si>
    <t>+62819078582</t>
  </si>
  <si>
    <t>Y-180</t>
  </si>
  <si>
    <t>Yannie</t>
  </si>
  <si>
    <t>Kartanegara</t>
  </si>
  <si>
    <t>Y-179</t>
  </si>
  <si>
    <t>Y-0805</t>
  </si>
  <si>
    <t>Y-0819</t>
  </si>
  <si>
    <t>Mursalim</t>
  </si>
  <si>
    <t>Y-373</t>
  </si>
  <si>
    <t xml:space="preserve">Bintaro Jaya
Jl.Mandar 3/DC 1 No.26B Sektor 3A</t>
  </si>
  <si>
    <t>Y-0709</t>
  </si>
  <si>
    <t>Yansen</t>
  </si>
  <si>
    <t>yansenmail@icloud.com</t>
  </si>
  <si>
    <t>Y-0958</t>
  </si>
  <si>
    <t>Yanthi</t>
  </si>
  <si>
    <t>Handry Yani</t>
  </si>
  <si>
    <t>megan.sanjaya1@gmail.com</t>
  </si>
  <si>
    <t>628129023239</t>
  </si>
  <si>
    <t>Y-0457</t>
  </si>
  <si>
    <t>Y-0578</t>
  </si>
  <si>
    <t>Y-0742</t>
  </si>
  <si>
    <t>yantipujilestari68@gmail.com</t>
  </si>
  <si>
    <t>Senoraya B14 Pejaten Timur Jakarta</t>
  </si>
  <si>
    <t>Y-0866</t>
  </si>
  <si>
    <t>Y-320</t>
  </si>
  <si>
    <t>+62811184193</t>
  </si>
  <si>
    <t>Jln. Tirtayasa Raya 32, Kebayoran</t>
  </si>
  <si>
    <t>Y-0704</t>
  </si>
  <si>
    <t>628161106827</t>
  </si>
  <si>
    <t>Y-010</t>
  </si>
  <si>
    <t>Harli</t>
  </si>
  <si>
    <t>Jl. Taman Permata Indah I Blok PN No. 9</t>
  </si>
  <si>
    <t>Y-1041</t>
  </si>
  <si>
    <t>Erlis</t>
  </si>
  <si>
    <t>6281399881991</t>
  </si>
  <si>
    <t>Y-0459</t>
  </si>
  <si>
    <t>Gustinah</t>
  </si>
  <si>
    <t>Y-0980</t>
  </si>
  <si>
    <t>Y-011</t>
  </si>
  <si>
    <t>Kantono</t>
  </si>
  <si>
    <t>Mega Kebun Jeruk</t>
  </si>
  <si>
    <t>Blok C-5 No. 6-8</t>
  </si>
  <si>
    <t>Y-232</t>
  </si>
  <si>
    <t>Asbrata</t>
  </si>
  <si>
    <t>Y-0688</t>
  </si>
  <si>
    <t>Manosoh</t>
  </si>
  <si>
    <t>6282135268888</t>
  </si>
  <si>
    <t>Y-0544</t>
  </si>
  <si>
    <t>Masbrata</t>
  </si>
  <si>
    <t>Y-0727</t>
  </si>
  <si>
    <t>Y-0664</t>
  </si>
  <si>
    <t>Y-250</t>
  </si>
  <si>
    <t>Sukamdani</t>
  </si>
  <si>
    <t>Y-0856</t>
  </si>
  <si>
    <t>Y-014</t>
  </si>
  <si>
    <t>suryantiyusuf@gmail.com</t>
  </si>
  <si>
    <t>628155522242</t>
  </si>
  <si>
    <t>Panoroma Jati Padang</t>
  </si>
  <si>
    <t>Y-0784</t>
  </si>
  <si>
    <t>62811823900</t>
  </si>
  <si>
    <t>Y-0996</t>
  </si>
  <si>
    <t>6282114921144</t>
  </si>
  <si>
    <t>Y-0944</t>
  </si>
  <si>
    <t>6281311331572</t>
  </si>
  <si>
    <t>Y-0692</t>
  </si>
  <si>
    <t>62818762220</t>
  </si>
  <si>
    <t>Y-0804</t>
  </si>
  <si>
    <t>Yanti/</t>
  </si>
  <si>
    <t>Sandjaja</t>
  </si>
  <si>
    <t>Cianjur</t>
  </si>
  <si>
    <t>Y-230</t>
  </si>
  <si>
    <t>Yanti/Toni</t>
  </si>
  <si>
    <t>Y-0483</t>
  </si>
  <si>
    <t>Yanting</t>
  </si>
  <si>
    <t>Y-0547</t>
  </si>
  <si>
    <t>Y-175</t>
  </si>
  <si>
    <t>Y-154</t>
  </si>
  <si>
    <t>Y-0972</t>
  </si>
  <si>
    <t>munaf@yahoo.com</t>
  </si>
  <si>
    <t>+6281311318014</t>
  </si>
  <si>
    <t>Y-0839</t>
  </si>
  <si>
    <t>628128888288</t>
  </si>
  <si>
    <t>Y-1020</t>
  </si>
  <si>
    <t>Yanty</t>
  </si>
  <si>
    <t>yanty.setiawan@hotmail.com</t>
  </si>
  <si>
    <t>+61411131337</t>
  </si>
  <si>
    <t>Apt Taman Anggrek 7/11B</t>
  </si>
  <si>
    <t>Y-0422</t>
  </si>
  <si>
    <t>Yanuar</t>
  </si>
  <si>
    <t>Adenan</t>
  </si>
  <si>
    <t>Jl Gandaria V No.7</t>
  </si>
  <si>
    <t>Y-0472</t>
  </si>
  <si>
    <t>Y-0942</t>
  </si>
  <si>
    <t>Yanxiu</t>
  </si>
  <si>
    <t>linyansu@gmail.com</t>
  </si>
  <si>
    <t>+628211404899</t>
  </si>
  <si>
    <t>Y-0716</t>
  </si>
  <si>
    <t>Y-0938</t>
  </si>
  <si>
    <t>Yao,</t>
  </si>
  <si>
    <t>56327372@qq.com</t>
  </si>
  <si>
    <t>8613811431618</t>
  </si>
  <si>
    <t>Y-278</t>
  </si>
  <si>
    <t>Yaoha</t>
  </si>
  <si>
    <t>yaohantsaputra@gmail.com</t>
  </si>
  <si>
    <t>Gedung Elok Raya</t>
  </si>
  <si>
    <t>Y-0993</t>
  </si>
  <si>
    <t>Yap Chee</t>
  </si>
  <si>
    <t>Chuen</t>
  </si>
  <si>
    <t>6598337766</t>
  </si>
  <si>
    <t>Y-1017</t>
  </si>
  <si>
    <t>yappoleen@gmail.com</t>
  </si>
  <si>
    <t>Y-0579</t>
  </si>
  <si>
    <t>Yoong</t>
  </si>
  <si>
    <t>Y-0553</t>
  </si>
  <si>
    <t>Yapi</t>
  </si>
  <si>
    <t>Aprilinando</t>
  </si>
  <si>
    <t>Y-0656</t>
  </si>
  <si>
    <t>Yarra</t>
  </si>
  <si>
    <t>Y-0898</t>
  </si>
  <si>
    <t>Yasemin</t>
  </si>
  <si>
    <t>Fulya</t>
  </si>
  <si>
    <t>+905323009016</t>
  </si>
  <si>
    <t>Jerman</t>
  </si>
  <si>
    <t>Y-0764</t>
  </si>
  <si>
    <t>Yaser</t>
  </si>
  <si>
    <t>Y-1016</t>
  </si>
  <si>
    <t>Yashintha</t>
  </si>
  <si>
    <t>brylixapp@gmail.com</t>
  </si>
  <si>
    <t>6281292286117</t>
  </si>
  <si>
    <t>Y-018</t>
  </si>
  <si>
    <t>Y-0987</t>
  </si>
  <si>
    <t>6281294628239</t>
  </si>
  <si>
    <t>Y-0895</t>
  </si>
  <si>
    <t>seshdiyasmin@gmail.com</t>
  </si>
  <si>
    <t>Serenia Hills, lebak bulus jak sel 12440</t>
  </si>
  <si>
    <t>Y-0772</t>
  </si>
  <si>
    <t>Wirjawar</t>
  </si>
  <si>
    <t>Jl. Setiabudi Tengah  No. 8</t>
  </si>
  <si>
    <t>Y-0625</t>
  </si>
  <si>
    <t>princessbia24@gmail.com</t>
  </si>
  <si>
    <t>Y-019</t>
  </si>
  <si>
    <t>Yasonna</t>
  </si>
  <si>
    <t>Laoly</t>
  </si>
  <si>
    <t>Y-200</t>
  </si>
  <si>
    <t>Yasrahayati</t>
  </si>
  <si>
    <t xml:space="preserve">Jl. Danau Matana D II No. 7
Pejompongan</t>
  </si>
  <si>
    <t>Y-0690</t>
  </si>
  <si>
    <t>Wahab</t>
  </si>
  <si>
    <t>Y-0563</t>
  </si>
  <si>
    <t>Y-174</t>
  </si>
  <si>
    <t>Yasuhiro</t>
  </si>
  <si>
    <t>Hiraoka</t>
  </si>
  <si>
    <t>Y-023</t>
  </si>
  <si>
    <t>Yasushi</t>
  </si>
  <si>
    <t>Y-025</t>
  </si>
  <si>
    <t>Yasutumi</t>
  </si>
  <si>
    <t>Kawano</t>
  </si>
  <si>
    <t xml:space="preserve">Jl,Pupuk Raya
Benteng</t>
  </si>
  <si>
    <t>Y-027</t>
  </si>
  <si>
    <t>Yati</t>
  </si>
  <si>
    <t>Tebet Utara</t>
  </si>
  <si>
    <t>Y-246</t>
  </si>
  <si>
    <t>Jl. Pedurenan Buntu Kav. 4A</t>
  </si>
  <si>
    <t>Kemang, Ampera</t>
  </si>
  <si>
    <t>Y-0933</t>
  </si>
  <si>
    <t>+628117104177</t>
  </si>
  <si>
    <t>Garden Marble I No 58</t>
  </si>
  <si>
    <t>Y-0560</t>
  </si>
  <si>
    <t>62811902467</t>
  </si>
  <si>
    <t xml:space="preserve">Jl. Purwakarta no.31 menteng
Jak - Pus</t>
  </si>
  <si>
    <t>Dominica</t>
  </si>
  <si>
    <t>Y-273</t>
  </si>
  <si>
    <t xml:space="preserve">Perum Bukit Mas A.16
Rempoa, 12330</t>
  </si>
  <si>
    <t>Y-204</t>
  </si>
  <si>
    <t>Yaw</t>
  </si>
  <si>
    <t>She</t>
  </si>
  <si>
    <t xml:space="preserve">Regatta DB 3A/D
Pantai Mutiara</t>
  </si>
  <si>
    <t>M-1339</t>
  </si>
  <si>
    <t>Yayan</t>
  </si>
  <si>
    <t>Sutiati.</t>
  </si>
  <si>
    <t>Y-326</t>
  </si>
  <si>
    <t>Yayu</t>
  </si>
  <si>
    <t>Y-0410</t>
  </si>
  <si>
    <t>Ciganjur</t>
  </si>
  <si>
    <t>Y-0432</t>
  </si>
  <si>
    <t>Yayuk</t>
  </si>
  <si>
    <t xml:space="preserve">Pondok Kelapa Kav Marinir Blok XD No.3
</t>
  </si>
  <si>
    <t>Y-228</t>
  </si>
  <si>
    <t>Y-1035</t>
  </si>
  <si>
    <t>Yazhou</t>
  </si>
  <si>
    <t>6282261072176</t>
  </si>
  <si>
    <t>Y-0982</t>
  </si>
  <si>
    <t>Yazmeen</t>
  </si>
  <si>
    <t>6281250007777</t>
  </si>
  <si>
    <t>Jalan Indramayu No.22</t>
  </si>
  <si>
    <t>Y-0922</t>
  </si>
  <si>
    <t>Ye Dai</t>
  </si>
  <si>
    <t>6282113777909</t>
  </si>
  <si>
    <t>Y-1027</t>
  </si>
  <si>
    <t>Ye Eun</t>
  </si>
  <si>
    <t>youangellion@hanmail.net</t>
  </si>
  <si>
    <t>6281318629590</t>
  </si>
  <si>
    <t>Hillcrest, Karawaci</t>
  </si>
  <si>
    <t>Y-0850</t>
  </si>
  <si>
    <t>Jiang su</t>
  </si>
  <si>
    <t>Y-0807</t>
  </si>
  <si>
    <t>Y-1004</t>
  </si>
  <si>
    <t>Ye.</t>
  </si>
  <si>
    <t>Weihua</t>
  </si>
  <si>
    <t>cyl.elaine@hotmail.com</t>
  </si>
  <si>
    <t>+8613761288686</t>
  </si>
  <si>
    <t>Y-1045</t>
  </si>
  <si>
    <t>Yee Shik</t>
  </si>
  <si>
    <t>628111700035</t>
  </si>
  <si>
    <t>Y-0477</t>
  </si>
  <si>
    <t>Yeeran</t>
  </si>
  <si>
    <t>Y-0760</t>
  </si>
  <si>
    <t>Yefikha</t>
  </si>
  <si>
    <t>Villa pondok Indah BKK B N0.2</t>
  </si>
  <si>
    <t>Y-0758</t>
  </si>
  <si>
    <t>Yefni</t>
  </si>
  <si>
    <t>Zafitri</t>
  </si>
  <si>
    <t>Y-334</t>
  </si>
  <si>
    <t>Y-0870</t>
  </si>
  <si>
    <t>Yeh,</t>
  </si>
  <si>
    <t>Mei-Hsia</t>
  </si>
  <si>
    <t>Y-0439</t>
  </si>
  <si>
    <t>Yehee</t>
  </si>
  <si>
    <t>park</t>
  </si>
  <si>
    <t>pkysh@hanmail.nett</t>
  </si>
  <si>
    <t>pancoran</t>
  </si>
  <si>
    <t>Y-0947</t>
  </si>
  <si>
    <t>Yella</t>
  </si>
  <si>
    <t>yella_agt@yahoo.com</t>
  </si>
  <si>
    <t>6281232228888</t>
  </si>
  <si>
    <t>Goldenwood D-19 , Citra Grand</t>
  </si>
  <si>
    <t>Y-234</t>
  </si>
  <si>
    <t>Yelmi</t>
  </si>
  <si>
    <t>Y-031</t>
  </si>
  <si>
    <t>Yen</t>
  </si>
  <si>
    <t>Muara Karang P9 Utara No. 27</t>
  </si>
  <si>
    <t>Y-0815</t>
  </si>
  <si>
    <t>Y-0811</t>
  </si>
  <si>
    <t>Komp Griyaria Indah</t>
  </si>
  <si>
    <t>Y-032</t>
  </si>
  <si>
    <t>Yena</t>
  </si>
  <si>
    <t>Jl. Mimosa V Blok B No. 15</t>
  </si>
  <si>
    <t>Komp. Buncit Indah, Pejaten</t>
  </si>
  <si>
    <t>Y-0721</t>
  </si>
  <si>
    <t>Sintiani</t>
  </si>
  <si>
    <t>6281511552188</t>
  </si>
  <si>
    <t>Y-0763</t>
  </si>
  <si>
    <t>Yenfrida</t>
  </si>
  <si>
    <t>62811959738</t>
  </si>
  <si>
    <t xml:space="preserve">Gold Coast, West Coast 1st no.6 
PIK</t>
  </si>
  <si>
    <t>Y-0623</t>
  </si>
  <si>
    <t>Yeni</t>
  </si>
  <si>
    <t>Jl.Ciumbuleuit No.197 Balepakuan Blok C-17.Bandung  40142</t>
  </si>
  <si>
    <t>Y-0911</t>
  </si>
  <si>
    <t>Y-248</t>
  </si>
  <si>
    <t>Y-0983</t>
  </si>
  <si>
    <t>Yuliandari</t>
  </si>
  <si>
    <t>+6282229994678</t>
  </si>
  <si>
    <t>Y-359</t>
  </si>
  <si>
    <t>Yenilia</t>
  </si>
  <si>
    <t>Y-0827</t>
  </si>
  <si>
    <t>Yenni</t>
  </si>
  <si>
    <t>Kristiani</t>
  </si>
  <si>
    <t>hello.yennikristiani@gmail.com</t>
  </si>
  <si>
    <t xml:space="preserve">MARINA THE GREEN BLOK C3A NO.11/12, ANCOL BARAT
JAKARTA - UTARA 14430</t>
  </si>
  <si>
    <t>Y-033</t>
  </si>
  <si>
    <t>yrista@yahoo.com</t>
  </si>
  <si>
    <t xml:space="preserve">Jl. Pattimura No. 25
Kebayoran Baru</t>
  </si>
  <si>
    <t>Y-0862</t>
  </si>
  <si>
    <t>Suriaty</t>
  </si>
  <si>
    <t>GUNTUR NO.3 - BANDUNG</t>
  </si>
  <si>
    <t>Y-0605</t>
  </si>
  <si>
    <t>Y-0419</t>
  </si>
  <si>
    <t>Yenny</t>
  </si>
  <si>
    <t>Y-0641</t>
  </si>
  <si>
    <t>Y-034</t>
  </si>
  <si>
    <t>Y-0879</t>
  </si>
  <si>
    <t>Hariati Koagow</t>
  </si>
  <si>
    <t>6282311151115</t>
  </si>
  <si>
    <t>Y-0712</t>
  </si>
  <si>
    <t>Yenny Fang</t>
  </si>
  <si>
    <t>Budi Tjung</t>
  </si>
  <si>
    <t>+628118955537</t>
  </si>
  <si>
    <t>Y-0739</t>
  </si>
  <si>
    <t>Y-0775</t>
  </si>
  <si>
    <t>Y-0873</t>
  </si>
  <si>
    <t>Koagow</t>
  </si>
  <si>
    <t xml:space="preserve">JL MASJID ALFALLAH NO.37
JAKARTA 13650
</t>
  </si>
  <si>
    <t>Y-0923</t>
  </si>
  <si>
    <t>cjyzcy1524@gmail.com</t>
  </si>
  <si>
    <t>+628164848303</t>
  </si>
  <si>
    <t>Y-0806</t>
  </si>
  <si>
    <t>628116074288</t>
  </si>
  <si>
    <t xml:space="preserve">Jl Asem V No.10 E
Cipete Selatan</t>
  </si>
  <si>
    <t>Y-0867</t>
  </si>
  <si>
    <t>yennylie76@gmail.com</t>
  </si>
  <si>
    <t>62816751027</t>
  </si>
  <si>
    <t>Y-282</t>
  </si>
  <si>
    <t>utomo_dominique@yahoo.com</t>
  </si>
  <si>
    <t>+62816137685</t>
  </si>
  <si>
    <t>DMB J-D No 10</t>
  </si>
  <si>
    <t>Y-0761</t>
  </si>
  <si>
    <t>Merlina</t>
  </si>
  <si>
    <t>Y-178</t>
  </si>
  <si>
    <t>Y-358</t>
  </si>
  <si>
    <t>62816804290</t>
  </si>
  <si>
    <t>The Kew Garden Res QE. 16/011, Kelapa Gading Barat</t>
  </si>
  <si>
    <t>Y-0927</t>
  </si>
  <si>
    <t>permatasari.yennyp@gmail.com</t>
  </si>
  <si>
    <t>6281252525397</t>
  </si>
  <si>
    <t>Y-0845</t>
  </si>
  <si>
    <t>Tutong</t>
  </si>
  <si>
    <t>Y-0695</t>
  </si>
  <si>
    <t>wijaya</t>
  </si>
  <si>
    <t>komplek gading residence jl.Pelangi raya blok C1B no.01 kelapa gading</t>
  </si>
  <si>
    <t>Y-0990</t>
  </si>
  <si>
    <t>628116332345</t>
  </si>
  <si>
    <t>Y-0698</t>
  </si>
  <si>
    <t>Yennygoh</t>
  </si>
  <si>
    <t>yennygoh77@gmail.com</t>
  </si>
  <si>
    <t>6282114446376</t>
  </si>
  <si>
    <t>Garden House Blok GM3/32 PIK</t>
  </si>
  <si>
    <t>Y-0769</t>
  </si>
  <si>
    <t>Yensy</t>
  </si>
  <si>
    <t>M-0808</t>
  </si>
  <si>
    <t>Yenti</t>
  </si>
  <si>
    <t>Y-217</t>
  </si>
  <si>
    <t>Yenty</t>
  </si>
  <si>
    <t>Y-0846</t>
  </si>
  <si>
    <t>Y-0687</t>
  </si>
  <si>
    <t>Y-0999</t>
  </si>
  <si>
    <t>6281218181993</t>
  </si>
  <si>
    <t>Y-344</t>
  </si>
  <si>
    <t>628161808433</t>
  </si>
  <si>
    <t>Y-0978</t>
  </si>
  <si>
    <t>6281322232200</t>
  </si>
  <si>
    <t>Y-036</t>
  </si>
  <si>
    <t>Yenyen</t>
  </si>
  <si>
    <t>Jl. Mangga Dua Blok H-1 No. 22-23</t>
  </si>
  <si>
    <t>Y-037</t>
  </si>
  <si>
    <t>Yeo</t>
  </si>
  <si>
    <t>Y-0979</t>
  </si>
  <si>
    <t>Yeo Lan</t>
  </si>
  <si>
    <t>yeolan.yoon@gmail.com</t>
  </si>
  <si>
    <t>+6287889939520</t>
  </si>
  <si>
    <t>Y-0974</t>
  </si>
  <si>
    <t>Ying Han</t>
  </si>
  <si>
    <t>6598730922</t>
  </si>
  <si>
    <t>Y-0800</t>
  </si>
  <si>
    <t>Y-0830</t>
  </si>
  <si>
    <t>9ksdnf080@naver.com</t>
  </si>
  <si>
    <t>Y-0841</t>
  </si>
  <si>
    <t>Yeong</t>
  </si>
  <si>
    <t>Y-0643</t>
  </si>
  <si>
    <t>kong972aa@gmail.com</t>
  </si>
  <si>
    <t>Y-0794</t>
  </si>
  <si>
    <t>Yeongho</t>
  </si>
  <si>
    <t>Y-0878</t>
  </si>
  <si>
    <t>Yergeshbag</t>
  </si>
  <si>
    <t>Nurlan</t>
  </si>
  <si>
    <t>Kazakstan</t>
  </si>
  <si>
    <t>Y-1025</t>
  </si>
  <si>
    <t>Shiney</t>
  </si>
  <si>
    <t>628125552723</t>
  </si>
  <si>
    <t>Y-0826</t>
  </si>
  <si>
    <t>Yesaya</t>
  </si>
  <si>
    <t>Y-0997</t>
  </si>
  <si>
    <t>Yesaya Deusukma</t>
  </si>
  <si>
    <t>Anjaya</t>
  </si>
  <si>
    <t>yda@airaya.one</t>
  </si>
  <si>
    <t>62811282118</t>
  </si>
  <si>
    <t>Y-1047</t>
  </si>
  <si>
    <t>Yeshwant Ramchandra</t>
  </si>
  <si>
    <t>Nadkarni</t>
  </si>
  <si>
    <t>yesh_nadkarni@yahoo.com.an</t>
  </si>
  <si>
    <t>919819835466</t>
  </si>
  <si>
    <t>Y-0904</t>
  </si>
  <si>
    <t>Yesi</t>
  </si>
  <si>
    <t>MJ</t>
  </si>
  <si>
    <t>Y-205</t>
  </si>
  <si>
    <t>Yeslyn</t>
  </si>
  <si>
    <t>Y-0732</t>
  </si>
  <si>
    <t>Yessy</t>
  </si>
  <si>
    <t>yessynatalia.ame@gmail.com</t>
  </si>
  <si>
    <t>628111220048</t>
  </si>
  <si>
    <t>Y-0955</t>
  </si>
  <si>
    <t>yessyolivia@hotmail.com</t>
  </si>
  <si>
    <t>+6281237372287</t>
  </si>
  <si>
    <t>1 Park Residence BGA Jakarta Selatan</t>
  </si>
  <si>
    <t>Y-312</t>
  </si>
  <si>
    <t>Yamagusbi</t>
  </si>
  <si>
    <t>Y-0437</t>
  </si>
  <si>
    <t>Yeti</t>
  </si>
  <si>
    <t>Aziza</t>
  </si>
  <si>
    <t>Y-0621</t>
  </si>
  <si>
    <t>Yetty</t>
  </si>
  <si>
    <t>Y-0871</t>
  </si>
  <si>
    <t>Y-0671</t>
  </si>
  <si>
    <t>Heirbaut</t>
  </si>
  <si>
    <t>Jl Kair no 7 Kav 3 ragunan</t>
  </si>
  <si>
    <t>Y-0446</t>
  </si>
  <si>
    <t xml:space="preserve">Bulgari Resort Bali
Director of Human Resources</t>
  </si>
  <si>
    <t>Y-041</t>
  </si>
  <si>
    <t>Noordraven</t>
  </si>
  <si>
    <t>JL. H. Syaip Ujung Kav.6</t>
  </si>
  <si>
    <t>Y-332</t>
  </si>
  <si>
    <t>Yety</t>
  </si>
  <si>
    <t>62818827088</t>
  </si>
  <si>
    <t>Y-0767</t>
  </si>
  <si>
    <t>Yeuteum</t>
  </si>
  <si>
    <t>La</t>
  </si>
  <si>
    <t>Y-0460</t>
  </si>
  <si>
    <t>Yewon</t>
  </si>
  <si>
    <t>Y-0975</t>
  </si>
  <si>
    <t>Yeyao</t>
  </si>
  <si>
    <t>8618823410659</t>
  </si>
  <si>
    <t>Y-0857</t>
  </si>
  <si>
    <t>Yeye</t>
  </si>
  <si>
    <t>Y-0613</t>
  </si>
  <si>
    <t>Yeyen</t>
  </si>
  <si>
    <t>Yovita</t>
  </si>
  <si>
    <t>dr_yeyen@yahoo.co.id</t>
  </si>
  <si>
    <t>6281220217000</t>
  </si>
  <si>
    <t>Apartment Sudirman Park Jakarta</t>
  </si>
  <si>
    <t>Y-0836</t>
  </si>
  <si>
    <t>Qiaobin</t>
  </si>
  <si>
    <t>Y-0722</t>
  </si>
  <si>
    <t>Hyunju</t>
  </si>
  <si>
    <t>Y-0418</t>
  </si>
  <si>
    <t>872012148@qq.com</t>
  </si>
  <si>
    <t>Qiutao Road 28, Feng Huang Cheng</t>
  </si>
  <si>
    <t>Hang Zhou</t>
  </si>
  <si>
    <t>Y-176</t>
  </si>
  <si>
    <t>Y-0620</t>
  </si>
  <si>
    <t>Y-0570</t>
  </si>
  <si>
    <t xml:space="preserve">BRI II
Lt.27</t>
  </si>
  <si>
    <t>J-0669</t>
  </si>
  <si>
    <t>YI</t>
  </si>
  <si>
    <t>EUN</t>
  </si>
  <si>
    <t>Y-0902</t>
  </si>
  <si>
    <t>Yi,</t>
  </si>
  <si>
    <t>Y-1002</t>
  </si>
  <si>
    <t>Yildirim</t>
  </si>
  <si>
    <t>Ecem</t>
  </si>
  <si>
    <t>eccem777@gmail.com</t>
  </si>
  <si>
    <t>Y-1021</t>
  </si>
  <si>
    <t>Yilin</t>
  </si>
  <si>
    <t>+61414163808</t>
  </si>
  <si>
    <t>Y-0576</t>
  </si>
  <si>
    <t>Xinya</t>
  </si>
  <si>
    <t>Y-321</t>
  </si>
  <si>
    <t>Yinan</t>
  </si>
  <si>
    <t>Ameliazhou62@yahoo.com</t>
  </si>
  <si>
    <t xml:space="preserve">Jl.Karang Asem utaraNo.21-23
Kuningan City</t>
  </si>
  <si>
    <t>Y-1024</t>
  </si>
  <si>
    <t>Yinani</t>
  </si>
  <si>
    <t>yinanij@gmail.com</t>
  </si>
  <si>
    <t>+6281286284906</t>
  </si>
  <si>
    <t>Y-0968</t>
  </si>
  <si>
    <t>Yingteng</t>
  </si>
  <si>
    <t>yingteng_feng@zhenshigroup.com</t>
  </si>
  <si>
    <t>+6282119894795</t>
  </si>
  <si>
    <t>Y-0988</t>
  </si>
  <si>
    <t>Yip Kai</t>
  </si>
  <si>
    <t>Yuei Terry</t>
  </si>
  <si>
    <t>tzraic@gmail.com</t>
  </si>
  <si>
    <t>85296664266</t>
  </si>
  <si>
    <t>Y-0668</t>
  </si>
  <si>
    <t>YiseuL</t>
  </si>
  <si>
    <t>Y-0930</t>
  </si>
  <si>
    <t>Yixiong</t>
  </si>
  <si>
    <t>Kz</t>
  </si>
  <si>
    <t>8613671678348</t>
  </si>
  <si>
    <t>Y-397</t>
  </si>
  <si>
    <t>Ylaine</t>
  </si>
  <si>
    <t>Y-0654</t>
  </si>
  <si>
    <t>Yo Angela</t>
  </si>
  <si>
    <t>62816797670</t>
  </si>
  <si>
    <t>Y-237</t>
  </si>
  <si>
    <t>Mie Ing</t>
  </si>
  <si>
    <t>+62811918119</t>
  </si>
  <si>
    <t>Y-366</t>
  </si>
  <si>
    <t>Yoan</t>
  </si>
  <si>
    <t>Tovani</t>
  </si>
  <si>
    <t>Y-0443</t>
  </si>
  <si>
    <t>Yobeta</t>
  </si>
  <si>
    <t>Y-0877</t>
  </si>
  <si>
    <t>Yocke</t>
  </si>
  <si>
    <t>Kaseger</t>
  </si>
  <si>
    <t>The Royal Springhill Residences</t>
  </si>
  <si>
    <t>Y-0591</t>
  </si>
  <si>
    <t>Yoel</t>
  </si>
  <si>
    <t>Y-0485</t>
  </si>
  <si>
    <t>Yoelliam</t>
  </si>
  <si>
    <t>Y-047</t>
  </si>
  <si>
    <t>Yoevan</t>
  </si>
  <si>
    <t>Wiraatmaja</t>
  </si>
  <si>
    <t xml:space="preserve">Taman Kebon Jeruk P1/49
Jakarta Barat 11630</t>
  </si>
  <si>
    <t>Y-0748</t>
  </si>
  <si>
    <t>Yoga</t>
  </si>
  <si>
    <t>6282297971919</t>
  </si>
  <si>
    <t>Y-0705</t>
  </si>
  <si>
    <t>Kedoya Baru f2/8</t>
  </si>
  <si>
    <t>Y-199</t>
  </si>
  <si>
    <t>Jl. Raya Kelapa Lilin LA 21 No. 6</t>
  </si>
  <si>
    <t>Y-0409</t>
  </si>
  <si>
    <t>Prakarsa</t>
  </si>
  <si>
    <t>y.prakarsa@gmail.com</t>
  </si>
  <si>
    <t>Y-0759</t>
  </si>
  <si>
    <t>Villa Jatiwaringin B/9</t>
  </si>
  <si>
    <t>Y-0474</t>
  </si>
  <si>
    <t>yogasusilo1073@gmail.com</t>
  </si>
  <si>
    <t>Y-1005</t>
  </si>
  <si>
    <t>Yogeswaran</t>
  </si>
  <si>
    <t>Kuberan</t>
  </si>
  <si>
    <t>yogipublicrelations@gmail.com</t>
  </si>
  <si>
    <t>60177410812</t>
  </si>
  <si>
    <t>Y-300</t>
  </si>
  <si>
    <t>Yogi</t>
  </si>
  <si>
    <t>Suprayogi.soepaat@gmail.com</t>
  </si>
  <si>
    <t>Y-048</t>
  </si>
  <si>
    <t>JL. Kimagunsarkoro No.9 Menteng</t>
  </si>
  <si>
    <t>Y-0834</t>
  </si>
  <si>
    <t>Adidjaja</t>
  </si>
  <si>
    <t>Y-336</t>
  </si>
  <si>
    <t>Y-0793</t>
  </si>
  <si>
    <t>Gunario</t>
  </si>
  <si>
    <t>yogi.gunario@gmail.com</t>
  </si>
  <si>
    <t>Y-370</t>
  </si>
  <si>
    <t>Yogie</t>
  </si>
  <si>
    <t>Dsp</t>
  </si>
  <si>
    <t>Y-0778</t>
  </si>
  <si>
    <t>Yohan</t>
  </si>
  <si>
    <t>62817111133</t>
  </si>
  <si>
    <t>Y-049</t>
  </si>
  <si>
    <t>Jl. Kelapa Nias I Blok K-2 No. 3</t>
  </si>
  <si>
    <t>Kelapa Gading Permai</t>
  </si>
  <si>
    <t>Y-258</t>
  </si>
  <si>
    <t>Y-387</t>
  </si>
  <si>
    <t>Natanael</t>
  </si>
  <si>
    <t>Y-1042</t>
  </si>
  <si>
    <t>lotusfo213@gmail.com</t>
  </si>
  <si>
    <t>6282111800899</t>
  </si>
  <si>
    <t>Y-219</t>
  </si>
  <si>
    <t>Y-0587</t>
  </si>
  <si>
    <t>Y-1014</t>
  </si>
  <si>
    <t>Y-302</t>
  </si>
  <si>
    <t>Y-0782</t>
  </si>
  <si>
    <t>Y-233</t>
  </si>
  <si>
    <t>Y-0859</t>
  </si>
  <si>
    <t>+62816933571</t>
  </si>
  <si>
    <t>Y-0962</t>
  </si>
  <si>
    <t>Raynald Suharto</t>
  </si>
  <si>
    <t>628111611860</t>
  </si>
  <si>
    <t>Y-0892</t>
  </si>
  <si>
    <t>Y-349</t>
  </si>
  <si>
    <t xml:space="preserve">Jl.Danau Toba no.16 
Jember
Birthday : 26 Jan 1989</t>
  </si>
  <si>
    <t>Y-050</t>
  </si>
  <si>
    <t>Yohannes</t>
  </si>
  <si>
    <t>Jl. Pangeran Jayakarta 117</t>
  </si>
  <si>
    <t>Blok B No. 62-64</t>
  </si>
  <si>
    <t>Y-0814</t>
  </si>
  <si>
    <t>Y-052</t>
  </si>
  <si>
    <t>Yoichi</t>
  </si>
  <si>
    <t>Y-383</t>
  </si>
  <si>
    <t>Yoke</t>
  </si>
  <si>
    <t>Y-0920</t>
  </si>
  <si>
    <t>+62811533636</t>
  </si>
  <si>
    <t xml:space="preserve">Apartment Casa Grande 2,Tower Angelo 1610
Jakarta 12870</t>
  </si>
  <si>
    <t>Y-0868</t>
  </si>
  <si>
    <t>Yokiswara</t>
  </si>
  <si>
    <t>Maguwo No 643A bantul D.I. Yogyaharta</t>
  </si>
  <si>
    <t>Y-054</t>
  </si>
  <si>
    <t>Yoko</t>
  </si>
  <si>
    <t>Kumoro</t>
  </si>
  <si>
    <t>Y-355</t>
  </si>
  <si>
    <t>Y-0939</t>
  </si>
  <si>
    <t>Yola</t>
  </si>
  <si>
    <t>Istiani</t>
  </si>
  <si>
    <t>YolaIstiany@gmail.com</t>
  </si>
  <si>
    <t>6287880662987</t>
  </si>
  <si>
    <t>Taman Kebon Jeruk E1/18 11630 Jakarta</t>
  </si>
  <si>
    <t>Y-0745</t>
  </si>
  <si>
    <t>Y-0691</t>
  </si>
  <si>
    <t>Y-0487</t>
  </si>
  <si>
    <t>Y-0896</t>
  </si>
  <si>
    <t>Mamentu</t>
  </si>
  <si>
    <t>Y-0476</t>
  </si>
  <si>
    <t>natasya</t>
  </si>
  <si>
    <t>blueceltic_gal88@yahoo.com</t>
  </si>
  <si>
    <t>Y-0854</t>
  </si>
  <si>
    <t>Sujojo</t>
  </si>
  <si>
    <t>+6287775551125</t>
  </si>
  <si>
    <t>Y-0478</t>
  </si>
  <si>
    <t>Four Season Residence</t>
  </si>
  <si>
    <t>Y-305</t>
  </si>
  <si>
    <t>Y-0858</t>
  </si>
  <si>
    <t>Yolenta</t>
  </si>
  <si>
    <t>yolentawinda@gmail.com</t>
  </si>
  <si>
    <t>Y-201</t>
  </si>
  <si>
    <t>Yoli</t>
  </si>
  <si>
    <t>Joenis</t>
  </si>
  <si>
    <t>Senayan Bintaro 1 Blok HH12/7 Tangerang</t>
  </si>
  <si>
    <t>Y-0424</t>
  </si>
  <si>
    <t>Y-0569</t>
  </si>
  <si>
    <t>Y-0638</t>
  </si>
  <si>
    <t>Y-0637</t>
  </si>
  <si>
    <t>dinahyongyong@yahoo.co.id</t>
  </si>
  <si>
    <t>jl krendang raya no 11 11260</t>
  </si>
  <si>
    <t>Y-185</t>
  </si>
  <si>
    <t>Yongki</t>
  </si>
  <si>
    <t>Komaladit.</t>
  </si>
  <si>
    <t>Y-0812</t>
  </si>
  <si>
    <t>Yongky</t>
  </si>
  <si>
    <t>Tandaju</t>
  </si>
  <si>
    <t>Y-0821</t>
  </si>
  <si>
    <t>Yongyan</t>
  </si>
  <si>
    <t>Y-0795</t>
  </si>
  <si>
    <t>YONI</t>
  </si>
  <si>
    <t>Y-159</t>
  </si>
  <si>
    <t>Yonie</t>
  </si>
  <si>
    <t>Citra Garden 2 Blok D5 No.2</t>
  </si>
  <si>
    <t>Y-0407</t>
  </si>
  <si>
    <t>Jae Sang</t>
  </si>
  <si>
    <t>+62811841510</t>
  </si>
  <si>
    <t>Y-0717</t>
  </si>
  <si>
    <t>Y-0905</t>
  </si>
  <si>
    <t>Yoola</t>
  </si>
  <si>
    <t>Zuraidah</t>
  </si>
  <si>
    <t>+6285780414756</t>
  </si>
  <si>
    <t>Jl. Lembang No. 36</t>
  </si>
  <si>
    <t>Y-0842</t>
  </si>
  <si>
    <t>YOON</t>
  </si>
  <si>
    <t>BYUNGYOON</t>
  </si>
  <si>
    <t>Y-186</t>
  </si>
  <si>
    <t>Y-0848</t>
  </si>
  <si>
    <t>Wong Shin</t>
  </si>
  <si>
    <t>+6287818256883</t>
  </si>
  <si>
    <t>Y-0894</t>
  </si>
  <si>
    <t>Puri Botanical Residence Cluster Agathis Blok F/815</t>
  </si>
  <si>
    <t>Y-0829</t>
  </si>
  <si>
    <t>MALAYSIA</t>
  </si>
  <si>
    <t>Y-315</t>
  </si>
  <si>
    <t>Yopi</t>
  </si>
  <si>
    <t>Apartemen Residnce 8 Tower 3 unit 21A1</t>
  </si>
  <si>
    <t>Y-0820</t>
  </si>
  <si>
    <t>Yoppi</t>
  </si>
  <si>
    <t xml:space="preserve">Jl Taman Ayun Raya no.1B
Jakarta, 13930</t>
  </si>
  <si>
    <t>Y-171</t>
  </si>
  <si>
    <t>Yopy</t>
  </si>
  <si>
    <t>Wikana</t>
  </si>
  <si>
    <t>Y-0706</t>
  </si>
  <si>
    <t>Cahyono</t>
  </si>
  <si>
    <t>Y-062</t>
  </si>
  <si>
    <t>Yos</t>
  </si>
  <si>
    <t>Y-352</t>
  </si>
  <si>
    <t>Y-081</t>
  </si>
  <si>
    <t>Maryoso</t>
  </si>
  <si>
    <t>Y-0557</t>
  </si>
  <si>
    <t>Yosa</t>
  </si>
  <si>
    <t>Y-252</t>
  </si>
  <si>
    <t>Yosafat</t>
  </si>
  <si>
    <t>Y-0906</t>
  </si>
  <si>
    <t>Yosanda</t>
  </si>
  <si>
    <t>Y-0573</t>
  </si>
  <si>
    <t>Yose</t>
  </si>
  <si>
    <t>Jl.Asem VI No,09</t>
  </si>
  <si>
    <t>Y-063</t>
  </si>
  <si>
    <t>California Townhouse 25</t>
  </si>
  <si>
    <t>Y-0928</t>
  </si>
  <si>
    <t>Yosefia</t>
  </si>
  <si>
    <t>Murdiharjo</t>
  </si>
  <si>
    <t>yosefia@sekarguna.co.id</t>
  </si>
  <si>
    <t>62816939590</t>
  </si>
  <si>
    <t>GEDUNG HIJAU RAYA NO.27, PONDOK INDAH SARI, JAKARTA SELATAN</t>
  </si>
  <si>
    <t>Y-0723</t>
  </si>
  <si>
    <t>Yosefin</t>
  </si>
  <si>
    <t>Wiwien</t>
  </si>
  <si>
    <t>Y-0601</t>
  </si>
  <si>
    <t>Y-0711</t>
  </si>
  <si>
    <t>Batu Nunggal Elok 1 no.2, Bandung</t>
  </si>
  <si>
    <t>Y-0783</t>
  </si>
  <si>
    <t>+62811837089</t>
  </si>
  <si>
    <t>Y-0581</t>
  </si>
  <si>
    <t>Y-339</t>
  </si>
  <si>
    <t>Yosephine</t>
  </si>
  <si>
    <t>mrsytjokro@gmail.com</t>
  </si>
  <si>
    <t>6281519419910</t>
  </si>
  <si>
    <t>Jl. Simprug Golf XI/158</t>
  </si>
  <si>
    <t>Y-242</t>
  </si>
  <si>
    <t>Rosalia</t>
  </si>
  <si>
    <t xml:space="preserve">Muara Karang Blok CB selatan no.6
Jakarta Utara 14450</t>
  </si>
  <si>
    <t>Y-0803</t>
  </si>
  <si>
    <t>Imperial Golf Regency ABG 4 NO.26</t>
  </si>
  <si>
    <t>Y-285</t>
  </si>
  <si>
    <t>Yoshiaki</t>
  </si>
  <si>
    <t>Miura</t>
  </si>
  <si>
    <t>Y-067</t>
  </si>
  <si>
    <t>Yoshiha</t>
  </si>
  <si>
    <t>Fujimura</t>
  </si>
  <si>
    <t>Menara BCA 51st Fl. Grand Indonesia</t>
  </si>
  <si>
    <t>Jl. M.H. Thamrin no. 1</t>
  </si>
  <si>
    <t>Y-0891</t>
  </si>
  <si>
    <t>Yoshihara</t>
  </si>
  <si>
    <t>Y-0645</t>
  </si>
  <si>
    <t>Yoshihiro</t>
  </si>
  <si>
    <t>Fujie</t>
  </si>
  <si>
    <t>Y-072</t>
  </si>
  <si>
    <t>Yoshiko</t>
  </si>
  <si>
    <t>Shioyama</t>
  </si>
  <si>
    <t>Y-244</t>
  </si>
  <si>
    <t>Y-075</t>
  </si>
  <si>
    <t>Yoshiro</t>
  </si>
  <si>
    <t>Jl. Tanjung Barat Blok K No. 23</t>
  </si>
  <si>
    <t>Y-0831</t>
  </si>
  <si>
    <t>Yoshua</t>
  </si>
  <si>
    <t>628118100178</t>
  </si>
  <si>
    <t>Y-0931</t>
  </si>
  <si>
    <t>Yosi Handi</t>
  </si>
  <si>
    <t>yosihandi2511@gmail.com</t>
  </si>
  <si>
    <t>62123136644</t>
  </si>
  <si>
    <t>Y-079</t>
  </si>
  <si>
    <t>Yosi</t>
  </si>
  <si>
    <t>Rumah Dinas Bupati Rejang Lebong</t>
  </si>
  <si>
    <t>Y-0880</t>
  </si>
  <si>
    <t>Jl. Mayjen Sutoyo 003/01 No.20 Jakarta 13640</t>
  </si>
  <si>
    <t>Y-162</t>
  </si>
  <si>
    <t>Rosliywati</t>
  </si>
  <si>
    <t>Y-0454</t>
  </si>
  <si>
    <t>Yosifebi</t>
  </si>
  <si>
    <t>Y-216</t>
  </si>
  <si>
    <t>Yoslay</t>
  </si>
  <si>
    <t xml:space="preserve">Tebet Utara Dalam Raya No.7B
Jakarta Selatan</t>
  </si>
  <si>
    <t>Y-1006</t>
  </si>
  <si>
    <t>Cihu</t>
  </si>
  <si>
    <t>6281262101101</t>
  </si>
  <si>
    <t>Y-083</t>
  </si>
  <si>
    <t>Yossi</t>
  </si>
  <si>
    <t>Y-0971</t>
  </si>
  <si>
    <t>Salista</t>
  </si>
  <si>
    <t>6282125311588</t>
  </si>
  <si>
    <t>Y-082</t>
  </si>
  <si>
    <t>Yossie</t>
  </si>
  <si>
    <t>Semanggi Apt. #615</t>
  </si>
  <si>
    <t>Y-356</t>
  </si>
  <si>
    <t>Y-0828</t>
  </si>
  <si>
    <t>yosua.tjajadi@gmail.com</t>
  </si>
  <si>
    <t>Y-0908</t>
  </si>
  <si>
    <t>Yosue</t>
  </si>
  <si>
    <t>Manullang</t>
  </si>
  <si>
    <t>Jl.Tebet Barat X/23 Jakarta</t>
  </si>
  <si>
    <t>Y-0484</t>
  </si>
  <si>
    <t>You</t>
  </si>
  <si>
    <t>Chisu</t>
  </si>
  <si>
    <t>081218048610</t>
  </si>
  <si>
    <t>Y-0835</t>
  </si>
  <si>
    <t>You Mei</t>
  </si>
  <si>
    <t>6282221852185</t>
  </si>
  <si>
    <t>Ancol Sea Front</t>
  </si>
  <si>
    <t>Y-0787</t>
  </si>
  <si>
    <t>Y-0741</t>
  </si>
  <si>
    <t>Y-0861</t>
  </si>
  <si>
    <t>You,</t>
  </si>
  <si>
    <t>Meizhen</t>
  </si>
  <si>
    <t>cheyenne@cheyenne.co.jp</t>
  </si>
  <si>
    <t>Y-322</t>
  </si>
  <si>
    <t>Youke</t>
  </si>
  <si>
    <t>081218622842</t>
  </si>
  <si>
    <t>Y-0950</t>
  </si>
  <si>
    <t>Youn</t>
  </si>
  <si>
    <t>Ki-Yong</t>
  </si>
  <si>
    <t>821074804010</t>
  </si>
  <si>
    <t>South Korean</t>
  </si>
  <si>
    <t>Y-086</t>
  </si>
  <si>
    <t>Y-299</t>
  </si>
  <si>
    <t>Y-0817</t>
  </si>
  <si>
    <t>jeilkyk@gmail.com</t>
  </si>
  <si>
    <t>Essence Darmawangsa, Apt South 22FS</t>
  </si>
  <si>
    <t>Y-085</t>
  </si>
  <si>
    <t>Ahn(KOREA)</t>
  </si>
  <si>
    <t>Y-165</t>
  </si>
  <si>
    <t>Y-0546</t>
  </si>
  <si>
    <t>Y-1000</t>
  </si>
  <si>
    <t>Your Royal Highness Ikhosikati</t>
  </si>
  <si>
    <t>Make Langangaza G</t>
  </si>
  <si>
    <t>17072025</t>
  </si>
  <si>
    <t>Estawani</t>
  </si>
  <si>
    <t>Central African Republic</t>
  </si>
  <si>
    <t>Y-0998</t>
  </si>
  <si>
    <t>Your</t>
  </si>
  <si>
    <t>Gija</t>
  </si>
  <si>
    <t>SWAZILAND</t>
  </si>
  <si>
    <t>Y-1001</t>
  </si>
  <si>
    <t>Your Royal Highness Inkhosikati</t>
  </si>
  <si>
    <t>Make Magongo</t>
  </si>
  <si>
    <t>170720251</t>
  </si>
  <si>
    <t>Y-1012</t>
  </si>
  <si>
    <t>Bibo</t>
  </si>
  <si>
    <t>Tabbara</t>
  </si>
  <si>
    <t>bbtabbara@gmail.com</t>
  </si>
  <si>
    <t>966566395222</t>
  </si>
  <si>
    <t>Y-281</t>
  </si>
  <si>
    <t>Yova</t>
  </si>
  <si>
    <t>Rovana</t>
  </si>
  <si>
    <t>Y-1019</t>
  </si>
  <si>
    <t>Yovi</t>
  </si>
  <si>
    <t>Wanjaya</t>
  </si>
  <si>
    <t>yoviwanjaya@gmail.com</t>
  </si>
  <si>
    <t>62817816111</t>
  </si>
  <si>
    <t>Y-087</t>
  </si>
  <si>
    <t>3924828##</t>
  </si>
  <si>
    <t>Jl. Menteng Raya 21</t>
  </si>
  <si>
    <t>Y-0746</t>
  </si>
  <si>
    <t>Arden</t>
  </si>
  <si>
    <t>yovita.arden@gmail.com</t>
  </si>
  <si>
    <t>Sunter Garden Blok B7 No.12 F Jakarta Utara</t>
  </si>
  <si>
    <t>Y-378</t>
  </si>
  <si>
    <t>Deana</t>
  </si>
  <si>
    <t>Kutisari Indah Utara III/36</t>
  </si>
  <si>
    <t>Y-351</t>
  </si>
  <si>
    <t>Handiri</t>
  </si>
  <si>
    <t>Y-088</t>
  </si>
  <si>
    <t>9th Fl. Gading Mediterania Residences Apt. #BP</t>
  </si>
  <si>
    <t>Jl. Raya Bukit Gading Boulevard</t>
  </si>
  <si>
    <t>Y-202</t>
  </si>
  <si>
    <t>Winardi</t>
  </si>
  <si>
    <t>Y-089</t>
  </si>
  <si>
    <t>Yoyi</t>
  </si>
  <si>
    <t>Jl. Brawijaya II No. 10</t>
  </si>
  <si>
    <t>Y-272</t>
  </si>
  <si>
    <t>Yoyo</t>
  </si>
  <si>
    <t>Y-0843</t>
  </si>
  <si>
    <t>yoyo.jakarta@gmail.com</t>
  </si>
  <si>
    <t>Y-362</t>
  </si>
  <si>
    <t>Yoyong</t>
  </si>
  <si>
    <t>Kimas</t>
  </si>
  <si>
    <t>Y-163</t>
  </si>
  <si>
    <t>Yozef</t>
  </si>
  <si>
    <t>Y-1015</t>
  </si>
  <si>
    <t>Yozhi</t>
  </si>
  <si>
    <t>Puspita Rahayu</t>
  </si>
  <si>
    <t>yozhipuspita93@gmail.com</t>
  </si>
  <si>
    <t>62811811103</t>
  </si>
  <si>
    <t>Citra Garden Bintaro</t>
  </si>
  <si>
    <t>Y-0540</t>
  </si>
  <si>
    <t>YRYSBEK</t>
  </si>
  <si>
    <t>KYRGYSTAN</t>
  </si>
  <si>
    <t>Y-265</t>
  </si>
  <si>
    <t>Y-269</t>
  </si>
  <si>
    <t>Y-380</t>
  </si>
  <si>
    <t>Mandi</t>
  </si>
  <si>
    <t>5257370@qq.com</t>
  </si>
  <si>
    <t>Y-1031</t>
  </si>
  <si>
    <t>xiayu6082@gmail.com</t>
  </si>
  <si>
    <t>8613780089603</t>
  </si>
  <si>
    <t>Y-0600</t>
  </si>
  <si>
    <t>Qingwen</t>
  </si>
  <si>
    <t>Y-0602</t>
  </si>
  <si>
    <t>Y-1030</t>
  </si>
  <si>
    <t>Tianbo</t>
  </si>
  <si>
    <t>ytb1992@gmail.com</t>
  </si>
  <si>
    <t>+6587390597</t>
  </si>
  <si>
    <t>Y-0406</t>
  </si>
  <si>
    <t>PING</t>
  </si>
  <si>
    <t>Y-0973</t>
  </si>
  <si>
    <t>15980505451</t>
  </si>
  <si>
    <t>Y-148</t>
  </si>
  <si>
    <t>Fun</t>
  </si>
  <si>
    <t>Y-0750</t>
  </si>
  <si>
    <t>Y-0702</t>
  </si>
  <si>
    <t>Y-0924</t>
  </si>
  <si>
    <t>anki.y@hotmail.com</t>
  </si>
  <si>
    <t>+610420670113</t>
  </si>
  <si>
    <t>44 Sunfolwer Cre. Calamuale</t>
  </si>
  <si>
    <t>4116</t>
  </si>
  <si>
    <t>Y-1013</t>
  </si>
  <si>
    <t>Yu,</t>
  </si>
  <si>
    <t>jasonyu99b@hotmail.com</t>
  </si>
  <si>
    <t>+8613617676666</t>
  </si>
  <si>
    <t>Y-0512</t>
  </si>
  <si>
    <t>Yualita</t>
  </si>
  <si>
    <t>Y-0780</t>
  </si>
  <si>
    <t>alicewong0326@gmail.com</t>
  </si>
  <si>
    <t>Y-0986</t>
  </si>
  <si>
    <t>Bing-Liang</t>
  </si>
  <si>
    <t>williamyuan1218@gmail.com</t>
  </si>
  <si>
    <t>886900772720</t>
  </si>
  <si>
    <t>Y-0946</t>
  </si>
  <si>
    <t>Yuan,</t>
  </si>
  <si>
    <t>Dongdong</t>
  </si>
  <si>
    <t>9206061:ly@gmail.com</t>
  </si>
  <si>
    <t>6586220028</t>
  </si>
  <si>
    <t>Y-0936</t>
  </si>
  <si>
    <t>Gaofei</t>
  </si>
  <si>
    <t>8615309215678</t>
  </si>
  <si>
    <t>Y-1007</t>
  </si>
  <si>
    <t>meiyu.y@hotmail.com</t>
  </si>
  <si>
    <t>8618600276522</t>
  </si>
  <si>
    <t>Y-0773</t>
  </si>
  <si>
    <t>Yuana</t>
  </si>
  <si>
    <t>Y-0629</t>
  </si>
  <si>
    <t>Y-1046</t>
  </si>
  <si>
    <t>Yuanbao Zhang</t>
  </si>
  <si>
    <t>13148839933@163.com</t>
  </si>
  <si>
    <t>+8613148839933</t>
  </si>
  <si>
    <t>Y-279</t>
  </si>
  <si>
    <t>Y-0838</t>
  </si>
  <si>
    <t>Chrissanty</t>
  </si>
  <si>
    <t>Y-368</t>
  </si>
  <si>
    <t>Jl. Anggur Barat I No. 6, Cipete Selatan</t>
  </si>
  <si>
    <t>Y-1043</t>
  </si>
  <si>
    <t>628179922266</t>
  </si>
  <si>
    <t>Y-0627</t>
  </si>
  <si>
    <t>Y-0416</t>
  </si>
  <si>
    <t>Y-091</t>
  </si>
  <si>
    <t>Yuddy</t>
  </si>
  <si>
    <t>Jl. Nobel Timur III O3 No. 22</t>
  </si>
  <si>
    <t>Legenda Wisata</t>
  </si>
  <si>
    <t>Y-0977</t>
  </si>
  <si>
    <t>Diwandrianto</t>
  </si>
  <si>
    <t>6281357003454</t>
  </si>
  <si>
    <t>Y-0756</t>
  </si>
  <si>
    <t>Setisa</t>
  </si>
  <si>
    <t>Y-0500</t>
  </si>
  <si>
    <t>Yudhi</t>
  </si>
  <si>
    <t>Y-0874</t>
  </si>
  <si>
    <t>yudhirinaldo@gmail.com</t>
  </si>
  <si>
    <t>Y-092</t>
  </si>
  <si>
    <t>Atmojo</t>
  </si>
  <si>
    <t>Jl. Dempo No. 27</t>
  </si>
  <si>
    <t>Y-0693</t>
  </si>
  <si>
    <t>Soelaeman</t>
  </si>
  <si>
    <t>Y-325</t>
  </si>
  <si>
    <t>Y-317</t>
  </si>
  <si>
    <t>Y-093</t>
  </si>
  <si>
    <t>Jl. A Yani 3B</t>
  </si>
  <si>
    <t>Magelang</t>
  </si>
  <si>
    <t>Y-0802</t>
  </si>
  <si>
    <t>Y-0736</t>
  </si>
  <si>
    <t>+6281213031995</t>
  </si>
  <si>
    <t>Y-1029</t>
  </si>
  <si>
    <t>6281239319906</t>
  </si>
  <si>
    <t>Y-394</t>
  </si>
  <si>
    <t>6281210171819</t>
  </si>
  <si>
    <t>Jl. Meninjau No.1, Lippo Karawaci</t>
  </si>
  <si>
    <t>Y-337</t>
  </si>
  <si>
    <t>P.Harijono</t>
  </si>
  <si>
    <t xml:space="preserve">Ruko Pasar Modern Paramount
Blok A No.27-29
Gading Serpong</t>
  </si>
  <si>
    <t>Y-0945</t>
  </si>
  <si>
    <t>Supriadi</t>
  </si>
  <si>
    <t>6281219411580</t>
  </si>
  <si>
    <t>Y-0754</t>
  </si>
  <si>
    <t>Trilaksono</t>
  </si>
  <si>
    <t>Y-0921</t>
  </si>
  <si>
    <t>yudi.yu@hotmail.com</t>
  </si>
  <si>
    <t>08117908777</t>
  </si>
  <si>
    <t>San Lorenzo SL 10/12</t>
  </si>
  <si>
    <t>Y-0808</t>
  </si>
  <si>
    <t>Yudia</t>
  </si>
  <si>
    <t>Y-094</t>
  </si>
  <si>
    <t>Yudiawati</t>
  </si>
  <si>
    <t>yaya.roberto@hotmail.com</t>
  </si>
  <si>
    <t xml:space="preserve">Jl. Ki Mangunsarkoro No. 35
Menteng</t>
  </si>
  <si>
    <t>Y-275</t>
  </si>
  <si>
    <t>Yudith</t>
  </si>
  <si>
    <t>Y-0433</t>
  </si>
  <si>
    <t>Yudo</t>
  </si>
  <si>
    <t>Jalan Setia Warga IX No. 57D, Jelambar Baru</t>
  </si>
  <si>
    <t>Y-187</t>
  </si>
  <si>
    <t>Yudy</t>
  </si>
  <si>
    <t>Y-0824</t>
  </si>
  <si>
    <t>Yudy Liz</t>
  </si>
  <si>
    <t>Sevina Mawuntu</t>
  </si>
  <si>
    <t>628118581710</t>
  </si>
  <si>
    <t>Y-261</t>
  </si>
  <si>
    <t>Sevina</t>
  </si>
  <si>
    <t>Y-0696</t>
  </si>
  <si>
    <t>Yansyah</t>
  </si>
  <si>
    <t>Y-0823</t>
  </si>
  <si>
    <t>Y-0458</t>
  </si>
  <si>
    <t>Yufrian</t>
  </si>
  <si>
    <t>Y-0863</t>
  </si>
  <si>
    <t>Yufti</t>
  </si>
  <si>
    <t>Prestianto</t>
  </si>
  <si>
    <t>Jl Kesatrian 7 No.16 Matraman</t>
  </si>
  <si>
    <t>Y-0779</t>
  </si>
  <si>
    <t>Yuhadi</t>
  </si>
  <si>
    <t>62811725857</t>
  </si>
  <si>
    <t>Y-0912</t>
  </si>
  <si>
    <t>Y-0790</t>
  </si>
  <si>
    <t>Yuji</t>
  </si>
  <si>
    <t>Ishi</t>
  </si>
  <si>
    <t>Y-243</t>
  </si>
  <si>
    <t>Tomita</t>
  </si>
  <si>
    <t>Y-254</t>
  </si>
  <si>
    <t>Yuka</t>
  </si>
  <si>
    <t>Y-099</t>
  </si>
  <si>
    <t>Yukako</t>
  </si>
  <si>
    <t>Akashi</t>
  </si>
  <si>
    <t>Jl. Niaga Hijau Raya 28</t>
  </si>
  <si>
    <t>Y-0426</t>
  </si>
  <si>
    <t>Yuki</t>
  </si>
  <si>
    <t xml:space="preserve">Pantai Indah Kapuk No.32
Birthday15.06.1988</t>
  </si>
  <si>
    <t>Y-0428</t>
  </si>
  <si>
    <t>Indraputri</t>
  </si>
  <si>
    <t>Y-365</t>
  </si>
  <si>
    <t>Yukiko</t>
  </si>
  <si>
    <t>Baba</t>
  </si>
  <si>
    <t>Y-104</t>
  </si>
  <si>
    <t>Sugimoto</t>
  </si>
  <si>
    <t>Apartment Golf Pondok Indah #2071</t>
  </si>
  <si>
    <t>Y-1009</t>
  </si>
  <si>
    <t>Yulan</t>
  </si>
  <si>
    <t>yulansantoso@yahoo.com</t>
  </si>
  <si>
    <t>+62811321690</t>
  </si>
  <si>
    <t>Raya Darmo Permai Selatan no.36</t>
  </si>
  <si>
    <t>Y-310</t>
  </si>
  <si>
    <t>Yulce</t>
  </si>
  <si>
    <t>Y-117</t>
  </si>
  <si>
    <t>Yulfi</t>
  </si>
  <si>
    <t>Jl. Jati Padang V No. 72</t>
  </si>
  <si>
    <t>Pejaten</t>
  </si>
  <si>
    <t>Y-289</t>
  </si>
  <si>
    <t>Y-155</t>
  </si>
  <si>
    <t>Y-0949</t>
  </si>
  <si>
    <t>6281281924074</t>
  </si>
  <si>
    <t>Y-0729</t>
  </si>
  <si>
    <t>Y-0935</t>
  </si>
  <si>
    <t>Anastasasi</t>
  </si>
  <si>
    <t>yulianastasasi@gmail.com</t>
  </si>
  <si>
    <t>62816717313</t>
  </si>
  <si>
    <t>Y-0768</t>
  </si>
  <si>
    <t>Bareno</t>
  </si>
  <si>
    <t>628121048495</t>
  </si>
  <si>
    <t>Y-0755</t>
  </si>
  <si>
    <t>Lasmin</t>
  </si>
  <si>
    <t>Jl Titipan KOmp Tivoli No 9k</t>
  </si>
  <si>
    <t>Y-0847</t>
  </si>
  <si>
    <t>Prihatin</t>
  </si>
  <si>
    <t xml:space="preserve">Cibubur Bukit Permai
Jl. Tidar
Blok H No 18
Jakarta Timur.</t>
  </si>
  <si>
    <t>Y-0910</t>
  </si>
  <si>
    <t>Y-0825</t>
  </si>
  <si>
    <t>Sulistiawati</t>
  </si>
  <si>
    <t>Y-0855</t>
  </si>
  <si>
    <t>Surianty</t>
  </si>
  <si>
    <t>Y-0797</t>
  </si>
  <si>
    <t>Y-118</t>
  </si>
  <si>
    <t>Jl. Kampus Jaya 16</t>
  </si>
  <si>
    <t>Cidodol</t>
  </si>
  <si>
    <t>Y-0731</t>
  </si>
  <si>
    <t>Y-0647</t>
  </si>
  <si>
    <t>M-1422</t>
  </si>
  <si>
    <t>Gunarsih.</t>
  </si>
  <si>
    <t>Y-0881</t>
  </si>
  <si>
    <t>Y-119</t>
  </si>
  <si>
    <t>Blok D-2 No. 8</t>
  </si>
  <si>
    <t>Y-350</t>
  </si>
  <si>
    <t>mdyuliaps@gmail.com</t>
  </si>
  <si>
    <t>Jl. Gn. Rinjani No. 19</t>
  </si>
  <si>
    <t>Y-0644</t>
  </si>
  <si>
    <t>Jl. Persada No.96</t>
  </si>
  <si>
    <t>Y-0991</t>
  </si>
  <si>
    <t>628122650362</t>
  </si>
  <si>
    <t>Y-124</t>
  </si>
  <si>
    <t>Y-0502</t>
  </si>
  <si>
    <t>Satyarini</t>
  </si>
  <si>
    <t>Y-0956</t>
  </si>
  <si>
    <t>Trisnawati</t>
  </si>
  <si>
    <t>6287885256301</t>
  </si>
  <si>
    <t>Y-0719</t>
  </si>
  <si>
    <t>Yasmina</t>
  </si>
  <si>
    <t>Y-120</t>
  </si>
  <si>
    <t>JL. S Citandui F/3 Taman Tirta Golf  BSD</t>
  </si>
  <si>
    <t>Y-0816</t>
  </si>
  <si>
    <t>Y-220</t>
  </si>
  <si>
    <t>Y-0937</t>
  </si>
  <si>
    <t>Yuliyana</t>
  </si>
  <si>
    <t>6281257758585</t>
  </si>
  <si>
    <t>Y-0875</t>
  </si>
  <si>
    <t>Apt.Casa Domaine Tower 2 Unit 39A Jl.KH Mas Mansyur KA</t>
  </si>
  <si>
    <t>Y-0661</t>
  </si>
  <si>
    <t>Y-0467</t>
  </si>
  <si>
    <t xml:space="preserve">SAnur Indah.54
Jakarta.</t>
  </si>
  <si>
    <t>Y-0651</t>
  </si>
  <si>
    <t>Y-0463</t>
  </si>
  <si>
    <t>Gandi</t>
  </si>
  <si>
    <t>Katamso No 88 Tanjung Duren</t>
  </si>
  <si>
    <t>Y-0788</t>
  </si>
  <si>
    <t>Jemi</t>
  </si>
  <si>
    <t>Y-0442</t>
  </si>
  <si>
    <t>Mananta</t>
  </si>
  <si>
    <t>628119207988</t>
  </si>
  <si>
    <t>Y-227</t>
  </si>
  <si>
    <t>Mazain</t>
  </si>
  <si>
    <t xml:space="preserve">Pejaten Barat II No.63
Villa Palma Residence</t>
  </si>
  <si>
    <t>Y-0713</t>
  </si>
  <si>
    <t>Nyammi</t>
  </si>
  <si>
    <t>Y-283</t>
  </si>
  <si>
    <t>Sagala</t>
  </si>
  <si>
    <t>yulianasagala@yahoo.com</t>
  </si>
  <si>
    <t>Y-0976</t>
  </si>
  <si>
    <t>628119919907</t>
  </si>
  <si>
    <t>Y-0747</t>
  </si>
  <si>
    <t>yulie.s@yahoo.com</t>
  </si>
  <si>
    <t>08170000883</t>
  </si>
  <si>
    <t>taman keun jeruk intercon lok u1/19 jak ar</t>
  </si>
  <si>
    <t>Y-122</t>
  </si>
  <si>
    <t>JL. Jatinegara Barat 4 No. 14</t>
  </si>
  <si>
    <t>Y-292</t>
  </si>
  <si>
    <t>Tarully</t>
  </si>
  <si>
    <t>yulianatarully@yahoo.com</t>
  </si>
  <si>
    <t xml:space="preserve">K. duren tiga no.19
Mampang</t>
  </si>
  <si>
    <t>Y-0462</t>
  </si>
  <si>
    <t>Yuliani</t>
  </si>
  <si>
    <t>d_yuli20@yahoo.co.id</t>
  </si>
  <si>
    <t>6281288200042</t>
  </si>
  <si>
    <t>Y-0789</t>
  </si>
  <si>
    <t>Y-0785</t>
  </si>
  <si>
    <t>Chotimah</t>
  </si>
  <si>
    <t>+6281919999669</t>
  </si>
  <si>
    <t>Y-0770</t>
  </si>
  <si>
    <t>Y-0425</t>
  </si>
  <si>
    <t>Pratondo</t>
  </si>
  <si>
    <t>Y-156</t>
  </si>
  <si>
    <t>Tandirupa</t>
  </si>
  <si>
    <t>0811444243</t>
  </si>
  <si>
    <t>Y-0694</t>
  </si>
  <si>
    <t>Sadono</t>
  </si>
  <si>
    <t xml:space="preserve">Apartemen Signature Park Tebet
jl. M. T. Haryono (sebelum Statiun Cawang)
Lantai 10 TA 10</t>
  </si>
  <si>
    <t>Y-0852</t>
  </si>
  <si>
    <t>6282215313131</t>
  </si>
  <si>
    <t>Y-260</t>
  </si>
  <si>
    <t>Y-1023</t>
  </si>
  <si>
    <t>Ayen</t>
  </si>
  <si>
    <t>ayen888999@gmail.com</t>
  </si>
  <si>
    <t>6285789899899</t>
  </si>
  <si>
    <t>Cilacap</t>
  </si>
  <si>
    <t>Y-398</t>
  </si>
  <si>
    <t>Y-0482</t>
  </si>
  <si>
    <t>Y-126</t>
  </si>
  <si>
    <t>Yulinas</t>
  </si>
  <si>
    <t>Sukarni</t>
  </si>
  <si>
    <t>Y-0952</t>
  </si>
  <si>
    <t>Yulio</t>
  </si>
  <si>
    <t>6281292600425</t>
  </si>
  <si>
    <t>Y-184</t>
  </si>
  <si>
    <t>Yulioana</t>
  </si>
  <si>
    <t xml:space="preserve">Jl. Pulomas Barat X No.12
Jakarta</t>
  </si>
  <si>
    <t>Y-0441</t>
  </si>
  <si>
    <t>Yulistine</t>
  </si>
  <si>
    <t>Y-1003</t>
  </si>
  <si>
    <t>Yulistra</t>
  </si>
  <si>
    <t>+6584350552</t>
  </si>
  <si>
    <t>Y-0957</t>
  </si>
  <si>
    <t>Congadi</t>
  </si>
  <si>
    <t>yulitacongadi88@gmail.com</t>
  </si>
  <si>
    <t>628124216388</t>
  </si>
  <si>
    <t>Cendrawasih 430, Makasar.</t>
  </si>
  <si>
    <t>Y-0860</t>
  </si>
  <si>
    <t>Yulius</t>
  </si>
  <si>
    <t>yulius 2005@gmail.com</t>
  </si>
  <si>
    <t>628161928879</t>
  </si>
  <si>
    <t>Jl.Wijaya Kusuma No. 11A</t>
  </si>
  <si>
    <t>Y-0934</t>
  </si>
  <si>
    <t>+6281226291956</t>
  </si>
  <si>
    <t>Jl.Pandanaran I/22 001/004 ,Kepunden , Semarang Tengah</t>
  </si>
  <si>
    <t>Y-390</t>
  </si>
  <si>
    <t>Taman Golf Modern no.228nBlok.E4</t>
  </si>
  <si>
    <t>Y-127</t>
  </si>
  <si>
    <t>Yulizanti</t>
  </si>
  <si>
    <t>liza_remi@yahoo.com</t>
  </si>
  <si>
    <t xml:space="preserve">Sudirman Mansion Apartment Unit 22J
Jl. Jend. Sudirman Kav. 59</t>
  </si>
  <si>
    <t>Y-0513</t>
  </si>
  <si>
    <t>Yulizon</t>
  </si>
  <si>
    <t>Y-245</t>
  </si>
  <si>
    <t>Yully</t>
  </si>
  <si>
    <t>Y-0791</t>
  </si>
  <si>
    <t>Y-1022</t>
  </si>
  <si>
    <t>Yulta Wenny</t>
  </si>
  <si>
    <t>Astrina</t>
  </si>
  <si>
    <t>yulta.wenny@gmail.com</t>
  </si>
  <si>
    <t>6285782368226</t>
  </si>
  <si>
    <t>Grand Pinang Residence, Jakarta Selatan</t>
  </si>
  <si>
    <t>Y-0523</t>
  </si>
  <si>
    <t>Yulya</t>
  </si>
  <si>
    <t>Y-369</t>
  </si>
  <si>
    <t>Kwandy</t>
  </si>
  <si>
    <t>Y-0572</t>
  </si>
  <si>
    <t>Yumianty</t>
  </si>
  <si>
    <t>Y-0515</t>
  </si>
  <si>
    <t>Yumiati</t>
  </si>
  <si>
    <t>Y-0543</t>
  </si>
  <si>
    <t>Yumiko</t>
  </si>
  <si>
    <t>Fujiwara</t>
  </si>
  <si>
    <t>Y-268</t>
  </si>
  <si>
    <t>Luniati</t>
  </si>
  <si>
    <t>Y-372</t>
  </si>
  <si>
    <t>DAPHNECHEN111@GMAIL.COM</t>
  </si>
  <si>
    <t>Y-0813</t>
  </si>
  <si>
    <t>Y-259</t>
  </si>
  <si>
    <t>Yuna</t>
  </si>
  <si>
    <t>Y-0776</t>
  </si>
  <si>
    <t>Yunae</t>
  </si>
  <si>
    <t>M31851248</t>
  </si>
  <si>
    <t>Y-0915</t>
  </si>
  <si>
    <t>Yunaeva</t>
  </si>
  <si>
    <t>Alinayun24@mail.ru</t>
  </si>
  <si>
    <t>Y-131</t>
  </si>
  <si>
    <t>Yunasril</t>
  </si>
  <si>
    <t>Jl. Danau Tambingan 166</t>
  </si>
  <si>
    <t>Sanur</t>
  </si>
  <si>
    <t>Y-0886</t>
  </si>
  <si>
    <t>Yuncta</t>
  </si>
  <si>
    <t>Hendroputro</t>
  </si>
  <si>
    <t>Y-168</t>
  </si>
  <si>
    <t>Yundi</t>
  </si>
  <si>
    <t>CBD Pluit No.C21</t>
  </si>
  <si>
    <t>Y-262</t>
  </si>
  <si>
    <t>Yunessha</t>
  </si>
  <si>
    <t>Y-0792</t>
  </si>
  <si>
    <t>Nathabrondiva</t>
  </si>
  <si>
    <t>Y-1039</t>
  </si>
  <si>
    <t>Yung Yung</t>
  </si>
  <si>
    <t>+628111921237</t>
  </si>
  <si>
    <t>Y-0728</t>
  </si>
  <si>
    <t>Y-0548</t>
  </si>
  <si>
    <t>Y-160</t>
  </si>
  <si>
    <t>Y-166</t>
  </si>
  <si>
    <t>JL. Saidi 1C no.42</t>
  </si>
  <si>
    <t>Y-213</t>
  </si>
  <si>
    <t>Y-1032</t>
  </si>
  <si>
    <t>Kalumata</t>
  </si>
  <si>
    <t>6285959850808</t>
  </si>
  <si>
    <t>Y-0932</t>
  </si>
  <si>
    <t>Lesmanawati</t>
  </si>
  <si>
    <t>6281542717171</t>
  </si>
  <si>
    <t>Y-134</t>
  </si>
  <si>
    <t>Y-347</t>
  </si>
  <si>
    <t>sunheangoho228@gmail.com</t>
  </si>
  <si>
    <t>628157935543</t>
  </si>
  <si>
    <t xml:space="preserve">PT. ORIENTAL SEED INDONESIA
Kamal RT 02 RW 04 Pagersari
Mungkid</t>
  </si>
  <si>
    <t>Y-135</t>
  </si>
  <si>
    <t>Tuwendi</t>
  </si>
  <si>
    <t>(+6221) 53120507</t>
  </si>
  <si>
    <t>JL. Kaji No. 38</t>
  </si>
  <si>
    <t>Y-0730</t>
  </si>
  <si>
    <t>Apartment Aston Marina C35 AH</t>
  </si>
  <si>
    <t>Y-0837</t>
  </si>
  <si>
    <t>Y-0450</t>
  </si>
  <si>
    <t>Y-324</t>
  </si>
  <si>
    <t>Yarman</t>
  </si>
  <si>
    <t>Y-0864</t>
  </si>
  <si>
    <t>Y-293</t>
  </si>
  <si>
    <t>Yunia</t>
  </si>
  <si>
    <t>Y-0448</t>
  </si>
  <si>
    <t>Y-133</t>
  </si>
  <si>
    <t>Yuniati</t>
  </si>
  <si>
    <t>Y-1038</t>
  </si>
  <si>
    <t>Yunida</t>
  </si>
  <si>
    <t>628119992706</t>
  </si>
  <si>
    <t>Y-290</t>
  </si>
  <si>
    <t>Y-0929</t>
  </si>
  <si>
    <t>Graha Estetika Jl. Estetika Raya Blok. C No.23 Kel. Pedalangan Kec. Banyumanik Kota Semarang Jawa Tengah 50268</t>
  </si>
  <si>
    <t>Y-0765</t>
  </si>
  <si>
    <t>Y-399</t>
  </si>
  <si>
    <t>Gumedi</t>
  </si>
  <si>
    <t>Y-0995</t>
  </si>
  <si>
    <t>Idwan</t>
  </si>
  <si>
    <t>yunitaidwanhamzah@gmail.com</t>
  </si>
  <si>
    <t>6281378179649</t>
  </si>
  <si>
    <t>Y-0844</t>
  </si>
  <si>
    <t>Indradjit</t>
  </si>
  <si>
    <t>628111735460</t>
  </si>
  <si>
    <t>jl,sriwijaya raya 27</t>
  </si>
  <si>
    <t>Y-0733</t>
  </si>
  <si>
    <t>Y-288</t>
  </si>
  <si>
    <t>nitalalacookies@yahoo.com</t>
  </si>
  <si>
    <t xml:space="preserve">Serpong City Paradise, E6 / No 17-18
Serpong</t>
  </si>
  <si>
    <t>Y-136</t>
  </si>
  <si>
    <t>( 021 ) 722 6203</t>
  </si>
  <si>
    <t>JL. Erlangga II No. 15 Kebayoran Baru</t>
  </si>
  <si>
    <t>Y-0561</t>
  </si>
  <si>
    <t>wirabudi blok H-18</t>
  </si>
  <si>
    <t>Y-306</t>
  </si>
  <si>
    <t>yunitalie57@yahoo.com</t>
  </si>
  <si>
    <t xml:space="preserve">Apt Paladian Park Tower C Unit 0301
jl Bukit Gading Raya no 1
Kelapa gading</t>
  </si>
  <si>
    <t>jakarta Utara</t>
  </si>
  <si>
    <t>Y-0989</t>
  </si>
  <si>
    <t>yunita.teresia84@gmail.com</t>
  </si>
  <si>
    <t>628112518779</t>
  </si>
  <si>
    <t>Candi Golf Panorama I , P2 No : 11</t>
  </si>
  <si>
    <t>Y-0970</t>
  </si>
  <si>
    <t>+628788410935</t>
  </si>
  <si>
    <t>Y-247</t>
  </si>
  <si>
    <t>Yunnie</t>
  </si>
  <si>
    <t>Y-0475</t>
  </si>
  <si>
    <t>Yunru</t>
  </si>
  <si>
    <t>Jalan Puri Indah Blok S</t>
  </si>
  <si>
    <t>Y-379</t>
  </si>
  <si>
    <t>Y-0738</t>
  </si>
  <si>
    <t>Y-241</t>
  </si>
  <si>
    <t>Y-1018</t>
  </si>
  <si>
    <t>Indri@ngangen.in</t>
  </si>
  <si>
    <t>628111048200</t>
  </si>
  <si>
    <t>Y-389</t>
  </si>
  <si>
    <t>yunus_gc@yahoo.com</t>
  </si>
  <si>
    <t>628129900630</t>
  </si>
  <si>
    <t xml:space="preserve">Prima Indah 5 Blok PP No.7
Wijayan Kusuma Grogol Petamburan</t>
  </si>
  <si>
    <t>Y-182</t>
  </si>
  <si>
    <t>Yuone</t>
  </si>
  <si>
    <t>Y-0708</t>
  </si>
  <si>
    <t>Yupi</t>
  </si>
  <si>
    <t>6281382872144</t>
  </si>
  <si>
    <t>Y-395</t>
  </si>
  <si>
    <t>Yupong</t>
  </si>
  <si>
    <t>Y-0470</t>
  </si>
  <si>
    <t>Yuri</t>
  </si>
  <si>
    <t>yuribelluci@gmail.com</t>
  </si>
  <si>
    <t>Y-0981</t>
  </si>
  <si>
    <t>Yurica</t>
  </si>
  <si>
    <t>628176558556</t>
  </si>
  <si>
    <t>Y-0833</t>
  </si>
  <si>
    <t>Yurike</t>
  </si>
  <si>
    <t>Y-0925</t>
  </si>
  <si>
    <t>ikeyurike@gmail.com</t>
  </si>
  <si>
    <t>+6287771333280</t>
  </si>
  <si>
    <t>Y-138</t>
  </si>
  <si>
    <t>Yuriko</t>
  </si>
  <si>
    <t>Imafuji</t>
  </si>
  <si>
    <t>Ascott Jakarta #1806</t>
  </si>
  <si>
    <t>Y-0612</t>
  </si>
  <si>
    <t>Yurino</t>
  </si>
  <si>
    <t>djyurino@yahoo.com</t>
  </si>
  <si>
    <t>Y-0963</t>
  </si>
  <si>
    <t>Yurter</t>
  </si>
  <si>
    <t>selin.yurter@slnmodo.com.ts</t>
  </si>
  <si>
    <t>Y-0883</t>
  </si>
  <si>
    <t>Chub</t>
  </si>
  <si>
    <t>yundong@mail.ru</t>
  </si>
  <si>
    <t>Y-0714</t>
  </si>
  <si>
    <t>Yusal</t>
  </si>
  <si>
    <t>M-1402</t>
  </si>
  <si>
    <t>Y-0888</t>
  </si>
  <si>
    <t>Yuslianingtyas</t>
  </si>
  <si>
    <t>Y-0703</t>
  </si>
  <si>
    <t>Yusmanjaya</t>
  </si>
  <si>
    <t>Y-0818</t>
  </si>
  <si>
    <t>Yusmilia</t>
  </si>
  <si>
    <t>Y-0953</t>
  </si>
  <si>
    <t>yusni.fatimah@yahoo.com</t>
  </si>
  <si>
    <t>62817582929</t>
  </si>
  <si>
    <t>Jl. Mampang Prapatan IV No.53A</t>
  </si>
  <si>
    <t>Y-1010</t>
  </si>
  <si>
    <t>asyifayusni7@gmail.com</t>
  </si>
  <si>
    <t>6281287877082</t>
  </si>
  <si>
    <t>Perumahan Griya Bintara Indah Jl. Pondok Cipta H5 Blok H No.89</t>
  </si>
  <si>
    <t>Y-0872</t>
  </si>
  <si>
    <t>Yusnita</t>
  </si>
  <si>
    <t>Y-291</t>
  </si>
  <si>
    <t>mama.ita1103@gmail.com</t>
  </si>
  <si>
    <t>Jl.Ciajur No.11</t>
  </si>
  <si>
    <t>Y-0959</t>
  </si>
  <si>
    <t>Yusrah</t>
  </si>
  <si>
    <t>628117961964</t>
  </si>
  <si>
    <t>Y-343</t>
  </si>
  <si>
    <t>Yusran</t>
  </si>
  <si>
    <t xml:space="preserve">The Villas MOI Victoria No.69
Kelapa Gading</t>
  </si>
  <si>
    <t>Y-313</t>
  </si>
  <si>
    <t>Y-0619</t>
  </si>
  <si>
    <t>Y-377</t>
  </si>
  <si>
    <t>Yusril</t>
  </si>
  <si>
    <t>62811100234</t>
  </si>
  <si>
    <t>Y-382</t>
  </si>
  <si>
    <t>Yustina</t>
  </si>
  <si>
    <t>Y-331</t>
  </si>
  <si>
    <t>Y-0901</t>
  </si>
  <si>
    <t>Yustinus</t>
  </si>
  <si>
    <t>Y-145</t>
  </si>
  <si>
    <t>('+6221 ) 5722577</t>
  </si>
  <si>
    <t>Gedung GKBI 3rd Floor, JL. Jend SudirmanKav.1</t>
  </si>
  <si>
    <t>Y-0967</t>
  </si>
  <si>
    <t>Hadi Muslim</t>
  </si>
  <si>
    <t>hadimuslimyusuf@gmail.com</t>
  </si>
  <si>
    <t>+6282157519727</t>
  </si>
  <si>
    <t>Jalan Kahoi Rt002/000</t>
  </si>
  <si>
    <t>Y-0943</t>
  </si>
  <si>
    <t>628161684082</t>
  </si>
  <si>
    <t>Y-342</t>
  </si>
  <si>
    <t>Yusuf Widya</t>
  </si>
  <si>
    <t>yusupseto@gmail.com</t>
  </si>
  <si>
    <t>6282150505050</t>
  </si>
  <si>
    <t>Jl Kuta Elok 25 , Kelapa gading</t>
  </si>
  <si>
    <t>Y-0984</t>
  </si>
  <si>
    <t>Yusuke</t>
  </si>
  <si>
    <t>Kohrikawa</t>
  </si>
  <si>
    <t>still.alive.with.smile@gmail.com</t>
  </si>
  <si>
    <t>818054599878</t>
  </si>
  <si>
    <t>Anandamaya Residences T2-8E</t>
  </si>
  <si>
    <t>Y-0887</t>
  </si>
  <si>
    <t>Sakazaki</t>
  </si>
  <si>
    <t>Y-0549</t>
  </si>
  <si>
    <t>Yusup</t>
  </si>
  <si>
    <t xml:space="preserve">Jl. Kampung Baru Rt/Rw 06/10
Kembangan</t>
  </si>
  <si>
    <t>Y-170</t>
  </si>
  <si>
    <t>Yuswir</t>
  </si>
  <si>
    <t>Y-0964</t>
  </si>
  <si>
    <t>Yuta</t>
  </si>
  <si>
    <t>Sugarawa</t>
  </si>
  <si>
    <t>y.kalla29@gmail.com</t>
  </si>
  <si>
    <t>181 E Santa Clara , USA</t>
  </si>
  <si>
    <t>Y-0961</t>
  </si>
  <si>
    <t>Sugawara</t>
  </si>
  <si>
    <t>19253828912</t>
  </si>
  <si>
    <t>Y-341</t>
  </si>
  <si>
    <t>Yuti</t>
  </si>
  <si>
    <t>Y-1011</t>
  </si>
  <si>
    <t>Yutin</t>
  </si>
  <si>
    <t>Yudie</t>
  </si>
  <si>
    <t>yutinyudie@yahoo.com</t>
  </si>
  <si>
    <t>6281296088231</t>
  </si>
  <si>
    <t>Y-1034</t>
  </si>
  <si>
    <t>Yuxia</t>
  </si>
  <si>
    <t>8615957875080</t>
  </si>
  <si>
    <t>Y-240</t>
  </si>
  <si>
    <t>Yuyu</t>
  </si>
  <si>
    <t>Y-0893</t>
  </si>
  <si>
    <t>Hiung</t>
  </si>
  <si>
    <t>Y-150</t>
  </si>
  <si>
    <t>(+6221 ) 8455948</t>
  </si>
  <si>
    <t>Raffles Hills E2/23 Harja Mukti Cimanggis</t>
  </si>
  <si>
    <t>Y-1036</t>
  </si>
  <si>
    <t>Yuyuk</t>
  </si>
  <si>
    <t>yuyuk.j@gmail.com</t>
  </si>
  <si>
    <t>628196033876</t>
  </si>
  <si>
    <t>Y-0762</t>
  </si>
  <si>
    <t>Yuyun</t>
  </si>
  <si>
    <t>Y-0897</t>
  </si>
  <si>
    <t>Yuningsih</t>
  </si>
  <si>
    <t>Y-0969</t>
  </si>
  <si>
    <t>Yuzaini MD</t>
  </si>
  <si>
    <t>Yusor</t>
  </si>
  <si>
    <t>yuza1n1@yahoo.com</t>
  </si>
  <si>
    <t>6281119005999</t>
  </si>
  <si>
    <t>Y-215</t>
  </si>
  <si>
    <t>Yvonna</t>
  </si>
  <si>
    <t>Z-028</t>
  </si>
  <si>
    <t>Z-014</t>
  </si>
  <si>
    <t>Z.Hammooda</t>
  </si>
  <si>
    <t>M-1419</t>
  </si>
  <si>
    <t>Zabeena</t>
  </si>
  <si>
    <t>Naaz.</t>
  </si>
  <si>
    <t>kemang dalam 5 no.16C jakarta selatan 12730</t>
  </si>
  <si>
    <t>Z-318</t>
  </si>
  <si>
    <t>Zachary</t>
  </si>
  <si>
    <t>Keong</t>
  </si>
  <si>
    <t xml:space="preserve">Sulera Aruna Renata
Jl. Aruna Utama No 2</t>
  </si>
  <si>
    <t>Z-0648</t>
  </si>
  <si>
    <t>Mofsol</t>
  </si>
  <si>
    <t>Z-0734</t>
  </si>
  <si>
    <t>Zagorskaia</t>
  </si>
  <si>
    <t>79168211251</t>
  </si>
  <si>
    <t>Z-0750</t>
  </si>
  <si>
    <t>Zagrodskaia</t>
  </si>
  <si>
    <t>sypermarkettours@mail.ru</t>
  </si>
  <si>
    <t>Z-0389</t>
  </si>
  <si>
    <t>Z-023</t>
  </si>
  <si>
    <t>Yusvita</t>
  </si>
  <si>
    <t xml:space="preserve">Komplek Taman Bintaro
Jl.Taman Bintaro Blok E/17</t>
  </si>
  <si>
    <t>Z-029</t>
  </si>
  <si>
    <t>Zaqiah</t>
  </si>
  <si>
    <t>zaharazaqiah@yahoo.com</t>
  </si>
  <si>
    <t>Pinang Ranti Mansion, Blok D2 No.16</t>
  </si>
  <si>
    <t>Z-0635</t>
  </si>
  <si>
    <t>Amalina</t>
  </si>
  <si>
    <t>628119959597</t>
  </si>
  <si>
    <t>Z-025</t>
  </si>
  <si>
    <t xml:space="preserve">Ampera Raya 
Komplek Aksi, Blok A9 No. 2A</t>
  </si>
  <si>
    <t>Z-0665</t>
  </si>
  <si>
    <t xml:space="preserve">PERUMAHAN TAMAN GANDARIA BLOK C NO.3
JAKARTA SELATAN</t>
  </si>
  <si>
    <t>Z-0527</t>
  </si>
  <si>
    <t>Zahrina</t>
  </si>
  <si>
    <t>Z-027</t>
  </si>
  <si>
    <t>Zaidinna</t>
  </si>
  <si>
    <t xml:space="preserve">Jl. Kelapa no.18 Sepang Jaya
Kedaton, Bandar Lampung</t>
  </si>
  <si>
    <t>Z-001</t>
  </si>
  <si>
    <t>Z-0478</t>
  </si>
  <si>
    <t>Z-031</t>
  </si>
  <si>
    <t>Zainal Alam</t>
  </si>
  <si>
    <t>62816630407</t>
  </si>
  <si>
    <t>Z-010</t>
  </si>
  <si>
    <t>Kampung Melayu Darat 66</t>
  </si>
  <si>
    <t>Z-026</t>
  </si>
  <si>
    <t>Zaini</t>
  </si>
  <si>
    <t>Puspanegara</t>
  </si>
  <si>
    <t>Z-0659</t>
  </si>
  <si>
    <t>Zainul</t>
  </si>
  <si>
    <t>zainulcelyop@gmail.com</t>
  </si>
  <si>
    <t>Z-362</t>
  </si>
  <si>
    <t>Zairaz</t>
  </si>
  <si>
    <t>Z-0489</t>
  </si>
  <si>
    <t>Zaka</t>
  </si>
  <si>
    <t>Kemoz</t>
  </si>
  <si>
    <t>Z-017</t>
  </si>
  <si>
    <t>Z-360</t>
  </si>
  <si>
    <t>Z-032</t>
  </si>
  <si>
    <t>Zaleha</t>
  </si>
  <si>
    <t>62811189978</t>
  </si>
  <si>
    <t>M-1330</t>
  </si>
  <si>
    <t>Zamzam.</t>
  </si>
  <si>
    <t>Z-035</t>
  </si>
  <si>
    <t>Zamzamrizal</t>
  </si>
  <si>
    <t xml:space="preserve">Kompleks Villa Rayan
Jln Ikhlash IX B/10 Andalas Padang</t>
  </si>
  <si>
    <t>Z-003</t>
  </si>
  <si>
    <t>Z-0761</t>
  </si>
  <si>
    <t>Zanotti</t>
  </si>
  <si>
    <t>Valdemar</t>
  </si>
  <si>
    <t>vz@zanotti.com.br</t>
  </si>
  <si>
    <t>Z-004</t>
  </si>
  <si>
    <t>Zaqi</t>
  </si>
  <si>
    <t>Iis)</t>
  </si>
  <si>
    <t>Jl. Siaga 2C No. 26A</t>
  </si>
  <si>
    <t>RT. 05 RW. 05, Pejaten Barat</t>
  </si>
  <si>
    <t>Z-005</t>
  </si>
  <si>
    <t>Zarah</t>
  </si>
  <si>
    <t>Murad</t>
  </si>
  <si>
    <t>( +6221 ) 751 8000</t>
  </si>
  <si>
    <t>JL. Metro Alam IV TC 16 / 47</t>
  </si>
  <si>
    <t>Z-0442</t>
  </si>
  <si>
    <t>Z-0677</t>
  </si>
  <si>
    <t>Makhacheva</t>
  </si>
  <si>
    <t>Bali Hotel Citadines</t>
  </si>
  <si>
    <t>Z-006</t>
  </si>
  <si>
    <t>Zarra</t>
  </si>
  <si>
    <t xml:space="preserve">Tanjung Mas Raya Estate
Jl. Tanjung Mas Utama B3/6</t>
  </si>
  <si>
    <t>Z-021</t>
  </si>
  <si>
    <t>Zarrabida</t>
  </si>
  <si>
    <t>Jl. Sam Ratulangi No.23</t>
  </si>
  <si>
    <t>Z-0636</t>
  </si>
  <si>
    <t>Zaskia</t>
  </si>
  <si>
    <t>Choirunnisa</t>
  </si>
  <si>
    <t>Z-0733</t>
  </si>
  <si>
    <t>Vasilii</t>
  </si>
  <si>
    <t>Zavianov</t>
  </si>
  <si>
    <t>vzzyz@yandex.rn</t>
  </si>
  <si>
    <t>79168041784</t>
  </si>
  <si>
    <t>Z-354</t>
  </si>
  <si>
    <t>Zayu</t>
  </si>
  <si>
    <t>Z-0655</t>
  </si>
  <si>
    <t>Zeb</t>
  </si>
  <si>
    <t>Nichol</t>
  </si>
  <si>
    <t>+62816710978</t>
  </si>
  <si>
    <t>Z-0644</t>
  </si>
  <si>
    <t>Zeedny</t>
  </si>
  <si>
    <t>Z-0649</t>
  </si>
  <si>
    <t>Zehfi</t>
  </si>
  <si>
    <t>Z-0417</t>
  </si>
  <si>
    <t>Z-0652</t>
  </si>
  <si>
    <t>Zeki</t>
  </si>
  <si>
    <t>Kurnianto</t>
  </si>
  <si>
    <t>Z-0662</t>
  </si>
  <si>
    <t>Zela</t>
  </si>
  <si>
    <t xml:space="preserve">Komp.Bumi Serpong Residence.
BSD Tangsel</t>
  </si>
  <si>
    <t>Z-0728</t>
  </si>
  <si>
    <t>Zelia</t>
  </si>
  <si>
    <t>Da Costa</t>
  </si>
  <si>
    <t>zeliadacosta@yahoo.com</t>
  </si>
  <si>
    <t>67077260562</t>
  </si>
  <si>
    <t>Timor Leste</t>
  </si>
  <si>
    <t>Z-0689</t>
  </si>
  <si>
    <t>Zenah</t>
  </si>
  <si>
    <t>Alabraheem</t>
  </si>
  <si>
    <t>Z-037</t>
  </si>
  <si>
    <t>jzeng@fiberhome.com</t>
  </si>
  <si>
    <t>Z-0758</t>
  </si>
  <si>
    <t>Zeng Ming</t>
  </si>
  <si>
    <t>61305469@qq.com</t>
  </si>
  <si>
    <t>+861662469466</t>
  </si>
  <si>
    <t>Z-0661</t>
  </si>
  <si>
    <t>Z-0769</t>
  </si>
  <si>
    <t>Fanshuo</t>
  </si>
  <si>
    <t>Zengtanshu02022@163.com</t>
  </si>
  <si>
    <t>8618134247789</t>
  </si>
  <si>
    <t>Z-0743</t>
  </si>
  <si>
    <t>1097699011@qq.com</t>
  </si>
  <si>
    <t>8613114222222</t>
  </si>
  <si>
    <t>Z-0744</t>
  </si>
  <si>
    <t>Zeng,</t>
  </si>
  <si>
    <t>yilin.zeng2003@gmail.com</t>
  </si>
  <si>
    <t>+8613631158003</t>
  </si>
  <si>
    <t>Z-0729</t>
  </si>
  <si>
    <t>Zengdi</t>
  </si>
  <si>
    <t>8613736891198</t>
  </si>
  <si>
    <t>Z-0524</t>
  </si>
  <si>
    <t>Zeni</t>
  </si>
  <si>
    <t>Z-0434</t>
  </si>
  <si>
    <t>Zeno</t>
  </si>
  <si>
    <t>zenz27@hotmail.com</t>
  </si>
  <si>
    <t>Z-0699</t>
  </si>
  <si>
    <t>Zerrudo</t>
  </si>
  <si>
    <t>Z-0558</t>
  </si>
  <si>
    <t>ZEUS</t>
  </si>
  <si>
    <t>Z-0673</t>
  </si>
  <si>
    <t>ZHAI</t>
  </si>
  <si>
    <t>YIFENG</t>
  </si>
  <si>
    <t>6622799@QQ.COM</t>
  </si>
  <si>
    <t>Z-0627</t>
  </si>
  <si>
    <t>Zhai</t>
  </si>
  <si>
    <t>Z-0730</t>
  </si>
  <si>
    <t>Zhaminova</t>
  </si>
  <si>
    <t>Zhanna</t>
  </si>
  <si>
    <t>79636409410</t>
  </si>
  <si>
    <t>Z-0704</t>
  </si>
  <si>
    <t>Z-0706</t>
  </si>
  <si>
    <t>Boxun</t>
  </si>
  <si>
    <t>Z-0678</t>
  </si>
  <si>
    <t>Z-0493</t>
  </si>
  <si>
    <t>082261166666</t>
  </si>
  <si>
    <t>Z-0654</t>
  </si>
  <si>
    <t>Z-0637</t>
  </si>
  <si>
    <t>Z-0740</t>
  </si>
  <si>
    <t>Huajuan</t>
  </si>
  <si>
    <t>628117586000</t>
  </si>
  <si>
    <t>Z-0708</t>
  </si>
  <si>
    <t>Dehui</t>
  </si>
  <si>
    <t>Z-0656</t>
  </si>
  <si>
    <t>Z-0684</t>
  </si>
  <si>
    <t>Z-0608</t>
  </si>
  <si>
    <t>junjunzhang613@gmail.com</t>
  </si>
  <si>
    <t>6281112203366</t>
  </si>
  <si>
    <t>Z-0378</t>
  </si>
  <si>
    <t>280725738@qq.com</t>
  </si>
  <si>
    <t>chengdu</t>
  </si>
  <si>
    <t>Z-0669</t>
  </si>
  <si>
    <t>Z-0628</t>
  </si>
  <si>
    <t>Z-0549</t>
  </si>
  <si>
    <t>Mengge</t>
  </si>
  <si>
    <t>Z-0717</t>
  </si>
  <si>
    <t>+8613962256827</t>
  </si>
  <si>
    <t>JIANGSU, CHINESE</t>
  </si>
  <si>
    <t>Z-0666</t>
  </si>
  <si>
    <t>Bvlgari Villa 29</t>
  </si>
  <si>
    <t>Z-332</t>
  </si>
  <si>
    <t>Qiuchen</t>
  </si>
  <si>
    <t>Nanjing</t>
  </si>
  <si>
    <t>Z-0423</t>
  </si>
  <si>
    <t>Z-0685</t>
  </si>
  <si>
    <t>Shiyi</t>
  </si>
  <si>
    <t>Z-0375</t>
  </si>
  <si>
    <t>SISI</t>
  </si>
  <si>
    <t>278036509@qq.com</t>
  </si>
  <si>
    <t>CHENZHOU</t>
  </si>
  <si>
    <t>Z-0502</t>
  </si>
  <si>
    <t>Wenjie</t>
  </si>
  <si>
    <t>BEIJING - CHINA</t>
  </si>
  <si>
    <t>Z-0633</t>
  </si>
  <si>
    <t>XiuYun</t>
  </si>
  <si>
    <t>Z-0712</t>
  </si>
  <si>
    <t>Xuz</t>
  </si>
  <si>
    <t>ynfgszx@gmail.com</t>
  </si>
  <si>
    <t>Z-0732</t>
  </si>
  <si>
    <t>phoebezhang@keymenchina.com</t>
  </si>
  <si>
    <t>861398831700</t>
  </si>
  <si>
    <t>Z-0722</t>
  </si>
  <si>
    <t>Yanbo</t>
  </si>
  <si>
    <t>18040524421</t>
  </si>
  <si>
    <t>Z-0415</t>
  </si>
  <si>
    <t>abbyzhao@oniginsedu.cn</t>
  </si>
  <si>
    <t>Z-0764</t>
  </si>
  <si>
    <t>tracyzyt@gmail.com</t>
  </si>
  <si>
    <t>85295881526</t>
  </si>
  <si>
    <t>Z-0698</t>
  </si>
  <si>
    <t>Zeting</t>
  </si>
  <si>
    <t>Z-0658</t>
  </si>
  <si>
    <t>Zhenling</t>
  </si>
  <si>
    <t>Z-0739</t>
  </si>
  <si>
    <t>Ziyang</t>
  </si>
  <si>
    <t>081111806866</t>
  </si>
  <si>
    <t>Z-0768</t>
  </si>
  <si>
    <t>860556216@qq.com</t>
  </si>
  <si>
    <t>+8613651995527</t>
  </si>
  <si>
    <t>Z-0749</t>
  </si>
  <si>
    <t>Dingwei</t>
  </si>
  <si>
    <t>787953403@qq.com</t>
  </si>
  <si>
    <t>8618767135733</t>
  </si>
  <si>
    <t>Z-0760</t>
  </si>
  <si>
    <t>23457897@qq.com</t>
  </si>
  <si>
    <t>8613720349699</t>
  </si>
  <si>
    <t>Wuhan, China</t>
  </si>
  <si>
    <t>Z-0755</t>
  </si>
  <si>
    <t>Hanyin</t>
  </si>
  <si>
    <t>zhanghanni8@gmail.com</t>
  </si>
  <si>
    <t>+16504417233</t>
  </si>
  <si>
    <t>Z-0759</t>
  </si>
  <si>
    <t>Haoyang</t>
  </si>
  <si>
    <t>15900593410@163.com</t>
  </si>
  <si>
    <t>8615900593410</t>
  </si>
  <si>
    <t>Z-0754</t>
  </si>
  <si>
    <t>Jianyan</t>
  </si>
  <si>
    <t>zhangjianyan79@gmail.com</t>
  </si>
  <si>
    <t>+0032491887818</t>
  </si>
  <si>
    <t>Z-0683</t>
  </si>
  <si>
    <t>Zhang,</t>
  </si>
  <si>
    <t>Z-0667</t>
  </si>
  <si>
    <t>Kanming</t>
  </si>
  <si>
    <t>Z-0675</t>
  </si>
  <si>
    <t>EJ5208348</t>
  </si>
  <si>
    <t>Z-0747</t>
  </si>
  <si>
    <t>Lingyu</t>
  </si>
  <si>
    <t>894979359@qq.com</t>
  </si>
  <si>
    <t>8617858936356</t>
  </si>
  <si>
    <t>Z-0713</t>
  </si>
  <si>
    <t>Linyan</t>
  </si>
  <si>
    <t>414999894@qq.com</t>
  </si>
  <si>
    <t>Z-0770</t>
  </si>
  <si>
    <t>zln18724433979@163.com</t>
  </si>
  <si>
    <t>8618724433979</t>
  </si>
  <si>
    <t>Z-0682</t>
  </si>
  <si>
    <t>Z-0720</t>
  </si>
  <si>
    <t>489662621@qq.com</t>
  </si>
  <si>
    <t>8618896571316</t>
  </si>
  <si>
    <t>Z-0714</t>
  </si>
  <si>
    <t>Ruolin</t>
  </si>
  <si>
    <t>Z-0710</t>
  </si>
  <si>
    <t>Tongkai</t>
  </si>
  <si>
    <t>ztk18610860977@gmail.com</t>
  </si>
  <si>
    <t>Z-0756</t>
  </si>
  <si>
    <t>Xiujun</t>
  </si>
  <si>
    <t>276075098@qq.com</t>
  </si>
  <si>
    <t>8615027511011</t>
  </si>
  <si>
    <t>Z-0723</t>
  </si>
  <si>
    <t>Yaqi</t>
  </si>
  <si>
    <t>472769450@qq.com</t>
  </si>
  <si>
    <t>8613761185667</t>
  </si>
  <si>
    <t>Z-0748</t>
  </si>
  <si>
    <t>2798445848@qq.com</t>
  </si>
  <si>
    <t>8618002327479</t>
  </si>
  <si>
    <t>ChongQing</t>
  </si>
  <si>
    <t>Z-0715</t>
  </si>
  <si>
    <t>740942949@qq.com</t>
  </si>
  <si>
    <t>Z-0711</t>
  </si>
  <si>
    <t>Zhimeng</t>
  </si>
  <si>
    <t>943624514@qq.com</t>
  </si>
  <si>
    <t>Z-0763</t>
  </si>
  <si>
    <t>Zhiyong</t>
  </si>
  <si>
    <t>zzypa@163.com</t>
  </si>
  <si>
    <t>+8618905754567</t>
  </si>
  <si>
    <t>Z-0725</t>
  </si>
  <si>
    <t>Zuo</t>
  </si>
  <si>
    <t>indmniu@163.com</t>
  </si>
  <si>
    <t>4917695861607</t>
  </si>
  <si>
    <t>Z-024</t>
  </si>
  <si>
    <t>Zhanibek</t>
  </si>
  <si>
    <t>Kandyrov</t>
  </si>
  <si>
    <t>Z-0643</t>
  </si>
  <si>
    <t>Zhany</t>
  </si>
  <si>
    <t>Yijim</t>
  </si>
  <si>
    <t>Z-0716</t>
  </si>
  <si>
    <t>Austin</t>
  </si>
  <si>
    <t>austinbsk808@gmail.com</t>
  </si>
  <si>
    <t>+6285218316846</t>
  </si>
  <si>
    <t>Z-0697</t>
  </si>
  <si>
    <t>Z-0687</t>
  </si>
  <si>
    <t>Z-0505</t>
  </si>
  <si>
    <t>Z-0690</t>
  </si>
  <si>
    <t>+6281210555918</t>
  </si>
  <si>
    <t>Z-0674</t>
  </si>
  <si>
    <t>Zhao,</t>
  </si>
  <si>
    <t>Binru</t>
  </si>
  <si>
    <t>Z-0751</t>
  </si>
  <si>
    <t>617525642@qq.com</t>
  </si>
  <si>
    <t>8615588311299</t>
  </si>
  <si>
    <t>Z-0709</t>
  </si>
  <si>
    <t>Zihan</t>
  </si>
  <si>
    <t>Z-0776</t>
  </si>
  <si>
    <t>120530004@qq.com</t>
  </si>
  <si>
    <t>+8613861459909</t>
  </si>
  <si>
    <t>Z-0668</t>
  </si>
  <si>
    <t>Bowen</t>
  </si>
  <si>
    <t>Z-0752</t>
  </si>
  <si>
    <t>H-1071</t>
  </si>
  <si>
    <t>Huifang</t>
  </si>
  <si>
    <t>gevinsusanto99@gmail.com</t>
  </si>
  <si>
    <t>6281510393652</t>
  </si>
  <si>
    <t>Jl Lodan Raya No.2 Blok.12A</t>
  </si>
  <si>
    <t>Z-0753</t>
  </si>
  <si>
    <t>QiangJian</t>
  </si>
  <si>
    <t>+6281398439661</t>
  </si>
  <si>
    <t>Z-0700</t>
  </si>
  <si>
    <t>Xiaohong</t>
  </si>
  <si>
    <t>Z-0672</t>
  </si>
  <si>
    <t>Z-0611</t>
  </si>
  <si>
    <t>zhengying168@hotmail.com</t>
  </si>
  <si>
    <t>Pantai Indah Kapuk Garden House 60</t>
  </si>
  <si>
    <t>Z-0372</t>
  </si>
  <si>
    <t>284365886@qq.com</t>
  </si>
  <si>
    <t>Z-0746</t>
  </si>
  <si>
    <t>232418388@qq.com</t>
  </si>
  <si>
    <t>861882508279</t>
  </si>
  <si>
    <t>Z-0773</t>
  </si>
  <si>
    <t>Ruicheng</t>
  </si>
  <si>
    <t>724215819@qq.com</t>
  </si>
  <si>
    <t>+8615757073930</t>
  </si>
  <si>
    <t>Z-0679</t>
  </si>
  <si>
    <t>Zheng,</t>
  </si>
  <si>
    <t>Yini</t>
  </si>
  <si>
    <t>Z-0737</t>
  </si>
  <si>
    <t>Yiyi</t>
  </si>
  <si>
    <t>421976348@qq.com</t>
  </si>
  <si>
    <t>8613906093515</t>
  </si>
  <si>
    <t>Z-0741</t>
  </si>
  <si>
    <t>zy4182@sina.com</t>
  </si>
  <si>
    <t>8618606581100</t>
  </si>
  <si>
    <t>Z-309</t>
  </si>
  <si>
    <t>XIn</t>
  </si>
  <si>
    <t>Z-0726</t>
  </si>
  <si>
    <t>Zho</t>
  </si>
  <si>
    <t>haibb1997@163.com</t>
  </si>
  <si>
    <t>8613279493132</t>
  </si>
  <si>
    <t>Shaanxi, China</t>
  </si>
  <si>
    <t>Z-356</t>
  </si>
  <si>
    <t>Zhixin</t>
  </si>
  <si>
    <t>Z-0693</t>
  </si>
  <si>
    <t>Zhon</t>
  </si>
  <si>
    <t>Z-0676</t>
  </si>
  <si>
    <t>Z-357</t>
  </si>
  <si>
    <t>Birthday 30 Mei 1982</t>
  </si>
  <si>
    <t>Z-0771</t>
  </si>
  <si>
    <t>413269109@qq.com</t>
  </si>
  <si>
    <t>8613819140260</t>
  </si>
  <si>
    <t>Z-0671</t>
  </si>
  <si>
    <t>Ailian</t>
  </si>
  <si>
    <t>suhartozb@163.com</t>
  </si>
  <si>
    <t>Kedutaan Besar RRC Jl.Mega Kuningan No.2 Jakarta</t>
  </si>
  <si>
    <t>Z-0757</t>
  </si>
  <si>
    <t>Gaojian</t>
  </si>
  <si>
    <t>3455871412@QQ.COM</t>
  </si>
  <si>
    <t>62812123084183</t>
  </si>
  <si>
    <t>Z-0533</t>
  </si>
  <si>
    <t>Haiyang</t>
  </si>
  <si>
    <t>Z-323</t>
  </si>
  <si>
    <t xml:space="preserve">#1 / 2703 Lane 
Wending Rd
District Xu Hui</t>
  </si>
  <si>
    <t>Z-0721</t>
  </si>
  <si>
    <t>Ricky Chuyu</t>
  </si>
  <si>
    <t>rickyzhou11@gmail.com</t>
  </si>
  <si>
    <t>18322736343</t>
  </si>
  <si>
    <t>Z-0640</t>
  </si>
  <si>
    <t>TingTing</t>
  </si>
  <si>
    <t>Z-0664</t>
  </si>
  <si>
    <t>Z-0775</t>
  </si>
  <si>
    <t>Ya</t>
  </si>
  <si>
    <t>zhouya0917@163.com</t>
  </si>
  <si>
    <t>8618317037802</t>
  </si>
  <si>
    <t>Z-0727</t>
  </si>
  <si>
    <t>6281311541308</t>
  </si>
  <si>
    <t>Z-0724</t>
  </si>
  <si>
    <t>Fangyi</t>
  </si>
  <si>
    <t>511694928@qq.com</t>
  </si>
  <si>
    <t>8613816386617</t>
  </si>
  <si>
    <t>Z-0702</t>
  </si>
  <si>
    <t>Zhou,</t>
  </si>
  <si>
    <t>Jiayuan</t>
  </si>
  <si>
    <t>Z-0707</t>
  </si>
  <si>
    <t>Z-0701</t>
  </si>
  <si>
    <t>Jieyang</t>
  </si>
  <si>
    <t>Z-0703</t>
  </si>
  <si>
    <t>Jinzhi</t>
  </si>
  <si>
    <t>Z-0735</t>
  </si>
  <si>
    <t>Qiaoyan</t>
  </si>
  <si>
    <t>8613819579183</t>
  </si>
  <si>
    <t>Z-0719</t>
  </si>
  <si>
    <t>130498302@qq.com</t>
  </si>
  <si>
    <t>8613567440917</t>
  </si>
  <si>
    <t>Z-0663</t>
  </si>
  <si>
    <t>Benlong</t>
  </si>
  <si>
    <t>6282159853333</t>
  </si>
  <si>
    <t>Z-0738</t>
  </si>
  <si>
    <t>6582122926</t>
  </si>
  <si>
    <t>Z-0688</t>
  </si>
  <si>
    <t>Z-0369</t>
  </si>
  <si>
    <t>13641817774@163.com</t>
  </si>
  <si>
    <t>Z-0692</t>
  </si>
  <si>
    <t>Shengqiong</t>
  </si>
  <si>
    <t>Z-0696</t>
  </si>
  <si>
    <t>Shijie</t>
  </si>
  <si>
    <t>Z-314</t>
  </si>
  <si>
    <t>No. 46 800 Sheng Yuan Rd PuDong Shanghai</t>
  </si>
  <si>
    <t>Z-0742</t>
  </si>
  <si>
    <t>402139@qq.com</t>
  </si>
  <si>
    <t>+8617723000333</t>
  </si>
  <si>
    <t>Z-0686</t>
  </si>
  <si>
    <t>Zhu,</t>
  </si>
  <si>
    <t>Yiming</t>
  </si>
  <si>
    <t>Z-0371</t>
  </si>
  <si>
    <t>Menqing</t>
  </si>
  <si>
    <t>aing-zing@hotmail.com</t>
  </si>
  <si>
    <t>Z-0766</t>
  </si>
  <si>
    <t>6281283986962</t>
  </si>
  <si>
    <t>Z-0736</t>
  </si>
  <si>
    <t>Zhunda</t>
  </si>
  <si>
    <t>portb20@gmail.com</t>
  </si>
  <si>
    <t>+79219510688</t>
  </si>
  <si>
    <t>Z-0695</t>
  </si>
  <si>
    <t>Yingjia</t>
  </si>
  <si>
    <t>Z-0691</t>
  </si>
  <si>
    <t>Z-0765</t>
  </si>
  <si>
    <t>Zhuravleva</t>
  </si>
  <si>
    <t>mariazhuravle@gmail.com</t>
  </si>
  <si>
    <t>79255932885</t>
  </si>
  <si>
    <t>Z-0681</t>
  </si>
  <si>
    <t>Zi</t>
  </si>
  <si>
    <t>Taman Rasuna Appartement</t>
  </si>
  <si>
    <t>Z-0680</t>
  </si>
  <si>
    <t>Z-0745</t>
  </si>
  <si>
    <t>Zie</t>
  </si>
  <si>
    <t>Soehartika</t>
  </si>
  <si>
    <t>628222637222</t>
  </si>
  <si>
    <t>Z-0762</t>
  </si>
  <si>
    <t>Zihao</t>
  </si>
  <si>
    <t>628139953808</t>
  </si>
  <si>
    <t>Z-0772</t>
  </si>
  <si>
    <t>Zijian Ray</t>
  </si>
  <si>
    <t>yeesee1994@gmail.com</t>
  </si>
  <si>
    <t>8615058727516</t>
  </si>
  <si>
    <t>Z-0653</t>
  </si>
  <si>
    <t>Z-0425</t>
  </si>
  <si>
    <t>Zinnia</t>
  </si>
  <si>
    <t>Z-0597</t>
  </si>
  <si>
    <t>Zippora</t>
  </si>
  <si>
    <t>Z-0457</t>
  </si>
  <si>
    <t>+62811138825</t>
  </si>
  <si>
    <t>Z-0731</t>
  </si>
  <si>
    <t>Ziqi</t>
  </si>
  <si>
    <t>+6580389133</t>
  </si>
  <si>
    <t>Z-359</t>
  </si>
  <si>
    <t>Zoe</t>
  </si>
  <si>
    <t>Z-334</t>
  </si>
  <si>
    <t>City Gade, NewCastle .UK</t>
  </si>
  <si>
    <t>Z-333</t>
  </si>
  <si>
    <t>dreammuze@hotmail.com</t>
  </si>
  <si>
    <t>City Gate</t>
  </si>
  <si>
    <t>Newcastle</t>
  </si>
  <si>
    <t>Z-0651</t>
  </si>
  <si>
    <t>Zoraya</t>
  </si>
  <si>
    <t>Yusharyahya</t>
  </si>
  <si>
    <t>Z-013</t>
  </si>
  <si>
    <t>Zoya</t>
  </si>
  <si>
    <t>Z-0705</t>
  </si>
  <si>
    <t>Amirin</t>
  </si>
  <si>
    <t>zoya.amirin@gmail.com</t>
  </si>
  <si>
    <t>Z-0419</t>
  </si>
  <si>
    <t>Zs</t>
  </si>
  <si>
    <t>Adryan</t>
  </si>
  <si>
    <t>Z-0645</t>
  </si>
  <si>
    <t>Zuchairiyah</t>
  </si>
  <si>
    <t xml:space="preserve">Cluster Uluwatu 
Blok AA 5 No.5 Duta Bintaro
Pakujaya</t>
  </si>
  <si>
    <t>Z-0426</t>
  </si>
  <si>
    <t>Zulay</t>
  </si>
  <si>
    <t>Ariaj</t>
  </si>
  <si>
    <t>Z-0660</t>
  </si>
  <si>
    <t>Z-358</t>
  </si>
  <si>
    <t>Manan</t>
  </si>
  <si>
    <t>Z-0576</t>
  </si>
  <si>
    <t>zulkarnaen171@yahoo.com</t>
  </si>
  <si>
    <t>Z-0421</t>
  </si>
  <si>
    <t>Z-319</t>
  </si>
  <si>
    <t>Zumi</t>
  </si>
  <si>
    <t>Zola</t>
  </si>
  <si>
    <t>6285383968772</t>
  </si>
  <si>
    <t>Palaopa Raya No 2</t>
  </si>
  <si>
    <t>Z-0401</t>
  </si>
  <si>
    <t>Zune</t>
  </si>
  <si>
    <t xml:space="preserve">Galuh 2 No 1 kel. Selong
Kec Kebayoran Baru Jak sel</t>
  </si>
  <si>
    <t>Z-0496</t>
  </si>
  <si>
    <t>Jinyang</t>
  </si>
  <si>
    <t>+6281287072222</t>
  </si>
  <si>
    <t>Z-020</t>
  </si>
  <si>
    <t xml:space="preserve">Perumahan Pondok Indah Golf PB21
Jakarta Selatan</t>
  </si>
  <si>
    <t>Z-011</t>
  </si>
  <si>
    <t>Z-0718</t>
  </si>
  <si>
    <t>Zury</t>
  </si>
  <si>
    <t>Abiden</t>
  </si>
  <si>
    <t>Kelaten . Malaysia</t>
  </si>
  <si>
    <t>Z-0670</t>
  </si>
  <si>
    <t>Zyta</t>
  </si>
  <si>
    <t>zytadeliarahmah@gmail.com</t>
  </si>
  <si>
    <t>Sentul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</si>
</sst>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 mmm yyyy"/>
    <numFmt numFmtId="165" formatCode="mm/dd/yyyy"/>
  </numFmts>
  <fonts count="11" x14ac:knownFonts="1">
    <font>
      <color theme="1"/>
      <family val="2"/>
      <scheme val="minor"/>
      <sz val="11"/>
      <name val="Calibri"/>
    </font>
    <font>
      <color rgb="FF000000"/>
      <scheme val="minor"/>
      <sz val="10"/>
      <name val="Arial"/>
    </font>
    <font>
      <b/>
      <color rgb="FFFF0000"/>
      <family val="2"/>
      <sz val="10"/>
      <name val="Arial"/>
    </font>
    <font>
      <b/>
      <color theme="1"/>
      <family val="2"/>
      <sz val="10"/>
      <name val="Arial"/>
    </font>
    <font>
      <color theme="1"/>
      <family val="2"/>
      <sz val="10"/>
      <name val="Arial"/>
    </font>
    <font>
      <i/>
      <color rgb="FF999999"/>
      <family val="2"/>
      <sz val="6"/>
      <name val="Arial"/>
    </font>
    <font>
      <color theme="1"/>
      <family val="2"/>
      <sz val="7"/>
      <name val="Arial"/>
    </font>
    <font>
      <color theme="1"/>
      <family val="2"/>
      <sz val="8"/>
      <name val="Arial"/>
    </font>
    <font>
      <color theme="1"/>
      <family val="2"/>
      <scheme val="minor"/>
      <sz val="10"/>
      <name val="Arial"/>
    </font>
    <font>
      <color rgb="FF000000"/>
      <family val="2"/>
      <scheme val="minor"/>
      <sz val="10"/>
      <name val="Arial"/>
    </font>
    <font>
      <u/>
      <color rgb="FF0000FF"/>
      <family val="2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" fontId="1" fillId="0" borderId="0" xfId="0" applyNumberFormat="1" applyFont="1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4" fontId="3" fillId="0" borderId="0" xfId="0" applyNumberFormat="1" applyFont="1" applyAlignment="1">
      <alignment horizontal="center" wrapText="1"/>
    </xf>
    <xf numFmtId="4" fontId="3" fillId="2" borderId="0" xfId="0" applyNumberFormat="1" applyFont="1" applyFill="1" applyAlignment="1">
      <alignment horizontal="center" wrapText="1"/>
    </xf>
    <xf numFmtId="4" fontId="3" fillId="3" borderId="0" xfId="0" applyNumberFormat="1" applyFont="1" applyFill="1" applyAlignment="1">
      <alignment horizontal="center"/>
    </xf>
    <xf numFmtId="0" fontId="4" fillId="0" borderId="0" xfId="0" applyFont="1"/>
    <xf numFmtId="0" fontId="5" fillId="0" borderId="0" xfId="0" applyFont="1" applyAlignment="1">
      <alignment wrapText="1"/>
    </xf>
    <xf numFmtId="1" fontId="5" fillId="0" borderId="0" xfId="0" applyNumberFormat="1" applyFont="1" applyAlignment="1">
      <alignment wrapText="1"/>
    </xf>
    <xf numFmtId="4" fontId="5" fillId="0" borderId="0" xfId="0" applyNumberFormat="1" applyFont="1" applyAlignment="1">
      <alignment wrapText="1"/>
    </xf>
    <xf numFmtId="4" fontId="5" fillId="2" borderId="0" xfId="0" applyNumberFormat="1" applyFont="1" applyFill="1"/>
    <xf numFmtId="0" fontId="6" fillId="0" borderId="0" xfId="0" applyFont="1" applyAlignment="1">
      <alignment wrapText="1"/>
    </xf>
    <xf numFmtId="4" fontId="6" fillId="0" borderId="0" xfId="0" applyNumberFormat="1" applyFont="1" applyAlignment="1">
      <alignment wrapText="1"/>
    </xf>
    <xf numFmtId="1" fontId="6" fillId="0" borderId="0" xfId="0" applyNumberFormat="1" applyFont="1" applyAlignment="1">
      <alignment wrapText="1"/>
    </xf>
    <xf numFmtId="0" fontId="7" fillId="2" borderId="0" xfId="0" applyFont="1" applyFill="1"/>
    <xf numFmtId="0" fontId="8" fillId="0" borderId="0" xfId="0" applyFont="1"/>
    <xf numFmtId="1" fontId="8" fillId="0" borderId="0" xfId="0" applyNumberFormat="1" applyFont="1"/>
    <xf numFmtId="0" fontId="9" fillId="0" borderId="0" xfId="0" applyFont="1"/>
    <xf numFmtId="0" fontId="1" fillId="0" borderId="0" xfId="0" applyFont="1" applyAlignment="1">
      <alignment wrapText="1"/>
    </xf>
    <xf numFmtId="164" fontId="8" fillId="0" borderId="0" xfId="0" applyNumberFormat="1" applyFont="1"/>
    <xf numFmtId="0" fontId="10" fillId="0" borderId="0" xfId="0" applyFont="1"/>
    <xf numFmtId="165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devi.krisnadi.com/" TargetMode="External"/><Relationship Id="rId2" Type="http://schemas.openxmlformats.org/officeDocument/2006/relationships/hyperlink" Target="http://sonny.laksito2gmail.com/" TargetMode="External"/><Relationship Id="rId3" Type="http://schemas.openxmlformats.org/officeDocument/2006/relationships/hyperlink" Target="http://3938725172qq.com/" TargetMode="External"/><Relationship Id="rId4" Type="http://schemas.openxmlformats.org/officeDocument/2006/relationships/hyperlink" Target="http://2561489008qq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M16797"/>
  <sheetViews>
    <sheetView workbookViewId="0" zoomScale="80" zoomScaleNormal="80">
      <pane xSplit="4" ySplit="3" topLeftCell="E13" activePane="bottomRight" state="frozen"/>
      <selection pane="bottomRight" activeCell="K5585" sqref="K5585"/>
    </sheetView>
  </sheetViews>
  <sheetFormatPr defaultRowHeight="15.75" outlineLevelRow="0" outlineLevelCol="0" x14ac:dyDescent="0.2" defaultColWidth="12.5703125" customHeight="1"/>
  <cols>
    <col min="2" max="2" width="17.42578125" customWidth="1"/>
    <col min="3" max="3" width="30.140625" customWidth="1"/>
    <col min="4" max="4" width="35.5703125" customWidth="1"/>
    <col min="10" max="10" width="37.5703125" customWidth="1"/>
    <col min="11" max="11" width="18" style="1" customWidth="1"/>
    <col min="21" max="21" width="25.42578125" customWidth="1"/>
    <col min="22" max="22" width="19.85546875" style="1" customWidth="1"/>
    <col min="23" max="23" width="74.85546875" customWidth="1"/>
    <col min="25" max="25" width="15.140625" customWidth="1"/>
  </cols>
  <sheetData>
    <row r="1" ht="38.25" customHeight="1" spans="1:39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2" t="s">
        <v>11</v>
      </c>
      <c r="M1" s="3" t="s">
        <v>12</v>
      </c>
      <c r="N1" s="3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5" t="s">
        <v>18</v>
      </c>
      <c r="T1" s="5" t="s">
        <v>19</v>
      </c>
      <c r="U1" s="5" t="s">
        <v>20</v>
      </c>
      <c r="V1" s="4" t="s">
        <v>10</v>
      </c>
      <c r="W1" s="3" t="s">
        <v>21</v>
      </c>
      <c r="X1" s="3" t="s">
        <v>22</v>
      </c>
      <c r="Y1" s="5" t="s">
        <v>23</v>
      </c>
      <c r="Z1" s="5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8"/>
      <c r="AF1" s="8"/>
      <c r="AG1" s="8"/>
      <c r="AH1" s="8"/>
      <c r="AI1" s="8"/>
      <c r="AJ1" s="8"/>
      <c r="AK1" s="8"/>
      <c r="AL1" s="8"/>
      <c r="AM1" s="8"/>
    </row>
    <row r="2" ht="50.25" customHeight="1" spans="1:39" x14ac:dyDescent="0.25">
      <c r="A2" s="9" t="s">
        <v>29</v>
      </c>
      <c r="B2" s="9" t="s">
        <v>30</v>
      </c>
      <c r="C2" s="9" t="s">
        <v>31</v>
      </c>
      <c r="D2" s="9" t="s">
        <v>32</v>
      </c>
      <c r="E2" s="9" t="s">
        <v>33</v>
      </c>
      <c r="F2" s="9" t="s">
        <v>34</v>
      </c>
      <c r="G2" s="9" t="s">
        <v>35</v>
      </c>
      <c r="H2" s="9" t="s">
        <v>36</v>
      </c>
      <c r="I2" s="9" t="s">
        <v>37</v>
      </c>
      <c r="J2" s="9" t="s">
        <v>38</v>
      </c>
      <c r="K2" s="10" t="s">
        <v>39</v>
      </c>
      <c r="L2" s="9" t="s">
        <v>40</v>
      </c>
      <c r="M2" s="9" t="s">
        <v>41</v>
      </c>
      <c r="N2" s="9" t="s">
        <v>42</v>
      </c>
      <c r="O2" s="11" t="s">
        <v>43</v>
      </c>
      <c r="P2" s="11" t="s">
        <v>44</v>
      </c>
      <c r="Q2" s="12" t="s">
        <v>45</v>
      </c>
      <c r="R2" s="11" t="s">
        <v>46</v>
      </c>
      <c r="S2" s="11" t="s">
        <v>47</v>
      </c>
      <c r="T2" s="11" t="s">
        <v>48</v>
      </c>
      <c r="U2" s="11" t="s">
        <v>49</v>
      </c>
      <c r="V2" s="10" t="s">
        <v>39</v>
      </c>
      <c r="W2" s="11" t="s">
        <v>50</v>
      </c>
      <c r="X2" s="9" t="s">
        <v>51</v>
      </c>
      <c r="Y2" s="11" t="s">
        <v>52</v>
      </c>
      <c r="Z2" s="11" t="s">
        <v>53</v>
      </c>
      <c r="AA2" s="9" t="s">
        <v>54</v>
      </c>
      <c r="AB2" s="9" t="s">
        <v>55</v>
      </c>
      <c r="AC2" s="9" t="s">
        <v>56</v>
      </c>
      <c r="AD2" s="9" t="s">
        <v>57</v>
      </c>
      <c r="AE2" s="8"/>
      <c r="AF2" s="8"/>
      <c r="AG2" s="8"/>
      <c r="AH2" s="8"/>
      <c r="AI2" s="8"/>
      <c r="AJ2" s="8"/>
      <c r="AK2" s="8"/>
      <c r="AL2" s="8"/>
      <c r="AM2" s="8"/>
    </row>
    <row r="3" ht="27.75" customHeight="1" spans="1:39" x14ac:dyDescent="0.25">
      <c r="A3" s="13" t="s">
        <v>58</v>
      </c>
      <c r="B3" s="13" t="s">
        <v>59</v>
      </c>
      <c r="C3" s="13" t="s">
        <v>60</v>
      </c>
      <c r="D3" s="13" t="s">
        <v>61</v>
      </c>
      <c r="E3" s="13" t="s">
        <v>62</v>
      </c>
      <c r="F3" s="13" t="s">
        <v>61</v>
      </c>
      <c r="G3" s="13" t="s">
        <v>63</v>
      </c>
      <c r="H3" s="13" t="s">
        <v>64</v>
      </c>
      <c r="I3" s="13" t="s">
        <v>65</v>
      </c>
      <c r="J3" s="14" t="s">
        <v>64</v>
      </c>
      <c r="K3" s="15" t="s">
        <v>66</v>
      </c>
      <c r="L3" s="13" t="s">
        <v>59</v>
      </c>
      <c r="M3" s="13" t="s">
        <v>59</v>
      </c>
      <c r="N3" s="13" t="s">
        <v>59</v>
      </c>
      <c r="O3" s="14" t="s">
        <v>59</v>
      </c>
      <c r="P3" s="13" t="s">
        <v>59</v>
      </c>
      <c r="Q3" s="16" t="s">
        <v>59</v>
      </c>
      <c r="R3" s="14" t="s">
        <v>59</v>
      </c>
      <c r="S3" s="14" t="s">
        <v>66</v>
      </c>
      <c r="T3" s="13" t="s">
        <v>64</v>
      </c>
      <c r="U3" s="13" t="s">
        <v>64</v>
      </c>
      <c r="V3" s="15" t="s">
        <v>66</v>
      </c>
      <c r="W3" s="13" t="s">
        <v>67</v>
      </c>
      <c r="X3" s="13" t="s">
        <v>68</v>
      </c>
      <c r="Y3" s="13" t="s">
        <v>64</v>
      </c>
      <c r="Z3" s="13" t="s">
        <v>64</v>
      </c>
      <c r="AA3" s="13" t="s">
        <v>64</v>
      </c>
      <c r="AB3" s="13" t="s">
        <v>64</v>
      </c>
      <c r="AC3" s="13" t="s">
        <v>64</v>
      </c>
      <c r="AD3" s="13" t="s">
        <v>64</v>
      </c>
      <c r="AE3" s="8"/>
      <c r="AF3" s="8"/>
      <c r="AG3" s="8"/>
      <c r="AH3" s="8"/>
      <c r="AI3" s="8"/>
      <c r="AJ3" s="8"/>
      <c r="AK3" s="8"/>
      <c r="AL3" s="8"/>
      <c r="AM3" s="8"/>
    </row>
    <row r="4" ht="15" customHeight="1" spans="1:22" x14ac:dyDescent="0.25">
      <c r="A4" s="17" t="s">
        <v>69</v>
      </c>
      <c r="B4" s="17" t="s">
        <v>70</v>
      </c>
      <c r="C4" s="17" t="s">
        <v>71</v>
      </c>
      <c r="D4" t="s">
        <v>72</v>
      </c>
      <c r="F4" t="s">
        <v>73</v>
      </c>
      <c r="K4" s="18">
        <f>628193417603</f>
        <v>628193417603</v>
      </c>
      <c r="N4" s="17" t="s">
        <v>74</v>
      </c>
      <c r="V4" s="18">
        <f>628193417603</f>
        <v>628193417603</v>
      </c>
    </row>
    <row r="5" ht="15" customHeight="1" spans="1:25" x14ac:dyDescent="0.25">
      <c r="A5" s="17" t="s">
        <v>75</v>
      </c>
      <c r="B5" s="17" t="s">
        <v>70</v>
      </c>
      <c r="C5" s="17" t="s">
        <v>71</v>
      </c>
      <c r="D5" t="s">
        <v>76</v>
      </c>
      <c r="K5" s="18">
        <f>62811446366</f>
        <v>62811446366</v>
      </c>
      <c r="N5" s="17" t="s">
        <v>77</v>
      </c>
      <c r="U5" s="17"/>
      <c r="V5" s="18">
        <f>62811446366</f>
        <v>62811446366</v>
      </c>
      <c r="W5" t="s">
        <v>78</v>
      </c>
      <c r="Y5" s="17" t="s">
        <v>78</v>
      </c>
    </row>
    <row r="6" ht="15" customHeight="1" spans="1:22" x14ac:dyDescent="0.25">
      <c r="A6" s="17" t="s">
        <v>79</v>
      </c>
      <c r="B6" s="17" t="s">
        <v>70</v>
      </c>
      <c r="C6" s="17" t="s">
        <v>71</v>
      </c>
      <c r="D6" t="s">
        <v>80</v>
      </c>
      <c r="K6" s="18">
        <f>6287888836885</f>
        <v>6287888836885</v>
      </c>
      <c r="N6" s="17" t="s">
        <v>81</v>
      </c>
      <c r="V6" s="18">
        <f>6287888836885</f>
        <v>6287888836885</v>
      </c>
    </row>
    <row r="7" ht="15" customHeight="1" spans="1:22" x14ac:dyDescent="0.25">
      <c r="A7" s="17" t="s">
        <v>82</v>
      </c>
      <c r="B7" s="17" t="s">
        <v>70</v>
      </c>
      <c r="C7" s="17" t="s">
        <v>71</v>
      </c>
      <c r="D7" t="s">
        <v>83</v>
      </c>
      <c r="F7" t="s">
        <v>84</v>
      </c>
      <c r="K7" s="18">
        <f>6281319131431</f>
        <v>6281319131431</v>
      </c>
      <c r="N7" s="17" t="s">
        <v>81</v>
      </c>
      <c r="V7" s="18">
        <f>6281319131431</f>
        <v>6281319131431</v>
      </c>
    </row>
    <row r="8" ht="15" customHeight="1" spans="1:22" x14ac:dyDescent="0.25">
      <c r="A8" s="17" t="s">
        <v>85</v>
      </c>
      <c r="B8" s="17" t="s">
        <v>70</v>
      </c>
      <c r="C8" s="17" t="s">
        <v>71</v>
      </c>
      <c r="D8" t="s">
        <v>86</v>
      </c>
      <c r="K8" s="18">
        <f>628114202444</f>
        <v>628114202444</v>
      </c>
      <c r="N8" s="17" t="s">
        <v>77</v>
      </c>
      <c r="V8" s="18">
        <f>628114202444</f>
        <v>628114202444</v>
      </c>
    </row>
    <row r="9" ht="15" customHeight="1" spans="1:25" x14ac:dyDescent="0.25">
      <c r="A9" s="17" t="s">
        <v>87</v>
      </c>
      <c r="B9" s="17" t="s">
        <v>70</v>
      </c>
      <c r="C9" s="17" t="s">
        <v>71</v>
      </c>
      <c r="D9" t="s">
        <v>88</v>
      </c>
      <c r="K9" s="18">
        <f>62818183173</f>
        <v>62818183173</v>
      </c>
      <c r="N9" s="17" t="s">
        <v>81</v>
      </c>
      <c r="U9" s="17"/>
      <c r="V9" s="18">
        <f>62818183173</f>
        <v>62818183173</v>
      </c>
      <c r="W9" t="s">
        <v>89</v>
      </c>
      <c r="Y9" s="17" t="s">
        <v>90</v>
      </c>
    </row>
    <row r="10" ht="15" customHeight="1" spans="1:22" x14ac:dyDescent="0.25">
      <c r="A10" s="17" t="s">
        <v>91</v>
      </c>
      <c r="B10" s="17" t="s">
        <v>70</v>
      </c>
      <c r="C10" s="17" t="s">
        <v>71</v>
      </c>
      <c r="D10" t="s">
        <v>92</v>
      </c>
      <c r="K10" s="18">
        <f>6281293279897</f>
        <v>6281293279897</v>
      </c>
      <c r="N10" s="17" t="s">
        <v>77</v>
      </c>
      <c r="V10" s="18">
        <f>6281293279897</f>
        <v>6281293279897</v>
      </c>
    </row>
    <row r="11" ht="15" customHeight="1" spans="1:27" x14ac:dyDescent="0.25">
      <c r="A11" s="17" t="s">
        <v>93</v>
      </c>
      <c r="B11" s="17" t="s">
        <v>70</v>
      </c>
      <c r="C11" s="17" t="s">
        <v>71</v>
      </c>
      <c r="D11" t="s">
        <v>94</v>
      </c>
      <c r="K11" s="18">
        <f>622175901912</f>
        <v>622175901912</v>
      </c>
      <c r="N11" s="17" t="s">
        <v>74</v>
      </c>
      <c r="U11" s="17"/>
      <c r="V11" s="18">
        <f>622175901912</f>
        <v>622175901912</v>
      </c>
      <c r="W11" t="s">
        <v>95</v>
      </c>
      <c r="Y11" s="17" t="s">
        <v>96</v>
      </c>
      <c r="AA11" s="17" t="s">
        <v>97</v>
      </c>
    </row>
    <row r="12" ht="15" customHeight="1" spans="1:27" x14ac:dyDescent="0.25">
      <c r="A12" s="17" t="s">
        <v>98</v>
      </c>
      <c r="B12" s="17" t="s">
        <v>70</v>
      </c>
      <c r="C12" s="17" t="s">
        <v>71</v>
      </c>
      <c r="D12" t="s">
        <v>99</v>
      </c>
      <c r="K12" s="18">
        <f>62811992977</f>
        <v>62811992977</v>
      </c>
      <c r="N12" s="17" t="s">
        <v>77</v>
      </c>
      <c r="U12" s="17"/>
      <c r="V12" s="18">
        <f>62811992977</f>
        <v>62811992977</v>
      </c>
      <c r="W12" t="s">
        <v>100</v>
      </c>
      <c r="AA12" s="17">
        <v>13450</v>
      </c>
    </row>
    <row r="13" ht="15" customHeight="1" spans="1:22" x14ac:dyDescent="0.25">
      <c r="A13" s="17" t="s">
        <v>101</v>
      </c>
      <c r="B13" s="17" t="s">
        <v>70</v>
      </c>
      <c r="C13" s="17" t="s">
        <v>71</v>
      </c>
      <c r="D13" t="s">
        <v>102</v>
      </c>
      <c r="F13" t="s">
        <v>103</v>
      </c>
      <c r="K13" s="18">
        <f>62811429129</f>
        <v>62811429129</v>
      </c>
      <c r="N13" s="17" t="s">
        <v>81</v>
      </c>
      <c r="V13" s="18">
        <f>62811429129</f>
        <v>62811429129</v>
      </c>
    </row>
    <row r="14" ht="15" customHeight="1" spans="1:22" x14ac:dyDescent="0.25">
      <c r="A14" s="17" t="s">
        <v>104</v>
      </c>
      <c r="B14" s="17" t="s">
        <v>70</v>
      </c>
      <c r="C14" s="17" t="s">
        <v>71</v>
      </c>
      <c r="D14" t="s">
        <v>105</v>
      </c>
      <c r="F14" t="s">
        <v>106</v>
      </c>
      <c r="K14" s="18">
        <f>6281298904042</f>
        <v>6281298904042</v>
      </c>
      <c r="N14" s="17" t="s">
        <v>74</v>
      </c>
      <c r="V14" s="18">
        <f>6281298904042</f>
        <v>6281298904042</v>
      </c>
    </row>
    <row r="15" ht="15" customHeight="1" spans="1:25" x14ac:dyDescent="0.25">
      <c r="A15" s="17" t="s">
        <v>107</v>
      </c>
      <c r="B15" s="17" t="s">
        <v>70</v>
      </c>
      <c r="C15" s="17" t="s">
        <v>71</v>
      </c>
      <c r="D15" t="s">
        <v>108</v>
      </c>
      <c r="K15" s="18">
        <f>628159254017</f>
        <v>628159254017</v>
      </c>
      <c r="N15" s="17" t="s">
        <v>77</v>
      </c>
      <c r="U15" s="17"/>
      <c r="V15" s="18">
        <f>628159254017</f>
        <v>628159254017</v>
      </c>
      <c r="W15" t="s">
        <v>109</v>
      </c>
      <c r="Y15" s="17" t="s">
        <v>90</v>
      </c>
    </row>
    <row r="16" ht="15" customHeight="1" spans="1:22" x14ac:dyDescent="0.25">
      <c r="A16" s="17" t="s">
        <v>110</v>
      </c>
      <c r="B16" s="17" t="s">
        <v>70</v>
      </c>
      <c r="C16" s="17" t="s">
        <v>71</v>
      </c>
      <c r="D16" t="s">
        <v>111</v>
      </c>
      <c r="K16" s="18">
        <f>6281252854942</f>
        <v>6281252854942</v>
      </c>
      <c r="N16" s="17" t="s">
        <v>77</v>
      </c>
      <c r="V16" s="18">
        <f>6281252854942</f>
        <v>6281252854942</v>
      </c>
    </row>
    <row r="17" ht="15" customHeight="1" spans="1:28" x14ac:dyDescent="0.25">
      <c r="A17" s="17" t="s">
        <v>112</v>
      </c>
      <c r="B17" s="17" t="s">
        <v>70</v>
      </c>
      <c r="C17" s="17" t="s">
        <v>71</v>
      </c>
      <c r="D17" t="s">
        <v>113</v>
      </c>
      <c r="F17" t="s">
        <v>114</v>
      </c>
      <c r="J17" t="s">
        <v>115</v>
      </c>
      <c r="K17" s="18" t="s">
        <v>116</v>
      </c>
      <c r="N17" s="17" t="s">
        <v>77</v>
      </c>
      <c r="O17" t="s">
        <v>117</v>
      </c>
      <c r="V17" s="18" t="s">
        <v>116</v>
      </c>
      <c r="Y17" t="s">
        <v>90</v>
      </c>
      <c r="AA17" t="s">
        <v>118</v>
      </c>
      <c r="AB17" t="s">
        <v>119</v>
      </c>
    </row>
    <row r="18" ht="15" customHeight="1" spans="1:25" x14ac:dyDescent="0.25">
      <c r="A18" s="17" t="s">
        <v>120</v>
      </c>
      <c r="B18" s="17" t="s">
        <v>70</v>
      </c>
      <c r="C18" s="17" t="s">
        <v>71</v>
      </c>
      <c r="D18" t="s">
        <v>121</v>
      </c>
      <c r="K18" s="18">
        <f>6282113939184</f>
        <v>6282113939184</v>
      </c>
      <c r="N18" s="17" t="s">
        <v>77</v>
      </c>
      <c r="V18" s="18">
        <f>6282113939184</f>
        <v>6282113939184</v>
      </c>
      <c r="Y18" s="17" t="s">
        <v>90</v>
      </c>
    </row>
    <row r="19" ht="15" customHeight="1" spans="1:22" x14ac:dyDescent="0.25">
      <c r="A19" s="17" t="s">
        <v>122</v>
      </c>
      <c r="B19" s="17" t="s">
        <v>70</v>
      </c>
      <c r="C19" s="17" t="s">
        <v>71</v>
      </c>
      <c r="D19" t="s">
        <v>123</v>
      </c>
      <c r="K19" s="18">
        <f>62811850980</f>
        <v>62811850980</v>
      </c>
      <c r="N19" s="17" t="s">
        <v>81</v>
      </c>
      <c r="V19" s="18">
        <f>62811850980</f>
        <v>62811850980</v>
      </c>
    </row>
    <row r="20" ht="15" customHeight="1" spans="1:25" x14ac:dyDescent="0.25">
      <c r="A20" s="17" t="s">
        <v>124</v>
      </c>
      <c r="B20" s="17" t="s">
        <v>70</v>
      </c>
      <c r="C20" s="17" t="s">
        <v>71</v>
      </c>
      <c r="D20" t="s">
        <v>125</v>
      </c>
      <c r="K20" s="18">
        <f>62816816666</f>
        <v>62816816666</v>
      </c>
      <c r="N20" s="17" t="s">
        <v>77</v>
      </c>
      <c r="U20" s="17"/>
      <c r="V20" s="18">
        <f>62816816666</f>
        <v>62816816666</v>
      </c>
      <c r="W20" t="s">
        <v>126</v>
      </c>
      <c r="Y20" s="17" t="s">
        <v>90</v>
      </c>
    </row>
    <row r="21" ht="15" customHeight="1" spans="1:22" x14ac:dyDescent="0.25">
      <c r="A21" s="17" t="s">
        <v>127</v>
      </c>
      <c r="B21" s="17" t="s">
        <v>70</v>
      </c>
      <c r="C21" s="17" t="s">
        <v>71</v>
      </c>
      <c r="D21" t="s">
        <v>128</v>
      </c>
      <c r="K21" s="18">
        <f>6281223087700</f>
        <v>6281223087700</v>
      </c>
      <c r="N21" s="17" t="s">
        <v>81</v>
      </c>
      <c r="V21" s="18">
        <f>6281223087700</f>
        <v>6281223087700</v>
      </c>
    </row>
    <row r="22" ht="15" customHeight="1" spans="1:27" x14ac:dyDescent="0.25">
      <c r="A22" s="17" t="s">
        <v>129</v>
      </c>
      <c r="B22" s="17" t="s">
        <v>70</v>
      </c>
      <c r="C22" s="17" t="s">
        <v>71</v>
      </c>
      <c r="D22" t="s">
        <v>130</v>
      </c>
      <c r="F22" t="s">
        <v>131</v>
      </c>
      <c r="K22" s="18">
        <f>62217256885</f>
        <v>62217256885</v>
      </c>
      <c r="N22" s="17" t="s">
        <v>77</v>
      </c>
      <c r="U22" s="17"/>
      <c r="V22" s="18">
        <f>62217256885</f>
        <v>62217256885</v>
      </c>
      <c r="W22" t="s">
        <v>132</v>
      </c>
      <c r="Y22" s="17" t="s">
        <v>96</v>
      </c>
      <c r="AA22" s="17" t="s">
        <v>133</v>
      </c>
    </row>
    <row r="23" ht="15" customHeight="1" spans="1:25" x14ac:dyDescent="0.25">
      <c r="A23" s="17" t="s">
        <v>134</v>
      </c>
      <c r="B23" s="17" t="s">
        <v>70</v>
      </c>
      <c r="C23" s="17" t="s">
        <v>71</v>
      </c>
      <c r="D23" t="s">
        <v>130</v>
      </c>
      <c r="F23" t="s">
        <v>135</v>
      </c>
      <c r="K23" s="18">
        <f>628119598737</f>
        <v>628119598737</v>
      </c>
      <c r="N23" s="17" t="s">
        <v>74</v>
      </c>
      <c r="U23" s="17"/>
      <c r="V23" s="18">
        <f>628119598737</f>
        <v>628119598737</v>
      </c>
      <c r="W23" t="s">
        <v>136</v>
      </c>
      <c r="Y23" s="17" t="s">
        <v>90</v>
      </c>
    </row>
    <row r="24" ht="15" customHeight="1" spans="1:22" x14ac:dyDescent="0.25">
      <c r="A24" s="17" t="s">
        <v>137</v>
      </c>
      <c r="B24" s="17" t="s">
        <v>70</v>
      </c>
      <c r="C24" s="17" t="s">
        <v>71</v>
      </c>
      <c r="D24" t="s">
        <v>138</v>
      </c>
      <c r="F24" t="s">
        <v>139</v>
      </c>
      <c r="K24" s="18">
        <f>6281703180123</f>
        <v>6281703180123</v>
      </c>
      <c r="N24" s="17" t="s">
        <v>81</v>
      </c>
      <c r="V24" s="18">
        <f>6281703180123</f>
        <v>6281703180123</v>
      </c>
    </row>
    <row r="25" ht="15" customHeight="1" spans="1:28" x14ac:dyDescent="0.25">
      <c r="A25" s="17" t="s">
        <v>140</v>
      </c>
      <c r="B25" s="17" t="s">
        <v>70</v>
      </c>
      <c r="C25" s="17" t="s">
        <v>71</v>
      </c>
      <c r="D25" t="s">
        <v>141</v>
      </c>
      <c r="F25" t="s">
        <v>142</v>
      </c>
      <c r="J25" s="17" t="s">
        <v>143</v>
      </c>
      <c r="K25" s="18" t="s">
        <v>144</v>
      </c>
      <c r="N25" s="17" t="s">
        <v>77</v>
      </c>
      <c r="O25" t="s">
        <v>145</v>
      </c>
      <c r="U25" s="17"/>
      <c r="V25" s="18" t="s">
        <v>144</v>
      </c>
      <c r="W25" t="s">
        <v>146</v>
      </c>
      <c r="Y25" s="17" t="s">
        <v>147</v>
      </c>
      <c r="AA25" t="s">
        <v>115</v>
      </c>
      <c r="AB25" t="s">
        <v>148</v>
      </c>
    </row>
    <row r="26" ht="15" customHeight="1" spans="1:22" x14ac:dyDescent="0.25">
      <c r="A26" s="17" t="s">
        <v>149</v>
      </c>
      <c r="B26" s="17" t="s">
        <v>70</v>
      </c>
      <c r="C26" s="17" t="s">
        <v>71</v>
      </c>
      <c r="D26" t="s">
        <v>138</v>
      </c>
      <c r="F26" t="s">
        <v>150</v>
      </c>
      <c r="J26" s="17" t="s">
        <v>151</v>
      </c>
      <c r="K26" s="18">
        <v>60124832938</v>
      </c>
      <c r="N26" s="17" t="s">
        <v>77</v>
      </c>
      <c r="V26" s="18">
        <v>60124832938</v>
      </c>
    </row>
    <row r="27" ht="15" customHeight="1" spans="1:27" x14ac:dyDescent="0.25">
      <c r="A27" s="17" t="s">
        <v>152</v>
      </c>
      <c r="B27" s="17" t="s">
        <v>70</v>
      </c>
      <c r="C27" s="17" t="s">
        <v>71</v>
      </c>
      <c r="D27" t="s">
        <v>138</v>
      </c>
      <c r="F27" t="s">
        <v>153</v>
      </c>
      <c r="J27" s="17" t="s">
        <v>154</v>
      </c>
      <c r="K27" s="18">
        <f>601125686778</f>
        <v>601125686778</v>
      </c>
      <c r="N27" s="17" t="s">
        <v>77</v>
      </c>
      <c r="U27" s="17"/>
      <c r="V27" s="18">
        <f>601125686778</f>
        <v>601125686778</v>
      </c>
      <c r="W27" t="s">
        <v>155</v>
      </c>
      <c r="Y27" s="17" t="s">
        <v>156</v>
      </c>
      <c r="AA27" s="17">
        <v>28700</v>
      </c>
    </row>
    <row r="28" ht="15" customHeight="1" spans="1:22" x14ac:dyDescent="0.25">
      <c r="A28" s="17" t="s">
        <v>157</v>
      </c>
      <c r="B28" s="17" t="s">
        <v>70</v>
      </c>
      <c r="C28" s="17" t="s">
        <v>71</v>
      </c>
      <c r="D28" t="s">
        <v>158</v>
      </c>
      <c r="F28" t="s">
        <v>159</v>
      </c>
      <c r="K28" s="18">
        <f>628170757502</f>
        <v>628170757502</v>
      </c>
      <c r="N28" s="17" t="s">
        <v>77</v>
      </c>
      <c r="V28" s="18">
        <f>628170757502</f>
        <v>628170757502</v>
      </c>
    </row>
    <row r="29" ht="15" customHeight="1" spans="1:27" x14ac:dyDescent="0.25">
      <c r="A29" s="17" t="s">
        <v>160</v>
      </c>
      <c r="B29" s="17" t="s">
        <v>70</v>
      </c>
      <c r="C29" s="17" t="s">
        <v>71</v>
      </c>
      <c r="D29" t="s">
        <v>161</v>
      </c>
      <c r="F29" t="s">
        <v>162</v>
      </c>
      <c r="K29" s="18">
        <f>628388880000</f>
        <v>628388880000</v>
      </c>
      <c r="N29" s="17" t="s">
        <v>77</v>
      </c>
      <c r="U29" s="17"/>
      <c r="V29" s="18">
        <f>628388880000</f>
        <v>628388880000</v>
      </c>
      <c r="W29" t="s">
        <v>163</v>
      </c>
      <c r="AA29" s="17" t="s">
        <v>164</v>
      </c>
    </row>
    <row r="30" ht="15" customHeight="1" spans="1:23" x14ac:dyDescent="0.25">
      <c r="A30" s="17" t="s">
        <v>165</v>
      </c>
      <c r="B30" s="17" t="s">
        <v>70</v>
      </c>
      <c r="C30" s="17" t="s">
        <v>71</v>
      </c>
      <c r="D30" t="s">
        <v>166</v>
      </c>
      <c r="F30" t="s">
        <v>167</v>
      </c>
      <c r="K30" s="18">
        <f>966503208088</f>
        <v>966503208088</v>
      </c>
      <c r="N30" s="17" t="s">
        <v>77</v>
      </c>
      <c r="U30" s="17"/>
      <c r="V30" s="18">
        <f>966503208088</f>
        <v>966503208088</v>
      </c>
      <c r="W30" t="s">
        <v>168</v>
      </c>
    </row>
    <row r="31" ht="15" customHeight="1" spans="1:28" x14ac:dyDescent="0.25">
      <c r="A31" s="17" t="s">
        <v>169</v>
      </c>
      <c r="B31" s="17" t="s">
        <v>70</v>
      </c>
      <c r="C31" s="17" t="s">
        <v>71</v>
      </c>
      <c r="D31" t="s">
        <v>170</v>
      </c>
      <c r="F31" t="s">
        <v>171</v>
      </c>
      <c r="J31" t="s">
        <v>115</v>
      </c>
      <c r="K31" s="18" t="s">
        <v>172</v>
      </c>
      <c r="N31" s="17" t="s">
        <v>77</v>
      </c>
      <c r="O31" t="s">
        <v>145</v>
      </c>
      <c r="U31" s="17"/>
      <c r="V31" s="18" t="s">
        <v>172</v>
      </c>
      <c r="W31" t="s">
        <v>173</v>
      </c>
      <c r="Y31" t="s">
        <v>115</v>
      </c>
      <c r="AA31" t="s">
        <v>115</v>
      </c>
      <c r="AB31" t="s">
        <v>173</v>
      </c>
    </row>
    <row r="32" ht="15" customHeight="1" spans="1:22" x14ac:dyDescent="0.25">
      <c r="A32" s="17" t="s">
        <v>174</v>
      </c>
      <c r="B32" s="17" t="s">
        <v>70</v>
      </c>
      <c r="C32" s="17" t="s">
        <v>71</v>
      </c>
      <c r="D32" t="s">
        <v>175</v>
      </c>
      <c r="F32" t="s">
        <v>176</v>
      </c>
      <c r="K32" s="18">
        <f>628174818599</f>
        <v>628174818599</v>
      </c>
      <c r="N32" s="17" t="s">
        <v>81</v>
      </c>
      <c r="V32" s="18">
        <f>628174818599</f>
        <v>628174818599</v>
      </c>
    </row>
    <row r="33" ht="15" customHeight="1" spans="1:25" x14ac:dyDescent="0.25">
      <c r="A33" s="17" t="s">
        <v>177</v>
      </c>
      <c r="B33" s="17" t="s">
        <v>70</v>
      </c>
      <c r="C33" s="17" t="s">
        <v>71</v>
      </c>
      <c r="D33" t="s">
        <v>178</v>
      </c>
      <c r="F33" t="s">
        <v>179</v>
      </c>
      <c r="K33" s="18">
        <f>6218557888</f>
        <v>6218557888</v>
      </c>
      <c r="N33" s="17" t="s">
        <v>77</v>
      </c>
      <c r="U33" s="17"/>
      <c r="V33" s="18">
        <f>6218557888</f>
        <v>6218557888</v>
      </c>
      <c r="W33" t="s">
        <v>180</v>
      </c>
      <c r="Y33" t="s">
        <v>181</v>
      </c>
    </row>
    <row r="34" ht="15" customHeight="1" spans="1:22" x14ac:dyDescent="0.25">
      <c r="A34" s="17" t="s">
        <v>182</v>
      </c>
      <c r="B34" s="17" t="s">
        <v>70</v>
      </c>
      <c r="C34" s="17" t="s">
        <v>71</v>
      </c>
      <c r="D34" t="s">
        <v>183</v>
      </c>
      <c r="F34" t="s">
        <v>184</v>
      </c>
      <c r="K34" s="18">
        <f>6281314267605</f>
        <v>6281314267605</v>
      </c>
      <c r="N34" s="17" t="s">
        <v>81</v>
      </c>
      <c r="V34" s="18">
        <f>6281314267605</f>
        <v>6281314267605</v>
      </c>
    </row>
    <row r="35" ht="15" customHeight="1" spans="1:22" x14ac:dyDescent="0.25">
      <c r="A35" s="17" t="s">
        <v>185</v>
      </c>
      <c r="B35" s="17" t="s">
        <v>70</v>
      </c>
      <c r="C35" s="17" t="s">
        <v>71</v>
      </c>
      <c r="D35" t="s">
        <v>183</v>
      </c>
      <c r="F35" t="s">
        <v>186</v>
      </c>
      <c r="K35" s="18">
        <f>628161880454</f>
        <v>628161880454</v>
      </c>
      <c r="N35" s="17" t="s">
        <v>77</v>
      </c>
      <c r="V35" s="18">
        <f>628161880454</f>
        <v>628161880454</v>
      </c>
    </row>
    <row r="36" ht="15" customHeight="1" spans="1:28" x14ac:dyDescent="0.25">
      <c r="A36" s="17" t="s">
        <v>187</v>
      </c>
      <c r="B36" s="17" t="s">
        <v>70</v>
      </c>
      <c r="C36" s="17" t="s">
        <v>71</v>
      </c>
      <c r="D36" t="s">
        <v>183</v>
      </c>
      <c r="F36" t="s">
        <v>188</v>
      </c>
      <c r="J36" t="s">
        <v>115</v>
      </c>
      <c r="K36" s="18" t="s">
        <v>189</v>
      </c>
      <c r="N36" s="17" t="s">
        <v>77</v>
      </c>
      <c r="O36" t="s">
        <v>117</v>
      </c>
      <c r="V36" s="18" t="s">
        <v>189</v>
      </c>
      <c r="Y36" t="s">
        <v>190</v>
      </c>
      <c r="AA36" t="s">
        <v>118</v>
      </c>
      <c r="AB36" t="s">
        <v>119</v>
      </c>
    </row>
    <row r="37" ht="15" customHeight="1" spans="1:22" x14ac:dyDescent="0.25">
      <c r="A37" s="17" t="s">
        <v>191</v>
      </c>
      <c r="B37" s="17" t="s">
        <v>70</v>
      </c>
      <c r="C37" s="17" t="s">
        <v>71</v>
      </c>
      <c r="D37" t="s">
        <v>192</v>
      </c>
      <c r="F37" t="s">
        <v>193</v>
      </c>
      <c r="K37" s="18">
        <f>62816666788</f>
        <v>62816666788</v>
      </c>
      <c r="N37" s="17" t="s">
        <v>81</v>
      </c>
      <c r="V37" s="18">
        <f>62816666788</f>
        <v>62816666788</v>
      </c>
    </row>
    <row r="38" ht="15" customHeight="1" spans="1:28" x14ac:dyDescent="0.25">
      <c r="A38" s="17" t="s">
        <v>194</v>
      </c>
      <c r="B38" s="17" t="s">
        <v>70</v>
      </c>
      <c r="C38" s="17" t="s">
        <v>71</v>
      </c>
      <c r="D38" t="s">
        <v>195</v>
      </c>
      <c r="F38" t="s">
        <v>196</v>
      </c>
      <c r="J38" s="17" t="s">
        <v>197</v>
      </c>
      <c r="K38" s="18" t="s">
        <v>198</v>
      </c>
      <c r="N38" s="17" t="s">
        <v>77</v>
      </c>
      <c r="O38" t="s">
        <v>199</v>
      </c>
      <c r="V38" s="18" t="s">
        <v>198</v>
      </c>
      <c r="Y38" t="s">
        <v>200</v>
      </c>
      <c r="AA38" t="s">
        <v>115</v>
      </c>
      <c r="AB38" t="s">
        <v>119</v>
      </c>
    </row>
    <row r="39" ht="15" customHeight="1" spans="1:22" x14ac:dyDescent="0.25">
      <c r="A39" s="17" t="s">
        <v>201</v>
      </c>
      <c r="B39" s="17" t="s">
        <v>70</v>
      </c>
      <c r="C39" s="17" t="s">
        <v>71</v>
      </c>
      <c r="D39" t="s">
        <v>195</v>
      </c>
      <c r="F39" t="s">
        <v>202</v>
      </c>
      <c r="K39" s="18">
        <v>966505843338</v>
      </c>
      <c r="N39" s="17" t="s">
        <v>77</v>
      </c>
      <c r="V39" s="18">
        <v>966505843338</v>
      </c>
    </row>
    <row r="40" ht="15" customHeight="1" spans="1:22" x14ac:dyDescent="0.25">
      <c r="A40" s="17" t="s">
        <v>203</v>
      </c>
      <c r="B40" s="17" t="s">
        <v>70</v>
      </c>
      <c r="C40" s="17" t="s">
        <v>71</v>
      </c>
      <c r="D40" t="s">
        <v>195</v>
      </c>
      <c r="F40" t="s">
        <v>193</v>
      </c>
      <c r="K40" s="18">
        <f>62816666778</f>
        <v>62816666778</v>
      </c>
      <c r="N40" s="17" t="s">
        <v>81</v>
      </c>
      <c r="V40" s="18">
        <f>62816666778</f>
        <v>62816666778</v>
      </c>
    </row>
    <row r="41" ht="15" customHeight="1" spans="1:22" x14ac:dyDescent="0.25">
      <c r="A41" s="17" t="s">
        <v>204</v>
      </c>
      <c r="B41" s="17" t="s">
        <v>70</v>
      </c>
      <c r="C41" s="17" t="s">
        <v>71</v>
      </c>
      <c r="D41" t="s">
        <v>195</v>
      </c>
      <c r="F41" t="s">
        <v>205</v>
      </c>
      <c r="K41" s="18">
        <f>6285262412025</f>
        <v>6285262412025</v>
      </c>
      <c r="N41" s="17" t="s">
        <v>77</v>
      </c>
      <c r="V41" s="18">
        <f>6285262412025</f>
        <v>6285262412025</v>
      </c>
    </row>
    <row r="42" ht="15" customHeight="1" spans="1:22" x14ac:dyDescent="0.25">
      <c r="A42" s="17" t="s">
        <v>206</v>
      </c>
      <c r="B42" s="17" t="s">
        <v>70</v>
      </c>
      <c r="C42" s="17" t="s">
        <v>71</v>
      </c>
      <c r="D42" t="s">
        <v>195</v>
      </c>
      <c r="F42" t="s">
        <v>207</v>
      </c>
      <c r="K42" s="18">
        <f>62811856315</f>
        <v>62811856315</v>
      </c>
      <c r="N42" s="17" t="s">
        <v>81</v>
      </c>
      <c r="V42" s="18">
        <f>62811856315</f>
        <v>62811856315</v>
      </c>
    </row>
    <row r="43" ht="15" customHeight="1" spans="1:25" x14ac:dyDescent="0.25">
      <c r="A43" s="17" t="s">
        <v>208</v>
      </c>
      <c r="B43" s="17" t="s">
        <v>70</v>
      </c>
      <c r="C43" s="17" t="s">
        <v>71</v>
      </c>
      <c r="D43" t="s">
        <v>195</v>
      </c>
      <c r="F43" t="s">
        <v>209</v>
      </c>
      <c r="K43" s="18">
        <f>628111462042</f>
        <v>628111462042</v>
      </c>
      <c r="N43" s="17" t="s">
        <v>81</v>
      </c>
      <c r="U43" s="17"/>
      <c r="V43" s="18">
        <f>628111462042</f>
        <v>628111462042</v>
      </c>
      <c r="W43" t="s">
        <v>210</v>
      </c>
      <c r="Y43" s="17" t="s">
        <v>90</v>
      </c>
    </row>
    <row r="44" ht="15" customHeight="1" spans="1:22" x14ac:dyDescent="0.25">
      <c r="A44" s="17" t="s">
        <v>211</v>
      </c>
      <c r="B44" s="17" t="s">
        <v>70</v>
      </c>
      <c r="C44" s="17" t="s">
        <v>71</v>
      </c>
      <c r="D44" t="s">
        <v>195</v>
      </c>
      <c r="F44" t="s">
        <v>212</v>
      </c>
      <c r="K44" s="18">
        <f>62811910545</f>
        <v>62811910545</v>
      </c>
      <c r="N44" s="17" t="s">
        <v>74</v>
      </c>
      <c r="V44" s="18">
        <f>62811910545</f>
        <v>62811910545</v>
      </c>
    </row>
    <row r="45" ht="15" customHeight="1" spans="1:28" x14ac:dyDescent="0.25">
      <c r="A45" s="17" t="s">
        <v>213</v>
      </c>
      <c r="B45" s="17" t="s">
        <v>70</v>
      </c>
      <c r="C45" s="17" t="s">
        <v>71</v>
      </c>
      <c r="D45" t="s">
        <v>195</v>
      </c>
      <c r="F45" t="s">
        <v>214</v>
      </c>
      <c r="J45" t="s">
        <v>115</v>
      </c>
      <c r="K45" s="18" t="s">
        <v>215</v>
      </c>
      <c r="N45" s="17" t="s">
        <v>77</v>
      </c>
      <c r="O45" t="s">
        <v>145</v>
      </c>
      <c r="U45" s="17"/>
      <c r="V45" s="18" t="s">
        <v>215</v>
      </c>
      <c r="W45" t="s">
        <v>216</v>
      </c>
      <c r="Y45" t="s">
        <v>217</v>
      </c>
      <c r="AA45" t="s">
        <v>218</v>
      </c>
      <c r="AB45" t="s">
        <v>119</v>
      </c>
    </row>
    <row r="46" ht="15" customHeight="1" spans="1:22" x14ac:dyDescent="0.25">
      <c r="A46" s="17" t="s">
        <v>219</v>
      </c>
      <c r="B46" s="17" t="s">
        <v>70</v>
      </c>
      <c r="C46" s="17" t="s">
        <v>71</v>
      </c>
      <c r="D46" t="s">
        <v>195</v>
      </c>
      <c r="F46" t="s">
        <v>220</v>
      </c>
      <c r="K46" s="18">
        <f>6287776478105</f>
        <v>6287776478105</v>
      </c>
      <c r="N46" s="17" t="s">
        <v>77</v>
      </c>
      <c r="V46" s="18">
        <f>6287776478105</f>
        <v>6287776478105</v>
      </c>
    </row>
    <row r="47" ht="15" customHeight="1" spans="1:22" x14ac:dyDescent="0.25">
      <c r="A47" s="17" t="s">
        <v>221</v>
      </c>
      <c r="B47" s="17" t="s">
        <v>70</v>
      </c>
      <c r="C47" s="17" t="s">
        <v>71</v>
      </c>
      <c r="D47" t="s">
        <v>195</v>
      </c>
      <c r="F47" t="s">
        <v>222</v>
      </c>
      <c r="K47" s="18">
        <f>62818766617</f>
        <v>62818766617</v>
      </c>
      <c r="N47" s="17" t="s">
        <v>77</v>
      </c>
      <c r="V47" s="18">
        <f>62818766617</f>
        <v>62818766617</v>
      </c>
    </row>
    <row r="48" ht="15" customHeight="1" spans="1:22" x14ac:dyDescent="0.25">
      <c r="A48" s="17" t="s">
        <v>223</v>
      </c>
      <c r="B48" s="17" t="s">
        <v>70</v>
      </c>
      <c r="C48" s="17" t="s">
        <v>71</v>
      </c>
      <c r="D48" t="s">
        <v>195</v>
      </c>
      <c r="F48" t="s">
        <v>222</v>
      </c>
      <c r="K48" s="18">
        <f>62811750195</f>
        <v>62811750195</v>
      </c>
      <c r="N48" s="17" t="s">
        <v>81</v>
      </c>
      <c r="V48" s="18">
        <f>62811750195</f>
        <v>62811750195</v>
      </c>
    </row>
    <row r="49" ht="15" customHeight="1" spans="1:22" x14ac:dyDescent="0.25">
      <c r="A49" s="17" t="s">
        <v>224</v>
      </c>
      <c r="B49" s="17" t="s">
        <v>70</v>
      </c>
      <c r="C49" s="17" t="s">
        <v>71</v>
      </c>
      <c r="D49" t="s">
        <v>195</v>
      </c>
      <c r="F49" t="s">
        <v>225</v>
      </c>
      <c r="K49" s="18">
        <f>62811409842</f>
        <v>62811409842</v>
      </c>
      <c r="N49" s="17" t="s">
        <v>81</v>
      </c>
      <c r="V49" s="18">
        <f>62811409842</f>
        <v>62811409842</v>
      </c>
    </row>
    <row r="50" ht="15" customHeight="1" spans="1:22" x14ac:dyDescent="0.25">
      <c r="A50" s="17" t="s">
        <v>226</v>
      </c>
      <c r="B50" s="17" t="s">
        <v>70</v>
      </c>
      <c r="C50" s="17" t="s">
        <v>71</v>
      </c>
      <c r="D50" t="s">
        <v>195</v>
      </c>
      <c r="F50" t="s">
        <v>225</v>
      </c>
      <c r="K50" s="18">
        <f>6281316037888</f>
        <v>6281316037888</v>
      </c>
      <c r="N50" s="17" t="s">
        <v>77</v>
      </c>
      <c r="V50" s="18">
        <f>6281316037888</f>
        <v>6281316037888</v>
      </c>
    </row>
    <row r="51" ht="15" customHeight="1" spans="1:22" x14ac:dyDescent="0.25">
      <c r="A51" s="17" t="s">
        <v>227</v>
      </c>
      <c r="B51" s="17" t="s">
        <v>70</v>
      </c>
      <c r="C51" s="17" t="s">
        <v>71</v>
      </c>
      <c r="D51" t="s">
        <v>195</v>
      </c>
      <c r="F51" t="s">
        <v>228</v>
      </c>
      <c r="K51" s="18">
        <f>6281645599380</f>
        <v>6281645599380</v>
      </c>
      <c r="N51" s="17" t="s">
        <v>81</v>
      </c>
      <c r="V51" s="18">
        <f>6281645599380</f>
        <v>6281645599380</v>
      </c>
    </row>
    <row r="52" ht="15" customHeight="1" spans="1:25" x14ac:dyDescent="0.25">
      <c r="A52" s="17" t="s">
        <v>229</v>
      </c>
      <c r="B52" s="17" t="s">
        <v>70</v>
      </c>
      <c r="C52" s="17" t="s">
        <v>71</v>
      </c>
      <c r="D52" t="s">
        <v>195</v>
      </c>
      <c r="F52" t="s">
        <v>230</v>
      </c>
      <c r="K52" s="18">
        <f>62212700957</f>
        <v>62212700957</v>
      </c>
      <c r="N52" s="17" t="s">
        <v>77</v>
      </c>
      <c r="U52" s="17"/>
      <c r="V52" s="18">
        <f>62212700957</f>
        <v>62212700957</v>
      </c>
      <c r="W52" t="s">
        <v>231</v>
      </c>
      <c r="Y52" s="17" t="s">
        <v>96</v>
      </c>
    </row>
    <row r="53" ht="15" customHeight="1" spans="1:28" x14ac:dyDescent="0.25">
      <c r="A53" s="17" t="s">
        <v>232</v>
      </c>
      <c r="B53" s="17" t="s">
        <v>70</v>
      </c>
      <c r="C53" s="17" t="s">
        <v>71</v>
      </c>
      <c r="D53" t="s">
        <v>233</v>
      </c>
      <c r="F53" t="s">
        <v>234</v>
      </c>
      <c r="J53" t="s">
        <v>115</v>
      </c>
      <c r="K53" s="18" t="s">
        <v>235</v>
      </c>
      <c r="N53" s="17" t="s">
        <v>74</v>
      </c>
      <c r="O53" t="s">
        <v>117</v>
      </c>
      <c r="V53" s="18" t="s">
        <v>235</v>
      </c>
      <c r="Y53" t="s">
        <v>115</v>
      </c>
      <c r="AA53" t="s">
        <v>115</v>
      </c>
      <c r="AB53" t="s">
        <v>119</v>
      </c>
    </row>
    <row r="54" ht="15" customHeight="1" spans="1:23" x14ac:dyDescent="0.25">
      <c r="A54" s="17" t="s">
        <v>236</v>
      </c>
      <c r="B54" s="17" t="s">
        <v>70</v>
      </c>
      <c r="C54" s="17" t="s">
        <v>71</v>
      </c>
      <c r="D54" t="s">
        <v>237</v>
      </c>
      <c r="F54" t="s">
        <v>238</v>
      </c>
      <c r="K54" s="18">
        <f>971588588888</f>
        <v>971588588888</v>
      </c>
      <c r="N54" s="17" t="s">
        <v>77</v>
      </c>
      <c r="U54" s="17"/>
      <c r="V54" s="18">
        <f>971588588888</f>
        <v>971588588888</v>
      </c>
      <c r="W54" t="s">
        <v>239</v>
      </c>
    </row>
    <row r="55" ht="15" customHeight="1" spans="1:22" x14ac:dyDescent="0.25">
      <c r="A55" s="17" t="s">
        <v>240</v>
      </c>
      <c r="B55" s="17" t="s">
        <v>70</v>
      </c>
      <c r="C55" s="17" t="s">
        <v>71</v>
      </c>
      <c r="D55" t="s">
        <v>241</v>
      </c>
      <c r="F55" t="s">
        <v>242</v>
      </c>
      <c r="K55" s="18">
        <f>628555555444</f>
        <v>628555555444</v>
      </c>
      <c r="N55" s="17" t="s">
        <v>77</v>
      </c>
      <c r="V55" s="18">
        <f>628555555444</f>
        <v>628555555444</v>
      </c>
    </row>
    <row r="56" ht="15" customHeight="1" spans="1:23" x14ac:dyDescent="0.25">
      <c r="A56" s="17" t="s">
        <v>243</v>
      </c>
      <c r="B56" s="17" t="s">
        <v>70</v>
      </c>
      <c r="C56" s="17" t="s">
        <v>71</v>
      </c>
      <c r="D56" t="s">
        <v>241</v>
      </c>
      <c r="F56" t="s">
        <v>244</v>
      </c>
      <c r="K56" s="18">
        <f>961506406648</f>
        <v>961506406648</v>
      </c>
      <c r="N56" s="17" t="s">
        <v>81</v>
      </c>
      <c r="U56" s="17"/>
      <c r="V56" s="18">
        <f>961506406648</f>
        <v>961506406648</v>
      </c>
      <c r="W56" t="s">
        <v>245</v>
      </c>
    </row>
    <row r="57" ht="15" customHeight="1" spans="1:28" x14ac:dyDescent="0.25">
      <c r="A57" s="17" t="s">
        <v>246</v>
      </c>
      <c r="B57" s="17" t="s">
        <v>70</v>
      </c>
      <c r="C57" s="17" t="s">
        <v>71</v>
      </c>
      <c r="D57" t="s">
        <v>241</v>
      </c>
      <c r="F57" t="s">
        <v>247</v>
      </c>
      <c r="J57" s="17" t="s">
        <v>248</v>
      </c>
      <c r="K57" s="18" t="s">
        <v>249</v>
      </c>
      <c r="N57" s="17" t="s">
        <v>77</v>
      </c>
      <c r="O57" t="s">
        <v>199</v>
      </c>
      <c r="U57" s="17"/>
      <c r="V57" s="18" t="s">
        <v>249</v>
      </c>
      <c r="W57" t="s">
        <v>250</v>
      </c>
      <c r="Y57" t="s">
        <v>251</v>
      </c>
      <c r="AA57" t="s">
        <v>115</v>
      </c>
      <c r="AB57" t="s">
        <v>251</v>
      </c>
    </row>
    <row r="58" ht="15" customHeight="1" spans="1:28" x14ac:dyDescent="0.25">
      <c r="A58" s="17" t="s">
        <v>252</v>
      </c>
      <c r="B58" s="17" t="s">
        <v>70</v>
      </c>
      <c r="C58" s="17" t="s">
        <v>71</v>
      </c>
      <c r="D58" t="s">
        <v>241</v>
      </c>
      <c r="F58" t="s">
        <v>253</v>
      </c>
      <c r="J58" s="17" t="s">
        <v>254</v>
      </c>
      <c r="K58" s="18" t="s">
        <v>255</v>
      </c>
      <c r="N58" s="17" t="s">
        <v>77</v>
      </c>
      <c r="O58" t="s">
        <v>199</v>
      </c>
      <c r="V58" s="18" t="s">
        <v>255</v>
      </c>
      <c r="Y58" t="s">
        <v>115</v>
      </c>
      <c r="AA58" t="s">
        <v>115</v>
      </c>
      <c r="AB58" t="s">
        <v>251</v>
      </c>
    </row>
    <row r="59" ht="15" customHeight="1" spans="1:28" x14ac:dyDescent="0.25">
      <c r="A59" s="17" t="s">
        <v>256</v>
      </c>
      <c r="B59" s="17" t="s">
        <v>70</v>
      </c>
      <c r="C59" s="17" t="s">
        <v>71</v>
      </c>
      <c r="D59" t="s">
        <v>257</v>
      </c>
      <c r="F59" t="s">
        <v>258</v>
      </c>
      <c r="J59" t="s">
        <v>259</v>
      </c>
      <c r="K59" s="18" t="s">
        <v>260</v>
      </c>
      <c r="N59" s="17" t="s">
        <v>77</v>
      </c>
      <c r="O59" t="s">
        <v>261</v>
      </c>
      <c r="V59" s="18" t="s">
        <v>260</v>
      </c>
      <c r="Y59" t="s">
        <v>262</v>
      </c>
      <c r="AA59" t="s">
        <v>115</v>
      </c>
      <c r="AB59" t="s">
        <v>119</v>
      </c>
    </row>
    <row r="60" ht="15" customHeight="1" spans="1:28" x14ac:dyDescent="0.25">
      <c r="A60" s="17" t="s">
        <v>263</v>
      </c>
      <c r="B60" s="17" t="s">
        <v>70</v>
      </c>
      <c r="C60" s="17" t="s">
        <v>71</v>
      </c>
      <c r="D60" t="s">
        <v>264</v>
      </c>
      <c r="F60" t="s">
        <v>265</v>
      </c>
      <c r="J60" s="17" t="s">
        <v>266</v>
      </c>
      <c r="K60" s="18" t="s">
        <v>267</v>
      </c>
      <c r="N60" s="17" t="s">
        <v>77</v>
      </c>
      <c r="O60" t="s">
        <v>199</v>
      </c>
      <c r="U60" s="17"/>
      <c r="V60" s="18" t="s">
        <v>267</v>
      </c>
      <c r="W60" t="s">
        <v>251</v>
      </c>
      <c r="Y60" t="s">
        <v>251</v>
      </c>
      <c r="AA60" t="s">
        <v>115</v>
      </c>
      <c r="AB60" t="s">
        <v>251</v>
      </c>
    </row>
    <row r="61" ht="15" customHeight="1" spans="1:22" x14ac:dyDescent="0.25">
      <c r="A61" s="17" t="s">
        <v>268</v>
      </c>
      <c r="B61" s="17" t="s">
        <v>70</v>
      </c>
      <c r="C61" s="17" t="s">
        <v>71</v>
      </c>
      <c r="D61" t="s">
        <v>269</v>
      </c>
      <c r="F61" t="s">
        <v>269</v>
      </c>
      <c r="K61" s="18">
        <f>62816725972</f>
        <v>62816725972</v>
      </c>
      <c r="N61" s="17" t="s">
        <v>77</v>
      </c>
      <c r="V61" s="18">
        <f>62816725972</f>
        <v>62816725972</v>
      </c>
    </row>
    <row r="62" ht="15" customHeight="1" spans="1:27" x14ac:dyDescent="0.25">
      <c r="A62" s="17" t="s">
        <v>270</v>
      </c>
      <c r="B62" s="17" t="s">
        <v>70</v>
      </c>
      <c r="C62" s="17" t="s">
        <v>71</v>
      </c>
      <c r="D62" t="s">
        <v>269</v>
      </c>
      <c r="F62" t="s">
        <v>271</v>
      </c>
      <c r="K62" s="18">
        <f>6281283486243</f>
        <v>6281283486243</v>
      </c>
      <c r="N62" s="17" t="s">
        <v>77</v>
      </c>
      <c r="U62" s="17"/>
      <c r="V62" s="18">
        <f>6281283486243</f>
        <v>6281283486243</v>
      </c>
      <c r="W62" t="s">
        <v>272</v>
      </c>
      <c r="Y62" s="17" t="s">
        <v>90</v>
      </c>
      <c r="AA62" s="17">
        <v>12730</v>
      </c>
    </row>
    <row r="63" ht="15" customHeight="1" spans="1:23" x14ac:dyDescent="0.25">
      <c r="A63" s="17" t="s">
        <v>273</v>
      </c>
      <c r="B63" s="17" t="s">
        <v>70</v>
      </c>
      <c r="C63" s="17" t="s">
        <v>71</v>
      </c>
      <c r="D63" t="s">
        <v>274</v>
      </c>
      <c r="F63" t="s">
        <v>274</v>
      </c>
      <c r="K63" s="18">
        <f>6287823433266</f>
        <v>6287823433266</v>
      </c>
      <c r="N63" s="17" t="s">
        <v>81</v>
      </c>
      <c r="U63" s="17"/>
      <c r="V63" s="18">
        <f>6287823433266</f>
        <v>6287823433266</v>
      </c>
      <c r="W63" t="s">
        <v>275</v>
      </c>
    </row>
    <row r="64" ht="15" customHeight="1" spans="1:22" x14ac:dyDescent="0.25">
      <c r="A64" s="17" t="s">
        <v>276</v>
      </c>
      <c r="B64" s="17" t="s">
        <v>70</v>
      </c>
      <c r="C64" s="17" t="s">
        <v>71</v>
      </c>
      <c r="D64" t="s">
        <v>277</v>
      </c>
      <c r="F64" t="s">
        <v>278</v>
      </c>
      <c r="J64" s="17" t="s">
        <v>279</v>
      </c>
      <c r="K64" s="18">
        <f>966565670047</f>
        <v>966565670047</v>
      </c>
      <c r="N64" s="17" t="s">
        <v>81</v>
      </c>
      <c r="V64" s="18">
        <f>966565670047</f>
        <v>966565670047</v>
      </c>
    </row>
    <row r="65" ht="15" customHeight="1" spans="1:27" x14ac:dyDescent="0.25">
      <c r="A65" s="17" t="s">
        <v>280</v>
      </c>
      <c r="B65" s="17" t="s">
        <v>70</v>
      </c>
      <c r="C65" s="17" t="s">
        <v>71</v>
      </c>
      <c r="D65" t="s">
        <v>281</v>
      </c>
      <c r="F65" t="s">
        <v>282</v>
      </c>
      <c r="K65" s="18">
        <f>628111042289</f>
        <v>628111042289</v>
      </c>
      <c r="N65" s="17" t="s">
        <v>81</v>
      </c>
      <c r="U65" s="17"/>
      <c r="V65" s="18">
        <f>628111042289</f>
        <v>628111042289</v>
      </c>
      <c r="W65" t="s">
        <v>283</v>
      </c>
      <c r="Y65" s="17" t="s">
        <v>90</v>
      </c>
      <c r="AA65" s="17">
        <v>11520</v>
      </c>
    </row>
    <row r="66" ht="15" customHeight="1" spans="1:25" x14ac:dyDescent="0.25">
      <c r="A66" s="17" t="s">
        <v>284</v>
      </c>
      <c r="B66" s="17" t="s">
        <v>70</v>
      </c>
      <c r="C66" s="17" t="s">
        <v>71</v>
      </c>
      <c r="D66" t="s">
        <v>285</v>
      </c>
      <c r="F66" t="s">
        <v>285</v>
      </c>
      <c r="K66" s="18">
        <f>62816795659</f>
        <v>62816795659</v>
      </c>
      <c r="N66" s="17" t="s">
        <v>77</v>
      </c>
      <c r="U66" s="17"/>
      <c r="V66" s="18">
        <f>62816795659</f>
        <v>62816795659</v>
      </c>
      <c r="W66" t="s">
        <v>286</v>
      </c>
      <c r="Y66" s="17" t="s">
        <v>90</v>
      </c>
    </row>
    <row r="67" ht="15" customHeight="1" spans="1:22" x14ac:dyDescent="0.25">
      <c r="A67" s="17" t="s">
        <v>287</v>
      </c>
      <c r="B67" s="17" t="s">
        <v>70</v>
      </c>
      <c r="C67" s="17" t="s">
        <v>71</v>
      </c>
      <c r="D67" t="s">
        <v>288</v>
      </c>
      <c r="F67" t="s">
        <v>288</v>
      </c>
      <c r="K67" s="18">
        <f>62213901166</f>
        <v>62213901166</v>
      </c>
      <c r="N67" s="17" t="s">
        <v>81</v>
      </c>
      <c r="V67" s="18">
        <f>62213901166</f>
        <v>62213901166</v>
      </c>
    </row>
    <row r="68" ht="15" customHeight="1" spans="1:27" x14ac:dyDescent="0.25">
      <c r="A68" s="17" t="s">
        <v>289</v>
      </c>
      <c r="B68" s="17" t="s">
        <v>70</v>
      </c>
      <c r="C68" s="17" t="s">
        <v>71</v>
      </c>
      <c r="D68" t="s">
        <v>290</v>
      </c>
      <c r="F68" t="s">
        <v>291</v>
      </c>
      <c r="J68" s="17" t="s">
        <v>292</v>
      </c>
      <c r="K68" s="18">
        <f>6582003084</f>
        <v>6582003084</v>
      </c>
      <c r="N68" s="17" t="s">
        <v>77</v>
      </c>
      <c r="U68" s="17"/>
      <c r="V68" s="18">
        <f>6582003084</f>
        <v>6582003084</v>
      </c>
      <c r="W68" t="s">
        <v>293</v>
      </c>
      <c r="AA68" s="17">
        <v>437932</v>
      </c>
    </row>
    <row r="69" ht="15" customHeight="1" spans="1:25" x14ac:dyDescent="0.25">
      <c r="A69" s="17" t="s">
        <v>294</v>
      </c>
      <c r="B69" s="17" t="s">
        <v>70</v>
      </c>
      <c r="C69" s="17" t="s">
        <v>71</v>
      </c>
      <c r="D69" t="s">
        <v>295</v>
      </c>
      <c r="F69" t="s">
        <v>296</v>
      </c>
      <c r="K69" s="18">
        <f>628121045034</f>
        <v>628121045034</v>
      </c>
      <c r="N69" s="17" t="s">
        <v>81</v>
      </c>
      <c r="U69" s="17"/>
      <c r="V69" s="18">
        <f>628121045034</f>
        <v>628121045034</v>
      </c>
      <c r="W69" t="s">
        <v>297</v>
      </c>
      <c r="Y69" s="17" t="s">
        <v>90</v>
      </c>
    </row>
    <row r="70" ht="15" customHeight="1" spans="1:22" x14ac:dyDescent="0.25">
      <c r="A70" s="17" t="s">
        <v>298</v>
      </c>
      <c r="B70" s="17" t="s">
        <v>70</v>
      </c>
      <c r="C70" s="17" t="s">
        <v>71</v>
      </c>
      <c r="D70" t="s">
        <v>299</v>
      </c>
      <c r="F70" t="s">
        <v>299</v>
      </c>
      <c r="K70" s="18">
        <f>628128084312</f>
        <v>628128084312</v>
      </c>
      <c r="N70" s="17" t="s">
        <v>77</v>
      </c>
      <c r="V70" s="18">
        <f>628128084312</f>
        <v>628128084312</v>
      </c>
    </row>
    <row r="71" ht="15" customHeight="1" spans="1:22" x14ac:dyDescent="0.25">
      <c r="A71" s="17" t="s">
        <v>300</v>
      </c>
      <c r="B71" s="17" t="s">
        <v>70</v>
      </c>
      <c r="C71" s="17" t="s">
        <v>71</v>
      </c>
      <c r="D71" t="s">
        <v>299</v>
      </c>
      <c r="F71" t="s">
        <v>301</v>
      </c>
      <c r="J71" s="17" t="s">
        <v>302</v>
      </c>
      <c r="K71" s="18">
        <f>6287874251110</f>
        <v>6287874251110</v>
      </c>
      <c r="N71" s="17" t="s">
        <v>81</v>
      </c>
      <c r="V71" s="18">
        <f>6287874251110</f>
        <v>6287874251110</v>
      </c>
    </row>
    <row r="72" ht="15" customHeight="1" spans="1:22" x14ac:dyDescent="0.25">
      <c r="A72" s="17" t="s">
        <v>303</v>
      </c>
      <c r="B72" s="17" t="s">
        <v>70</v>
      </c>
      <c r="C72" s="17" t="s">
        <v>71</v>
      </c>
      <c r="D72" t="s">
        <v>304</v>
      </c>
      <c r="F72" t="s">
        <v>305</v>
      </c>
      <c r="K72" s="18">
        <f>62811185788</f>
        <v>62811185788</v>
      </c>
      <c r="N72" s="17" t="s">
        <v>77</v>
      </c>
      <c r="V72" s="18">
        <f>62811185788</f>
        <v>62811185788</v>
      </c>
    </row>
    <row r="73" ht="15" customHeight="1" spans="1:22" x14ac:dyDescent="0.25">
      <c r="A73" s="17" t="s">
        <v>306</v>
      </c>
      <c r="B73" s="17" t="s">
        <v>70</v>
      </c>
      <c r="C73" s="17" t="s">
        <v>71</v>
      </c>
      <c r="D73" t="s">
        <v>307</v>
      </c>
      <c r="F73" t="s">
        <v>308</v>
      </c>
      <c r="K73" s="18">
        <f>6287875415721</f>
        <v>6287875415721</v>
      </c>
      <c r="N73" s="17" t="s">
        <v>77</v>
      </c>
      <c r="V73" s="18">
        <f>6287875415721</f>
        <v>6287875415721</v>
      </c>
    </row>
    <row r="74" ht="15" customHeight="1" spans="1:22" x14ac:dyDescent="0.25">
      <c r="A74" s="17" t="s">
        <v>309</v>
      </c>
      <c r="B74" s="17" t="s">
        <v>70</v>
      </c>
      <c r="C74" s="17" t="s">
        <v>71</v>
      </c>
      <c r="D74" t="s">
        <v>310</v>
      </c>
      <c r="F74" t="s">
        <v>310</v>
      </c>
      <c r="K74" s="18">
        <f>6285779997026</f>
        <v>6285779997026</v>
      </c>
      <c r="N74" s="17" t="s">
        <v>77</v>
      </c>
      <c r="V74" s="18">
        <f>6285779997026</f>
        <v>6285779997026</v>
      </c>
    </row>
    <row r="75" ht="15" customHeight="1" spans="1:22" x14ac:dyDescent="0.25">
      <c r="A75" s="17" t="s">
        <v>311</v>
      </c>
      <c r="B75" s="17" t="s">
        <v>70</v>
      </c>
      <c r="C75" s="17" t="s">
        <v>71</v>
      </c>
      <c r="D75" t="s">
        <v>310</v>
      </c>
      <c r="F75" t="s">
        <v>310</v>
      </c>
      <c r="K75" s="18">
        <f>6281919052011</f>
        <v>6281919052011</v>
      </c>
      <c r="N75" s="17" t="s">
        <v>77</v>
      </c>
      <c r="V75" s="18">
        <f>6281919052011</f>
        <v>6281919052011</v>
      </c>
    </row>
    <row r="76" ht="15" customHeight="1" spans="1:22" x14ac:dyDescent="0.25">
      <c r="A76" s="17" t="s">
        <v>312</v>
      </c>
      <c r="B76" s="17" t="s">
        <v>70</v>
      </c>
      <c r="C76" s="17" t="s">
        <v>71</v>
      </c>
      <c r="D76" t="s">
        <v>310</v>
      </c>
      <c r="F76" t="s">
        <v>313</v>
      </c>
      <c r="K76" s="18">
        <f>628111801469</f>
        <v>628111801469</v>
      </c>
      <c r="N76" s="17" t="s">
        <v>77</v>
      </c>
      <c r="V76" s="18">
        <f>628111801469</f>
        <v>628111801469</v>
      </c>
    </row>
    <row r="77" ht="15" customHeight="1" spans="1:28" x14ac:dyDescent="0.25">
      <c r="A77" s="17" t="s">
        <v>314</v>
      </c>
      <c r="B77" s="17" t="s">
        <v>70</v>
      </c>
      <c r="C77" s="17" t="s">
        <v>71</v>
      </c>
      <c r="D77" t="s">
        <v>310</v>
      </c>
      <c r="F77" t="s">
        <v>315</v>
      </c>
      <c r="J77" t="s">
        <v>115</v>
      </c>
      <c r="K77" s="18" t="s">
        <v>316</v>
      </c>
      <c r="N77" s="17" t="s">
        <v>77</v>
      </c>
      <c r="O77" t="s">
        <v>117</v>
      </c>
      <c r="U77" s="17"/>
      <c r="V77" s="18" t="s">
        <v>316</v>
      </c>
      <c r="W77" t="s">
        <v>317</v>
      </c>
      <c r="Y77" t="s">
        <v>115</v>
      </c>
      <c r="AA77" t="s">
        <v>115</v>
      </c>
      <c r="AB77" t="s">
        <v>119</v>
      </c>
    </row>
    <row r="78" ht="15" customHeight="1" spans="1:28" x14ac:dyDescent="0.25">
      <c r="A78" s="17" t="s">
        <v>318</v>
      </c>
      <c r="B78" s="17" t="s">
        <v>70</v>
      </c>
      <c r="C78" s="17" t="s">
        <v>71</v>
      </c>
      <c r="D78" t="s">
        <v>310</v>
      </c>
      <c r="F78" t="s">
        <v>319</v>
      </c>
      <c r="J78" t="s">
        <v>115</v>
      </c>
      <c r="K78" s="18" t="s">
        <v>320</v>
      </c>
      <c r="N78" s="17" t="s">
        <v>77</v>
      </c>
      <c r="O78" t="s">
        <v>145</v>
      </c>
      <c r="V78" s="18" t="s">
        <v>320</v>
      </c>
      <c r="Y78" t="s">
        <v>190</v>
      </c>
      <c r="AA78" t="s">
        <v>118</v>
      </c>
      <c r="AB78" t="s">
        <v>119</v>
      </c>
    </row>
    <row r="79" ht="15" customHeight="1" spans="1:28" x14ac:dyDescent="0.25">
      <c r="A79" s="17" t="s">
        <v>321</v>
      </c>
      <c r="B79" s="17" t="s">
        <v>70</v>
      </c>
      <c r="C79" s="17" t="s">
        <v>71</v>
      </c>
      <c r="D79" t="s">
        <v>310</v>
      </c>
      <c r="F79" t="s">
        <v>322</v>
      </c>
      <c r="J79" t="s">
        <v>115</v>
      </c>
      <c r="K79" s="18" t="s">
        <v>323</v>
      </c>
      <c r="N79" s="17" t="s">
        <v>77</v>
      </c>
      <c r="O79" t="s">
        <v>117</v>
      </c>
      <c r="V79" s="18" t="s">
        <v>323</v>
      </c>
      <c r="Y79" t="s">
        <v>90</v>
      </c>
      <c r="AA79" t="s">
        <v>118</v>
      </c>
      <c r="AB79" t="s">
        <v>119</v>
      </c>
    </row>
    <row r="80" ht="15" customHeight="1" spans="1:28" x14ac:dyDescent="0.25">
      <c r="A80" s="17" t="s">
        <v>324</v>
      </c>
      <c r="B80" s="17" t="s">
        <v>70</v>
      </c>
      <c r="C80" s="17" t="s">
        <v>71</v>
      </c>
      <c r="D80" t="s">
        <v>310</v>
      </c>
      <c r="F80" t="s">
        <v>325</v>
      </c>
      <c r="J80" t="s">
        <v>326</v>
      </c>
      <c r="K80" s="18" t="s">
        <v>327</v>
      </c>
      <c r="N80" s="17" t="s">
        <v>77</v>
      </c>
      <c r="O80" t="s">
        <v>117</v>
      </c>
      <c r="U80" s="17"/>
      <c r="V80" s="18" t="s">
        <v>327</v>
      </c>
      <c r="W80" t="s">
        <v>328</v>
      </c>
      <c r="Y80" s="17" t="s">
        <v>90</v>
      </c>
      <c r="AA80" t="s">
        <v>118</v>
      </c>
      <c r="AB80" t="s">
        <v>119</v>
      </c>
    </row>
    <row r="81" ht="15" customHeight="1" spans="1:25" x14ac:dyDescent="0.25">
      <c r="A81" s="17" t="s">
        <v>329</v>
      </c>
      <c r="B81" s="17" t="s">
        <v>70</v>
      </c>
      <c r="C81" s="17" t="s">
        <v>71</v>
      </c>
      <c r="D81" t="s">
        <v>310</v>
      </c>
      <c r="F81" t="s">
        <v>330</v>
      </c>
      <c r="K81" s="18">
        <f>6281382222189</f>
        <v>6281382222189</v>
      </c>
      <c r="N81" s="17" t="s">
        <v>77</v>
      </c>
      <c r="U81" s="17"/>
      <c r="V81" s="18">
        <f>6281382222189</f>
        <v>6281382222189</v>
      </c>
      <c r="W81" t="s">
        <v>331</v>
      </c>
      <c r="Y81" s="17" t="s">
        <v>90</v>
      </c>
    </row>
    <row r="82" ht="15" customHeight="1" spans="1:23" x14ac:dyDescent="0.25">
      <c r="A82" s="17" t="s">
        <v>332</v>
      </c>
      <c r="B82" s="17" t="s">
        <v>70</v>
      </c>
      <c r="C82" s="17" t="s">
        <v>71</v>
      </c>
      <c r="D82" t="s">
        <v>333</v>
      </c>
      <c r="F82" t="s">
        <v>334</v>
      </c>
      <c r="K82" s="18">
        <f>56974307171</f>
        <v>56974307171</v>
      </c>
      <c r="N82" s="17" t="s">
        <v>77</v>
      </c>
      <c r="U82" s="17"/>
      <c r="V82" s="18">
        <f>56974307171</f>
        <v>56974307171</v>
      </c>
      <c r="W82" t="s">
        <v>335</v>
      </c>
    </row>
    <row r="83" ht="15" customHeight="1" spans="1:25" x14ac:dyDescent="0.25">
      <c r="A83" s="17" t="s">
        <v>336</v>
      </c>
      <c r="B83" s="17" t="s">
        <v>70</v>
      </c>
      <c r="C83" s="17" t="s">
        <v>71</v>
      </c>
      <c r="D83" t="s">
        <v>337</v>
      </c>
      <c r="F83" t="s">
        <v>338</v>
      </c>
      <c r="K83" s="18">
        <f>628161875924</f>
        <v>628161875924</v>
      </c>
      <c r="N83" s="17" t="s">
        <v>77</v>
      </c>
      <c r="U83" s="17"/>
      <c r="V83" s="18">
        <f>628161875924</f>
        <v>628161875924</v>
      </c>
      <c r="W83" t="s">
        <v>339</v>
      </c>
      <c r="Y83" s="17" t="s">
        <v>90</v>
      </c>
    </row>
    <row r="84" ht="15" customHeight="1" spans="1:22" x14ac:dyDescent="0.25">
      <c r="A84" s="17" t="s">
        <v>340</v>
      </c>
      <c r="B84" s="17" t="s">
        <v>70</v>
      </c>
      <c r="C84" s="17" t="s">
        <v>71</v>
      </c>
      <c r="D84" t="s">
        <v>337</v>
      </c>
      <c r="F84" t="s">
        <v>341</v>
      </c>
      <c r="K84" s="18">
        <f>6282299900407</f>
        <v>6282299900407</v>
      </c>
      <c r="N84" s="17" t="s">
        <v>81</v>
      </c>
      <c r="V84" s="18">
        <f>6282299900407</f>
        <v>6282299900407</v>
      </c>
    </row>
    <row r="85" ht="15" customHeight="1" spans="1:27" x14ac:dyDescent="0.25">
      <c r="A85" s="17" t="s">
        <v>342</v>
      </c>
      <c r="B85" s="17" t="s">
        <v>70</v>
      </c>
      <c r="C85" s="17" t="s">
        <v>71</v>
      </c>
      <c r="D85" t="s">
        <v>337</v>
      </c>
      <c r="F85" t="s">
        <v>343</v>
      </c>
      <c r="K85" s="18">
        <f>62811987718</f>
        <v>62811987718</v>
      </c>
      <c r="N85" s="17" t="s">
        <v>77</v>
      </c>
      <c r="U85" s="17"/>
      <c r="V85" s="18">
        <f>62811987718</f>
        <v>62811987718</v>
      </c>
      <c r="W85" t="s">
        <v>344</v>
      </c>
      <c r="Y85" s="17" t="s">
        <v>96</v>
      </c>
      <c r="AA85" s="17" t="s">
        <v>345</v>
      </c>
    </row>
    <row r="86" ht="15" customHeight="1" spans="1:22" x14ac:dyDescent="0.25">
      <c r="A86" s="17" t="s">
        <v>346</v>
      </c>
      <c r="B86" s="17" t="s">
        <v>70</v>
      </c>
      <c r="C86" s="17" t="s">
        <v>71</v>
      </c>
      <c r="D86" t="s">
        <v>347</v>
      </c>
      <c r="F86" t="s">
        <v>347</v>
      </c>
      <c r="K86" s="18">
        <f>62895321749458</f>
        <v>62895321749458</v>
      </c>
      <c r="N86" s="17" t="s">
        <v>81</v>
      </c>
      <c r="V86" s="18">
        <f>62895321749458</f>
        <v>62895321749458</v>
      </c>
    </row>
    <row r="87" ht="15" customHeight="1" spans="1:23" x14ac:dyDescent="0.25">
      <c r="A87" s="17" t="s">
        <v>348</v>
      </c>
      <c r="B87" s="17" t="s">
        <v>70</v>
      </c>
      <c r="C87" s="17" t="s">
        <v>71</v>
      </c>
      <c r="D87" t="s">
        <v>349</v>
      </c>
      <c r="F87" t="s">
        <v>167</v>
      </c>
      <c r="K87" s="18">
        <f>960554455841</f>
        <v>960554455841</v>
      </c>
      <c r="N87" s="17" t="s">
        <v>77</v>
      </c>
      <c r="U87" s="17"/>
      <c r="V87" s="18">
        <f>960554455841</f>
        <v>960554455841</v>
      </c>
      <c r="W87" t="s">
        <v>350</v>
      </c>
    </row>
    <row r="88" ht="15" customHeight="1" spans="1:22" x14ac:dyDescent="0.25">
      <c r="A88" s="17" t="s">
        <v>351</v>
      </c>
      <c r="B88" s="17" t="s">
        <v>70</v>
      </c>
      <c r="C88" s="17" t="s">
        <v>71</v>
      </c>
      <c r="D88" t="s">
        <v>352</v>
      </c>
      <c r="F88" t="s">
        <v>352</v>
      </c>
      <c r="K88" s="18">
        <f>6287888666722</f>
        <v>6287888666722</v>
      </c>
      <c r="N88" s="17" t="s">
        <v>77</v>
      </c>
      <c r="V88" s="18">
        <f>6287888666722</f>
        <v>6287888666722</v>
      </c>
    </row>
    <row r="89" ht="15" customHeight="1" spans="1:22" x14ac:dyDescent="0.25">
      <c r="A89" s="17" t="s">
        <v>353</v>
      </c>
      <c r="B89" s="17" t="s">
        <v>70</v>
      </c>
      <c r="C89" s="17" t="s">
        <v>71</v>
      </c>
      <c r="D89" t="s">
        <v>354</v>
      </c>
      <c r="F89" t="s">
        <v>355</v>
      </c>
      <c r="K89" s="18">
        <f>218916898900</f>
        <v>218916898900</v>
      </c>
      <c r="N89" s="17" t="s">
        <v>77</v>
      </c>
      <c r="V89" s="18">
        <f>218916898900</f>
        <v>218916898900</v>
      </c>
    </row>
    <row r="90" ht="15" customHeight="1" spans="1:22" x14ac:dyDescent="0.25">
      <c r="A90" s="17" t="s">
        <v>356</v>
      </c>
      <c r="B90" s="17" t="s">
        <v>70</v>
      </c>
      <c r="C90" s="17" t="s">
        <v>71</v>
      </c>
      <c r="D90" t="s">
        <v>357</v>
      </c>
      <c r="F90" t="s">
        <v>357</v>
      </c>
      <c r="K90" s="18">
        <f>62811103777</f>
        <v>62811103777</v>
      </c>
      <c r="N90" s="17" t="s">
        <v>77</v>
      </c>
      <c r="V90" s="18">
        <f>62811103777</f>
        <v>62811103777</v>
      </c>
    </row>
    <row r="91" ht="15" customHeight="1" spans="1:28" x14ac:dyDescent="0.25">
      <c r="A91" s="17" t="s">
        <v>358</v>
      </c>
      <c r="B91" s="17" t="s">
        <v>70</v>
      </c>
      <c r="C91" s="17" t="s">
        <v>71</v>
      </c>
      <c r="D91" t="s">
        <v>357</v>
      </c>
      <c r="F91" t="s">
        <v>359</v>
      </c>
      <c r="J91" t="s">
        <v>115</v>
      </c>
      <c r="K91" s="18" t="s">
        <v>360</v>
      </c>
      <c r="N91" s="17" t="s">
        <v>77</v>
      </c>
      <c r="O91" t="s">
        <v>145</v>
      </c>
      <c r="U91" s="17"/>
      <c r="V91" s="18" t="s">
        <v>360</v>
      </c>
      <c r="W91" t="s">
        <v>361</v>
      </c>
      <c r="Y91" s="17" t="s">
        <v>96</v>
      </c>
      <c r="AA91" t="s">
        <v>115</v>
      </c>
      <c r="AB91" t="s">
        <v>119</v>
      </c>
    </row>
    <row r="92" ht="15" customHeight="1" spans="1:28" x14ac:dyDescent="0.25">
      <c r="A92" s="17" t="s">
        <v>362</v>
      </c>
      <c r="B92" s="17" t="s">
        <v>70</v>
      </c>
      <c r="C92" s="17" t="s">
        <v>71</v>
      </c>
      <c r="D92" t="s">
        <v>363</v>
      </c>
      <c r="F92" t="s">
        <v>364</v>
      </c>
      <c r="J92" s="17" t="s">
        <v>365</v>
      </c>
      <c r="K92" s="18" t="s">
        <v>366</v>
      </c>
      <c r="N92" s="17" t="s">
        <v>77</v>
      </c>
      <c r="O92" t="s">
        <v>117</v>
      </c>
      <c r="V92" s="18" t="s">
        <v>366</v>
      </c>
      <c r="Y92" s="17" t="s">
        <v>190</v>
      </c>
      <c r="AA92" t="s">
        <v>118</v>
      </c>
      <c r="AB92" t="s">
        <v>119</v>
      </c>
    </row>
    <row r="93" ht="15" customHeight="1" spans="1:22" x14ac:dyDescent="0.25">
      <c r="A93" s="17" t="s">
        <v>367</v>
      </c>
      <c r="B93" s="17" t="s">
        <v>70</v>
      </c>
      <c r="C93" s="17" t="s">
        <v>71</v>
      </c>
      <c r="D93" t="s">
        <v>368</v>
      </c>
      <c r="F93" t="s">
        <v>368</v>
      </c>
      <c r="K93" s="18">
        <f>6281218880217</f>
        <v>6281218880217</v>
      </c>
      <c r="N93" s="17" t="s">
        <v>77</v>
      </c>
      <c r="V93" s="18">
        <f>6281218880217</f>
        <v>6281218880217</v>
      </c>
    </row>
    <row r="94" ht="15" customHeight="1" spans="1:25" x14ac:dyDescent="0.25">
      <c r="A94" s="17" t="s">
        <v>369</v>
      </c>
      <c r="B94" s="17" t="s">
        <v>70</v>
      </c>
      <c r="C94" s="17" t="s">
        <v>71</v>
      </c>
      <c r="D94" t="s">
        <v>370</v>
      </c>
      <c r="F94" t="s">
        <v>371</v>
      </c>
      <c r="K94" s="18">
        <f>62818963800</f>
        <v>62818963800</v>
      </c>
      <c r="N94" s="17" t="s">
        <v>77</v>
      </c>
      <c r="U94" s="17"/>
      <c r="V94" s="18">
        <f>62818963800</f>
        <v>62818963800</v>
      </c>
      <c r="W94" t="s">
        <v>372</v>
      </c>
      <c r="Y94" s="17" t="s">
        <v>90</v>
      </c>
    </row>
    <row r="95" ht="15" customHeight="1" spans="1:22" x14ac:dyDescent="0.25">
      <c r="A95" s="17" t="s">
        <v>373</v>
      </c>
      <c r="B95" s="17" t="s">
        <v>70</v>
      </c>
      <c r="C95" s="17" t="s">
        <v>71</v>
      </c>
      <c r="D95" t="s">
        <v>370</v>
      </c>
      <c r="F95" t="s">
        <v>374</v>
      </c>
      <c r="K95" s="18">
        <f>6281219328558</f>
        <v>6281219328558</v>
      </c>
      <c r="N95" s="17" t="s">
        <v>77</v>
      </c>
      <c r="V95" s="18">
        <f>6281219328558</f>
        <v>6281219328558</v>
      </c>
    </row>
    <row r="96" ht="15" customHeight="1" spans="1:27" x14ac:dyDescent="0.25">
      <c r="A96" s="17" t="s">
        <v>375</v>
      </c>
      <c r="B96" s="17" t="s">
        <v>70</v>
      </c>
      <c r="C96" s="17" t="s">
        <v>71</v>
      </c>
      <c r="D96" t="s">
        <v>370</v>
      </c>
      <c r="F96" t="s">
        <v>376</v>
      </c>
      <c r="K96" s="18">
        <f>62213902041</f>
        <v>62213902041</v>
      </c>
      <c r="N96" s="17" t="s">
        <v>77</v>
      </c>
      <c r="U96" s="17"/>
      <c r="V96" s="18">
        <f>62213902041</f>
        <v>62213902041</v>
      </c>
      <c r="W96" t="s">
        <v>377</v>
      </c>
      <c r="Y96" s="17" t="s">
        <v>378</v>
      </c>
      <c r="AA96" s="17" t="s">
        <v>379</v>
      </c>
    </row>
    <row r="97" ht="15" customHeight="1" spans="1:25" x14ac:dyDescent="0.25">
      <c r="A97" s="17" t="s">
        <v>380</v>
      </c>
      <c r="B97" s="17" t="s">
        <v>70</v>
      </c>
      <c r="C97" s="17" t="s">
        <v>71</v>
      </c>
      <c r="D97" t="s">
        <v>370</v>
      </c>
      <c r="F97" t="s">
        <v>381</v>
      </c>
      <c r="J97" s="17" t="s">
        <v>382</v>
      </c>
      <c r="K97" s="18">
        <f>628111019743</f>
        <v>628111019743</v>
      </c>
      <c r="N97" s="17" t="s">
        <v>74</v>
      </c>
      <c r="U97" s="17"/>
      <c r="V97" s="18">
        <f>628111019743</f>
        <v>628111019743</v>
      </c>
      <c r="W97" t="s">
        <v>383</v>
      </c>
      <c r="Y97" s="17" t="s">
        <v>384</v>
      </c>
    </row>
    <row r="98" ht="15" customHeight="1" spans="1:22" x14ac:dyDescent="0.25">
      <c r="A98" s="17" t="s">
        <v>385</v>
      </c>
      <c r="B98" s="17" t="s">
        <v>70</v>
      </c>
      <c r="C98" s="17" t="s">
        <v>71</v>
      </c>
      <c r="D98" t="s">
        <v>370</v>
      </c>
      <c r="F98" t="s">
        <v>386</v>
      </c>
      <c r="K98" s="18">
        <f>6281385637628</f>
        <v>6281385637628</v>
      </c>
      <c r="N98" s="17" t="s">
        <v>81</v>
      </c>
      <c r="V98" s="18">
        <f>6281385637628</f>
        <v>6281385637628</v>
      </c>
    </row>
    <row r="99" ht="15" customHeight="1" spans="1:25" x14ac:dyDescent="0.25">
      <c r="A99" s="17" t="s">
        <v>387</v>
      </c>
      <c r="B99" s="17" t="s">
        <v>70</v>
      </c>
      <c r="C99" s="17" t="s">
        <v>71</v>
      </c>
      <c r="D99" t="s">
        <v>370</v>
      </c>
      <c r="F99" t="s">
        <v>388</v>
      </c>
      <c r="K99" s="18">
        <f>6281323239696</f>
        <v>6281323239696</v>
      </c>
      <c r="N99" s="17" t="s">
        <v>77</v>
      </c>
      <c r="U99" s="17"/>
      <c r="V99" s="18">
        <f>6281323239696</f>
        <v>6281323239696</v>
      </c>
      <c r="W99" t="s">
        <v>389</v>
      </c>
      <c r="Y99" s="17" t="s">
        <v>390</v>
      </c>
    </row>
    <row r="100" ht="15" customHeight="1" spans="1:22" x14ac:dyDescent="0.25">
      <c r="A100" s="17" t="s">
        <v>391</v>
      </c>
      <c r="B100" s="17" t="s">
        <v>70</v>
      </c>
      <c r="C100" s="17" t="s">
        <v>71</v>
      </c>
      <c r="D100" t="s">
        <v>370</v>
      </c>
      <c r="F100" t="s">
        <v>392</v>
      </c>
      <c r="K100" s="18">
        <f>628118600318</f>
        <v>628118600318</v>
      </c>
      <c r="N100" s="17" t="s">
        <v>77</v>
      </c>
      <c r="V100" s="18">
        <f>628118600318</f>
        <v>628118600318</v>
      </c>
    </row>
    <row r="101" ht="15" customHeight="1" spans="1:25" x14ac:dyDescent="0.25">
      <c r="A101" s="17" t="s">
        <v>393</v>
      </c>
      <c r="B101" s="17" t="s">
        <v>70</v>
      </c>
      <c r="C101" s="17" t="s">
        <v>71</v>
      </c>
      <c r="D101" t="s">
        <v>370</v>
      </c>
      <c r="F101" t="s">
        <v>394</v>
      </c>
      <c r="J101" s="17" t="s">
        <v>395</v>
      </c>
      <c r="K101" s="18">
        <f>6281298050596</f>
        <v>6281298050596</v>
      </c>
      <c r="N101" s="17" t="s">
        <v>77</v>
      </c>
      <c r="U101" s="17"/>
      <c r="V101" s="18">
        <f>6281298050596</f>
        <v>6281298050596</v>
      </c>
      <c r="W101" t="s">
        <v>396</v>
      </c>
      <c r="Y101" s="17" t="s">
        <v>397</v>
      </c>
    </row>
    <row r="102" ht="15" customHeight="1" spans="1:28" x14ac:dyDescent="0.25">
      <c r="A102" s="17" t="s">
        <v>398</v>
      </c>
      <c r="B102" s="17" t="s">
        <v>70</v>
      </c>
      <c r="C102" s="17" t="s">
        <v>71</v>
      </c>
      <c r="D102" t="s">
        <v>370</v>
      </c>
      <c r="F102" t="s">
        <v>399</v>
      </c>
      <c r="J102" t="s">
        <v>115</v>
      </c>
      <c r="K102" s="18" t="s">
        <v>400</v>
      </c>
      <c r="N102" s="17" t="s">
        <v>81</v>
      </c>
      <c r="O102" t="s">
        <v>117</v>
      </c>
      <c r="V102" s="18" t="s">
        <v>400</v>
      </c>
      <c r="Y102" t="s">
        <v>190</v>
      </c>
      <c r="AA102" t="s">
        <v>118</v>
      </c>
      <c r="AB102" t="s">
        <v>119</v>
      </c>
    </row>
    <row r="103" ht="15" customHeight="1" spans="1:22" x14ac:dyDescent="0.25">
      <c r="A103" s="17" t="s">
        <v>401</v>
      </c>
      <c r="B103" s="17" t="s">
        <v>70</v>
      </c>
      <c r="C103" s="17" t="s">
        <v>71</v>
      </c>
      <c r="D103" t="s">
        <v>370</v>
      </c>
      <c r="F103" t="s">
        <v>183</v>
      </c>
      <c r="K103" s="18">
        <f>6281317122419</f>
        <v>6281317122419</v>
      </c>
      <c r="N103" s="17" t="s">
        <v>81</v>
      </c>
      <c r="V103" s="18">
        <f>6281317122419</f>
        <v>6281317122419</v>
      </c>
    </row>
    <row r="104" ht="15" customHeight="1" spans="1:25" x14ac:dyDescent="0.25">
      <c r="A104" s="17" t="s">
        <v>402</v>
      </c>
      <c r="B104" s="17" t="s">
        <v>70</v>
      </c>
      <c r="C104" s="17" t="s">
        <v>71</v>
      </c>
      <c r="D104" t="s">
        <v>370</v>
      </c>
      <c r="F104" t="s">
        <v>403</v>
      </c>
      <c r="J104" s="17" t="s">
        <v>404</v>
      </c>
      <c r="K104" s="18">
        <f>628119916565</f>
        <v>628119916565</v>
      </c>
      <c r="N104" s="17" t="s">
        <v>77</v>
      </c>
      <c r="U104" s="17"/>
      <c r="V104" s="18">
        <f>628119916565</f>
        <v>628119916565</v>
      </c>
      <c r="W104" t="s">
        <v>405</v>
      </c>
      <c r="Y104" s="17" t="s">
        <v>90</v>
      </c>
    </row>
    <row r="105" ht="15" customHeight="1" spans="1:27" x14ac:dyDescent="0.25">
      <c r="A105" s="17" t="s">
        <v>406</v>
      </c>
      <c r="B105" s="17" t="s">
        <v>70</v>
      </c>
      <c r="C105" s="17" t="s">
        <v>71</v>
      </c>
      <c r="D105" t="s">
        <v>370</v>
      </c>
      <c r="F105" t="s">
        <v>407</v>
      </c>
      <c r="J105" s="17" t="s">
        <v>408</v>
      </c>
      <c r="K105" s="18">
        <f>628122858585</f>
        <v>628122858585</v>
      </c>
      <c r="N105" s="17" t="s">
        <v>77</v>
      </c>
      <c r="U105" s="17"/>
      <c r="V105" s="18">
        <f>628122858585</f>
        <v>628122858585</v>
      </c>
      <c r="W105" t="s">
        <v>409</v>
      </c>
      <c r="Y105" t="s">
        <v>410</v>
      </c>
      <c r="AA105" s="17">
        <v>50263</v>
      </c>
    </row>
    <row r="106" ht="15" customHeight="1" spans="1:22" x14ac:dyDescent="0.25">
      <c r="A106" s="17" t="s">
        <v>411</v>
      </c>
      <c r="B106" s="17" t="s">
        <v>70</v>
      </c>
      <c r="C106" s="17" t="s">
        <v>71</v>
      </c>
      <c r="D106" t="s">
        <v>370</v>
      </c>
      <c r="F106" t="s">
        <v>412</v>
      </c>
      <c r="K106" s="18">
        <f>6281250299696</f>
        <v>6281250299696</v>
      </c>
      <c r="N106" s="17" t="s">
        <v>77</v>
      </c>
      <c r="V106" s="18">
        <f>6281250299696</f>
        <v>6281250299696</v>
      </c>
    </row>
    <row r="107" ht="15" customHeight="1" spans="1:28" x14ac:dyDescent="0.25">
      <c r="A107" s="17" t="s">
        <v>413</v>
      </c>
      <c r="B107" s="17" t="s">
        <v>70</v>
      </c>
      <c r="C107" s="17" t="s">
        <v>71</v>
      </c>
      <c r="D107" t="s">
        <v>414</v>
      </c>
      <c r="F107" t="s">
        <v>412</v>
      </c>
      <c r="J107" t="s">
        <v>115</v>
      </c>
      <c r="K107" s="18" t="s">
        <v>415</v>
      </c>
      <c r="N107" s="17" t="s">
        <v>81</v>
      </c>
      <c r="O107" t="s">
        <v>261</v>
      </c>
      <c r="V107" s="18" t="s">
        <v>415</v>
      </c>
      <c r="Y107" t="s">
        <v>90</v>
      </c>
      <c r="AA107" t="s">
        <v>118</v>
      </c>
      <c r="AB107" t="s">
        <v>119</v>
      </c>
    </row>
    <row r="108" ht="15" customHeight="1" spans="1:25" x14ac:dyDescent="0.25">
      <c r="A108" s="17" t="s">
        <v>416</v>
      </c>
      <c r="B108" s="17" t="s">
        <v>70</v>
      </c>
      <c r="C108" s="17" t="s">
        <v>71</v>
      </c>
      <c r="D108" t="s">
        <v>370</v>
      </c>
      <c r="F108" t="s">
        <v>417</v>
      </c>
      <c r="K108" s="18">
        <f>6281388881925</f>
        <v>6281388881925</v>
      </c>
      <c r="N108" s="17" t="s">
        <v>81</v>
      </c>
      <c r="U108" s="17"/>
      <c r="V108" s="18">
        <f>6281388881925</f>
        <v>6281388881925</v>
      </c>
      <c r="W108" t="s">
        <v>418</v>
      </c>
      <c r="Y108" s="17" t="s">
        <v>90</v>
      </c>
    </row>
    <row r="109" ht="15" customHeight="1" spans="1:22" x14ac:dyDescent="0.25">
      <c r="A109" s="17" t="s">
        <v>419</v>
      </c>
      <c r="B109" s="17" t="s">
        <v>70</v>
      </c>
      <c r="C109" s="17" t="s">
        <v>71</v>
      </c>
      <c r="D109" t="s">
        <v>370</v>
      </c>
      <c r="F109" t="s">
        <v>420</v>
      </c>
      <c r="K109" s="18">
        <f>628127206969</f>
        <v>628127206969</v>
      </c>
      <c r="N109" s="17" t="s">
        <v>77</v>
      </c>
      <c r="V109" s="18">
        <f>628127206969</f>
        <v>628127206969</v>
      </c>
    </row>
    <row r="110" ht="15" customHeight="1" spans="1:27" x14ac:dyDescent="0.25">
      <c r="A110" s="17" t="s">
        <v>421</v>
      </c>
      <c r="B110" s="17" t="s">
        <v>70</v>
      </c>
      <c r="C110" s="17" t="s">
        <v>71</v>
      </c>
      <c r="D110" t="s">
        <v>422</v>
      </c>
      <c r="F110" t="s">
        <v>423</v>
      </c>
      <c r="K110" s="18">
        <f>62811607509</f>
        <v>62811607509</v>
      </c>
      <c r="N110" s="17" t="s">
        <v>81</v>
      </c>
      <c r="U110" s="17"/>
      <c r="V110" s="18">
        <f>62811607509</f>
        <v>62811607509</v>
      </c>
      <c r="W110" t="s">
        <v>424</v>
      </c>
      <c r="AA110" s="17">
        <v>20121</v>
      </c>
    </row>
    <row r="111" ht="15" customHeight="1" spans="1:22" x14ac:dyDescent="0.25">
      <c r="A111" s="17" t="s">
        <v>425</v>
      </c>
      <c r="B111" s="17" t="s">
        <v>70</v>
      </c>
      <c r="C111" s="17" t="s">
        <v>71</v>
      </c>
      <c r="D111" t="s">
        <v>426</v>
      </c>
      <c r="F111" t="s">
        <v>426</v>
      </c>
      <c r="K111" s="18">
        <f>6281280008117</f>
        <v>6281280008117</v>
      </c>
      <c r="N111" s="17" t="s">
        <v>77</v>
      </c>
      <c r="V111" s="18">
        <f>6281280008117</f>
        <v>6281280008117</v>
      </c>
    </row>
    <row r="112" ht="15" customHeight="1" spans="1:28" x14ac:dyDescent="0.25">
      <c r="A112" s="17" t="s">
        <v>427</v>
      </c>
      <c r="B112" s="17" t="s">
        <v>70</v>
      </c>
      <c r="C112" s="17" t="s">
        <v>71</v>
      </c>
      <c r="D112" t="s">
        <v>426</v>
      </c>
      <c r="F112" t="s">
        <v>426</v>
      </c>
      <c r="J112" t="s">
        <v>115</v>
      </c>
      <c r="K112" s="18" t="s">
        <v>428</v>
      </c>
      <c r="N112" s="17" t="s">
        <v>77</v>
      </c>
      <c r="O112" t="s">
        <v>117</v>
      </c>
      <c r="V112" s="18" t="s">
        <v>428</v>
      </c>
      <c r="Y112" t="s">
        <v>90</v>
      </c>
      <c r="AA112" t="s">
        <v>118</v>
      </c>
      <c r="AB112" t="s">
        <v>119</v>
      </c>
    </row>
    <row r="113" ht="15" customHeight="1" spans="1:22" x14ac:dyDescent="0.25">
      <c r="A113" s="17" t="s">
        <v>429</v>
      </c>
      <c r="B113" s="17" t="s">
        <v>70</v>
      </c>
      <c r="C113" s="17" t="s">
        <v>71</v>
      </c>
      <c r="D113" t="s">
        <v>430</v>
      </c>
      <c r="F113" t="s">
        <v>431</v>
      </c>
      <c r="K113" s="18">
        <f>6282299401829</f>
        <v>6282299401829</v>
      </c>
      <c r="N113" s="17" t="s">
        <v>81</v>
      </c>
      <c r="V113" s="18">
        <f>6282299401829</f>
        <v>6282299401829</v>
      </c>
    </row>
    <row r="114" ht="15" customHeight="1" spans="1:22" x14ac:dyDescent="0.25">
      <c r="A114" s="17" t="s">
        <v>432</v>
      </c>
      <c r="B114" s="17" t="s">
        <v>70</v>
      </c>
      <c r="C114" s="17" t="s">
        <v>71</v>
      </c>
      <c r="D114" t="s">
        <v>433</v>
      </c>
      <c r="F114" t="s">
        <v>433</v>
      </c>
      <c r="K114" s="18">
        <f>62816883810</f>
        <v>62816883810</v>
      </c>
      <c r="N114" s="17" t="s">
        <v>81</v>
      </c>
      <c r="V114" s="18">
        <f>62816883810</f>
        <v>62816883810</v>
      </c>
    </row>
    <row r="115" ht="15" customHeight="1" spans="1:25" x14ac:dyDescent="0.25">
      <c r="A115" s="17" t="s">
        <v>434</v>
      </c>
      <c r="B115" s="17" t="s">
        <v>70</v>
      </c>
      <c r="C115" s="17" t="s">
        <v>71</v>
      </c>
      <c r="D115" t="s">
        <v>433</v>
      </c>
      <c r="F115" t="s">
        <v>433</v>
      </c>
      <c r="K115" s="18">
        <f>62811980070</f>
        <v>62811980070</v>
      </c>
      <c r="N115" s="17" t="s">
        <v>77</v>
      </c>
      <c r="U115" s="17"/>
      <c r="V115" s="18">
        <f>62811980070</f>
        <v>62811980070</v>
      </c>
      <c r="W115" t="s">
        <v>90</v>
      </c>
      <c r="Y115" s="17" t="s">
        <v>90</v>
      </c>
    </row>
    <row r="116" ht="15" customHeight="1" spans="1:22" x14ac:dyDescent="0.25">
      <c r="A116" s="17" t="s">
        <v>435</v>
      </c>
      <c r="B116" s="17" t="s">
        <v>70</v>
      </c>
      <c r="C116" s="17" t="s">
        <v>71</v>
      </c>
      <c r="D116" t="s">
        <v>433</v>
      </c>
      <c r="F116" t="s">
        <v>436</v>
      </c>
      <c r="K116" s="18">
        <f>628126496669</f>
        <v>628126496669</v>
      </c>
      <c r="N116" s="17" t="s">
        <v>74</v>
      </c>
      <c r="V116" s="18">
        <f>628126496669</f>
        <v>628126496669</v>
      </c>
    </row>
    <row r="117" ht="15" customHeight="1" spans="1:23" x14ac:dyDescent="0.25">
      <c r="A117" s="17" t="s">
        <v>437</v>
      </c>
      <c r="B117" s="17" t="s">
        <v>70</v>
      </c>
      <c r="C117" s="17" t="s">
        <v>71</v>
      </c>
      <c r="D117" t="s">
        <v>433</v>
      </c>
      <c r="F117" t="s">
        <v>438</v>
      </c>
      <c r="K117" s="18">
        <f>62818945843</f>
        <v>62818945843</v>
      </c>
      <c r="N117" s="17" t="s">
        <v>77</v>
      </c>
      <c r="U117" s="17"/>
      <c r="V117" s="18">
        <f>62818945843</f>
        <v>62818945843</v>
      </c>
      <c r="W117" t="s">
        <v>439</v>
      </c>
    </row>
    <row r="118" ht="15" customHeight="1" spans="1:28" x14ac:dyDescent="0.25">
      <c r="A118" s="17" t="s">
        <v>440</v>
      </c>
      <c r="B118" s="17" t="s">
        <v>70</v>
      </c>
      <c r="C118" s="17" t="s">
        <v>71</v>
      </c>
      <c r="D118" t="s">
        <v>441</v>
      </c>
      <c r="F118" t="s">
        <v>442</v>
      </c>
      <c r="J118" s="17" t="s">
        <v>443</v>
      </c>
      <c r="K118" s="18" t="s">
        <v>444</v>
      </c>
      <c r="N118" s="17" t="s">
        <v>77</v>
      </c>
      <c r="O118" t="s">
        <v>261</v>
      </c>
      <c r="V118" s="18" t="s">
        <v>444</v>
      </c>
      <c r="Y118" t="s">
        <v>90</v>
      </c>
      <c r="AA118" t="s">
        <v>118</v>
      </c>
      <c r="AB118" t="s">
        <v>119</v>
      </c>
    </row>
    <row r="119" ht="15" customHeight="1" spans="1:28" x14ac:dyDescent="0.25">
      <c r="A119" s="17" t="s">
        <v>445</v>
      </c>
      <c r="B119" s="17" t="s">
        <v>70</v>
      </c>
      <c r="C119" s="17" t="s">
        <v>71</v>
      </c>
      <c r="D119" t="s">
        <v>433</v>
      </c>
      <c r="F119" t="s">
        <v>446</v>
      </c>
      <c r="J119" s="17" t="s">
        <v>447</v>
      </c>
      <c r="K119" s="18" t="s">
        <v>448</v>
      </c>
      <c r="N119" s="17" t="s">
        <v>77</v>
      </c>
      <c r="O119" t="s">
        <v>117</v>
      </c>
      <c r="U119" s="17"/>
      <c r="V119" s="18" t="s">
        <v>448</v>
      </c>
      <c r="W119" t="s">
        <v>449</v>
      </c>
      <c r="Y119" s="17" t="s">
        <v>450</v>
      </c>
      <c r="AA119" t="s">
        <v>115</v>
      </c>
      <c r="AB119" t="s">
        <v>451</v>
      </c>
    </row>
    <row r="120" ht="15" customHeight="1" spans="1:22" x14ac:dyDescent="0.25">
      <c r="A120" s="17" t="s">
        <v>452</v>
      </c>
      <c r="B120" s="17" t="s">
        <v>70</v>
      </c>
      <c r="C120" s="17" t="s">
        <v>71</v>
      </c>
      <c r="D120" t="s">
        <v>433</v>
      </c>
      <c r="F120" t="s">
        <v>453</v>
      </c>
      <c r="J120" s="17" t="s">
        <v>454</v>
      </c>
      <c r="K120" s="18">
        <f>62811757200</f>
        <v>62811757200</v>
      </c>
      <c r="N120" s="17" t="s">
        <v>77</v>
      </c>
      <c r="V120" s="18">
        <f>62811757200</f>
        <v>62811757200</v>
      </c>
    </row>
    <row r="121" ht="15" customHeight="1" spans="1:25" x14ac:dyDescent="0.25">
      <c r="A121" s="17" t="s">
        <v>455</v>
      </c>
      <c r="B121" s="17" t="s">
        <v>70</v>
      </c>
      <c r="C121" s="17" t="s">
        <v>71</v>
      </c>
      <c r="D121" t="s">
        <v>433</v>
      </c>
      <c r="F121" t="s">
        <v>456</v>
      </c>
      <c r="K121" s="18">
        <f>6281331518306</f>
        <v>6281331518306</v>
      </c>
      <c r="N121" s="17" t="s">
        <v>81</v>
      </c>
      <c r="U121" s="17"/>
      <c r="V121" s="18">
        <f>6281331518306</f>
        <v>6281331518306</v>
      </c>
      <c r="W121" t="s">
        <v>457</v>
      </c>
      <c r="Y121" s="19" t="s">
        <v>217</v>
      </c>
    </row>
    <row r="122" ht="15" customHeight="1" spans="1:25" x14ac:dyDescent="0.25">
      <c r="A122" s="17" t="s">
        <v>458</v>
      </c>
      <c r="B122" s="17" t="s">
        <v>70</v>
      </c>
      <c r="C122" s="17" t="s">
        <v>71</v>
      </c>
      <c r="D122" t="s">
        <v>433</v>
      </c>
      <c r="F122" t="s">
        <v>459</v>
      </c>
      <c r="K122" s="18">
        <f>628114630424</f>
        <v>628114630424</v>
      </c>
      <c r="N122" s="17" t="s">
        <v>74</v>
      </c>
      <c r="U122" s="17"/>
      <c r="V122" s="18">
        <f>628114630424</f>
        <v>628114630424</v>
      </c>
      <c r="W122" t="s">
        <v>460</v>
      </c>
      <c r="Y122" s="17" t="s">
        <v>90</v>
      </c>
    </row>
    <row r="123" ht="15" customHeight="1" spans="1:25" x14ac:dyDescent="0.25">
      <c r="A123" s="17" t="s">
        <v>461</v>
      </c>
      <c r="B123" s="17" t="s">
        <v>70</v>
      </c>
      <c r="C123" s="17" t="s">
        <v>71</v>
      </c>
      <c r="D123" t="s">
        <v>433</v>
      </c>
      <c r="F123" t="s">
        <v>462</v>
      </c>
      <c r="K123" s="18">
        <f>62818993077</f>
        <v>62818993077</v>
      </c>
      <c r="N123" s="17" t="s">
        <v>81</v>
      </c>
      <c r="V123" s="18">
        <f>62818993077</f>
        <v>62818993077</v>
      </c>
      <c r="Y123" s="17" t="s">
        <v>96</v>
      </c>
    </row>
    <row r="124" ht="15" customHeight="1" spans="1:22" x14ac:dyDescent="0.25">
      <c r="A124" s="17" t="s">
        <v>463</v>
      </c>
      <c r="B124" s="17" t="s">
        <v>70</v>
      </c>
      <c r="C124" s="17" t="s">
        <v>71</v>
      </c>
      <c r="D124" t="s">
        <v>464</v>
      </c>
      <c r="F124" t="s">
        <v>464</v>
      </c>
      <c r="K124" s="18">
        <f>628113330071</f>
        <v>628113330071</v>
      </c>
      <c r="N124" s="17" t="s">
        <v>77</v>
      </c>
      <c r="V124" s="18">
        <f>628113330071</f>
        <v>628113330071</v>
      </c>
    </row>
    <row r="125" ht="15" customHeight="1" spans="1:22" x14ac:dyDescent="0.25">
      <c r="A125" s="17" t="s">
        <v>465</v>
      </c>
      <c r="B125" s="17" t="s">
        <v>70</v>
      </c>
      <c r="C125" s="17" t="s">
        <v>71</v>
      </c>
      <c r="D125" t="s">
        <v>466</v>
      </c>
      <c r="F125" t="s">
        <v>466</v>
      </c>
      <c r="K125" s="18">
        <f>628119801709</f>
        <v>628119801709</v>
      </c>
      <c r="N125" s="17" t="s">
        <v>77</v>
      </c>
      <c r="V125" s="18">
        <f>628119801709</f>
        <v>628119801709</v>
      </c>
    </row>
    <row r="126" ht="15" customHeight="1" spans="1:22" x14ac:dyDescent="0.25">
      <c r="A126" s="17" t="s">
        <v>467</v>
      </c>
      <c r="B126" s="17" t="s">
        <v>70</v>
      </c>
      <c r="C126" s="17" t="s">
        <v>71</v>
      </c>
      <c r="D126" t="s">
        <v>466</v>
      </c>
      <c r="F126" t="s">
        <v>466</v>
      </c>
      <c r="K126" s="18">
        <f>62816930350</f>
        <v>62816930350</v>
      </c>
      <c r="N126" s="17" t="s">
        <v>81</v>
      </c>
      <c r="V126" s="18">
        <f>62816930350</f>
        <v>62816930350</v>
      </c>
    </row>
    <row r="127" ht="15" customHeight="1" spans="1:28" x14ac:dyDescent="0.25">
      <c r="A127" s="17" t="s">
        <v>468</v>
      </c>
      <c r="B127" s="17" t="s">
        <v>70</v>
      </c>
      <c r="C127" s="17" t="s">
        <v>71</v>
      </c>
      <c r="D127" t="s">
        <v>466</v>
      </c>
      <c r="F127" t="s">
        <v>469</v>
      </c>
      <c r="J127" t="s">
        <v>115</v>
      </c>
      <c r="K127" s="18" t="s">
        <v>470</v>
      </c>
      <c r="N127" s="17" t="s">
        <v>77</v>
      </c>
      <c r="O127" t="s">
        <v>117</v>
      </c>
      <c r="V127" s="18" t="s">
        <v>470</v>
      </c>
      <c r="Y127" t="s">
        <v>115</v>
      </c>
      <c r="AA127" t="s">
        <v>115</v>
      </c>
      <c r="AB127" t="s">
        <v>119</v>
      </c>
    </row>
    <row r="128" ht="15" customHeight="1" spans="1:22" x14ac:dyDescent="0.25">
      <c r="A128" s="17" t="s">
        <v>471</v>
      </c>
      <c r="B128" s="17" t="s">
        <v>70</v>
      </c>
      <c r="C128" s="17" t="s">
        <v>71</v>
      </c>
      <c r="D128" t="s">
        <v>466</v>
      </c>
      <c r="F128" t="s">
        <v>472</v>
      </c>
      <c r="K128" s="18">
        <f>62811180499</f>
        <v>62811180499</v>
      </c>
      <c r="N128" s="17" t="s">
        <v>77</v>
      </c>
      <c r="V128" s="18">
        <f>62811180499</f>
        <v>62811180499</v>
      </c>
    </row>
    <row r="129" ht="15" customHeight="1" spans="1:22" x14ac:dyDescent="0.25">
      <c r="A129" s="17" t="s">
        <v>473</v>
      </c>
      <c r="B129" s="17" t="s">
        <v>70</v>
      </c>
      <c r="C129" s="17" t="s">
        <v>71</v>
      </c>
      <c r="D129" t="s">
        <v>466</v>
      </c>
      <c r="F129" t="s">
        <v>474</v>
      </c>
      <c r="K129" s="18">
        <f>628111474333</f>
        <v>628111474333</v>
      </c>
      <c r="N129" s="17" t="s">
        <v>81</v>
      </c>
      <c r="V129" s="18">
        <f>628111474333</f>
        <v>628111474333</v>
      </c>
    </row>
    <row r="130" ht="15" customHeight="1" spans="1:22" x14ac:dyDescent="0.25">
      <c r="A130" s="17" t="s">
        <v>475</v>
      </c>
      <c r="B130" s="17" t="s">
        <v>70</v>
      </c>
      <c r="C130" s="17" t="s">
        <v>71</v>
      </c>
      <c r="D130" t="s">
        <v>466</v>
      </c>
      <c r="F130" t="s">
        <v>474</v>
      </c>
      <c r="K130" s="18">
        <f>628159003625</f>
        <v>628159003625</v>
      </c>
      <c r="N130" s="17" t="s">
        <v>77</v>
      </c>
      <c r="V130" s="18">
        <f>628159003625</f>
        <v>628159003625</v>
      </c>
    </row>
    <row r="131" ht="15" customHeight="1" spans="1:22" x14ac:dyDescent="0.25">
      <c r="A131" s="17" t="s">
        <v>476</v>
      </c>
      <c r="B131" s="17" t="s">
        <v>70</v>
      </c>
      <c r="C131" s="17" t="s">
        <v>71</v>
      </c>
      <c r="D131" t="s">
        <v>466</v>
      </c>
      <c r="F131" t="s">
        <v>477</v>
      </c>
      <c r="K131" s="18">
        <f>62811434400</f>
        <v>62811434400</v>
      </c>
      <c r="N131" s="17" t="s">
        <v>74</v>
      </c>
      <c r="V131" s="18">
        <f>62811434400</f>
        <v>62811434400</v>
      </c>
    </row>
    <row r="132" ht="15" customHeight="1" spans="1:22" x14ac:dyDescent="0.25">
      <c r="A132" s="17" t="s">
        <v>478</v>
      </c>
      <c r="B132" s="17" t="s">
        <v>70</v>
      </c>
      <c r="C132" s="17" t="s">
        <v>71</v>
      </c>
      <c r="D132" t="s">
        <v>466</v>
      </c>
      <c r="F132" t="s">
        <v>479</v>
      </c>
      <c r="K132" s="18">
        <f>6282124999777</f>
        <v>6282124999777</v>
      </c>
      <c r="N132" s="17" t="s">
        <v>81</v>
      </c>
      <c r="V132" s="18">
        <f>6282124999777</f>
        <v>6282124999777</v>
      </c>
    </row>
    <row r="133" ht="15" customHeight="1" spans="1:22" x14ac:dyDescent="0.25">
      <c r="A133" s="17" t="s">
        <v>480</v>
      </c>
      <c r="B133" s="17" t="s">
        <v>70</v>
      </c>
      <c r="C133" s="17" t="s">
        <v>71</v>
      </c>
      <c r="D133" t="s">
        <v>466</v>
      </c>
      <c r="F133" t="s">
        <v>481</v>
      </c>
      <c r="K133" s="18">
        <f>6281220727278</f>
        <v>6281220727278</v>
      </c>
      <c r="N133" s="17" t="s">
        <v>81</v>
      </c>
      <c r="V133" s="18">
        <f>6281220727278</f>
        <v>6281220727278</v>
      </c>
    </row>
    <row r="134" ht="15" customHeight="1" spans="1:28" x14ac:dyDescent="0.25">
      <c r="A134" s="17" t="s">
        <v>482</v>
      </c>
      <c r="B134" s="17" t="s">
        <v>70</v>
      </c>
      <c r="C134" s="17" t="s">
        <v>71</v>
      </c>
      <c r="D134" t="s">
        <v>483</v>
      </c>
      <c r="F134" t="s">
        <v>484</v>
      </c>
      <c r="J134" t="s">
        <v>115</v>
      </c>
      <c r="K134" s="18" t="s">
        <v>485</v>
      </c>
      <c r="N134" s="17" t="s">
        <v>77</v>
      </c>
      <c r="O134" t="s">
        <v>145</v>
      </c>
      <c r="V134" s="18" t="s">
        <v>485</v>
      </c>
      <c r="Y134" t="s">
        <v>90</v>
      </c>
      <c r="AA134" t="s">
        <v>118</v>
      </c>
      <c r="AB134" t="s">
        <v>119</v>
      </c>
    </row>
    <row r="135" ht="15" customHeight="1" spans="1:28" x14ac:dyDescent="0.25">
      <c r="A135" s="17" t="s">
        <v>486</v>
      </c>
      <c r="B135" s="17" t="s">
        <v>70</v>
      </c>
      <c r="C135" s="17" t="s">
        <v>71</v>
      </c>
      <c r="D135" t="s">
        <v>466</v>
      </c>
      <c r="F135" t="s">
        <v>487</v>
      </c>
      <c r="J135" t="s">
        <v>115</v>
      </c>
      <c r="K135" s="18" t="s">
        <v>488</v>
      </c>
      <c r="N135" s="17" t="s">
        <v>77</v>
      </c>
      <c r="O135" t="s">
        <v>489</v>
      </c>
      <c r="V135" s="18" t="s">
        <v>488</v>
      </c>
      <c r="Y135" t="s">
        <v>490</v>
      </c>
      <c r="AA135" t="s">
        <v>115</v>
      </c>
      <c r="AB135" t="s">
        <v>119</v>
      </c>
    </row>
    <row r="136" ht="15" customHeight="1" spans="1:22" x14ac:dyDescent="0.25">
      <c r="A136" s="17" t="s">
        <v>491</v>
      </c>
      <c r="B136" s="17" t="s">
        <v>70</v>
      </c>
      <c r="C136" s="17" t="s">
        <v>71</v>
      </c>
      <c r="D136" t="s">
        <v>466</v>
      </c>
      <c r="F136" t="s">
        <v>492</v>
      </c>
      <c r="K136" s="18">
        <f>6281317585969</f>
        <v>6281317585969</v>
      </c>
      <c r="N136" s="17" t="s">
        <v>74</v>
      </c>
      <c r="V136" s="18">
        <f>6281317585969</f>
        <v>6281317585969</v>
      </c>
    </row>
    <row r="137" ht="15" customHeight="1" spans="1:27" x14ac:dyDescent="0.25">
      <c r="A137" s="17" t="s">
        <v>493</v>
      </c>
      <c r="B137" s="17" t="s">
        <v>70</v>
      </c>
      <c r="C137" s="17" t="s">
        <v>71</v>
      </c>
      <c r="D137" t="s">
        <v>466</v>
      </c>
      <c r="F137" t="s">
        <v>494</v>
      </c>
      <c r="K137" s="18">
        <f>6287883779628</f>
        <v>6287883779628</v>
      </c>
      <c r="N137" s="17" t="s">
        <v>77</v>
      </c>
      <c r="U137" s="17"/>
      <c r="V137" s="18">
        <f>6287883779628</f>
        <v>6287883779628</v>
      </c>
      <c r="W137" t="s">
        <v>495</v>
      </c>
      <c r="Y137" s="17" t="s">
        <v>96</v>
      </c>
      <c r="AA137" s="17">
        <v>12730</v>
      </c>
    </row>
    <row r="138" ht="15" customHeight="1" spans="1:28" x14ac:dyDescent="0.25">
      <c r="A138" s="17" t="s">
        <v>496</v>
      </c>
      <c r="B138" s="17" t="s">
        <v>70</v>
      </c>
      <c r="C138" s="17" t="s">
        <v>71</v>
      </c>
      <c r="D138" t="s">
        <v>497</v>
      </c>
      <c r="F138" t="s">
        <v>498</v>
      </c>
      <c r="J138" t="s">
        <v>115</v>
      </c>
      <c r="K138" s="18" t="s">
        <v>499</v>
      </c>
      <c r="N138" s="17" t="s">
        <v>77</v>
      </c>
      <c r="O138" t="s">
        <v>199</v>
      </c>
      <c r="V138" s="18" t="s">
        <v>499</v>
      </c>
      <c r="Y138" t="s">
        <v>500</v>
      </c>
      <c r="AA138" t="s">
        <v>501</v>
      </c>
      <c r="AB138" t="s">
        <v>119</v>
      </c>
    </row>
    <row r="139" ht="15" customHeight="1" spans="1:22" x14ac:dyDescent="0.25">
      <c r="A139" s="17" t="s">
        <v>502</v>
      </c>
      <c r="B139" s="17" t="s">
        <v>70</v>
      </c>
      <c r="C139" s="17" t="s">
        <v>71</v>
      </c>
      <c r="D139" t="s">
        <v>466</v>
      </c>
      <c r="F139" t="s">
        <v>503</v>
      </c>
      <c r="K139" s="18">
        <f>6281519999246</f>
        <v>6281519999246</v>
      </c>
      <c r="N139" s="17" t="s">
        <v>74</v>
      </c>
      <c r="V139" s="18">
        <f>6281519999246</f>
        <v>6281519999246</v>
      </c>
    </row>
    <row r="140" ht="15" customHeight="1" spans="1:25" x14ac:dyDescent="0.25">
      <c r="A140" s="17" t="s">
        <v>504</v>
      </c>
      <c r="B140" s="17" t="s">
        <v>70</v>
      </c>
      <c r="C140" s="17" t="s">
        <v>71</v>
      </c>
      <c r="D140" t="s">
        <v>466</v>
      </c>
      <c r="F140" t="s">
        <v>505</v>
      </c>
      <c r="K140" s="18">
        <f>6287887777767</f>
        <v>6287887777767</v>
      </c>
      <c r="N140" s="17" t="s">
        <v>81</v>
      </c>
      <c r="U140" s="17"/>
      <c r="V140" s="18">
        <f>6287887777767</f>
        <v>6287887777767</v>
      </c>
      <c r="W140" t="s">
        <v>506</v>
      </c>
      <c r="Y140" s="17" t="s">
        <v>500</v>
      </c>
    </row>
    <row r="141" ht="15" customHeight="1" spans="1:22" x14ac:dyDescent="0.25">
      <c r="A141" s="17" t="s">
        <v>507</v>
      </c>
      <c r="B141" s="17" t="s">
        <v>70</v>
      </c>
      <c r="C141" s="17" t="s">
        <v>71</v>
      </c>
      <c r="D141" t="s">
        <v>466</v>
      </c>
      <c r="F141" t="s">
        <v>282</v>
      </c>
      <c r="K141" s="18">
        <f>62817819200</f>
        <v>62817819200</v>
      </c>
      <c r="N141" s="17" t="s">
        <v>77</v>
      </c>
      <c r="V141" s="18">
        <f>62817819200</f>
        <v>62817819200</v>
      </c>
    </row>
    <row r="142" ht="15" customHeight="1" spans="1:22" x14ac:dyDescent="0.25">
      <c r="A142" s="17" t="s">
        <v>508</v>
      </c>
      <c r="B142" s="17" t="s">
        <v>70</v>
      </c>
      <c r="C142" s="17" t="s">
        <v>71</v>
      </c>
      <c r="D142" t="s">
        <v>466</v>
      </c>
      <c r="F142" t="s">
        <v>509</v>
      </c>
      <c r="K142" s="18">
        <f>62816854369</f>
        <v>62816854369</v>
      </c>
      <c r="N142" s="17" t="s">
        <v>77</v>
      </c>
      <c r="V142" s="18">
        <f>62816854369</f>
        <v>62816854369</v>
      </c>
    </row>
    <row r="143" ht="15" customHeight="1" spans="1:22" x14ac:dyDescent="0.25">
      <c r="A143" s="17" t="s">
        <v>510</v>
      </c>
      <c r="B143" s="17" t="s">
        <v>70</v>
      </c>
      <c r="C143" s="17" t="s">
        <v>71</v>
      </c>
      <c r="D143" t="s">
        <v>466</v>
      </c>
      <c r="F143" t="s">
        <v>511</v>
      </c>
      <c r="K143" s="18">
        <f>6283893275377</f>
        <v>6283893275377</v>
      </c>
      <c r="N143" s="17" t="s">
        <v>81</v>
      </c>
      <c r="V143" s="18">
        <f>6283893275377</f>
        <v>6283893275377</v>
      </c>
    </row>
    <row r="144" ht="15" customHeight="1" spans="1:25" x14ac:dyDescent="0.25">
      <c r="A144" s="17" t="s">
        <v>512</v>
      </c>
      <c r="B144" s="17" t="s">
        <v>70</v>
      </c>
      <c r="C144" s="17" t="s">
        <v>71</v>
      </c>
      <c r="D144" t="s">
        <v>466</v>
      </c>
      <c r="F144" t="s">
        <v>513</v>
      </c>
      <c r="K144" s="18">
        <f>62816880087</f>
        <v>62816880087</v>
      </c>
      <c r="N144" s="17" t="s">
        <v>77</v>
      </c>
      <c r="U144" s="17"/>
      <c r="V144" s="18">
        <f>62816880087</f>
        <v>62816880087</v>
      </c>
      <c r="W144" t="s">
        <v>514</v>
      </c>
      <c r="Y144" s="17" t="s">
        <v>515</v>
      </c>
    </row>
    <row r="145" ht="15" customHeight="1" spans="1:23" x14ac:dyDescent="0.25">
      <c r="A145" s="17" t="s">
        <v>516</v>
      </c>
      <c r="B145" s="17" t="s">
        <v>70</v>
      </c>
      <c r="C145" s="17" t="s">
        <v>71</v>
      </c>
      <c r="D145" t="s">
        <v>466</v>
      </c>
      <c r="F145" t="s">
        <v>517</v>
      </c>
      <c r="K145" s="18">
        <f>62818862752</f>
        <v>62818862752</v>
      </c>
      <c r="N145" s="17" t="s">
        <v>81</v>
      </c>
      <c r="U145" s="17"/>
      <c r="V145" s="18">
        <f>62818862752</f>
        <v>62818862752</v>
      </c>
      <c r="W145" t="s">
        <v>518</v>
      </c>
    </row>
    <row r="146" ht="15" customHeight="1" spans="1:28" x14ac:dyDescent="0.25">
      <c r="A146" s="17" t="s">
        <v>519</v>
      </c>
      <c r="B146" s="17" t="s">
        <v>70</v>
      </c>
      <c r="C146" s="17" t="s">
        <v>71</v>
      </c>
      <c r="D146" t="s">
        <v>520</v>
      </c>
      <c r="F146" t="s">
        <v>521</v>
      </c>
      <c r="J146" s="17" t="s">
        <v>522</v>
      </c>
      <c r="K146" s="18" t="s">
        <v>523</v>
      </c>
      <c r="N146" s="17" t="s">
        <v>77</v>
      </c>
      <c r="O146" t="s">
        <v>145</v>
      </c>
      <c r="U146" s="17"/>
      <c r="V146" s="18" t="s">
        <v>523</v>
      </c>
      <c r="W146" t="s">
        <v>524</v>
      </c>
      <c r="Y146" t="s">
        <v>115</v>
      </c>
      <c r="AA146" t="s">
        <v>115</v>
      </c>
      <c r="AB146" t="s">
        <v>524</v>
      </c>
    </row>
    <row r="147" ht="15" customHeight="1" spans="1:25" x14ac:dyDescent="0.25">
      <c r="A147" s="17" t="s">
        <v>525</v>
      </c>
      <c r="B147" s="17" t="s">
        <v>70</v>
      </c>
      <c r="C147" s="17" t="s">
        <v>71</v>
      </c>
      <c r="D147" t="s">
        <v>526</v>
      </c>
      <c r="F147" t="s">
        <v>527</v>
      </c>
      <c r="J147" s="17" t="s">
        <v>528</v>
      </c>
      <c r="K147" s="18">
        <f>6282121502193</f>
        <v>6282121502193</v>
      </c>
      <c r="N147" s="17" t="s">
        <v>77</v>
      </c>
      <c r="U147" s="17"/>
      <c r="V147" s="18">
        <f>6282121502193</f>
        <v>6282121502193</v>
      </c>
      <c r="W147" t="s">
        <v>529</v>
      </c>
      <c r="Y147" s="17" t="s">
        <v>90</v>
      </c>
    </row>
    <row r="148" ht="15" customHeight="1" spans="1:28" x14ac:dyDescent="0.25">
      <c r="A148" s="17" t="s">
        <v>530</v>
      </c>
      <c r="B148" s="17" t="s">
        <v>70</v>
      </c>
      <c r="C148" s="17" t="s">
        <v>71</v>
      </c>
      <c r="D148" t="s">
        <v>531</v>
      </c>
      <c r="F148" t="s">
        <v>532</v>
      </c>
      <c r="J148" t="s">
        <v>115</v>
      </c>
      <c r="K148" s="18" t="s">
        <v>533</v>
      </c>
      <c r="N148" s="17" t="s">
        <v>77</v>
      </c>
      <c r="O148" t="s">
        <v>117</v>
      </c>
      <c r="V148" s="18" t="s">
        <v>533</v>
      </c>
      <c r="Y148" t="s">
        <v>90</v>
      </c>
      <c r="AA148" t="s">
        <v>118</v>
      </c>
      <c r="AB148" t="s">
        <v>119</v>
      </c>
    </row>
    <row r="149" ht="15" customHeight="1" spans="1:23" x14ac:dyDescent="0.25">
      <c r="A149" s="17" t="s">
        <v>534</v>
      </c>
      <c r="B149" s="17" t="s">
        <v>70</v>
      </c>
      <c r="C149" s="17" t="s">
        <v>71</v>
      </c>
      <c r="D149" t="s">
        <v>535</v>
      </c>
      <c r="F149" t="s">
        <v>536</v>
      </c>
      <c r="K149" s="18">
        <f>14079996308</f>
        <v>14079996308</v>
      </c>
      <c r="N149" s="17" t="s">
        <v>77</v>
      </c>
      <c r="U149" s="17"/>
      <c r="V149" s="18">
        <f>14079996308</f>
        <v>14079996308</v>
      </c>
      <c r="W149" t="s">
        <v>537</v>
      </c>
    </row>
    <row r="150" ht="15" customHeight="1" spans="1:25" x14ac:dyDescent="0.25">
      <c r="A150" s="17" t="s">
        <v>538</v>
      </c>
      <c r="B150" s="17" t="s">
        <v>70</v>
      </c>
      <c r="C150" s="17" t="s">
        <v>71</v>
      </c>
      <c r="D150" t="s">
        <v>539</v>
      </c>
      <c r="F150" t="s">
        <v>540</v>
      </c>
      <c r="K150" s="18">
        <f>6282111113073</f>
        <v>6282111113073</v>
      </c>
      <c r="N150" s="17" t="s">
        <v>77</v>
      </c>
      <c r="U150" s="17"/>
      <c r="V150" s="18">
        <f>6282111113073</f>
        <v>6282111113073</v>
      </c>
      <c r="W150" t="s">
        <v>541</v>
      </c>
      <c r="Y150" s="17" t="s">
        <v>90</v>
      </c>
    </row>
    <row r="151" ht="15" customHeight="1" spans="1:22" x14ac:dyDescent="0.25">
      <c r="A151" s="17" t="s">
        <v>542</v>
      </c>
      <c r="B151" s="17" t="s">
        <v>70</v>
      </c>
      <c r="C151" s="17" t="s">
        <v>71</v>
      </c>
      <c r="D151" t="s">
        <v>543</v>
      </c>
      <c r="F151" t="s">
        <v>544</v>
      </c>
      <c r="K151" s="18">
        <f>6281291661008</f>
        <v>6281291661008</v>
      </c>
      <c r="N151" s="17" t="s">
        <v>77</v>
      </c>
      <c r="V151" s="18">
        <f>6281291661008</f>
        <v>6281291661008</v>
      </c>
    </row>
    <row r="152" ht="15" customHeight="1" spans="1:22" x14ac:dyDescent="0.25">
      <c r="A152" s="17" t="s">
        <v>545</v>
      </c>
      <c r="B152" s="17" t="s">
        <v>70</v>
      </c>
      <c r="C152" s="17" t="s">
        <v>71</v>
      </c>
      <c r="D152" t="s">
        <v>546</v>
      </c>
      <c r="F152" t="s">
        <v>546</v>
      </c>
      <c r="K152" s="18">
        <f>6281239447070</f>
        <v>6281239447070</v>
      </c>
      <c r="N152" s="17" t="s">
        <v>81</v>
      </c>
      <c r="V152" s="18">
        <f>6281239447070</f>
        <v>6281239447070</v>
      </c>
    </row>
    <row r="153" ht="15" customHeight="1" spans="1:22" x14ac:dyDescent="0.25">
      <c r="A153" s="17" t="s">
        <v>547</v>
      </c>
      <c r="B153" s="17" t="s">
        <v>70</v>
      </c>
      <c r="C153" s="17" t="s">
        <v>71</v>
      </c>
      <c r="D153" t="s">
        <v>546</v>
      </c>
      <c r="F153" t="s">
        <v>548</v>
      </c>
      <c r="K153" s="18">
        <f>628129005000</f>
        <v>628129005000</v>
      </c>
      <c r="N153" s="17" t="s">
        <v>77</v>
      </c>
      <c r="V153" s="18">
        <f>628129005000</f>
        <v>628129005000</v>
      </c>
    </row>
    <row r="154" ht="15" customHeight="1" spans="1:22" x14ac:dyDescent="0.25">
      <c r="A154" s="17" t="s">
        <v>549</v>
      </c>
      <c r="B154" s="17" t="s">
        <v>70</v>
      </c>
      <c r="C154" s="17" t="s">
        <v>71</v>
      </c>
      <c r="D154" t="s">
        <v>550</v>
      </c>
      <c r="F154" t="s">
        <v>550</v>
      </c>
      <c r="K154" s="18">
        <f>62217541947</f>
        <v>62217541947</v>
      </c>
      <c r="N154" s="17" t="s">
        <v>74</v>
      </c>
      <c r="V154" s="18">
        <f>62217541947</f>
        <v>62217541947</v>
      </c>
    </row>
    <row r="155" ht="15" customHeight="1" spans="1:22" x14ac:dyDescent="0.25">
      <c r="A155" s="17" t="s">
        <v>551</v>
      </c>
      <c r="B155" s="17" t="s">
        <v>70</v>
      </c>
      <c r="C155" s="17" t="s">
        <v>71</v>
      </c>
      <c r="D155" t="s">
        <v>550</v>
      </c>
      <c r="F155" t="s">
        <v>550</v>
      </c>
      <c r="K155" s="18">
        <f>6287887548294</f>
        <v>6287887548294</v>
      </c>
      <c r="N155" s="17" t="s">
        <v>77</v>
      </c>
      <c r="V155" s="18">
        <f>6287887548294</f>
        <v>6287887548294</v>
      </c>
    </row>
    <row r="156" ht="15" customHeight="1" spans="1:28" x14ac:dyDescent="0.25">
      <c r="A156" s="17" t="s">
        <v>552</v>
      </c>
      <c r="B156" s="17" t="s">
        <v>70</v>
      </c>
      <c r="C156" s="17" t="s">
        <v>71</v>
      </c>
      <c r="D156" t="s">
        <v>550</v>
      </c>
      <c r="F156" t="s">
        <v>550</v>
      </c>
      <c r="J156" t="s">
        <v>115</v>
      </c>
      <c r="K156" s="18" t="s">
        <v>553</v>
      </c>
      <c r="N156" s="17" t="s">
        <v>77</v>
      </c>
      <c r="O156" t="s">
        <v>145</v>
      </c>
      <c r="V156" s="18" t="s">
        <v>553</v>
      </c>
      <c r="Y156" t="s">
        <v>90</v>
      </c>
      <c r="AA156" t="s">
        <v>118</v>
      </c>
      <c r="AB156" t="s">
        <v>119</v>
      </c>
    </row>
    <row r="157" ht="15" customHeight="1" spans="1:28" x14ac:dyDescent="0.25">
      <c r="A157" s="17" t="s">
        <v>554</v>
      </c>
      <c r="B157" s="17" t="s">
        <v>70</v>
      </c>
      <c r="C157" s="17" t="s">
        <v>71</v>
      </c>
      <c r="D157" t="s">
        <v>550</v>
      </c>
      <c r="F157" t="s">
        <v>555</v>
      </c>
      <c r="J157" t="s">
        <v>115</v>
      </c>
      <c r="K157" s="18" t="s">
        <v>556</v>
      </c>
      <c r="N157" s="17" t="s">
        <v>77</v>
      </c>
      <c r="O157" t="s">
        <v>117</v>
      </c>
      <c r="V157" s="18" t="s">
        <v>556</v>
      </c>
      <c r="Y157" t="s">
        <v>378</v>
      </c>
      <c r="AA157" t="s">
        <v>118</v>
      </c>
      <c r="AB157" t="s">
        <v>119</v>
      </c>
    </row>
    <row r="158" ht="15" customHeight="1" spans="1:22" x14ac:dyDescent="0.25">
      <c r="A158" s="17" t="s">
        <v>557</v>
      </c>
      <c r="B158" s="17" t="s">
        <v>70</v>
      </c>
      <c r="C158" s="17" t="s">
        <v>71</v>
      </c>
      <c r="D158" t="s">
        <v>550</v>
      </c>
      <c r="F158" t="s">
        <v>558</v>
      </c>
      <c r="K158" s="18">
        <f>6287780564050</f>
        <v>6287780564050</v>
      </c>
      <c r="N158" s="17" t="s">
        <v>81</v>
      </c>
      <c r="V158" s="18">
        <f>6287780564050</f>
        <v>6287780564050</v>
      </c>
    </row>
    <row r="159" ht="15" customHeight="1" spans="1:28" x14ac:dyDescent="0.25">
      <c r="A159" s="17" t="s">
        <v>559</v>
      </c>
      <c r="B159" s="17" t="s">
        <v>70</v>
      </c>
      <c r="C159" s="17" t="s">
        <v>71</v>
      </c>
      <c r="D159" t="s">
        <v>560</v>
      </c>
      <c r="F159" t="s">
        <v>561</v>
      </c>
      <c r="J159" t="s">
        <v>115</v>
      </c>
      <c r="K159" s="18" t="s">
        <v>562</v>
      </c>
      <c r="N159" s="17" t="s">
        <v>81</v>
      </c>
      <c r="O159" t="s">
        <v>261</v>
      </c>
      <c r="V159" s="18" t="s">
        <v>562</v>
      </c>
      <c r="Y159" t="s">
        <v>90</v>
      </c>
      <c r="AA159" t="s">
        <v>118</v>
      </c>
      <c r="AB159" t="s">
        <v>119</v>
      </c>
    </row>
    <row r="160" ht="15" customHeight="1" spans="1:28" x14ac:dyDescent="0.25">
      <c r="A160" s="17" t="s">
        <v>563</v>
      </c>
      <c r="B160" s="17" t="s">
        <v>70</v>
      </c>
      <c r="C160" s="17" t="s">
        <v>71</v>
      </c>
      <c r="D160" t="s">
        <v>564</v>
      </c>
      <c r="F160" t="s">
        <v>564</v>
      </c>
      <c r="J160" s="17" t="s">
        <v>565</v>
      </c>
      <c r="K160" s="18" t="s">
        <v>566</v>
      </c>
      <c r="N160" s="17" t="s">
        <v>77</v>
      </c>
      <c r="O160" t="s">
        <v>117</v>
      </c>
      <c r="U160" s="17"/>
      <c r="V160" s="18" t="s">
        <v>566</v>
      </c>
      <c r="W160" t="s">
        <v>567</v>
      </c>
      <c r="Y160" t="s">
        <v>190</v>
      </c>
      <c r="AA160" t="s">
        <v>118</v>
      </c>
      <c r="AB160" t="s">
        <v>119</v>
      </c>
    </row>
    <row r="161" ht="15" customHeight="1" spans="1:22" x14ac:dyDescent="0.25">
      <c r="A161" s="17" t="s">
        <v>568</v>
      </c>
      <c r="B161" s="17" t="s">
        <v>70</v>
      </c>
      <c r="C161" s="17" t="s">
        <v>71</v>
      </c>
      <c r="D161" t="s">
        <v>569</v>
      </c>
      <c r="F161" t="s">
        <v>570</v>
      </c>
      <c r="K161" s="18">
        <f>628121871276</f>
        <v>628121871276</v>
      </c>
      <c r="N161" s="17" t="s">
        <v>77</v>
      </c>
      <c r="V161" s="18">
        <f>628121871276</f>
        <v>628121871276</v>
      </c>
    </row>
    <row r="162" ht="15" customHeight="1" spans="1:25" x14ac:dyDescent="0.25">
      <c r="A162" s="17" t="s">
        <v>571</v>
      </c>
      <c r="B162" s="17" t="s">
        <v>70</v>
      </c>
      <c r="C162" s="17" t="s">
        <v>71</v>
      </c>
      <c r="D162" t="s">
        <v>572</v>
      </c>
      <c r="F162" t="s">
        <v>572</v>
      </c>
      <c r="K162" s="18">
        <f>62816810413</f>
        <v>62816810413</v>
      </c>
      <c r="N162" s="17" t="s">
        <v>77</v>
      </c>
      <c r="U162" s="17"/>
      <c r="V162" s="18">
        <f>62816810413</f>
        <v>62816810413</v>
      </c>
      <c r="W162" t="s">
        <v>573</v>
      </c>
      <c r="Y162" s="17" t="s">
        <v>90</v>
      </c>
    </row>
    <row r="163" ht="15" customHeight="1" spans="1:23" x14ac:dyDescent="0.25">
      <c r="A163" s="17" t="s">
        <v>574</v>
      </c>
      <c r="B163" s="17" t="s">
        <v>70</v>
      </c>
      <c r="C163" s="17" t="s">
        <v>71</v>
      </c>
      <c r="D163" t="s">
        <v>575</v>
      </c>
      <c r="F163" t="s">
        <v>576</v>
      </c>
      <c r="K163" s="18">
        <f>62811336527</f>
        <v>62811336527</v>
      </c>
      <c r="N163" s="17" t="s">
        <v>77</v>
      </c>
      <c r="U163" s="17"/>
      <c r="V163" s="18">
        <f>62811336527</f>
        <v>62811336527</v>
      </c>
      <c r="W163" t="s">
        <v>577</v>
      </c>
    </row>
    <row r="164" ht="15" customHeight="1" spans="1:22" x14ac:dyDescent="0.25">
      <c r="A164" s="17" t="s">
        <v>578</v>
      </c>
      <c r="B164" s="17" t="s">
        <v>70</v>
      </c>
      <c r="C164" s="17" t="s">
        <v>71</v>
      </c>
      <c r="D164" t="s">
        <v>579</v>
      </c>
      <c r="F164" t="s">
        <v>579</v>
      </c>
      <c r="K164" s="18">
        <f>6287888117404</f>
        <v>6287888117404</v>
      </c>
      <c r="N164" s="17" t="s">
        <v>77</v>
      </c>
      <c r="V164" s="18">
        <f>6287888117404</f>
        <v>6287888117404</v>
      </c>
    </row>
    <row r="165" ht="15" customHeight="1" spans="1:22" x14ac:dyDescent="0.25">
      <c r="A165" s="17" t="s">
        <v>580</v>
      </c>
      <c r="B165" s="17" t="s">
        <v>70</v>
      </c>
      <c r="C165" s="17" t="s">
        <v>71</v>
      </c>
      <c r="D165" t="s">
        <v>579</v>
      </c>
      <c r="F165" t="s">
        <v>581</v>
      </c>
      <c r="J165" s="17" t="s">
        <v>582</v>
      </c>
      <c r="K165" s="18">
        <f>628127212138</f>
        <v>628127212138</v>
      </c>
      <c r="N165" s="17" t="s">
        <v>81</v>
      </c>
      <c r="V165" s="18">
        <f>628127212138</f>
        <v>628127212138</v>
      </c>
    </row>
    <row r="166" ht="15" customHeight="1" spans="1:22" x14ac:dyDescent="0.25">
      <c r="A166" s="17" t="s">
        <v>583</v>
      </c>
      <c r="B166" s="17" t="s">
        <v>70</v>
      </c>
      <c r="C166" s="17" t="s">
        <v>71</v>
      </c>
      <c r="D166" t="s">
        <v>579</v>
      </c>
      <c r="F166" t="s">
        <v>584</v>
      </c>
      <c r="K166" s="18">
        <f>6282137142797</f>
        <v>6282137142797</v>
      </c>
      <c r="N166" s="17" t="s">
        <v>81</v>
      </c>
      <c r="V166" s="18">
        <f>6282137142797</f>
        <v>6282137142797</v>
      </c>
    </row>
    <row r="167" ht="15" customHeight="1" spans="1:22" x14ac:dyDescent="0.25">
      <c r="A167" s="17" t="s">
        <v>585</v>
      </c>
      <c r="B167" s="17" t="s">
        <v>70</v>
      </c>
      <c r="C167" s="17" t="s">
        <v>71</v>
      </c>
      <c r="D167" t="s">
        <v>586</v>
      </c>
      <c r="F167" t="s">
        <v>587</v>
      </c>
      <c r="K167" s="18">
        <f>628121282303</f>
        <v>628121282303</v>
      </c>
      <c r="N167" s="17" t="s">
        <v>74</v>
      </c>
      <c r="V167" s="18">
        <f>628121282303</f>
        <v>628121282303</v>
      </c>
    </row>
    <row r="168" ht="15" customHeight="1" spans="1:22" x14ac:dyDescent="0.25">
      <c r="A168" s="17" t="s">
        <v>588</v>
      </c>
      <c r="B168" s="17" t="s">
        <v>70</v>
      </c>
      <c r="C168" s="17" t="s">
        <v>71</v>
      </c>
      <c r="D168" t="s">
        <v>589</v>
      </c>
      <c r="F168" t="s">
        <v>590</v>
      </c>
      <c r="K168" s="18">
        <f>6281345341777</f>
        <v>6281345341777</v>
      </c>
      <c r="N168" s="17" t="s">
        <v>77</v>
      </c>
      <c r="V168" s="18">
        <f>6281345341777</f>
        <v>6281345341777</v>
      </c>
    </row>
    <row r="169" ht="15" customHeight="1" spans="1:28" x14ac:dyDescent="0.25">
      <c r="A169" s="17" t="s">
        <v>591</v>
      </c>
      <c r="B169" s="17" t="s">
        <v>70</v>
      </c>
      <c r="C169" s="17" t="s">
        <v>71</v>
      </c>
      <c r="D169" t="s">
        <v>592</v>
      </c>
      <c r="F169" t="s">
        <v>593</v>
      </c>
      <c r="J169" t="s">
        <v>115</v>
      </c>
      <c r="K169" s="18" t="s">
        <v>594</v>
      </c>
      <c r="N169" s="17" t="s">
        <v>77</v>
      </c>
      <c r="O169" t="s">
        <v>261</v>
      </c>
      <c r="U169" s="17"/>
      <c r="V169" s="18" t="s">
        <v>594</v>
      </c>
      <c r="W169" t="s">
        <v>595</v>
      </c>
      <c r="Y169" s="17" t="s">
        <v>596</v>
      </c>
      <c r="AA169" t="s">
        <v>597</v>
      </c>
      <c r="AB169" t="s">
        <v>119</v>
      </c>
    </row>
    <row r="170" ht="15" customHeight="1" spans="1:22" x14ac:dyDescent="0.25">
      <c r="A170" s="17" t="s">
        <v>598</v>
      </c>
      <c r="B170" s="17" t="s">
        <v>70</v>
      </c>
      <c r="C170" s="17" t="s">
        <v>71</v>
      </c>
      <c r="D170" t="s">
        <v>599</v>
      </c>
      <c r="F170" t="s">
        <v>600</v>
      </c>
      <c r="K170" s="18">
        <f>6282242554477</f>
        <v>6282242554477</v>
      </c>
      <c r="N170" s="17" t="s">
        <v>74</v>
      </c>
      <c r="V170" s="18">
        <f>6282242554477</f>
        <v>6282242554477</v>
      </c>
    </row>
    <row r="171" ht="15" customHeight="1" spans="1:22" x14ac:dyDescent="0.25">
      <c r="A171" s="17" t="s">
        <v>601</v>
      </c>
      <c r="B171" s="17" t="s">
        <v>70</v>
      </c>
      <c r="C171" s="17" t="s">
        <v>71</v>
      </c>
      <c r="D171" t="s">
        <v>602</v>
      </c>
      <c r="F171" t="s">
        <v>602</v>
      </c>
      <c r="K171" s="18">
        <f>628113061993</f>
        <v>628113061993</v>
      </c>
      <c r="N171" s="17" t="s">
        <v>81</v>
      </c>
      <c r="V171" s="18">
        <f>628113061993</f>
        <v>628113061993</v>
      </c>
    </row>
    <row r="172" ht="15" customHeight="1" spans="1:22" x14ac:dyDescent="0.25">
      <c r="A172" s="17" t="s">
        <v>603</v>
      </c>
      <c r="B172" s="17" t="s">
        <v>70</v>
      </c>
      <c r="C172" s="17" t="s">
        <v>71</v>
      </c>
      <c r="D172" t="s">
        <v>602</v>
      </c>
      <c r="F172" t="s">
        <v>604</v>
      </c>
      <c r="K172" s="18">
        <f>62581096228</f>
        <v>62581096228</v>
      </c>
      <c r="N172" s="17" t="s">
        <v>77</v>
      </c>
      <c r="V172" s="18">
        <f>62581096228</f>
        <v>62581096228</v>
      </c>
    </row>
    <row r="173" ht="15" customHeight="1" spans="1:22" x14ac:dyDescent="0.25">
      <c r="A173" s="17" t="s">
        <v>605</v>
      </c>
      <c r="B173" s="17" t="s">
        <v>70</v>
      </c>
      <c r="C173" s="17" t="s">
        <v>71</v>
      </c>
      <c r="D173" t="s">
        <v>602</v>
      </c>
      <c r="F173" t="s">
        <v>606</v>
      </c>
      <c r="K173" s="18">
        <f>62811928027</f>
        <v>62811928027</v>
      </c>
      <c r="N173" s="17" t="s">
        <v>77</v>
      </c>
      <c r="V173" s="18">
        <f>62811928027</f>
        <v>62811928027</v>
      </c>
    </row>
    <row r="174" ht="15" customHeight="1" spans="1:22" x14ac:dyDescent="0.25">
      <c r="A174" s="17" t="s">
        <v>607</v>
      </c>
      <c r="B174" s="17" t="s">
        <v>70</v>
      </c>
      <c r="C174" s="17" t="s">
        <v>71</v>
      </c>
      <c r="D174" t="s">
        <v>608</v>
      </c>
      <c r="F174" t="s">
        <v>608</v>
      </c>
      <c r="K174" s="18">
        <f>628121393778</f>
        <v>628121393778</v>
      </c>
      <c r="N174" s="17" t="s">
        <v>77</v>
      </c>
      <c r="V174" s="18">
        <f>628121393778</f>
        <v>628121393778</v>
      </c>
    </row>
    <row r="175" ht="15" customHeight="1" spans="1:22" x14ac:dyDescent="0.25">
      <c r="A175" s="17" t="s">
        <v>609</v>
      </c>
      <c r="B175" s="17" t="s">
        <v>70</v>
      </c>
      <c r="C175" s="17" t="s">
        <v>71</v>
      </c>
      <c r="D175" t="s">
        <v>610</v>
      </c>
      <c r="F175" t="s">
        <v>611</v>
      </c>
      <c r="K175" s="18">
        <f>62815805551</f>
        <v>62815805551</v>
      </c>
      <c r="N175" s="17" t="s">
        <v>77</v>
      </c>
      <c r="V175" s="18">
        <f>62815805551</f>
        <v>62815805551</v>
      </c>
    </row>
    <row r="176" ht="15" customHeight="1" spans="1:22" x14ac:dyDescent="0.25">
      <c r="A176" s="17" t="s">
        <v>612</v>
      </c>
      <c r="B176" s="17" t="s">
        <v>70</v>
      </c>
      <c r="C176" s="17" t="s">
        <v>71</v>
      </c>
      <c r="D176" t="s">
        <v>610</v>
      </c>
      <c r="F176" t="s">
        <v>613</v>
      </c>
      <c r="K176" s="18">
        <f>628158055551</f>
        <v>628158055551</v>
      </c>
      <c r="N176" s="17" t="s">
        <v>77</v>
      </c>
      <c r="V176" s="18">
        <f>628158055551</f>
        <v>628158055551</v>
      </c>
    </row>
    <row r="177" ht="15" customHeight="1" spans="1:28" x14ac:dyDescent="0.25">
      <c r="A177" s="17" t="s">
        <v>614</v>
      </c>
      <c r="B177" s="17" t="s">
        <v>70</v>
      </c>
      <c r="C177" s="17" t="s">
        <v>71</v>
      </c>
      <c r="D177" t="s">
        <v>615</v>
      </c>
      <c r="F177" t="s">
        <v>615</v>
      </c>
      <c r="J177" t="s">
        <v>115</v>
      </c>
      <c r="K177" s="18" t="s">
        <v>616</v>
      </c>
      <c r="N177" s="17" t="s">
        <v>77</v>
      </c>
      <c r="O177" t="s">
        <v>117</v>
      </c>
      <c r="V177" s="18" t="s">
        <v>616</v>
      </c>
      <c r="Y177" t="s">
        <v>90</v>
      </c>
      <c r="AA177" t="s">
        <v>118</v>
      </c>
      <c r="AB177" t="s">
        <v>119</v>
      </c>
    </row>
    <row r="178" ht="15" customHeight="1" spans="1:28" x14ac:dyDescent="0.25">
      <c r="A178" s="17" t="s">
        <v>617</v>
      </c>
      <c r="B178" s="17" t="s">
        <v>70</v>
      </c>
      <c r="C178" s="17" t="s">
        <v>71</v>
      </c>
      <c r="D178" t="s">
        <v>615</v>
      </c>
      <c r="F178" t="s">
        <v>618</v>
      </c>
      <c r="J178" s="17" t="s">
        <v>619</v>
      </c>
      <c r="K178" s="18" t="s">
        <v>620</v>
      </c>
      <c r="N178" s="17" t="s">
        <v>77</v>
      </c>
      <c r="O178" t="s">
        <v>261</v>
      </c>
      <c r="U178" s="17"/>
      <c r="V178" s="18" t="s">
        <v>620</v>
      </c>
      <c r="W178" t="s">
        <v>621</v>
      </c>
      <c r="Y178" t="s">
        <v>622</v>
      </c>
      <c r="AA178" t="s">
        <v>623</v>
      </c>
      <c r="AB178" t="s">
        <v>119</v>
      </c>
    </row>
    <row r="179" ht="15" customHeight="1" spans="1:27" x14ac:dyDescent="0.25">
      <c r="A179" s="17" t="s">
        <v>624</v>
      </c>
      <c r="B179" s="17" t="s">
        <v>70</v>
      </c>
      <c r="C179" s="17" t="s">
        <v>71</v>
      </c>
      <c r="D179" t="s">
        <v>615</v>
      </c>
      <c r="F179" t="s">
        <v>618</v>
      </c>
      <c r="K179" s="18">
        <f>628122698886</f>
        <v>628122698886</v>
      </c>
      <c r="N179" s="17" t="s">
        <v>77</v>
      </c>
      <c r="U179" s="17"/>
      <c r="V179" s="18">
        <f>628122698886</f>
        <v>628122698886</v>
      </c>
      <c r="W179" t="s">
        <v>625</v>
      </c>
      <c r="Y179" s="17" t="s">
        <v>626</v>
      </c>
      <c r="AA179" s="17" t="s">
        <v>627</v>
      </c>
    </row>
    <row r="180" ht="15" customHeight="1" spans="1:22" x14ac:dyDescent="0.25">
      <c r="A180" s="17" t="s">
        <v>628</v>
      </c>
      <c r="B180" s="17" t="s">
        <v>70</v>
      </c>
      <c r="C180" s="17" t="s">
        <v>71</v>
      </c>
      <c r="D180" t="s">
        <v>615</v>
      </c>
      <c r="F180" t="s">
        <v>629</v>
      </c>
      <c r="K180" s="18">
        <f>6285763405993</f>
        <v>6285763405993</v>
      </c>
      <c r="N180" s="17" t="s">
        <v>77</v>
      </c>
      <c r="V180" s="18">
        <f>6285763405993</f>
        <v>6285763405993</v>
      </c>
    </row>
    <row r="181" ht="15" customHeight="1" spans="1:22" x14ac:dyDescent="0.25">
      <c r="A181" s="17" t="s">
        <v>630</v>
      </c>
      <c r="B181" s="17" t="s">
        <v>70</v>
      </c>
      <c r="C181" s="17" t="s">
        <v>71</v>
      </c>
      <c r="D181" t="s">
        <v>615</v>
      </c>
      <c r="F181" t="s">
        <v>631</v>
      </c>
      <c r="K181" s="18">
        <f>6281290558840</f>
        <v>6281290558840</v>
      </c>
      <c r="N181" s="17" t="s">
        <v>77</v>
      </c>
      <c r="V181" s="18">
        <f>6281290558840</f>
        <v>6281290558840</v>
      </c>
    </row>
    <row r="182" ht="15" customHeight="1" spans="1:23" x14ac:dyDescent="0.25">
      <c r="A182" s="17" t="s">
        <v>632</v>
      </c>
      <c r="B182" s="17" t="s">
        <v>70</v>
      </c>
      <c r="C182" s="17" t="s">
        <v>71</v>
      </c>
      <c r="D182" t="s">
        <v>615</v>
      </c>
      <c r="F182" t="s">
        <v>633</v>
      </c>
      <c r="K182" s="18">
        <f>628111702708</f>
        <v>628111702708</v>
      </c>
      <c r="N182" s="17" t="s">
        <v>81</v>
      </c>
      <c r="U182" s="17"/>
      <c r="V182" s="18">
        <f>628111702708</f>
        <v>628111702708</v>
      </c>
      <c r="W182" t="s">
        <v>634</v>
      </c>
    </row>
    <row r="183" ht="15" customHeight="1" spans="1:22" x14ac:dyDescent="0.25">
      <c r="A183" s="17" t="s">
        <v>635</v>
      </c>
      <c r="B183" s="17" t="s">
        <v>70</v>
      </c>
      <c r="C183" s="17" t="s">
        <v>71</v>
      </c>
      <c r="D183" t="s">
        <v>615</v>
      </c>
      <c r="F183" t="s">
        <v>636</v>
      </c>
      <c r="K183" s="18">
        <f>628128888808</f>
        <v>628128888808</v>
      </c>
      <c r="N183" s="17" t="s">
        <v>77</v>
      </c>
      <c r="V183" s="18">
        <f>628128888808</f>
        <v>628128888808</v>
      </c>
    </row>
    <row r="184" ht="15" customHeight="1" spans="1:22" x14ac:dyDescent="0.25">
      <c r="A184" s="17" t="s">
        <v>637</v>
      </c>
      <c r="B184" s="17" t="s">
        <v>70</v>
      </c>
      <c r="C184" s="17" t="s">
        <v>71</v>
      </c>
      <c r="D184" t="s">
        <v>615</v>
      </c>
      <c r="F184" t="s">
        <v>638</v>
      </c>
      <c r="K184" s="18">
        <f>62811287777320</f>
        <v>62811287777320</v>
      </c>
      <c r="N184" s="17" t="s">
        <v>74</v>
      </c>
      <c r="V184" s="18">
        <f>62811287777320</f>
        <v>62811287777320</v>
      </c>
    </row>
    <row r="185" ht="15" customHeight="1" spans="1:27" x14ac:dyDescent="0.25">
      <c r="A185" s="17" t="s">
        <v>639</v>
      </c>
      <c r="B185" s="17" t="s">
        <v>70</v>
      </c>
      <c r="C185" s="17" t="s">
        <v>71</v>
      </c>
      <c r="D185" t="s">
        <v>615</v>
      </c>
      <c r="F185" t="s">
        <v>640</v>
      </c>
      <c r="K185" s="18">
        <f>6282123083030</f>
        <v>6282123083030</v>
      </c>
      <c r="N185" s="17" t="s">
        <v>77</v>
      </c>
      <c r="U185" s="17"/>
      <c r="V185" s="18">
        <f>6282123083030</f>
        <v>6282123083030</v>
      </c>
      <c r="W185" t="s">
        <v>641</v>
      </c>
      <c r="Y185" s="17" t="s">
        <v>90</v>
      </c>
      <c r="AA185" s="17">
        <v>12070</v>
      </c>
    </row>
    <row r="186" ht="15" customHeight="1" spans="1:25" x14ac:dyDescent="0.25">
      <c r="A186" s="17" t="s">
        <v>642</v>
      </c>
      <c r="B186" s="17" t="s">
        <v>70</v>
      </c>
      <c r="C186" s="17" t="s">
        <v>71</v>
      </c>
      <c r="D186" t="s">
        <v>615</v>
      </c>
      <c r="F186" t="s">
        <v>643</v>
      </c>
      <c r="K186" s="18">
        <f>628170161988</f>
        <v>628170161988</v>
      </c>
      <c r="N186" s="17" t="s">
        <v>81</v>
      </c>
      <c r="U186" s="17"/>
      <c r="V186" s="18">
        <f>628170161988</f>
        <v>628170161988</v>
      </c>
      <c r="W186" t="s">
        <v>644</v>
      </c>
      <c r="Y186" s="17" t="s">
        <v>90</v>
      </c>
    </row>
    <row r="187" ht="15" customHeight="1" spans="1:22" x14ac:dyDescent="0.25">
      <c r="A187" s="17" t="s">
        <v>645</v>
      </c>
      <c r="B187" s="17" t="s">
        <v>70</v>
      </c>
      <c r="C187" s="17" t="s">
        <v>71</v>
      </c>
      <c r="D187" t="s">
        <v>615</v>
      </c>
      <c r="F187" t="s">
        <v>646</v>
      </c>
      <c r="K187" s="18">
        <f>6281213130709</f>
        <v>6281213130709</v>
      </c>
      <c r="N187" s="17" t="s">
        <v>77</v>
      </c>
      <c r="V187" s="18">
        <f>6281213130709</f>
        <v>6281213130709</v>
      </c>
    </row>
    <row r="188" ht="15" customHeight="1" spans="1:22" x14ac:dyDescent="0.25">
      <c r="A188" s="17" t="s">
        <v>647</v>
      </c>
      <c r="B188" s="17" t="s">
        <v>70</v>
      </c>
      <c r="C188" s="17" t="s">
        <v>71</v>
      </c>
      <c r="D188" t="s">
        <v>615</v>
      </c>
      <c r="F188" t="s">
        <v>301</v>
      </c>
      <c r="K188" s="18">
        <f>6281289335597</f>
        <v>6281289335597</v>
      </c>
      <c r="N188" s="17" t="s">
        <v>77</v>
      </c>
      <c r="V188" s="18">
        <f>6281289335597</f>
        <v>6281289335597</v>
      </c>
    </row>
    <row r="189" ht="15" customHeight="1" spans="1:22" x14ac:dyDescent="0.25">
      <c r="A189" s="17" t="s">
        <v>648</v>
      </c>
      <c r="B189" s="17" t="s">
        <v>70</v>
      </c>
      <c r="C189" s="17" t="s">
        <v>71</v>
      </c>
      <c r="D189" t="s">
        <v>615</v>
      </c>
      <c r="F189" t="s">
        <v>649</v>
      </c>
      <c r="K189" s="18">
        <f>6282124681237</f>
        <v>6282124681237</v>
      </c>
      <c r="N189" s="17" t="s">
        <v>81</v>
      </c>
      <c r="V189" s="18">
        <f>6282124681237</f>
        <v>6282124681237</v>
      </c>
    </row>
    <row r="190" ht="15" customHeight="1" spans="1:22" x14ac:dyDescent="0.25">
      <c r="A190" s="17" t="s">
        <v>650</v>
      </c>
      <c r="B190" s="17" t="s">
        <v>70</v>
      </c>
      <c r="C190" s="17" t="s">
        <v>71</v>
      </c>
      <c r="D190" t="s">
        <v>615</v>
      </c>
      <c r="F190" t="s">
        <v>651</v>
      </c>
      <c r="K190" s="18">
        <f>6281287925945</f>
        <v>6281287925945</v>
      </c>
      <c r="N190" s="17" t="s">
        <v>81</v>
      </c>
      <c r="V190" s="18">
        <f>6281287925945</f>
        <v>6281287925945</v>
      </c>
    </row>
    <row r="191" ht="15" customHeight="1" spans="1:28" x14ac:dyDescent="0.25">
      <c r="A191" s="17" t="s">
        <v>652</v>
      </c>
      <c r="B191" s="17" t="s">
        <v>70</v>
      </c>
      <c r="C191" s="17" t="s">
        <v>71</v>
      </c>
      <c r="D191" t="s">
        <v>615</v>
      </c>
      <c r="F191" t="s">
        <v>653</v>
      </c>
      <c r="J191" t="s">
        <v>115</v>
      </c>
      <c r="K191" s="18" t="s">
        <v>654</v>
      </c>
      <c r="N191" s="17" t="s">
        <v>77</v>
      </c>
      <c r="O191" t="s">
        <v>145</v>
      </c>
      <c r="V191" s="18" t="s">
        <v>654</v>
      </c>
      <c r="Y191" t="s">
        <v>190</v>
      </c>
      <c r="AA191" t="s">
        <v>118</v>
      </c>
      <c r="AB191" t="s">
        <v>119</v>
      </c>
    </row>
    <row r="192" ht="15" customHeight="1" spans="1:25" x14ac:dyDescent="0.25">
      <c r="A192" s="17" t="s">
        <v>655</v>
      </c>
      <c r="B192" s="17" t="s">
        <v>70</v>
      </c>
      <c r="C192" s="17" t="s">
        <v>71</v>
      </c>
      <c r="D192" t="s">
        <v>615</v>
      </c>
      <c r="F192" t="s">
        <v>656</v>
      </c>
      <c r="K192" s="18">
        <f>628128157000</f>
        <v>628128157000</v>
      </c>
      <c r="N192" s="17" t="s">
        <v>77</v>
      </c>
      <c r="U192" s="17"/>
      <c r="V192" s="18">
        <f>628128157000</f>
        <v>628128157000</v>
      </c>
      <c r="W192" t="s">
        <v>657</v>
      </c>
      <c r="Y192" t="s">
        <v>217</v>
      </c>
    </row>
    <row r="193" ht="15" customHeight="1" spans="1:22" x14ac:dyDescent="0.25">
      <c r="A193" s="17" t="s">
        <v>658</v>
      </c>
      <c r="B193" s="17" t="s">
        <v>70</v>
      </c>
      <c r="C193" s="17" t="s">
        <v>71</v>
      </c>
      <c r="D193" t="s">
        <v>615</v>
      </c>
      <c r="F193" t="s">
        <v>659</v>
      </c>
      <c r="K193" s="18">
        <f>628129962424</f>
        <v>628129962424</v>
      </c>
      <c r="N193" s="17" t="s">
        <v>77</v>
      </c>
      <c r="V193" s="18">
        <f>628129962424</f>
        <v>628129962424</v>
      </c>
    </row>
    <row r="194" ht="15" customHeight="1" spans="1:25" x14ac:dyDescent="0.25">
      <c r="A194" s="17" t="s">
        <v>660</v>
      </c>
      <c r="B194" s="17" t="s">
        <v>70</v>
      </c>
      <c r="C194" s="17" t="s">
        <v>71</v>
      </c>
      <c r="D194" t="s">
        <v>615</v>
      </c>
      <c r="F194" t="s">
        <v>661</v>
      </c>
      <c r="K194" s="18">
        <f>62217900667</f>
        <v>62217900667</v>
      </c>
      <c r="N194" s="17" t="s">
        <v>81</v>
      </c>
      <c r="U194" s="17"/>
      <c r="V194" s="18">
        <f>62217900667</f>
        <v>62217900667</v>
      </c>
      <c r="W194" t="s">
        <v>662</v>
      </c>
      <c r="Y194" s="17" t="s">
        <v>96</v>
      </c>
    </row>
    <row r="195" ht="15" customHeight="1" spans="1:27" x14ac:dyDescent="0.25">
      <c r="A195" s="17" t="s">
        <v>663</v>
      </c>
      <c r="B195" s="17" t="s">
        <v>70</v>
      </c>
      <c r="C195" s="17" t="s">
        <v>71</v>
      </c>
      <c r="D195" t="s">
        <v>664</v>
      </c>
      <c r="F195" t="s">
        <v>665</v>
      </c>
      <c r="K195" s="18">
        <f>62217269648</f>
        <v>62217269648</v>
      </c>
      <c r="N195" s="17" t="s">
        <v>77</v>
      </c>
      <c r="U195" s="17"/>
      <c r="V195" s="18">
        <f>62217269648</f>
        <v>62217269648</v>
      </c>
      <c r="W195" t="s">
        <v>666</v>
      </c>
      <c r="Y195" s="17" t="s">
        <v>96</v>
      </c>
      <c r="AA195" s="17">
        <v>12120</v>
      </c>
    </row>
    <row r="196" ht="15" customHeight="1" spans="1:22" x14ac:dyDescent="0.25">
      <c r="A196" s="17" t="s">
        <v>667</v>
      </c>
      <c r="B196" s="17" t="s">
        <v>70</v>
      </c>
      <c r="C196" s="17" t="s">
        <v>71</v>
      </c>
      <c r="D196" t="s">
        <v>668</v>
      </c>
      <c r="F196" t="s">
        <v>669</v>
      </c>
      <c r="K196" s="18">
        <f>628190100068</f>
        <v>628190100068</v>
      </c>
      <c r="N196" s="17" t="s">
        <v>77</v>
      </c>
      <c r="V196" s="18">
        <f>628190100068</f>
        <v>628190100068</v>
      </c>
    </row>
    <row r="197" ht="15" customHeight="1" spans="1:22" x14ac:dyDescent="0.25">
      <c r="A197" s="17" t="s">
        <v>670</v>
      </c>
      <c r="B197" s="17" t="s">
        <v>70</v>
      </c>
      <c r="C197" s="17" t="s">
        <v>71</v>
      </c>
      <c r="D197" t="s">
        <v>671</v>
      </c>
      <c r="F197" t="s">
        <v>672</v>
      </c>
      <c r="K197" s="18">
        <f>6281286789700</f>
        <v>6281286789700</v>
      </c>
      <c r="N197" s="17" t="s">
        <v>81</v>
      </c>
      <c r="V197" s="18">
        <f>6281286789700</f>
        <v>6281286789700</v>
      </c>
    </row>
    <row r="198" ht="15" customHeight="1" spans="1:25" x14ac:dyDescent="0.25">
      <c r="A198" s="17" t="s">
        <v>673</v>
      </c>
      <c r="B198" s="17" t="s">
        <v>70</v>
      </c>
      <c r="C198" s="17" t="s">
        <v>71</v>
      </c>
      <c r="D198" t="s">
        <v>674</v>
      </c>
      <c r="F198" t="s">
        <v>675</v>
      </c>
      <c r="K198" s="18">
        <f>6281212857515</f>
        <v>6281212857515</v>
      </c>
      <c r="N198" s="17" t="s">
        <v>77</v>
      </c>
      <c r="U198" s="17"/>
      <c r="V198" s="18">
        <f>6281212857515</f>
        <v>6281212857515</v>
      </c>
      <c r="W198" t="s">
        <v>676</v>
      </c>
      <c r="Y198" s="17" t="s">
        <v>96</v>
      </c>
    </row>
    <row r="199" ht="15" customHeight="1" spans="1:22" x14ac:dyDescent="0.25">
      <c r="A199" s="17" t="s">
        <v>677</v>
      </c>
      <c r="B199" s="17" t="s">
        <v>70</v>
      </c>
      <c r="C199" s="17" t="s">
        <v>71</v>
      </c>
      <c r="D199" t="s">
        <v>678</v>
      </c>
      <c r="F199" t="s">
        <v>679</v>
      </c>
      <c r="K199" s="18">
        <f>628112632266</f>
        <v>628112632266</v>
      </c>
      <c r="N199" s="17" t="s">
        <v>81</v>
      </c>
      <c r="V199" s="18">
        <f>628112632266</f>
        <v>628112632266</v>
      </c>
    </row>
    <row r="200" ht="15" customHeight="1" spans="1:22" x14ac:dyDescent="0.25">
      <c r="A200" s="17" t="s">
        <v>680</v>
      </c>
      <c r="B200" s="17" t="s">
        <v>70</v>
      </c>
      <c r="C200" s="17" t="s">
        <v>71</v>
      </c>
      <c r="D200" t="s">
        <v>678</v>
      </c>
      <c r="F200" t="s">
        <v>681</v>
      </c>
      <c r="K200" s="18">
        <f>62818568000</f>
        <v>62818568000</v>
      </c>
      <c r="N200" s="17" t="s">
        <v>77</v>
      </c>
      <c r="V200" s="18">
        <f>62818568000</f>
        <v>62818568000</v>
      </c>
    </row>
    <row r="201" ht="15" customHeight="1" spans="1:22" x14ac:dyDescent="0.25">
      <c r="A201" s="17" t="s">
        <v>682</v>
      </c>
      <c r="B201" s="17" t="s">
        <v>70</v>
      </c>
      <c r="C201" s="17" t="s">
        <v>71</v>
      </c>
      <c r="D201" t="s">
        <v>678</v>
      </c>
      <c r="F201" t="s">
        <v>683</v>
      </c>
      <c r="K201" s="18">
        <f>628174956575</f>
        <v>628174956575</v>
      </c>
      <c r="N201" s="17" t="s">
        <v>81</v>
      </c>
      <c r="V201" s="18">
        <f>628174956575</f>
        <v>628174956575</v>
      </c>
    </row>
    <row r="202" ht="15" customHeight="1" spans="1:25" x14ac:dyDescent="0.25">
      <c r="A202" s="17" t="s">
        <v>684</v>
      </c>
      <c r="B202" s="17" t="s">
        <v>70</v>
      </c>
      <c r="C202" s="17" t="s">
        <v>71</v>
      </c>
      <c r="D202" t="s">
        <v>685</v>
      </c>
      <c r="F202" t="s">
        <v>686</v>
      </c>
      <c r="J202" s="17" t="s">
        <v>687</v>
      </c>
      <c r="K202" s="18">
        <f>6287821888228</f>
        <v>6287821888228</v>
      </c>
      <c r="N202" s="17" t="s">
        <v>77</v>
      </c>
      <c r="U202" s="17"/>
      <c r="V202" s="18">
        <f>6287821888228</f>
        <v>6287821888228</v>
      </c>
      <c r="W202" t="s">
        <v>688</v>
      </c>
      <c r="Y202" s="17" t="s">
        <v>96</v>
      </c>
    </row>
    <row r="203" ht="15" customHeight="1" spans="1:28" x14ac:dyDescent="0.25">
      <c r="A203" s="17" t="s">
        <v>689</v>
      </c>
      <c r="B203" s="17" t="s">
        <v>70</v>
      </c>
      <c r="C203" s="17" t="s">
        <v>71</v>
      </c>
      <c r="D203" t="s">
        <v>685</v>
      </c>
      <c r="F203" t="s">
        <v>690</v>
      </c>
      <c r="J203" t="s">
        <v>691</v>
      </c>
      <c r="K203" s="18" t="s">
        <v>692</v>
      </c>
      <c r="N203" s="17" t="s">
        <v>77</v>
      </c>
      <c r="O203" t="s">
        <v>117</v>
      </c>
      <c r="V203" s="18" t="s">
        <v>692</v>
      </c>
      <c r="Y203" t="s">
        <v>96</v>
      </c>
      <c r="AA203" t="s">
        <v>693</v>
      </c>
      <c r="AB203" t="s">
        <v>119</v>
      </c>
    </row>
    <row r="204" ht="15" customHeight="1" spans="1:28" x14ac:dyDescent="0.25">
      <c r="A204" s="17" t="s">
        <v>694</v>
      </c>
      <c r="B204" s="17" t="s">
        <v>70</v>
      </c>
      <c r="C204" s="17" t="s">
        <v>71</v>
      </c>
      <c r="D204" t="s">
        <v>685</v>
      </c>
      <c r="F204" t="s">
        <v>695</v>
      </c>
      <c r="J204" s="17" t="s">
        <v>696</v>
      </c>
      <c r="K204" s="18" t="s">
        <v>697</v>
      </c>
      <c r="N204" s="17" t="s">
        <v>77</v>
      </c>
      <c r="O204" t="s">
        <v>117</v>
      </c>
      <c r="V204" s="18" t="s">
        <v>697</v>
      </c>
      <c r="Y204" t="s">
        <v>190</v>
      </c>
      <c r="AA204" t="s">
        <v>118</v>
      </c>
      <c r="AB204" t="s">
        <v>119</v>
      </c>
    </row>
    <row r="205" ht="15" customHeight="1" spans="1:22" x14ac:dyDescent="0.25">
      <c r="A205" s="17" t="s">
        <v>698</v>
      </c>
      <c r="B205" s="17" t="s">
        <v>70</v>
      </c>
      <c r="C205" s="17" t="s">
        <v>71</v>
      </c>
      <c r="D205" t="s">
        <v>685</v>
      </c>
      <c r="F205" t="s">
        <v>699</v>
      </c>
      <c r="K205" s="18">
        <f>62818111210</f>
        <v>62818111210</v>
      </c>
      <c r="N205" s="17" t="s">
        <v>77</v>
      </c>
      <c r="V205" s="18">
        <f>62818111210</f>
        <v>62818111210</v>
      </c>
    </row>
    <row r="206" ht="15" customHeight="1" spans="1:28" x14ac:dyDescent="0.25">
      <c r="A206" s="17" t="s">
        <v>700</v>
      </c>
      <c r="B206" s="17" t="s">
        <v>70</v>
      </c>
      <c r="C206" s="17" t="s">
        <v>71</v>
      </c>
      <c r="D206" t="s">
        <v>701</v>
      </c>
      <c r="F206" t="s">
        <v>702</v>
      </c>
      <c r="J206" t="s">
        <v>115</v>
      </c>
      <c r="K206" s="18" t="s">
        <v>703</v>
      </c>
      <c r="N206" s="17" t="s">
        <v>77</v>
      </c>
      <c r="O206" t="s">
        <v>117</v>
      </c>
      <c r="V206" s="18" t="s">
        <v>703</v>
      </c>
      <c r="Y206" t="s">
        <v>704</v>
      </c>
      <c r="AA206" t="s">
        <v>705</v>
      </c>
      <c r="AB206" t="s">
        <v>119</v>
      </c>
    </row>
    <row r="207" ht="15" customHeight="1" spans="1:27" x14ac:dyDescent="0.25">
      <c r="A207" s="17" t="s">
        <v>706</v>
      </c>
      <c r="B207" s="17" t="s">
        <v>70</v>
      </c>
      <c r="C207" s="17" t="s">
        <v>71</v>
      </c>
      <c r="D207" t="s">
        <v>707</v>
      </c>
      <c r="F207" t="s">
        <v>708</v>
      </c>
      <c r="K207" s="18">
        <f>6281294637587</f>
        <v>6281294637587</v>
      </c>
      <c r="N207" s="17" t="s">
        <v>77</v>
      </c>
      <c r="U207" s="17"/>
      <c r="V207" s="18">
        <f>6281294637587</f>
        <v>6281294637587</v>
      </c>
      <c r="W207" t="s">
        <v>709</v>
      </c>
      <c r="Y207" s="17" t="s">
        <v>96</v>
      </c>
      <c r="AA207" s="17">
        <v>12330</v>
      </c>
    </row>
    <row r="208" ht="15" customHeight="1" spans="1:27" x14ac:dyDescent="0.25">
      <c r="A208" s="17" t="s">
        <v>710</v>
      </c>
      <c r="B208" s="17" t="s">
        <v>70</v>
      </c>
      <c r="C208" s="17" t="s">
        <v>71</v>
      </c>
      <c r="D208" t="s">
        <v>711</v>
      </c>
      <c r="F208" t="s">
        <v>712</v>
      </c>
      <c r="K208" s="18">
        <f>62217807659</f>
        <v>62217807659</v>
      </c>
      <c r="N208" s="17" t="s">
        <v>77</v>
      </c>
      <c r="U208" s="17"/>
      <c r="V208" s="18">
        <f>62217807659</f>
        <v>62217807659</v>
      </c>
      <c r="W208" t="s">
        <v>713</v>
      </c>
      <c r="Y208" s="17" t="s">
        <v>96</v>
      </c>
      <c r="AA208" s="17" t="s">
        <v>714</v>
      </c>
    </row>
    <row r="209" ht="15" customHeight="1" spans="1:22" x14ac:dyDescent="0.25">
      <c r="A209" s="17" t="s">
        <v>715</v>
      </c>
      <c r="B209" s="17" t="s">
        <v>70</v>
      </c>
      <c r="C209" s="17" t="s">
        <v>71</v>
      </c>
      <c r="D209" t="s">
        <v>716</v>
      </c>
      <c r="F209" t="s">
        <v>716</v>
      </c>
      <c r="K209" s="18">
        <f>628118202121</f>
        <v>628118202121</v>
      </c>
      <c r="N209" s="17" t="s">
        <v>77</v>
      </c>
      <c r="V209" s="18">
        <f>628118202121</f>
        <v>628118202121</v>
      </c>
    </row>
    <row r="210" ht="15" customHeight="1" spans="1:22" x14ac:dyDescent="0.25">
      <c r="A210" s="17" t="s">
        <v>717</v>
      </c>
      <c r="B210" s="17" t="s">
        <v>70</v>
      </c>
      <c r="C210" s="17" t="s">
        <v>71</v>
      </c>
      <c r="D210" t="s">
        <v>718</v>
      </c>
      <c r="F210" t="s">
        <v>719</v>
      </c>
      <c r="K210" s="18">
        <f>62811128811</f>
        <v>62811128811</v>
      </c>
      <c r="N210" s="17" t="s">
        <v>81</v>
      </c>
      <c r="V210" s="18">
        <f>62811128811</f>
        <v>62811128811</v>
      </c>
    </row>
    <row r="211" ht="15" customHeight="1" spans="1:25" x14ac:dyDescent="0.25">
      <c r="A211" s="17" t="s">
        <v>720</v>
      </c>
      <c r="B211" s="17" t="s">
        <v>70</v>
      </c>
      <c r="C211" s="17" t="s">
        <v>71</v>
      </c>
      <c r="D211" t="s">
        <v>721</v>
      </c>
      <c r="F211" t="s">
        <v>721</v>
      </c>
      <c r="K211" s="18">
        <f>62877776657537</f>
        <v>62877776657537</v>
      </c>
      <c r="N211" s="17" t="s">
        <v>74</v>
      </c>
      <c r="U211" s="17"/>
      <c r="V211" s="18">
        <f>62877776657537</f>
        <v>62877776657537</v>
      </c>
      <c r="W211" t="s">
        <v>722</v>
      </c>
      <c r="Y211" s="17" t="s">
        <v>96</v>
      </c>
    </row>
    <row r="212" ht="15" customHeight="1" spans="1:28" x14ac:dyDescent="0.25">
      <c r="A212" s="17" t="s">
        <v>723</v>
      </c>
      <c r="B212" s="17" t="s">
        <v>70</v>
      </c>
      <c r="C212" s="17" t="s">
        <v>71</v>
      </c>
      <c r="D212" t="s">
        <v>724</v>
      </c>
      <c r="F212" t="s">
        <v>724</v>
      </c>
      <c r="J212" t="s">
        <v>115</v>
      </c>
      <c r="K212" s="18" t="s">
        <v>725</v>
      </c>
      <c r="N212" s="17" t="s">
        <v>77</v>
      </c>
      <c r="O212" t="s">
        <v>117</v>
      </c>
      <c r="V212" s="18" t="s">
        <v>725</v>
      </c>
      <c r="Y212" t="s">
        <v>96</v>
      </c>
      <c r="AA212" t="s">
        <v>693</v>
      </c>
      <c r="AB212" t="s">
        <v>119</v>
      </c>
    </row>
    <row r="213" ht="15" customHeight="1" spans="1:22" x14ac:dyDescent="0.25">
      <c r="A213" s="17" t="s">
        <v>726</v>
      </c>
      <c r="B213" s="17" t="s">
        <v>70</v>
      </c>
      <c r="C213" s="17" t="s">
        <v>71</v>
      </c>
      <c r="D213" t="s">
        <v>727</v>
      </c>
      <c r="F213" t="s">
        <v>727</v>
      </c>
      <c r="K213" s="18">
        <f>6598951961</f>
        <v>6598951961</v>
      </c>
      <c r="N213" s="17" t="s">
        <v>77</v>
      </c>
      <c r="V213" s="18">
        <f>6598951961</f>
        <v>6598951961</v>
      </c>
    </row>
    <row r="214" ht="15" customHeight="1" spans="1:25" x14ac:dyDescent="0.25">
      <c r="A214" s="17" t="s">
        <v>728</v>
      </c>
      <c r="B214" s="17" t="s">
        <v>70</v>
      </c>
      <c r="C214" s="17" t="s">
        <v>71</v>
      </c>
      <c r="D214" t="s">
        <v>727</v>
      </c>
      <c r="F214" t="s">
        <v>558</v>
      </c>
      <c r="K214" s="18">
        <f>6281908642222</f>
        <v>6281908642222</v>
      </c>
      <c r="N214" s="17" t="s">
        <v>77</v>
      </c>
      <c r="U214" s="17"/>
      <c r="V214" s="18">
        <f>6281908642222</f>
        <v>6281908642222</v>
      </c>
      <c r="W214" t="s">
        <v>729</v>
      </c>
      <c r="Y214" t="s">
        <v>730</v>
      </c>
    </row>
    <row r="215" ht="15" customHeight="1" spans="1:22" x14ac:dyDescent="0.25">
      <c r="A215" s="17" t="s">
        <v>731</v>
      </c>
      <c r="B215" s="17" t="s">
        <v>70</v>
      </c>
      <c r="C215" s="17" t="s">
        <v>71</v>
      </c>
      <c r="D215" t="s">
        <v>732</v>
      </c>
      <c r="F215" t="s">
        <v>732</v>
      </c>
      <c r="K215" s="18">
        <f>6281332888882</f>
        <v>6281332888882</v>
      </c>
      <c r="N215" s="17" t="s">
        <v>77</v>
      </c>
      <c r="V215" s="18">
        <f>6281332888882</f>
        <v>6281332888882</v>
      </c>
    </row>
    <row r="216" ht="15" customHeight="1" spans="1:22" x14ac:dyDescent="0.25">
      <c r="A216" s="17" t="s">
        <v>733</v>
      </c>
      <c r="B216" s="17" t="s">
        <v>70</v>
      </c>
      <c r="C216" s="17" t="s">
        <v>71</v>
      </c>
      <c r="D216" t="s">
        <v>734</v>
      </c>
      <c r="F216" t="s">
        <v>735</v>
      </c>
      <c r="K216" s="18">
        <f>6282110771580</f>
        <v>6282110771580</v>
      </c>
      <c r="N216" s="17" t="s">
        <v>81</v>
      </c>
      <c r="V216" s="18">
        <f>6282110771580</f>
        <v>6282110771580</v>
      </c>
    </row>
    <row r="217" ht="15" customHeight="1" spans="1:25" x14ac:dyDescent="0.25">
      <c r="A217" s="17" t="s">
        <v>736</v>
      </c>
      <c r="B217" s="17" t="s">
        <v>70</v>
      </c>
      <c r="C217" s="17" t="s">
        <v>71</v>
      </c>
      <c r="D217" t="s">
        <v>734</v>
      </c>
      <c r="F217" t="s">
        <v>737</v>
      </c>
      <c r="K217" s="18">
        <f>62813193333533</f>
        <v>62813193333533</v>
      </c>
      <c r="N217" s="17" t="s">
        <v>77</v>
      </c>
      <c r="U217" s="17"/>
      <c r="V217" s="18">
        <f>62813193333533</f>
        <v>62813193333533</v>
      </c>
      <c r="W217" t="s">
        <v>738</v>
      </c>
      <c r="Y217" t="s">
        <v>90</v>
      </c>
    </row>
    <row r="218" ht="15" customHeight="1" spans="1:27" x14ac:dyDescent="0.25">
      <c r="A218" s="17" t="s">
        <v>739</v>
      </c>
      <c r="B218" s="17" t="s">
        <v>70</v>
      </c>
      <c r="C218" s="17" t="s">
        <v>71</v>
      </c>
      <c r="D218" t="s">
        <v>734</v>
      </c>
      <c r="F218" t="s">
        <v>740</v>
      </c>
      <c r="K218" s="18">
        <f>628122682333</f>
        <v>628122682333</v>
      </c>
      <c r="N218" s="17" t="s">
        <v>77</v>
      </c>
      <c r="U218" s="17"/>
      <c r="V218" s="18">
        <f>628122682333</f>
        <v>628122682333</v>
      </c>
      <c r="W218" t="s">
        <v>741</v>
      </c>
      <c r="Y218" s="17" t="s">
        <v>742</v>
      </c>
      <c r="AA218">
        <v>57152</v>
      </c>
    </row>
    <row r="219" ht="15" customHeight="1" spans="1:28" x14ac:dyDescent="0.25">
      <c r="A219" s="17" t="s">
        <v>743</v>
      </c>
      <c r="B219" s="17" t="s">
        <v>70</v>
      </c>
      <c r="C219" s="17" t="s">
        <v>71</v>
      </c>
      <c r="D219" t="s">
        <v>734</v>
      </c>
      <c r="F219" t="s">
        <v>744</v>
      </c>
      <c r="J219" t="s">
        <v>115</v>
      </c>
      <c r="K219" s="18" t="s">
        <v>745</v>
      </c>
      <c r="N219" s="17" t="s">
        <v>77</v>
      </c>
      <c r="O219" t="s">
        <v>117</v>
      </c>
      <c r="V219" s="18" t="s">
        <v>745</v>
      </c>
      <c r="Y219" t="s">
        <v>190</v>
      </c>
      <c r="AA219" t="s">
        <v>118</v>
      </c>
      <c r="AB219" t="s">
        <v>119</v>
      </c>
    </row>
    <row r="220" ht="15" customHeight="1" spans="1:28" x14ac:dyDescent="0.25">
      <c r="A220" s="17" t="s">
        <v>746</v>
      </c>
      <c r="B220" s="17" t="s">
        <v>70</v>
      </c>
      <c r="C220" s="17" t="s">
        <v>71</v>
      </c>
      <c r="D220" t="s">
        <v>734</v>
      </c>
      <c r="F220" t="s">
        <v>747</v>
      </c>
      <c r="J220" t="s">
        <v>115</v>
      </c>
      <c r="K220" s="18" t="s">
        <v>748</v>
      </c>
      <c r="N220" s="17" t="s">
        <v>77</v>
      </c>
      <c r="O220" t="s">
        <v>117</v>
      </c>
      <c r="V220" s="18" t="s">
        <v>748</v>
      </c>
      <c r="Y220" t="s">
        <v>90</v>
      </c>
      <c r="AA220" t="s">
        <v>118</v>
      </c>
      <c r="AB220" t="s">
        <v>119</v>
      </c>
    </row>
    <row r="221" ht="15" customHeight="1" spans="1:28" x14ac:dyDescent="0.25">
      <c r="A221" s="17" t="s">
        <v>749</v>
      </c>
      <c r="B221" s="17" t="s">
        <v>70</v>
      </c>
      <c r="C221" s="17" t="s">
        <v>71</v>
      </c>
      <c r="D221" t="s">
        <v>734</v>
      </c>
      <c r="F221" t="s">
        <v>750</v>
      </c>
      <c r="J221" t="s">
        <v>115</v>
      </c>
      <c r="K221" s="18" t="s">
        <v>751</v>
      </c>
      <c r="N221" s="17" t="s">
        <v>77</v>
      </c>
      <c r="O221" t="s">
        <v>117</v>
      </c>
      <c r="V221" s="18" t="s">
        <v>751</v>
      </c>
      <c r="Y221" t="s">
        <v>90</v>
      </c>
      <c r="AA221" t="s">
        <v>118</v>
      </c>
      <c r="AB221" t="s">
        <v>119</v>
      </c>
    </row>
    <row r="222" ht="15" customHeight="1" spans="1:22" x14ac:dyDescent="0.25">
      <c r="A222" s="17" t="s">
        <v>752</v>
      </c>
      <c r="B222" s="17" t="s">
        <v>70</v>
      </c>
      <c r="C222" s="17" t="s">
        <v>71</v>
      </c>
      <c r="D222" t="s">
        <v>734</v>
      </c>
      <c r="F222" t="s">
        <v>753</v>
      </c>
      <c r="K222" s="18">
        <f>628161394982</f>
        <v>628161394982</v>
      </c>
      <c r="N222" s="17" t="s">
        <v>77</v>
      </c>
      <c r="V222" s="18">
        <f>628161394982</f>
        <v>628161394982</v>
      </c>
    </row>
    <row r="223" ht="15" customHeight="1" spans="1:22" x14ac:dyDescent="0.25">
      <c r="A223" s="17" t="s">
        <v>754</v>
      </c>
      <c r="B223" s="17" t="s">
        <v>70</v>
      </c>
      <c r="C223" s="17" t="s">
        <v>71</v>
      </c>
      <c r="D223" t="s">
        <v>734</v>
      </c>
      <c r="F223" t="s">
        <v>755</v>
      </c>
      <c r="K223" s="18">
        <f>6281284018038</f>
        <v>6281284018038</v>
      </c>
      <c r="N223" s="17" t="s">
        <v>77</v>
      </c>
      <c r="V223" s="18">
        <f>6281284018038</f>
        <v>6281284018038</v>
      </c>
    </row>
    <row r="224" ht="15" customHeight="1" spans="1:22" x14ac:dyDescent="0.25">
      <c r="A224" s="17" t="s">
        <v>756</v>
      </c>
      <c r="B224" s="17" t="s">
        <v>70</v>
      </c>
      <c r="C224" s="17" t="s">
        <v>71</v>
      </c>
      <c r="D224" t="s">
        <v>734</v>
      </c>
      <c r="F224" t="s">
        <v>755</v>
      </c>
      <c r="K224" s="18">
        <f>628110811193899</f>
        <v>628110811193899</v>
      </c>
      <c r="N224" s="17" t="s">
        <v>77</v>
      </c>
      <c r="V224" s="18">
        <f>628110811193899</f>
        <v>628110811193899</v>
      </c>
    </row>
    <row r="225" ht="15" customHeight="1" spans="1:22" x14ac:dyDescent="0.25">
      <c r="A225" s="17" t="s">
        <v>757</v>
      </c>
      <c r="B225" s="17" t="s">
        <v>70</v>
      </c>
      <c r="C225" s="17" t="s">
        <v>71</v>
      </c>
      <c r="D225" t="s">
        <v>734</v>
      </c>
      <c r="F225" t="s">
        <v>758</v>
      </c>
      <c r="K225" s="18">
        <f>628118118742</f>
        <v>628118118742</v>
      </c>
      <c r="N225" s="17" t="s">
        <v>77</v>
      </c>
      <c r="V225" s="18">
        <f>628118118742</f>
        <v>628118118742</v>
      </c>
    </row>
    <row r="226" ht="15" customHeight="1" spans="1:25" x14ac:dyDescent="0.25">
      <c r="A226" s="17" t="s">
        <v>759</v>
      </c>
      <c r="B226" s="17" t="s">
        <v>70</v>
      </c>
      <c r="C226" s="17" t="s">
        <v>71</v>
      </c>
      <c r="D226" t="s">
        <v>734</v>
      </c>
      <c r="F226" t="s">
        <v>760</v>
      </c>
      <c r="K226" s="18">
        <v>341576709</v>
      </c>
      <c r="N226" s="17" t="s">
        <v>77</v>
      </c>
      <c r="U226" s="17"/>
      <c r="V226" s="18">
        <v>341576709</v>
      </c>
      <c r="W226" t="s">
        <v>761</v>
      </c>
      <c r="Y226" s="17" t="s">
        <v>762</v>
      </c>
    </row>
    <row r="227" ht="15" customHeight="1" spans="1:25" x14ac:dyDescent="0.25">
      <c r="A227" s="17" t="s">
        <v>763</v>
      </c>
      <c r="B227" s="17" t="s">
        <v>70</v>
      </c>
      <c r="C227" s="17" t="s">
        <v>71</v>
      </c>
      <c r="D227" t="s">
        <v>734</v>
      </c>
      <c r="F227" t="s">
        <v>764</v>
      </c>
      <c r="K227" s="18">
        <f>62818809024</f>
        <v>62818809024</v>
      </c>
      <c r="N227" s="17" t="s">
        <v>77</v>
      </c>
      <c r="U227" s="17"/>
      <c r="V227" s="18">
        <f>62818809024</f>
        <v>62818809024</v>
      </c>
      <c r="W227" t="s">
        <v>765</v>
      </c>
      <c r="Y227" s="17" t="s">
        <v>397</v>
      </c>
    </row>
    <row r="228" ht="15" customHeight="1" spans="1:28" x14ac:dyDescent="0.25">
      <c r="A228" s="17" t="s">
        <v>766</v>
      </c>
      <c r="B228" s="17" t="s">
        <v>70</v>
      </c>
      <c r="C228" s="17" t="s">
        <v>71</v>
      </c>
      <c r="D228" t="s">
        <v>767</v>
      </c>
      <c r="F228" t="s">
        <v>768</v>
      </c>
      <c r="J228" s="17" t="s">
        <v>769</v>
      </c>
      <c r="K228" s="18" t="s">
        <v>770</v>
      </c>
      <c r="N228" s="17" t="s">
        <v>77</v>
      </c>
      <c r="O228" t="s">
        <v>145</v>
      </c>
      <c r="U228" s="17"/>
      <c r="V228" s="18" t="s">
        <v>770</v>
      </c>
      <c r="W228" t="s">
        <v>771</v>
      </c>
      <c r="Y228" t="s">
        <v>90</v>
      </c>
      <c r="AA228" t="s">
        <v>115</v>
      </c>
      <c r="AB228" t="s">
        <v>119</v>
      </c>
    </row>
    <row r="229" ht="15" customHeight="1" spans="1:25" x14ac:dyDescent="0.25">
      <c r="A229" s="17" t="s">
        <v>772</v>
      </c>
      <c r="B229" s="17" t="s">
        <v>70</v>
      </c>
      <c r="C229" s="17" t="s">
        <v>71</v>
      </c>
      <c r="D229" t="s">
        <v>773</v>
      </c>
      <c r="F229" t="s">
        <v>774</v>
      </c>
      <c r="K229" s="18">
        <f>6287880776169</f>
        <v>6287880776169</v>
      </c>
      <c r="N229" s="17" t="s">
        <v>77</v>
      </c>
      <c r="U229" s="17"/>
      <c r="V229" s="18">
        <f>6287880776169</f>
        <v>6287880776169</v>
      </c>
      <c r="W229" t="s">
        <v>775</v>
      </c>
      <c r="Y229" t="s">
        <v>90</v>
      </c>
    </row>
    <row r="230" ht="15" customHeight="1" spans="1:22" x14ac:dyDescent="0.25">
      <c r="A230" s="17" t="s">
        <v>776</v>
      </c>
      <c r="B230" s="17" t="s">
        <v>70</v>
      </c>
      <c r="C230" s="17" t="s">
        <v>71</v>
      </c>
      <c r="D230" t="s">
        <v>777</v>
      </c>
      <c r="F230" t="s">
        <v>777</v>
      </c>
      <c r="K230" s="18">
        <f>62811175300</f>
        <v>62811175300</v>
      </c>
      <c r="N230" s="17" t="s">
        <v>81</v>
      </c>
      <c r="V230" s="18">
        <f>62811175300</f>
        <v>62811175300</v>
      </c>
    </row>
    <row r="231" ht="15" customHeight="1" spans="1:22" x14ac:dyDescent="0.25">
      <c r="A231" s="17" t="s">
        <v>778</v>
      </c>
      <c r="B231" s="17" t="s">
        <v>70</v>
      </c>
      <c r="C231" s="17" t="s">
        <v>71</v>
      </c>
      <c r="D231" t="s">
        <v>779</v>
      </c>
      <c r="F231" t="s">
        <v>780</v>
      </c>
      <c r="K231" s="18">
        <f>6281511145700</f>
        <v>6281511145700</v>
      </c>
      <c r="N231" s="17" t="s">
        <v>77</v>
      </c>
      <c r="V231" s="18">
        <f>6281511145700</f>
        <v>6281511145700</v>
      </c>
    </row>
    <row r="232" ht="15" customHeight="1" spans="1:27" x14ac:dyDescent="0.25">
      <c r="A232" s="17" t="s">
        <v>781</v>
      </c>
      <c r="B232" s="17" t="s">
        <v>70</v>
      </c>
      <c r="C232" s="17" t="s">
        <v>71</v>
      </c>
      <c r="D232" t="s">
        <v>782</v>
      </c>
      <c r="F232" t="s">
        <v>783</v>
      </c>
      <c r="K232" s="18">
        <f>62217267463</f>
        <v>62217267463</v>
      </c>
      <c r="N232" s="17" t="s">
        <v>74</v>
      </c>
      <c r="U232" s="17"/>
      <c r="V232" s="18">
        <f>62217267463</f>
        <v>62217267463</v>
      </c>
      <c r="W232" t="s">
        <v>784</v>
      </c>
      <c r="Y232" s="17" t="s">
        <v>96</v>
      </c>
      <c r="AA232" s="17" t="s">
        <v>133</v>
      </c>
    </row>
    <row r="233" ht="15" customHeight="1" spans="1:22" x14ac:dyDescent="0.25">
      <c r="A233" s="17" t="s">
        <v>785</v>
      </c>
      <c r="B233" s="17" t="s">
        <v>70</v>
      </c>
      <c r="C233" s="17" t="s">
        <v>71</v>
      </c>
      <c r="D233" t="s">
        <v>786</v>
      </c>
      <c r="F233" t="s">
        <v>787</v>
      </c>
      <c r="K233" s="18">
        <f>6281281410989</f>
        <v>6281281410989</v>
      </c>
      <c r="N233" s="17" t="s">
        <v>77</v>
      </c>
      <c r="V233" s="18">
        <f>6281281410989</f>
        <v>6281281410989</v>
      </c>
    </row>
    <row r="234" ht="15" customHeight="1" spans="1:22" x14ac:dyDescent="0.25">
      <c r="A234" s="17" t="s">
        <v>788</v>
      </c>
      <c r="B234" s="17" t="s">
        <v>70</v>
      </c>
      <c r="C234" s="17" t="s">
        <v>71</v>
      </c>
      <c r="D234" t="s">
        <v>789</v>
      </c>
      <c r="F234" t="s">
        <v>790</v>
      </c>
      <c r="K234" s="18">
        <f>628119996610</f>
        <v>628119996610</v>
      </c>
      <c r="N234" s="17" t="s">
        <v>74</v>
      </c>
      <c r="V234" s="18">
        <f>628119996610</f>
        <v>628119996610</v>
      </c>
    </row>
    <row r="235" ht="15" customHeight="1" spans="1:22" x14ac:dyDescent="0.25">
      <c r="A235" s="17" t="s">
        <v>791</v>
      </c>
      <c r="B235" s="17" t="s">
        <v>70</v>
      </c>
      <c r="C235" s="17" t="s">
        <v>71</v>
      </c>
      <c r="D235" t="s">
        <v>789</v>
      </c>
      <c r="F235" t="s">
        <v>790</v>
      </c>
      <c r="K235" s="18">
        <f>628170001231</f>
        <v>628170001231</v>
      </c>
      <c r="N235" s="17" t="s">
        <v>74</v>
      </c>
      <c r="V235" s="18">
        <f>628170001231</f>
        <v>628170001231</v>
      </c>
    </row>
    <row r="236" ht="15" customHeight="1" spans="1:22" x14ac:dyDescent="0.25">
      <c r="A236" s="17" t="s">
        <v>792</v>
      </c>
      <c r="B236" s="17" t="s">
        <v>70</v>
      </c>
      <c r="C236" s="17" t="s">
        <v>71</v>
      </c>
      <c r="D236" t="s">
        <v>793</v>
      </c>
      <c r="F236" t="s">
        <v>794</v>
      </c>
      <c r="K236" s="18">
        <f>62816885109</f>
        <v>62816885109</v>
      </c>
      <c r="N236" s="17" t="s">
        <v>77</v>
      </c>
      <c r="V236" s="18">
        <f>62816885109</f>
        <v>62816885109</v>
      </c>
    </row>
    <row r="237" ht="15" customHeight="1" spans="1:28" x14ac:dyDescent="0.25">
      <c r="A237" s="17" t="s">
        <v>795</v>
      </c>
      <c r="B237" s="17" t="s">
        <v>70</v>
      </c>
      <c r="C237" s="17" t="s">
        <v>71</v>
      </c>
      <c r="D237" t="s">
        <v>796</v>
      </c>
      <c r="F237" t="s">
        <v>150</v>
      </c>
      <c r="J237" t="s">
        <v>115</v>
      </c>
      <c r="K237" s="18" t="s">
        <v>797</v>
      </c>
      <c r="N237" s="17" t="s">
        <v>77</v>
      </c>
      <c r="O237" t="s">
        <v>261</v>
      </c>
      <c r="V237" s="18" t="s">
        <v>797</v>
      </c>
      <c r="Y237" t="s">
        <v>90</v>
      </c>
      <c r="AA237" t="s">
        <v>118</v>
      </c>
      <c r="AB237" t="s">
        <v>119</v>
      </c>
    </row>
    <row r="238" ht="15" customHeight="1" spans="1:22" x14ac:dyDescent="0.25">
      <c r="A238" s="17" t="s">
        <v>798</v>
      </c>
      <c r="B238" s="17" t="s">
        <v>70</v>
      </c>
      <c r="C238" s="17" t="s">
        <v>71</v>
      </c>
      <c r="D238" t="s">
        <v>796</v>
      </c>
      <c r="F238" t="s">
        <v>799</v>
      </c>
      <c r="K238" s="18">
        <f>62811947749</f>
        <v>62811947749</v>
      </c>
      <c r="N238" s="17" t="s">
        <v>77</v>
      </c>
      <c r="V238" s="18">
        <f>62811947749</f>
        <v>62811947749</v>
      </c>
    </row>
    <row r="239" ht="15" customHeight="1" spans="1:22" x14ac:dyDescent="0.25">
      <c r="A239" s="17" t="s">
        <v>800</v>
      </c>
      <c r="B239" s="17" t="s">
        <v>70</v>
      </c>
      <c r="C239" s="17" t="s">
        <v>71</v>
      </c>
      <c r="D239" t="s">
        <v>801</v>
      </c>
      <c r="F239" t="s">
        <v>802</v>
      </c>
      <c r="K239" s="18">
        <f>628120404814</f>
        <v>628120404814</v>
      </c>
      <c r="N239" s="17" t="s">
        <v>81</v>
      </c>
      <c r="V239" s="18">
        <f>628120404814</f>
        <v>628120404814</v>
      </c>
    </row>
    <row r="240" ht="15" customHeight="1" spans="1:28" x14ac:dyDescent="0.25">
      <c r="A240" s="17" t="s">
        <v>803</v>
      </c>
      <c r="B240" s="17" t="s">
        <v>70</v>
      </c>
      <c r="C240" s="17" t="s">
        <v>71</v>
      </c>
      <c r="D240" t="s">
        <v>804</v>
      </c>
      <c r="F240" t="s">
        <v>805</v>
      </c>
      <c r="J240" s="17" t="s">
        <v>806</v>
      </c>
      <c r="K240" s="18" t="s">
        <v>807</v>
      </c>
      <c r="N240" s="17" t="s">
        <v>81</v>
      </c>
      <c r="O240" t="s">
        <v>261</v>
      </c>
      <c r="U240" s="17"/>
      <c r="V240" s="18" t="s">
        <v>807</v>
      </c>
      <c r="W240" t="s">
        <v>808</v>
      </c>
      <c r="Y240" t="s">
        <v>90</v>
      </c>
      <c r="AA240" t="s">
        <v>118</v>
      </c>
      <c r="AB240" t="s">
        <v>119</v>
      </c>
    </row>
    <row r="241" ht="15" customHeight="1" spans="1:28" x14ac:dyDescent="0.25">
      <c r="A241" s="17" t="s">
        <v>809</v>
      </c>
      <c r="B241" s="17" t="s">
        <v>70</v>
      </c>
      <c r="C241" s="17" t="s">
        <v>71</v>
      </c>
      <c r="D241" t="s">
        <v>810</v>
      </c>
      <c r="F241" t="s">
        <v>811</v>
      </c>
      <c r="J241" t="s">
        <v>115</v>
      </c>
      <c r="K241" s="18" t="s">
        <v>812</v>
      </c>
      <c r="N241" s="17" t="s">
        <v>77</v>
      </c>
      <c r="O241" t="s">
        <v>145</v>
      </c>
      <c r="V241" s="18" t="s">
        <v>812</v>
      </c>
      <c r="Y241" t="s">
        <v>190</v>
      </c>
      <c r="AA241" t="s">
        <v>118</v>
      </c>
      <c r="AB241" t="s">
        <v>119</v>
      </c>
    </row>
    <row r="242" ht="15" customHeight="1" spans="1:22" x14ac:dyDescent="0.25">
      <c r="A242" s="17" t="s">
        <v>813</v>
      </c>
      <c r="B242" s="17" t="s">
        <v>70</v>
      </c>
      <c r="C242" s="17" t="s">
        <v>71</v>
      </c>
      <c r="D242" t="s">
        <v>814</v>
      </c>
      <c r="F242" t="s">
        <v>814</v>
      </c>
      <c r="K242" s="18">
        <f>6281277375555</f>
        <v>6281277375555</v>
      </c>
      <c r="N242" s="17" t="s">
        <v>77</v>
      </c>
      <c r="V242" s="18">
        <f>6281277375555</f>
        <v>6281277375555</v>
      </c>
    </row>
    <row r="243" ht="15" customHeight="1" spans="1:28" x14ac:dyDescent="0.25">
      <c r="A243" s="17" t="s">
        <v>815</v>
      </c>
      <c r="B243" s="17" t="s">
        <v>70</v>
      </c>
      <c r="C243" s="17" t="s">
        <v>71</v>
      </c>
      <c r="D243" t="s">
        <v>814</v>
      </c>
      <c r="F243" t="s">
        <v>814</v>
      </c>
      <c r="J243" t="s">
        <v>115</v>
      </c>
      <c r="K243" s="18" t="s">
        <v>816</v>
      </c>
      <c r="N243" s="17" t="s">
        <v>81</v>
      </c>
      <c r="O243" t="s">
        <v>117</v>
      </c>
      <c r="V243" s="18" t="s">
        <v>816</v>
      </c>
      <c r="Y243" t="s">
        <v>190</v>
      </c>
      <c r="AA243" t="s">
        <v>118</v>
      </c>
      <c r="AB243" t="s">
        <v>119</v>
      </c>
    </row>
    <row r="244" ht="15" customHeight="1" spans="1:25" x14ac:dyDescent="0.25">
      <c r="A244" s="17" t="s">
        <v>817</v>
      </c>
      <c r="B244" s="17" t="s">
        <v>70</v>
      </c>
      <c r="C244" s="17" t="s">
        <v>71</v>
      </c>
      <c r="D244" t="s">
        <v>814</v>
      </c>
      <c r="F244" t="s">
        <v>818</v>
      </c>
      <c r="K244" s="18">
        <f>628111923035</f>
        <v>628111923035</v>
      </c>
      <c r="N244" s="17" t="s">
        <v>77</v>
      </c>
      <c r="U244" s="17"/>
      <c r="V244" s="18">
        <f>628111923035</f>
        <v>628111923035</v>
      </c>
      <c r="W244" t="s">
        <v>819</v>
      </c>
      <c r="Y244" s="17" t="s">
        <v>96</v>
      </c>
    </row>
    <row r="245" ht="15" customHeight="1" spans="1:25" x14ac:dyDescent="0.25">
      <c r="A245" s="17" t="s">
        <v>820</v>
      </c>
      <c r="B245" s="17" t="s">
        <v>70</v>
      </c>
      <c r="C245" s="17" t="s">
        <v>71</v>
      </c>
      <c r="D245" t="s">
        <v>814</v>
      </c>
      <c r="F245" t="s">
        <v>821</v>
      </c>
      <c r="K245" s="18">
        <f>62818122236</f>
        <v>62818122236</v>
      </c>
      <c r="N245" s="17" t="s">
        <v>77</v>
      </c>
      <c r="U245" s="17"/>
      <c r="V245" s="18">
        <f>62818122236</f>
        <v>62818122236</v>
      </c>
      <c r="W245" t="s">
        <v>822</v>
      </c>
      <c r="Y245" t="s">
        <v>622</v>
      </c>
    </row>
    <row r="246" ht="15" customHeight="1" spans="1:22" x14ac:dyDescent="0.25">
      <c r="A246" s="17" t="s">
        <v>823</v>
      </c>
      <c r="B246" s="17" t="s">
        <v>70</v>
      </c>
      <c r="C246" s="17" t="s">
        <v>71</v>
      </c>
      <c r="D246" t="s">
        <v>814</v>
      </c>
      <c r="F246" t="s">
        <v>824</v>
      </c>
      <c r="K246" s="18">
        <f>62811107588</f>
        <v>62811107588</v>
      </c>
      <c r="N246" s="17" t="s">
        <v>77</v>
      </c>
      <c r="V246" s="18">
        <f>62811107588</f>
        <v>62811107588</v>
      </c>
    </row>
    <row r="247" ht="15" customHeight="1" spans="1:25" x14ac:dyDescent="0.25">
      <c r="A247" s="17" t="s">
        <v>825</v>
      </c>
      <c r="B247" s="17" t="s">
        <v>70</v>
      </c>
      <c r="C247" s="17" t="s">
        <v>71</v>
      </c>
      <c r="D247" t="s">
        <v>826</v>
      </c>
      <c r="F247" t="s">
        <v>827</v>
      </c>
      <c r="K247" s="18">
        <f>628111186174</f>
        <v>628111186174</v>
      </c>
      <c r="N247" s="17" t="s">
        <v>77</v>
      </c>
      <c r="U247" s="17"/>
      <c r="V247" s="18">
        <f>628111186174</f>
        <v>628111186174</v>
      </c>
      <c r="W247" t="s">
        <v>828</v>
      </c>
      <c r="Y247" s="17" t="s">
        <v>96</v>
      </c>
    </row>
    <row r="248" ht="15" customHeight="1" spans="1:22" x14ac:dyDescent="0.25">
      <c r="A248" s="17" t="s">
        <v>829</v>
      </c>
      <c r="B248" s="17" t="s">
        <v>70</v>
      </c>
      <c r="C248" s="17" t="s">
        <v>71</v>
      </c>
      <c r="D248" t="s">
        <v>830</v>
      </c>
      <c r="F248" t="s">
        <v>831</v>
      </c>
      <c r="K248" s="18">
        <f>6281513288888</f>
        <v>6281513288888</v>
      </c>
      <c r="N248" s="17" t="s">
        <v>77</v>
      </c>
      <c r="V248" s="18">
        <f>6281513288888</f>
        <v>6281513288888</v>
      </c>
    </row>
    <row r="249" ht="15" customHeight="1" spans="1:25" x14ac:dyDescent="0.25">
      <c r="A249" s="17" t="s">
        <v>832</v>
      </c>
      <c r="B249" s="17" t="s">
        <v>70</v>
      </c>
      <c r="C249" s="17" t="s">
        <v>71</v>
      </c>
      <c r="D249" t="s">
        <v>833</v>
      </c>
      <c r="F249" t="s">
        <v>579</v>
      </c>
      <c r="J249" s="17" t="s">
        <v>834</v>
      </c>
      <c r="K249" s="18">
        <f>628179995999</f>
        <v>628179995999</v>
      </c>
      <c r="N249" s="17" t="s">
        <v>77</v>
      </c>
      <c r="U249" s="17"/>
      <c r="V249" s="18">
        <f>628179995999</f>
        <v>628179995999</v>
      </c>
      <c r="W249" t="s">
        <v>835</v>
      </c>
      <c r="Y249" s="17" t="s">
        <v>90</v>
      </c>
    </row>
    <row r="250" ht="15" customHeight="1" spans="1:27" x14ac:dyDescent="0.25">
      <c r="A250" s="17" t="s">
        <v>836</v>
      </c>
      <c r="B250" s="17" t="s">
        <v>70</v>
      </c>
      <c r="C250" s="17" t="s">
        <v>71</v>
      </c>
      <c r="D250" t="s">
        <v>837</v>
      </c>
      <c r="F250" t="s">
        <v>838</v>
      </c>
      <c r="J250" s="17" t="s">
        <v>839</v>
      </c>
      <c r="K250" s="18">
        <f>6282156789111</f>
        <v>6282156789111</v>
      </c>
      <c r="N250" s="17" t="s">
        <v>77</v>
      </c>
      <c r="U250" s="17"/>
      <c r="V250" s="18">
        <f>6282156789111</f>
        <v>6282156789111</v>
      </c>
      <c r="W250" t="s">
        <v>840</v>
      </c>
      <c r="Y250" s="17" t="s">
        <v>90</v>
      </c>
      <c r="AA250" s="17">
        <v>14450</v>
      </c>
    </row>
    <row r="251" ht="15" customHeight="1" spans="1:23" x14ac:dyDescent="0.25">
      <c r="A251" s="17" t="s">
        <v>841</v>
      </c>
      <c r="B251" s="17" t="s">
        <v>70</v>
      </c>
      <c r="C251" s="17" t="s">
        <v>71</v>
      </c>
      <c r="D251" t="s">
        <v>842</v>
      </c>
      <c r="F251" t="s">
        <v>843</v>
      </c>
      <c r="K251" s="18">
        <f>6288297211004</f>
        <v>6288297211004</v>
      </c>
      <c r="N251" s="17" t="s">
        <v>77</v>
      </c>
      <c r="U251" s="17"/>
      <c r="V251" s="18">
        <f>6288297211004</f>
        <v>6288297211004</v>
      </c>
      <c r="W251" t="s">
        <v>181</v>
      </c>
    </row>
    <row r="252" ht="15" customHeight="1" spans="1:22" x14ac:dyDescent="0.25">
      <c r="A252" s="17" t="s">
        <v>844</v>
      </c>
      <c r="B252" s="17" t="s">
        <v>70</v>
      </c>
      <c r="C252" s="17" t="s">
        <v>71</v>
      </c>
      <c r="D252" t="s">
        <v>845</v>
      </c>
      <c r="F252" t="s">
        <v>846</v>
      </c>
      <c r="K252" s="18">
        <f>62811988415</f>
        <v>62811988415</v>
      </c>
      <c r="N252" s="17" t="s">
        <v>77</v>
      </c>
      <c r="V252" s="18">
        <f>62811988415</f>
        <v>62811988415</v>
      </c>
    </row>
    <row r="253" ht="15" customHeight="1" spans="1:22" x14ac:dyDescent="0.25">
      <c r="A253" s="17" t="s">
        <v>847</v>
      </c>
      <c r="B253" s="17" t="s">
        <v>70</v>
      </c>
      <c r="C253" s="17" t="s">
        <v>71</v>
      </c>
      <c r="D253" t="s">
        <v>848</v>
      </c>
      <c r="F253" t="s">
        <v>849</v>
      </c>
      <c r="K253" s="18">
        <f>62811902889</f>
        <v>62811902889</v>
      </c>
      <c r="N253" s="17" t="s">
        <v>81</v>
      </c>
      <c r="V253" s="18">
        <f>62811902889</f>
        <v>62811902889</v>
      </c>
    </row>
    <row r="254" ht="15" customHeight="1" spans="1:28" x14ac:dyDescent="0.25">
      <c r="A254" s="17" t="s">
        <v>850</v>
      </c>
      <c r="B254" s="17" t="s">
        <v>70</v>
      </c>
      <c r="C254" s="17" t="s">
        <v>71</v>
      </c>
      <c r="D254" t="s">
        <v>810</v>
      </c>
      <c r="F254" t="s">
        <v>851</v>
      </c>
      <c r="J254" t="s">
        <v>115</v>
      </c>
      <c r="K254" s="18" t="s">
        <v>852</v>
      </c>
      <c r="N254" s="17" t="s">
        <v>77</v>
      </c>
      <c r="O254" t="s">
        <v>117</v>
      </c>
      <c r="U254" s="17"/>
      <c r="V254" s="18" t="s">
        <v>852</v>
      </c>
      <c r="W254" t="s">
        <v>853</v>
      </c>
      <c r="Y254" s="17" t="s">
        <v>190</v>
      </c>
      <c r="AA254" t="s">
        <v>118</v>
      </c>
      <c r="AB254" t="s">
        <v>119</v>
      </c>
    </row>
    <row r="255" ht="15" customHeight="1" spans="1:22" x14ac:dyDescent="0.25">
      <c r="A255" s="17" t="s">
        <v>854</v>
      </c>
      <c r="B255" s="17" t="s">
        <v>70</v>
      </c>
      <c r="C255" s="17" t="s">
        <v>71</v>
      </c>
      <c r="D255" t="s">
        <v>855</v>
      </c>
      <c r="F255" t="s">
        <v>855</v>
      </c>
      <c r="K255" s="18">
        <f>6281380105510</f>
        <v>6281380105510</v>
      </c>
      <c r="N255" s="17" t="s">
        <v>77</v>
      </c>
      <c r="V255" s="18">
        <f>6281380105510</f>
        <v>6281380105510</v>
      </c>
    </row>
    <row r="256" ht="15" customHeight="1" spans="1:28" x14ac:dyDescent="0.25">
      <c r="A256" s="17" t="s">
        <v>856</v>
      </c>
      <c r="B256" s="17" t="s">
        <v>70</v>
      </c>
      <c r="C256" s="17" t="s">
        <v>71</v>
      </c>
      <c r="D256" t="s">
        <v>857</v>
      </c>
      <c r="F256" t="s">
        <v>857</v>
      </c>
      <c r="J256" t="s">
        <v>115</v>
      </c>
      <c r="K256" s="18" t="s">
        <v>858</v>
      </c>
      <c r="N256" s="17" t="s">
        <v>77</v>
      </c>
      <c r="O256" t="s">
        <v>117</v>
      </c>
      <c r="V256" s="18" t="s">
        <v>858</v>
      </c>
      <c r="Y256" t="s">
        <v>115</v>
      </c>
      <c r="AA256" t="s">
        <v>115</v>
      </c>
      <c r="AB256" t="s">
        <v>119</v>
      </c>
    </row>
    <row r="257" ht="15" customHeight="1" spans="1:22" x14ac:dyDescent="0.25">
      <c r="A257" s="17" t="s">
        <v>859</v>
      </c>
      <c r="B257" s="17" t="s">
        <v>70</v>
      </c>
      <c r="C257" s="17" t="s">
        <v>71</v>
      </c>
      <c r="D257" t="s">
        <v>860</v>
      </c>
      <c r="F257" t="s">
        <v>861</v>
      </c>
      <c r="K257" s="18">
        <f>62810032023</f>
        <v>62810032023</v>
      </c>
      <c r="N257" s="17" t="s">
        <v>77</v>
      </c>
      <c r="V257" s="18">
        <f>62810032023</f>
        <v>62810032023</v>
      </c>
    </row>
    <row r="258" ht="15" customHeight="1" spans="1:25" x14ac:dyDescent="0.25">
      <c r="A258" s="17" t="s">
        <v>862</v>
      </c>
      <c r="B258" s="17" t="s">
        <v>70</v>
      </c>
      <c r="C258" s="17" t="s">
        <v>71</v>
      </c>
      <c r="D258" t="s">
        <v>863</v>
      </c>
      <c r="F258" t="s">
        <v>864</v>
      </c>
      <c r="K258" s="18">
        <f>628161910770</f>
        <v>628161910770</v>
      </c>
      <c r="N258" s="17" t="s">
        <v>81</v>
      </c>
      <c r="U258" s="17"/>
      <c r="V258" s="18">
        <f>628161910770</f>
        <v>628161910770</v>
      </c>
      <c r="W258" t="s">
        <v>865</v>
      </c>
      <c r="Y258" s="17" t="s">
        <v>90</v>
      </c>
    </row>
    <row r="259" ht="15" customHeight="1" spans="1:22" x14ac:dyDescent="0.25">
      <c r="A259" s="17" t="s">
        <v>866</v>
      </c>
      <c r="B259" s="17" t="s">
        <v>70</v>
      </c>
      <c r="C259" s="17" t="s">
        <v>71</v>
      </c>
      <c r="D259" t="s">
        <v>867</v>
      </c>
      <c r="F259" t="s">
        <v>868</v>
      </c>
      <c r="K259" s="18">
        <f>628111996330</f>
        <v>628111996330</v>
      </c>
      <c r="N259" s="17" t="s">
        <v>81</v>
      </c>
      <c r="V259" s="18">
        <f>628111996330</f>
        <v>628111996330</v>
      </c>
    </row>
    <row r="260" ht="15" customHeight="1" spans="1:25" x14ac:dyDescent="0.25">
      <c r="A260" s="17" t="s">
        <v>869</v>
      </c>
      <c r="B260" s="17" t="s">
        <v>70</v>
      </c>
      <c r="C260" s="17" t="s">
        <v>71</v>
      </c>
      <c r="D260" t="s">
        <v>870</v>
      </c>
      <c r="F260" t="s">
        <v>871</v>
      </c>
      <c r="K260" s="18">
        <f>6281807780818</f>
        <v>6281807780818</v>
      </c>
      <c r="N260" s="17" t="s">
        <v>81</v>
      </c>
      <c r="U260" s="17"/>
      <c r="V260" s="18">
        <f>6281807780818</f>
        <v>6281807780818</v>
      </c>
      <c r="W260" t="s">
        <v>872</v>
      </c>
      <c r="Y260" s="17" t="s">
        <v>90</v>
      </c>
    </row>
    <row r="261" ht="15" customHeight="1" spans="1:28" x14ac:dyDescent="0.25">
      <c r="A261" s="17" t="s">
        <v>873</v>
      </c>
      <c r="B261" s="17" t="s">
        <v>70</v>
      </c>
      <c r="C261" s="17" t="s">
        <v>71</v>
      </c>
      <c r="D261" t="s">
        <v>874</v>
      </c>
      <c r="F261" t="s">
        <v>875</v>
      </c>
      <c r="J261" t="s">
        <v>115</v>
      </c>
      <c r="K261" s="18" t="s">
        <v>876</v>
      </c>
      <c r="N261" s="17" t="s">
        <v>77</v>
      </c>
      <c r="O261" t="s">
        <v>489</v>
      </c>
      <c r="V261" s="18" t="s">
        <v>876</v>
      </c>
      <c r="Y261" t="s">
        <v>90</v>
      </c>
      <c r="AA261" t="s">
        <v>118</v>
      </c>
      <c r="AB261" t="s">
        <v>119</v>
      </c>
    </row>
    <row r="262" ht="15" customHeight="1" spans="1:28" x14ac:dyDescent="0.25">
      <c r="A262" s="17" t="s">
        <v>877</v>
      </c>
      <c r="B262" s="17" t="s">
        <v>70</v>
      </c>
      <c r="C262" s="17" t="s">
        <v>71</v>
      </c>
      <c r="D262" t="s">
        <v>878</v>
      </c>
      <c r="F262" t="s">
        <v>879</v>
      </c>
      <c r="J262" t="s">
        <v>115</v>
      </c>
      <c r="K262" s="18" t="s">
        <v>880</v>
      </c>
      <c r="N262" s="17" t="s">
        <v>81</v>
      </c>
      <c r="O262" t="s">
        <v>145</v>
      </c>
      <c r="V262" s="18" t="s">
        <v>880</v>
      </c>
      <c r="Y262" t="s">
        <v>881</v>
      </c>
      <c r="AA262" t="s">
        <v>115</v>
      </c>
      <c r="AB262" t="s">
        <v>119</v>
      </c>
    </row>
    <row r="263" ht="15" customHeight="1" spans="1:25" x14ac:dyDescent="0.25">
      <c r="A263" s="17" t="s">
        <v>882</v>
      </c>
      <c r="B263" s="17" t="s">
        <v>70</v>
      </c>
      <c r="C263" s="17" t="s">
        <v>71</v>
      </c>
      <c r="D263" t="s">
        <v>883</v>
      </c>
      <c r="F263" t="s">
        <v>884</v>
      </c>
      <c r="K263" s="18">
        <f>62811108661</f>
        <v>62811108661</v>
      </c>
      <c r="N263" s="17" t="s">
        <v>77</v>
      </c>
      <c r="U263" s="17"/>
      <c r="V263" s="18">
        <f>62811108661</f>
        <v>62811108661</v>
      </c>
      <c r="W263" t="s">
        <v>885</v>
      </c>
      <c r="Y263" s="17" t="s">
        <v>397</v>
      </c>
    </row>
    <row r="264" ht="15" customHeight="1" spans="1:28" x14ac:dyDescent="0.25">
      <c r="A264" s="17" t="s">
        <v>886</v>
      </c>
      <c r="B264" s="17" t="s">
        <v>70</v>
      </c>
      <c r="C264" s="17" t="s">
        <v>71</v>
      </c>
      <c r="D264" t="s">
        <v>887</v>
      </c>
      <c r="F264" t="s">
        <v>887</v>
      </c>
      <c r="J264" t="s">
        <v>888</v>
      </c>
      <c r="K264" s="18" t="s">
        <v>889</v>
      </c>
      <c r="N264" s="17" t="s">
        <v>77</v>
      </c>
      <c r="O264" t="s">
        <v>261</v>
      </c>
      <c r="U264" s="17"/>
      <c r="V264" s="18" t="s">
        <v>889</v>
      </c>
      <c r="W264" t="s">
        <v>890</v>
      </c>
      <c r="Y264" s="17" t="s">
        <v>891</v>
      </c>
      <c r="AA264" t="s">
        <v>623</v>
      </c>
      <c r="AB264" t="s">
        <v>119</v>
      </c>
    </row>
    <row r="265" ht="15" customHeight="1" spans="1:22" x14ac:dyDescent="0.25">
      <c r="A265" s="17" t="s">
        <v>892</v>
      </c>
      <c r="B265" s="17" t="s">
        <v>70</v>
      </c>
      <c r="C265" s="17" t="s">
        <v>71</v>
      </c>
      <c r="D265" t="s">
        <v>893</v>
      </c>
      <c r="F265" t="s">
        <v>894</v>
      </c>
      <c r="K265" s="18">
        <f>62811156017</f>
        <v>62811156017</v>
      </c>
      <c r="N265" s="17" t="s">
        <v>81</v>
      </c>
      <c r="V265" s="18">
        <f>62811156017</f>
        <v>62811156017</v>
      </c>
    </row>
    <row r="266" ht="15" customHeight="1" spans="1:22" x14ac:dyDescent="0.25">
      <c r="A266" s="17" t="s">
        <v>895</v>
      </c>
      <c r="B266" s="17" t="s">
        <v>70</v>
      </c>
      <c r="C266" s="17" t="s">
        <v>71</v>
      </c>
      <c r="D266" t="s">
        <v>896</v>
      </c>
      <c r="F266" t="s">
        <v>896</v>
      </c>
      <c r="K266" s="18">
        <f>6285250575750</f>
        <v>6285250575750</v>
      </c>
      <c r="N266" s="17" t="s">
        <v>81</v>
      </c>
      <c r="V266" s="18">
        <f>6285250575750</f>
        <v>6285250575750</v>
      </c>
    </row>
    <row r="267" ht="15" customHeight="1" spans="1:22" x14ac:dyDescent="0.25">
      <c r="A267" s="17" t="s">
        <v>897</v>
      </c>
      <c r="B267" s="17" t="s">
        <v>70</v>
      </c>
      <c r="C267" s="17" t="s">
        <v>71</v>
      </c>
      <c r="D267" t="s">
        <v>898</v>
      </c>
      <c r="F267" t="s">
        <v>899</v>
      </c>
      <c r="K267" s="18">
        <f>62811170643</f>
        <v>62811170643</v>
      </c>
      <c r="N267" s="17" t="s">
        <v>77</v>
      </c>
      <c r="V267" s="18">
        <f>62811170643</f>
        <v>62811170643</v>
      </c>
    </row>
    <row r="268" ht="15" customHeight="1" spans="1:28" x14ac:dyDescent="0.25">
      <c r="A268" s="17" t="s">
        <v>900</v>
      </c>
      <c r="B268" s="17" t="s">
        <v>70</v>
      </c>
      <c r="C268" s="17" t="s">
        <v>71</v>
      </c>
      <c r="D268" t="s">
        <v>901</v>
      </c>
      <c r="F268" t="s">
        <v>902</v>
      </c>
      <c r="J268" s="17" t="s">
        <v>903</v>
      </c>
      <c r="K268" s="18" t="s">
        <v>904</v>
      </c>
      <c r="N268" s="17" t="s">
        <v>77</v>
      </c>
      <c r="O268" t="s">
        <v>145</v>
      </c>
      <c r="U268" s="17"/>
      <c r="V268" s="18" t="s">
        <v>904</v>
      </c>
      <c r="W268" t="s">
        <v>905</v>
      </c>
      <c r="Y268" t="s">
        <v>906</v>
      </c>
      <c r="AA268" t="s">
        <v>115</v>
      </c>
      <c r="AB268" t="s">
        <v>119</v>
      </c>
    </row>
    <row r="269" ht="15" customHeight="1" spans="1:27" x14ac:dyDescent="0.25">
      <c r="A269" s="17" t="s">
        <v>907</v>
      </c>
      <c r="B269" s="17" t="s">
        <v>70</v>
      </c>
      <c r="C269" s="17" t="s">
        <v>71</v>
      </c>
      <c r="D269" t="s">
        <v>908</v>
      </c>
      <c r="F269" t="s">
        <v>909</v>
      </c>
      <c r="K269" s="18">
        <f>62811857587</f>
        <v>62811857587</v>
      </c>
      <c r="N269" s="17" t="s">
        <v>74</v>
      </c>
      <c r="U269" s="17"/>
      <c r="V269" s="18">
        <f>62811857587</f>
        <v>62811857587</v>
      </c>
      <c r="W269" t="s">
        <v>910</v>
      </c>
      <c r="Y269" s="17" t="s">
        <v>96</v>
      </c>
      <c r="AA269" s="17" t="s">
        <v>911</v>
      </c>
    </row>
    <row r="270" ht="15" customHeight="1" spans="1:28" x14ac:dyDescent="0.25">
      <c r="A270" s="17" t="s">
        <v>912</v>
      </c>
      <c r="B270" s="17" t="s">
        <v>70</v>
      </c>
      <c r="C270" s="17" t="s">
        <v>71</v>
      </c>
      <c r="D270" t="s">
        <v>908</v>
      </c>
      <c r="F270" t="s">
        <v>913</v>
      </c>
      <c r="J270" t="s">
        <v>115</v>
      </c>
      <c r="K270" s="18" t="s">
        <v>914</v>
      </c>
      <c r="N270" s="17" t="s">
        <v>74</v>
      </c>
      <c r="O270" t="s">
        <v>117</v>
      </c>
      <c r="V270" s="18" t="s">
        <v>914</v>
      </c>
      <c r="Y270" t="s">
        <v>190</v>
      </c>
      <c r="AA270" t="s">
        <v>118</v>
      </c>
      <c r="AB270" t="s">
        <v>119</v>
      </c>
    </row>
    <row r="271" ht="15" customHeight="1" spans="1:28" x14ac:dyDescent="0.25">
      <c r="A271" s="17" t="s">
        <v>915</v>
      </c>
      <c r="B271" s="17" t="s">
        <v>70</v>
      </c>
      <c r="C271" s="17" t="s">
        <v>71</v>
      </c>
      <c r="D271" t="s">
        <v>916</v>
      </c>
      <c r="F271" t="s">
        <v>917</v>
      </c>
      <c r="J271" s="17" t="s">
        <v>918</v>
      </c>
      <c r="K271" s="18" t="s">
        <v>919</v>
      </c>
      <c r="N271" s="17" t="s">
        <v>77</v>
      </c>
      <c r="O271" t="s">
        <v>261</v>
      </c>
      <c r="U271" s="17"/>
      <c r="V271" s="18" t="s">
        <v>919</v>
      </c>
      <c r="W271" t="s">
        <v>920</v>
      </c>
      <c r="Y271" t="s">
        <v>920</v>
      </c>
      <c r="AA271" t="s">
        <v>115</v>
      </c>
      <c r="AB271" t="s">
        <v>920</v>
      </c>
    </row>
    <row r="272" ht="15" customHeight="1" spans="1:22" x14ac:dyDescent="0.25">
      <c r="A272" s="17" t="s">
        <v>921</v>
      </c>
      <c r="B272" s="17" t="s">
        <v>70</v>
      </c>
      <c r="C272" s="17" t="s">
        <v>71</v>
      </c>
      <c r="D272" t="s">
        <v>922</v>
      </c>
      <c r="F272" t="s">
        <v>923</v>
      </c>
      <c r="K272" s="18">
        <f>918008001239</f>
        <v>918008001239</v>
      </c>
      <c r="N272" s="17" t="s">
        <v>81</v>
      </c>
      <c r="V272" s="18">
        <f>918008001239</f>
        <v>918008001239</v>
      </c>
    </row>
    <row r="273" ht="15" customHeight="1" spans="1:28" x14ac:dyDescent="0.25">
      <c r="A273" s="17" t="s">
        <v>924</v>
      </c>
      <c r="B273" s="17" t="s">
        <v>70</v>
      </c>
      <c r="C273" s="17" t="s">
        <v>71</v>
      </c>
      <c r="D273" t="s">
        <v>925</v>
      </c>
      <c r="F273" t="s">
        <v>926</v>
      </c>
      <c r="J273" s="17" t="s">
        <v>927</v>
      </c>
      <c r="K273" s="18" t="s">
        <v>928</v>
      </c>
      <c r="N273" s="17" t="s">
        <v>77</v>
      </c>
      <c r="O273" t="s">
        <v>489</v>
      </c>
      <c r="U273" s="17"/>
      <c r="V273" s="18" t="s">
        <v>928</v>
      </c>
      <c r="W273" t="s">
        <v>929</v>
      </c>
      <c r="Y273" t="s">
        <v>930</v>
      </c>
      <c r="AA273" t="s">
        <v>115</v>
      </c>
      <c r="AB273" t="s">
        <v>930</v>
      </c>
    </row>
    <row r="274" ht="15" customHeight="1" spans="1:22" x14ac:dyDescent="0.25">
      <c r="A274" s="17" t="s">
        <v>931</v>
      </c>
      <c r="B274" s="17" t="s">
        <v>70</v>
      </c>
      <c r="C274" s="17" t="s">
        <v>71</v>
      </c>
      <c r="D274" t="s">
        <v>932</v>
      </c>
      <c r="F274" t="s">
        <v>933</v>
      </c>
      <c r="K274" s="18">
        <f>62812196967000</f>
        <v>62812196967000</v>
      </c>
      <c r="N274" s="17" t="s">
        <v>81</v>
      </c>
      <c r="V274" s="18">
        <f>62812196967000</f>
        <v>62812196967000</v>
      </c>
    </row>
    <row r="275" ht="15" customHeight="1" spans="1:28" x14ac:dyDescent="0.25">
      <c r="A275" s="17" t="s">
        <v>934</v>
      </c>
      <c r="B275" s="17" t="s">
        <v>70</v>
      </c>
      <c r="C275" s="17" t="s">
        <v>71</v>
      </c>
      <c r="D275" t="s">
        <v>932</v>
      </c>
      <c r="F275" t="s">
        <v>935</v>
      </c>
      <c r="J275" t="s">
        <v>115</v>
      </c>
      <c r="K275" s="18" t="s">
        <v>936</v>
      </c>
      <c r="N275" s="17" t="s">
        <v>77</v>
      </c>
      <c r="O275" t="s">
        <v>117</v>
      </c>
      <c r="V275" s="18" t="s">
        <v>936</v>
      </c>
      <c r="Y275" t="s">
        <v>190</v>
      </c>
      <c r="AA275" t="s">
        <v>118</v>
      </c>
      <c r="AB275" t="s">
        <v>119</v>
      </c>
    </row>
    <row r="276" ht="15" customHeight="1" spans="1:25" x14ac:dyDescent="0.25">
      <c r="A276" s="17" t="s">
        <v>937</v>
      </c>
      <c r="B276" s="17" t="s">
        <v>70</v>
      </c>
      <c r="C276" s="17" t="s">
        <v>71</v>
      </c>
      <c r="D276" t="s">
        <v>932</v>
      </c>
      <c r="F276" t="s">
        <v>938</v>
      </c>
      <c r="J276" s="17" t="s">
        <v>939</v>
      </c>
      <c r="K276" s="18">
        <f>6281224083138</f>
        <v>6281224083138</v>
      </c>
      <c r="N276" s="17" t="s">
        <v>77</v>
      </c>
      <c r="U276" s="17"/>
      <c r="V276" s="18">
        <f>6281224083138</f>
        <v>6281224083138</v>
      </c>
      <c r="W276" t="s">
        <v>940</v>
      </c>
      <c r="Y276" t="s">
        <v>500</v>
      </c>
    </row>
    <row r="277" ht="15" customHeight="1" spans="1:22" x14ac:dyDescent="0.25">
      <c r="A277" s="17" t="s">
        <v>941</v>
      </c>
      <c r="B277" s="17" t="s">
        <v>70</v>
      </c>
      <c r="C277" s="17" t="s">
        <v>71</v>
      </c>
      <c r="D277" t="s">
        <v>932</v>
      </c>
      <c r="F277" t="s">
        <v>942</v>
      </c>
      <c r="K277" s="18">
        <f>62811138919</f>
        <v>62811138919</v>
      </c>
      <c r="N277" s="17" t="s">
        <v>81</v>
      </c>
      <c r="V277" s="18">
        <f>62811138919</f>
        <v>62811138919</v>
      </c>
    </row>
    <row r="278" ht="15" customHeight="1" spans="1:28" x14ac:dyDescent="0.25">
      <c r="A278" s="17" t="s">
        <v>943</v>
      </c>
      <c r="B278" s="17" t="s">
        <v>70</v>
      </c>
      <c r="C278" s="17" t="s">
        <v>71</v>
      </c>
      <c r="D278" t="s">
        <v>932</v>
      </c>
      <c r="F278" t="s">
        <v>944</v>
      </c>
      <c r="J278" s="17" t="s">
        <v>945</v>
      </c>
      <c r="K278" s="18" t="s">
        <v>946</v>
      </c>
      <c r="N278" s="17" t="s">
        <v>77</v>
      </c>
      <c r="O278" t="s">
        <v>117</v>
      </c>
      <c r="U278" s="17"/>
      <c r="V278" s="18" t="s">
        <v>946</v>
      </c>
      <c r="W278" t="s">
        <v>947</v>
      </c>
      <c r="Y278" s="17" t="s">
        <v>190</v>
      </c>
      <c r="AA278" s="17" t="s">
        <v>118</v>
      </c>
      <c r="AB278" t="s">
        <v>119</v>
      </c>
    </row>
    <row r="279" ht="15" customHeight="1" spans="1:22" x14ac:dyDescent="0.25">
      <c r="A279" s="17" t="s">
        <v>948</v>
      </c>
      <c r="B279" s="17" t="s">
        <v>70</v>
      </c>
      <c r="C279" s="17" t="s">
        <v>71</v>
      </c>
      <c r="D279" t="s">
        <v>932</v>
      </c>
      <c r="F279" t="s">
        <v>949</v>
      </c>
      <c r="K279" s="18">
        <f>62816845095</f>
        <v>62816845095</v>
      </c>
      <c r="N279" s="17" t="s">
        <v>77</v>
      </c>
      <c r="V279" s="18">
        <f>62816845095</f>
        <v>62816845095</v>
      </c>
    </row>
    <row r="280" ht="15" customHeight="1" spans="1:22" x14ac:dyDescent="0.25">
      <c r="A280" s="17" t="s">
        <v>950</v>
      </c>
      <c r="B280" s="17" t="s">
        <v>70</v>
      </c>
      <c r="C280" s="17" t="s">
        <v>71</v>
      </c>
      <c r="D280" t="s">
        <v>951</v>
      </c>
      <c r="F280" t="s">
        <v>951</v>
      </c>
      <c r="K280" s="18">
        <f>62816784080</f>
        <v>62816784080</v>
      </c>
      <c r="N280" s="17" t="s">
        <v>77</v>
      </c>
      <c r="V280" s="18">
        <f>62816784080</f>
        <v>62816784080</v>
      </c>
    </row>
    <row r="281" ht="15" customHeight="1" spans="1:28" x14ac:dyDescent="0.25">
      <c r="A281" s="17" t="s">
        <v>952</v>
      </c>
      <c r="B281" s="17" t="s">
        <v>70</v>
      </c>
      <c r="C281" s="17" t="s">
        <v>71</v>
      </c>
      <c r="D281" t="s">
        <v>953</v>
      </c>
      <c r="F281" t="s">
        <v>954</v>
      </c>
      <c r="J281" t="s">
        <v>115</v>
      </c>
      <c r="K281" s="18" t="s">
        <v>955</v>
      </c>
      <c r="N281" s="17" t="s">
        <v>77</v>
      </c>
      <c r="O281" t="s">
        <v>145</v>
      </c>
      <c r="U281" s="17"/>
      <c r="V281" s="18" t="s">
        <v>955</v>
      </c>
      <c r="W281" t="s">
        <v>956</v>
      </c>
      <c r="Y281" s="17" t="s">
        <v>90</v>
      </c>
      <c r="AA281" t="s">
        <v>118</v>
      </c>
      <c r="AB281" t="s">
        <v>119</v>
      </c>
    </row>
    <row r="282" ht="15" customHeight="1" spans="1:28" x14ac:dyDescent="0.25">
      <c r="A282" s="17" t="s">
        <v>957</v>
      </c>
      <c r="B282" s="17" t="s">
        <v>70</v>
      </c>
      <c r="C282" s="17" t="s">
        <v>71</v>
      </c>
      <c r="D282" t="s">
        <v>958</v>
      </c>
      <c r="F282" t="s">
        <v>959</v>
      </c>
      <c r="J282" s="17" t="s">
        <v>960</v>
      </c>
      <c r="K282" s="18" t="s">
        <v>961</v>
      </c>
      <c r="N282" s="17" t="s">
        <v>77</v>
      </c>
      <c r="O282" t="s">
        <v>145</v>
      </c>
      <c r="V282" s="18" t="s">
        <v>961</v>
      </c>
      <c r="Y282" s="17" t="s">
        <v>920</v>
      </c>
      <c r="AA282" t="s">
        <v>115</v>
      </c>
      <c r="AB282" t="s">
        <v>920</v>
      </c>
    </row>
    <row r="283" ht="15" customHeight="1" spans="1:28" x14ac:dyDescent="0.25">
      <c r="A283" s="17" t="s">
        <v>962</v>
      </c>
      <c r="B283" s="17" t="s">
        <v>70</v>
      </c>
      <c r="C283" s="17" t="s">
        <v>71</v>
      </c>
      <c r="D283" t="s">
        <v>959</v>
      </c>
      <c r="F283" t="s">
        <v>963</v>
      </c>
      <c r="J283" s="17" t="s">
        <v>964</v>
      </c>
      <c r="K283" s="18" t="s">
        <v>965</v>
      </c>
      <c r="N283" s="17" t="s">
        <v>77</v>
      </c>
      <c r="O283" t="s">
        <v>199</v>
      </c>
      <c r="U283" s="17"/>
      <c r="V283" s="18" t="s">
        <v>965</v>
      </c>
      <c r="W283" t="s">
        <v>920</v>
      </c>
      <c r="Y283" t="s">
        <v>920</v>
      </c>
      <c r="AA283" t="s">
        <v>115</v>
      </c>
      <c r="AB283" t="s">
        <v>920</v>
      </c>
    </row>
    <row r="284" ht="15" customHeight="1" spans="1:25" x14ac:dyDescent="0.25">
      <c r="A284" s="17" t="s">
        <v>966</v>
      </c>
      <c r="B284" s="17" t="s">
        <v>70</v>
      </c>
      <c r="C284" s="17" t="s">
        <v>71</v>
      </c>
      <c r="D284" t="s">
        <v>967</v>
      </c>
      <c r="F284" t="s">
        <v>968</v>
      </c>
      <c r="J284" s="17" t="s">
        <v>969</v>
      </c>
      <c r="K284" s="18">
        <f>628118131820</f>
        <v>628118131820</v>
      </c>
      <c r="N284" s="17" t="s">
        <v>77</v>
      </c>
      <c r="U284" s="17"/>
      <c r="V284" s="18">
        <f>628118131820</f>
        <v>628118131820</v>
      </c>
      <c r="W284" t="s">
        <v>970</v>
      </c>
      <c r="Y284" s="17" t="s">
        <v>96</v>
      </c>
    </row>
    <row r="285" ht="15" customHeight="1" spans="1:25" x14ac:dyDescent="0.25">
      <c r="A285" s="17" t="s">
        <v>971</v>
      </c>
      <c r="B285" s="17" t="s">
        <v>70</v>
      </c>
      <c r="C285" s="17" t="s">
        <v>71</v>
      </c>
      <c r="D285" t="s">
        <v>972</v>
      </c>
      <c r="F285" t="s">
        <v>972</v>
      </c>
      <c r="K285" s="18">
        <f>6281319191178</f>
        <v>6281319191178</v>
      </c>
      <c r="N285" s="17" t="s">
        <v>77</v>
      </c>
      <c r="U285" s="17"/>
      <c r="V285" s="18">
        <f>6281319191178</f>
        <v>6281319191178</v>
      </c>
      <c r="W285" t="s">
        <v>973</v>
      </c>
      <c r="Y285" s="17" t="s">
        <v>217</v>
      </c>
    </row>
    <row r="286" ht="15" customHeight="1" spans="1:23" x14ac:dyDescent="0.25">
      <c r="A286" s="17" t="s">
        <v>974</v>
      </c>
      <c r="B286" s="17" t="s">
        <v>70</v>
      </c>
      <c r="C286" s="17" t="s">
        <v>71</v>
      </c>
      <c r="D286" t="s">
        <v>975</v>
      </c>
      <c r="F286" t="s">
        <v>976</v>
      </c>
      <c r="K286" s="18">
        <f>6282111616166</f>
        <v>6282111616166</v>
      </c>
      <c r="N286" s="17" t="s">
        <v>74</v>
      </c>
      <c r="U286" s="17"/>
      <c r="V286" s="18">
        <f>6282111616166</f>
        <v>6282111616166</v>
      </c>
      <c r="W286" t="s">
        <v>977</v>
      </c>
    </row>
    <row r="287" ht="15" customHeight="1" spans="1:25" x14ac:dyDescent="0.25">
      <c r="A287" s="17" t="s">
        <v>978</v>
      </c>
      <c r="B287" s="17" t="s">
        <v>70</v>
      </c>
      <c r="C287" s="17" t="s">
        <v>71</v>
      </c>
      <c r="D287" t="s">
        <v>979</v>
      </c>
      <c r="F287" t="s">
        <v>980</v>
      </c>
      <c r="K287" s="18">
        <f>62818602626</f>
        <v>62818602626</v>
      </c>
      <c r="N287" s="17" t="s">
        <v>77</v>
      </c>
      <c r="U287" s="17"/>
      <c r="V287" s="18">
        <f>62818602626</f>
        <v>62818602626</v>
      </c>
      <c r="W287" t="s">
        <v>981</v>
      </c>
      <c r="Y287" s="17" t="s">
        <v>96</v>
      </c>
    </row>
    <row r="288" ht="15" customHeight="1" spans="1:28" x14ac:dyDescent="0.25">
      <c r="A288" s="17" t="s">
        <v>982</v>
      </c>
      <c r="B288" s="17" t="s">
        <v>70</v>
      </c>
      <c r="C288" s="17" t="s">
        <v>71</v>
      </c>
      <c r="D288" t="s">
        <v>979</v>
      </c>
      <c r="F288" t="s">
        <v>983</v>
      </c>
      <c r="J288" s="17" t="s">
        <v>984</v>
      </c>
      <c r="K288" s="18" t="s">
        <v>985</v>
      </c>
      <c r="N288" s="17" t="s">
        <v>77</v>
      </c>
      <c r="O288" t="s">
        <v>117</v>
      </c>
      <c r="V288" s="18" t="s">
        <v>985</v>
      </c>
      <c r="Y288" t="s">
        <v>90</v>
      </c>
      <c r="AA288" t="s">
        <v>118</v>
      </c>
      <c r="AB288" t="s">
        <v>119</v>
      </c>
    </row>
    <row r="289" ht="15" customHeight="1" spans="1:22" x14ac:dyDescent="0.25">
      <c r="A289" s="17" t="s">
        <v>986</v>
      </c>
      <c r="B289" s="17" t="s">
        <v>70</v>
      </c>
      <c r="C289" s="17" t="s">
        <v>71</v>
      </c>
      <c r="D289" t="s">
        <v>987</v>
      </c>
      <c r="F289" t="s">
        <v>560</v>
      </c>
      <c r="K289" s="18">
        <f>62818878222</f>
        <v>62818878222</v>
      </c>
      <c r="N289" s="17" t="s">
        <v>81</v>
      </c>
      <c r="V289" s="18">
        <f>62818878222</f>
        <v>62818878222</v>
      </c>
    </row>
    <row r="290" ht="15" customHeight="1" spans="1:22" x14ac:dyDescent="0.25">
      <c r="A290" s="17" t="s">
        <v>988</v>
      </c>
      <c r="B290" s="17" t="s">
        <v>70</v>
      </c>
      <c r="C290" s="17" t="s">
        <v>71</v>
      </c>
      <c r="D290" t="s">
        <v>989</v>
      </c>
      <c r="F290" t="s">
        <v>989</v>
      </c>
      <c r="K290" s="18">
        <f>628119848500</f>
        <v>628119848500</v>
      </c>
      <c r="N290" s="17" t="s">
        <v>77</v>
      </c>
      <c r="V290" s="18">
        <f>628119848500</f>
        <v>628119848500</v>
      </c>
    </row>
    <row r="291" ht="15" customHeight="1" spans="1:25" x14ac:dyDescent="0.25">
      <c r="A291" s="17" t="s">
        <v>990</v>
      </c>
      <c r="B291" s="17" t="s">
        <v>70</v>
      </c>
      <c r="C291" s="17" t="s">
        <v>71</v>
      </c>
      <c r="D291" t="s">
        <v>989</v>
      </c>
      <c r="F291" t="s">
        <v>991</v>
      </c>
      <c r="K291" s="18">
        <f>628111555779</f>
        <v>628111555779</v>
      </c>
      <c r="N291" s="17" t="s">
        <v>77</v>
      </c>
      <c r="U291" s="17"/>
      <c r="V291" s="18">
        <f>628111555779</f>
        <v>628111555779</v>
      </c>
      <c r="W291" s="20" t="s">
        <v>992</v>
      </c>
      <c r="Y291" s="17" t="s">
        <v>90</v>
      </c>
    </row>
    <row r="292" ht="15" customHeight="1" spans="1:25" x14ac:dyDescent="0.25">
      <c r="A292" s="17" t="s">
        <v>993</v>
      </c>
      <c r="B292" s="17" t="s">
        <v>70</v>
      </c>
      <c r="C292" s="17" t="s">
        <v>71</v>
      </c>
      <c r="D292" t="s">
        <v>989</v>
      </c>
      <c r="F292" t="s">
        <v>994</v>
      </c>
      <c r="K292" s="18">
        <f>628212885807</f>
        <v>628212885807</v>
      </c>
      <c r="N292" s="17" t="s">
        <v>77</v>
      </c>
      <c r="U292" s="17"/>
      <c r="V292" s="18">
        <f>628212885807</f>
        <v>628212885807</v>
      </c>
      <c r="W292" t="s">
        <v>995</v>
      </c>
      <c r="Y292" s="17" t="s">
        <v>90</v>
      </c>
    </row>
    <row r="293" ht="15" customHeight="1" spans="1:22" x14ac:dyDescent="0.25">
      <c r="A293" s="17" t="s">
        <v>996</v>
      </c>
      <c r="B293" s="17" t="s">
        <v>70</v>
      </c>
      <c r="C293" s="17" t="s">
        <v>71</v>
      </c>
      <c r="D293" t="s">
        <v>989</v>
      </c>
      <c r="F293" t="s">
        <v>997</v>
      </c>
      <c r="K293" s="18">
        <f>62816833684</f>
        <v>62816833684</v>
      </c>
      <c r="N293" s="17" t="s">
        <v>74</v>
      </c>
      <c r="V293" s="18">
        <f>62816833684</f>
        <v>62816833684</v>
      </c>
    </row>
    <row r="294" ht="15" customHeight="1" spans="1:28" x14ac:dyDescent="0.25">
      <c r="A294" s="17" t="s">
        <v>998</v>
      </c>
      <c r="B294" s="17" t="s">
        <v>70</v>
      </c>
      <c r="C294" s="17" t="s">
        <v>71</v>
      </c>
      <c r="D294" t="s">
        <v>989</v>
      </c>
      <c r="F294" t="s">
        <v>999</v>
      </c>
      <c r="J294" t="s">
        <v>115</v>
      </c>
      <c r="K294" s="18" t="s">
        <v>1000</v>
      </c>
      <c r="N294" s="17" t="s">
        <v>74</v>
      </c>
      <c r="O294" t="s">
        <v>261</v>
      </c>
      <c r="U294" s="17"/>
      <c r="V294" s="18" t="s">
        <v>1000</v>
      </c>
      <c r="W294" t="s">
        <v>1001</v>
      </c>
      <c r="Y294" s="17" t="s">
        <v>90</v>
      </c>
      <c r="AA294" s="17" t="s">
        <v>118</v>
      </c>
      <c r="AB294" t="s">
        <v>119</v>
      </c>
    </row>
    <row r="295" ht="15" customHeight="1" spans="1:27" x14ac:dyDescent="0.25">
      <c r="A295" s="17" t="s">
        <v>1002</v>
      </c>
      <c r="B295" s="17" t="s">
        <v>70</v>
      </c>
      <c r="C295" s="17" t="s">
        <v>71</v>
      </c>
      <c r="D295" t="s">
        <v>989</v>
      </c>
      <c r="F295" t="s">
        <v>1003</v>
      </c>
      <c r="J295" s="17" t="s">
        <v>1004</v>
      </c>
      <c r="K295" s="18">
        <f>628113545105</f>
        <v>628113545105</v>
      </c>
      <c r="N295" s="17" t="s">
        <v>77</v>
      </c>
      <c r="U295" s="17"/>
      <c r="V295" s="18">
        <f>628113545105</f>
        <v>628113545105</v>
      </c>
      <c r="W295" t="s">
        <v>1005</v>
      </c>
      <c r="Y295" s="17" t="s">
        <v>704</v>
      </c>
      <c r="AA295" s="17">
        <v>60225</v>
      </c>
    </row>
    <row r="296" ht="15" customHeight="1" spans="1:22" x14ac:dyDescent="0.25">
      <c r="A296" s="17" t="s">
        <v>1006</v>
      </c>
      <c r="B296" s="17" t="s">
        <v>70</v>
      </c>
      <c r="C296" s="17" t="s">
        <v>71</v>
      </c>
      <c r="D296" t="s">
        <v>989</v>
      </c>
      <c r="F296" t="s">
        <v>1007</v>
      </c>
      <c r="K296" s="18">
        <f>628119937098</f>
        <v>628119937098</v>
      </c>
      <c r="N296" s="17" t="s">
        <v>74</v>
      </c>
      <c r="V296" s="18">
        <f>628119937098</f>
        <v>628119937098</v>
      </c>
    </row>
    <row r="297" ht="15" customHeight="1" spans="1:27" x14ac:dyDescent="0.25">
      <c r="A297" s="17" t="s">
        <v>1008</v>
      </c>
      <c r="B297" s="17" t="s">
        <v>70</v>
      </c>
      <c r="C297" s="17" t="s">
        <v>71</v>
      </c>
      <c r="D297" t="s">
        <v>989</v>
      </c>
      <c r="F297" t="s">
        <v>1009</v>
      </c>
      <c r="J297" s="17" t="s">
        <v>1010</v>
      </c>
      <c r="K297" s="18">
        <f>6285772045686</f>
        <v>6285772045686</v>
      </c>
      <c r="N297" s="17" t="s">
        <v>77</v>
      </c>
      <c r="U297" s="17"/>
      <c r="V297" s="18">
        <f>6285772045686</f>
        <v>6285772045686</v>
      </c>
      <c r="W297" t="s">
        <v>1011</v>
      </c>
      <c r="Y297" s="17" t="s">
        <v>90</v>
      </c>
      <c r="AA297" s="17">
        <v>11520</v>
      </c>
    </row>
    <row r="298" ht="15" customHeight="1" spans="1:22" x14ac:dyDescent="0.25">
      <c r="A298" s="17" t="s">
        <v>1012</v>
      </c>
      <c r="B298" s="17" t="s">
        <v>70</v>
      </c>
      <c r="C298" s="17" t="s">
        <v>71</v>
      </c>
      <c r="D298" t="s">
        <v>989</v>
      </c>
      <c r="F298" t="s">
        <v>669</v>
      </c>
      <c r="K298" s="18">
        <f>62811895430</f>
        <v>62811895430</v>
      </c>
      <c r="N298" s="17" t="s">
        <v>77</v>
      </c>
      <c r="V298" s="18">
        <f>62811895430</f>
        <v>62811895430</v>
      </c>
    </row>
    <row r="299" ht="15" customHeight="1" spans="1:25" x14ac:dyDescent="0.25">
      <c r="A299" s="17" t="s">
        <v>1013</v>
      </c>
      <c r="B299" s="17" t="s">
        <v>70</v>
      </c>
      <c r="C299" s="17" t="s">
        <v>71</v>
      </c>
      <c r="D299" t="s">
        <v>989</v>
      </c>
      <c r="F299" t="s">
        <v>1014</v>
      </c>
      <c r="K299" s="18">
        <f>6281908940095</f>
        <v>6281908940095</v>
      </c>
      <c r="N299" s="17" t="s">
        <v>77</v>
      </c>
      <c r="V299" s="18">
        <f>6281908940095</f>
        <v>6281908940095</v>
      </c>
      <c r="Y299" s="17" t="s">
        <v>90</v>
      </c>
    </row>
    <row r="300" ht="15" customHeight="1" spans="1:28" x14ac:dyDescent="0.25">
      <c r="A300" s="17" t="s">
        <v>1015</v>
      </c>
      <c r="B300" s="17" t="s">
        <v>70</v>
      </c>
      <c r="C300" s="17" t="s">
        <v>71</v>
      </c>
      <c r="D300" t="s">
        <v>989</v>
      </c>
      <c r="F300" t="s">
        <v>1016</v>
      </c>
      <c r="J300" t="s">
        <v>115</v>
      </c>
      <c r="K300" s="18" t="s">
        <v>1017</v>
      </c>
      <c r="N300" s="17" t="s">
        <v>81</v>
      </c>
      <c r="O300" t="s">
        <v>117</v>
      </c>
      <c r="U300" s="17"/>
      <c r="V300" s="18" t="s">
        <v>1017</v>
      </c>
      <c r="W300" t="s">
        <v>1018</v>
      </c>
      <c r="Y300" s="17" t="s">
        <v>90</v>
      </c>
      <c r="AA300" t="s">
        <v>118</v>
      </c>
      <c r="AB300" t="s">
        <v>119</v>
      </c>
    </row>
    <row r="301" ht="15" customHeight="1" spans="1:28" x14ac:dyDescent="0.25">
      <c r="A301" s="17" t="s">
        <v>1019</v>
      </c>
      <c r="B301" s="17" t="s">
        <v>70</v>
      </c>
      <c r="C301" s="17" t="s">
        <v>71</v>
      </c>
      <c r="D301" t="s">
        <v>989</v>
      </c>
      <c r="F301" t="s">
        <v>1020</v>
      </c>
      <c r="J301" t="s">
        <v>115</v>
      </c>
      <c r="K301" s="18" t="s">
        <v>1021</v>
      </c>
      <c r="N301" s="17" t="s">
        <v>77</v>
      </c>
      <c r="O301" t="s">
        <v>489</v>
      </c>
      <c r="U301" s="17"/>
      <c r="V301" s="18" t="s">
        <v>1021</v>
      </c>
      <c r="W301" t="s">
        <v>1022</v>
      </c>
      <c r="Y301" s="17" t="s">
        <v>90</v>
      </c>
      <c r="AA301" t="s">
        <v>118</v>
      </c>
      <c r="AB301" t="s">
        <v>119</v>
      </c>
    </row>
    <row r="302" ht="15" customHeight="1" spans="1:22" x14ac:dyDescent="0.25">
      <c r="A302" s="17" t="s">
        <v>1023</v>
      </c>
      <c r="B302" s="17" t="s">
        <v>70</v>
      </c>
      <c r="C302" s="17" t="s">
        <v>71</v>
      </c>
      <c r="D302" t="s">
        <v>989</v>
      </c>
      <c r="F302" t="s">
        <v>1024</v>
      </c>
      <c r="K302" s="18">
        <f>628161878747</f>
        <v>628161878747</v>
      </c>
      <c r="N302" s="17" t="s">
        <v>77</v>
      </c>
      <c r="V302" s="18">
        <f>628161878747</f>
        <v>628161878747</v>
      </c>
    </row>
    <row r="303" ht="15" customHeight="1" spans="1:28" x14ac:dyDescent="0.25">
      <c r="A303" s="17" t="s">
        <v>1025</v>
      </c>
      <c r="B303" s="17" t="s">
        <v>70</v>
      </c>
      <c r="C303" s="17" t="s">
        <v>71</v>
      </c>
      <c r="D303" t="s">
        <v>989</v>
      </c>
      <c r="F303" t="s">
        <v>1026</v>
      </c>
      <c r="J303" s="17" t="s">
        <v>1027</v>
      </c>
      <c r="K303" s="18" t="s">
        <v>1028</v>
      </c>
      <c r="N303" s="17" t="s">
        <v>81</v>
      </c>
      <c r="O303" t="s">
        <v>145</v>
      </c>
      <c r="U303" s="17"/>
      <c r="V303" s="18" t="s">
        <v>1028</v>
      </c>
      <c r="W303" t="s">
        <v>1029</v>
      </c>
      <c r="Y303" s="17" t="s">
        <v>217</v>
      </c>
      <c r="AA303" t="s">
        <v>218</v>
      </c>
      <c r="AB303" t="s">
        <v>119</v>
      </c>
    </row>
    <row r="304" ht="15" customHeight="1" spans="1:25" x14ac:dyDescent="0.25">
      <c r="A304" s="17" t="s">
        <v>1030</v>
      </c>
      <c r="B304" s="17" t="s">
        <v>70</v>
      </c>
      <c r="C304" s="17" t="s">
        <v>71</v>
      </c>
      <c r="D304" t="s">
        <v>1031</v>
      </c>
      <c r="F304" t="s">
        <v>1032</v>
      </c>
      <c r="K304" s="18">
        <f>6282299005099</f>
        <v>6282299005099</v>
      </c>
      <c r="N304" s="17" t="s">
        <v>77</v>
      </c>
      <c r="U304" s="17"/>
      <c r="V304" s="18">
        <f>6282299005099</f>
        <v>6282299005099</v>
      </c>
      <c r="W304" t="s">
        <v>1033</v>
      </c>
      <c r="Y304" s="17" t="s">
        <v>90</v>
      </c>
    </row>
    <row r="305" ht="15" customHeight="1" spans="1:22" x14ac:dyDescent="0.25">
      <c r="A305" s="17" t="s">
        <v>1034</v>
      </c>
      <c r="B305" s="17" t="s">
        <v>70</v>
      </c>
      <c r="C305" s="17" t="s">
        <v>71</v>
      </c>
      <c r="D305" t="s">
        <v>1035</v>
      </c>
      <c r="F305" t="s">
        <v>1036</v>
      </c>
      <c r="K305" s="18">
        <f>6281810419</f>
        <v>6281810419</v>
      </c>
      <c r="N305" s="17" t="s">
        <v>81</v>
      </c>
      <c r="V305" s="18">
        <f>6281810419</f>
        <v>6281810419</v>
      </c>
    </row>
    <row r="306" ht="15" customHeight="1" spans="1:27" x14ac:dyDescent="0.25">
      <c r="A306" s="17" t="s">
        <v>1037</v>
      </c>
      <c r="B306" s="17" t="s">
        <v>70</v>
      </c>
      <c r="C306" s="17" t="s">
        <v>71</v>
      </c>
      <c r="D306" t="s">
        <v>1038</v>
      </c>
      <c r="F306" t="s">
        <v>1039</v>
      </c>
      <c r="J306" s="17" t="s">
        <v>1040</v>
      </c>
      <c r="K306" s="18">
        <f>6281227170299</f>
        <v>6281227170299</v>
      </c>
      <c r="N306" s="17" t="s">
        <v>81</v>
      </c>
      <c r="U306" s="17"/>
      <c r="V306" s="18">
        <f>6281227170299</f>
        <v>6281227170299</v>
      </c>
      <c r="W306" t="s">
        <v>1041</v>
      </c>
      <c r="Y306" t="s">
        <v>1042</v>
      </c>
      <c r="AA306" s="17">
        <v>57136</v>
      </c>
    </row>
    <row r="307" ht="15" customHeight="1" spans="1:23" x14ac:dyDescent="0.25">
      <c r="A307" s="17" t="s">
        <v>1043</v>
      </c>
      <c r="B307" s="17" t="s">
        <v>70</v>
      </c>
      <c r="C307" s="17" t="s">
        <v>71</v>
      </c>
      <c r="D307" t="s">
        <v>1044</v>
      </c>
      <c r="F307" t="s">
        <v>1045</v>
      </c>
      <c r="K307" s="18">
        <f>5511981173831</f>
        <v>5511981173831</v>
      </c>
      <c r="N307" s="17" t="s">
        <v>77</v>
      </c>
      <c r="U307" s="17"/>
      <c r="V307" s="18">
        <f>5511981173831</f>
        <v>5511981173831</v>
      </c>
      <c r="W307" t="s">
        <v>1046</v>
      </c>
    </row>
    <row r="308" ht="15" customHeight="1" spans="1:23" x14ac:dyDescent="0.25">
      <c r="A308" s="17" t="s">
        <v>1047</v>
      </c>
      <c r="B308" s="17" t="s">
        <v>70</v>
      </c>
      <c r="C308" s="17" t="s">
        <v>71</v>
      </c>
      <c r="D308" t="s">
        <v>1048</v>
      </c>
      <c r="F308" t="s">
        <v>1049</v>
      </c>
      <c r="K308" s="18">
        <f>34679100033</f>
        <v>34679100033</v>
      </c>
      <c r="N308" s="17" t="s">
        <v>77</v>
      </c>
      <c r="U308" s="17"/>
      <c r="V308" s="18" t="s">
        <v>1050</v>
      </c>
      <c r="W308" t="s">
        <v>1051</v>
      </c>
    </row>
    <row r="309" ht="15" customHeight="1" spans="1:22" x14ac:dyDescent="0.25">
      <c r="A309" s="17" t="s">
        <v>1052</v>
      </c>
      <c r="B309" s="17" t="s">
        <v>70</v>
      </c>
      <c r="C309" s="17" t="s">
        <v>71</v>
      </c>
      <c r="D309" t="s">
        <v>1053</v>
      </c>
      <c r="F309" t="s">
        <v>1053</v>
      </c>
      <c r="K309" s="18">
        <f>6285946678000</f>
        <v>6285946678000</v>
      </c>
      <c r="N309" s="17" t="s">
        <v>77</v>
      </c>
      <c r="V309" s="18">
        <f>6285946678000</f>
        <v>6285946678000</v>
      </c>
    </row>
    <row r="310" ht="15" customHeight="1" spans="1:25" x14ac:dyDescent="0.25">
      <c r="A310" s="17" t="s">
        <v>1054</v>
      </c>
      <c r="B310" s="17" t="s">
        <v>70</v>
      </c>
      <c r="C310" s="17" t="s">
        <v>71</v>
      </c>
      <c r="D310" t="s">
        <v>1053</v>
      </c>
      <c r="F310" t="s">
        <v>1055</v>
      </c>
      <c r="J310" s="17" t="s">
        <v>1056</v>
      </c>
      <c r="K310" s="18">
        <f>628161458791</f>
        <v>628161458791</v>
      </c>
      <c r="N310" s="17" t="s">
        <v>77</v>
      </c>
      <c r="U310" s="17"/>
      <c r="V310" s="18">
        <f>628161458791</f>
        <v>628161458791</v>
      </c>
      <c r="W310" t="s">
        <v>1057</v>
      </c>
      <c r="Y310" s="17" t="s">
        <v>90</v>
      </c>
    </row>
    <row r="311" ht="15" customHeight="1" spans="1:25" x14ac:dyDescent="0.25">
      <c r="A311" s="17" t="s">
        <v>1058</v>
      </c>
      <c r="B311" s="17" t="s">
        <v>70</v>
      </c>
      <c r="C311" s="17" t="s">
        <v>71</v>
      </c>
      <c r="D311" t="s">
        <v>1053</v>
      </c>
      <c r="F311" t="s">
        <v>1059</v>
      </c>
      <c r="K311" s="18">
        <f>6281397718822</f>
        <v>6281397718822</v>
      </c>
      <c r="N311" s="17" t="s">
        <v>77</v>
      </c>
      <c r="U311" s="17"/>
      <c r="V311" s="18">
        <f>6281397718822</f>
        <v>6281397718822</v>
      </c>
      <c r="W311" t="s">
        <v>90</v>
      </c>
      <c r="Y311" t="s">
        <v>90</v>
      </c>
    </row>
    <row r="312" ht="15" customHeight="1" spans="1:22" x14ac:dyDescent="0.25">
      <c r="A312" s="17" t="s">
        <v>1060</v>
      </c>
      <c r="B312" s="17" t="s">
        <v>70</v>
      </c>
      <c r="C312" s="17" t="s">
        <v>71</v>
      </c>
      <c r="D312" t="s">
        <v>1053</v>
      </c>
      <c r="F312" t="s">
        <v>1061</v>
      </c>
      <c r="K312" s="18">
        <f>6285216920862</f>
        <v>6285216920862</v>
      </c>
      <c r="N312" s="17" t="s">
        <v>77</v>
      </c>
      <c r="V312" s="18">
        <f>6285216920862</f>
        <v>6285216920862</v>
      </c>
    </row>
    <row r="313" ht="15" customHeight="1" spans="1:22" x14ac:dyDescent="0.25">
      <c r="A313" s="17" t="s">
        <v>1062</v>
      </c>
      <c r="B313" s="17" t="s">
        <v>70</v>
      </c>
      <c r="C313" s="17" t="s">
        <v>71</v>
      </c>
      <c r="D313" t="s">
        <v>1053</v>
      </c>
      <c r="F313" t="s">
        <v>167</v>
      </c>
      <c r="K313" s="18">
        <f>6282187512328</f>
        <v>6282187512328</v>
      </c>
      <c r="N313" s="17" t="s">
        <v>77</v>
      </c>
      <c r="V313" s="18">
        <f>6282187512328</f>
        <v>6282187512328</v>
      </c>
    </row>
    <row r="314" ht="15" customHeight="1" spans="1:22" x14ac:dyDescent="0.25">
      <c r="A314" s="17" t="s">
        <v>1063</v>
      </c>
      <c r="B314" s="17" t="s">
        <v>70</v>
      </c>
      <c r="C314" s="17" t="s">
        <v>71</v>
      </c>
      <c r="D314" t="s">
        <v>1053</v>
      </c>
      <c r="F314" t="s">
        <v>1064</v>
      </c>
      <c r="K314" s="18">
        <f>6287876777750</f>
        <v>6287876777750</v>
      </c>
      <c r="N314" s="17" t="s">
        <v>81</v>
      </c>
      <c r="V314" s="18">
        <f>6287876777750</f>
        <v>6287876777750</v>
      </c>
    </row>
    <row r="315" ht="15" customHeight="1" spans="1:22" x14ac:dyDescent="0.25">
      <c r="A315" s="17" t="s">
        <v>1065</v>
      </c>
      <c r="B315" s="17" t="s">
        <v>70</v>
      </c>
      <c r="C315" s="17" t="s">
        <v>71</v>
      </c>
      <c r="D315" t="s">
        <v>1053</v>
      </c>
      <c r="F315" t="s">
        <v>1066</v>
      </c>
      <c r="K315" s="18">
        <f>62811989898</f>
        <v>62811989898</v>
      </c>
      <c r="N315" s="17" t="s">
        <v>77</v>
      </c>
      <c r="V315" s="18">
        <f>62811989898</f>
        <v>62811989898</v>
      </c>
    </row>
    <row r="316" ht="15" customHeight="1" spans="1:25" x14ac:dyDescent="0.25">
      <c r="A316" s="17" t="s">
        <v>1067</v>
      </c>
      <c r="B316" s="17" t="s">
        <v>70</v>
      </c>
      <c r="C316" s="17" t="s">
        <v>71</v>
      </c>
      <c r="D316" t="s">
        <v>1053</v>
      </c>
      <c r="F316" t="s">
        <v>1068</v>
      </c>
      <c r="K316" s="18">
        <f>6282237081738</f>
        <v>6282237081738</v>
      </c>
      <c r="N316" s="17" t="s">
        <v>77</v>
      </c>
      <c r="U316" s="17"/>
      <c r="V316" s="18">
        <f>6282237081738</f>
        <v>6282237081738</v>
      </c>
      <c r="W316" t="s">
        <v>181</v>
      </c>
      <c r="Y316" t="s">
        <v>181</v>
      </c>
    </row>
    <row r="317" ht="15" customHeight="1" spans="1:25" x14ac:dyDescent="0.25">
      <c r="A317" s="17" t="s">
        <v>1069</v>
      </c>
      <c r="B317" s="17" t="s">
        <v>70</v>
      </c>
      <c r="C317" s="17" t="s">
        <v>71</v>
      </c>
      <c r="D317" t="s">
        <v>1053</v>
      </c>
      <c r="F317" t="s">
        <v>1070</v>
      </c>
      <c r="K317" s="18">
        <f>628118113186</f>
        <v>628118113186</v>
      </c>
      <c r="N317" s="17" t="s">
        <v>77</v>
      </c>
      <c r="U317" s="17"/>
      <c r="V317" s="18">
        <f>628118113186</f>
        <v>628118113186</v>
      </c>
      <c r="W317" t="s">
        <v>1071</v>
      </c>
      <c r="Y317" s="17" t="s">
        <v>90</v>
      </c>
    </row>
    <row r="318" ht="15" customHeight="1" spans="1:22" x14ac:dyDescent="0.25">
      <c r="A318" s="17" t="s">
        <v>1072</v>
      </c>
      <c r="B318" s="17" t="s">
        <v>70</v>
      </c>
      <c r="C318" s="17" t="s">
        <v>71</v>
      </c>
      <c r="D318" t="s">
        <v>1053</v>
      </c>
      <c r="F318" t="s">
        <v>114</v>
      </c>
      <c r="K318" s="18">
        <f>628119694883</f>
        <v>628119694883</v>
      </c>
      <c r="N318" s="17" t="s">
        <v>77</v>
      </c>
      <c r="V318" s="18">
        <f>628119694883</f>
        <v>628119694883</v>
      </c>
    </row>
    <row r="319" ht="15" customHeight="1" spans="1:22" x14ac:dyDescent="0.25">
      <c r="A319" s="17" t="s">
        <v>1073</v>
      </c>
      <c r="B319" s="17" t="s">
        <v>70</v>
      </c>
      <c r="C319" s="17" t="s">
        <v>71</v>
      </c>
      <c r="D319" t="s">
        <v>1053</v>
      </c>
      <c r="F319" t="s">
        <v>1074</v>
      </c>
      <c r="K319" s="18">
        <f>6287860645873</f>
        <v>6287860645873</v>
      </c>
      <c r="N319" s="17" t="s">
        <v>77</v>
      </c>
      <c r="V319" s="18">
        <f>6287860645873</f>
        <v>6287860645873</v>
      </c>
    </row>
    <row r="320" ht="15" customHeight="1" spans="1:25" x14ac:dyDescent="0.25">
      <c r="A320" s="17" t="s">
        <v>1075</v>
      </c>
      <c r="B320" s="17" t="s">
        <v>70</v>
      </c>
      <c r="C320" s="17" t="s">
        <v>71</v>
      </c>
      <c r="D320" t="s">
        <v>1053</v>
      </c>
      <c r="F320" t="s">
        <v>1076</v>
      </c>
      <c r="K320" s="18">
        <f>6281280826051</f>
        <v>6281280826051</v>
      </c>
      <c r="N320" s="17" t="s">
        <v>77</v>
      </c>
      <c r="U320" s="17"/>
      <c r="V320" s="18">
        <f>6281280826051</f>
        <v>6281280826051</v>
      </c>
      <c r="W320" t="s">
        <v>1077</v>
      </c>
      <c r="Y320" t="s">
        <v>567</v>
      </c>
    </row>
    <row r="321" ht="15" customHeight="1" spans="1:22" x14ac:dyDescent="0.25">
      <c r="A321" s="17" t="s">
        <v>1078</v>
      </c>
      <c r="B321" s="17" t="s">
        <v>70</v>
      </c>
      <c r="C321" s="17" t="s">
        <v>71</v>
      </c>
      <c r="D321" t="s">
        <v>1053</v>
      </c>
      <c r="F321" t="s">
        <v>1079</v>
      </c>
      <c r="K321" s="18">
        <f>6282268889695</f>
        <v>6282268889695</v>
      </c>
      <c r="N321" s="17" t="s">
        <v>77</v>
      </c>
      <c r="V321" s="18">
        <f>6282268889695</f>
        <v>6282268889695</v>
      </c>
    </row>
    <row r="322" ht="15" customHeight="1" spans="1:25" x14ac:dyDescent="0.25">
      <c r="A322" s="17" t="s">
        <v>1080</v>
      </c>
      <c r="B322" s="17" t="s">
        <v>70</v>
      </c>
      <c r="C322" s="17" t="s">
        <v>71</v>
      </c>
      <c r="D322" t="s">
        <v>1053</v>
      </c>
      <c r="F322" t="s">
        <v>1081</v>
      </c>
      <c r="J322" s="17" t="s">
        <v>1082</v>
      </c>
      <c r="K322" s="18">
        <f>6282123495233</f>
        <v>6282123495233</v>
      </c>
      <c r="N322" s="17" t="s">
        <v>77</v>
      </c>
      <c r="U322" s="17"/>
      <c r="V322" s="18">
        <f>6282123495233</f>
        <v>6282123495233</v>
      </c>
      <c r="W322" t="s">
        <v>1083</v>
      </c>
      <c r="Y322" s="17" t="s">
        <v>1084</v>
      </c>
    </row>
    <row r="323" ht="15" customHeight="1" spans="1:22" x14ac:dyDescent="0.25">
      <c r="A323" s="17" t="s">
        <v>1085</v>
      </c>
      <c r="B323" s="17" t="s">
        <v>70</v>
      </c>
      <c r="C323" s="17" t="s">
        <v>71</v>
      </c>
      <c r="D323" t="s">
        <v>1086</v>
      </c>
      <c r="F323" t="s">
        <v>1086</v>
      </c>
      <c r="K323" s="18">
        <f>628128276892</f>
        <v>628128276892</v>
      </c>
      <c r="N323" s="17" t="s">
        <v>81</v>
      </c>
      <c r="V323" s="18">
        <f>628128276892</f>
        <v>628128276892</v>
      </c>
    </row>
    <row r="324" ht="15" customHeight="1" spans="1:22" x14ac:dyDescent="0.25">
      <c r="A324" s="17" t="s">
        <v>1087</v>
      </c>
      <c r="B324" s="17" t="s">
        <v>70</v>
      </c>
      <c r="C324" s="17" t="s">
        <v>71</v>
      </c>
      <c r="D324" t="s">
        <v>1086</v>
      </c>
      <c r="F324" t="s">
        <v>1086</v>
      </c>
      <c r="K324" s="18">
        <f>6281343836895</f>
        <v>6281343836895</v>
      </c>
      <c r="N324" s="17" t="s">
        <v>77</v>
      </c>
      <c r="V324" s="18">
        <f>6281343836895</f>
        <v>6281343836895</v>
      </c>
    </row>
    <row r="325" ht="15" customHeight="1" spans="1:28" x14ac:dyDescent="0.25">
      <c r="A325" s="17" t="s">
        <v>1088</v>
      </c>
      <c r="B325" s="17" t="s">
        <v>70</v>
      </c>
      <c r="C325" s="17" t="s">
        <v>71</v>
      </c>
      <c r="D325" t="s">
        <v>1086</v>
      </c>
      <c r="F325" t="s">
        <v>1089</v>
      </c>
      <c r="J325" t="s">
        <v>115</v>
      </c>
      <c r="K325" s="18" t="s">
        <v>1090</v>
      </c>
      <c r="N325" s="17" t="s">
        <v>77</v>
      </c>
      <c r="O325" t="s">
        <v>117</v>
      </c>
      <c r="V325" s="18" t="s">
        <v>1090</v>
      </c>
      <c r="Y325" t="s">
        <v>1091</v>
      </c>
      <c r="AA325" t="s">
        <v>115</v>
      </c>
      <c r="AB325" t="s">
        <v>119</v>
      </c>
    </row>
    <row r="326" ht="15" customHeight="1" spans="1:22" x14ac:dyDescent="0.25">
      <c r="A326" s="17" t="s">
        <v>1092</v>
      </c>
      <c r="B326" s="17" t="s">
        <v>70</v>
      </c>
      <c r="C326" s="17" t="s">
        <v>71</v>
      </c>
      <c r="D326" t="s">
        <v>1086</v>
      </c>
      <c r="F326" t="s">
        <v>1093</v>
      </c>
      <c r="K326" s="18">
        <f>628121051220</f>
        <v>628121051220</v>
      </c>
      <c r="N326" s="17" t="s">
        <v>77</v>
      </c>
      <c r="V326" s="18">
        <f>628121051220</f>
        <v>628121051220</v>
      </c>
    </row>
    <row r="327" ht="15" customHeight="1" spans="1:28" x14ac:dyDescent="0.25">
      <c r="A327" s="17" t="s">
        <v>1094</v>
      </c>
      <c r="B327" s="17" t="s">
        <v>70</v>
      </c>
      <c r="C327" s="17" t="s">
        <v>71</v>
      </c>
      <c r="D327" t="s">
        <v>1086</v>
      </c>
      <c r="F327" t="s">
        <v>1095</v>
      </c>
      <c r="J327" t="s">
        <v>115</v>
      </c>
      <c r="K327" s="18" t="s">
        <v>1096</v>
      </c>
      <c r="N327" s="17" t="s">
        <v>77</v>
      </c>
      <c r="O327" t="s">
        <v>117</v>
      </c>
      <c r="V327" s="18" t="s">
        <v>1096</v>
      </c>
      <c r="Y327" t="s">
        <v>115</v>
      </c>
      <c r="AA327" t="s">
        <v>115</v>
      </c>
      <c r="AB327" t="s">
        <v>119</v>
      </c>
    </row>
    <row r="328" ht="15" customHeight="1" spans="1:22" x14ac:dyDescent="0.25">
      <c r="A328" s="17" t="s">
        <v>1097</v>
      </c>
      <c r="B328" s="17" t="s">
        <v>70</v>
      </c>
      <c r="C328" s="17" t="s">
        <v>71</v>
      </c>
      <c r="D328" t="s">
        <v>1086</v>
      </c>
      <c r="F328" t="s">
        <v>1098</v>
      </c>
      <c r="K328" s="18">
        <f>628123594381</f>
        <v>628123594381</v>
      </c>
      <c r="N328" s="17" t="s">
        <v>77</v>
      </c>
      <c r="V328" s="18">
        <f>628123594381</f>
        <v>628123594381</v>
      </c>
    </row>
    <row r="329" ht="15" customHeight="1" spans="1:22" x14ac:dyDescent="0.25">
      <c r="A329" s="17" t="s">
        <v>1099</v>
      </c>
      <c r="B329" s="17" t="s">
        <v>70</v>
      </c>
      <c r="C329" s="17" t="s">
        <v>71</v>
      </c>
      <c r="D329" t="s">
        <v>1086</v>
      </c>
      <c r="F329" t="s">
        <v>1100</v>
      </c>
      <c r="K329" s="18">
        <f>6285718801133</f>
        <v>6285718801133</v>
      </c>
      <c r="N329" s="17" t="s">
        <v>77</v>
      </c>
      <c r="V329" s="18">
        <f>6285718801133</f>
        <v>6285718801133</v>
      </c>
    </row>
    <row r="330" ht="15" customHeight="1" spans="1:22" x14ac:dyDescent="0.25">
      <c r="A330" s="17" t="s">
        <v>1101</v>
      </c>
      <c r="B330" s="17" t="s">
        <v>70</v>
      </c>
      <c r="C330" s="17" t="s">
        <v>71</v>
      </c>
      <c r="D330" t="s">
        <v>1086</v>
      </c>
      <c r="F330" t="s">
        <v>1102</v>
      </c>
      <c r="K330" s="18">
        <f>6287888723472</f>
        <v>6287888723472</v>
      </c>
      <c r="N330" s="17" t="s">
        <v>81</v>
      </c>
      <c r="V330" s="18">
        <f>6287888723472</f>
        <v>6287888723472</v>
      </c>
    </row>
    <row r="331" ht="15" customHeight="1" spans="1:28" x14ac:dyDescent="0.25">
      <c r="A331" s="17" t="s">
        <v>1103</v>
      </c>
      <c r="B331" s="17" t="s">
        <v>70</v>
      </c>
      <c r="C331" s="17" t="s">
        <v>71</v>
      </c>
      <c r="D331" t="s">
        <v>1086</v>
      </c>
      <c r="F331" t="s">
        <v>1104</v>
      </c>
      <c r="J331" t="s">
        <v>115</v>
      </c>
      <c r="K331" s="18" t="s">
        <v>1105</v>
      </c>
      <c r="N331" s="17" t="s">
        <v>77</v>
      </c>
      <c r="O331" t="s">
        <v>117</v>
      </c>
      <c r="U331" s="17"/>
      <c r="V331" s="18" t="s">
        <v>1105</v>
      </c>
      <c r="W331" t="s">
        <v>1106</v>
      </c>
      <c r="Y331" s="17" t="s">
        <v>190</v>
      </c>
      <c r="AA331" s="17" t="s">
        <v>118</v>
      </c>
      <c r="AB331" t="s">
        <v>119</v>
      </c>
    </row>
    <row r="332" ht="15" customHeight="1" spans="1:22" x14ac:dyDescent="0.25">
      <c r="A332" s="17" t="s">
        <v>1107</v>
      </c>
      <c r="B332" s="17" t="s">
        <v>70</v>
      </c>
      <c r="C332" s="17" t="s">
        <v>71</v>
      </c>
      <c r="D332" t="s">
        <v>1086</v>
      </c>
      <c r="F332" t="s">
        <v>1108</v>
      </c>
      <c r="K332" s="18">
        <f>6281350916783</f>
        <v>6281350916783</v>
      </c>
      <c r="N332" s="17" t="s">
        <v>81</v>
      </c>
      <c r="V332" s="18">
        <f>6281350916783</f>
        <v>6281350916783</v>
      </c>
    </row>
    <row r="333" ht="15" customHeight="1" spans="1:22" x14ac:dyDescent="0.25">
      <c r="A333" s="17" t="s">
        <v>1109</v>
      </c>
      <c r="B333" s="17" t="s">
        <v>70</v>
      </c>
      <c r="C333" s="17" t="s">
        <v>71</v>
      </c>
      <c r="D333" t="s">
        <v>1086</v>
      </c>
      <c r="F333" t="s">
        <v>1110</v>
      </c>
      <c r="K333" s="18">
        <f>6281318055630</f>
        <v>6281318055630</v>
      </c>
      <c r="N333" s="17" t="s">
        <v>77</v>
      </c>
      <c r="V333" s="18">
        <f>6281318055630</f>
        <v>6281318055630</v>
      </c>
    </row>
    <row r="334" ht="15" customHeight="1" spans="1:22" x14ac:dyDescent="0.25">
      <c r="A334" s="17" t="s">
        <v>1111</v>
      </c>
      <c r="B334" s="17" t="s">
        <v>70</v>
      </c>
      <c r="C334" s="17" t="s">
        <v>71</v>
      </c>
      <c r="D334" t="s">
        <v>1086</v>
      </c>
      <c r="F334" t="s">
        <v>1112</v>
      </c>
      <c r="K334" s="18">
        <f>628161903429</f>
        <v>628161903429</v>
      </c>
      <c r="N334" s="17" t="s">
        <v>74</v>
      </c>
      <c r="V334" s="18">
        <f>628161903429</f>
        <v>628161903429</v>
      </c>
    </row>
    <row r="335" ht="15" customHeight="1" spans="1:25" x14ac:dyDescent="0.25">
      <c r="A335" s="17" t="s">
        <v>1113</v>
      </c>
      <c r="B335" s="17" t="s">
        <v>70</v>
      </c>
      <c r="C335" s="17" t="s">
        <v>71</v>
      </c>
      <c r="D335" t="s">
        <v>1086</v>
      </c>
      <c r="F335" t="s">
        <v>1114</v>
      </c>
      <c r="K335" s="18" t="s">
        <v>1115</v>
      </c>
      <c r="N335" s="17" t="s">
        <v>74</v>
      </c>
      <c r="U335" s="17"/>
      <c r="V335" s="18" t="s">
        <v>1115</v>
      </c>
      <c r="W335" t="s">
        <v>1116</v>
      </c>
      <c r="Y335" s="17" t="s">
        <v>515</v>
      </c>
    </row>
    <row r="336" ht="15" customHeight="1" spans="1:28" x14ac:dyDescent="0.25">
      <c r="A336" s="17" t="s">
        <v>1117</v>
      </c>
      <c r="B336" s="17" t="s">
        <v>70</v>
      </c>
      <c r="C336" s="17" t="s">
        <v>71</v>
      </c>
      <c r="D336" t="s">
        <v>1086</v>
      </c>
      <c r="F336" t="s">
        <v>1070</v>
      </c>
      <c r="J336" t="s">
        <v>115</v>
      </c>
      <c r="K336" s="18" t="s">
        <v>1118</v>
      </c>
      <c r="N336" s="17" t="s">
        <v>77</v>
      </c>
      <c r="O336" t="s">
        <v>489</v>
      </c>
      <c r="U336" s="17"/>
      <c r="V336" s="18" t="s">
        <v>1118</v>
      </c>
      <c r="W336" t="s">
        <v>1119</v>
      </c>
      <c r="Y336" t="s">
        <v>1119</v>
      </c>
      <c r="AA336" t="s">
        <v>115</v>
      </c>
      <c r="AB336" t="s">
        <v>119</v>
      </c>
    </row>
    <row r="337" ht="15" customHeight="1" spans="1:27" x14ac:dyDescent="0.25">
      <c r="A337" s="17" t="s">
        <v>1120</v>
      </c>
      <c r="B337" s="17" t="s">
        <v>70</v>
      </c>
      <c r="C337" s="17" t="s">
        <v>71</v>
      </c>
      <c r="D337" t="s">
        <v>1086</v>
      </c>
      <c r="F337" t="s">
        <v>1121</v>
      </c>
      <c r="K337" s="18">
        <f>62818170234</f>
        <v>62818170234</v>
      </c>
      <c r="N337" s="17" t="s">
        <v>77</v>
      </c>
      <c r="U337" s="17"/>
      <c r="V337" s="18">
        <f>62818170234</f>
        <v>62818170234</v>
      </c>
      <c r="W337" t="s">
        <v>1122</v>
      </c>
      <c r="Y337" s="17" t="s">
        <v>1084</v>
      </c>
      <c r="AA337" s="17" t="s">
        <v>1123</v>
      </c>
    </row>
    <row r="338" ht="15" customHeight="1" spans="1:25" x14ac:dyDescent="0.25">
      <c r="A338" s="17" t="s">
        <v>1124</v>
      </c>
      <c r="B338" s="17" t="s">
        <v>70</v>
      </c>
      <c r="C338" s="17" t="s">
        <v>71</v>
      </c>
      <c r="D338" t="s">
        <v>1086</v>
      </c>
      <c r="F338" t="s">
        <v>1125</v>
      </c>
      <c r="K338" s="18">
        <f>8129198925312</f>
        <v>8129198925312</v>
      </c>
      <c r="N338" s="17" t="s">
        <v>81</v>
      </c>
      <c r="U338" s="17"/>
      <c r="V338" s="18">
        <f>8129198925312</f>
        <v>8129198925312</v>
      </c>
      <c r="W338" t="s">
        <v>1126</v>
      </c>
      <c r="Y338" s="17" t="s">
        <v>567</v>
      </c>
    </row>
    <row r="339" ht="15" customHeight="1" spans="1:22" x14ac:dyDescent="0.25">
      <c r="A339" s="17" t="s">
        <v>1127</v>
      </c>
      <c r="B339" s="17" t="s">
        <v>70</v>
      </c>
      <c r="C339" s="17" t="s">
        <v>71</v>
      </c>
      <c r="D339" t="s">
        <v>1086</v>
      </c>
      <c r="F339" t="s">
        <v>1128</v>
      </c>
      <c r="K339" s="18">
        <f>6281253233824</f>
        <v>6281253233824</v>
      </c>
      <c r="N339" s="17" t="s">
        <v>77</v>
      </c>
      <c r="V339" s="18">
        <f>6281253233824</f>
        <v>6281253233824</v>
      </c>
    </row>
    <row r="340" ht="15" customHeight="1" spans="1:22" x14ac:dyDescent="0.25">
      <c r="A340" s="17" t="s">
        <v>1129</v>
      </c>
      <c r="B340" s="17" t="s">
        <v>70</v>
      </c>
      <c r="C340" s="17" t="s">
        <v>71</v>
      </c>
      <c r="D340" t="s">
        <v>1086</v>
      </c>
      <c r="F340" t="s">
        <v>1130</v>
      </c>
      <c r="K340" s="18">
        <f>6281216161626</f>
        <v>6281216161626</v>
      </c>
      <c r="N340" s="17" t="s">
        <v>81</v>
      </c>
      <c r="V340" s="18">
        <f>6281216161626</f>
        <v>6281216161626</v>
      </c>
    </row>
    <row r="341" ht="15" customHeight="1" spans="1:27" x14ac:dyDescent="0.25">
      <c r="A341" s="17" t="s">
        <v>1131</v>
      </c>
      <c r="B341" s="17" t="s">
        <v>70</v>
      </c>
      <c r="C341" s="17" t="s">
        <v>71</v>
      </c>
      <c r="D341" t="s">
        <v>1086</v>
      </c>
      <c r="F341" t="s">
        <v>1130</v>
      </c>
      <c r="K341" s="18">
        <f>62217652851</f>
        <v>62217652851</v>
      </c>
      <c r="N341" s="17" t="s">
        <v>77</v>
      </c>
      <c r="U341" s="17"/>
      <c r="V341" s="18">
        <f>62217652851</f>
        <v>62217652851</v>
      </c>
      <c r="W341" t="s">
        <v>1132</v>
      </c>
      <c r="Y341" s="17" t="s">
        <v>96</v>
      </c>
      <c r="AA341" s="17" t="s">
        <v>97</v>
      </c>
    </row>
    <row r="342" ht="15" customHeight="1" spans="1:25" x14ac:dyDescent="0.25">
      <c r="A342" s="17" t="s">
        <v>1133</v>
      </c>
      <c r="B342" s="17" t="s">
        <v>70</v>
      </c>
      <c r="C342" s="17" t="s">
        <v>71</v>
      </c>
      <c r="D342" t="s">
        <v>1086</v>
      </c>
      <c r="F342" t="s">
        <v>669</v>
      </c>
      <c r="K342" s="18">
        <f>6281390008880</f>
        <v>6281390008880</v>
      </c>
      <c r="N342" s="17" t="s">
        <v>81</v>
      </c>
      <c r="U342" s="17"/>
      <c r="V342" s="18">
        <f>6281390008880</f>
        <v>6281390008880</v>
      </c>
      <c r="W342" t="s">
        <v>1134</v>
      </c>
      <c r="Y342" s="17" t="s">
        <v>90</v>
      </c>
    </row>
    <row r="343" ht="15" customHeight="1" spans="1:22" x14ac:dyDescent="0.25">
      <c r="A343" s="17" t="s">
        <v>1135</v>
      </c>
      <c r="B343" s="17" t="s">
        <v>70</v>
      </c>
      <c r="C343" s="17" t="s">
        <v>71</v>
      </c>
      <c r="D343" t="s">
        <v>1086</v>
      </c>
      <c r="F343" t="s">
        <v>1136</v>
      </c>
      <c r="K343" s="18">
        <f>62811167223</f>
        <v>62811167223</v>
      </c>
      <c r="N343" s="17" t="s">
        <v>81</v>
      </c>
      <c r="V343" s="18">
        <f>62811167223</f>
        <v>62811167223</v>
      </c>
    </row>
    <row r="344" ht="15" customHeight="1" spans="1:22" x14ac:dyDescent="0.25">
      <c r="A344" s="17" t="s">
        <v>1137</v>
      </c>
      <c r="B344" s="17" t="s">
        <v>70</v>
      </c>
      <c r="C344" s="17" t="s">
        <v>71</v>
      </c>
      <c r="D344" t="s">
        <v>1086</v>
      </c>
      <c r="F344" t="s">
        <v>1138</v>
      </c>
      <c r="K344" s="18">
        <f>6285814852472</f>
        <v>6285814852472</v>
      </c>
      <c r="N344" s="17" t="s">
        <v>77</v>
      </c>
      <c r="V344" s="18">
        <f>6285814852472</f>
        <v>6285814852472</v>
      </c>
    </row>
    <row r="345" ht="15" customHeight="1" spans="1:22" x14ac:dyDescent="0.25">
      <c r="A345" s="17" t="s">
        <v>1139</v>
      </c>
      <c r="B345" s="17" t="s">
        <v>70</v>
      </c>
      <c r="C345" s="17" t="s">
        <v>71</v>
      </c>
      <c r="D345" t="s">
        <v>1086</v>
      </c>
      <c r="F345" t="s">
        <v>1140</v>
      </c>
      <c r="K345" s="18">
        <f>6281584068777</f>
        <v>6281584068777</v>
      </c>
      <c r="N345" s="17" t="s">
        <v>81</v>
      </c>
      <c r="V345" s="18">
        <f>6281584068777</f>
        <v>6281584068777</v>
      </c>
    </row>
    <row r="346" ht="15" customHeight="1" spans="1:28" x14ac:dyDescent="0.25">
      <c r="A346" s="17" t="s">
        <v>1141</v>
      </c>
      <c r="B346" s="17" t="s">
        <v>70</v>
      </c>
      <c r="C346" s="17" t="s">
        <v>71</v>
      </c>
      <c r="D346" t="s">
        <v>1086</v>
      </c>
      <c r="F346" t="s">
        <v>1142</v>
      </c>
      <c r="J346" s="17" t="s">
        <v>1143</v>
      </c>
      <c r="K346" s="18" t="s">
        <v>1144</v>
      </c>
      <c r="N346" s="17" t="s">
        <v>77</v>
      </c>
      <c r="O346" t="s">
        <v>117</v>
      </c>
      <c r="U346" s="17"/>
      <c r="V346" s="18" t="s">
        <v>1144</v>
      </c>
      <c r="W346" t="s">
        <v>1145</v>
      </c>
      <c r="Y346" s="17" t="s">
        <v>90</v>
      </c>
      <c r="AA346" t="s">
        <v>118</v>
      </c>
      <c r="AB346" t="s">
        <v>119</v>
      </c>
    </row>
    <row r="347" ht="15" customHeight="1" spans="1:28" x14ac:dyDescent="0.25">
      <c r="A347" s="17" t="s">
        <v>1146</v>
      </c>
      <c r="B347" s="17" t="s">
        <v>70</v>
      </c>
      <c r="C347" s="17" t="s">
        <v>71</v>
      </c>
      <c r="D347" t="s">
        <v>1086</v>
      </c>
      <c r="F347" t="s">
        <v>1147</v>
      </c>
      <c r="J347" t="s">
        <v>1148</v>
      </c>
      <c r="K347" s="18" t="s">
        <v>1149</v>
      </c>
      <c r="N347" s="17" t="s">
        <v>77</v>
      </c>
      <c r="O347" t="s">
        <v>199</v>
      </c>
      <c r="U347" s="17"/>
      <c r="V347" s="18" t="s">
        <v>1149</v>
      </c>
      <c r="W347" t="s">
        <v>1150</v>
      </c>
      <c r="Y347" t="s">
        <v>1151</v>
      </c>
      <c r="AA347" t="s">
        <v>115</v>
      </c>
      <c r="AB347" t="s">
        <v>119</v>
      </c>
    </row>
    <row r="348" ht="15" customHeight="1" spans="1:22" x14ac:dyDescent="0.25">
      <c r="A348" s="17" t="s">
        <v>1152</v>
      </c>
      <c r="B348" s="17" t="s">
        <v>70</v>
      </c>
      <c r="C348" s="17" t="s">
        <v>71</v>
      </c>
      <c r="D348" t="s">
        <v>1086</v>
      </c>
      <c r="F348" t="s">
        <v>1153</v>
      </c>
      <c r="K348" s="18">
        <f>6281938208999</f>
        <v>6281938208999</v>
      </c>
      <c r="N348" s="17" t="s">
        <v>77</v>
      </c>
      <c r="V348" s="18">
        <f>6281938208999</f>
        <v>6281938208999</v>
      </c>
    </row>
    <row r="349" ht="15" customHeight="1" spans="1:25" x14ac:dyDescent="0.25">
      <c r="A349" s="17" t="s">
        <v>1154</v>
      </c>
      <c r="B349" s="17" t="s">
        <v>70</v>
      </c>
      <c r="C349" s="17" t="s">
        <v>71</v>
      </c>
      <c r="D349" t="s">
        <v>1086</v>
      </c>
      <c r="F349" t="s">
        <v>1155</v>
      </c>
      <c r="K349" s="18">
        <f>62811631111</f>
        <v>62811631111</v>
      </c>
      <c r="N349" s="17" t="s">
        <v>77</v>
      </c>
      <c r="U349" s="17"/>
      <c r="V349" s="18">
        <f>62811631111</f>
        <v>62811631111</v>
      </c>
      <c r="W349" t="s">
        <v>1156</v>
      </c>
      <c r="Y349" t="s">
        <v>1157</v>
      </c>
    </row>
    <row r="350" ht="15" customHeight="1" spans="1:27" x14ac:dyDescent="0.25">
      <c r="A350" s="17" t="s">
        <v>1158</v>
      </c>
      <c r="B350" s="17" t="s">
        <v>70</v>
      </c>
      <c r="C350" s="17" t="s">
        <v>71</v>
      </c>
      <c r="D350" t="s">
        <v>1086</v>
      </c>
      <c r="F350" t="s">
        <v>1159</v>
      </c>
      <c r="J350" s="17" t="s">
        <v>1160</v>
      </c>
      <c r="K350" s="18">
        <f>628123806366</f>
        <v>628123806366</v>
      </c>
      <c r="N350" s="17" t="s">
        <v>74</v>
      </c>
      <c r="U350" s="17"/>
      <c r="V350" s="18">
        <f>628123806366</f>
        <v>628123806366</v>
      </c>
      <c r="W350" t="s">
        <v>1161</v>
      </c>
      <c r="Y350" s="17" t="s">
        <v>180</v>
      </c>
      <c r="AA350" s="17">
        <v>80119</v>
      </c>
    </row>
    <row r="351" ht="15" customHeight="1" spans="1:25" x14ac:dyDescent="0.25">
      <c r="A351" s="17" t="s">
        <v>1162</v>
      </c>
      <c r="B351" s="17" t="s">
        <v>70</v>
      </c>
      <c r="C351" s="17" t="s">
        <v>71</v>
      </c>
      <c r="D351" t="s">
        <v>1086</v>
      </c>
      <c r="F351" t="s">
        <v>1163</v>
      </c>
      <c r="K351" s="18">
        <f>6285711057295</f>
        <v>6285711057295</v>
      </c>
      <c r="N351" s="17" t="s">
        <v>81</v>
      </c>
      <c r="U351" s="17"/>
      <c r="V351" s="18">
        <f>6285711057295</f>
        <v>6285711057295</v>
      </c>
      <c r="W351" t="s">
        <v>1164</v>
      </c>
      <c r="Y351" t="s">
        <v>397</v>
      </c>
    </row>
    <row r="352" ht="15" customHeight="1" spans="1:22" x14ac:dyDescent="0.25">
      <c r="A352" s="17" t="s">
        <v>1165</v>
      </c>
      <c r="B352" s="17" t="s">
        <v>70</v>
      </c>
      <c r="C352" s="17" t="s">
        <v>71</v>
      </c>
      <c r="D352" t="s">
        <v>1086</v>
      </c>
      <c r="F352" t="s">
        <v>1166</v>
      </c>
      <c r="K352" s="18">
        <f>62812510086</f>
        <v>62812510086</v>
      </c>
      <c r="N352" s="17" t="s">
        <v>81</v>
      </c>
      <c r="V352" s="18">
        <f>62812510086</f>
        <v>62812510086</v>
      </c>
    </row>
    <row r="353" ht="15" customHeight="1" spans="1:27" x14ac:dyDescent="0.25">
      <c r="A353" s="17" t="s">
        <v>1167</v>
      </c>
      <c r="B353" s="17" t="s">
        <v>70</v>
      </c>
      <c r="C353" s="17" t="s">
        <v>71</v>
      </c>
      <c r="D353" t="s">
        <v>1168</v>
      </c>
      <c r="F353" t="s">
        <v>1169</v>
      </c>
      <c r="J353" s="17" t="s">
        <v>1170</v>
      </c>
      <c r="K353" s="18">
        <f>62816838845</f>
        <v>62816838845</v>
      </c>
      <c r="N353" s="17" t="s">
        <v>74</v>
      </c>
      <c r="U353" s="17"/>
      <c r="V353" s="18">
        <f>62816838845</f>
        <v>62816838845</v>
      </c>
      <c r="W353" t="s">
        <v>1171</v>
      </c>
      <c r="Y353" s="17" t="s">
        <v>96</v>
      </c>
      <c r="AA353" s="17">
        <v>12720</v>
      </c>
    </row>
    <row r="354" ht="15" customHeight="1" spans="1:22" x14ac:dyDescent="0.25">
      <c r="A354" s="17" t="s">
        <v>1172</v>
      </c>
      <c r="B354" s="17" t="s">
        <v>70</v>
      </c>
      <c r="C354" s="17" t="s">
        <v>71</v>
      </c>
      <c r="D354" t="s">
        <v>1173</v>
      </c>
      <c r="F354" t="s">
        <v>1173</v>
      </c>
      <c r="K354" s="18">
        <f>62216617175</f>
        <v>62216617175</v>
      </c>
      <c r="N354" s="17" t="s">
        <v>77</v>
      </c>
      <c r="V354" s="18">
        <f>62216617175</f>
        <v>62216617175</v>
      </c>
    </row>
    <row r="355" ht="15" customHeight="1" spans="1:28" x14ac:dyDescent="0.25">
      <c r="A355" s="17" t="s">
        <v>1174</v>
      </c>
      <c r="B355" s="17" t="s">
        <v>70</v>
      </c>
      <c r="C355" s="17" t="s">
        <v>71</v>
      </c>
      <c r="D355" t="s">
        <v>1175</v>
      </c>
      <c r="F355" t="s">
        <v>1176</v>
      </c>
      <c r="J355" s="17" t="s">
        <v>1177</v>
      </c>
      <c r="K355" s="18" t="s">
        <v>1178</v>
      </c>
      <c r="N355" s="17" t="s">
        <v>77</v>
      </c>
      <c r="O355" t="s">
        <v>199</v>
      </c>
      <c r="V355" s="18" t="s">
        <v>1178</v>
      </c>
      <c r="Y355" t="s">
        <v>190</v>
      </c>
      <c r="AA355" t="s">
        <v>118</v>
      </c>
      <c r="AB355" t="s">
        <v>119</v>
      </c>
    </row>
    <row r="356" ht="15" customHeight="1" spans="1:25" x14ac:dyDescent="0.25">
      <c r="A356" s="17" t="s">
        <v>1179</v>
      </c>
      <c r="B356" s="17" t="s">
        <v>70</v>
      </c>
      <c r="C356" s="17" t="s">
        <v>71</v>
      </c>
      <c r="D356" t="s">
        <v>1180</v>
      </c>
      <c r="F356" t="s">
        <v>1181</v>
      </c>
      <c r="K356" s="18">
        <f>628123972247</f>
        <v>628123972247</v>
      </c>
      <c r="N356" s="17" t="s">
        <v>77</v>
      </c>
      <c r="U356" s="17"/>
      <c r="V356" s="18">
        <f>628123972247</f>
        <v>628123972247</v>
      </c>
      <c r="W356" t="s">
        <v>1182</v>
      </c>
      <c r="Y356" s="17" t="s">
        <v>180</v>
      </c>
    </row>
    <row r="357" ht="15" customHeight="1" spans="1:22" x14ac:dyDescent="0.25">
      <c r="A357" s="17" t="s">
        <v>1183</v>
      </c>
      <c r="B357" s="17" t="s">
        <v>70</v>
      </c>
      <c r="C357" s="17" t="s">
        <v>71</v>
      </c>
      <c r="D357" t="s">
        <v>1184</v>
      </c>
      <c r="F357" t="s">
        <v>1184</v>
      </c>
      <c r="K357" s="18">
        <f>6281911111095</f>
        <v>6281911111095</v>
      </c>
      <c r="N357" s="17" t="s">
        <v>81</v>
      </c>
      <c r="V357" s="18">
        <f>6281911111095</f>
        <v>6281911111095</v>
      </c>
    </row>
    <row r="358" ht="15" customHeight="1" spans="1:28" x14ac:dyDescent="0.25">
      <c r="A358" s="17" t="s">
        <v>1185</v>
      </c>
      <c r="B358" s="17" t="s">
        <v>70</v>
      </c>
      <c r="C358" s="17" t="s">
        <v>71</v>
      </c>
      <c r="D358" t="s">
        <v>1184</v>
      </c>
      <c r="F358" t="s">
        <v>1186</v>
      </c>
      <c r="J358" t="s">
        <v>115</v>
      </c>
      <c r="K358" s="18" t="s">
        <v>1187</v>
      </c>
      <c r="N358" s="17" t="s">
        <v>74</v>
      </c>
      <c r="O358" t="s">
        <v>1188</v>
      </c>
      <c r="U358" s="17"/>
      <c r="V358" s="18" t="s">
        <v>1187</v>
      </c>
      <c r="W358" t="s">
        <v>1189</v>
      </c>
      <c r="Y358" s="17" t="s">
        <v>1190</v>
      </c>
      <c r="AA358" t="s">
        <v>115</v>
      </c>
      <c r="AB358" t="s">
        <v>119</v>
      </c>
    </row>
    <row r="359" ht="15" customHeight="1" spans="1:28" x14ac:dyDescent="0.25">
      <c r="A359" s="17" t="s">
        <v>1191</v>
      </c>
      <c r="B359" s="17" t="s">
        <v>70</v>
      </c>
      <c r="C359" s="17" t="s">
        <v>71</v>
      </c>
      <c r="D359" t="s">
        <v>1184</v>
      </c>
      <c r="F359" t="s">
        <v>1192</v>
      </c>
      <c r="J359" t="s">
        <v>115</v>
      </c>
      <c r="K359" s="18" t="s">
        <v>1193</v>
      </c>
      <c r="N359" s="17" t="s">
        <v>74</v>
      </c>
      <c r="O359" t="s">
        <v>489</v>
      </c>
      <c r="U359" s="17"/>
      <c r="V359" s="18" t="s">
        <v>1193</v>
      </c>
      <c r="W359" t="s">
        <v>1194</v>
      </c>
      <c r="Y359" s="17" t="s">
        <v>90</v>
      </c>
      <c r="AA359" t="s">
        <v>118</v>
      </c>
      <c r="AB359" t="s">
        <v>119</v>
      </c>
    </row>
    <row r="360" ht="15" customHeight="1" spans="1:28" x14ac:dyDescent="0.25">
      <c r="A360" s="17" t="s">
        <v>1195</v>
      </c>
      <c r="B360" s="17" t="s">
        <v>70</v>
      </c>
      <c r="C360" s="17" t="s">
        <v>71</v>
      </c>
      <c r="D360" t="s">
        <v>1184</v>
      </c>
      <c r="F360" t="s">
        <v>864</v>
      </c>
      <c r="J360" s="17" t="s">
        <v>1196</v>
      </c>
      <c r="K360" s="18" t="s">
        <v>1197</v>
      </c>
      <c r="N360" s="17" t="s">
        <v>77</v>
      </c>
      <c r="O360" t="s">
        <v>145</v>
      </c>
      <c r="U360" s="17"/>
      <c r="V360" s="18" t="s">
        <v>1197</v>
      </c>
      <c r="W360" t="s">
        <v>1198</v>
      </c>
      <c r="Y360" t="s">
        <v>397</v>
      </c>
      <c r="AA360" t="s">
        <v>1199</v>
      </c>
      <c r="AB360" t="s">
        <v>119</v>
      </c>
    </row>
    <row r="361" ht="15" customHeight="1" spans="1:22" x14ac:dyDescent="0.25">
      <c r="A361" s="17" t="s">
        <v>1200</v>
      </c>
      <c r="B361" s="17" t="s">
        <v>70</v>
      </c>
      <c r="C361" s="17" t="s">
        <v>71</v>
      </c>
      <c r="D361" t="s">
        <v>1184</v>
      </c>
      <c r="F361" t="s">
        <v>1201</v>
      </c>
      <c r="K361" s="18">
        <f>6287888853028</f>
        <v>6287888853028</v>
      </c>
      <c r="N361" s="17" t="s">
        <v>81</v>
      </c>
      <c r="V361" s="18">
        <f>6287888853028</f>
        <v>6287888853028</v>
      </c>
    </row>
    <row r="362" ht="15" customHeight="1" spans="1:23" x14ac:dyDescent="0.25">
      <c r="A362" s="17" t="s">
        <v>1202</v>
      </c>
      <c r="B362" s="17" t="s">
        <v>70</v>
      </c>
      <c r="C362" s="17" t="s">
        <v>71</v>
      </c>
      <c r="D362" t="s">
        <v>1184</v>
      </c>
      <c r="F362" t="s">
        <v>913</v>
      </c>
      <c r="K362" s="18">
        <f>6281806066293</f>
        <v>6281806066293</v>
      </c>
      <c r="N362" s="17" t="s">
        <v>77</v>
      </c>
      <c r="U362" s="17"/>
      <c r="V362" s="18">
        <f>6281806066293</f>
        <v>6281806066293</v>
      </c>
      <c r="W362" t="s">
        <v>1203</v>
      </c>
    </row>
    <row r="363" ht="15" customHeight="1" spans="1:22" x14ac:dyDescent="0.25">
      <c r="A363" s="17" t="s">
        <v>1204</v>
      </c>
      <c r="B363" s="17" t="s">
        <v>70</v>
      </c>
      <c r="C363" s="17" t="s">
        <v>71</v>
      </c>
      <c r="D363" t="s">
        <v>1205</v>
      </c>
      <c r="F363" t="s">
        <v>1206</v>
      </c>
      <c r="K363" s="18">
        <f>62811878856</f>
        <v>62811878856</v>
      </c>
      <c r="N363" s="17" t="s">
        <v>81</v>
      </c>
      <c r="V363" s="18">
        <f>62811878856</f>
        <v>62811878856</v>
      </c>
    </row>
    <row r="364" ht="15" customHeight="1" spans="1:22" x14ac:dyDescent="0.25">
      <c r="A364" s="17" t="s">
        <v>1207</v>
      </c>
      <c r="B364" s="17" t="s">
        <v>70</v>
      </c>
      <c r="C364" s="17" t="s">
        <v>71</v>
      </c>
      <c r="D364" t="s">
        <v>1205</v>
      </c>
      <c r="F364" t="s">
        <v>1208</v>
      </c>
      <c r="K364" s="18">
        <f>628112288982</f>
        <v>628112288982</v>
      </c>
      <c r="N364" s="17" t="s">
        <v>81</v>
      </c>
      <c r="V364" s="18">
        <f>628112288982</f>
        <v>628112288982</v>
      </c>
    </row>
    <row r="365" ht="15" customHeight="1" spans="1:28" x14ac:dyDescent="0.25">
      <c r="A365" s="17" t="s">
        <v>1209</v>
      </c>
      <c r="B365" s="17" t="s">
        <v>70</v>
      </c>
      <c r="C365" s="17" t="s">
        <v>71</v>
      </c>
      <c r="D365" t="s">
        <v>1205</v>
      </c>
      <c r="F365" t="s">
        <v>1210</v>
      </c>
      <c r="J365" s="17" t="s">
        <v>1211</v>
      </c>
      <c r="K365" s="18" t="s">
        <v>1212</v>
      </c>
      <c r="N365" s="17" t="s">
        <v>77</v>
      </c>
      <c r="O365" t="s">
        <v>489</v>
      </c>
      <c r="V365" s="18" t="s">
        <v>1212</v>
      </c>
      <c r="Y365" t="s">
        <v>397</v>
      </c>
      <c r="AA365" t="s">
        <v>1199</v>
      </c>
      <c r="AB365" t="s">
        <v>119</v>
      </c>
    </row>
    <row r="366" ht="15" customHeight="1" spans="1:25" x14ac:dyDescent="0.25">
      <c r="A366" s="17" t="s">
        <v>1213</v>
      </c>
      <c r="B366" s="17" t="s">
        <v>70</v>
      </c>
      <c r="C366" s="17" t="s">
        <v>71</v>
      </c>
      <c r="D366" t="s">
        <v>1205</v>
      </c>
      <c r="F366" t="s">
        <v>1214</v>
      </c>
      <c r="K366" s="18">
        <f>628115256789</f>
        <v>628115256789</v>
      </c>
      <c r="N366" s="17" t="s">
        <v>77</v>
      </c>
      <c r="U366" s="17"/>
      <c r="V366" s="18">
        <f>628115256789</f>
        <v>628115256789</v>
      </c>
      <c r="W366" t="s">
        <v>1215</v>
      </c>
      <c r="Y366" s="17" t="s">
        <v>90</v>
      </c>
    </row>
    <row r="367" ht="15" customHeight="1" spans="1:22" x14ac:dyDescent="0.25">
      <c r="A367" s="17" t="s">
        <v>1216</v>
      </c>
      <c r="B367" s="17" t="s">
        <v>70</v>
      </c>
      <c r="C367" s="17" t="s">
        <v>71</v>
      </c>
      <c r="D367" t="s">
        <v>1205</v>
      </c>
      <c r="F367" t="s">
        <v>1217</v>
      </c>
      <c r="K367" s="18">
        <f>62811866949</f>
        <v>62811866949</v>
      </c>
      <c r="N367" s="17" t="s">
        <v>77</v>
      </c>
      <c r="V367" s="18">
        <f>62811866949</f>
        <v>62811866949</v>
      </c>
    </row>
    <row r="368" ht="15" customHeight="1" spans="1:28" x14ac:dyDescent="0.25">
      <c r="A368" s="17" t="s">
        <v>1218</v>
      </c>
      <c r="B368" s="17" t="s">
        <v>70</v>
      </c>
      <c r="C368" s="17" t="s">
        <v>71</v>
      </c>
      <c r="D368" t="s">
        <v>1205</v>
      </c>
      <c r="F368" t="s">
        <v>1219</v>
      </c>
      <c r="J368" t="s">
        <v>1220</v>
      </c>
      <c r="K368" s="18" t="s">
        <v>1221</v>
      </c>
      <c r="N368" s="17" t="s">
        <v>81</v>
      </c>
      <c r="O368" t="s">
        <v>261</v>
      </c>
      <c r="U368" s="17"/>
      <c r="V368" s="18" t="s">
        <v>1221</v>
      </c>
      <c r="W368" t="s">
        <v>1222</v>
      </c>
      <c r="Y368" s="17" t="s">
        <v>90</v>
      </c>
      <c r="AA368" t="s">
        <v>118</v>
      </c>
      <c r="AB368" t="s">
        <v>119</v>
      </c>
    </row>
    <row r="369" ht="15" customHeight="1" spans="1:22" x14ac:dyDescent="0.25">
      <c r="A369" s="17" t="s">
        <v>1223</v>
      </c>
      <c r="B369" s="17" t="s">
        <v>70</v>
      </c>
      <c r="C369" s="17" t="s">
        <v>71</v>
      </c>
      <c r="D369" t="s">
        <v>1205</v>
      </c>
      <c r="F369" t="s">
        <v>1224</v>
      </c>
      <c r="K369" s="18">
        <f>6281341272577</f>
        <v>6281341272577</v>
      </c>
      <c r="N369" s="17" t="s">
        <v>81</v>
      </c>
      <c r="V369" s="18">
        <f>6281341272577</f>
        <v>6281341272577</v>
      </c>
    </row>
    <row r="370" ht="15" customHeight="1" spans="1:27" x14ac:dyDescent="0.25">
      <c r="A370" s="17" t="s">
        <v>1225</v>
      </c>
      <c r="B370" s="17" t="s">
        <v>70</v>
      </c>
      <c r="C370" s="17" t="s">
        <v>71</v>
      </c>
      <c r="D370" t="s">
        <v>1205</v>
      </c>
      <c r="F370" t="s">
        <v>1226</v>
      </c>
      <c r="K370" s="18">
        <f>6281299067139</f>
        <v>6281299067139</v>
      </c>
      <c r="N370" s="17" t="s">
        <v>77</v>
      </c>
      <c r="U370" s="17"/>
      <c r="V370" s="18">
        <f>6281299067139</f>
        <v>6281299067139</v>
      </c>
      <c r="W370" t="s">
        <v>1227</v>
      </c>
      <c r="AA370" s="17">
        <v>14420</v>
      </c>
    </row>
    <row r="371" ht="15" customHeight="1" spans="1:22" x14ac:dyDescent="0.25">
      <c r="A371" s="17" t="s">
        <v>1228</v>
      </c>
      <c r="B371" s="17" t="s">
        <v>70</v>
      </c>
      <c r="C371" s="17" t="s">
        <v>71</v>
      </c>
      <c r="D371" t="s">
        <v>1205</v>
      </c>
      <c r="F371" t="s">
        <v>1169</v>
      </c>
      <c r="K371" s="18">
        <f>628116541771</f>
        <v>628116541771</v>
      </c>
      <c r="N371" s="17" t="s">
        <v>81</v>
      </c>
      <c r="V371" s="18">
        <f>628116541771</f>
        <v>628116541771</v>
      </c>
    </row>
    <row r="372" ht="15" customHeight="1" spans="1:22" x14ac:dyDescent="0.25">
      <c r="A372" s="17" t="s">
        <v>1229</v>
      </c>
      <c r="B372" s="17" t="s">
        <v>70</v>
      </c>
      <c r="C372" s="17" t="s">
        <v>71</v>
      </c>
      <c r="D372" t="s">
        <v>1230</v>
      </c>
      <c r="F372" t="s">
        <v>1230</v>
      </c>
      <c r="K372" s="18">
        <f>62811830101</f>
        <v>62811830101</v>
      </c>
      <c r="N372" s="17" t="s">
        <v>77</v>
      </c>
      <c r="V372" s="18">
        <f>62811830101</f>
        <v>62811830101</v>
      </c>
    </row>
    <row r="373" ht="15" customHeight="1" spans="1:28" x14ac:dyDescent="0.25">
      <c r="A373" s="17" t="s">
        <v>1231</v>
      </c>
      <c r="B373" s="17" t="s">
        <v>70</v>
      </c>
      <c r="C373" s="17" t="s">
        <v>71</v>
      </c>
      <c r="D373" t="s">
        <v>1230</v>
      </c>
      <c r="F373" t="s">
        <v>1230</v>
      </c>
      <c r="J373" t="s">
        <v>115</v>
      </c>
      <c r="K373" s="18" t="s">
        <v>1232</v>
      </c>
      <c r="N373" s="17" t="s">
        <v>77</v>
      </c>
      <c r="O373" t="s">
        <v>145</v>
      </c>
      <c r="V373" s="18" t="s">
        <v>1232</v>
      </c>
      <c r="Y373" t="s">
        <v>190</v>
      </c>
      <c r="AA373" t="s">
        <v>118</v>
      </c>
      <c r="AB373" t="s">
        <v>119</v>
      </c>
    </row>
    <row r="374" ht="15" customHeight="1" spans="1:22" x14ac:dyDescent="0.25">
      <c r="A374" s="17" t="s">
        <v>1233</v>
      </c>
      <c r="B374" s="17" t="s">
        <v>70</v>
      </c>
      <c r="C374" s="17" t="s">
        <v>71</v>
      </c>
      <c r="D374" t="s">
        <v>1230</v>
      </c>
      <c r="F374" t="s">
        <v>1234</v>
      </c>
      <c r="K374" s="18">
        <f>6282141393997</f>
        <v>6282141393997</v>
      </c>
      <c r="N374" s="17" t="s">
        <v>81</v>
      </c>
      <c r="V374" s="18">
        <f>6282141393997</f>
        <v>6282141393997</v>
      </c>
    </row>
    <row r="375" ht="15" customHeight="1" spans="1:22" x14ac:dyDescent="0.25">
      <c r="A375" s="17" t="s">
        <v>1235</v>
      </c>
      <c r="B375" s="17" t="s">
        <v>70</v>
      </c>
      <c r="C375" s="17" t="s">
        <v>71</v>
      </c>
      <c r="D375" t="s">
        <v>1230</v>
      </c>
      <c r="F375" t="s">
        <v>1236</v>
      </c>
      <c r="K375" s="18">
        <f>62816930092</f>
        <v>62816930092</v>
      </c>
      <c r="N375" s="17" t="s">
        <v>77</v>
      </c>
      <c r="V375" s="18">
        <f>62816930092</f>
        <v>62816930092</v>
      </c>
    </row>
    <row r="376" ht="15" customHeight="1" spans="1:25" x14ac:dyDescent="0.25">
      <c r="A376" s="17" t="s">
        <v>1237</v>
      </c>
      <c r="B376" s="17" t="s">
        <v>70</v>
      </c>
      <c r="C376" s="17" t="s">
        <v>71</v>
      </c>
      <c r="D376" t="s">
        <v>1230</v>
      </c>
      <c r="F376" t="s">
        <v>1238</v>
      </c>
      <c r="J376" s="17" t="s">
        <v>1239</v>
      </c>
      <c r="K376" s="18">
        <f>628128822678</f>
        <v>628128822678</v>
      </c>
      <c r="N376" s="17" t="s">
        <v>81</v>
      </c>
      <c r="U376" s="17"/>
      <c r="V376" s="18">
        <f>628128822678</f>
        <v>628128822678</v>
      </c>
      <c r="W376" t="s">
        <v>1240</v>
      </c>
      <c r="Y376" s="17" t="s">
        <v>90</v>
      </c>
    </row>
    <row r="377" ht="15" customHeight="1" spans="1:22" x14ac:dyDescent="0.25">
      <c r="A377" s="17" t="s">
        <v>1241</v>
      </c>
      <c r="B377" s="17" t="s">
        <v>70</v>
      </c>
      <c r="C377" s="17" t="s">
        <v>71</v>
      </c>
      <c r="D377" t="s">
        <v>1242</v>
      </c>
      <c r="F377" t="s">
        <v>1242</v>
      </c>
      <c r="K377" s="18">
        <f>6281806111159</f>
        <v>6281806111159</v>
      </c>
      <c r="N377" s="17" t="s">
        <v>77</v>
      </c>
      <c r="V377" s="18">
        <f>6281806111159</f>
        <v>6281806111159</v>
      </c>
    </row>
    <row r="378" ht="15" customHeight="1" spans="1:28" x14ac:dyDescent="0.25">
      <c r="A378" s="17" t="s">
        <v>1243</v>
      </c>
      <c r="B378" s="17" t="s">
        <v>70</v>
      </c>
      <c r="C378" s="17" t="s">
        <v>71</v>
      </c>
      <c r="D378" t="s">
        <v>414</v>
      </c>
      <c r="F378" t="s">
        <v>1244</v>
      </c>
      <c r="J378" t="s">
        <v>115</v>
      </c>
      <c r="K378" s="18" t="s">
        <v>1245</v>
      </c>
      <c r="N378" s="17" t="s">
        <v>77</v>
      </c>
      <c r="O378" t="s">
        <v>145</v>
      </c>
      <c r="U378" s="17"/>
      <c r="V378" s="18" t="s">
        <v>1245</v>
      </c>
      <c r="W378" t="s">
        <v>1246</v>
      </c>
      <c r="Y378" t="s">
        <v>1247</v>
      </c>
      <c r="AA378" t="s">
        <v>115</v>
      </c>
      <c r="AB378" t="s">
        <v>119</v>
      </c>
    </row>
    <row r="379" ht="15" customHeight="1" spans="1:22" x14ac:dyDescent="0.25">
      <c r="A379" s="17" t="s">
        <v>1248</v>
      </c>
      <c r="B379" s="17" t="s">
        <v>70</v>
      </c>
      <c r="C379" s="17" t="s">
        <v>71</v>
      </c>
      <c r="D379" t="s">
        <v>414</v>
      </c>
      <c r="F379" t="s">
        <v>106</v>
      </c>
      <c r="K379" s="18">
        <f>628111160569</f>
        <v>628111160569</v>
      </c>
      <c r="N379" s="17" t="s">
        <v>81</v>
      </c>
      <c r="V379" s="18">
        <f>628111160569</f>
        <v>628111160569</v>
      </c>
    </row>
    <row r="380" ht="15" customHeight="1" spans="1:22" x14ac:dyDescent="0.25">
      <c r="A380" s="17" t="s">
        <v>1249</v>
      </c>
      <c r="B380" s="17" t="s">
        <v>70</v>
      </c>
      <c r="C380" s="17" t="s">
        <v>71</v>
      </c>
      <c r="D380" t="s">
        <v>414</v>
      </c>
      <c r="F380" t="s">
        <v>1250</v>
      </c>
      <c r="K380" s="18">
        <f>6281290930909</f>
        <v>6281290930909</v>
      </c>
      <c r="N380" s="17" t="s">
        <v>81</v>
      </c>
      <c r="V380" s="18">
        <f>6281290930909</f>
        <v>6281290930909</v>
      </c>
    </row>
    <row r="381" ht="15" customHeight="1" spans="1:22" x14ac:dyDescent="0.25">
      <c r="A381" s="17" t="s">
        <v>1251</v>
      </c>
      <c r="B381" s="17" t="s">
        <v>70</v>
      </c>
      <c r="C381" s="17" t="s">
        <v>71</v>
      </c>
      <c r="D381" t="s">
        <v>414</v>
      </c>
      <c r="F381" t="s">
        <v>186</v>
      </c>
      <c r="K381" s="18">
        <f>8115359876</f>
        <v>8115359876</v>
      </c>
      <c r="N381" s="17" t="s">
        <v>81</v>
      </c>
      <c r="V381" s="18">
        <f>8115359876</f>
        <v>8115359876</v>
      </c>
    </row>
    <row r="382" ht="15" customHeight="1" spans="1:25" x14ac:dyDescent="0.25">
      <c r="A382" s="17" t="s">
        <v>1252</v>
      </c>
      <c r="B382" s="17" t="s">
        <v>70</v>
      </c>
      <c r="C382" s="17" t="s">
        <v>71</v>
      </c>
      <c r="D382" t="s">
        <v>414</v>
      </c>
      <c r="F382" t="s">
        <v>1253</v>
      </c>
      <c r="K382" s="18">
        <f>628117225550</f>
        <v>628117225550</v>
      </c>
      <c r="N382" s="17" t="s">
        <v>77</v>
      </c>
      <c r="U382" s="17"/>
      <c r="V382" s="18">
        <f>628117225550</f>
        <v>628117225550</v>
      </c>
      <c r="W382" t="s">
        <v>1254</v>
      </c>
      <c r="Y382" s="17" t="s">
        <v>1255</v>
      </c>
    </row>
    <row r="383" ht="15" customHeight="1" spans="1:28" x14ac:dyDescent="0.25">
      <c r="A383" s="17" t="s">
        <v>1256</v>
      </c>
      <c r="B383" s="17" t="s">
        <v>70</v>
      </c>
      <c r="C383" s="17" t="s">
        <v>71</v>
      </c>
      <c r="D383" t="s">
        <v>1257</v>
      </c>
      <c r="F383" t="s">
        <v>184</v>
      </c>
      <c r="J383" s="17" t="s">
        <v>1258</v>
      </c>
      <c r="K383" s="18" t="s">
        <v>1259</v>
      </c>
      <c r="N383" s="17" t="s">
        <v>77</v>
      </c>
      <c r="O383" t="s">
        <v>199</v>
      </c>
      <c r="U383" s="17"/>
      <c r="V383" s="18" t="s">
        <v>1259</v>
      </c>
      <c r="W383" t="s">
        <v>1260</v>
      </c>
      <c r="Y383" s="17" t="s">
        <v>190</v>
      </c>
      <c r="AA383" s="17" t="s">
        <v>118</v>
      </c>
      <c r="AB383" t="s">
        <v>119</v>
      </c>
    </row>
    <row r="384" ht="15" customHeight="1" spans="1:22" x14ac:dyDescent="0.25">
      <c r="A384" s="17" t="s">
        <v>1261</v>
      </c>
      <c r="B384" s="17" t="s">
        <v>70</v>
      </c>
      <c r="C384" s="17" t="s">
        <v>71</v>
      </c>
      <c r="D384" t="s">
        <v>414</v>
      </c>
      <c r="F384" t="s">
        <v>1262</v>
      </c>
      <c r="K384" s="18">
        <f>6287878000321</f>
        <v>6287878000321</v>
      </c>
      <c r="N384" s="17" t="s">
        <v>77</v>
      </c>
      <c r="V384" s="18">
        <f>6287878000321</f>
        <v>6287878000321</v>
      </c>
    </row>
    <row r="385" ht="15" customHeight="1" spans="1:28" x14ac:dyDescent="0.25">
      <c r="A385" s="17" t="s">
        <v>1263</v>
      </c>
      <c r="B385" s="17" t="s">
        <v>70</v>
      </c>
      <c r="C385" s="17" t="s">
        <v>71</v>
      </c>
      <c r="D385" t="s">
        <v>414</v>
      </c>
      <c r="F385" t="s">
        <v>1264</v>
      </c>
      <c r="J385" s="17" t="s">
        <v>1265</v>
      </c>
      <c r="K385" s="18" t="s">
        <v>1266</v>
      </c>
      <c r="N385" s="17" t="s">
        <v>77</v>
      </c>
      <c r="O385" t="s">
        <v>117</v>
      </c>
      <c r="U385" s="17"/>
      <c r="V385" s="18" t="s">
        <v>1266</v>
      </c>
      <c r="W385" t="s">
        <v>1267</v>
      </c>
      <c r="Y385" s="17" t="s">
        <v>96</v>
      </c>
      <c r="AA385" s="17" t="s">
        <v>693</v>
      </c>
      <c r="AB385" t="s">
        <v>119</v>
      </c>
    </row>
    <row r="386" ht="15" customHeight="1" spans="1:22" x14ac:dyDescent="0.25">
      <c r="A386" s="17" t="s">
        <v>1268</v>
      </c>
      <c r="B386" s="17" t="s">
        <v>70</v>
      </c>
      <c r="C386" s="17" t="s">
        <v>71</v>
      </c>
      <c r="D386" t="s">
        <v>414</v>
      </c>
      <c r="F386" t="s">
        <v>1269</v>
      </c>
      <c r="K386" s="18">
        <f>62811377576</f>
        <v>62811377576</v>
      </c>
      <c r="N386" s="17" t="s">
        <v>77</v>
      </c>
      <c r="V386" s="18">
        <f>62811377576</f>
        <v>62811377576</v>
      </c>
    </row>
    <row r="387" ht="15" customHeight="1" spans="1:22" x14ac:dyDescent="0.25">
      <c r="A387" s="17" t="s">
        <v>1270</v>
      </c>
      <c r="B387" s="17" t="s">
        <v>70</v>
      </c>
      <c r="C387" s="17" t="s">
        <v>71</v>
      </c>
      <c r="D387" t="s">
        <v>414</v>
      </c>
      <c r="F387" t="s">
        <v>1271</v>
      </c>
      <c r="K387" s="18">
        <f>6281316762234</f>
        <v>6281316762234</v>
      </c>
      <c r="N387" s="17" t="s">
        <v>77</v>
      </c>
      <c r="V387" s="18">
        <f>6281316762234</f>
        <v>6281316762234</v>
      </c>
    </row>
    <row r="388" ht="15" customHeight="1" spans="1:28" x14ac:dyDescent="0.25">
      <c r="A388" s="17" t="s">
        <v>1272</v>
      </c>
      <c r="B388" s="17" t="s">
        <v>70</v>
      </c>
      <c r="C388" s="17" t="s">
        <v>71</v>
      </c>
      <c r="D388" t="s">
        <v>414</v>
      </c>
      <c r="F388" t="s">
        <v>1273</v>
      </c>
      <c r="J388" t="s">
        <v>115</v>
      </c>
      <c r="K388" s="18" t="s">
        <v>1274</v>
      </c>
      <c r="N388" s="17" t="s">
        <v>81</v>
      </c>
      <c r="O388" t="s">
        <v>117</v>
      </c>
      <c r="V388" s="18" t="s">
        <v>1274</v>
      </c>
      <c r="Y388" t="s">
        <v>96</v>
      </c>
      <c r="AA388" t="s">
        <v>693</v>
      </c>
      <c r="AB388" t="s">
        <v>119</v>
      </c>
    </row>
    <row r="389" ht="15" customHeight="1" spans="1:23" x14ac:dyDescent="0.25">
      <c r="A389" s="17" t="s">
        <v>1275</v>
      </c>
      <c r="B389" s="17" t="s">
        <v>70</v>
      </c>
      <c r="C389" s="17" t="s">
        <v>71</v>
      </c>
      <c r="D389" t="s">
        <v>414</v>
      </c>
      <c r="F389" t="s">
        <v>1276</v>
      </c>
      <c r="K389" s="18">
        <f>6281241356768</f>
        <v>6281241356768</v>
      </c>
      <c r="N389" s="17" t="s">
        <v>77</v>
      </c>
      <c r="U389" s="17"/>
      <c r="V389" s="18">
        <f>6281241356768</f>
        <v>6281241356768</v>
      </c>
      <c r="W389" t="s">
        <v>1277</v>
      </c>
    </row>
    <row r="390" ht="15" customHeight="1" spans="1:22" x14ac:dyDescent="0.25">
      <c r="A390" s="17" t="s">
        <v>1278</v>
      </c>
      <c r="B390" s="17" t="s">
        <v>70</v>
      </c>
      <c r="C390" s="17" t="s">
        <v>71</v>
      </c>
      <c r="D390" t="s">
        <v>414</v>
      </c>
      <c r="F390" t="s">
        <v>1279</v>
      </c>
      <c r="K390" s="18">
        <f>6281213333708</f>
        <v>6281213333708</v>
      </c>
      <c r="N390" s="17" t="s">
        <v>81</v>
      </c>
      <c r="V390" s="18">
        <f>6281213333708</f>
        <v>6281213333708</v>
      </c>
    </row>
    <row r="391" ht="15" customHeight="1" spans="1:22" x14ac:dyDescent="0.25">
      <c r="A391" s="17" t="s">
        <v>1280</v>
      </c>
      <c r="B391" s="17" t="s">
        <v>70</v>
      </c>
      <c r="C391" s="17" t="s">
        <v>71</v>
      </c>
      <c r="D391" t="s">
        <v>414</v>
      </c>
      <c r="F391" t="s">
        <v>1281</v>
      </c>
      <c r="K391" s="18">
        <f>6281318274998</f>
        <v>6281318274998</v>
      </c>
      <c r="N391" s="17" t="s">
        <v>74</v>
      </c>
      <c r="V391" s="18">
        <f>6281318274998</f>
        <v>6281318274998</v>
      </c>
    </row>
    <row r="392" ht="15" customHeight="1" spans="1:25" x14ac:dyDescent="0.25">
      <c r="A392" s="17" t="s">
        <v>1282</v>
      </c>
      <c r="B392" s="17" t="s">
        <v>70</v>
      </c>
      <c r="C392" s="17" t="s">
        <v>71</v>
      </c>
      <c r="D392" t="s">
        <v>414</v>
      </c>
      <c r="F392" t="s">
        <v>1283</v>
      </c>
      <c r="K392" s="18">
        <f>6281291389732</f>
        <v>6281291389732</v>
      </c>
      <c r="N392" s="17" t="s">
        <v>81</v>
      </c>
      <c r="U392" s="17"/>
      <c r="V392" s="18">
        <f>6281291389732</f>
        <v>6281291389732</v>
      </c>
      <c r="W392" t="s">
        <v>1284</v>
      </c>
      <c r="Y392" s="17" t="s">
        <v>90</v>
      </c>
    </row>
    <row r="393" ht="15" customHeight="1" spans="1:28" x14ac:dyDescent="0.25">
      <c r="A393" s="17" t="s">
        <v>1285</v>
      </c>
      <c r="B393" s="17" t="s">
        <v>70</v>
      </c>
      <c r="C393" s="17" t="s">
        <v>71</v>
      </c>
      <c r="D393" t="s">
        <v>414</v>
      </c>
      <c r="F393" t="s">
        <v>1286</v>
      </c>
      <c r="J393" s="17" t="s">
        <v>1287</v>
      </c>
      <c r="K393" s="18" t="s">
        <v>1288</v>
      </c>
      <c r="N393" s="17" t="s">
        <v>74</v>
      </c>
      <c r="O393" t="s">
        <v>117</v>
      </c>
      <c r="U393" s="17"/>
      <c r="V393" s="18" t="s">
        <v>1288</v>
      </c>
      <c r="W393" t="s">
        <v>1289</v>
      </c>
      <c r="Y393" s="17" t="s">
        <v>190</v>
      </c>
      <c r="AA393" t="s">
        <v>118</v>
      </c>
      <c r="AB393" t="s">
        <v>119</v>
      </c>
    </row>
    <row r="394" ht="15" customHeight="1" spans="1:22" x14ac:dyDescent="0.25">
      <c r="A394" s="17" t="s">
        <v>1290</v>
      </c>
      <c r="B394" s="17" t="s">
        <v>70</v>
      </c>
      <c r="C394" s="17" t="s">
        <v>71</v>
      </c>
      <c r="D394" t="s">
        <v>1291</v>
      </c>
      <c r="F394" t="s">
        <v>1292</v>
      </c>
      <c r="K394" s="18">
        <f>6281290499945</f>
        <v>6281290499945</v>
      </c>
      <c r="N394" s="17" t="s">
        <v>81</v>
      </c>
      <c r="V394" s="18">
        <f>6281290499945</f>
        <v>6281290499945</v>
      </c>
    </row>
    <row r="395" ht="15" customHeight="1" spans="1:25" x14ac:dyDescent="0.25">
      <c r="A395" s="17" t="s">
        <v>1293</v>
      </c>
      <c r="B395" s="17" t="s">
        <v>70</v>
      </c>
      <c r="C395" s="17" t="s">
        <v>71</v>
      </c>
      <c r="D395" t="s">
        <v>1291</v>
      </c>
      <c r="F395" t="s">
        <v>1294</v>
      </c>
      <c r="K395" s="18">
        <f>628111033157</f>
        <v>628111033157</v>
      </c>
      <c r="N395" s="17" t="s">
        <v>77</v>
      </c>
      <c r="U395" s="17"/>
      <c r="V395" s="18">
        <f>628111033157</f>
        <v>628111033157</v>
      </c>
      <c r="W395" t="s">
        <v>1295</v>
      </c>
      <c r="Y395" s="17" t="s">
        <v>96</v>
      </c>
    </row>
    <row r="396" ht="15" customHeight="1" spans="1:23" x14ac:dyDescent="0.25">
      <c r="A396" s="17" t="s">
        <v>1296</v>
      </c>
      <c r="B396" s="17" t="s">
        <v>70</v>
      </c>
      <c r="C396" s="17" t="s">
        <v>71</v>
      </c>
      <c r="D396" t="s">
        <v>1291</v>
      </c>
      <c r="F396" t="s">
        <v>1297</v>
      </c>
      <c r="K396" s="18">
        <f>971504447551</f>
        <v>971504447551</v>
      </c>
      <c r="N396" s="17" t="s">
        <v>77</v>
      </c>
      <c r="U396" s="17"/>
      <c r="V396" s="18">
        <f>971504447551</f>
        <v>971504447551</v>
      </c>
      <c r="W396" t="s">
        <v>1298</v>
      </c>
    </row>
    <row r="397" ht="15" customHeight="1" spans="1:22" x14ac:dyDescent="0.25">
      <c r="A397" s="17" t="s">
        <v>1299</v>
      </c>
      <c r="B397" s="17" t="s">
        <v>70</v>
      </c>
      <c r="C397" s="17" t="s">
        <v>71</v>
      </c>
      <c r="D397" t="s">
        <v>1300</v>
      </c>
      <c r="F397" t="s">
        <v>1300</v>
      </c>
      <c r="K397" s="18">
        <f>6282187371333</f>
        <v>6282187371333</v>
      </c>
      <c r="N397" s="17" t="s">
        <v>77</v>
      </c>
      <c r="V397" s="18">
        <f>6282187371333</f>
        <v>6282187371333</v>
      </c>
    </row>
    <row r="398" ht="15" customHeight="1" spans="1:28" x14ac:dyDescent="0.25">
      <c r="A398" s="17" t="s">
        <v>1301</v>
      </c>
      <c r="B398" s="17" t="s">
        <v>70</v>
      </c>
      <c r="C398" s="17" t="s">
        <v>71</v>
      </c>
      <c r="D398" t="s">
        <v>1302</v>
      </c>
      <c r="F398" t="s">
        <v>1303</v>
      </c>
      <c r="J398" s="17" t="s">
        <v>1304</v>
      </c>
      <c r="K398" s="18" t="s">
        <v>1305</v>
      </c>
      <c r="N398" s="17" t="s">
        <v>77</v>
      </c>
      <c r="O398" t="s">
        <v>117</v>
      </c>
      <c r="V398" s="18" t="s">
        <v>1305</v>
      </c>
      <c r="Y398" t="s">
        <v>190</v>
      </c>
      <c r="AA398" t="s">
        <v>118</v>
      </c>
      <c r="AB398" t="s">
        <v>1306</v>
      </c>
    </row>
    <row r="399" ht="15" customHeight="1" spans="1:23" x14ac:dyDescent="0.25">
      <c r="A399" s="17" t="s">
        <v>1307</v>
      </c>
      <c r="B399" s="17" t="s">
        <v>70</v>
      </c>
      <c r="C399" s="17" t="s">
        <v>71</v>
      </c>
      <c r="D399" t="s">
        <v>1308</v>
      </c>
      <c r="F399" t="s">
        <v>1309</v>
      </c>
      <c r="K399" s="18">
        <f>525539011162</f>
        <v>525539011162</v>
      </c>
      <c r="N399" s="17" t="s">
        <v>77</v>
      </c>
      <c r="U399" s="17"/>
      <c r="V399" s="18">
        <f>525539011162</f>
        <v>525539011162</v>
      </c>
      <c r="W399" t="s">
        <v>1310</v>
      </c>
    </row>
    <row r="400" ht="15" customHeight="1" spans="1:28" x14ac:dyDescent="0.25">
      <c r="A400" s="17" t="s">
        <v>1311</v>
      </c>
      <c r="B400" s="17" t="s">
        <v>70</v>
      </c>
      <c r="C400" s="17" t="s">
        <v>71</v>
      </c>
      <c r="D400" t="s">
        <v>1312</v>
      </c>
      <c r="F400" t="s">
        <v>1313</v>
      </c>
      <c r="J400" t="s">
        <v>115</v>
      </c>
      <c r="K400" s="18" t="s">
        <v>1314</v>
      </c>
      <c r="N400" s="17" t="s">
        <v>77</v>
      </c>
      <c r="O400" t="s">
        <v>261</v>
      </c>
      <c r="U400" s="17"/>
      <c r="V400" s="18" t="s">
        <v>1314</v>
      </c>
      <c r="W400" t="s">
        <v>1315</v>
      </c>
      <c r="Y400" t="s">
        <v>920</v>
      </c>
      <c r="AA400" t="s">
        <v>115</v>
      </c>
      <c r="AB400" t="s">
        <v>920</v>
      </c>
    </row>
    <row r="401" ht="15" customHeight="1" spans="1:23" x14ac:dyDescent="0.25">
      <c r="A401" s="17" t="s">
        <v>1316</v>
      </c>
      <c r="B401" s="17" t="s">
        <v>70</v>
      </c>
      <c r="C401" s="17" t="s">
        <v>71</v>
      </c>
      <c r="D401" t="s">
        <v>1317</v>
      </c>
      <c r="F401" t="s">
        <v>1317</v>
      </c>
      <c r="J401" s="17" t="s">
        <v>1318</v>
      </c>
      <c r="K401" s="18">
        <f>6282188881802</f>
        <v>6282188881802</v>
      </c>
      <c r="N401" s="17" t="s">
        <v>77</v>
      </c>
      <c r="U401" s="17"/>
      <c r="V401" s="18">
        <f>6282188881802</f>
        <v>6282188881802</v>
      </c>
      <c r="W401" t="s">
        <v>1319</v>
      </c>
    </row>
    <row r="402" ht="15" customHeight="1" spans="1:22" x14ac:dyDescent="0.25">
      <c r="A402" s="17" t="s">
        <v>1320</v>
      </c>
      <c r="B402" s="17" t="s">
        <v>70</v>
      </c>
      <c r="C402" s="17" t="s">
        <v>71</v>
      </c>
      <c r="D402" t="s">
        <v>1317</v>
      </c>
      <c r="F402" t="s">
        <v>1321</v>
      </c>
      <c r="K402" s="18">
        <f>628138226328</f>
        <v>628138226328</v>
      </c>
      <c r="N402" s="17" t="s">
        <v>74</v>
      </c>
      <c r="V402" s="18">
        <f>628138226328</f>
        <v>628138226328</v>
      </c>
    </row>
    <row r="403" ht="15" customHeight="1" spans="1:23" x14ac:dyDescent="0.25">
      <c r="A403" s="17" t="s">
        <v>1322</v>
      </c>
      <c r="B403" s="17" t="s">
        <v>70</v>
      </c>
      <c r="C403" s="17" t="s">
        <v>71</v>
      </c>
      <c r="D403" t="s">
        <v>1317</v>
      </c>
      <c r="F403" t="s">
        <v>1323</v>
      </c>
      <c r="K403" s="18">
        <f>62811801964</f>
        <v>62811801964</v>
      </c>
      <c r="N403" s="17" t="s">
        <v>81</v>
      </c>
      <c r="U403" s="17"/>
      <c r="V403" s="18">
        <f>62811801964</f>
        <v>62811801964</v>
      </c>
      <c r="W403" t="s">
        <v>1324</v>
      </c>
    </row>
    <row r="404" ht="15" customHeight="1" spans="1:22" x14ac:dyDescent="0.25">
      <c r="A404" s="17" t="s">
        <v>1325</v>
      </c>
      <c r="B404" s="17" t="s">
        <v>70</v>
      </c>
      <c r="C404" s="17" t="s">
        <v>71</v>
      </c>
      <c r="D404" t="s">
        <v>1326</v>
      </c>
      <c r="F404" t="s">
        <v>1326</v>
      </c>
      <c r="K404" s="18">
        <f>6282113145344</f>
        <v>6282113145344</v>
      </c>
      <c r="N404" s="17" t="s">
        <v>81</v>
      </c>
      <c r="V404" s="18">
        <f>6282113145344</f>
        <v>6282113145344</v>
      </c>
    </row>
    <row r="405" ht="15" customHeight="1" spans="1:25" x14ac:dyDescent="0.25">
      <c r="A405" s="17" t="s">
        <v>1327</v>
      </c>
      <c r="B405" s="17" t="s">
        <v>70</v>
      </c>
      <c r="C405" s="17" t="s">
        <v>71</v>
      </c>
      <c r="D405" t="s">
        <v>1326</v>
      </c>
      <c r="F405" t="s">
        <v>1328</v>
      </c>
      <c r="J405" s="17" t="s">
        <v>1329</v>
      </c>
      <c r="K405" s="18">
        <f>62817179880</f>
        <v>62817179880</v>
      </c>
      <c r="N405" s="17" t="s">
        <v>81</v>
      </c>
      <c r="U405" s="17"/>
      <c r="V405" s="18">
        <f>62817179880</f>
        <v>62817179880</v>
      </c>
      <c r="W405" t="s">
        <v>1330</v>
      </c>
      <c r="Y405" s="17" t="s">
        <v>1331</v>
      </c>
    </row>
    <row r="406" ht="15" customHeight="1" spans="1:25" x14ac:dyDescent="0.25">
      <c r="A406" s="17" t="s">
        <v>1332</v>
      </c>
      <c r="B406" s="17" t="s">
        <v>70</v>
      </c>
      <c r="C406" s="17" t="s">
        <v>71</v>
      </c>
      <c r="D406" t="s">
        <v>1326</v>
      </c>
      <c r="F406" t="s">
        <v>1333</v>
      </c>
      <c r="K406" s="18">
        <f>628551147887</f>
        <v>628551147887</v>
      </c>
      <c r="N406" s="17" t="s">
        <v>77</v>
      </c>
      <c r="U406" s="17"/>
      <c r="V406" s="18">
        <f>628551147887</f>
        <v>628551147887</v>
      </c>
      <c r="W406" t="s">
        <v>1334</v>
      </c>
      <c r="Y406" s="17" t="s">
        <v>626</v>
      </c>
    </row>
    <row r="407" ht="15" customHeight="1" spans="1:27" x14ac:dyDescent="0.25">
      <c r="A407" s="17" t="s">
        <v>1335</v>
      </c>
      <c r="B407" s="17" t="s">
        <v>70</v>
      </c>
      <c r="C407" s="17" t="s">
        <v>71</v>
      </c>
      <c r="D407" t="s">
        <v>1336</v>
      </c>
      <c r="F407" t="s">
        <v>1337</v>
      </c>
      <c r="K407" s="18">
        <f>62811981778</f>
        <v>62811981778</v>
      </c>
      <c r="N407" s="17" t="s">
        <v>77</v>
      </c>
      <c r="U407" s="17"/>
      <c r="V407" s="18">
        <f>62811981778</f>
        <v>62811981778</v>
      </c>
      <c r="W407" t="s">
        <v>1338</v>
      </c>
      <c r="Y407" s="17" t="s">
        <v>626</v>
      </c>
      <c r="AA407" s="17" t="s">
        <v>627</v>
      </c>
    </row>
    <row r="408" ht="15" customHeight="1" spans="1:22" x14ac:dyDescent="0.25">
      <c r="A408" s="17" t="s">
        <v>1339</v>
      </c>
      <c r="B408" s="17" t="s">
        <v>70</v>
      </c>
      <c r="C408" s="17" t="s">
        <v>71</v>
      </c>
      <c r="D408" t="s">
        <v>1340</v>
      </c>
      <c r="F408" t="s">
        <v>1341</v>
      </c>
      <c r="K408" s="18">
        <f>62818765688</f>
        <v>62818765688</v>
      </c>
      <c r="N408" s="17" t="s">
        <v>81</v>
      </c>
      <c r="V408" s="18">
        <f>62818765688</f>
        <v>62818765688</v>
      </c>
    </row>
    <row r="409" ht="15" customHeight="1" spans="1:25" x14ac:dyDescent="0.25">
      <c r="A409" s="17" t="s">
        <v>1342</v>
      </c>
      <c r="B409" s="17" t="s">
        <v>70</v>
      </c>
      <c r="C409" s="17" t="s">
        <v>71</v>
      </c>
      <c r="D409" t="s">
        <v>1343</v>
      </c>
      <c r="F409" t="s">
        <v>1344</v>
      </c>
      <c r="K409" s="18">
        <f>62811179320</f>
        <v>62811179320</v>
      </c>
      <c r="N409" s="17" t="s">
        <v>81</v>
      </c>
      <c r="U409" s="17"/>
      <c r="V409" s="18">
        <f>62811179320</f>
        <v>62811179320</v>
      </c>
      <c r="W409" t="s">
        <v>1345</v>
      </c>
      <c r="Y409" s="17" t="s">
        <v>90</v>
      </c>
    </row>
    <row r="410" ht="15" customHeight="1" spans="1:23" x14ac:dyDescent="0.25">
      <c r="A410" s="17" t="s">
        <v>1346</v>
      </c>
      <c r="B410" s="17" t="s">
        <v>70</v>
      </c>
      <c r="C410" s="17" t="s">
        <v>71</v>
      </c>
      <c r="D410" t="s">
        <v>1347</v>
      </c>
      <c r="F410" t="s">
        <v>1348</v>
      </c>
      <c r="K410" s="18">
        <f>639178361418</f>
        <v>639178361418</v>
      </c>
      <c r="N410" s="17" t="s">
        <v>77</v>
      </c>
      <c r="U410" s="17"/>
      <c r="V410" s="18">
        <f>639178361418</f>
        <v>639178361418</v>
      </c>
      <c r="W410" t="s">
        <v>1349</v>
      </c>
    </row>
    <row r="411" ht="15" customHeight="1" spans="1:27" x14ac:dyDescent="0.25">
      <c r="A411" s="17" t="s">
        <v>1350</v>
      </c>
      <c r="B411" s="17" t="s">
        <v>70</v>
      </c>
      <c r="C411" s="17" t="s">
        <v>71</v>
      </c>
      <c r="D411" t="s">
        <v>1351</v>
      </c>
      <c r="F411" t="s">
        <v>1352</v>
      </c>
      <c r="J411" s="17" t="s">
        <v>1353</v>
      </c>
      <c r="K411" s="18">
        <f>6281291007070</f>
        <v>6281291007070</v>
      </c>
      <c r="N411" s="17" t="s">
        <v>74</v>
      </c>
      <c r="U411" s="17"/>
      <c r="V411" s="18">
        <f>6281291007070</f>
        <v>6281291007070</v>
      </c>
      <c r="W411" t="s">
        <v>1354</v>
      </c>
      <c r="Y411" s="17" t="s">
        <v>90</v>
      </c>
      <c r="AA411" s="17">
        <v>12910</v>
      </c>
    </row>
    <row r="412" ht="15" customHeight="1" spans="1:28" x14ac:dyDescent="0.25">
      <c r="A412" s="17" t="s">
        <v>1355</v>
      </c>
      <c r="B412" s="17" t="s">
        <v>70</v>
      </c>
      <c r="C412" s="17" t="s">
        <v>71</v>
      </c>
      <c r="D412" t="s">
        <v>1351</v>
      </c>
      <c r="F412" t="s">
        <v>1356</v>
      </c>
      <c r="J412" t="s">
        <v>115</v>
      </c>
      <c r="K412" s="18" t="s">
        <v>1357</v>
      </c>
      <c r="N412" s="17" t="s">
        <v>77</v>
      </c>
      <c r="O412" t="s">
        <v>117</v>
      </c>
      <c r="V412" s="18" t="s">
        <v>1357</v>
      </c>
      <c r="Y412" t="s">
        <v>190</v>
      </c>
      <c r="AA412" t="s">
        <v>118</v>
      </c>
      <c r="AB412" t="s">
        <v>119</v>
      </c>
    </row>
    <row r="413" ht="15" customHeight="1" spans="1:28" x14ac:dyDescent="0.25">
      <c r="A413" s="17" t="s">
        <v>1358</v>
      </c>
      <c r="B413" s="17" t="s">
        <v>70</v>
      </c>
      <c r="C413" s="17" t="s">
        <v>71</v>
      </c>
      <c r="D413" t="s">
        <v>1351</v>
      </c>
      <c r="F413" t="s">
        <v>1359</v>
      </c>
      <c r="J413" t="s">
        <v>115</v>
      </c>
      <c r="K413" s="18" t="s">
        <v>1360</v>
      </c>
      <c r="N413" s="17" t="s">
        <v>77</v>
      </c>
      <c r="O413" t="s">
        <v>145</v>
      </c>
      <c r="V413" s="18" t="s">
        <v>1360</v>
      </c>
      <c r="Y413" t="s">
        <v>90</v>
      </c>
      <c r="AA413" t="s">
        <v>118</v>
      </c>
      <c r="AB413" t="s">
        <v>119</v>
      </c>
    </row>
    <row r="414" ht="15" customHeight="1" spans="1:28" x14ac:dyDescent="0.25">
      <c r="A414" s="17" t="s">
        <v>1361</v>
      </c>
      <c r="B414" s="17" t="s">
        <v>70</v>
      </c>
      <c r="C414" s="17" t="s">
        <v>71</v>
      </c>
      <c r="D414" t="s">
        <v>1362</v>
      </c>
      <c r="F414" t="s">
        <v>1363</v>
      </c>
      <c r="J414" t="s">
        <v>115</v>
      </c>
      <c r="K414" s="18" t="s">
        <v>1364</v>
      </c>
      <c r="N414" s="17" t="s">
        <v>77</v>
      </c>
      <c r="O414" t="s">
        <v>145</v>
      </c>
      <c r="U414" s="17"/>
      <c r="V414" s="18" t="s">
        <v>1364</v>
      </c>
      <c r="W414" t="s">
        <v>1365</v>
      </c>
      <c r="Y414" s="17" t="s">
        <v>90</v>
      </c>
      <c r="AA414" t="s">
        <v>118</v>
      </c>
      <c r="AB414" t="s">
        <v>119</v>
      </c>
    </row>
    <row r="415" ht="15" customHeight="1" spans="1:22" x14ac:dyDescent="0.25">
      <c r="A415" s="17" t="s">
        <v>1366</v>
      </c>
      <c r="B415" s="17" t="s">
        <v>70</v>
      </c>
      <c r="C415" s="17" t="s">
        <v>71</v>
      </c>
      <c r="D415" t="s">
        <v>1367</v>
      </c>
      <c r="F415" t="s">
        <v>1368</v>
      </c>
      <c r="K415" s="18">
        <f>62811165911</f>
        <v>62811165911</v>
      </c>
      <c r="N415" s="17" t="s">
        <v>81</v>
      </c>
      <c r="V415" s="18">
        <f>62811165911</f>
        <v>62811165911</v>
      </c>
    </row>
    <row r="416" ht="15" customHeight="1" spans="1:28" x14ac:dyDescent="0.25">
      <c r="A416" s="17" t="s">
        <v>1369</v>
      </c>
      <c r="B416" s="17" t="s">
        <v>70</v>
      </c>
      <c r="C416" s="17" t="s">
        <v>71</v>
      </c>
      <c r="D416" t="s">
        <v>1370</v>
      </c>
      <c r="F416" t="s">
        <v>1371</v>
      </c>
      <c r="J416" t="s">
        <v>115</v>
      </c>
      <c r="K416" s="18" t="s">
        <v>1372</v>
      </c>
      <c r="N416" s="17" t="s">
        <v>81</v>
      </c>
      <c r="O416" t="s">
        <v>117</v>
      </c>
      <c r="V416" s="18" t="s">
        <v>1372</v>
      </c>
      <c r="Y416" t="s">
        <v>90</v>
      </c>
      <c r="AA416" t="s">
        <v>118</v>
      </c>
      <c r="AB416" t="s">
        <v>119</v>
      </c>
    </row>
    <row r="417" ht="15" customHeight="1" spans="1:22" x14ac:dyDescent="0.25">
      <c r="A417" s="17" t="s">
        <v>1373</v>
      </c>
      <c r="B417" s="17" t="s">
        <v>70</v>
      </c>
      <c r="C417" s="17" t="s">
        <v>71</v>
      </c>
      <c r="D417" t="s">
        <v>1371</v>
      </c>
      <c r="F417" t="s">
        <v>1371</v>
      </c>
      <c r="K417" s="18">
        <f>628128596287</f>
        <v>628128596287</v>
      </c>
      <c r="N417" s="17" t="s">
        <v>77</v>
      </c>
      <c r="V417" s="18">
        <f>628128596287</f>
        <v>628128596287</v>
      </c>
    </row>
    <row r="418" ht="15" customHeight="1" spans="1:25" x14ac:dyDescent="0.25">
      <c r="A418" s="17" t="s">
        <v>1374</v>
      </c>
      <c r="B418" s="17" t="s">
        <v>70</v>
      </c>
      <c r="C418" s="17" t="s">
        <v>71</v>
      </c>
      <c r="D418" t="s">
        <v>1375</v>
      </c>
      <c r="F418" t="s">
        <v>1376</v>
      </c>
      <c r="K418" s="18">
        <f>6281221851996</f>
        <v>6281221851996</v>
      </c>
      <c r="N418" s="17" t="s">
        <v>77</v>
      </c>
      <c r="U418" s="17"/>
      <c r="V418" s="18">
        <f>6281221851996</f>
        <v>6281221851996</v>
      </c>
      <c r="W418" t="s">
        <v>1377</v>
      </c>
      <c r="Y418" s="17" t="s">
        <v>390</v>
      </c>
    </row>
    <row r="419" ht="15" customHeight="1" spans="1:22" x14ac:dyDescent="0.25">
      <c r="A419" s="17" t="s">
        <v>1378</v>
      </c>
      <c r="B419" s="17" t="s">
        <v>70</v>
      </c>
      <c r="C419" s="17" t="s">
        <v>71</v>
      </c>
      <c r="D419" t="s">
        <v>1379</v>
      </c>
      <c r="F419" t="s">
        <v>1379</v>
      </c>
      <c r="K419" s="18">
        <f>6281233060621</f>
        <v>6281233060621</v>
      </c>
      <c r="N419" s="17" t="s">
        <v>77</v>
      </c>
      <c r="V419" s="18">
        <f>6281233060621</f>
        <v>6281233060621</v>
      </c>
    </row>
    <row r="420" ht="15" customHeight="1" spans="1:28" x14ac:dyDescent="0.25">
      <c r="A420" s="17" t="s">
        <v>1380</v>
      </c>
      <c r="B420" s="17" t="s">
        <v>70</v>
      </c>
      <c r="C420" s="17" t="s">
        <v>71</v>
      </c>
      <c r="D420" t="s">
        <v>1381</v>
      </c>
      <c r="F420" t="s">
        <v>1382</v>
      </c>
      <c r="J420" t="s">
        <v>115</v>
      </c>
      <c r="K420" s="18" t="s">
        <v>1383</v>
      </c>
      <c r="N420" s="17" t="s">
        <v>81</v>
      </c>
      <c r="O420" t="s">
        <v>117</v>
      </c>
      <c r="V420" s="18" t="s">
        <v>1383</v>
      </c>
      <c r="Y420" t="s">
        <v>90</v>
      </c>
      <c r="AA420" t="s">
        <v>118</v>
      </c>
      <c r="AB420" t="s">
        <v>119</v>
      </c>
    </row>
    <row r="421" ht="15" customHeight="1" spans="1:25" x14ac:dyDescent="0.25">
      <c r="A421" s="17" t="s">
        <v>1384</v>
      </c>
      <c r="B421" s="17" t="s">
        <v>70</v>
      </c>
      <c r="C421" s="17" t="s">
        <v>71</v>
      </c>
      <c r="D421" t="s">
        <v>1381</v>
      </c>
      <c r="F421" t="s">
        <v>1385</v>
      </c>
      <c r="K421" s="18">
        <f>6281802031981</f>
        <v>6281802031981</v>
      </c>
      <c r="N421" s="17" t="s">
        <v>81</v>
      </c>
      <c r="U421" s="17"/>
      <c r="V421" s="18">
        <f>6281802031981</f>
        <v>6281802031981</v>
      </c>
      <c r="W421" t="s">
        <v>1386</v>
      </c>
      <c r="Y421" s="17" t="s">
        <v>90</v>
      </c>
    </row>
    <row r="422" ht="15" customHeight="1" spans="1:22" x14ac:dyDescent="0.25">
      <c r="A422" s="17" t="s">
        <v>1387</v>
      </c>
      <c r="B422" s="17" t="s">
        <v>70</v>
      </c>
      <c r="C422" s="17" t="s">
        <v>71</v>
      </c>
      <c r="D422" t="s">
        <v>1388</v>
      </c>
      <c r="F422" t="s">
        <v>1389</v>
      </c>
      <c r="K422" s="18">
        <f>6281514295592</f>
        <v>6281514295592</v>
      </c>
      <c r="N422" s="17" t="s">
        <v>77</v>
      </c>
      <c r="V422" s="18">
        <f>6281514295592</f>
        <v>6281514295592</v>
      </c>
    </row>
    <row r="423" ht="15" customHeight="1" spans="1:28" x14ac:dyDescent="0.25">
      <c r="A423" s="17" t="s">
        <v>1390</v>
      </c>
      <c r="B423" s="17" t="s">
        <v>70</v>
      </c>
      <c r="C423" s="17" t="s">
        <v>71</v>
      </c>
      <c r="D423" t="s">
        <v>1388</v>
      </c>
      <c r="F423" t="s">
        <v>1391</v>
      </c>
      <c r="J423" t="s">
        <v>115</v>
      </c>
      <c r="K423" s="18" t="s">
        <v>1392</v>
      </c>
      <c r="N423" s="17" t="s">
        <v>77</v>
      </c>
      <c r="O423" t="s">
        <v>199</v>
      </c>
      <c r="V423" s="18" t="s">
        <v>1392</v>
      </c>
      <c r="Y423" t="s">
        <v>190</v>
      </c>
      <c r="AA423" t="s">
        <v>118</v>
      </c>
      <c r="AB423" t="s">
        <v>119</v>
      </c>
    </row>
    <row r="424" ht="15" customHeight="1" spans="1:22" x14ac:dyDescent="0.25">
      <c r="A424" s="17" t="s">
        <v>1393</v>
      </c>
      <c r="B424" s="17" t="s">
        <v>70</v>
      </c>
      <c r="C424" s="17" t="s">
        <v>71</v>
      </c>
      <c r="D424" t="s">
        <v>1394</v>
      </c>
      <c r="F424" t="s">
        <v>1394</v>
      </c>
      <c r="K424" s="18">
        <f>6281399669999</f>
        <v>6281399669999</v>
      </c>
      <c r="N424" s="17" t="s">
        <v>77</v>
      </c>
      <c r="V424" s="18">
        <f>6281399669999</f>
        <v>6281399669999</v>
      </c>
    </row>
    <row r="425" ht="15" customHeight="1" spans="1:22" x14ac:dyDescent="0.25">
      <c r="A425" s="17" t="s">
        <v>1395</v>
      </c>
      <c r="B425" s="17" t="s">
        <v>70</v>
      </c>
      <c r="C425" s="17" t="s">
        <v>71</v>
      </c>
      <c r="D425" t="s">
        <v>1396</v>
      </c>
      <c r="F425" t="s">
        <v>1396</v>
      </c>
      <c r="K425" s="18">
        <f>6282244440991</f>
        <v>6282244440991</v>
      </c>
      <c r="N425" s="17" t="s">
        <v>81</v>
      </c>
      <c r="V425" s="18">
        <f>6282244440991</f>
        <v>6282244440991</v>
      </c>
    </row>
    <row r="426" ht="15" customHeight="1" spans="1:28" x14ac:dyDescent="0.25">
      <c r="A426" s="17" t="s">
        <v>1397</v>
      </c>
      <c r="B426" s="17" t="s">
        <v>70</v>
      </c>
      <c r="C426" s="17" t="s">
        <v>71</v>
      </c>
      <c r="D426" t="s">
        <v>1396</v>
      </c>
      <c r="F426" t="s">
        <v>234</v>
      </c>
      <c r="J426" t="s">
        <v>115</v>
      </c>
      <c r="K426" s="18" t="s">
        <v>1398</v>
      </c>
      <c r="N426" s="17" t="s">
        <v>77</v>
      </c>
      <c r="O426" t="s">
        <v>117</v>
      </c>
      <c r="V426" s="18" t="s">
        <v>1398</v>
      </c>
      <c r="Y426" t="s">
        <v>90</v>
      </c>
      <c r="AA426" t="s">
        <v>118</v>
      </c>
      <c r="AB426" t="s">
        <v>119</v>
      </c>
    </row>
    <row r="427" ht="15" customHeight="1" spans="1:23" x14ac:dyDescent="0.25">
      <c r="A427" s="17" t="s">
        <v>1399</v>
      </c>
      <c r="B427" s="17" t="s">
        <v>70</v>
      </c>
      <c r="C427" s="17" t="s">
        <v>71</v>
      </c>
      <c r="D427" t="s">
        <v>1400</v>
      </c>
      <c r="F427" t="s">
        <v>1401</v>
      </c>
      <c r="K427" s="18">
        <f>6281808972393</f>
        <v>6281808972393</v>
      </c>
      <c r="N427" s="17" t="s">
        <v>81</v>
      </c>
      <c r="U427" s="17"/>
      <c r="V427" s="18">
        <f>6281808972393</f>
        <v>6281808972393</v>
      </c>
      <c r="W427" t="s">
        <v>1402</v>
      </c>
    </row>
    <row r="428" ht="15" customHeight="1" spans="1:22" x14ac:dyDescent="0.25">
      <c r="A428" s="17" t="s">
        <v>1403</v>
      </c>
      <c r="B428" s="17" t="s">
        <v>70</v>
      </c>
      <c r="C428" s="17" t="s">
        <v>71</v>
      </c>
      <c r="D428" t="s">
        <v>1404</v>
      </c>
      <c r="F428" t="s">
        <v>1404</v>
      </c>
      <c r="K428" s="18">
        <f>62816972942</f>
        <v>62816972942</v>
      </c>
      <c r="N428" s="17" t="s">
        <v>81</v>
      </c>
      <c r="V428" s="18">
        <f>62816972942</f>
        <v>62816972942</v>
      </c>
    </row>
    <row r="429" ht="15" customHeight="1" spans="1:25" x14ac:dyDescent="0.25">
      <c r="A429" s="17" t="s">
        <v>1405</v>
      </c>
      <c r="B429" s="17" t="s">
        <v>70</v>
      </c>
      <c r="C429" s="17" t="s">
        <v>71</v>
      </c>
      <c r="D429" t="s">
        <v>1406</v>
      </c>
      <c r="F429" t="s">
        <v>1406</v>
      </c>
      <c r="K429" s="18">
        <f>6281908956390</f>
        <v>6281908956390</v>
      </c>
      <c r="N429" s="17" t="s">
        <v>77</v>
      </c>
      <c r="U429" s="17"/>
      <c r="V429" s="18">
        <f>6281908956390</f>
        <v>6281908956390</v>
      </c>
      <c r="W429" t="s">
        <v>1407</v>
      </c>
      <c r="Y429" s="17" t="s">
        <v>90</v>
      </c>
    </row>
    <row r="430" ht="15" customHeight="1" spans="1:25" x14ac:dyDescent="0.25">
      <c r="A430" s="17" t="s">
        <v>1408</v>
      </c>
      <c r="B430" s="17" t="s">
        <v>70</v>
      </c>
      <c r="C430" s="17" t="s">
        <v>71</v>
      </c>
      <c r="D430" t="s">
        <v>1406</v>
      </c>
      <c r="F430" t="s">
        <v>1409</v>
      </c>
      <c r="K430" s="18">
        <f>6281510349402</f>
        <v>6281510349402</v>
      </c>
      <c r="N430" s="17" t="s">
        <v>77</v>
      </c>
      <c r="V430" s="18">
        <f>6281510349402</f>
        <v>6281510349402</v>
      </c>
      <c r="Y430" s="17" t="s">
        <v>1410</v>
      </c>
    </row>
    <row r="431" ht="15" customHeight="1" spans="1:22" x14ac:dyDescent="0.25">
      <c r="A431" s="17" t="s">
        <v>1411</v>
      </c>
      <c r="B431" s="17" t="s">
        <v>70</v>
      </c>
      <c r="C431" s="17" t="s">
        <v>71</v>
      </c>
      <c r="D431" t="s">
        <v>1406</v>
      </c>
      <c r="F431" t="s">
        <v>1412</v>
      </c>
      <c r="K431" s="18">
        <f>62811988756</f>
        <v>62811988756</v>
      </c>
      <c r="N431" s="17" t="s">
        <v>74</v>
      </c>
      <c r="V431" s="18">
        <f>62811988756</f>
        <v>62811988756</v>
      </c>
    </row>
    <row r="432" ht="15" customHeight="1" spans="1:22" x14ac:dyDescent="0.25">
      <c r="A432" s="17" t="s">
        <v>1413</v>
      </c>
      <c r="B432" s="17" t="s">
        <v>70</v>
      </c>
      <c r="C432" s="17" t="s">
        <v>71</v>
      </c>
      <c r="D432" t="s">
        <v>1406</v>
      </c>
      <c r="F432" t="s">
        <v>1414</v>
      </c>
      <c r="K432" s="18">
        <f>6285697160085</f>
        <v>6285697160085</v>
      </c>
      <c r="N432" s="17" t="s">
        <v>77</v>
      </c>
      <c r="V432" s="18">
        <f>6285697160085</f>
        <v>6285697160085</v>
      </c>
    </row>
    <row r="433" ht="15" customHeight="1" spans="1:28" x14ac:dyDescent="0.25">
      <c r="A433" s="17" t="s">
        <v>1415</v>
      </c>
      <c r="B433" s="17" t="s">
        <v>70</v>
      </c>
      <c r="C433" s="17" t="s">
        <v>71</v>
      </c>
      <c r="D433" t="s">
        <v>1406</v>
      </c>
      <c r="F433" t="s">
        <v>1416</v>
      </c>
      <c r="J433" t="s">
        <v>115</v>
      </c>
      <c r="K433" s="18" t="s">
        <v>1417</v>
      </c>
      <c r="N433" s="17" t="s">
        <v>77</v>
      </c>
      <c r="O433" t="s">
        <v>199</v>
      </c>
      <c r="U433" s="17"/>
      <c r="V433" s="18" t="s">
        <v>1417</v>
      </c>
      <c r="W433" t="s">
        <v>1418</v>
      </c>
      <c r="Y433" t="s">
        <v>190</v>
      </c>
      <c r="AA433" t="s">
        <v>118</v>
      </c>
      <c r="AB433" t="s">
        <v>119</v>
      </c>
    </row>
    <row r="434" ht="15" customHeight="1" spans="1:28" x14ac:dyDescent="0.25">
      <c r="A434" s="17" t="s">
        <v>1419</v>
      </c>
      <c r="B434" s="17" t="s">
        <v>70</v>
      </c>
      <c r="C434" s="17" t="s">
        <v>71</v>
      </c>
      <c r="D434" t="s">
        <v>1406</v>
      </c>
      <c r="F434" t="s">
        <v>1420</v>
      </c>
      <c r="J434" t="s">
        <v>1421</v>
      </c>
      <c r="K434" s="18" t="s">
        <v>1422</v>
      </c>
      <c r="N434" s="17" t="s">
        <v>81</v>
      </c>
      <c r="O434" t="s">
        <v>261</v>
      </c>
      <c r="U434" s="17"/>
      <c r="V434" s="18" t="s">
        <v>1422</v>
      </c>
      <c r="W434" t="s">
        <v>1423</v>
      </c>
      <c r="Y434" t="s">
        <v>90</v>
      </c>
      <c r="AA434" t="s">
        <v>118</v>
      </c>
      <c r="AB434" t="s">
        <v>119</v>
      </c>
    </row>
    <row r="435" ht="15" customHeight="1" spans="1:25" x14ac:dyDescent="0.25">
      <c r="A435" s="17" t="s">
        <v>1424</v>
      </c>
      <c r="B435" s="17" t="s">
        <v>70</v>
      </c>
      <c r="C435" s="17" t="s">
        <v>71</v>
      </c>
      <c r="D435" t="s">
        <v>1406</v>
      </c>
      <c r="F435" t="s">
        <v>699</v>
      </c>
      <c r="K435" s="18">
        <f>628161188444</f>
        <v>628161188444</v>
      </c>
      <c r="N435" s="17" t="s">
        <v>77</v>
      </c>
      <c r="U435" s="17"/>
      <c r="V435" s="18">
        <f>628161188444</f>
        <v>628161188444</v>
      </c>
      <c r="W435" t="s">
        <v>180</v>
      </c>
      <c r="Y435" t="s">
        <v>181</v>
      </c>
    </row>
    <row r="436" ht="15" customHeight="1" spans="1:22" x14ac:dyDescent="0.25">
      <c r="A436" s="17" t="s">
        <v>1425</v>
      </c>
      <c r="B436" s="17" t="s">
        <v>70</v>
      </c>
      <c r="C436" s="17" t="s">
        <v>71</v>
      </c>
      <c r="D436" t="s">
        <v>1426</v>
      </c>
      <c r="F436" t="s">
        <v>1426</v>
      </c>
      <c r="K436" s="18">
        <f>6282213656346</f>
        <v>6282213656346</v>
      </c>
      <c r="N436" s="17" t="s">
        <v>77</v>
      </c>
      <c r="V436" s="18">
        <f>6282213656346</f>
        <v>6282213656346</v>
      </c>
    </row>
    <row r="437" ht="15" customHeight="1" spans="1:22" x14ac:dyDescent="0.25">
      <c r="A437" s="17" t="s">
        <v>1427</v>
      </c>
      <c r="B437" s="17" t="s">
        <v>70</v>
      </c>
      <c r="C437" s="17" t="s">
        <v>71</v>
      </c>
      <c r="D437" t="s">
        <v>1426</v>
      </c>
      <c r="F437" t="s">
        <v>1428</v>
      </c>
      <c r="K437" s="18">
        <f>62818196126</f>
        <v>62818196126</v>
      </c>
      <c r="N437" s="17" t="s">
        <v>81</v>
      </c>
      <c r="V437" s="18">
        <f>62818196126</f>
        <v>62818196126</v>
      </c>
    </row>
    <row r="438" ht="15" customHeight="1" spans="1:27" x14ac:dyDescent="0.25">
      <c r="A438" s="17" t="s">
        <v>1429</v>
      </c>
      <c r="B438" s="17" t="s">
        <v>70</v>
      </c>
      <c r="C438" s="17" t="s">
        <v>71</v>
      </c>
      <c r="D438" t="s">
        <v>1426</v>
      </c>
      <c r="F438" t="s">
        <v>1430</v>
      </c>
      <c r="J438" s="17" t="s">
        <v>1431</v>
      </c>
      <c r="K438" s="18">
        <f>6281289391198</f>
        <v>6281289391198</v>
      </c>
      <c r="N438" s="17" t="s">
        <v>77</v>
      </c>
      <c r="U438" s="17"/>
      <c r="V438" s="18">
        <f>6281289391198</f>
        <v>6281289391198</v>
      </c>
      <c r="W438" t="s">
        <v>1432</v>
      </c>
      <c r="Y438" s="17" t="s">
        <v>90</v>
      </c>
      <c r="AA438" s="17">
        <v>12810</v>
      </c>
    </row>
    <row r="439" ht="15" customHeight="1" spans="1:22" x14ac:dyDescent="0.25">
      <c r="A439" s="17" t="s">
        <v>1433</v>
      </c>
      <c r="B439" s="17" t="s">
        <v>70</v>
      </c>
      <c r="C439" s="17" t="s">
        <v>71</v>
      </c>
      <c r="D439" t="s">
        <v>1426</v>
      </c>
      <c r="F439" t="s">
        <v>1434</v>
      </c>
      <c r="K439" s="18">
        <f>6281314777090</f>
        <v>6281314777090</v>
      </c>
      <c r="N439" s="17" t="s">
        <v>81</v>
      </c>
      <c r="V439" s="18">
        <f>6281314777090</f>
        <v>6281314777090</v>
      </c>
    </row>
    <row r="440" ht="15" customHeight="1" spans="1:22" x14ac:dyDescent="0.25">
      <c r="A440" s="17" t="s">
        <v>1435</v>
      </c>
      <c r="B440" s="17" t="s">
        <v>70</v>
      </c>
      <c r="C440" s="17" t="s">
        <v>71</v>
      </c>
      <c r="D440" t="s">
        <v>1426</v>
      </c>
      <c r="F440" t="s">
        <v>672</v>
      </c>
      <c r="K440" s="18">
        <f>62811140403</f>
        <v>62811140403</v>
      </c>
      <c r="N440" s="17" t="s">
        <v>77</v>
      </c>
      <c r="V440" s="18">
        <f>62811140403</f>
        <v>62811140403</v>
      </c>
    </row>
    <row r="441" ht="15" customHeight="1" spans="1:22" x14ac:dyDescent="0.25">
      <c r="A441" s="17" t="s">
        <v>1436</v>
      </c>
      <c r="B441" s="17" t="s">
        <v>70</v>
      </c>
      <c r="C441" s="17" t="s">
        <v>71</v>
      </c>
      <c r="D441" t="s">
        <v>1437</v>
      </c>
      <c r="F441" t="s">
        <v>1437</v>
      </c>
      <c r="K441" s="18">
        <f>6282362879841</f>
        <v>6282362879841</v>
      </c>
      <c r="N441" s="17" t="s">
        <v>77</v>
      </c>
      <c r="V441" s="18">
        <f>6282362879841</f>
        <v>6282362879841</v>
      </c>
    </row>
    <row r="442" ht="15" customHeight="1" spans="1:22" x14ac:dyDescent="0.25">
      <c r="A442" s="17" t="s">
        <v>1438</v>
      </c>
      <c r="B442" s="17" t="s">
        <v>70</v>
      </c>
      <c r="C442" s="17" t="s">
        <v>71</v>
      </c>
      <c r="D442" t="s">
        <v>1439</v>
      </c>
      <c r="F442" t="s">
        <v>1440</v>
      </c>
      <c r="K442" s="18">
        <f>6281325726276</f>
        <v>6281325726276</v>
      </c>
      <c r="N442" s="17" t="s">
        <v>81</v>
      </c>
      <c r="V442" s="18">
        <f>6281325726276</f>
        <v>6281325726276</v>
      </c>
    </row>
    <row r="443" ht="15" customHeight="1" spans="1:22" x14ac:dyDescent="0.25">
      <c r="A443" s="17" t="s">
        <v>1441</v>
      </c>
      <c r="B443" s="17" t="s">
        <v>70</v>
      </c>
      <c r="C443" s="17" t="s">
        <v>71</v>
      </c>
      <c r="D443" t="s">
        <v>184</v>
      </c>
      <c r="F443" t="s">
        <v>184</v>
      </c>
      <c r="K443" s="18">
        <f>6281244456666</f>
        <v>6281244456666</v>
      </c>
      <c r="N443" s="17" t="s">
        <v>81</v>
      </c>
      <c r="V443" s="18">
        <f>6281244456666</f>
        <v>6281244456666</v>
      </c>
    </row>
    <row r="444" ht="15" customHeight="1" spans="1:22" x14ac:dyDescent="0.25">
      <c r="A444" s="17" t="s">
        <v>1442</v>
      </c>
      <c r="B444" s="17" t="s">
        <v>70</v>
      </c>
      <c r="C444" s="17" t="s">
        <v>71</v>
      </c>
      <c r="D444" t="s">
        <v>184</v>
      </c>
      <c r="F444" t="s">
        <v>184</v>
      </c>
      <c r="K444" s="18">
        <f>628125583185</f>
        <v>628125583185</v>
      </c>
      <c r="N444" s="17" t="s">
        <v>81</v>
      </c>
      <c r="V444" s="18">
        <f>628125583185</f>
        <v>628125583185</v>
      </c>
    </row>
    <row r="445" ht="15" customHeight="1" spans="1:22" x14ac:dyDescent="0.25">
      <c r="A445" s="17" t="s">
        <v>1443</v>
      </c>
      <c r="B445" s="17" t="s">
        <v>70</v>
      </c>
      <c r="C445" s="17" t="s">
        <v>71</v>
      </c>
      <c r="D445" t="s">
        <v>184</v>
      </c>
      <c r="F445" t="s">
        <v>1444</v>
      </c>
      <c r="K445" s="18">
        <f>62811862135</f>
        <v>62811862135</v>
      </c>
      <c r="N445" s="17" t="s">
        <v>81</v>
      </c>
      <c r="V445" s="18">
        <f>62811862135</f>
        <v>62811862135</v>
      </c>
    </row>
    <row r="446" ht="15" customHeight="1" spans="1:22" x14ac:dyDescent="0.25">
      <c r="A446" s="17" t="s">
        <v>1445</v>
      </c>
      <c r="B446" s="17" t="s">
        <v>70</v>
      </c>
      <c r="C446" s="17" t="s">
        <v>71</v>
      </c>
      <c r="D446" t="s">
        <v>184</v>
      </c>
      <c r="F446" t="s">
        <v>669</v>
      </c>
      <c r="K446" s="18">
        <f>6281271104952</f>
        <v>6281271104952</v>
      </c>
      <c r="N446" s="17" t="s">
        <v>77</v>
      </c>
      <c r="V446" s="18">
        <f>6281271104952</f>
        <v>6281271104952</v>
      </c>
    </row>
    <row r="447" ht="15" customHeight="1" spans="1:22" x14ac:dyDescent="0.25">
      <c r="A447" s="17" t="s">
        <v>1446</v>
      </c>
      <c r="B447" s="17" t="s">
        <v>70</v>
      </c>
      <c r="C447" s="17" t="s">
        <v>71</v>
      </c>
      <c r="D447" t="s">
        <v>184</v>
      </c>
      <c r="F447" t="s">
        <v>1447</v>
      </c>
      <c r="K447" s="18">
        <f>628126051125</f>
        <v>628126051125</v>
      </c>
      <c r="N447" s="17" t="s">
        <v>77</v>
      </c>
      <c r="V447" s="18">
        <f>628126051125</f>
        <v>628126051125</v>
      </c>
    </row>
    <row r="448" ht="15" customHeight="1" spans="1:28" x14ac:dyDescent="0.25">
      <c r="A448" s="17" t="s">
        <v>1448</v>
      </c>
      <c r="B448" s="17" t="s">
        <v>70</v>
      </c>
      <c r="C448" s="17" t="s">
        <v>71</v>
      </c>
      <c r="D448" t="s">
        <v>1449</v>
      </c>
      <c r="F448" t="s">
        <v>1450</v>
      </c>
      <c r="J448" s="17" t="s">
        <v>1451</v>
      </c>
      <c r="K448" s="18" t="s">
        <v>1452</v>
      </c>
      <c r="N448" s="17" t="s">
        <v>77</v>
      </c>
      <c r="O448" t="s">
        <v>145</v>
      </c>
      <c r="U448" s="17"/>
      <c r="V448" s="18" t="s">
        <v>1452</v>
      </c>
      <c r="W448" t="s">
        <v>1453</v>
      </c>
      <c r="Y448" t="s">
        <v>906</v>
      </c>
      <c r="AA448" t="s">
        <v>115</v>
      </c>
      <c r="AB448" t="s">
        <v>119</v>
      </c>
    </row>
    <row r="449" ht="15" customHeight="1" spans="1:22" x14ac:dyDescent="0.25">
      <c r="A449" s="17" t="s">
        <v>1454</v>
      </c>
      <c r="B449" s="17" t="s">
        <v>70</v>
      </c>
      <c r="C449" s="17" t="s">
        <v>71</v>
      </c>
      <c r="D449" t="s">
        <v>1455</v>
      </c>
      <c r="F449" t="s">
        <v>1456</v>
      </c>
      <c r="K449" s="18">
        <f>628111902626</f>
        <v>628111902626</v>
      </c>
      <c r="N449" s="17" t="s">
        <v>77</v>
      </c>
      <c r="V449" s="18">
        <f>628111902626</f>
        <v>628111902626</v>
      </c>
    </row>
    <row r="450" ht="15" customHeight="1" spans="1:22" x14ac:dyDescent="0.25">
      <c r="A450" s="17" t="s">
        <v>1457</v>
      </c>
      <c r="B450" s="17" t="s">
        <v>70</v>
      </c>
      <c r="C450" s="17" t="s">
        <v>71</v>
      </c>
      <c r="D450" t="s">
        <v>1458</v>
      </c>
      <c r="F450" t="s">
        <v>1459</v>
      </c>
      <c r="J450" s="17" t="s">
        <v>1460</v>
      </c>
      <c r="K450" s="18">
        <f>6282160330143</f>
        <v>6282160330143</v>
      </c>
      <c r="N450" s="17" t="s">
        <v>81</v>
      </c>
      <c r="V450" s="18">
        <f>6282160330143</f>
        <v>6282160330143</v>
      </c>
    </row>
    <row r="451" ht="15" customHeight="1" spans="1:28" x14ac:dyDescent="0.25">
      <c r="A451" s="17" t="s">
        <v>1461</v>
      </c>
      <c r="B451" s="17" t="s">
        <v>70</v>
      </c>
      <c r="C451" s="17" t="s">
        <v>71</v>
      </c>
      <c r="D451" t="s">
        <v>1462</v>
      </c>
      <c r="F451" t="s">
        <v>1462</v>
      </c>
      <c r="J451" t="s">
        <v>115</v>
      </c>
      <c r="K451" s="18" t="s">
        <v>1463</v>
      </c>
      <c r="N451" s="17" t="s">
        <v>77</v>
      </c>
      <c r="O451" t="s">
        <v>145</v>
      </c>
      <c r="V451" s="18" t="s">
        <v>1463</v>
      </c>
      <c r="Y451" t="s">
        <v>90</v>
      </c>
      <c r="AA451" t="s">
        <v>118</v>
      </c>
      <c r="AB451" t="s">
        <v>119</v>
      </c>
    </row>
    <row r="452" ht="15" customHeight="1" spans="1:22" x14ac:dyDescent="0.25">
      <c r="A452" s="17" t="s">
        <v>1464</v>
      </c>
      <c r="B452" s="17" t="s">
        <v>70</v>
      </c>
      <c r="C452" s="17" t="s">
        <v>71</v>
      </c>
      <c r="D452" t="s">
        <v>1465</v>
      </c>
      <c r="F452" t="s">
        <v>1465</v>
      </c>
      <c r="K452" s="18">
        <f>628158006981</f>
        <v>628158006981</v>
      </c>
      <c r="N452" s="17" t="s">
        <v>77</v>
      </c>
      <c r="V452" s="18">
        <f>628158006981</f>
        <v>628158006981</v>
      </c>
    </row>
    <row r="453" ht="15" customHeight="1" spans="1:22" x14ac:dyDescent="0.25">
      <c r="A453" s="17" t="s">
        <v>1466</v>
      </c>
      <c r="B453" s="17" t="s">
        <v>70</v>
      </c>
      <c r="C453" s="17" t="s">
        <v>71</v>
      </c>
      <c r="D453" t="s">
        <v>1467</v>
      </c>
      <c r="F453" t="s">
        <v>1467</v>
      </c>
      <c r="K453" s="18">
        <f>6281311024000</f>
        <v>6281311024000</v>
      </c>
      <c r="N453" s="17" t="s">
        <v>77</v>
      </c>
      <c r="V453" s="18">
        <f>6281311024000</f>
        <v>6281311024000</v>
      </c>
    </row>
    <row r="454" ht="15" customHeight="1" spans="1:28" x14ac:dyDescent="0.25">
      <c r="A454" s="17" t="s">
        <v>1468</v>
      </c>
      <c r="B454" s="17" t="s">
        <v>70</v>
      </c>
      <c r="C454" s="17" t="s">
        <v>71</v>
      </c>
      <c r="D454" t="s">
        <v>1469</v>
      </c>
      <c r="F454" t="s">
        <v>1470</v>
      </c>
      <c r="J454" t="s">
        <v>1471</v>
      </c>
      <c r="K454" s="18" t="s">
        <v>1472</v>
      </c>
      <c r="N454" s="17" t="s">
        <v>74</v>
      </c>
      <c r="O454" t="s">
        <v>1188</v>
      </c>
      <c r="U454" s="17"/>
      <c r="V454" s="18" t="s">
        <v>1472</v>
      </c>
      <c r="W454" t="s">
        <v>1473</v>
      </c>
      <c r="Y454" s="17" t="s">
        <v>190</v>
      </c>
      <c r="AA454" s="17" t="s">
        <v>118</v>
      </c>
      <c r="AB454" t="s">
        <v>119</v>
      </c>
    </row>
    <row r="455" ht="15" customHeight="1" spans="1:22" x14ac:dyDescent="0.25">
      <c r="A455" s="17" t="s">
        <v>1474</v>
      </c>
      <c r="B455" s="17" t="s">
        <v>70</v>
      </c>
      <c r="C455" s="17" t="s">
        <v>71</v>
      </c>
      <c r="D455" t="s">
        <v>1475</v>
      </c>
      <c r="F455" t="s">
        <v>1476</v>
      </c>
      <c r="K455" s="18">
        <f>628118190890</f>
        <v>628118190890</v>
      </c>
      <c r="N455" s="17" t="s">
        <v>81</v>
      </c>
      <c r="V455" s="18">
        <f>628118190890</f>
        <v>628118190890</v>
      </c>
    </row>
    <row r="456" ht="15" customHeight="1" spans="1:22" x14ac:dyDescent="0.25">
      <c r="A456" s="17" t="s">
        <v>1477</v>
      </c>
      <c r="B456" s="17" t="s">
        <v>70</v>
      </c>
      <c r="C456" s="17" t="s">
        <v>71</v>
      </c>
      <c r="D456" t="s">
        <v>1478</v>
      </c>
      <c r="F456" t="s">
        <v>1478</v>
      </c>
      <c r="K456" s="18">
        <f>6281226666666</f>
        <v>6281226666666</v>
      </c>
      <c r="N456" s="17" t="s">
        <v>77</v>
      </c>
      <c r="V456" s="18">
        <f>6281226666666</f>
        <v>6281226666666</v>
      </c>
    </row>
    <row r="457" ht="15" customHeight="1" spans="1:25" x14ac:dyDescent="0.25">
      <c r="A457" s="17" t="s">
        <v>1479</v>
      </c>
      <c r="B457" s="17" t="s">
        <v>70</v>
      </c>
      <c r="C457" s="17" t="s">
        <v>71</v>
      </c>
      <c r="D457" t="s">
        <v>1480</v>
      </c>
      <c r="F457" t="s">
        <v>1481</v>
      </c>
      <c r="J457" s="17" t="s">
        <v>1482</v>
      </c>
      <c r="K457" s="18">
        <f>6281213923641</f>
        <v>6281213923641</v>
      </c>
      <c r="N457" s="17" t="s">
        <v>77</v>
      </c>
      <c r="U457" s="17"/>
      <c r="V457" s="18">
        <f>6281213923641</f>
        <v>6281213923641</v>
      </c>
      <c r="W457" t="s">
        <v>1483</v>
      </c>
      <c r="Y457" s="17" t="s">
        <v>96</v>
      </c>
    </row>
    <row r="458" ht="15" customHeight="1" spans="1:22" x14ac:dyDescent="0.25">
      <c r="A458" s="17" t="s">
        <v>1484</v>
      </c>
      <c r="B458" s="17" t="s">
        <v>70</v>
      </c>
      <c r="C458" s="17" t="s">
        <v>71</v>
      </c>
      <c r="D458" t="s">
        <v>1485</v>
      </c>
      <c r="F458" t="s">
        <v>1485</v>
      </c>
      <c r="K458" s="18">
        <f>6281288171717</f>
        <v>6281288171717</v>
      </c>
      <c r="N458" s="17" t="s">
        <v>81</v>
      </c>
      <c r="V458" s="18">
        <f>6281288171717</f>
        <v>6281288171717</v>
      </c>
    </row>
    <row r="459" ht="15" customHeight="1" spans="1:28" x14ac:dyDescent="0.25">
      <c r="A459" s="17" t="s">
        <v>1486</v>
      </c>
      <c r="B459" s="17" t="s">
        <v>70</v>
      </c>
      <c r="C459" s="17" t="s">
        <v>71</v>
      </c>
      <c r="D459" t="s">
        <v>1487</v>
      </c>
      <c r="F459" t="s">
        <v>1488</v>
      </c>
      <c r="J459" s="17" t="s">
        <v>1489</v>
      </c>
      <c r="K459" s="18" t="s">
        <v>1490</v>
      </c>
      <c r="N459" s="17" t="s">
        <v>77</v>
      </c>
      <c r="O459" t="s">
        <v>199</v>
      </c>
      <c r="V459" s="18" t="s">
        <v>1490</v>
      </c>
      <c r="Y459" t="s">
        <v>115</v>
      </c>
      <c r="AA459" t="s">
        <v>115</v>
      </c>
      <c r="AB459" t="s">
        <v>1491</v>
      </c>
    </row>
    <row r="460" ht="15" customHeight="1" spans="1:22" x14ac:dyDescent="0.25">
      <c r="A460" s="17" t="s">
        <v>1492</v>
      </c>
      <c r="B460" s="17" t="s">
        <v>70</v>
      </c>
      <c r="C460" s="17" t="s">
        <v>71</v>
      </c>
      <c r="D460" t="s">
        <v>1493</v>
      </c>
      <c r="F460" t="s">
        <v>1494</v>
      </c>
      <c r="K460" s="18">
        <f>96899566826</f>
        <v>96899566826</v>
      </c>
      <c r="N460" s="17" t="s">
        <v>77</v>
      </c>
      <c r="V460" s="18">
        <f>96899566826</f>
        <v>96899566826</v>
      </c>
    </row>
    <row r="461" ht="15" customHeight="1" spans="1:22" x14ac:dyDescent="0.25">
      <c r="A461" s="17" t="s">
        <v>1495</v>
      </c>
      <c r="B461" s="17" t="s">
        <v>70</v>
      </c>
      <c r="C461" s="17" t="s">
        <v>71</v>
      </c>
      <c r="D461" t="s">
        <v>1493</v>
      </c>
      <c r="F461" t="s">
        <v>1496</v>
      </c>
      <c r="K461" s="18">
        <f>6285285000658</f>
        <v>6285285000658</v>
      </c>
      <c r="N461" s="17" t="s">
        <v>77</v>
      </c>
      <c r="V461" s="18">
        <f>6285285000658</f>
        <v>6285285000658</v>
      </c>
    </row>
    <row r="462" ht="15" customHeight="1" spans="1:22" x14ac:dyDescent="0.25">
      <c r="A462" s="17" t="s">
        <v>1497</v>
      </c>
      <c r="B462" s="17" t="s">
        <v>70</v>
      </c>
      <c r="C462" s="17" t="s">
        <v>71</v>
      </c>
      <c r="D462" t="s">
        <v>1498</v>
      </c>
      <c r="F462" t="s">
        <v>1499</v>
      </c>
      <c r="K462" s="18">
        <f>66506260449</f>
        <v>66506260449</v>
      </c>
      <c r="N462" s="17" t="s">
        <v>81</v>
      </c>
      <c r="V462" s="18">
        <f>66506260449</f>
        <v>66506260449</v>
      </c>
    </row>
    <row r="463" ht="15" customHeight="1" spans="1:22" x14ac:dyDescent="0.25">
      <c r="A463" s="17" t="s">
        <v>1500</v>
      </c>
      <c r="B463" s="17" t="s">
        <v>70</v>
      </c>
      <c r="C463" s="17" t="s">
        <v>71</v>
      </c>
      <c r="D463" t="s">
        <v>1498</v>
      </c>
      <c r="F463" t="s">
        <v>301</v>
      </c>
      <c r="K463" s="18">
        <f>504487249</f>
        <v>504487249</v>
      </c>
      <c r="N463" s="17" t="s">
        <v>74</v>
      </c>
      <c r="V463" s="18">
        <f>504487249</f>
        <v>504487249</v>
      </c>
    </row>
    <row r="464" ht="15" customHeight="1" spans="1:25" x14ac:dyDescent="0.25">
      <c r="A464" s="17" t="s">
        <v>1501</v>
      </c>
      <c r="B464" s="17" t="s">
        <v>70</v>
      </c>
      <c r="C464" s="17" t="s">
        <v>71</v>
      </c>
      <c r="D464" t="s">
        <v>1502</v>
      </c>
      <c r="F464" t="s">
        <v>1503</v>
      </c>
      <c r="K464" s="18">
        <f>62816850744</f>
        <v>62816850744</v>
      </c>
      <c r="N464" s="17" t="s">
        <v>77</v>
      </c>
      <c r="U464" s="17"/>
      <c r="V464" s="18">
        <f>62816850744</f>
        <v>62816850744</v>
      </c>
      <c r="W464" t="s">
        <v>1504</v>
      </c>
      <c r="Y464" s="17" t="s">
        <v>90</v>
      </c>
    </row>
    <row r="465" ht="15" customHeight="1" spans="1:22" x14ac:dyDescent="0.25">
      <c r="A465" s="17" t="s">
        <v>1505</v>
      </c>
      <c r="B465" s="17" t="s">
        <v>70</v>
      </c>
      <c r="C465" s="17" t="s">
        <v>71</v>
      </c>
      <c r="D465" t="s">
        <v>1506</v>
      </c>
      <c r="F465" t="s">
        <v>1506</v>
      </c>
      <c r="K465" s="18">
        <f>6285285000058</f>
        <v>6285285000058</v>
      </c>
      <c r="N465" s="17" t="s">
        <v>77</v>
      </c>
      <c r="V465" s="18">
        <f>6285285000058</f>
        <v>6285285000058</v>
      </c>
    </row>
    <row r="466" ht="15" customHeight="1" spans="1:22" x14ac:dyDescent="0.25">
      <c r="A466" s="17" t="s">
        <v>1507</v>
      </c>
      <c r="B466" s="17" t="s">
        <v>70</v>
      </c>
      <c r="C466" s="17" t="s">
        <v>71</v>
      </c>
      <c r="D466" t="s">
        <v>1508</v>
      </c>
      <c r="F466" t="s">
        <v>1509</v>
      </c>
      <c r="K466" s="18">
        <f>628118453362</f>
        <v>628118453362</v>
      </c>
      <c r="N466" s="17" t="s">
        <v>77</v>
      </c>
      <c r="V466" s="18">
        <f>628118453362</f>
        <v>628118453362</v>
      </c>
    </row>
    <row r="467" ht="15" customHeight="1" spans="1:28" x14ac:dyDescent="0.25">
      <c r="A467" s="17" t="s">
        <v>1510</v>
      </c>
      <c r="B467" s="17" t="s">
        <v>70</v>
      </c>
      <c r="C467" s="17" t="s">
        <v>71</v>
      </c>
      <c r="D467" t="s">
        <v>241</v>
      </c>
      <c r="F467" t="s">
        <v>1511</v>
      </c>
      <c r="J467" t="s">
        <v>115</v>
      </c>
      <c r="K467" s="18" t="s">
        <v>1512</v>
      </c>
      <c r="N467" s="17" t="s">
        <v>77</v>
      </c>
      <c r="O467" t="s">
        <v>145</v>
      </c>
      <c r="V467" s="18" t="s">
        <v>1512</v>
      </c>
      <c r="Y467" t="s">
        <v>115</v>
      </c>
      <c r="AA467" t="s">
        <v>115</v>
      </c>
      <c r="AB467" t="s">
        <v>1298</v>
      </c>
    </row>
    <row r="468" ht="15" customHeight="1" spans="1:23" x14ac:dyDescent="0.25">
      <c r="A468" s="17" t="s">
        <v>1513</v>
      </c>
      <c r="B468" s="17" t="s">
        <v>70</v>
      </c>
      <c r="C468" s="17" t="s">
        <v>71</v>
      </c>
      <c r="D468" t="s">
        <v>1514</v>
      </c>
      <c r="F468" t="s">
        <v>1515</v>
      </c>
      <c r="K468" s="18">
        <f>966555432955</f>
        <v>966555432955</v>
      </c>
      <c r="N468" s="17" t="s">
        <v>77</v>
      </c>
      <c r="U468" s="17"/>
      <c r="V468" s="18">
        <f>966555432955</f>
        <v>966555432955</v>
      </c>
      <c r="W468" t="s">
        <v>251</v>
      </c>
    </row>
    <row r="469" ht="15" customHeight="1" spans="1:28" x14ac:dyDescent="0.25">
      <c r="A469" s="17" t="s">
        <v>1516</v>
      </c>
      <c r="B469" s="17" t="s">
        <v>70</v>
      </c>
      <c r="C469" s="17" t="s">
        <v>71</v>
      </c>
      <c r="D469" t="s">
        <v>1517</v>
      </c>
      <c r="F469" t="s">
        <v>1517</v>
      </c>
      <c r="J469" t="s">
        <v>115</v>
      </c>
      <c r="K469" s="18" t="s">
        <v>1518</v>
      </c>
      <c r="N469" s="17" t="s">
        <v>77</v>
      </c>
      <c r="O469" t="s">
        <v>117</v>
      </c>
      <c r="V469" s="18" t="s">
        <v>1518</v>
      </c>
      <c r="Y469" t="s">
        <v>90</v>
      </c>
      <c r="AA469" t="s">
        <v>118</v>
      </c>
      <c r="AB469" t="s">
        <v>119</v>
      </c>
    </row>
    <row r="470" ht="15" customHeight="1" spans="1:22" x14ac:dyDescent="0.25">
      <c r="A470" s="17" t="s">
        <v>1519</v>
      </c>
      <c r="B470" s="17" t="s">
        <v>70</v>
      </c>
      <c r="C470" s="17" t="s">
        <v>71</v>
      </c>
      <c r="D470" t="s">
        <v>1520</v>
      </c>
      <c r="F470" t="s">
        <v>1521</v>
      </c>
      <c r="K470" s="18">
        <f>62816925266</f>
        <v>62816925266</v>
      </c>
      <c r="N470" s="17" t="s">
        <v>81</v>
      </c>
      <c r="V470" s="18">
        <f>62816925266</f>
        <v>62816925266</v>
      </c>
    </row>
    <row r="471" ht="15" customHeight="1" spans="1:22" x14ac:dyDescent="0.25">
      <c r="A471" s="17" t="s">
        <v>1522</v>
      </c>
      <c r="B471" s="17" t="s">
        <v>70</v>
      </c>
      <c r="C471" s="17" t="s">
        <v>71</v>
      </c>
      <c r="D471" t="s">
        <v>1523</v>
      </c>
      <c r="F471" t="s">
        <v>1523</v>
      </c>
      <c r="K471" s="18">
        <f>6282260666806</f>
        <v>6282260666806</v>
      </c>
      <c r="N471" s="17" t="s">
        <v>81</v>
      </c>
      <c r="V471" s="18">
        <f>6282260666806</f>
        <v>6282260666806</v>
      </c>
    </row>
    <row r="472" ht="15" customHeight="1" spans="1:22" x14ac:dyDescent="0.25">
      <c r="A472" s="17" t="s">
        <v>1524</v>
      </c>
      <c r="B472" s="17" t="s">
        <v>70</v>
      </c>
      <c r="C472" s="17" t="s">
        <v>71</v>
      </c>
      <c r="D472" t="s">
        <v>1523</v>
      </c>
      <c r="F472" t="s">
        <v>1525</v>
      </c>
      <c r="K472" s="18">
        <f>6282110364836</f>
        <v>6282110364836</v>
      </c>
      <c r="N472" s="17" t="s">
        <v>81</v>
      </c>
      <c r="V472" s="18">
        <f>6282110364836</f>
        <v>6282110364836</v>
      </c>
    </row>
    <row r="473" ht="15" customHeight="1" spans="1:27" x14ac:dyDescent="0.25">
      <c r="A473" s="17" t="s">
        <v>1526</v>
      </c>
      <c r="B473" s="17" t="s">
        <v>70</v>
      </c>
      <c r="C473" s="17" t="s">
        <v>71</v>
      </c>
      <c r="D473" t="s">
        <v>1523</v>
      </c>
      <c r="F473" t="s">
        <v>1527</v>
      </c>
      <c r="K473" s="18">
        <f>622152901273</f>
        <v>622152901273</v>
      </c>
      <c r="N473" s="17" t="s">
        <v>74</v>
      </c>
      <c r="U473" s="17"/>
      <c r="V473" s="18">
        <f>622152901273</f>
        <v>622152901273</v>
      </c>
      <c r="W473" t="s">
        <v>1528</v>
      </c>
      <c r="Y473" s="17" t="s">
        <v>90</v>
      </c>
      <c r="AA473" s="17" t="s">
        <v>1529</v>
      </c>
    </row>
    <row r="474" ht="15" customHeight="1" spans="1:22" x14ac:dyDescent="0.25">
      <c r="A474" s="17" t="s">
        <v>1530</v>
      </c>
      <c r="B474" s="17" t="s">
        <v>70</v>
      </c>
      <c r="C474" s="17" t="s">
        <v>71</v>
      </c>
      <c r="D474" t="s">
        <v>1523</v>
      </c>
      <c r="F474" t="s">
        <v>1531</v>
      </c>
      <c r="K474" s="18">
        <f>6281376227056</f>
        <v>6281376227056</v>
      </c>
      <c r="N474" s="17" t="s">
        <v>77</v>
      </c>
      <c r="V474" s="18">
        <f>6281376227056</f>
        <v>6281376227056</v>
      </c>
    </row>
    <row r="475" ht="15" customHeight="1" spans="1:25" x14ac:dyDescent="0.25">
      <c r="A475" s="17" t="s">
        <v>1532</v>
      </c>
      <c r="B475" s="17" t="s">
        <v>70</v>
      </c>
      <c r="C475" s="17" t="s">
        <v>71</v>
      </c>
      <c r="D475" t="s">
        <v>1523</v>
      </c>
      <c r="F475" t="s">
        <v>1533</v>
      </c>
      <c r="J475" s="17" t="s">
        <v>1534</v>
      </c>
      <c r="K475" s="18">
        <f>628197260774</f>
        <v>628197260774</v>
      </c>
      <c r="N475" s="17" t="s">
        <v>77</v>
      </c>
      <c r="U475" s="17"/>
      <c r="V475" s="18">
        <f>628197260774</f>
        <v>628197260774</v>
      </c>
      <c r="W475" t="s">
        <v>1535</v>
      </c>
      <c r="Y475" s="17" t="s">
        <v>90</v>
      </c>
    </row>
    <row r="476" ht="15" customHeight="1" spans="1:22" x14ac:dyDescent="0.25">
      <c r="A476" s="17" t="s">
        <v>1536</v>
      </c>
      <c r="B476" s="17" t="s">
        <v>70</v>
      </c>
      <c r="C476" s="17" t="s">
        <v>71</v>
      </c>
      <c r="D476" t="s">
        <v>1523</v>
      </c>
      <c r="F476" t="s">
        <v>1537</v>
      </c>
      <c r="K476" s="18">
        <f>6281381754018</f>
        <v>6281381754018</v>
      </c>
      <c r="N476" s="17" t="s">
        <v>74</v>
      </c>
      <c r="V476" s="18">
        <f>6281381754018</f>
        <v>6281381754018</v>
      </c>
    </row>
    <row r="477" ht="15" customHeight="1" spans="1:22" x14ac:dyDescent="0.25">
      <c r="A477" s="17" t="s">
        <v>1538</v>
      </c>
      <c r="B477" s="17" t="s">
        <v>70</v>
      </c>
      <c r="C477" s="17" t="s">
        <v>71</v>
      </c>
      <c r="D477" t="s">
        <v>1523</v>
      </c>
      <c r="F477" t="s">
        <v>1539</v>
      </c>
      <c r="K477" s="18">
        <f>62821123918616</f>
        <v>62821123918616</v>
      </c>
      <c r="N477" s="17" t="s">
        <v>77</v>
      </c>
      <c r="V477" s="18">
        <f>62821123918616</f>
        <v>62821123918616</v>
      </c>
    </row>
    <row r="478" ht="15" customHeight="1" spans="1:22" x14ac:dyDescent="0.25">
      <c r="A478" s="17" t="s">
        <v>1540</v>
      </c>
      <c r="B478" s="17" t="s">
        <v>70</v>
      </c>
      <c r="C478" s="17" t="s">
        <v>71</v>
      </c>
      <c r="D478" t="s">
        <v>1541</v>
      </c>
      <c r="F478" t="s">
        <v>1541</v>
      </c>
      <c r="K478" s="18">
        <f>62811876785</f>
        <v>62811876785</v>
      </c>
      <c r="N478" s="17" t="s">
        <v>77</v>
      </c>
      <c r="V478" s="18">
        <f>62811876785</f>
        <v>62811876785</v>
      </c>
    </row>
    <row r="479" ht="15" customHeight="1" spans="1:28" x14ac:dyDescent="0.25">
      <c r="A479" s="17" t="s">
        <v>1542</v>
      </c>
      <c r="B479" s="17" t="s">
        <v>70</v>
      </c>
      <c r="C479" s="17" t="s">
        <v>71</v>
      </c>
      <c r="D479" t="s">
        <v>1543</v>
      </c>
      <c r="F479" t="s">
        <v>1544</v>
      </c>
      <c r="J479" s="17" t="s">
        <v>1545</v>
      </c>
      <c r="K479" s="18" t="s">
        <v>1546</v>
      </c>
      <c r="N479" s="17" t="s">
        <v>77</v>
      </c>
      <c r="O479" t="s">
        <v>117</v>
      </c>
      <c r="U479" s="17"/>
      <c r="V479" s="18" t="s">
        <v>1546</v>
      </c>
      <c r="W479" t="s">
        <v>251</v>
      </c>
      <c r="Y479" s="17" t="s">
        <v>1547</v>
      </c>
      <c r="AA479" t="s">
        <v>115</v>
      </c>
      <c r="AB479" t="s">
        <v>251</v>
      </c>
    </row>
    <row r="480" ht="15" customHeight="1" spans="1:22" x14ac:dyDescent="0.25">
      <c r="A480" s="17" t="s">
        <v>1548</v>
      </c>
      <c r="B480" s="17" t="s">
        <v>70</v>
      </c>
      <c r="C480" s="17" t="s">
        <v>71</v>
      </c>
      <c r="D480" t="s">
        <v>1549</v>
      </c>
      <c r="F480" t="s">
        <v>1549</v>
      </c>
      <c r="K480" s="18">
        <f>6285857484246</f>
        <v>6285857484246</v>
      </c>
      <c r="N480" s="17" t="s">
        <v>81</v>
      </c>
      <c r="V480" s="18">
        <f>6285857484246</f>
        <v>6285857484246</v>
      </c>
    </row>
    <row r="481" ht="15" customHeight="1" spans="1:28" x14ac:dyDescent="0.25">
      <c r="A481" s="17" t="s">
        <v>1550</v>
      </c>
      <c r="B481" s="17" t="s">
        <v>70</v>
      </c>
      <c r="C481" s="17" t="s">
        <v>71</v>
      </c>
      <c r="D481" t="s">
        <v>1551</v>
      </c>
      <c r="F481" t="s">
        <v>1551</v>
      </c>
      <c r="J481" t="s">
        <v>115</v>
      </c>
      <c r="K481" s="18" t="s">
        <v>1552</v>
      </c>
      <c r="N481" s="17" t="s">
        <v>77</v>
      </c>
      <c r="O481" t="s">
        <v>145</v>
      </c>
      <c r="U481" s="17"/>
      <c r="V481" s="18" t="s">
        <v>1552</v>
      </c>
      <c r="W481" t="s">
        <v>410</v>
      </c>
      <c r="Y481" t="s">
        <v>1553</v>
      </c>
      <c r="AA481" t="s">
        <v>115</v>
      </c>
      <c r="AB481" t="s">
        <v>119</v>
      </c>
    </row>
    <row r="482" ht="15" customHeight="1" spans="1:28" x14ac:dyDescent="0.25">
      <c r="A482" s="17" t="s">
        <v>1554</v>
      </c>
      <c r="B482" s="17" t="s">
        <v>70</v>
      </c>
      <c r="C482" s="17" t="s">
        <v>71</v>
      </c>
      <c r="D482" t="s">
        <v>1551</v>
      </c>
      <c r="F482" t="s">
        <v>1555</v>
      </c>
      <c r="J482" s="17" t="s">
        <v>1556</v>
      </c>
      <c r="K482" s="18" t="s">
        <v>1557</v>
      </c>
      <c r="N482" s="17" t="s">
        <v>77</v>
      </c>
      <c r="O482" t="s">
        <v>145</v>
      </c>
      <c r="U482" s="17"/>
      <c r="V482" s="18" t="s">
        <v>1557</v>
      </c>
      <c r="W482" t="s">
        <v>1558</v>
      </c>
      <c r="Y482" t="s">
        <v>90</v>
      </c>
      <c r="AA482" s="17" t="s">
        <v>118</v>
      </c>
      <c r="AB482" t="s">
        <v>119</v>
      </c>
    </row>
    <row r="483" ht="15" customHeight="1" spans="1:22" x14ac:dyDescent="0.25">
      <c r="A483" s="17" t="s">
        <v>1559</v>
      </c>
      <c r="B483" s="17" t="s">
        <v>70</v>
      </c>
      <c r="C483" s="17" t="s">
        <v>71</v>
      </c>
      <c r="D483" t="s">
        <v>1551</v>
      </c>
      <c r="F483" t="s">
        <v>212</v>
      </c>
      <c r="K483" s="18">
        <f>6281590597772</f>
        <v>6281590597772</v>
      </c>
      <c r="N483" s="17" t="s">
        <v>81</v>
      </c>
      <c r="V483" s="18">
        <f>6281590597772</f>
        <v>6281590597772</v>
      </c>
    </row>
    <row r="484" ht="15" customHeight="1" spans="1:22" x14ac:dyDescent="0.25">
      <c r="A484" s="17" t="s">
        <v>1560</v>
      </c>
      <c r="B484" s="17" t="s">
        <v>70</v>
      </c>
      <c r="C484" s="17" t="s">
        <v>71</v>
      </c>
      <c r="D484" t="s">
        <v>1551</v>
      </c>
      <c r="F484" t="s">
        <v>1561</v>
      </c>
      <c r="K484" s="18">
        <f>6281807878632</f>
        <v>6281807878632</v>
      </c>
      <c r="N484" s="17" t="s">
        <v>81</v>
      </c>
      <c r="V484" s="18">
        <f>6281807878632</f>
        <v>6281807878632</v>
      </c>
    </row>
    <row r="485" ht="15" customHeight="1" spans="1:28" x14ac:dyDescent="0.25">
      <c r="A485" s="17" t="s">
        <v>1562</v>
      </c>
      <c r="B485" s="17" t="s">
        <v>70</v>
      </c>
      <c r="C485" s="17" t="s">
        <v>71</v>
      </c>
      <c r="D485" t="s">
        <v>1563</v>
      </c>
      <c r="F485" t="s">
        <v>1564</v>
      </c>
      <c r="J485" s="17" t="s">
        <v>1565</v>
      </c>
      <c r="K485" s="18" t="s">
        <v>1566</v>
      </c>
      <c r="N485" s="17" t="s">
        <v>74</v>
      </c>
      <c r="O485" t="s">
        <v>145</v>
      </c>
      <c r="U485" s="17"/>
      <c r="V485" s="18" t="s">
        <v>1566</v>
      </c>
      <c r="W485" t="s">
        <v>1567</v>
      </c>
      <c r="Y485" s="17" t="s">
        <v>190</v>
      </c>
      <c r="AA485" t="s">
        <v>118</v>
      </c>
      <c r="AB485" t="s">
        <v>119</v>
      </c>
    </row>
    <row r="486" ht="15" customHeight="1" spans="1:22" x14ac:dyDescent="0.25">
      <c r="A486" s="17" t="s">
        <v>1568</v>
      </c>
      <c r="B486" s="17" t="s">
        <v>70</v>
      </c>
      <c r="C486" s="17" t="s">
        <v>71</v>
      </c>
      <c r="D486" t="s">
        <v>1551</v>
      </c>
      <c r="F486" t="s">
        <v>1569</v>
      </c>
      <c r="K486" s="18">
        <f>6281290930540</f>
        <v>6281290930540</v>
      </c>
      <c r="N486" s="17" t="s">
        <v>77</v>
      </c>
      <c r="V486" s="18">
        <f>6281290930540</f>
        <v>6281290930540</v>
      </c>
    </row>
    <row r="487" ht="15" customHeight="1" spans="1:22" x14ac:dyDescent="0.25">
      <c r="A487" s="17" t="s">
        <v>1570</v>
      </c>
      <c r="B487" s="17" t="s">
        <v>70</v>
      </c>
      <c r="C487" s="17" t="s">
        <v>71</v>
      </c>
      <c r="D487" t="s">
        <v>1551</v>
      </c>
      <c r="F487" t="s">
        <v>1138</v>
      </c>
      <c r="K487" s="18">
        <f>62816765432</f>
        <v>62816765432</v>
      </c>
      <c r="N487" s="17" t="s">
        <v>77</v>
      </c>
      <c r="V487" s="18">
        <f>62816765432</f>
        <v>62816765432</v>
      </c>
    </row>
    <row r="488" ht="15" customHeight="1" spans="1:25" x14ac:dyDescent="0.25">
      <c r="A488" s="17" t="s">
        <v>1571</v>
      </c>
      <c r="B488" s="17" t="s">
        <v>70</v>
      </c>
      <c r="C488" s="17" t="s">
        <v>71</v>
      </c>
      <c r="D488" t="s">
        <v>1551</v>
      </c>
      <c r="F488" t="s">
        <v>1572</v>
      </c>
      <c r="J488" s="17" t="s">
        <v>1573</v>
      </c>
      <c r="K488" s="18">
        <f>62818125808</f>
        <v>62818125808</v>
      </c>
      <c r="N488" s="17" t="s">
        <v>77</v>
      </c>
      <c r="U488" s="17"/>
      <c r="V488" s="18">
        <f>62818125808</f>
        <v>62818125808</v>
      </c>
      <c r="W488" t="s">
        <v>1574</v>
      </c>
      <c r="Y488" s="17" t="s">
        <v>90</v>
      </c>
    </row>
    <row r="489" ht="15" customHeight="1" spans="1:22" x14ac:dyDescent="0.25">
      <c r="A489" s="17" t="s">
        <v>1575</v>
      </c>
      <c r="B489" s="17" t="s">
        <v>70</v>
      </c>
      <c r="C489" s="17" t="s">
        <v>71</v>
      </c>
      <c r="D489" t="s">
        <v>1551</v>
      </c>
      <c r="F489" t="s">
        <v>672</v>
      </c>
      <c r="K489" s="18">
        <f>6281281035151</f>
        <v>6281281035151</v>
      </c>
      <c r="N489" s="17" t="s">
        <v>81</v>
      </c>
      <c r="V489" s="18">
        <f>6281281035151</f>
        <v>6281281035151</v>
      </c>
    </row>
    <row r="490" ht="15" customHeight="1" spans="1:25" x14ac:dyDescent="0.25">
      <c r="A490" s="17" t="s">
        <v>1576</v>
      </c>
      <c r="B490" s="17" t="s">
        <v>70</v>
      </c>
      <c r="C490" s="17" t="s">
        <v>71</v>
      </c>
      <c r="D490" t="s">
        <v>1551</v>
      </c>
      <c r="F490" t="s">
        <v>669</v>
      </c>
      <c r="K490" s="18">
        <f>6281932767388</f>
        <v>6281932767388</v>
      </c>
      <c r="N490" s="17" t="s">
        <v>77</v>
      </c>
      <c r="U490" s="17"/>
      <c r="V490" s="18">
        <f>6281932767388</f>
        <v>6281932767388</v>
      </c>
      <c r="W490" t="s">
        <v>1577</v>
      </c>
      <c r="Y490" s="17" t="s">
        <v>1084</v>
      </c>
    </row>
    <row r="491" ht="15" customHeight="1" spans="1:22" x14ac:dyDescent="0.25">
      <c r="A491" s="17" t="s">
        <v>1578</v>
      </c>
      <c r="B491" s="17" t="s">
        <v>70</v>
      </c>
      <c r="C491" s="17" t="s">
        <v>71</v>
      </c>
      <c r="D491" t="s">
        <v>1579</v>
      </c>
      <c r="F491" t="s">
        <v>1579</v>
      </c>
      <c r="K491" s="18">
        <f>6285881886611</f>
        <v>6285881886611</v>
      </c>
      <c r="N491" s="17" t="s">
        <v>81</v>
      </c>
      <c r="V491" s="18">
        <f>6285881886611</f>
        <v>6285881886611</v>
      </c>
    </row>
    <row r="492" ht="15" customHeight="1" spans="1:28" x14ac:dyDescent="0.25">
      <c r="A492" s="17" t="s">
        <v>1580</v>
      </c>
      <c r="B492" s="17" t="s">
        <v>70</v>
      </c>
      <c r="C492" s="17" t="s">
        <v>71</v>
      </c>
      <c r="D492" t="s">
        <v>1579</v>
      </c>
      <c r="F492" t="s">
        <v>1581</v>
      </c>
      <c r="J492" s="17" t="s">
        <v>1582</v>
      </c>
      <c r="K492" s="18" t="s">
        <v>1583</v>
      </c>
      <c r="N492" s="17" t="s">
        <v>77</v>
      </c>
      <c r="O492" t="s">
        <v>489</v>
      </c>
      <c r="U492" s="17"/>
      <c r="V492" s="18" t="s">
        <v>1583</v>
      </c>
      <c r="W492" t="s">
        <v>1584</v>
      </c>
      <c r="Y492" s="17" t="s">
        <v>1585</v>
      </c>
      <c r="AA492" t="s">
        <v>115</v>
      </c>
      <c r="AB492" t="s">
        <v>1586</v>
      </c>
    </row>
    <row r="493" ht="15" customHeight="1" spans="1:25" x14ac:dyDescent="0.25">
      <c r="A493" s="17" t="s">
        <v>1587</v>
      </c>
      <c r="B493" s="17" t="s">
        <v>70</v>
      </c>
      <c r="C493" s="17" t="s">
        <v>71</v>
      </c>
      <c r="D493" t="s">
        <v>1588</v>
      </c>
      <c r="F493" t="s">
        <v>1589</v>
      </c>
      <c r="K493" s="18">
        <f>628111980048</f>
        <v>628111980048</v>
      </c>
      <c r="N493" s="17" t="s">
        <v>77</v>
      </c>
      <c r="U493" s="17"/>
      <c r="V493" s="18">
        <f>628111980048</f>
        <v>628111980048</v>
      </c>
      <c r="W493" t="s">
        <v>1590</v>
      </c>
      <c r="Y493" s="17" t="s">
        <v>217</v>
      </c>
    </row>
    <row r="494" ht="15" customHeight="1" spans="1:22" x14ac:dyDescent="0.25">
      <c r="A494" s="17" t="s">
        <v>1591</v>
      </c>
      <c r="B494" s="17" t="s">
        <v>70</v>
      </c>
      <c r="C494" s="17" t="s">
        <v>71</v>
      </c>
      <c r="D494" t="s">
        <v>1588</v>
      </c>
      <c r="F494" t="s">
        <v>558</v>
      </c>
      <c r="K494" s="18">
        <f>6281293765850</f>
        <v>6281293765850</v>
      </c>
      <c r="N494" s="17" t="s">
        <v>77</v>
      </c>
      <c r="V494" s="18">
        <f>6281293765850</f>
        <v>6281293765850</v>
      </c>
    </row>
    <row r="495" ht="15" customHeight="1" spans="1:23" x14ac:dyDescent="0.25">
      <c r="A495" s="17" t="s">
        <v>1592</v>
      </c>
      <c r="B495" s="17" t="s">
        <v>70</v>
      </c>
      <c r="C495" s="17" t="s">
        <v>71</v>
      </c>
      <c r="D495" t="s">
        <v>1593</v>
      </c>
      <c r="F495" t="s">
        <v>301</v>
      </c>
      <c r="K495" s="18">
        <f>966555342111</f>
        <v>966555342111</v>
      </c>
      <c r="N495" s="17" t="s">
        <v>81</v>
      </c>
      <c r="U495" s="17"/>
      <c r="V495" s="18">
        <f>966555342111</f>
        <v>966555342111</v>
      </c>
      <c r="W495" t="s">
        <v>251</v>
      </c>
    </row>
    <row r="496" ht="15" customHeight="1" spans="1:22" x14ac:dyDescent="0.25">
      <c r="A496" s="17" t="s">
        <v>1594</v>
      </c>
      <c r="B496" s="17" t="s">
        <v>70</v>
      </c>
      <c r="C496" s="17" t="s">
        <v>71</v>
      </c>
      <c r="D496" t="s">
        <v>1595</v>
      </c>
      <c r="F496" t="s">
        <v>1596</v>
      </c>
      <c r="K496" s="18">
        <f>620966506436763</f>
        <v>620966506436763</v>
      </c>
      <c r="N496" s="17" t="s">
        <v>81</v>
      </c>
      <c r="V496" s="18">
        <f>620966506436763</f>
        <v>620966506436763</v>
      </c>
    </row>
    <row r="497" ht="15" customHeight="1" spans="1:22" x14ac:dyDescent="0.25">
      <c r="A497" s="17" t="s">
        <v>1597</v>
      </c>
      <c r="B497" s="17" t="s">
        <v>70</v>
      </c>
      <c r="C497" s="17" t="s">
        <v>71</v>
      </c>
      <c r="D497" t="s">
        <v>1598</v>
      </c>
      <c r="F497" t="s">
        <v>1598</v>
      </c>
      <c r="K497" s="18">
        <f>628161386589</f>
        <v>628161386589</v>
      </c>
      <c r="N497" s="17" t="s">
        <v>77</v>
      </c>
      <c r="V497" s="18">
        <f>628161386589</f>
        <v>628161386589</v>
      </c>
    </row>
    <row r="498" ht="15" customHeight="1" spans="1:22" x14ac:dyDescent="0.25">
      <c r="A498" s="17" t="s">
        <v>1599</v>
      </c>
      <c r="B498" s="17" t="s">
        <v>70</v>
      </c>
      <c r="C498" s="17" t="s">
        <v>71</v>
      </c>
      <c r="D498" t="s">
        <v>1600</v>
      </c>
      <c r="F498" t="s">
        <v>1600</v>
      </c>
      <c r="K498" s="18">
        <f>6282112880445</f>
        <v>6282112880445</v>
      </c>
      <c r="N498" s="17" t="s">
        <v>74</v>
      </c>
      <c r="V498" s="18">
        <f>6282112880445</f>
        <v>6282112880445</v>
      </c>
    </row>
    <row r="499" ht="15" customHeight="1" spans="1:22" x14ac:dyDescent="0.25">
      <c r="A499" s="17" t="s">
        <v>1601</v>
      </c>
      <c r="B499" s="17" t="s">
        <v>70</v>
      </c>
      <c r="C499" s="17" t="s">
        <v>71</v>
      </c>
      <c r="D499" t="s">
        <v>1244</v>
      </c>
      <c r="F499" t="s">
        <v>1244</v>
      </c>
      <c r="K499" s="18">
        <f>62818726892</f>
        <v>62818726892</v>
      </c>
      <c r="N499" s="17" t="s">
        <v>81</v>
      </c>
      <c r="V499" s="18" t="s">
        <v>1602</v>
      </c>
    </row>
    <row r="500" ht="15" customHeight="1" spans="1:22" x14ac:dyDescent="0.25">
      <c r="A500" s="17" t="s">
        <v>1603</v>
      </c>
      <c r="B500" s="17" t="s">
        <v>70</v>
      </c>
      <c r="C500" s="17" t="s">
        <v>71</v>
      </c>
      <c r="D500" t="s">
        <v>1244</v>
      </c>
      <c r="F500" t="s">
        <v>1244</v>
      </c>
      <c r="K500" s="18">
        <f>6281299066918</f>
        <v>6281299066918</v>
      </c>
      <c r="N500" s="17" t="s">
        <v>81</v>
      </c>
      <c r="V500" s="18">
        <f>6281299066918</f>
        <v>6281299066918</v>
      </c>
    </row>
    <row r="501" ht="15" customHeight="1" spans="1:25" x14ac:dyDescent="0.25">
      <c r="A501" s="17" t="s">
        <v>1604</v>
      </c>
      <c r="B501" s="17" t="s">
        <v>70</v>
      </c>
      <c r="C501" s="17" t="s">
        <v>71</v>
      </c>
      <c r="D501" t="s">
        <v>1244</v>
      </c>
      <c r="F501" t="s">
        <v>1605</v>
      </c>
      <c r="K501" s="18">
        <f>6281905026362</f>
        <v>6281905026362</v>
      </c>
      <c r="N501" s="17" t="s">
        <v>77</v>
      </c>
      <c r="U501" s="17"/>
      <c r="V501" s="18">
        <f>6281905026362</f>
        <v>6281905026362</v>
      </c>
      <c r="W501" t="s">
        <v>1606</v>
      </c>
      <c r="Y501" s="17" t="s">
        <v>397</v>
      </c>
    </row>
    <row r="502" ht="15" customHeight="1" spans="1:25" x14ac:dyDescent="0.25">
      <c r="A502" s="17" t="s">
        <v>1607</v>
      </c>
      <c r="B502" s="17" t="s">
        <v>70</v>
      </c>
      <c r="C502" s="17" t="s">
        <v>71</v>
      </c>
      <c r="D502" t="s">
        <v>1244</v>
      </c>
      <c r="F502" t="s">
        <v>1608</v>
      </c>
      <c r="J502" s="17" t="s">
        <v>1609</v>
      </c>
      <c r="K502" s="18">
        <f>6281927627627</f>
        <v>6281927627627</v>
      </c>
      <c r="N502" s="17" t="s">
        <v>77</v>
      </c>
      <c r="U502" s="17"/>
      <c r="V502" s="18">
        <f>6281927627627</f>
        <v>6281927627627</v>
      </c>
      <c r="W502" t="s">
        <v>1610</v>
      </c>
      <c r="Y502" s="17" t="s">
        <v>90</v>
      </c>
    </row>
    <row r="503" ht="15" customHeight="1" spans="1:28" x14ac:dyDescent="0.25">
      <c r="A503" s="17" t="s">
        <v>1611</v>
      </c>
      <c r="B503" s="17" t="s">
        <v>70</v>
      </c>
      <c r="C503" s="17" t="s">
        <v>71</v>
      </c>
      <c r="D503" t="s">
        <v>1244</v>
      </c>
      <c r="F503" t="s">
        <v>1612</v>
      </c>
      <c r="J503" t="s">
        <v>115</v>
      </c>
      <c r="K503" s="18" t="s">
        <v>1613</v>
      </c>
      <c r="N503" s="17" t="s">
        <v>77</v>
      </c>
      <c r="O503" t="s">
        <v>199</v>
      </c>
      <c r="V503" s="18" t="s">
        <v>1613</v>
      </c>
      <c r="Y503" t="s">
        <v>515</v>
      </c>
      <c r="AA503" t="s">
        <v>1614</v>
      </c>
      <c r="AB503" t="s">
        <v>119</v>
      </c>
    </row>
    <row r="504" ht="15" customHeight="1" spans="1:27" x14ac:dyDescent="0.25">
      <c r="A504" s="17" t="s">
        <v>1615</v>
      </c>
      <c r="B504" s="17" t="s">
        <v>70</v>
      </c>
      <c r="C504" s="17" t="s">
        <v>71</v>
      </c>
      <c r="D504" t="s">
        <v>1244</v>
      </c>
      <c r="F504" t="s">
        <v>1616</v>
      </c>
      <c r="K504" s="18">
        <f>62818698009</f>
        <v>62818698009</v>
      </c>
      <c r="N504" s="17" t="s">
        <v>77</v>
      </c>
      <c r="U504" s="17"/>
      <c r="V504" s="18">
        <f>62818698009</f>
        <v>62818698009</v>
      </c>
      <c r="W504" t="s">
        <v>1617</v>
      </c>
      <c r="Y504" s="17" t="s">
        <v>96</v>
      </c>
      <c r="AA504" s="17" t="s">
        <v>97</v>
      </c>
    </row>
    <row r="505" ht="15" customHeight="1" spans="1:22" x14ac:dyDescent="0.25">
      <c r="A505" s="17" t="s">
        <v>1618</v>
      </c>
      <c r="B505" s="17" t="s">
        <v>70</v>
      </c>
      <c r="C505" s="17" t="s">
        <v>71</v>
      </c>
      <c r="D505" t="s">
        <v>1619</v>
      </c>
      <c r="F505" t="s">
        <v>1620</v>
      </c>
      <c r="K505" s="18">
        <f>62818475783</f>
        <v>62818475783</v>
      </c>
      <c r="N505" s="17" t="s">
        <v>77</v>
      </c>
      <c r="V505" s="18">
        <f>62818475783</f>
        <v>62818475783</v>
      </c>
    </row>
    <row r="506" ht="15" customHeight="1" spans="1:22" x14ac:dyDescent="0.25">
      <c r="A506" s="17" t="s">
        <v>1621</v>
      </c>
      <c r="B506" s="17" t="s">
        <v>70</v>
      </c>
      <c r="C506" s="17" t="s">
        <v>71</v>
      </c>
      <c r="D506" t="s">
        <v>1622</v>
      </c>
      <c r="F506" t="s">
        <v>1622</v>
      </c>
      <c r="K506" s="18">
        <f>6287839117332</f>
        <v>6287839117332</v>
      </c>
      <c r="N506" s="17" t="s">
        <v>74</v>
      </c>
      <c r="V506" s="18">
        <f>6287839117332</f>
        <v>6287839117332</v>
      </c>
    </row>
    <row r="507" ht="15" customHeight="1" spans="1:25" x14ac:dyDescent="0.25">
      <c r="A507" s="17" t="s">
        <v>1623</v>
      </c>
      <c r="B507" s="17" t="s">
        <v>70</v>
      </c>
      <c r="C507" s="17" t="s">
        <v>71</v>
      </c>
      <c r="D507" t="s">
        <v>1622</v>
      </c>
      <c r="F507" t="s">
        <v>1624</v>
      </c>
      <c r="K507" s="18">
        <f>62811130190</f>
        <v>62811130190</v>
      </c>
      <c r="N507" s="17" t="s">
        <v>81</v>
      </c>
      <c r="U507" s="17"/>
      <c r="V507" s="18">
        <f>62811130190</f>
        <v>62811130190</v>
      </c>
      <c r="W507" t="s">
        <v>1625</v>
      </c>
      <c r="Y507" s="17" t="s">
        <v>96</v>
      </c>
    </row>
    <row r="508" ht="15" customHeight="1" spans="1:25" x14ac:dyDescent="0.25">
      <c r="A508" s="17" t="s">
        <v>1626</v>
      </c>
      <c r="B508" s="17" t="s">
        <v>70</v>
      </c>
      <c r="C508" s="17" t="s">
        <v>71</v>
      </c>
      <c r="D508" t="s">
        <v>1627</v>
      </c>
      <c r="F508" t="s">
        <v>1628</v>
      </c>
      <c r="K508" s="18">
        <f>6285711113136</f>
        <v>6285711113136</v>
      </c>
      <c r="N508" s="17" t="s">
        <v>77</v>
      </c>
      <c r="U508" s="17"/>
      <c r="V508" s="18">
        <f>6285711113136</f>
        <v>6285711113136</v>
      </c>
      <c r="W508" t="s">
        <v>515</v>
      </c>
      <c r="Y508" s="17" t="s">
        <v>90</v>
      </c>
    </row>
    <row r="509" ht="15" customHeight="1" spans="1:28" x14ac:dyDescent="0.25">
      <c r="A509" s="17" t="s">
        <v>1629</v>
      </c>
      <c r="B509" s="17" t="s">
        <v>70</v>
      </c>
      <c r="C509" s="17" t="s">
        <v>71</v>
      </c>
      <c r="D509" t="s">
        <v>1630</v>
      </c>
      <c r="F509" t="s">
        <v>1630</v>
      </c>
      <c r="J509" t="s">
        <v>1631</v>
      </c>
      <c r="K509" s="18" t="s">
        <v>1632</v>
      </c>
      <c r="N509" s="17" t="s">
        <v>77</v>
      </c>
      <c r="O509" t="s">
        <v>145</v>
      </c>
      <c r="V509" s="18" t="s">
        <v>1632</v>
      </c>
      <c r="Y509" t="s">
        <v>190</v>
      </c>
      <c r="AA509" t="s">
        <v>118</v>
      </c>
      <c r="AB509" t="s">
        <v>119</v>
      </c>
    </row>
    <row r="510" ht="15" customHeight="1" spans="1:28" x14ac:dyDescent="0.25">
      <c r="A510" s="17" t="s">
        <v>1633</v>
      </c>
      <c r="B510" s="17" t="s">
        <v>70</v>
      </c>
      <c r="C510" s="17" t="s">
        <v>71</v>
      </c>
      <c r="D510" t="s">
        <v>1634</v>
      </c>
      <c r="F510" t="s">
        <v>1635</v>
      </c>
      <c r="J510" s="17" t="s">
        <v>1636</v>
      </c>
      <c r="K510" s="18" t="s">
        <v>1637</v>
      </c>
      <c r="N510" s="17" t="s">
        <v>77</v>
      </c>
      <c r="O510" t="s">
        <v>199</v>
      </c>
      <c r="U510" s="17"/>
      <c r="V510" s="18" t="s">
        <v>1637</v>
      </c>
      <c r="W510" t="s">
        <v>1638</v>
      </c>
      <c r="Y510" t="s">
        <v>1639</v>
      </c>
      <c r="AA510" t="s">
        <v>115</v>
      </c>
      <c r="AB510" t="s">
        <v>119</v>
      </c>
    </row>
    <row r="511" ht="15" customHeight="1" spans="1:25" x14ac:dyDescent="0.25">
      <c r="A511" s="17" t="s">
        <v>1640</v>
      </c>
      <c r="B511" s="17" t="s">
        <v>70</v>
      </c>
      <c r="C511" s="17" t="s">
        <v>71</v>
      </c>
      <c r="D511" t="s">
        <v>1641</v>
      </c>
      <c r="F511" t="s">
        <v>1642</v>
      </c>
      <c r="K511" s="18">
        <f>628979700563</f>
        <v>628979700563</v>
      </c>
      <c r="N511" s="17" t="s">
        <v>81</v>
      </c>
      <c r="U511" s="17"/>
      <c r="V511" s="18">
        <f>628979700563</f>
        <v>628979700563</v>
      </c>
      <c r="W511" t="s">
        <v>1643</v>
      </c>
      <c r="Y511" s="17" t="s">
        <v>90</v>
      </c>
    </row>
    <row r="512" ht="15" customHeight="1" spans="1:25" x14ac:dyDescent="0.25">
      <c r="A512" s="17" t="s">
        <v>1644</v>
      </c>
      <c r="B512" s="17" t="s">
        <v>70</v>
      </c>
      <c r="C512" s="17" t="s">
        <v>71</v>
      </c>
      <c r="D512" t="s">
        <v>1645</v>
      </c>
      <c r="F512" t="s">
        <v>1646</v>
      </c>
      <c r="J512" s="17" t="s">
        <v>1647</v>
      </c>
      <c r="K512" s="18">
        <f>62818168316</f>
        <v>62818168316</v>
      </c>
      <c r="N512" s="17" t="s">
        <v>81</v>
      </c>
      <c r="U512" s="17"/>
      <c r="V512" s="18">
        <f>62818168316</f>
        <v>62818168316</v>
      </c>
      <c r="W512" t="s">
        <v>1648</v>
      </c>
      <c r="Y512" s="17" t="s">
        <v>90</v>
      </c>
    </row>
    <row r="513" ht="15" customHeight="1" spans="1:28" x14ac:dyDescent="0.25">
      <c r="A513" s="17" t="s">
        <v>1649</v>
      </c>
      <c r="B513" s="17" t="s">
        <v>70</v>
      </c>
      <c r="C513" s="17" t="s">
        <v>71</v>
      </c>
      <c r="D513" t="s">
        <v>1650</v>
      </c>
      <c r="F513" t="s">
        <v>744</v>
      </c>
      <c r="J513" t="s">
        <v>115</v>
      </c>
      <c r="K513" s="18" t="s">
        <v>1651</v>
      </c>
      <c r="N513" s="17" t="s">
        <v>77</v>
      </c>
      <c r="O513" t="s">
        <v>117</v>
      </c>
      <c r="V513" s="18" t="s">
        <v>1651</v>
      </c>
      <c r="Y513" t="s">
        <v>90</v>
      </c>
      <c r="AA513" t="s">
        <v>118</v>
      </c>
      <c r="AB513" t="s">
        <v>119</v>
      </c>
    </row>
    <row r="514" ht="15" customHeight="1" spans="1:22" x14ac:dyDescent="0.25">
      <c r="A514" s="17" t="s">
        <v>1652</v>
      </c>
      <c r="B514" s="17" t="s">
        <v>70</v>
      </c>
      <c r="C514" s="17" t="s">
        <v>71</v>
      </c>
      <c r="D514" t="s">
        <v>1653</v>
      </c>
      <c r="F514" t="s">
        <v>1654</v>
      </c>
      <c r="K514" s="18">
        <f>6281213141304</f>
        <v>6281213141304</v>
      </c>
      <c r="N514" s="17" t="s">
        <v>81</v>
      </c>
      <c r="V514" s="18">
        <f>6281213141304</f>
        <v>6281213141304</v>
      </c>
    </row>
    <row r="515" ht="15" customHeight="1" spans="1:22" x14ac:dyDescent="0.25">
      <c r="A515" s="17" t="s">
        <v>1655</v>
      </c>
      <c r="B515" s="17" t="s">
        <v>70</v>
      </c>
      <c r="C515" s="17" t="s">
        <v>71</v>
      </c>
      <c r="D515" t="s">
        <v>1656</v>
      </c>
      <c r="F515" t="s">
        <v>1657</v>
      </c>
      <c r="J515" s="17" t="s">
        <v>1658</v>
      </c>
      <c r="K515" s="18">
        <f>628129446007</f>
        <v>628129446007</v>
      </c>
      <c r="N515" s="17" t="s">
        <v>81</v>
      </c>
      <c r="V515" s="18">
        <f>628129446007</f>
        <v>628129446007</v>
      </c>
    </row>
    <row r="516" ht="15" customHeight="1" spans="1:22" x14ac:dyDescent="0.25">
      <c r="A516" s="17" t="s">
        <v>1659</v>
      </c>
      <c r="B516" s="17" t="s">
        <v>70</v>
      </c>
      <c r="C516" s="17" t="s">
        <v>71</v>
      </c>
      <c r="D516" t="s">
        <v>1656</v>
      </c>
      <c r="F516" t="s">
        <v>1660</v>
      </c>
      <c r="K516" s="18">
        <f>628114348402</f>
        <v>628114348402</v>
      </c>
      <c r="N516" s="17" t="s">
        <v>81</v>
      </c>
      <c r="V516" s="18">
        <f>628114348402</f>
        <v>628114348402</v>
      </c>
    </row>
    <row r="517" ht="15" customHeight="1" spans="1:25" x14ac:dyDescent="0.25">
      <c r="A517" s="17" t="s">
        <v>1661</v>
      </c>
      <c r="B517" s="17" t="s">
        <v>70</v>
      </c>
      <c r="C517" s="17" t="s">
        <v>71</v>
      </c>
      <c r="D517" t="s">
        <v>1662</v>
      </c>
      <c r="F517" t="s">
        <v>1138</v>
      </c>
      <c r="K517" s="18">
        <f>6281337439188</f>
        <v>6281337439188</v>
      </c>
      <c r="N517" s="17" t="s">
        <v>77</v>
      </c>
      <c r="U517" s="17"/>
      <c r="V517" s="18">
        <f>6281337439188</f>
        <v>6281337439188</v>
      </c>
      <c r="W517" t="s">
        <v>1663</v>
      </c>
      <c r="Y517" s="17" t="s">
        <v>1084</v>
      </c>
    </row>
    <row r="518" ht="15" customHeight="1" spans="1:22" x14ac:dyDescent="0.25">
      <c r="A518" s="17" t="s">
        <v>1664</v>
      </c>
      <c r="B518" s="17" t="s">
        <v>70</v>
      </c>
      <c r="C518" s="17" t="s">
        <v>71</v>
      </c>
      <c r="D518" t="s">
        <v>1665</v>
      </c>
      <c r="F518" t="s">
        <v>1666</v>
      </c>
      <c r="K518" s="18">
        <f>79219731239</f>
        <v>79219731239</v>
      </c>
      <c r="N518" s="17" t="s">
        <v>77</v>
      </c>
      <c r="V518" s="18">
        <f>79219731239</f>
        <v>79219731239</v>
      </c>
    </row>
    <row r="519" ht="15" customHeight="1" spans="1:28" x14ac:dyDescent="0.25">
      <c r="A519" s="17" t="s">
        <v>1667</v>
      </c>
      <c r="B519" s="17" t="s">
        <v>70</v>
      </c>
      <c r="C519" s="17" t="s">
        <v>71</v>
      </c>
      <c r="D519" t="s">
        <v>1665</v>
      </c>
      <c r="F519" t="s">
        <v>1668</v>
      </c>
      <c r="J519" s="17" t="s">
        <v>1669</v>
      </c>
      <c r="K519" s="18" t="s">
        <v>1670</v>
      </c>
      <c r="N519" s="17" t="s">
        <v>77</v>
      </c>
      <c r="O519" t="s">
        <v>145</v>
      </c>
      <c r="U519" s="17"/>
      <c r="V519" s="18" t="s">
        <v>1670</v>
      </c>
      <c r="W519" t="s">
        <v>1671</v>
      </c>
      <c r="Y519" s="17" t="s">
        <v>181</v>
      </c>
      <c r="AA519" t="s">
        <v>1672</v>
      </c>
      <c r="AB519" t="s">
        <v>119</v>
      </c>
    </row>
    <row r="520" ht="15" customHeight="1" spans="1:22" x14ac:dyDescent="0.25">
      <c r="A520" s="17" t="s">
        <v>1673</v>
      </c>
      <c r="B520" s="17" t="s">
        <v>70</v>
      </c>
      <c r="C520" s="17" t="s">
        <v>71</v>
      </c>
      <c r="D520" t="s">
        <v>1665</v>
      </c>
      <c r="F520" t="s">
        <v>1674</v>
      </c>
      <c r="K520" s="18">
        <f>79255817307</f>
        <v>79255817307</v>
      </c>
      <c r="N520" s="17" t="s">
        <v>81</v>
      </c>
      <c r="V520" s="18">
        <f>79255817307</f>
        <v>79255817307</v>
      </c>
    </row>
    <row r="521" ht="15" customHeight="1" spans="1:22" x14ac:dyDescent="0.25">
      <c r="A521" s="17" t="s">
        <v>1675</v>
      </c>
      <c r="B521" s="17" t="s">
        <v>70</v>
      </c>
      <c r="C521" s="17" t="s">
        <v>71</v>
      </c>
      <c r="D521" t="s">
        <v>1676</v>
      </c>
      <c r="F521" t="s">
        <v>1677</v>
      </c>
      <c r="K521" s="18">
        <f>79826475587</f>
        <v>79826475587</v>
      </c>
      <c r="N521" s="17" t="s">
        <v>81</v>
      </c>
      <c r="V521" s="18">
        <f>79826475587</f>
        <v>79826475587</v>
      </c>
    </row>
    <row r="522" ht="15" customHeight="1" spans="1:22" x14ac:dyDescent="0.25">
      <c r="A522" s="17" t="s">
        <v>1678</v>
      </c>
      <c r="B522" s="17" t="s">
        <v>70</v>
      </c>
      <c r="C522" s="17" t="s">
        <v>71</v>
      </c>
      <c r="D522" t="s">
        <v>1679</v>
      </c>
      <c r="F522" t="s">
        <v>1679</v>
      </c>
      <c r="K522" s="18">
        <f>79220000032</f>
        <v>79220000032</v>
      </c>
      <c r="N522" s="17" t="s">
        <v>81</v>
      </c>
      <c r="V522" s="18">
        <f>79220000032</f>
        <v>79220000032</v>
      </c>
    </row>
    <row r="523" ht="15" customHeight="1" spans="1:22" x14ac:dyDescent="0.25">
      <c r="A523" s="17" t="s">
        <v>1680</v>
      </c>
      <c r="B523" s="17" t="s">
        <v>70</v>
      </c>
      <c r="C523" s="17" t="s">
        <v>71</v>
      </c>
      <c r="D523" t="s">
        <v>1679</v>
      </c>
      <c r="F523" t="s">
        <v>1679</v>
      </c>
      <c r="K523" s="18">
        <f>62816745617</f>
        <v>62816745617</v>
      </c>
      <c r="N523" s="17" t="s">
        <v>77</v>
      </c>
      <c r="V523" s="18">
        <f>62816745617</f>
        <v>62816745617</v>
      </c>
    </row>
    <row r="524" ht="15" customHeight="1" spans="1:22" x14ac:dyDescent="0.25">
      <c r="A524" s="17" t="s">
        <v>1681</v>
      </c>
      <c r="B524" s="17" t="s">
        <v>70</v>
      </c>
      <c r="C524" s="17" t="s">
        <v>71</v>
      </c>
      <c r="D524" t="s">
        <v>1679</v>
      </c>
      <c r="F524" t="s">
        <v>1679</v>
      </c>
      <c r="K524" s="18">
        <f>628121054974</f>
        <v>628121054974</v>
      </c>
      <c r="N524" s="17" t="s">
        <v>77</v>
      </c>
      <c r="V524" s="18">
        <f>628121054974</f>
        <v>628121054974</v>
      </c>
    </row>
    <row r="525" ht="15" customHeight="1" spans="1:27" x14ac:dyDescent="0.25">
      <c r="A525" s="17" t="s">
        <v>1682</v>
      </c>
      <c r="B525" s="17" t="s">
        <v>70</v>
      </c>
      <c r="C525" s="17" t="s">
        <v>71</v>
      </c>
      <c r="D525" t="s">
        <v>1679</v>
      </c>
      <c r="F525" t="s">
        <v>1683</v>
      </c>
      <c r="K525" s="18">
        <f>628151809360</f>
        <v>628151809360</v>
      </c>
      <c r="N525" s="17" t="s">
        <v>74</v>
      </c>
      <c r="U525" s="17"/>
      <c r="V525" s="18">
        <f>628151809360</f>
        <v>628151809360</v>
      </c>
      <c r="W525" t="s">
        <v>1684</v>
      </c>
      <c r="Y525" s="17" t="s">
        <v>515</v>
      </c>
      <c r="AA525" s="17" t="s">
        <v>1685</v>
      </c>
    </row>
    <row r="526" ht="15" customHeight="1" spans="1:22" x14ac:dyDescent="0.25">
      <c r="A526" s="17" t="s">
        <v>1686</v>
      </c>
      <c r="B526" s="17" t="s">
        <v>70</v>
      </c>
      <c r="C526" s="17" t="s">
        <v>71</v>
      </c>
      <c r="D526" t="s">
        <v>1679</v>
      </c>
      <c r="F526" t="s">
        <v>1687</v>
      </c>
      <c r="J526" s="17" t="s">
        <v>1688</v>
      </c>
      <c r="K526" s="18">
        <f>6281388888021</f>
        <v>6281388888021</v>
      </c>
      <c r="N526" s="17" t="s">
        <v>77</v>
      </c>
      <c r="V526" s="18">
        <f>6281388888021</f>
        <v>6281388888021</v>
      </c>
    </row>
    <row r="527" ht="15" customHeight="1" spans="1:22" x14ac:dyDescent="0.25">
      <c r="A527" s="17" t="s">
        <v>1689</v>
      </c>
      <c r="B527" s="17" t="s">
        <v>70</v>
      </c>
      <c r="C527" s="17" t="s">
        <v>71</v>
      </c>
      <c r="D527" t="s">
        <v>1679</v>
      </c>
      <c r="F527" t="s">
        <v>1690</v>
      </c>
      <c r="K527" s="18">
        <f>6281319984777</f>
        <v>6281319984777</v>
      </c>
      <c r="N527" s="17" t="s">
        <v>74</v>
      </c>
      <c r="V527" s="18">
        <f>6281319984777</f>
        <v>6281319984777</v>
      </c>
    </row>
    <row r="528" ht="15" customHeight="1" spans="1:22" x14ac:dyDescent="0.25">
      <c r="A528" s="17" t="s">
        <v>1691</v>
      </c>
      <c r="B528" s="17" t="s">
        <v>70</v>
      </c>
      <c r="C528" s="17" t="s">
        <v>71</v>
      </c>
      <c r="D528" t="s">
        <v>1679</v>
      </c>
      <c r="F528" t="s">
        <v>1692</v>
      </c>
      <c r="K528" s="18">
        <f>628179110990</f>
        <v>628179110990</v>
      </c>
      <c r="N528" s="17" t="s">
        <v>77</v>
      </c>
      <c r="V528" s="18">
        <f>628179110990</f>
        <v>628179110990</v>
      </c>
    </row>
    <row r="529" ht="15" customHeight="1" spans="1:22" x14ac:dyDescent="0.25">
      <c r="A529" s="17" t="s">
        <v>1693</v>
      </c>
      <c r="B529" s="17" t="s">
        <v>70</v>
      </c>
      <c r="C529" s="17" t="s">
        <v>71</v>
      </c>
      <c r="D529" t="s">
        <v>1679</v>
      </c>
      <c r="F529" t="s">
        <v>1694</v>
      </c>
      <c r="K529" s="18">
        <f>628194163851</f>
        <v>628194163851</v>
      </c>
      <c r="N529" s="17" t="s">
        <v>77</v>
      </c>
      <c r="V529" s="18">
        <f>628194163851</f>
        <v>628194163851</v>
      </c>
    </row>
    <row r="530" ht="15" customHeight="1" spans="1:25" x14ac:dyDescent="0.25">
      <c r="A530" s="17" t="s">
        <v>1695</v>
      </c>
      <c r="B530" s="17" t="s">
        <v>70</v>
      </c>
      <c r="C530" s="17" t="s">
        <v>71</v>
      </c>
      <c r="D530" t="s">
        <v>1679</v>
      </c>
      <c r="F530" t="s">
        <v>1696</v>
      </c>
      <c r="K530" s="18">
        <f>628119849135</f>
        <v>628119849135</v>
      </c>
      <c r="N530" s="17" t="s">
        <v>77</v>
      </c>
      <c r="U530" s="17"/>
      <c r="V530" s="18">
        <f>628119849135</f>
        <v>628119849135</v>
      </c>
      <c r="W530" t="s">
        <v>1697</v>
      </c>
      <c r="Y530" s="17" t="s">
        <v>90</v>
      </c>
    </row>
    <row r="531" ht="15" customHeight="1" spans="1:22" x14ac:dyDescent="0.25">
      <c r="A531" s="17" t="s">
        <v>1698</v>
      </c>
      <c r="B531" s="17" t="s">
        <v>70</v>
      </c>
      <c r="C531" s="17" t="s">
        <v>71</v>
      </c>
      <c r="D531" t="s">
        <v>1679</v>
      </c>
      <c r="F531" t="s">
        <v>1699</v>
      </c>
      <c r="K531" s="18">
        <f>62811108788</f>
        <v>62811108788</v>
      </c>
      <c r="N531" s="17" t="s">
        <v>77</v>
      </c>
      <c r="V531" s="18">
        <f>62811108788</f>
        <v>62811108788</v>
      </c>
    </row>
    <row r="532" ht="15" customHeight="1" spans="1:28" x14ac:dyDescent="0.25">
      <c r="A532" s="17" t="s">
        <v>1700</v>
      </c>
      <c r="B532" s="17" t="s">
        <v>70</v>
      </c>
      <c r="C532" s="17" t="s">
        <v>71</v>
      </c>
      <c r="D532" t="s">
        <v>1679</v>
      </c>
      <c r="F532" t="s">
        <v>871</v>
      </c>
      <c r="J532" t="s">
        <v>115</v>
      </c>
      <c r="K532" s="18" t="s">
        <v>1701</v>
      </c>
      <c r="N532" s="17" t="s">
        <v>77</v>
      </c>
      <c r="O532" t="s">
        <v>145</v>
      </c>
      <c r="V532" s="18" t="s">
        <v>1701</v>
      </c>
      <c r="Y532" t="s">
        <v>1702</v>
      </c>
      <c r="AA532" t="s">
        <v>115</v>
      </c>
      <c r="AB532" t="s">
        <v>119</v>
      </c>
    </row>
    <row r="533" ht="15" customHeight="1" spans="1:22" x14ac:dyDescent="0.25">
      <c r="A533" s="17" t="s">
        <v>1703</v>
      </c>
      <c r="B533" s="17" t="s">
        <v>70</v>
      </c>
      <c r="C533" s="17" t="s">
        <v>71</v>
      </c>
      <c r="D533" t="s">
        <v>1679</v>
      </c>
      <c r="F533" t="s">
        <v>1704</v>
      </c>
      <c r="K533" s="18">
        <f>62811136503</f>
        <v>62811136503</v>
      </c>
      <c r="N533" s="17" t="s">
        <v>77</v>
      </c>
      <c r="V533" s="18">
        <f>62811136503</f>
        <v>62811136503</v>
      </c>
    </row>
    <row r="534" ht="15" customHeight="1" spans="1:25" x14ac:dyDescent="0.25">
      <c r="A534" s="17" t="s">
        <v>1705</v>
      </c>
      <c r="B534" s="17" t="s">
        <v>70</v>
      </c>
      <c r="C534" s="17" t="s">
        <v>71</v>
      </c>
      <c r="D534" t="s">
        <v>1679</v>
      </c>
      <c r="F534" t="s">
        <v>1706</v>
      </c>
      <c r="K534" s="18">
        <f>62811797676</f>
        <v>62811797676</v>
      </c>
      <c r="N534" s="17" t="s">
        <v>77</v>
      </c>
      <c r="V534" s="18">
        <f>62811797676</f>
        <v>62811797676</v>
      </c>
      <c r="Y534" s="17" t="s">
        <v>1707</v>
      </c>
    </row>
    <row r="535" ht="15" customHeight="1" spans="1:22" x14ac:dyDescent="0.25">
      <c r="A535" s="17" t="s">
        <v>1708</v>
      </c>
      <c r="B535" s="17" t="s">
        <v>70</v>
      </c>
      <c r="C535" s="17" t="s">
        <v>71</v>
      </c>
      <c r="D535" t="s">
        <v>1679</v>
      </c>
      <c r="F535" t="s">
        <v>1709</v>
      </c>
      <c r="K535" s="18">
        <f>6281682353</f>
        <v>6281682353</v>
      </c>
      <c r="N535" s="17" t="s">
        <v>77</v>
      </c>
      <c r="V535" s="18">
        <f>6281682353</f>
        <v>6281682353</v>
      </c>
    </row>
    <row r="536" ht="15" customHeight="1" spans="1:22" x14ac:dyDescent="0.25">
      <c r="A536" s="17" t="s">
        <v>1710</v>
      </c>
      <c r="B536" s="17" t="s">
        <v>70</v>
      </c>
      <c r="C536" s="17" t="s">
        <v>71</v>
      </c>
      <c r="D536" t="s">
        <v>1711</v>
      </c>
      <c r="F536" t="s">
        <v>1711</v>
      </c>
      <c r="K536" s="18">
        <f>628118188890</f>
        <v>628118188890</v>
      </c>
      <c r="N536" s="17" t="s">
        <v>81</v>
      </c>
      <c r="V536" s="18">
        <f>628118188890</f>
        <v>628118188890</v>
      </c>
    </row>
    <row r="537" ht="15" customHeight="1" spans="1:22" x14ac:dyDescent="0.25">
      <c r="A537" s="17" t="s">
        <v>1712</v>
      </c>
      <c r="B537" s="17" t="s">
        <v>70</v>
      </c>
      <c r="C537" s="17" t="s">
        <v>71</v>
      </c>
      <c r="D537" t="s">
        <v>1711</v>
      </c>
      <c r="F537" t="s">
        <v>1713</v>
      </c>
      <c r="J537" s="17" t="s">
        <v>1714</v>
      </c>
      <c r="K537" s="18">
        <f>628129528928</f>
        <v>628129528928</v>
      </c>
      <c r="N537" s="17" t="s">
        <v>77</v>
      </c>
      <c r="V537" s="18">
        <f>628129528928</f>
        <v>628129528928</v>
      </c>
    </row>
    <row r="538" ht="15" customHeight="1" spans="1:28" x14ac:dyDescent="0.25">
      <c r="A538" s="17" t="s">
        <v>1715</v>
      </c>
      <c r="B538" s="17" t="s">
        <v>70</v>
      </c>
      <c r="C538" s="17" t="s">
        <v>71</v>
      </c>
      <c r="D538" t="s">
        <v>1711</v>
      </c>
      <c r="F538" t="s">
        <v>1716</v>
      </c>
      <c r="J538" t="s">
        <v>115</v>
      </c>
      <c r="K538" s="18" t="s">
        <v>1717</v>
      </c>
      <c r="N538" s="17" t="s">
        <v>81</v>
      </c>
      <c r="O538" t="s">
        <v>261</v>
      </c>
      <c r="V538" s="18" t="s">
        <v>1717</v>
      </c>
      <c r="Y538" t="s">
        <v>190</v>
      </c>
      <c r="AA538" t="s">
        <v>118</v>
      </c>
      <c r="AB538" t="s">
        <v>119</v>
      </c>
    </row>
    <row r="539" ht="15" customHeight="1" spans="1:27" x14ac:dyDescent="0.25">
      <c r="A539" s="17" t="s">
        <v>1718</v>
      </c>
      <c r="B539" s="17" t="s">
        <v>70</v>
      </c>
      <c r="C539" s="17" t="s">
        <v>71</v>
      </c>
      <c r="D539" t="s">
        <v>1711</v>
      </c>
      <c r="F539" t="s">
        <v>1719</v>
      </c>
      <c r="K539" s="18">
        <f>628115440505</f>
        <v>628115440505</v>
      </c>
      <c r="N539" s="17" t="s">
        <v>77</v>
      </c>
      <c r="U539" s="17"/>
      <c r="V539" s="18">
        <f>628115440505</f>
        <v>628115440505</v>
      </c>
      <c r="W539" t="s">
        <v>1720</v>
      </c>
      <c r="Y539" s="17" t="s">
        <v>90</v>
      </c>
      <c r="AA539" s="17">
        <v>11630</v>
      </c>
    </row>
    <row r="540" ht="15" customHeight="1" spans="1:25" x14ac:dyDescent="0.25">
      <c r="A540" s="17" t="s">
        <v>1721</v>
      </c>
      <c r="B540" s="17" t="s">
        <v>70</v>
      </c>
      <c r="C540" s="17" t="s">
        <v>71</v>
      </c>
      <c r="D540" t="s">
        <v>1711</v>
      </c>
      <c r="F540" t="s">
        <v>1064</v>
      </c>
      <c r="J540" s="17" t="s">
        <v>1722</v>
      </c>
      <c r="K540" s="18">
        <f>85254983405</f>
        <v>85254983405</v>
      </c>
      <c r="N540" s="17" t="s">
        <v>81</v>
      </c>
      <c r="U540" s="17"/>
      <c r="V540" s="18">
        <f>85254983405</f>
        <v>85254983405</v>
      </c>
      <c r="W540" t="s">
        <v>1723</v>
      </c>
      <c r="Y540" s="17" t="s">
        <v>90</v>
      </c>
    </row>
    <row r="541" ht="15" customHeight="1" spans="1:22" x14ac:dyDescent="0.25">
      <c r="A541" s="17" t="s">
        <v>1724</v>
      </c>
      <c r="B541" s="17" t="s">
        <v>70</v>
      </c>
      <c r="C541" s="17" t="s">
        <v>71</v>
      </c>
      <c r="D541" t="s">
        <v>1711</v>
      </c>
      <c r="F541" t="s">
        <v>1725</v>
      </c>
      <c r="J541" s="17" t="s">
        <v>1726</v>
      </c>
      <c r="K541" s="18">
        <f>628558559969</f>
        <v>628558559969</v>
      </c>
      <c r="N541" s="17" t="s">
        <v>81</v>
      </c>
      <c r="V541" s="18">
        <f>628558559969</f>
        <v>628558559969</v>
      </c>
    </row>
    <row r="542" ht="15" customHeight="1" spans="1:22" x14ac:dyDescent="0.25">
      <c r="A542" s="17" t="s">
        <v>1727</v>
      </c>
      <c r="B542" s="17" t="s">
        <v>70</v>
      </c>
      <c r="C542" s="17" t="s">
        <v>71</v>
      </c>
      <c r="D542" t="s">
        <v>1711</v>
      </c>
      <c r="F542" t="s">
        <v>1728</v>
      </c>
      <c r="K542" s="18">
        <f>6281389311996</f>
        <v>6281389311996</v>
      </c>
      <c r="N542" s="17" t="s">
        <v>77</v>
      </c>
      <c r="V542" s="18">
        <f>6281389311996</f>
        <v>6281389311996</v>
      </c>
    </row>
    <row r="543" ht="15" customHeight="1" spans="1:22" x14ac:dyDescent="0.25">
      <c r="A543" s="17" t="s">
        <v>1729</v>
      </c>
      <c r="B543" s="17" t="s">
        <v>70</v>
      </c>
      <c r="C543" s="17" t="s">
        <v>71</v>
      </c>
      <c r="D543" t="s">
        <v>1711</v>
      </c>
      <c r="F543" t="s">
        <v>1730</v>
      </c>
      <c r="K543" s="18">
        <f>62818887755</f>
        <v>62818887755</v>
      </c>
      <c r="N543" s="17" t="s">
        <v>77</v>
      </c>
      <c r="V543" s="18">
        <f>62818887755</f>
        <v>62818887755</v>
      </c>
    </row>
    <row r="544" ht="15" customHeight="1" spans="1:22" x14ac:dyDescent="0.25">
      <c r="A544" s="17" t="s">
        <v>1731</v>
      </c>
      <c r="B544" s="17" t="s">
        <v>70</v>
      </c>
      <c r="C544" s="17" t="s">
        <v>71</v>
      </c>
      <c r="D544" t="s">
        <v>1711</v>
      </c>
      <c r="F544" t="s">
        <v>1732</v>
      </c>
      <c r="J544" s="17" t="s">
        <v>1733</v>
      </c>
      <c r="K544" s="18">
        <f>6287782964260</f>
        <v>6287782964260</v>
      </c>
      <c r="N544" s="17" t="s">
        <v>77</v>
      </c>
      <c r="V544" s="18">
        <f>6287782964260</f>
        <v>6287782964260</v>
      </c>
    </row>
    <row r="545" ht="15" customHeight="1" spans="1:23" x14ac:dyDescent="0.25">
      <c r="A545" s="17" t="s">
        <v>1734</v>
      </c>
      <c r="B545" s="17" t="s">
        <v>70</v>
      </c>
      <c r="C545" s="17" t="s">
        <v>71</v>
      </c>
      <c r="D545" t="s">
        <v>1735</v>
      </c>
      <c r="F545" t="s">
        <v>1735</v>
      </c>
      <c r="K545" s="18">
        <f>6281238872367</f>
        <v>6281238872367</v>
      </c>
      <c r="N545" s="17" t="s">
        <v>77</v>
      </c>
      <c r="U545" s="17"/>
      <c r="V545" s="18">
        <f>6281238872367</f>
        <v>6281238872367</v>
      </c>
      <c r="W545" t="s">
        <v>1736</v>
      </c>
    </row>
    <row r="546" ht="15" customHeight="1" spans="1:28" x14ac:dyDescent="0.25">
      <c r="A546" s="17" t="s">
        <v>1737</v>
      </c>
      <c r="B546" s="17" t="s">
        <v>70</v>
      </c>
      <c r="C546" s="17" t="s">
        <v>71</v>
      </c>
      <c r="D546" t="s">
        <v>1738</v>
      </c>
      <c r="F546" t="s">
        <v>1739</v>
      </c>
      <c r="J546" t="s">
        <v>115</v>
      </c>
      <c r="K546" s="18" t="s">
        <v>1740</v>
      </c>
      <c r="N546" s="17" t="s">
        <v>81</v>
      </c>
      <c r="O546" t="s">
        <v>117</v>
      </c>
      <c r="V546" s="18" t="s">
        <v>1740</v>
      </c>
      <c r="Y546" t="s">
        <v>90</v>
      </c>
      <c r="AA546" t="s">
        <v>118</v>
      </c>
      <c r="AB546" t="s">
        <v>119</v>
      </c>
    </row>
    <row r="547" ht="15" customHeight="1" spans="1:22" x14ac:dyDescent="0.25">
      <c r="A547" s="17" t="s">
        <v>1741</v>
      </c>
      <c r="B547" s="17" t="s">
        <v>70</v>
      </c>
      <c r="C547" s="17" t="s">
        <v>71</v>
      </c>
      <c r="D547" t="s">
        <v>1738</v>
      </c>
      <c r="F547" t="s">
        <v>1738</v>
      </c>
      <c r="K547" s="18">
        <f>628121123588</f>
        <v>628121123588</v>
      </c>
      <c r="N547" s="17" t="s">
        <v>74</v>
      </c>
      <c r="V547" s="18">
        <f>628121123588</f>
        <v>628121123588</v>
      </c>
    </row>
    <row r="548" ht="15" customHeight="1" spans="1:23" x14ac:dyDescent="0.25">
      <c r="A548" s="17" t="s">
        <v>1742</v>
      </c>
      <c r="B548" s="17" t="s">
        <v>70</v>
      </c>
      <c r="C548" s="17" t="s">
        <v>71</v>
      </c>
      <c r="D548" t="s">
        <v>1738</v>
      </c>
      <c r="F548" t="s">
        <v>1743</v>
      </c>
      <c r="K548" s="18">
        <f>352621321750</f>
        <v>352621321750</v>
      </c>
      <c r="N548" s="17" t="s">
        <v>77</v>
      </c>
      <c r="U548" s="17"/>
      <c r="V548" s="18">
        <f>352621321750</f>
        <v>352621321750</v>
      </c>
      <c r="W548" t="s">
        <v>1744</v>
      </c>
    </row>
    <row r="549" ht="15" customHeight="1" spans="1:22" x14ac:dyDescent="0.25">
      <c r="A549" s="17" t="s">
        <v>1745</v>
      </c>
      <c r="B549" s="17" t="s">
        <v>70</v>
      </c>
      <c r="C549" s="17" t="s">
        <v>71</v>
      </c>
      <c r="D549" t="s">
        <v>1738</v>
      </c>
      <c r="F549" t="s">
        <v>153</v>
      </c>
      <c r="K549" s="18">
        <f>6283875129119</f>
        <v>6283875129119</v>
      </c>
      <c r="N549" s="17" t="s">
        <v>77</v>
      </c>
      <c r="V549" s="18">
        <f>6283875129119</f>
        <v>6283875129119</v>
      </c>
    </row>
    <row r="550" ht="15" customHeight="1" spans="1:22" x14ac:dyDescent="0.25">
      <c r="A550" s="17" t="s">
        <v>1746</v>
      </c>
      <c r="B550" s="17" t="s">
        <v>70</v>
      </c>
      <c r="C550" s="17" t="s">
        <v>71</v>
      </c>
      <c r="D550" t="s">
        <v>1738</v>
      </c>
      <c r="F550" t="s">
        <v>1747</v>
      </c>
      <c r="K550" s="18">
        <f>6281294976716</f>
        <v>6281294976716</v>
      </c>
      <c r="N550" s="17" t="s">
        <v>81</v>
      </c>
      <c r="V550" s="18">
        <f>6281294976716</f>
        <v>6281294976716</v>
      </c>
    </row>
    <row r="551" ht="15" customHeight="1" spans="1:25" x14ac:dyDescent="0.25">
      <c r="A551" s="17" t="s">
        <v>1748</v>
      </c>
      <c r="B551" s="17" t="s">
        <v>70</v>
      </c>
      <c r="C551" s="17" t="s">
        <v>71</v>
      </c>
      <c r="D551" t="s">
        <v>1749</v>
      </c>
      <c r="F551" t="s">
        <v>1750</v>
      </c>
      <c r="K551" s="18">
        <f>6282286723530</f>
        <v>6282286723530</v>
      </c>
      <c r="N551" s="17" t="s">
        <v>81</v>
      </c>
      <c r="U551" s="17"/>
      <c r="V551" s="18">
        <f>6282286723530</f>
        <v>6282286723530</v>
      </c>
      <c r="W551" t="s">
        <v>1751</v>
      </c>
      <c r="Y551" t="s">
        <v>217</v>
      </c>
    </row>
    <row r="552" ht="15" customHeight="1" spans="1:22" x14ac:dyDescent="0.25">
      <c r="A552" s="17" t="s">
        <v>1752</v>
      </c>
      <c r="B552" s="17" t="s">
        <v>70</v>
      </c>
      <c r="C552" s="17" t="s">
        <v>71</v>
      </c>
      <c r="D552" t="s">
        <v>1753</v>
      </c>
      <c r="F552" t="s">
        <v>1754</v>
      </c>
      <c r="K552" s="18">
        <f>628116190161</f>
        <v>628116190161</v>
      </c>
      <c r="N552" s="17" t="s">
        <v>81</v>
      </c>
      <c r="V552" s="18">
        <f>628116190161</f>
        <v>628116190161</v>
      </c>
    </row>
    <row r="553" ht="15" customHeight="1" spans="1:25" x14ac:dyDescent="0.25">
      <c r="A553" s="17" t="s">
        <v>1755</v>
      </c>
      <c r="B553" s="17" t="s">
        <v>70</v>
      </c>
      <c r="C553" s="17" t="s">
        <v>71</v>
      </c>
      <c r="D553" t="s">
        <v>1756</v>
      </c>
      <c r="F553" t="s">
        <v>1756</v>
      </c>
      <c r="K553" s="18">
        <f>6281212211464</f>
        <v>6281212211464</v>
      </c>
      <c r="N553" s="17" t="s">
        <v>77</v>
      </c>
      <c r="U553" s="17"/>
      <c r="V553" s="18">
        <f>6281212211464</f>
        <v>6281212211464</v>
      </c>
      <c r="W553" t="s">
        <v>90</v>
      </c>
      <c r="Y553" s="17" t="s">
        <v>90</v>
      </c>
    </row>
    <row r="554" ht="15" customHeight="1" spans="1:22" x14ac:dyDescent="0.25">
      <c r="A554" s="17" t="s">
        <v>1757</v>
      </c>
      <c r="B554" s="17" t="s">
        <v>70</v>
      </c>
      <c r="C554" s="17" t="s">
        <v>71</v>
      </c>
      <c r="D554" t="s">
        <v>1758</v>
      </c>
      <c r="F554" t="s">
        <v>1758</v>
      </c>
      <c r="K554" s="18">
        <f>719620519650</f>
        <v>719620519650</v>
      </c>
      <c r="N554" s="17" t="s">
        <v>81</v>
      </c>
      <c r="V554" s="18">
        <f>719620519650</f>
        <v>719620519650</v>
      </c>
    </row>
    <row r="555" ht="15" customHeight="1" spans="1:25" x14ac:dyDescent="0.25">
      <c r="A555" s="17" t="s">
        <v>1759</v>
      </c>
      <c r="B555" s="17" t="s">
        <v>70</v>
      </c>
      <c r="C555" s="17" t="s">
        <v>71</v>
      </c>
      <c r="D555" t="s">
        <v>1760</v>
      </c>
      <c r="F555" t="s">
        <v>1761</v>
      </c>
      <c r="J555" s="17" t="s">
        <v>1762</v>
      </c>
      <c r="K555" s="18">
        <f>628111294991</f>
        <v>628111294991</v>
      </c>
      <c r="N555" s="17" t="s">
        <v>77</v>
      </c>
      <c r="U555" s="17"/>
      <c r="V555" s="18">
        <f>628111294991</f>
        <v>628111294991</v>
      </c>
      <c r="W555" t="s">
        <v>1763</v>
      </c>
      <c r="Y555" s="17" t="s">
        <v>96</v>
      </c>
    </row>
    <row r="556" ht="15" customHeight="1" spans="1:25" x14ac:dyDescent="0.25">
      <c r="A556" s="17" t="s">
        <v>1764</v>
      </c>
      <c r="B556" s="17" t="s">
        <v>70</v>
      </c>
      <c r="C556" s="17" t="s">
        <v>71</v>
      </c>
      <c r="D556" t="s">
        <v>1765</v>
      </c>
      <c r="F556" t="s">
        <v>1766</v>
      </c>
      <c r="K556" s="18">
        <f>628111096617</f>
        <v>628111096617</v>
      </c>
      <c r="N556" s="17" t="s">
        <v>77</v>
      </c>
      <c r="U556" s="17"/>
      <c r="V556" s="18">
        <f>628111096617</f>
        <v>628111096617</v>
      </c>
      <c r="W556" t="s">
        <v>1767</v>
      </c>
      <c r="Y556" s="17" t="s">
        <v>90</v>
      </c>
    </row>
    <row r="557" ht="15" customHeight="1" spans="1:28" x14ac:dyDescent="0.25">
      <c r="A557" s="17" t="s">
        <v>1768</v>
      </c>
      <c r="B557" s="17" t="s">
        <v>70</v>
      </c>
      <c r="C557" s="17" t="s">
        <v>71</v>
      </c>
      <c r="D557" t="s">
        <v>1769</v>
      </c>
      <c r="F557" t="s">
        <v>1770</v>
      </c>
      <c r="J557" s="17" t="s">
        <v>1771</v>
      </c>
      <c r="K557" s="18" t="s">
        <v>1772</v>
      </c>
      <c r="N557" s="17" t="s">
        <v>77</v>
      </c>
      <c r="O557" t="s">
        <v>261</v>
      </c>
      <c r="U557" s="17"/>
      <c r="V557" s="18" t="s">
        <v>1772</v>
      </c>
      <c r="W557" t="s">
        <v>1773</v>
      </c>
      <c r="Y557" s="17" t="s">
        <v>96</v>
      </c>
      <c r="AA557" t="s">
        <v>693</v>
      </c>
      <c r="AB557" t="s">
        <v>119</v>
      </c>
    </row>
    <row r="558" ht="15" customHeight="1" spans="1:22" x14ac:dyDescent="0.25">
      <c r="A558" s="17" t="s">
        <v>1774</v>
      </c>
      <c r="B558" s="17" t="s">
        <v>70</v>
      </c>
      <c r="C558" s="17" t="s">
        <v>71</v>
      </c>
      <c r="D558" t="s">
        <v>1775</v>
      </c>
      <c r="F558" t="s">
        <v>1775</v>
      </c>
      <c r="K558" s="18">
        <f>62811100232</f>
        <v>62811100232</v>
      </c>
      <c r="N558" s="17" t="s">
        <v>77</v>
      </c>
      <c r="V558" s="18">
        <f>62811100232</f>
        <v>62811100232</v>
      </c>
    </row>
    <row r="559" ht="15" customHeight="1" spans="1:22" x14ac:dyDescent="0.25">
      <c r="A559" s="17" t="s">
        <v>1776</v>
      </c>
      <c r="B559" s="17" t="s">
        <v>70</v>
      </c>
      <c r="C559" s="17" t="s">
        <v>71</v>
      </c>
      <c r="D559" t="s">
        <v>1775</v>
      </c>
      <c r="F559" t="s">
        <v>1777</v>
      </c>
      <c r="K559" s="18">
        <f>6285710157368</f>
        <v>6285710157368</v>
      </c>
      <c r="N559" s="17" t="s">
        <v>81</v>
      </c>
      <c r="V559" s="18">
        <f>6285710157368</f>
        <v>6285710157368</v>
      </c>
    </row>
    <row r="560" ht="15" customHeight="1" spans="1:22" x14ac:dyDescent="0.25">
      <c r="A560" s="17" t="s">
        <v>1778</v>
      </c>
      <c r="B560" s="17" t="s">
        <v>70</v>
      </c>
      <c r="C560" s="17" t="s">
        <v>71</v>
      </c>
      <c r="D560" t="s">
        <v>1779</v>
      </c>
      <c r="F560" t="s">
        <v>1779</v>
      </c>
      <c r="K560" s="18">
        <f>6285774442933</f>
        <v>6285774442933</v>
      </c>
      <c r="N560" s="17" t="s">
        <v>81</v>
      </c>
      <c r="V560" s="18">
        <f>6285774442933</f>
        <v>6285774442933</v>
      </c>
    </row>
    <row r="561" ht="15" customHeight="1" spans="1:22" x14ac:dyDescent="0.25">
      <c r="A561" s="17" t="s">
        <v>1780</v>
      </c>
      <c r="B561" s="17" t="s">
        <v>70</v>
      </c>
      <c r="C561" s="17" t="s">
        <v>71</v>
      </c>
      <c r="D561" t="s">
        <v>1779</v>
      </c>
      <c r="F561" t="s">
        <v>1779</v>
      </c>
      <c r="K561" s="18">
        <f>628114117111</f>
        <v>628114117111</v>
      </c>
      <c r="N561" s="17" t="s">
        <v>77</v>
      </c>
      <c r="V561" s="18">
        <f>628114117111</f>
        <v>628114117111</v>
      </c>
    </row>
    <row r="562" ht="15" customHeight="1" spans="1:22" x14ac:dyDescent="0.25">
      <c r="A562" s="17" t="s">
        <v>1781</v>
      </c>
      <c r="B562" s="17" t="s">
        <v>70</v>
      </c>
      <c r="C562" s="17" t="s">
        <v>71</v>
      </c>
      <c r="D562" t="s">
        <v>1782</v>
      </c>
      <c r="F562" t="s">
        <v>1783</v>
      </c>
      <c r="K562" s="18">
        <f>62811200062</f>
        <v>62811200062</v>
      </c>
      <c r="N562" s="17" t="s">
        <v>74</v>
      </c>
      <c r="V562" s="18">
        <f>62811200062</f>
        <v>62811200062</v>
      </c>
    </row>
    <row r="563" ht="15" customHeight="1" spans="1:22" x14ac:dyDescent="0.25">
      <c r="A563" s="17" t="s">
        <v>1784</v>
      </c>
      <c r="B563" s="17" t="s">
        <v>70</v>
      </c>
      <c r="C563" s="17" t="s">
        <v>71</v>
      </c>
      <c r="D563" t="s">
        <v>1785</v>
      </c>
      <c r="F563" t="s">
        <v>1785</v>
      </c>
      <c r="K563" s="18">
        <f>6281283993920</f>
        <v>6281283993920</v>
      </c>
      <c r="N563" s="17" t="s">
        <v>81</v>
      </c>
      <c r="V563" s="18">
        <f>6281283993920</f>
        <v>6281283993920</v>
      </c>
    </row>
    <row r="564" ht="15" customHeight="1" spans="1:22" x14ac:dyDescent="0.25">
      <c r="A564" s="17" t="s">
        <v>1786</v>
      </c>
      <c r="B564" s="17" t="s">
        <v>70</v>
      </c>
      <c r="C564" s="17" t="s">
        <v>71</v>
      </c>
      <c r="D564" t="s">
        <v>1787</v>
      </c>
      <c r="F564" t="s">
        <v>1787</v>
      </c>
      <c r="K564" s="18">
        <f>6282237901949</f>
        <v>6282237901949</v>
      </c>
      <c r="N564" s="17" t="s">
        <v>77</v>
      </c>
      <c r="V564" s="18">
        <f>6282237901949</f>
        <v>6282237901949</v>
      </c>
    </row>
    <row r="565" ht="15" customHeight="1" spans="1:22" x14ac:dyDescent="0.25">
      <c r="A565" s="17" t="s">
        <v>1788</v>
      </c>
      <c r="B565" s="17" t="s">
        <v>70</v>
      </c>
      <c r="C565" s="17" t="s">
        <v>71</v>
      </c>
      <c r="D565" t="s">
        <v>1789</v>
      </c>
      <c r="F565" t="s">
        <v>1790</v>
      </c>
      <c r="K565" s="18">
        <f>6281315488801</f>
        <v>6281315488801</v>
      </c>
      <c r="N565" s="17" t="s">
        <v>74</v>
      </c>
      <c r="V565" s="18">
        <f>6281315488801</f>
        <v>6281315488801</v>
      </c>
    </row>
    <row r="566" ht="15" customHeight="1" spans="1:25" x14ac:dyDescent="0.25">
      <c r="A566" s="17" t="s">
        <v>1791</v>
      </c>
      <c r="B566" s="17" t="s">
        <v>70</v>
      </c>
      <c r="C566" s="17" t="s">
        <v>71</v>
      </c>
      <c r="D566" t="s">
        <v>1789</v>
      </c>
      <c r="F566" t="s">
        <v>1792</v>
      </c>
      <c r="K566" s="18">
        <f>6281290956789</f>
        <v>6281290956789</v>
      </c>
      <c r="N566" s="17" t="s">
        <v>81</v>
      </c>
      <c r="U566" s="17"/>
      <c r="V566" s="18">
        <f>6281290956789</f>
        <v>6281290956789</v>
      </c>
      <c r="W566" t="s">
        <v>1793</v>
      </c>
      <c r="Y566" t="s">
        <v>1794</v>
      </c>
    </row>
    <row r="567" ht="15" customHeight="1" spans="1:22" x14ac:dyDescent="0.25">
      <c r="A567" s="17" t="s">
        <v>1795</v>
      </c>
      <c r="B567" s="17" t="s">
        <v>70</v>
      </c>
      <c r="C567" s="17" t="s">
        <v>71</v>
      </c>
      <c r="D567" t="s">
        <v>1796</v>
      </c>
      <c r="F567" t="s">
        <v>1796</v>
      </c>
      <c r="K567" s="18">
        <f>62819882067</f>
        <v>62819882067</v>
      </c>
      <c r="N567" s="17" t="s">
        <v>77</v>
      </c>
      <c r="V567" s="18">
        <f>62819882067</f>
        <v>62819882067</v>
      </c>
    </row>
    <row r="568" ht="15" customHeight="1" spans="1:22" x14ac:dyDescent="0.25">
      <c r="A568" s="17" t="s">
        <v>1797</v>
      </c>
      <c r="B568" s="17" t="s">
        <v>70</v>
      </c>
      <c r="C568" s="17" t="s">
        <v>71</v>
      </c>
      <c r="D568" t="s">
        <v>1798</v>
      </c>
      <c r="F568" t="s">
        <v>1798</v>
      </c>
      <c r="K568" s="18">
        <f>628118899137</f>
        <v>628118899137</v>
      </c>
      <c r="N568" s="17" t="s">
        <v>81</v>
      </c>
      <c r="V568" s="18">
        <f>628118899137</f>
        <v>628118899137</v>
      </c>
    </row>
    <row r="569" ht="15" customHeight="1" spans="1:28" x14ac:dyDescent="0.25">
      <c r="A569" s="17" t="s">
        <v>1799</v>
      </c>
      <c r="B569" s="17" t="s">
        <v>70</v>
      </c>
      <c r="C569" s="17" t="s">
        <v>71</v>
      </c>
      <c r="D569" t="s">
        <v>1800</v>
      </c>
      <c r="F569" t="s">
        <v>1801</v>
      </c>
      <c r="J569" s="17" t="s">
        <v>1802</v>
      </c>
      <c r="K569" s="18" t="s">
        <v>1803</v>
      </c>
      <c r="N569" s="17" t="s">
        <v>77</v>
      </c>
      <c r="O569" t="s">
        <v>199</v>
      </c>
      <c r="V569" s="18" t="s">
        <v>1803</v>
      </c>
      <c r="Y569" t="s">
        <v>115</v>
      </c>
      <c r="AA569" t="s">
        <v>115</v>
      </c>
      <c r="AB569" t="s">
        <v>251</v>
      </c>
    </row>
    <row r="570" ht="15" customHeight="1" spans="1:22" x14ac:dyDescent="0.25">
      <c r="A570" s="17" t="s">
        <v>1804</v>
      </c>
      <c r="B570" s="17" t="s">
        <v>70</v>
      </c>
      <c r="C570" s="17" t="s">
        <v>71</v>
      </c>
      <c r="D570" t="s">
        <v>1805</v>
      </c>
      <c r="F570" t="s">
        <v>1499</v>
      </c>
      <c r="K570" s="18">
        <f>966552555333</f>
        <v>966552555333</v>
      </c>
      <c r="N570" s="17" t="s">
        <v>77</v>
      </c>
      <c r="V570" s="18">
        <f>966552555333</f>
        <v>966552555333</v>
      </c>
    </row>
    <row r="571" ht="15" customHeight="1" spans="1:22" x14ac:dyDescent="0.25">
      <c r="A571" s="17" t="s">
        <v>1806</v>
      </c>
      <c r="B571" s="17" t="s">
        <v>70</v>
      </c>
      <c r="C571" s="17" t="s">
        <v>71</v>
      </c>
      <c r="D571" t="s">
        <v>106</v>
      </c>
      <c r="F571" t="s">
        <v>106</v>
      </c>
      <c r="K571" s="18">
        <v>966530888888</v>
      </c>
      <c r="N571" s="17" t="s">
        <v>77</v>
      </c>
      <c r="V571" s="18">
        <v>966530888888</v>
      </c>
    </row>
    <row r="572" ht="15" customHeight="1" spans="1:28" x14ac:dyDescent="0.25">
      <c r="A572" s="17" t="s">
        <v>1807</v>
      </c>
      <c r="B572" s="17" t="s">
        <v>70</v>
      </c>
      <c r="C572" s="17" t="s">
        <v>71</v>
      </c>
      <c r="D572" t="s">
        <v>106</v>
      </c>
      <c r="F572" t="s">
        <v>1808</v>
      </c>
      <c r="J572" s="17" t="s">
        <v>1809</v>
      </c>
      <c r="K572" s="18" t="s">
        <v>1810</v>
      </c>
      <c r="N572" s="17" t="s">
        <v>77</v>
      </c>
      <c r="O572" t="s">
        <v>199</v>
      </c>
      <c r="U572" s="17"/>
      <c r="V572" s="18" t="s">
        <v>1810</v>
      </c>
      <c r="W572" t="s">
        <v>1811</v>
      </c>
      <c r="Y572" t="s">
        <v>251</v>
      </c>
      <c r="AA572" t="s">
        <v>115</v>
      </c>
      <c r="AB572" t="s">
        <v>251</v>
      </c>
    </row>
    <row r="573" ht="15" customHeight="1" spans="1:22" x14ac:dyDescent="0.25">
      <c r="A573" s="17" t="s">
        <v>1812</v>
      </c>
      <c r="B573" s="17" t="s">
        <v>70</v>
      </c>
      <c r="C573" s="17" t="s">
        <v>71</v>
      </c>
      <c r="D573" t="s">
        <v>106</v>
      </c>
      <c r="F573" t="s">
        <v>1813</v>
      </c>
      <c r="K573" s="18">
        <f>966830827429</f>
        <v>966830827429</v>
      </c>
      <c r="N573" s="17" t="s">
        <v>81</v>
      </c>
      <c r="V573" s="18">
        <f>966830827429</f>
        <v>966830827429</v>
      </c>
    </row>
    <row r="574" ht="15" customHeight="1" spans="1:28" x14ac:dyDescent="0.25">
      <c r="A574" s="17" t="s">
        <v>1814</v>
      </c>
      <c r="B574" s="17" t="s">
        <v>70</v>
      </c>
      <c r="C574" s="17" t="s">
        <v>71</v>
      </c>
      <c r="D574" t="s">
        <v>106</v>
      </c>
      <c r="F574" t="s">
        <v>1815</v>
      </c>
      <c r="J574" t="s">
        <v>115</v>
      </c>
      <c r="K574" s="18" t="s">
        <v>1816</v>
      </c>
      <c r="N574" s="17" t="s">
        <v>77</v>
      </c>
      <c r="O574" t="s">
        <v>117</v>
      </c>
      <c r="U574" s="17"/>
      <c r="V574" s="18" t="s">
        <v>1816</v>
      </c>
      <c r="W574" t="s">
        <v>1817</v>
      </c>
      <c r="Y574" s="17" t="s">
        <v>1119</v>
      </c>
      <c r="AA574" t="s">
        <v>115</v>
      </c>
      <c r="AB574" t="s">
        <v>119</v>
      </c>
    </row>
    <row r="575" ht="15" customHeight="1" spans="1:25" x14ac:dyDescent="0.25">
      <c r="A575" s="17" t="s">
        <v>1818</v>
      </c>
      <c r="B575" s="17" t="s">
        <v>70</v>
      </c>
      <c r="C575" s="17" t="s">
        <v>71</v>
      </c>
      <c r="D575" t="s">
        <v>106</v>
      </c>
      <c r="F575" t="s">
        <v>1819</v>
      </c>
      <c r="J575" s="17" t="s">
        <v>1820</v>
      </c>
      <c r="K575" s="18">
        <f>62811822056</f>
        <v>62811822056</v>
      </c>
      <c r="N575" s="17" t="s">
        <v>81</v>
      </c>
      <c r="U575" s="17"/>
      <c r="V575" s="18">
        <f>62811822056</f>
        <v>62811822056</v>
      </c>
      <c r="W575" t="s">
        <v>1821</v>
      </c>
      <c r="Y575" t="s">
        <v>704</v>
      </c>
    </row>
    <row r="576" ht="15" customHeight="1" spans="1:25" x14ac:dyDescent="0.25">
      <c r="A576" s="17" t="s">
        <v>1822</v>
      </c>
      <c r="B576" s="17" t="s">
        <v>70</v>
      </c>
      <c r="C576" s="17" t="s">
        <v>71</v>
      </c>
      <c r="D576" t="s">
        <v>106</v>
      </c>
      <c r="F576" t="s">
        <v>1823</v>
      </c>
      <c r="K576" s="18">
        <f>62213851146</f>
        <v>62213851146</v>
      </c>
      <c r="N576" s="17" t="s">
        <v>74</v>
      </c>
      <c r="U576" s="17"/>
      <c r="V576" s="18">
        <f>62213851146</f>
        <v>62213851146</v>
      </c>
      <c r="W576" t="s">
        <v>1824</v>
      </c>
      <c r="Y576" s="17" t="s">
        <v>90</v>
      </c>
    </row>
    <row r="577" ht="15" customHeight="1" spans="1:22" x14ac:dyDescent="0.25">
      <c r="A577" s="17" t="s">
        <v>1825</v>
      </c>
      <c r="B577" s="17" t="s">
        <v>70</v>
      </c>
      <c r="C577" s="17" t="s">
        <v>71</v>
      </c>
      <c r="D577" t="s">
        <v>106</v>
      </c>
      <c r="F577" t="s">
        <v>114</v>
      </c>
      <c r="K577" s="18">
        <f>628111099311</f>
        <v>628111099311</v>
      </c>
      <c r="N577" s="17" t="s">
        <v>77</v>
      </c>
      <c r="V577" s="18">
        <f>628111099311</f>
        <v>628111099311</v>
      </c>
    </row>
    <row r="578" ht="15" customHeight="1" spans="1:28" x14ac:dyDescent="0.25">
      <c r="A578" s="17" t="s">
        <v>1826</v>
      </c>
      <c r="B578" s="17" t="s">
        <v>70</v>
      </c>
      <c r="C578" s="17" t="s">
        <v>71</v>
      </c>
      <c r="D578" t="s">
        <v>1827</v>
      </c>
      <c r="F578" t="s">
        <v>1828</v>
      </c>
      <c r="J578" s="17" t="s">
        <v>1829</v>
      </c>
      <c r="K578" s="18" t="s">
        <v>1830</v>
      </c>
      <c r="N578" s="17" t="s">
        <v>77</v>
      </c>
      <c r="O578" t="s">
        <v>261</v>
      </c>
      <c r="U578" s="17"/>
      <c r="V578" s="18" t="s">
        <v>1830</v>
      </c>
      <c r="W578" t="s">
        <v>1298</v>
      </c>
      <c r="Y578" t="s">
        <v>1298</v>
      </c>
      <c r="AA578" t="s">
        <v>115</v>
      </c>
      <c r="AB578" t="s">
        <v>1298</v>
      </c>
    </row>
    <row r="579" ht="15" customHeight="1" spans="1:22" x14ac:dyDescent="0.25">
      <c r="A579" s="17" t="s">
        <v>1831</v>
      </c>
      <c r="B579" s="17" t="s">
        <v>70</v>
      </c>
      <c r="C579" s="17" t="s">
        <v>71</v>
      </c>
      <c r="D579" t="s">
        <v>106</v>
      </c>
      <c r="F579" t="s">
        <v>1832</v>
      </c>
      <c r="K579" s="18">
        <f>628118112512</f>
        <v>628118112512</v>
      </c>
      <c r="N579" s="17" t="s">
        <v>77</v>
      </c>
      <c r="V579" s="18">
        <f>628118112512</f>
        <v>628118112512</v>
      </c>
    </row>
    <row r="580" ht="15" customHeight="1" spans="1:22" x14ac:dyDescent="0.25">
      <c r="A580" s="17" t="s">
        <v>1833</v>
      </c>
      <c r="B580" s="17" t="s">
        <v>70</v>
      </c>
      <c r="C580" s="17" t="s">
        <v>71</v>
      </c>
      <c r="D580" t="s">
        <v>106</v>
      </c>
      <c r="F580" t="s">
        <v>1834</v>
      </c>
      <c r="K580" s="18">
        <f>6281212126131</f>
        <v>6281212126131</v>
      </c>
      <c r="N580" s="17" t="s">
        <v>77</v>
      </c>
      <c r="V580" s="18">
        <f>6281212126131</f>
        <v>6281212126131</v>
      </c>
    </row>
    <row r="581" ht="15" customHeight="1" spans="1:27" x14ac:dyDescent="0.25">
      <c r="A581" s="17" t="s">
        <v>1835</v>
      </c>
      <c r="B581" s="17" t="s">
        <v>70</v>
      </c>
      <c r="C581" s="17" t="s">
        <v>71</v>
      </c>
      <c r="D581" t="s">
        <v>106</v>
      </c>
      <c r="F581" t="s">
        <v>1337</v>
      </c>
      <c r="K581" s="18">
        <f>62818792780</f>
        <v>62818792780</v>
      </c>
      <c r="N581" s="17" t="s">
        <v>74</v>
      </c>
      <c r="U581" s="17"/>
      <c r="V581" s="18">
        <f>62818792780</f>
        <v>62818792780</v>
      </c>
      <c r="W581" t="s">
        <v>1836</v>
      </c>
      <c r="Y581" s="17" t="s">
        <v>378</v>
      </c>
      <c r="AA581" s="17" t="s">
        <v>1837</v>
      </c>
    </row>
    <row r="582" ht="15" customHeight="1" spans="1:22" x14ac:dyDescent="0.25">
      <c r="A582" s="17" t="s">
        <v>1838</v>
      </c>
      <c r="B582" s="17" t="s">
        <v>70</v>
      </c>
      <c r="C582" s="17" t="s">
        <v>71</v>
      </c>
      <c r="D582" t="s">
        <v>106</v>
      </c>
      <c r="F582" t="s">
        <v>1839</v>
      </c>
      <c r="K582" s="18">
        <f>62816706119</f>
        <v>62816706119</v>
      </c>
      <c r="N582" s="17" t="s">
        <v>77</v>
      </c>
      <c r="V582" s="18">
        <f>62816706119</f>
        <v>62816706119</v>
      </c>
    </row>
    <row r="583" ht="15" customHeight="1" spans="1:22" x14ac:dyDescent="0.25">
      <c r="A583" s="17" t="s">
        <v>1840</v>
      </c>
      <c r="B583" s="17" t="s">
        <v>70</v>
      </c>
      <c r="C583" s="17" t="s">
        <v>71</v>
      </c>
      <c r="D583" t="s">
        <v>106</v>
      </c>
      <c r="F583" t="s">
        <v>1841</v>
      </c>
      <c r="K583" s="18">
        <f>6287876666144</f>
        <v>6287876666144</v>
      </c>
      <c r="N583" s="17" t="s">
        <v>81</v>
      </c>
      <c r="V583" s="18">
        <f>6287876666144</f>
        <v>6287876666144</v>
      </c>
    </row>
    <row r="584" ht="15" customHeight="1" spans="1:28" x14ac:dyDescent="0.25">
      <c r="A584" s="17" t="s">
        <v>1842</v>
      </c>
      <c r="B584" s="17" t="s">
        <v>70</v>
      </c>
      <c r="C584" s="17" t="s">
        <v>71</v>
      </c>
      <c r="D584" t="s">
        <v>1843</v>
      </c>
      <c r="F584" t="s">
        <v>1844</v>
      </c>
      <c r="J584" s="17" t="s">
        <v>1845</v>
      </c>
      <c r="K584" s="18" t="s">
        <v>1846</v>
      </c>
      <c r="N584" s="17" t="s">
        <v>77</v>
      </c>
      <c r="O584" t="s">
        <v>199</v>
      </c>
      <c r="V584" s="18" t="s">
        <v>1846</v>
      </c>
      <c r="Y584" t="s">
        <v>250</v>
      </c>
      <c r="AA584" t="s">
        <v>115</v>
      </c>
      <c r="AB584" t="s">
        <v>119</v>
      </c>
    </row>
    <row r="585" ht="15" customHeight="1" spans="1:22" x14ac:dyDescent="0.25">
      <c r="A585" s="17" t="s">
        <v>1847</v>
      </c>
      <c r="B585" s="17" t="s">
        <v>70</v>
      </c>
      <c r="C585" s="17" t="s">
        <v>71</v>
      </c>
      <c r="D585" t="s">
        <v>1843</v>
      </c>
      <c r="F585" t="s">
        <v>1848</v>
      </c>
      <c r="K585" s="18">
        <f>628119865374</f>
        <v>628119865374</v>
      </c>
      <c r="N585" s="17" t="s">
        <v>77</v>
      </c>
      <c r="V585" s="18">
        <f>628119865374</f>
        <v>628119865374</v>
      </c>
    </row>
    <row r="586" ht="15" customHeight="1" spans="1:25" x14ac:dyDescent="0.25">
      <c r="A586" s="17" t="s">
        <v>1849</v>
      </c>
      <c r="B586" s="17" t="s">
        <v>70</v>
      </c>
      <c r="C586" s="17" t="s">
        <v>71</v>
      </c>
      <c r="D586" t="s">
        <v>1843</v>
      </c>
      <c r="F586" t="s">
        <v>1850</v>
      </c>
      <c r="K586" s="18">
        <f>628129478866</f>
        <v>628129478866</v>
      </c>
      <c r="N586" s="17" t="s">
        <v>77</v>
      </c>
      <c r="U586" s="17"/>
      <c r="V586" s="18">
        <f>628129478866</f>
        <v>628129478866</v>
      </c>
      <c r="W586" t="s">
        <v>1851</v>
      </c>
      <c r="Y586" s="17" t="s">
        <v>90</v>
      </c>
    </row>
    <row r="587" ht="15" customHeight="1" spans="1:28" x14ac:dyDescent="0.25">
      <c r="A587" s="17" t="s">
        <v>1852</v>
      </c>
      <c r="B587" s="17" t="s">
        <v>70</v>
      </c>
      <c r="C587" s="17" t="s">
        <v>71</v>
      </c>
      <c r="D587" t="s">
        <v>1843</v>
      </c>
      <c r="F587" t="s">
        <v>1853</v>
      </c>
      <c r="J587" t="s">
        <v>115</v>
      </c>
      <c r="K587" s="18" t="s">
        <v>1854</v>
      </c>
      <c r="N587" s="17" t="s">
        <v>81</v>
      </c>
      <c r="O587" t="s">
        <v>117</v>
      </c>
      <c r="V587" s="18" t="s">
        <v>1854</v>
      </c>
      <c r="Y587" t="s">
        <v>115</v>
      </c>
      <c r="AA587" t="s">
        <v>115</v>
      </c>
      <c r="AB587" t="s">
        <v>119</v>
      </c>
    </row>
    <row r="588" ht="15" customHeight="1" spans="1:25" x14ac:dyDescent="0.25">
      <c r="A588" s="17" t="s">
        <v>1855</v>
      </c>
      <c r="B588" s="17" t="s">
        <v>70</v>
      </c>
      <c r="C588" s="17" t="s">
        <v>71</v>
      </c>
      <c r="D588" t="s">
        <v>1843</v>
      </c>
      <c r="F588" t="s">
        <v>1856</v>
      </c>
      <c r="K588" s="18">
        <f>62818118874</f>
        <v>62818118874</v>
      </c>
      <c r="N588" s="17" t="s">
        <v>81</v>
      </c>
      <c r="U588" s="17"/>
      <c r="V588" s="18">
        <f>62818118874</f>
        <v>62818118874</v>
      </c>
      <c r="W588" t="s">
        <v>1857</v>
      </c>
      <c r="Y588" s="17" t="s">
        <v>90</v>
      </c>
    </row>
    <row r="589" ht="15" customHeight="1" spans="1:22" x14ac:dyDescent="0.25">
      <c r="A589" s="17" t="s">
        <v>1858</v>
      </c>
      <c r="B589" s="17" t="s">
        <v>70</v>
      </c>
      <c r="C589" s="17" t="s">
        <v>71</v>
      </c>
      <c r="D589" t="s">
        <v>1859</v>
      </c>
      <c r="F589" t="s">
        <v>1859</v>
      </c>
      <c r="K589" s="18">
        <f>62811113234</f>
        <v>62811113234</v>
      </c>
      <c r="N589" s="17" t="s">
        <v>74</v>
      </c>
      <c r="V589" s="18">
        <f>62811113234</f>
        <v>62811113234</v>
      </c>
    </row>
    <row r="590" ht="15" customHeight="1" spans="1:28" x14ac:dyDescent="0.25">
      <c r="A590" s="17" t="s">
        <v>1860</v>
      </c>
      <c r="B590" s="17" t="s">
        <v>70</v>
      </c>
      <c r="C590" s="17" t="s">
        <v>71</v>
      </c>
      <c r="D590" t="s">
        <v>1859</v>
      </c>
      <c r="F590" t="s">
        <v>1861</v>
      </c>
      <c r="J590" t="s">
        <v>115</v>
      </c>
      <c r="K590" s="18" t="s">
        <v>1862</v>
      </c>
      <c r="N590" s="17" t="s">
        <v>81</v>
      </c>
      <c r="O590" t="s">
        <v>117</v>
      </c>
      <c r="V590" s="18" t="s">
        <v>1862</v>
      </c>
      <c r="Y590" t="s">
        <v>90</v>
      </c>
      <c r="AA590" t="s">
        <v>118</v>
      </c>
      <c r="AB590" t="s">
        <v>119</v>
      </c>
    </row>
    <row r="591" ht="15" customHeight="1" spans="1:22" x14ac:dyDescent="0.25">
      <c r="A591" s="17" t="s">
        <v>1863</v>
      </c>
      <c r="B591" s="17" t="s">
        <v>70</v>
      </c>
      <c r="C591" s="17" t="s">
        <v>71</v>
      </c>
      <c r="D591" t="s">
        <v>1859</v>
      </c>
      <c r="F591" t="s">
        <v>1064</v>
      </c>
      <c r="K591" s="18">
        <f>6287778881000</f>
        <v>6287778881000</v>
      </c>
      <c r="N591" s="17" t="s">
        <v>81</v>
      </c>
      <c r="V591" s="18">
        <f>6287778881000</f>
        <v>6287778881000</v>
      </c>
    </row>
    <row r="592" ht="15" customHeight="1" spans="1:25" x14ac:dyDescent="0.25">
      <c r="A592" s="17" t="s">
        <v>1864</v>
      </c>
      <c r="B592" s="17" t="s">
        <v>70</v>
      </c>
      <c r="C592" s="17" t="s">
        <v>71</v>
      </c>
      <c r="D592" t="s">
        <v>1859</v>
      </c>
      <c r="F592" t="s">
        <v>1865</v>
      </c>
      <c r="K592" s="18">
        <f>6281390392525</f>
        <v>6281390392525</v>
      </c>
      <c r="N592" s="17" t="s">
        <v>77</v>
      </c>
      <c r="U592" s="17"/>
      <c r="V592" s="18">
        <f>6281390392525</f>
        <v>6281390392525</v>
      </c>
      <c r="W592" t="s">
        <v>1866</v>
      </c>
      <c r="Y592" s="17" t="s">
        <v>1867</v>
      </c>
    </row>
    <row r="593" ht="15" customHeight="1" spans="1:28" x14ac:dyDescent="0.25">
      <c r="A593" s="17" t="s">
        <v>1868</v>
      </c>
      <c r="B593" s="17" t="s">
        <v>70</v>
      </c>
      <c r="C593" s="17" t="s">
        <v>71</v>
      </c>
      <c r="D593" t="s">
        <v>1859</v>
      </c>
      <c r="F593" t="s">
        <v>1869</v>
      </c>
      <c r="J593" s="17" t="s">
        <v>1870</v>
      </c>
      <c r="K593" s="18" t="s">
        <v>1871</v>
      </c>
      <c r="N593" s="17" t="s">
        <v>81</v>
      </c>
      <c r="O593" t="s">
        <v>489</v>
      </c>
      <c r="V593" s="18" t="s">
        <v>1871</v>
      </c>
      <c r="Y593" t="s">
        <v>96</v>
      </c>
      <c r="AA593" t="s">
        <v>693</v>
      </c>
      <c r="AB593" t="s">
        <v>119</v>
      </c>
    </row>
    <row r="594" ht="15" customHeight="1" spans="1:22" x14ac:dyDescent="0.25">
      <c r="A594" s="17" t="s">
        <v>1872</v>
      </c>
      <c r="B594" s="17" t="s">
        <v>70</v>
      </c>
      <c r="C594" s="17" t="s">
        <v>71</v>
      </c>
      <c r="D594" t="s">
        <v>1873</v>
      </c>
      <c r="F594" t="s">
        <v>1874</v>
      </c>
      <c r="K594" s="18">
        <f>6281319791979</f>
        <v>6281319791979</v>
      </c>
      <c r="N594" s="17" t="s">
        <v>77</v>
      </c>
      <c r="V594" s="18">
        <f>6281319791979</f>
        <v>6281319791979</v>
      </c>
    </row>
    <row r="595" ht="15" customHeight="1" spans="1:22" x14ac:dyDescent="0.25">
      <c r="A595" s="17" t="s">
        <v>1875</v>
      </c>
      <c r="B595" s="17" t="s">
        <v>70</v>
      </c>
      <c r="C595" s="17" t="s">
        <v>71</v>
      </c>
      <c r="D595" t="s">
        <v>1876</v>
      </c>
      <c r="F595" t="s">
        <v>1876</v>
      </c>
      <c r="K595" s="18">
        <f>62811892543</f>
        <v>62811892543</v>
      </c>
      <c r="N595" s="17" t="s">
        <v>81</v>
      </c>
      <c r="V595" s="18">
        <f>62811892543</f>
        <v>62811892543</v>
      </c>
    </row>
    <row r="596" ht="15" customHeight="1" spans="1:22" x14ac:dyDescent="0.25">
      <c r="A596" s="17" t="s">
        <v>1877</v>
      </c>
      <c r="B596" s="17" t="s">
        <v>70</v>
      </c>
      <c r="C596" s="17" t="s">
        <v>71</v>
      </c>
      <c r="D596" t="s">
        <v>1878</v>
      </c>
      <c r="F596" t="s">
        <v>1878</v>
      </c>
      <c r="K596" s="18">
        <f>6281210896713</f>
        <v>6281210896713</v>
      </c>
      <c r="N596" s="17" t="s">
        <v>81</v>
      </c>
      <c r="V596" s="18">
        <f>6281210896713</f>
        <v>6281210896713</v>
      </c>
    </row>
    <row r="597" ht="15" customHeight="1" spans="1:28" x14ac:dyDescent="0.25">
      <c r="A597" s="17" t="s">
        <v>1879</v>
      </c>
      <c r="B597" s="17" t="s">
        <v>70</v>
      </c>
      <c r="C597" s="17" t="s">
        <v>71</v>
      </c>
      <c r="D597" t="s">
        <v>1880</v>
      </c>
      <c r="F597" t="s">
        <v>1881</v>
      </c>
      <c r="J597" s="17" t="s">
        <v>1882</v>
      </c>
      <c r="K597" s="18" t="s">
        <v>1883</v>
      </c>
      <c r="N597" s="17" t="s">
        <v>77</v>
      </c>
      <c r="O597" t="s">
        <v>489</v>
      </c>
      <c r="V597" s="18" t="s">
        <v>1883</v>
      </c>
      <c r="Y597" t="s">
        <v>190</v>
      </c>
      <c r="AA597" t="s">
        <v>118</v>
      </c>
      <c r="AB597" t="s">
        <v>119</v>
      </c>
    </row>
    <row r="598" ht="15" customHeight="1" spans="1:22" x14ac:dyDescent="0.25">
      <c r="A598" s="17" t="s">
        <v>1884</v>
      </c>
      <c r="B598" s="17" t="s">
        <v>70</v>
      </c>
      <c r="C598" s="17" t="s">
        <v>71</v>
      </c>
      <c r="D598" t="s">
        <v>1885</v>
      </c>
      <c r="F598" t="s">
        <v>1886</v>
      </c>
      <c r="K598" s="18">
        <f>628999212168</f>
        <v>628999212168</v>
      </c>
      <c r="N598" s="17" t="s">
        <v>77</v>
      </c>
      <c r="V598" s="18">
        <f>628999212168</f>
        <v>628999212168</v>
      </c>
    </row>
    <row r="599" ht="15" customHeight="1" spans="1:22" x14ac:dyDescent="0.25">
      <c r="A599" s="17" t="s">
        <v>1887</v>
      </c>
      <c r="B599" s="17" t="s">
        <v>70</v>
      </c>
      <c r="C599" s="17" t="s">
        <v>71</v>
      </c>
      <c r="D599" t="s">
        <v>1888</v>
      </c>
      <c r="F599" t="s">
        <v>1889</v>
      </c>
      <c r="K599" s="18">
        <f>6281315086821</f>
        <v>6281315086821</v>
      </c>
      <c r="N599" s="17" t="s">
        <v>81</v>
      </c>
      <c r="V599" s="18">
        <f>6281315086821</f>
        <v>6281315086821</v>
      </c>
    </row>
    <row r="600" ht="15" customHeight="1" spans="1:25" x14ac:dyDescent="0.25">
      <c r="A600" s="17" t="s">
        <v>1890</v>
      </c>
      <c r="B600" s="17" t="s">
        <v>70</v>
      </c>
      <c r="C600" s="17" t="s">
        <v>71</v>
      </c>
      <c r="D600" t="s">
        <v>1891</v>
      </c>
      <c r="F600" t="s">
        <v>1892</v>
      </c>
      <c r="K600" s="18">
        <f>628155151111</f>
        <v>628155151111</v>
      </c>
      <c r="N600" s="17" t="s">
        <v>74</v>
      </c>
      <c r="U600" s="17"/>
      <c r="V600" s="18">
        <f>628155151111</f>
        <v>628155151111</v>
      </c>
      <c r="W600" t="s">
        <v>1893</v>
      </c>
      <c r="Y600" s="17" t="s">
        <v>704</v>
      </c>
    </row>
    <row r="601" ht="15" customHeight="1" spans="1:22" x14ac:dyDescent="0.25">
      <c r="A601" s="17" t="s">
        <v>1894</v>
      </c>
      <c r="B601" s="17" t="s">
        <v>70</v>
      </c>
      <c r="C601" s="17" t="s">
        <v>71</v>
      </c>
      <c r="D601" t="s">
        <v>1895</v>
      </c>
      <c r="F601" t="s">
        <v>1895</v>
      </c>
      <c r="K601" s="18">
        <f>628125519859</f>
        <v>628125519859</v>
      </c>
      <c r="N601" s="17" t="s">
        <v>77</v>
      </c>
      <c r="V601" s="18">
        <f>628125519859</f>
        <v>628125519859</v>
      </c>
    </row>
    <row r="602" ht="15" customHeight="1" spans="1:22" x14ac:dyDescent="0.25">
      <c r="A602" s="17" t="s">
        <v>1896</v>
      </c>
      <c r="B602" s="17" t="s">
        <v>70</v>
      </c>
      <c r="C602" s="17" t="s">
        <v>71</v>
      </c>
      <c r="D602" t="s">
        <v>1897</v>
      </c>
      <c r="F602" t="s">
        <v>1898</v>
      </c>
      <c r="K602" s="18">
        <f>6281317477666</f>
        <v>6281317477666</v>
      </c>
      <c r="N602" s="17" t="s">
        <v>81</v>
      </c>
      <c r="V602" s="18">
        <f>6281317477666</f>
        <v>6281317477666</v>
      </c>
    </row>
    <row r="603" ht="15" customHeight="1" spans="1:28" x14ac:dyDescent="0.25">
      <c r="A603" s="17" t="s">
        <v>1899</v>
      </c>
      <c r="B603" s="17" t="s">
        <v>70</v>
      </c>
      <c r="C603" s="17" t="s">
        <v>71</v>
      </c>
      <c r="D603" t="s">
        <v>1900</v>
      </c>
      <c r="F603" t="s">
        <v>1901</v>
      </c>
      <c r="J603" t="s">
        <v>115</v>
      </c>
      <c r="K603" s="18" t="s">
        <v>1902</v>
      </c>
      <c r="N603" s="17" t="s">
        <v>77</v>
      </c>
      <c r="O603" t="s">
        <v>489</v>
      </c>
      <c r="V603" s="18" t="s">
        <v>1902</v>
      </c>
      <c r="Y603" t="s">
        <v>190</v>
      </c>
      <c r="AA603" t="s">
        <v>118</v>
      </c>
      <c r="AB603" t="s">
        <v>1903</v>
      </c>
    </row>
    <row r="604" ht="15" customHeight="1" spans="1:28" x14ac:dyDescent="0.25">
      <c r="A604" s="17" t="s">
        <v>1904</v>
      </c>
      <c r="B604" s="17" t="s">
        <v>70</v>
      </c>
      <c r="C604" s="17" t="s">
        <v>71</v>
      </c>
      <c r="D604" t="s">
        <v>1900</v>
      </c>
      <c r="F604" t="s">
        <v>1905</v>
      </c>
      <c r="J604" s="17" t="s">
        <v>1906</v>
      </c>
      <c r="K604" s="18" t="s">
        <v>1907</v>
      </c>
      <c r="N604" s="17" t="s">
        <v>77</v>
      </c>
      <c r="O604" t="s">
        <v>199</v>
      </c>
      <c r="U604" s="17"/>
      <c r="V604" s="18" t="s">
        <v>1907</v>
      </c>
      <c r="W604" t="s">
        <v>1908</v>
      </c>
      <c r="Y604" t="s">
        <v>1909</v>
      </c>
      <c r="AA604" t="s">
        <v>115</v>
      </c>
      <c r="AB604" t="s">
        <v>1909</v>
      </c>
    </row>
    <row r="605" ht="15" customHeight="1" spans="1:25" x14ac:dyDescent="0.25">
      <c r="A605" s="17" t="s">
        <v>1910</v>
      </c>
      <c r="B605" s="17" t="s">
        <v>70</v>
      </c>
      <c r="C605" s="17" t="s">
        <v>71</v>
      </c>
      <c r="D605" t="s">
        <v>1911</v>
      </c>
      <c r="F605" t="s">
        <v>1912</v>
      </c>
      <c r="J605" s="17" t="s">
        <v>1913</v>
      </c>
      <c r="K605" s="18">
        <f>6281510682724</f>
        <v>6281510682724</v>
      </c>
      <c r="N605" s="17" t="s">
        <v>81</v>
      </c>
      <c r="U605" s="17"/>
      <c r="V605" s="18">
        <f>6281510682724</f>
        <v>6281510682724</v>
      </c>
      <c r="W605" t="s">
        <v>1914</v>
      </c>
      <c r="Y605" s="17" t="s">
        <v>90</v>
      </c>
    </row>
    <row r="606" ht="15" customHeight="1" spans="1:22" x14ac:dyDescent="0.25">
      <c r="A606" s="17" t="s">
        <v>1915</v>
      </c>
      <c r="B606" s="17" t="s">
        <v>70</v>
      </c>
      <c r="C606" s="17" t="s">
        <v>71</v>
      </c>
      <c r="D606" t="s">
        <v>1911</v>
      </c>
      <c r="F606" t="s">
        <v>1916</v>
      </c>
      <c r="K606" s="18">
        <f>62816906291</f>
        <v>62816906291</v>
      </c>
      <c r="N606" s="17" t="s">
        <v>77</v>
      </c>
      <c r="V606" s="18">
        <f>62816906291</f>
        <v>62816906291</v>
      </c>
    </row>
    <row r="607" ht="15" customHeight="1" spans="1:22" x14ac:dyDescent="0.25">
      <c r="A607" s="17" t="s">
        <v>1917</v>
      </c>
      <c r="B607" s="17" t="s">
        <v>70</v>
      </c>
      <c r="C607" s="17" t="s">
        <v>71</v>
      </c>
      <c r="D607" t="s">
        <v>1918</v>
      </c>
      <c r="F607" t="s">
        <v>1918</v>
      </c>
      <c r="K607" s="18">
        <f>6282119509808</f>
        <v>6282119509808</v>
      </c>
      <c r="N607" s="17" t="s">
        <v>81</v>
      </c>
      <c r="V607" s="18">
        <f>6282119509808</f>
        <v>6282119509808</v>
      </c>
    </row>
    <row r="608" ht="15" customHeight="1" spans="1:22" x14ac:dyDescent="0.25">
      <c r="A608" s="17" t="s">
        <v>1919</v>
      </c>
      <c r="B608" s="17" t="s">
        <v>70</v>
      </c>
      <c r="C608" s="17" t="s">
        <v>71</v>
      </c>
      <c r="D608" t="s">
        <v>1918</v>
      </c>
      <c r="F608" t="s">
        <v>1918</v>
      </c>
      <c r="K608" s="18">
        <f>6281908136688</f>
        <v>6281908136688</v>
      </c>
      <c r="N608" s="17" t="s">
        <v>77</v>
      </c>
      <c r="V608" s="18">
        <f>6281908136688</f>
        <v>6281908136688</v>
      </c>
    </row>
    <row r="609" ht="15" customHeight="1" spans="1:28" x14ac:dyDescent="0.25">
      <c r="A609" s="17" t="s">
        <v>1920</v>
      </c>
      <c r="B609" s="17" t="s">
        <v>70</v>
      </c>
      <c r="C609" s="17" t="s">
        <v>71</v>
      </c>
      <c r="D609" t="s">
        <v>1921</v>
      </c>
      <c r="F609" t="s">
        <v>1922</v>
      </c>
      <c r="J609" s="17" t="s">
        <v>1923</v>
      </c>
      <c r="K609" s="18" t="s">
        <v>1924</v>
      </c>
      <c r="N609" s="17" t="s">
        <v>77</v>
      </c>
      <c r="O609" t="s">
        <v>199</v>
      </c>
      <c r="U609" s="17"/>
      <c r="V609" s="18" t="s">
        <v>1924</v>
      </c>
      <c r="W609" t="s">
        <v>90</v>
      </c>
      <c r="Y609" s="17" t="s">
        <v>90</v>
      </c>
      <c r="AA609" t="s">
        <v>118</v>
      </c>
      <c r="AB609" t="s">
        <v>119</v>
      </c>
    </row>
    <row r="610" ht="15" customHeight="1" spans="1:22" x14ac:dyDescent="0.25">
      <c r="A610" s="17" t="s">
        <v>1925</v>
      </c>
      <c r="B610" s="17" t="s">
        <v>70</v>
      </c>
      <c r="C610" s="17" t="s">
        <v>71</v>
      </c>
      <c r="D610" t="s">
        <v>1926</v>
      </c>
      <c r="F610" t="s">
        <v>1926</v>
      </c>
      <c r="K610" s="18">
        <f>628129046371</f>
        <v>628129046371</v>
      </c>
      <c r="N610" s="17" t="s">
        <v>81</v>
      </c>
      <c r="V610" s="18">
        <f>628129046371</f>
        <v>628129046371</v>
      </c>
    </row>
    <row r="611" ht="15" customHeight="1" spans="1:28" x14ac:dyDescent="0.25">
      <c r="A611" s="17" t="s">
        <v>1927</v>
      </c>
      <c r="B611" s="17" t="s">
        <v>70</v>
      </c>
      <c r="C611" s="17" t="s">
        <v>71</v>
      </c>
      <c r="D611" t="s">
        <v>1928</v>
      </c>
      <c r="F611" t="s">
        <v>1929</v>
      </c>
      <c r="J611" s="17" t="s">
        <v>1930</v>
      </c>
      <c r="K611" s="18" t="s">
        <v>1931</v>
      </c>
      <c r="N611" s="17" t="s">
        <v>81</v>
      </c>
      <c r="O611" t="s">
        <v>489</v>
      </c>
      <c r="U611" s="17"/>
      <c r="V611" s="18" t="s">
        <v>1931</v>
      </c>
      <c r="W611" t="s">
        <v>1932</v>
      </c>
      <c r="Y611" s="17" t="s">
        <v>90</v>
      </c>
      <c r="AA611" t="s">
        <v>118</v>
      </c>
      <c r="AB611" t="s">
        <v>119</v>
      </c>
    </row>
    <row r="612" ht="15" customHeight="1" spans="1:25" x14ac:dyDescent="0.25">
      <c r="A612" s="17" t="s">
        <v>1933</v>
      </c>
      <c r="B612" s="17" t="s">
        <v>70</v>
      </c>
      <c r="C612" s="17" t="s">
        <v>71</v>
      </c>
      <c r="D612" t="s">
        <v>1934</v>
      </c>
      <c r="F612" t="s">
        <v>1935</v>
      </c>
      <c r="K612" s="18" t="s">
        <v>1936</v>
      </c>
      <c r="N612" s="17" t="s">
        <v>77</v>
      </c>
      <c r="U612" s="17"/>
      <c r="V612" s="18" t="s">
        <v>1936</v>
      </c>
      <c r="W612" t="s">
        <v>1937</v>
      </c>
      <c r="Y612" s="17" t="s">
        <v>1903</v>
      </c>
    </row>
    <row r="613" ht="15" customHeight="1" spans="1:22" x14ac:dyDescent="0.25">
      <c r="A613" s="17" t="s">
        <v>1938</v>
      </c>
      <c r="B613" s="17" t="s">
        <v>70</v>
      </c>
      <c r="C613" s="17" t="s">
        <v>71</v>
      </c>
      <c r="D613" t="s">
        <v>1939</v>
      </c>
      <c r="F613" t="s">
        <v>1939</v>
      </c>
      <c r="K613" s="18">
        <f>62818480900</f>
        <v>62818480900</v>
      </c>
      <c r="N613" s="17" t="s">
        <v>81</v>
      </c>
      <c r="V613" s="18">
        <f>62818480900</f>
        <v>62818480900</v>
      </c>
    </row>
    <row r="614" ht="15" customHeight="1" spans="1:27" x14ac:dyDescent="0.25">
      <c r="A614" s="17" t="s">
        <v>1940</v>
      </c>
      <c r="B614" s="17" t="s">
        <v>70</v>
      </c>
      <c r="C614" s="17" t="s">
        <v>71</v>
      </c>
      <c r="D614" t="s">
        <v>1941</v>
      </c>
      <c r="F614" t="s">
        <v>1941</v>
      </c>
      <c r="K614" s="18">
        <f>628170125632</f>
        <v>628170125632</v>
      </c>
      <c r="N614" s="17" t="s">
        <v>77</v>
      </c>
      <c r="U614" s="17"/>
      <c r="V614" s="18">
        <f>628170125632</f>
        <v>628170125632</v>
      </c>
      <c r="W614" t="s">
        <v>1942</v>
      </c>
      <c r="Y614" s="17" t="s">
        <v>90</v>
      </c>
      <c r="AA614" s="17">
        <v>12730</v>
      </c>
    </row>
    <row r="615" ht="15" customHeight="1" spans="1:22" x14ac:dyDescent="0.25">
      <c r="A615" s="17" t="s">
        <v>1943</v>
      </c>
      <c r="B615" s="17" t="s">
        <v>70</v>
      </c>
      <c r="C615" s="17" t="s">
        <v>71</v>
      </c>
      <c r="D615" t="s">
        <v>1944</v>
      </c>
      <c r="F615" t="s">
        <v>1945</v>
      </c>
      <c r="K615" s="18">
        <f>6282285343160</f>
        <v>6282285343160</v>
      </c>
      <c r="N615" s="17" t="s">
        <v>81</v>
      </c>
      <c r="V615" s="18">
        <f>6282285343160</f>
        <v>6282285343160</v>
      </c>
    </row>
    <row r="616" ht="15" customHeight="1" spans="1:28" x14ac:dyDescent="0.25">
      <c r="A616" s="17" t="s">
        <v>1946</v>
      </c>
      <c r="B616" s="17" t="s">
        <v>70</v>
      </c>
      <c r="C616" s="17" t="s">
        <v>71</v>
      </c>
      <c r="D616" t="s">
        <v>1947</v>
      </c>
      <c r="F616" t="s">
        <v>1948</v>
      </c>
      <c r="J616" s="17" t="s">
        <v>1949</v>
      </c>
      <c r="K616" s="18" t="s">
        <v>1950</v>
      </c>
      <c r="N616" s="17" t="s">
        <v>77</v>
      </c>
      <c r="O616" t="s">
        <v>117</v>
      </c>
      <c r="U616" s="17"/>
      <c r="V616" s="18" t="s">
        <v>1950</v>
      </c>
      <c r="W616" t="s">
        <v>251</v>
      </c>
      <c r="Y616" t="s">
        <v>115</v>
      </c>
      <c r="AA616" t="s">
        <v>115</v>
      </c>
      <c r="AB616" t="s">
        <v>251</v>
      </c>
    </row>
    <row r="617" ht="15" customHeight="1" spans="1:23" x14ac:dyDescent="0.25">
      <c r="A617" s="17" t="s">
        <v>1951</v>
      </c>
      <c r="B617" s="17" t="s">
        <v>70</v>
      </c>
      <c r="C617" s="17" t="s">
        <v>71</v>
      </c>
      <c r="D617" t="s">
        <v>1952</v>
      </c>
      <c r="F617" t="s">
        <v>167</v>
      </c>
      <c r="K617" s="18">
        <f>966555590406</f>
        <v>966555590406</v>
      </c>
      <c r="N617" s="17" t="s">
        <v>77</v>
      </c>
      <c r="U617" s="17"/>
      <c r="V617" s="18">
        <f>966555590406</f>
        <v>966555590406</v>
      </c>
      <c r="W617" t="s">
        <v>1953</v>
      </c>
    </row>
    <row r="618" ht="15" customHeight="1" spans="1:25" x14ac:dyDescent="0.25">
      <c r="A618" s="17" t="s">
        <v>1954</v>
      </c>
      <c r="B618" s="17" t="s">
        <v>70</v>
      </c>
      <c r="C618" s="17" t="s">
        <v>71</v>
      </c>
      <c r="D618" t="s">
        <v>1955</v>
      </c>
      <c r="F618" t="s">
        <v>1956</v>
      </c>
      <c r="K618" s="18">
        <f>6281316929343</f>
        <v>6281316929343</v>
      </c>
      <c r="N618" s="17" t="s">
        <v>77</v>
      </c>
      <c r="U618" s="17"/>
      <c r="V618" s="18">
        <f>6281316929343</f>
        <v>6281316929343</v>
      </c>
      <c r="W618" t="s">
        <v>1957</v>
      </c>
      <c r="Y618" s="17" t="s">
        <v>90</v>
      </c>
    </row>
    <row r="619" ht="15" customHeight="1" spans="1:22" x14ac:dyDescent="0.25">
      <c r="A619" s="17" t="s">
        <v>1958</v>
      </c>
      <c r="B619" s="17" t="s">
        <v>70</v>
      </c>
      <c r="C619" s="17" t="s">
        <v>71</v>
      </c>
      <c r="D619" t="s">
        <v>1959</v>
      </c>
      <c r="F619" t="s">
        <v>1960</v>
      </c>
      <c r="J619" s="17" t="s">
        <v>1961</v>
      </c>
      <c r="K619" s="18">
        <f>79654246020</f>
        <v>79654246020</v>
      </c>
      <c r="N619" s="17" t="s">
        <v>77</v>
      </c>
      <c r="V619" s="18">
        <f>79654246020</f>
        <v>79654246020</v>
      </c>
    </row>
    <row r="620" ht="15" customHeight="1" spans="1:28" x14ac:dyDescent="0.25">
      <c r="A620" s="17" t="s">
        <v>1962</v>
      </c>
      <c r="B620" s="17" t="s">
        <v>70</v>
      </c>
      <c r="C620" s="17" t="s">
        <v>71</v>
      </c>
      <c r="D620" t="s">
        <v>1963</v>
      </c>
      <c r="F620" t="s">
        <v>1964</v>
      </c>
      <c r="J620" s="17" t="s">
        <v>1965</v>
      </c>
      <c r="K620" s="18" t="s">
        <v>1966</v>
      </c>
      <c r="N620" s="17" t="s">
        <v>77</v>
      </c>
      <c r="O620" t="s">
        <v>261</v>
      </c>
      <c r="U620" s="17"/>
      <c r="V620" s="18" t="s">
        <v>1966</v>
      </c>
      <c r="W620" t="s">
        <v>1967</v>
      </c>
      <c r="Y620" t="s">
        <v>1968</v>
      </c>
      <c r="AA620" t="s">
        <v>1969</v>
      </c>
      <c r="AB620" t="s">
        <v>119</v>
      </c>
    </row>
    <row r="621" ht="15" customHeight="1" spans="1:23" x14ac:dyDescent="0.25">
      <c r="A621" s="17" t="s">
        <v>1970</v>
      </c>
      <c r="B621" s="17" t="s">
        <v>70</v>
      </c>
      <c r="C621" s="17" t="s">
        <v>71</v>
      </c>
      <c r="D621" t="s">
        <v>1971</v>
      </c>
      <c r="F621" t="s">
        <v>1972</v>
      </c>
      <c r="J621" s="17" t="s">
        <v>1973</v>
      </c>
      <c r="K621" s="18">
        <f>61402854667</f>
        <v>61402854667</v>
      </c>
      <c r="N621" s="17" t="s">
        <v>77</v>
      </c>
      <c r="U621" s="17"/>
      <c r="V621" s="18">
        <f>61402854667</f>
        <v>61402854667</v>
      </c>
      <c r="W621" t="s">
        <v>1903</v>
      </c>
    </row>
    <row r="622" ht="15" customHeight="1" spans="1:28" x14ac:dyDescent="0.25">
      <c r="A622" s="17" t="s">
        <v>1974</v>
      </c>
      <c r="B622" s="17" t="s">
        <v>70</v>
      </c>
      <c r="C622" s="17" t="s">
        <v>71</v>
      </c>
      <c r="D622" t="s">
        <v>1975</v>
      </c>
      <c r="F622" t="s">
        <v>1976</v>
      </c>
      <c r="J622" s="17" t="s">
        <v>1977</v>
      </c>
      <c r="K622" s="18" t="s">
        <v>1978</v>
      </c>
      <c r="N622" s="17" t="s">
        <v>77</v>
      </c>
      <c r="O622" t="s">
        <v>199</v>
      </c>
      <c r="U622" s="17"/>
      <c r="V622" s="18" t="s">
        <v>1978</v>
      </c>
      <c r="W622" t="s">
        <v>1979</v>
      </c>
      <c r="Y622" t="s">
        <v>181</v>
      </c>
      <c r="AA622" s="17" t="s">
        <v>1672</v>
      </c>
      <c r="AB622" t="s">
        <v>119</v>
      </c>
    </row>
    <row r="623" ht="15" customHeight="1" spans="1:22" x14ac:dyDescent="0.25">
      <c r="A623" s="17" t="s">
        <v>1980</v>
      </c>
      <c r="B623" s="17" t="s">
        <v>70</v>
      </c>
      <c r="C623" s="17" t="s">
        <v>71</v>
      </c>
      <c r="D623" t="s">
        <v>1981</v>
      </c>
      <c r="F623" t="s">
        <v>1982</v>
      </c>
      <c r="K623" s="18">
        <f>628121005566</f>
        <v>628121005566</v>
      </c>
      <c r="N623" s="17" t="s">
        <v>77</v>
      </c>
      <c r="V623" s="18">
        <f>628121005566</f>
        <v>628121005566</v>
      </c>
    </row>
    <row r="624" ht="15" customHeight="1" spans="1:22" x14ac:dyDescent="0.25">
      <c r="A624" s="17" t="s">
        <v>1983</v>
      </c>
      <c r="B624" s="17" t="s">
        <v>70</v>
      </c>
      <c r="C624" s="17" t="s">
        <v>71</v>
      </c>
      <c r="D624" t="s">
        <v>1984</v>
      </c>
      <c r="F624" t="s">
        <v>1985</v>
      </c>
      <c r="K624" s="18">
        <f>31625507809</f>
        <v>31625507809</v>
      </c>
      <c r="N624" s="17" t="s">
        <v>81</v>
      </c>
      <c r="V624" s="18">
        <f>31625507809</f>
        <v>31625507809</v>
      </c>
    </row>
    <row r="625" ht="15" customHeight="1" spans="1:22" x14ac:dyDescent="0.25">
      <c r="A625" s="17" t="s">
        <v>1986</v>
      </c>
      <c r="B625" s="17" t="s">
        <v>70</v>
      </c>
      <c r="C625" s="17" t="s">
        <v>71</v>
      </c>
      <c r="D625" t="s">
        <v>1987</v>
      </c>
      <c r="F625" t="s">
        <v>1499</v>
      </c>
      <c r="K625" s="18">
        <f>62808022024</f>
        <v>62808022024</v>
      </c>
      <c r="N625" s="17" t="s">
        <v>81</v>
      </c>
      <c r="V625" s="18">
        <f>62808022024</f>
        <v>62808022024</v>
      </c>
    </row>
    <row r="626" ht="15" customHeight="1" spans="1:22" x14ac:dyDescent="0.25">
      <c r="A626" s="17" t="s">
        <v>1988</v>
      </c>
      <c r="B626" s="17" t="s">
        <v>70</v>
      </c>
      <c r="C626" s="17" t="s">
        <v>71</v>
      </c>
      <c r="D626" t="s">
        <v>1989</v>
      </c>
      <c r="F626" t="s">
        <v>1989</v>
      </c>
      <c r="K626" s="18">
        <f>62811110519</f>
        <v>62811110519</v>
      </c>
      <c r="N626" s="17" t="s">
        <v>77</v>
      </c>
      <c r="V626" s="18">
        <f>62811110519</f>
        <v>62811110519</v>
      </c>
    </row>
    <row r="627" ht="15" customHeight="1" spans="1:22" x14ac:dyDescent="0.25">
      <c r="A627" s="17" t="s">
        <v>1990</v>
      </c>
      <c r="B627" s="17" t="s">
        <v>70</v>
      </c>
      <c r="C627" s="17" t="s">
        <v>71</v>
      </c>
      <c r="D627" t="s">
        <v>1991</v>
      </c>
      <c r="F627" t="s">
        <v>1499</v>
      </c>
      <c r="K627" s="18">
        <f>966500000769</f>
        <v>966500000769</v>
      </c>
      <c r="N627" s="17" t="s">
        <v>77</v>
      </c>
      <c r="V627" s="18">
        <f>966500000769</f>
        <v>966500000769</v>
      </c>
    </row>
    <row r="628" ht="15" customHeight="1" spans="1:22" x14ac:dyDescent="0.25">
      <c r="A628" s="17" t="s">
        <v>1992</v>
      </c>
      <c r="B628" s="17" t="s">
        <v>70</v>
      </c>
      <c r="C628" s="17" t="s">
        <v>71</v>
      </c>
      <c r="D628" t="s">
        <v>1993</v>
      </c>
      <c r="F628" t="s">
        <v>301</v>
      </c>
      <c r="J628" s="17" t="s">
        <v>1994</v>
      </c>
      <c r="K628" s="18">
        <f>966590076137</f>
        <v>966590076137</v>
      </c>
      <c r="N628" s="17" t="s">
        <v>77</v>
      </c>
      <c r="V628" s="18">
        <f>966590076137</f>
        <v>966590076137</v>
      </c>
    </row>
    <row r="629" ht="15" customHeight="1" spans="1:25" x14ac:dyDescent="0.25">
      <c r="A629" s="17" t="s">
        <v>1995</v>
      </c>
      <c r="B629" s="17" t="s">
        <v>70</v>
      </c>
      <c r="C629" s="17" t="s">
        <v>71</v>
      </c>
      <c r="D629" t="s">
        <v>1996</v>
      </c>
      <c r="F629" t="s">
        <v>1997</v>
      </c>
      <c r="K629" s="18">
        <f>6281212035279</f>
        <v>6281212035279</v>
      </c>
      <c r="N629" s="17" t="s">
        <v>77</v>
      </c>
      <c r="U629" s="17"/>
      <c r="V629" s="18">
        <f>6281212035279</f>
        <v>6281212035279</v>
      </c>
      <c r="W629" t="s">
        <v>1998</v>
      </c>
      <c r="Y629" t="s">
        <v>704</v>
      </c>
    </row>
    <row r="630" ht="15" customHeight="1" spans="1:28" x14ac:dyDescent="0.25">
      <c r="A630" s="17" t="s">
        <v>1999</v>
      </c>
      <c r="B630" s="17" t="s">
        <v>70</v>
      </c>
      <c r="C630" s="17" t="s">
        <v>71</v>
      </c>
      <c r="D630" t="s">
        <v>2000</v>
      </c>
      <c r="F630" t="s">
        <v>2000</v>
      </c>
      <c r="J630" t="s">
        <v>115</v>
      </c>
      <c r="K630" s="18" t="s">
        <v>2001</v>
      </c>
      <c r="N630" s="17" t="s">
        <v>77</v>
      </c>
      <c r="O630" t="s">
        <v>117</v>
      </c>
      <c r="V630" s="18" t="s">
        <v>2001</v>
      </c>
      <c r="Y630" t="s">
        <v>190</v>
      </c>
      <c r="AA630" t="s">
        <v>118</v>
      </c>
      <c r="AB630" t="s">
        <v>119</v>
      </c>
    </row>
    <row r="631" ht="15" customHeight="1" spans="1:27" x14ac:dyDescent="0.25">
      <c r="A631" s="17" t="s">
        <v>2002</v>
      </c>
      <c r="B631" s="17" t="s">
        <v>70</v>
      </c>
      <c r="C631" s="17" t="s">
        <v>71</v>
      </c>
      <c r="D631" t="s">
        <v>2003</v>
      </c>
      <c r="F631" t="s">
        <v>2004</v>
      </c>
      <c r="J631" s="17" t="s">
        <v>2005</v>
      </c>
      <c r="K631" s="18">
        <f>6287884987100</f>
        <v>6287884987100</v>
      </c>
      <c r="N631" s="17" t="s">
        <v>74</v>
      </c>
      <c r="U631" s="17"/>
      <c r="V631" s="18">
        <f>6287884987100</f>
        <v>6287884987100</v>
      </c>
      <c r="W631" t="s">
        <v>2006</v>
      </c>
      <c r="Y631" s="17" t="s">
        <v>90</v>
      </c>
      <c r="AA631" s="17">
        <v>12920</v>
      </c>
    </row>
    <row r="632" ht="15" customHeight="1" spans="1:28" x14ac:dyDescent="0.25">
      <c r="A632" s="17" t="s">
        <v>2007</v>
      </c>
      <c r="B632" s="17" t="s">
        <v>70</v>
      </c>
      <c r="C632" s="17" t="s">
        <v>71</v>
      </c>
      <c r="D632" t="s">
        <v>2008</v>
      </c>
      <c r="F632" t="s">
        <v>2009</v>
      </c>
      <c r="J632" s="17" t="s">
        <v>2010</v>
      </c>
      <c r="K632" s="18" t="s">
        <v>2011</v>
      </c>
      <c r="N632" s="17" t="s">
        <v>77</v>
      </c>
      <c r="O632" t="s">
        <v>117</v>
      </c>
      <c r="U632" s="17"/>
      <c r="V632" s="18" t="s">
        <v>2011</v>
      </c>
      <c r="W632" t="s">
        <v>251</v>
      </c>
      <c r="Y632" t="s">
        <v>251</v>
      </c>
      <c r="AA632" t="s">
        <v>115</v>
      </c>
      <c r="AB632" t="s">
        <v>251</v>
      </c>
    </row>
    <row r="633" ht="15" customHeight="1" spans="1:22" x14ac:dyDescent="0.25">
      <c r="A633" s="17" t="s">
        <v>2012</v>
      </c>
      <c r="B633" s="17" t="s">
        <v>70</v>
      </c>
      <c r="C633" s="17" t="s">
        <v>71</v>
      </c>
      <c r="D633" t="s">
        <v>2013</v>
      </c>
      <c r="F633" t="s">
        <v>2013</v>
      </c>
      <c r="K633" s="18">
        <f>62818767157</f>
        <v>62818767157</v>
      </c>
      <c r="N633" s="17" t="s">
        <v>81</v>
      </c>
      <c r="V633" s="18">
        <f>62818767157</f>
        <v>62818767157</v>
      </c>
    </row>
    <row r="634" ht="15" customHeight="1" spans="1:22" x14ac:dyDescent="0.25">
      <c r="A634" s="17" t="s">
        <v>2014</v>
      </c>
      <c r="B634" s="17" t="s">
        <v>70</v>
      </c>
      <c r="C634" s="17" t="s">
        <v>71</v>
      </c>
      <c r="D634" t="s">
        <v>2015</v>
      </c>
      <c r="F634" t="s">
        <v>2016</v>
      </c>
      <c r="K634" s="18">
        <f>628112342485</f>
        <v>628112342485</v>
      </c>
      <c r="N634" s="17" t="s">
        <v>81</v>
      </c>
      <c r="V634" s="18">
        <f>628112342485</f>
        <v>628112342485</v>
      </c>
    </row>
    <row r="635" ht="15" customHeight="1" spans="1:28" x14ac:dyDescent="0.25">
      <c r="A635" s="17" t="s">
        <v>2017</v>
      </c>
      <c r="B635" s="17" t="s">
        <v>70</v>
      </c>
      <c r="C635" s="17" t="s">
        <v>71</v>
      </c>
      <c r="D635" t="s">
        <v>2018</v>
      </c>
      <c r="F635" t="s">
        <v>2019</v>
      </c>
      <c r="J635" s="17" t="s">
        <v>2020</v>
      </c>
      <c r="K635" s="18" t="s">
        <v>2021</v>
      </c>
      <c r="N635" s="17" t="s">
        <v>77</v>
      </c>
      <c r="O635" t="s">
        <v>117</v>
      </c>
      <c r="U635" s="17"/>
      <c r="V635" s="18" t="s">
        <v>2021</v>
      </c>
      <c r="W635" t="s">
        <v>251</v>
      </c>
      <c r="Y635" t="s">
        <v>251</v>
      </c>
      <c r="AA635" t="s">
        <v>115</v>
      </c>
      <c r="AB635" t="s">
        <v>251</v>
      </c>
    </row>
    <row r="636" ht="15" customHeight="1" spans="1:22" x14ac:dyDescent="0.25">
      <c r="A636" s="17" t="s">
        <v>2022</v>
      </c>
      <c r="B636" s="17" t="s">
        <v>70</v>
      </c>
      <c r="C636" s="17" t="s">
        <v>71</v>
      </c>
      <c r="D636" t="s">
        <v>2023</v>
      </c>
      <c r="F636" t="s">
        <v>1499</v>
      </c>
      <c r="K636" s="18">
        <f>96555101103</f>
        <v>96555101103</v>
      </c>
      <c r="N636" s="17" t="s">
        <v>81</v>
      </c>
      <c r="V636" s="18">
        <f>96555101103</f>
        <v>96555101103</v>
      </c>
    </row>
    <row r="637" ht="15" customHeight="1" spans="1:23" x14ac:dyDescent="0.25">
      <c r="A637" s="17" t="s">
        <v>2024</v>
      </c>
      <c r="B637" s="17" t="s">
        <v>70</v>
      </c>
      <c r="C637" s="17" t="s">
        <v>71</v>
      </c>
      <c r="D637" t="s">
        <v>2025</v>
      </c>
      <c r="F637" t="s">
        <v>1499</v>
      </c>
      <c r="K637" s="18">
        <f>966501353811</f>
        <v>966501353811</v>
      </c>
      <c r="N637" s="17" t="s">
        <v>81</v>
      </c>
      <c r="U637" s="17"/>
      <c r="V637" s="18">
        <f>966501353811</f>
        <v>966501353811</v>
      </c>
      <c r="W637" t="s">
        <v>2026</v>
      </c>
    </row>
    <row r="638" ht="15" customHeight="1" spans="1:23" x14ac:dyDescent="0.25">
      <c r="A638" s="17" t="s">
        <v>2027</v>
      </c>
      <c r="B638" s="17" t="s">
        <v>70</v>
      </c>
      <c r="C638" s="17" t="s">
        <v>71</v>
      </c>
      <c r="D638" t="s">
        <v>2028</v>
      </c>
      <c r="F638" t="s">
        <v>2029</v>
      </c>
      <c r="K638" s="18">
        <f>628120720255</f>
        <v>628120720255</v>
      </c>
      <c r="N638" s="17" t="s">
        <v>77</v>
      </c>
      <c r="U638" s="17"/>
      <c r="V638" s="18">
        <f>628120720255</f>
        <v>628120720255</v>
      </c>
      <c r="W638" t="s">
        <v>2030</v>
      </c>
    </row>
    <row r="639" ht="15" customHeight="1" spans="1:23" x14ac:dyDescent="0.25">
      <c r="A639" s="17" t="s">
        <v>2031</v>
      </c>
      <c r="B639" s="17" t="s">
        <v>70</v>
      </c>
      <c r="C639" s="17" t="s">
        <v>71</v>
      </c>
      <c r="D639" t="s">
        <v>2032</v>
      </c>
      <c r="F639" t="s">
        <v>301</v>
      </c>
      <c r="K639" s="18">
        <f>966505519098</f>
        <v>966505519098</v>
      </c>
      <c r="N639" s="17" t="s">
        <v>77</v>
      </c>
      <c r="U639" s="17"/>
      <c r="V639" s="18">
        <f>966505519098</f>
        <v>966505519098</v>
      </c>
      <c r="W639" t="s">
        <v>251</v>
      </c>
    </row>
    <row r="640" ht="15" customHeight="1" spans="1:28" x14ac:dyDescent="0.25">
      <c r="A640" s="17" t="s">
        <v>2033</v>
      </c>
      <c r="B640" s="17" t="s">
        <v>70</v>
      </c>
      <c r="C640" s="17" t="s">
        <v>71</v>
      </c>
      <c r="D640" t="s">
        <v>2034</v>
      </c>
      <c r="F640" t="s">
        <v>2035</v>
      </c>
      <c r="J640" s="17" t="s">
        <v>2036</v>
      </c>
      <c r="K640" s="18" t="s">
        <v>2037</v>
      </c>
      <c r="N640" s="17" t="s">
        <v>77</v>
      </c>
      <c r="O640" t="s">
        <v>117</v>
      </c>
      <c r="V640" s="18" t="s">
        <v>2037</v>
      </c>
      <c r="Y640" t="s">
        <v>251</v>
      </c>
      <c r="AA640" t="s">
        <v>115</v>
      </c>
      <c r="AB640" t="s">
        <v>251</v>
      </c>
    </row>
    <row r="641" ht="15" customHeight="1" spans="1:23" x14ac:dyDescent="0.25">
      <c r="A641" s="17" t="s">
        <v>2038</v>
      </c>
      <c r="B641" s="17" t="s">
        <v>70</v>
      </c>
      <c r="C641" s="17" t="s">
        <v>71</v>
      </c>
      <c r="D641" t="s">
        <v>2039</v>
      </c>
      <c r="F641" t="s">
        <v>167</v>
      </c>
      <c r="K641" s="18">
        <f>966564004021</f>
        <v>966564004021</v>
      </c>
      <c r="N641" s="17" t="s">
        <v>77</v>
      </c>
      <c r="U641" s="17"/>
      <c r="V641" s="18">
        <f>966564004021</f>
        <v>966564004021</v>
      </c>
      <c r="W641" t="s">
        <v>168</v>
      </c>
    </row>
    <row r="642" ht="15" customHeight="1" spans="1:28" x14ac:dyDescent="0.25">
      <c r="A642" s="17" t="s">
        <v>2040</v>
      </c>
      <c r="B642" s="17" t="s">
        <v>70</v>
      </c>
      <c r="C642" s="17" t="s">
        <v>71</v>
      </c>
      <c r="D642" t="s">
        <v>2041</v>
      </c>
      <c r="F642" t="s">
        <v>355</v>
      </c>
      <c r="J642" s="17" t="s">
        <v>2042</v>
      </c>
      <c r="K642" s="18" t="s">
        <v>2043</v>
      </c>
      <c r="N642" s="17" t="s">
        <v>77</v>
      </c>
      <c r="O642" t="s">
        <v>117</v>
      </c>
      <c r="U642" s="17"/>
      <c r="V642" s="18" t="s">
        <v>2043</v>
      </c>
      <c r="W642" t="s">
        <v>2044</v>
      </c>
      <c r="Y642" s="17" t="s">
        <v>251</v>
      </c>
      <c r="AA642" t="s">
        <v>115</v>
      </c>
      <c r="AB642" t="s">
        <v>251</v>
      </c>
    </row>
    <row r="643" ht="15" customHeight="1" spans="1:28" x14ac:dyDescent="0.25">
      <c r="A643" s="17" t="s">
        <v>2045</v>
      </c>
      <c r="B643" s="17" t="s">
        <v>70</v>
      </c>
      <c r="C643" s="17" t="s">
        <v>71</v>
      </c>
      <c r="D643" t="s">
        <v>2046</v>
      </c>
      <c r="F643" t="s">
        <v>2047</v>
      </c>
      <c r="J643" s="17" t="s">
        <v>2048</v>
      </c>
      <c r="K643" s="18" t="s">
        <v>2049</v>
      </c>
      <c r="N643" s="17" t="s">
        <v>77</v>
      </c>
      <c r="O643" t="s">
        <v>117</v>
      </c>
      <c r="V643" s="18" t="s">
        <v>2049</v>
      </c>
      <c r="Y643" t="s">
        <v>115</v>
      </c>
      <c r="AA643" t="s">
        <v>115</v>
      </c>
      <c r="AB643" t="s">
        <v>251</v>
      </c>
    </row>
    <row r="644" ht="15" customHeight="1" spans="1:22" x14ac:dyDescent="0.25">
      <c r="A644" s="17" t="s">
        <v>2050</v>
      </c>
      <c r="B644" s="17" t="s">
        <v>70</v>
      </c>
      <c r="C644" s="17" t="s">
        <v>71</v>
      </c>
      <c r="D644" t="s">
        <v>2051</v>
      </c>
      <c r="F644" t="s">
        <v>2052</v>
      </c>
      <c r="K644" s="18">
        <f>628161616160</f>
        <v>628161616160</v>
      </c>
      <c r="N644" s="17" t="s">
        <v>77</v>
      </c>
      <c r="V644" s="18">
        <f>628161616160</f>
        <v>628161616160</v>
      </c>
    </row>
    <row r="645" ht="15" customHeight="1" spans="1:22" x14ac:dyDescent="0.25">
      <c r="A645" s="17" t="s">
        <v>2053</v>
      </c>
      <c r="B645" s="17" t="s">
        <v>70</v>
      </c>
      <c r="C645" s="17" t="s">
        <v>71</v>
      </c>
      <c r="D645" t="s">
        <v>2054</v>
      </c>
      <c r="F645" t="s">
        <v>2054</v>
      </c>
      <c r="K645" s="18">
        <f>628135658899</f>
        <v>628135658899</v>
      </c>
      <c r="N645" s="17" t="s">
        <v>81</v>
      </c>
      <c r="V645" s="18">
        <f>628135658899</f>
        <v>628135658899</v>
      </c>
    </row>
    <row r="646" ht="15" customHeight="1" spans="1:22" x14ac:dyDescent="0.25">
      <c r="A646" s="17" t="s">
        <v>2055</v>
      </c>
      <c r="B646" s="17" t="s">
        <v>70</v>
      </c>
      <c r="C646" s="17" t="s">
        <v>71</v>
      </c>
      <c r="D646" t="s">
        <v>2056</v>
      </c>
      <c r="F646" t="s">
        <v>2057</v>
      </c>
      <c r="K646" s="18">
        <f>628161437799</f>
        <v>628161437799</v>
      </c>
      <c r="N646" s="17" t="s">
        <v>77</v>
      </c>
      <c r="V646" s="18">
        <f>628161437799</f>
        <v>628161437799</v>
      </c>
    </row>
    <row r="647" ht="15" customHeight="1" spans="1:28" x14ac:dyDescent="0.25">
      <c r="A647" s="17" t="s">
        <v>2058</v>
      </c>
      <c r="B647" s="17" t="s">
        <v>70</v>
      </c>
      <c r="C647" s="17" t="s">
        <v>71</v>
      </c>
      <c r="D647" t="s">
        <v>2059</v>
      </c>
      <c r="F647" t="s">
        <v>2060</v>
      </c>
      <c r="J647" t="s">
        <v>115</v>
      </c>
      <c r="K647" s="18" t="s">
        <v>2061</v>
      </c>
      <c r="N647" s="17" t="s">
        <v>77</v>
      </c>
      <c r="O647" t="s">
        <v>199</v>
      </c>
      <c r="V647" s="18" t="s">
        <v>2061</v>
      </c>
      <c r="Y647" t="s">
        <v>1553</v>
      </c>
      <c r="AA647" t="s">
        <v>115</v>
      </c>
      <c r="AB647" t="s">
        <v>119</v>
      </c>
    </row>
    <row r="648" ht="15" customHeight="1" spans="1:22" x14ac:dyDescent="0.25">
      <c r="A648" s="17" t="s">
        <v>2062</v>
      </c>
      <c r="B648" s="17" t="s">
        <v>70</v>
      </c>
      <c r="C648" s="17" t="s">
        <v>71</v>
      </c>
      <c r="D648" t="s">
        <v>2063</v>
      </c>
      <c r="F648" t="s">
        <v>2063</v>
      </c>
      <c r="K648" s="18">
        <f>6282110010034</f>
        <v>6282110010034</v>
      </c>
      <c r="N648" s="17" t="s">
        <v>77</v>
      </c>
      <c r="V648" s="18">
        <f>6282110010034</f>
        <v>6282110010034</v>
      </c>
    </row>
    <row r="649" ht="15" customHeight="1" spans="1:22" x14ac:dyDescent="0.25">
      <c r="A649" s="17" t="s">
        <v>2064</v>
      </c>
      <c r="B649" s="17" t="s">
        <v>70</v>
      </c>
      <c r="C649" s="17" t="s">
        <v>71</v>
      </c>
      <c r="D649" t="s">
        <v>2063</v>
      </c>
      <c r="F649" t="s">
        <v>2065</v>
      </c>
      <c r="K649" s="18">
        <f>6281249698364</f>
        <v>6281249698364</v>
      </c>
      <c r="N649" s="17" t="s">
        <v>77</v>
      </c>
      <c r="V649" s="18">
        <f>6281249698364</f>
        <v>6281249698364</v>
      </c>
    </row>
    <row r="650" ht="15" customHeight="1" spans="1:28" x14ac:dyDescent="0.25">
      <c r="A650" s="17" t="s">
        <v>2066</v>
      </c>
      <c r="B650" s="17" t="s">
        <v>70</v>
      </c>
      <c r="C650" s="17" t="s">
        <v>71</v>
      </c>
      <c r="D650" t="s">
        <v>2067</v>
      </c>
      <c r="F650" t="s">
        <v>131</v>
      </c>
      <c r="J650" t="s">
        <v>115</v>
      </c>
      <c r="K650" s="18" t="s">
        <v>2068</v>
      </c>
      <c r="N650" s="17" t="s">
        <v>81</v>
      </c>
      <c r="O650" t="s">
        <v>117</v>
      </c>
      <c r="V650" s="18" t="s">
        <v>2068</v>
      </c>
      <c r="Y650" t="s">
        <v>90</v>
      </c>
      <c r="AA650" t="s">
        <v>118</v>
      </c>
      <c r="AB650" t="s">
        <v>119</v>
      </c>
    </row>
    <row r="651" ht="15" customHeight="1" spans="1:25" x14ac:dyDescent="0.25">
      <c r="A651" s="17" t="s">
        <v>2069</v>
      </c>
      <c r="B651" s="17" t="s">
        <v>70</v>
      </c>
      <c r="C651" s="17" t="s">
        <v>71</v>
      </c>
      <c r="D651" t="s">
        <v>2067</v>
      </c>
      <c r="F651" t="s">
        <v>669</v>
      </c>
      <c r="K651" s="18">
        <f>62811296098</f>
        <v>62811296098</v>
      </c>
      <c r="N651" s="17" t="s">
        <v>77</v>
      </c>
      <c r="U651" s="17"/>
      <c r="V651" s="18">
        <f>62811296098</f>
        <v>62811296098</v>
      </c>
      <c r="W651" t="s">
        <v>2070</v>
      </c>
      <c r="Y651" s="17" t="s">
        <v>410</v>
      </c>
    </row>
    <row r="652" ht="15" customHeight="1" spans="1:22" x14ac:dyDescent="0.25">
      <c r="A652" s="17" t="s">
        <v>2071</v>
      </c>
      <c r="B652" s="17" t="s">
        <v>70</v>
      </c>
      <c r="C652" s="17" t="s">
        <v>71</v>
      </c>
      <c r="D652" t="s">
        <v>2067</v>
      </c>
      <c r="F652" t="s">
        <v>633</v>
      </c>
      <c r="K652" s="18">
        <f>6597360509</f>
        <v>6597360509</v>
      </c>
      <c r="N652" s="17" t="s">
        <v>77</v>
      </c>
      <c r="V652" s="18">
        <f>6597360509</f>
        <v>6597360509</v>
      </c>
    </row>
    <row r="653" ht="15" customHeight="1" spans="1:22" x14ac:dyDescent="0.25">
      <c r="A653" s="17" t="s">
        <v>2072</v>
      </c>
      <c r="B653" s="17" t="s">
        <v>70</v>
      </c>
      <c r="C653" s="17" t="s">
        <v>71</v>
      </c>
      <c r="D653" t="s">
        <v>2067</v>
      </c>
      <c r="F653" t="s">
        <v>2073</v>
      </c>
      <c r="K653" s="18">
        <f>6281586878687</f>
        <v>6281586878687</v>
      </c>
      <c r="N653" s="17" t="s">
        <v>77</v>
      </c>
      <c r="V653" s="18">
        <f>6281586878687</f>
        <v>6281586878687</v>
      </c>
    </row>
    <row r="654" ht="15" customHeight="1" spans="1:27" x14ac:dyDescent="0.25">
      <c r="A654" s="17" t="s">
        <v>2074</v>
      </c>
      <c r="B654" s="17" t="s">
        <v>70</v>
      </c>
      <c r="C654" s="17" t="s">
        <v>71</v>
      </c>
      <c r="D654" t="s">
        <v>2067</v>
      </c>
      <c r="F654" t="s">
        <v>1982</v>
      </c>
      <c r="K654" s="18">
        <f>628113297887</f>
        <v>628113297887</v>
      </c>
      <c r="N654" s="17" t="s">
        <v>81</v>
      </c>
      <c r="U654" s="17"/>
      <c r="V654" s="18">
        <f>628113297887</f>
        <v>628113297887</v>
      </c>
      <c r="W654" t="s">
        <v>2075</v>
      </c>
      <c r="Y654" s="17" t="s">
        <v>704</v>
      </c>
      <c r="AA654" s="17">
        <v>60264</v>
      </c>
    </row>
    <row r="655" ht="15" customHeight="1" spans="1:23" x14ac:dyDescent="0.25">
      <c r="A655" s="17" t="s">
        <v>2076</v>
      </c>
      <c r="B655" s="17" t="s">
        <v>70</v>
      </c>
      <c r="C655" s="17" t="s">
        <v>71</v>
      </c>
      <c r="D655" t="s">
        <v>2067</v>
      </c>
      <c r="F655" t="s">
        <v>2077</v>
      </c>
      <c r="J655" s="17" t="s">
        <v>2078</v>
      </c>
      <c r="K655" s="18">
        <f>6281339480948</f>
        <v>6281339480948</v>
      </c>
      <c r="N655" s="17" t="s">
        <v>77</v>
      </c>
      <c r="U655" s="17"/>
      <c r="V655" s="18">
        <f>6281339480948</f>
        <v>6281339480948</v>
      </c>
      <c r="W655" t="s">
        <v>119</v>
      </c>
    </row>
    <row r="656" ht="15" customHeight="1" spans="1:28" x14ac:dyDescent="0.25">
      <c r="A656" s="17" t="s">
        <v>2079</v>
      </c>
      <c r="B656" s="17" t="s">
        <v>70</v>
      </c>
      <c r="C656" s="17" t="s">
        <v>71</v>
      </c>
      <c r="D656" t="s">
        <v>2067</v>
      </c>
      <c r="F656" t="s">
        <v>2080</v>
      </c>
      <c r="J656" t="s">
        <v>115</v>
      </c>
      <c r="K656" s="18" t="s">
        <v>2081</v>
      </c>
      <c r="N656" s="17" t="s">
        <v>74</v>
      </c>
      <c r="O656" t="s">
        <v>145</v>
      </c>
      <c r="U656" s="17"/>
      <c r="V656" s="18" t="s">
        <v>2081</v>
      </c>
      <c r="W656" t="s">
        <v>500</v>
      </c>
      <c r="Y656" s="17" t="s">
        <v>500</v>
      </c>
      <c r="AA656" t="s">
        <v>501</v>
      </c>
      <c r="AB656" t="s">
        <v>119</v>
      </c>
    </row>
    <row r="657" ht="15" customHeight="1" spans="1:22" x14ac:dyDescent="0.25">
      <c r="A657" s="17" t="s">
        <v>2082</v>
      </c>
      <c r="B657" s="17" t="s">
        <v>70</v>
      </c>
      <c r="C657" s="17" t="s">
        <v>71</v>
      </c>
      <c r="D657" t="s">
        <v>2083</v>
      </c>
      <c r="F657" t="s">
        <v>2083</v>
      </c>
      <c r="K657" s="18">
        <f>628111808855</f>
        <v>628111808855</v>
      </c>
      <c r="N657" s="17" t="s">
        <v>81</v>
      </c>
      <c r="V657" s="18">
        <f>628111808855</f>
        <v>628111808855</v>
      </c>
    </row>
    <row r="658" ht="15" customHeight="1" spans="1:28" x14ac:dyDescent="0.25">
      <c r="A658" s="17" t="s">
        <v>2084</v>
      </c>
      <c r="B658" s="17" t="s">
        <v>70</v>
      </c>
      <c r="C658" s="17" t="s">
        <v>71</v>
      </c>
      <c r="D658" t="s">
        <v>2083</v>
      </c>
      <c r="F658" t="s">
        <v>1690</v>
      </c>
      <c r="J658" t="s">
        <v>115</v>
      </c>
      <c r="K658" s="18" t="s">
        <v>2085</v>
      </c>
      <c r="N658" s="17" t="s">
        <v>77</v>
      </c>
      <c r="O658" t="s">
        <v>145</v>
      </c>
      <c r="V658" s="18" t="s">
        <v>2085</v>
      </c>
      <c r="Y658" t="s">
        <v>90</v>
      </c>
      <c r="AA658" t="s">
        <v>118</v>
      </c>
      <c r="AB658" t="s">
        <v>119</v>
      </c>
    </row>
    <row r="659" ht="15" customHeight="1" spans="1:22" x14ac:dyDescent="0.25">
      <c r="A659" s="17" t="s">
        <v>2086</v>
      </c>
      <c r="B659" s="17" t="s">
        <v>70</v>
      </c>
      <c r="C659" s="17" t="s">
        <v>71</v>
      </c>
      <c r="D659" t="s">
        <v>2083</v>
      </c>
      <c r="F659" t="s">
        <v>2087</v>
      </c>
      <c r="K659" s="18">
        <f>628129377775</f>
        <v>628129377775</v>
      </c>
      <c r="N659" s="17" t="s">
        <v>77</v>
      </c>
      <c r="V659" s="18">
        <f>628129377775</f>
        <v>628129377775</v>
      </c>
    </row>
    <row r="660" ht="15" customHeight="1" spans="1:22" x14ac:dyDescent="0.25">
      <c r="A660" s="17" t="s">
        <v>2088</v>
      </c>
      <c r="B660" s="17" t="s">
        <v>70</v>
      </c>
      <c r="C660" s="17" t="s">
        <v>71</v>
      </c>
      <c r="D660" t="s">
        <v>2089</v>
      </c>
      <c r="F660" t="s">
        <v>2090</v>
      </c>
      <c r="K660" s="18">
        <f>6282192875776</f>
        <v>6282192875776</v>
      </c>
      <c r="N660" s="17" t="s">
        <v>77</v>
      </c>
      <c r="V660" s="18">
        <f>6282192875776</f>
        <v>6282192875776</v>
      </c>
    </row>
    <row r="661" ht="15" customHeight="1" spans="1:22" x14ac:dyDescent="0.25">
      <c r="A661" s="17" t="s">
        <v>2091</v>
      </c>
      <c r="B661" s="17" t="s">
        <v>70</v>
      </c>
      <c r="C661" s="17" t="s">
        <v>71</v>
      </c>
      <c r="D661" t="s">
        <v>2092</v>
      </c>
      <c r="F661" t="s">
        <v>584</v>
      </c>
      <c r="K661" s="18">
        <f>62811180963</f>
        <v>62811180963</v>
      </c>
      <c r="N661" s="17" t="s">
        <v>81</v>
      </c>
      <c r="V661" s="18">
        <f>62811180963</f>
        <v>62811180963</v>
      </c>
    </row>
    <row r="662" ht="15" customHeight="1" spans="1:25" x14ac:dyDescent="0.25">
      <c r="A662" s="17" t="s">
        <v>2093</v>
      </c>
      <c r="B662" s="17" t="s">
        <v>70</v>
      </c>
      <c r="C662" s="17" t="s">
        <v>71</v>
      </c>
      <c r="D662" t="s">
        <v>2094</v>
      </c>
      <c r="F662" t="s">
        <v>618</v>
      </c>
      <c r="K662" s="18">
        <f>62215252195</f>
        <v>62215252195</v>
      </c>
      <c r="N662" s="17" t="s">
        <v>74</v>
      </c>
      <c r="U662" s="17"/>
      <c r="V662" s="18">
        <f>62215252195</f>
        <v>62215252195</v>
      </c>
      <c r="W662" t="s">
        <v>2095</v>
      </c>
      <c r="Y662" s="17" t="s">
        <v>96</v>
      </c>
    </row>
    <row r="663" ht="15" customHeight="1" spans="1:28" x14ac:dyDescent="0.25">
      <c r="A663" s="17" t="s">
        <v>2096</v>
      </c>
      <c r="B663" s="17" t="s">
        <v>70</v>
      </c>
      <c r="C663" s="17" t="s">
        <v>71</v>
      </c>
      <c r="D663" t="s">
        <v>2097</v>
      </c>
      <c r="F663" t="s">
        <v>2098</v>
      </c>
      <c r="J663" t="s">
        <v>115</v>
      </c>
      <c r="K663" s="18" t="s">
        <v>2099</v>
      </c>
      <c r="N663" s="17" t="s">
        <v>77</v>
      </c>
      <c r="O663" t="s">
        <v>199</v>
      </c>
      <c r="V663" s="18" t="s">
        <v>2099</v>
      </c>
      <c r="Y663" t="s">
        <v>90</v>
      </c>
      <c r="AA663" t="s">
        <v>118</v>
      </c>
      <c r="AB663" t="s">
        <v>119</v>
      </c>
    </row>
    <row r="664" ht="15" customHeight="1" spans="1:22" x14ac:dyDescent="0.25">
      <c r="A664" s="17" t="s">
        <v>2100</v>
      </c>
      <c r="B664" s="17" t="s">
        <v>70</v>
      </c>
      <c r="C664" s="17" t="s">
        <v>71</v>
      </c>
      <c r="D664" t="s">
        <v>2101</v>
      </c>
      <c r="F664" t="s">
        <v>2101</v>
      </c>
      <c r="K664" s="18">
        <f>6287888293116</f>
        <v>6287888293116</v>
      </c>
      <c r="N664" s="17" t="s">
        <v>81</v>
      </c>
      <c r="V664" s="18">
        <f>6287888293116</f>
        <v>6287888293116</v>
      </c>
    </row>
    <row r="665" ht="15" customHeight="1" spans="1:22" x14ac:dyDescent="0.25">
      <c r="A665" s="17" t="s">
        <v>2102</v>
      </c>
      <c r="B665" s="17" t="s">
        <v>70</v>
      </c>
      <c r="C665" s="17" t="s">
        <v>71</v>
      </c>
      <c r="D665" t="s">
        <v>2101</v>
      </c>
      <c r="F665" t="s">
        <v>2103</v>
      </c>
      <c r="K665" s="18">
        <f>6287878747677</f>
        <v>6287878747677</v>
      </c>
      <c r="N665" s="17" t="s">
        <v>81</v>
      </c>
      <c r="V665" s="18">
        <f>6287878747677</f>
        <v>6287878747677</v>
      </c>
    </row>
    <row r="666" ht="15" customHeight="1" spans="1:25" x14ac:dyDescent="0.25">
      <c r="A666" s="17" t="s">
        <v>2104</v>
      </c>
      <c r="B666" s="17" t="s">
        <v>70</v>
      </c>
      <c r="C666" s="17" t="s">
        <v>71</v>
      </c>
      <c r="D666" t="s">
        <v>2101</v>
      </c>
      <c r="F666" t="s">
        <v>1169</v>
      </c>
      <c r="K666" s="18">
        <f>6281380098388</f>
        <v>6281380098388</v>
      </c>
      <c r="N666" s="17" t="s">
        <v>74</v>
      </c>
      <c r="U666" s="17"/>
      <c r="V666" s="18">
        <f>6281380098388</f>
        <v>6281380098388</v>
      </c>
      <c r="W666" t="s">
        <v>2105</v>
      </c>
      <c r="Y666" s="17" t="s">
        <v>1084</v>
      </c>
    </row>
    <row r="667" ht="15" customHeight="1" spans="1:25" x14ac:dyDescent="0.25">
      <c r="A667" s="17" t="s">
        <v>2106</v>
      </c>
      <c r="B667" s="17" t="s">
        <v>70</v>
      </c>
      <c r="C667" s="17" t="s">
        <v>71</v>
      </c>
      <c r="D667" t="s">
        <v>2107</v>
      </c>
      <c r="F667" t="s">
        <v>2108</v>
      </c>
      <c r="K667" s="18">
        <f>6281807057050</f>
        <v>6281807057050</v>
      </c>
      <c r="N667" s="17" t="s">
        <v>77</v>
      </c>
      <c r="U667" s="17"/>
      <c r="V667" s="18">
        <f>6281807057050</f>
        <v>6281807057050</v>
      </c>
      <c r="W667" t="s">
        <v>2109</v>
      </c>
      <c r="Y667" s="17" t="s">
        <v>622</v>
      </c>
    </row>
    <row r="668" ht="15" customHeight="1" spans="1:23" x14ac:dyDescent="0.25">
      <c r="A668" s="17" t="s">
        <v>2110</v>
      </c>
      <c r="B668" s="17" t="s">
        <v>70</v>
      </c>
      <c r="C668" s="17" t="s">
        <v>71</v>
      </c>
      <c r="D668" t="s">
        <v>2111</v>
      </c>
      <c r="F668" t="s">
        <v>2112</v>
      </c>
      <c r="K668" s="18">
        <f>905308639918</f>
        <v>905308639918</v>
      </c>
      <c r="N668" s="17" t="s">
        <v>77</v>
      </c>
      <c r="U668" s="17"/>
      <c r="V668" s="18">
        <f>905308639918</f>
        <v>905308639918</v>
      </c>
      <c r="W668" t="s">
        <v>1453</v>
      </c>
    </row>
    <row r="669" ht="15" customHeight="1" spans="1:28" x14ac:dyDescent="0.25">
      <c r="A669" s="17" t="s">
        <v>2113</v>
      </c>
      <c r="B669" s="17" t="s">
        <v>70</v>
      </c>
      <c r="C669" s="17" t="s">
        <v>71</v>
      </c>
      <c r="D669" t="s">
        <v>2111</v>
      </c>
      <c r="F669" t="s">
        <v>2114</v>
      </c>
      <c r="J669" t="s">
        <v>115</v>
      </c>
      <c r="K669" s="18" t="s">
        <v>2115</v>
      </c>
      <c r="N669" s="17" t="s">
        <v>77</v>
      </c>
      <c r="O669" t="s">
        <v>145</v>
      </c>
      <c r="V669" s="18" t="s">
        <v>2115</v>
      </c>
      <c r="Y669" t="s">
        <v>90</v>
      </c>
      <c r="AA669" t="s">
        <v>118</v>
      </c>
      <c r="AB669" t="s">
        <v>119</v>
      </c>
    </row>
    <row r="670" ht="15" customHeight="1" spans="1:28" x14ac:dyDescent="0.25">
      <c r="A670" s="17" t="s">
        <v>2116</v>
      </c>
      <c r="B670" s="17" t="s">
        <v>70</v>
      </c>
      <c r="C670" s="17" t="s">
        <v>71</v>
      </c>
      <c r="D670" t="s">
        <v>2111</v>
      </c>
      <c r="F670" t="s">
        <v>2117</v>
      </c>
      <c r="J670" t="s">
        <v>2118</v>
      </c>
      <c r="K670" s="18" t="s">
        <v>2119</v>
      </c>
      <c r="N670" s="17" t="s">
        <v>77</v>
      </c>
      <c r="O670" t="s">
        <v>117</v>
      </c>
      <c r="V670" s="18" t="s">
        <v>2119</v>
      </c>
      <c r="Y670" t="s">
        <v>96</v>
      </c>
      <c r="AA670" t="s">
        <v>693</v>
      </c>
      <c r="AB670" t="s">
        <v>119</v>
      </c>
    </row>
    <row r="671" ht="15" customHeight="1" spans="1:22" x14ac:dyDescent="0.25">
      <c r="A671" s="17" t="s">
        <v>2120</v>
      </c>
      <c r="B671" s="17" t="s">
        <v>70</v>
      </c>
      <c r="C671" s="17" t="s">
        <v>71</v>
      </c>
      <c r="D671" t="s">
        <v>2121</v>
      </c>
      <c r="F671" t="s">
        <v>2122</v>
      </c>
      <c r="K671" s="18">
        <f>6281235965953</f>
        <v>6281235965953</v>
      </c>
      <c r="N671" s="17" t="s">
        <v>77</v>
      </c>
      <c r="V671" s="18">
        <f>6281235965953</f>
        <v>6281235965953</v>
      </c>
    </row>
    <row r="672" ht="15" customHeight="1" spans="1:22" x14ac:dyDescent="0.25">
      <c r="A672" s="17" t="s">
        <v>2123</v>
      </c>
      <c r="B672" s="17" t="s">
        <v>70</v>
      </c>
      <c r="C672" s="17" t="s">
        <v>71</v>
      </c>
      <c r="D672" t="s">
        <v>2124</v>
      </c>
      <c r="F672" t="s">
        <v>2124</v>
      </c>
      <c r="K672" s="18">
        <f>6281222069776</f>
        <v>6281222069776</v>
      </c>
      <c r="N672" s="17" t="s">
        <v>81</v>
      </c>
      <c r="V672" s="18">
        <f>6281222069776</f>
        <v>6281222069776</v>
      </c>
    </row>
    <row r="673" ht="15" customHeight="1" spans="1:28" x14ac:dyDescent="0.25">
      <c r="A673" s="17" t="s">
        <v>2125</v>
      </c>
      <c r="B673" s="17" t="s">
        <v>70</v>
      </c>
      <c r="C673" s="17" t="s">
        <v>71</v>
      </c>
      <c r="D673" t="s">
        <v>2126</v>
      </c>
      <c r="F673" t="s">
        <v>2127</v>
      </c>
      <c r="J673" t="s">
        <v>115</v>
      </c>
      <c r="K673" s="18" t="s">
        <v>2128</v>
      </c>
      <c r="N673" s="17" t="s">
        <v>81</v>
      </c>
      <c r="O673" t="s">
        <v>489</v>
      </c>
      <c r="U673" s="17"/>
      <c r="V673" s="18" t="s">
        <v>2128</v>
      </c>
      <c r="W673" t="s">
        <v>2129</v>
      </c>
      <c r="Y673" s="17" t="s">
        <v>90</v>
      </c>
      <c r="AA673" t="s">
        <v>118</v>
      </c>
      <c r="AB673" t="s">
        <v>119</v>
      </c>
    </row>
    <row r="674" ht="15" customHeight="1" spans="1:23" x14ac:dyDescent="0.25">
      <c r="A674" s="17" t="s">
        <v>2130</v>
      </c>
      <c r="B674" s="17" t="s">
        <v>70</v>
      </c>
      <c r="C674" s="17" t="s">
        <v>71</v>
      </c>
      <c r="D674" t="s">
        <v>2131</v>
      </c>
      <c r="F674" t="s">
        <v>2132</v>
      </c>
      <c r="K674" s="18">
        <f>81311203115</f>
        <v>81311203115</v>
      </c>
      <c r="N674" s="17" t="s">
        <v>81</v>
      </c>
      <c r="U674" s="17"/>
      <c r="V674" s="18">
        <f>81311203115</f>
        <v>81311203115</v>
      </c>
      <c r="W674" t="s">
        <v>2133</v>
      </c>
    </row>
    <row r="675" ht="15" customHeight="1" spans="1:22" x14ac:dyDescent="0.25">
      <c r="A675" s="17" t="s">
        <v>2134</v>
      </c>
      <c r="B675" s="17" t="s">
        <v>70</v>
      </c>
      <c r="C675" s="17" t="s">
        <v>71</v>
      </c>
      <c r="D675" t="s">
        <v>2131</v>
      </c>
      <c r="F675" t="s">
        <v>2135</v>
      </c>
      <c r="K675" s="18">
        <f>6287882333908</f>
        <v>6287882333908</v>
      </c>
      <c r="N675" s="17" t="s">
        <v>81</v>
      </c>
      <c r="V675" s="18">
        <f>6287882333908</f>
        <v>6287882333908</v>
      </c>
    </row>
    <row r="676" ht="15" customHeight="1" spans="1:25" x14ac:dyDescent="0.25">
      <c r="A676" s="17" t="s">
        <v>2136</v>
      </c>
      <c r="B676" s="17" t="s">
        <v>70</v>
      </c>
      <c r="C676" s="17" t="s">
        <v>71</v>
      </c>
      <c r="D676" t="s">
        <v>2131</v>
      </c>
      <c r="F676" t="s">
        <v>2137</v>
      </c>
      <c r="K676" s="18">
        <f>628121034703</f>
        <v>628121034703</v>
      </c>
      <c r="N676" s="17" t="s">
        <v>81</v>
      </c>
      <c r="U676" s="17"/>
      <c r="V676" s="18">
        <f>628121034703</f>
        <v>628121034703</v>
      </c>
      <c r="W676" t="s">
        <v>2138</v>
      </c>
      <c r="Y676" s="17" t="s">
        <v>90</v>
      </c>
    </row>
    <row r="677" ht="15" customHeight="1" spans="1:27" x14ac:dyDescent="0.25">
      <c r="A677" s="17" t="s">
        <v>2139</v>
      </c>
      <c r="B677" s="17" t="s">
        <v>70</v>
      </c>
      <c r="C677" s="17" t="s">
        <v>71</v>
      </c>
      <c r="D677" t="s">
        <v>2140</v>
      </c>
      <c r="F677" t="s">
        <v>2141</v>
      </c>
      <c r="K677" s="18">
        <f>6281388491965</f>
        <v>6281388491965</v>
      </c>
      <c r="N677" s="17" t="s">
        <v>77</v>
      </c>
      <c r="U677" s="17"/>
      <c r="V677" s="18">
        <f>6281388491965</f>
        <v>6281388491965</v>
      </c>
      <c r="W677" t="s">
        <v>2142</v>
      </c>
      <c r="Y677" s="17" t="s">
        <v>2143</v>
      </c>
      <c r="AA677" s="17" t="s">
        <v>2144</v>
      </c>
    </row>
    <row r="678" ht="15" customHeight="1" spans="1:23" x14ac:dyDescent="0.25">
      <c r="A678" s="17" t="s">
        <v>2145</v>
      </c>
      <c r="B678" s="17" t="s">
        <v>70</v>
      </c>
      <c r="C678" s="17" t="s">
        <v>71</v>
      </c>
      <c r="D678" t="s">
        <v>2146</v>
      </c>
      <c r="F678" t="s">
        <v>2147</v>
      </c>
      <c r="K678" s="18">
        <f>62811198295</f>
        <v>62811198295</v>
      </c>
      <c r="N678" s="17" t="s">
        <v>74</v>
      </c>
      <c r="U678" s="17"/>
      <c r="V678" s="18">
        <f>62811198295</f>
        <v>62811198295</v>
      </c>
      <c r="W678" t="s">
        <v>2148</v>
      </c>
    </row>
    <row r="679" ht="15" customHeight="1" spans="1:22" x14ac:dyDescent="0.25">
      <c r="A679" s="17" t="s">
        <v>2149</v>
      </c>
      <c r="B679" s="17" t="s">
        <v>70</v>
      </c>
      <c r="C679" s="17" t="s">
        <v>71</v>
      </c>
      <c r="D679" t="s">
        <v>2150</v>
      </c>
      <c r="F679" t="s">
        <v>2151</v>
      </c>
      <c r="K679" s="18">
        <v>61820744</v>
      </c>
      <c r="N679" s="17" t="s">
        <v>77</v>
      </c>
      <c r="V679" s="18">
        <v>61820744</v>
      </c>
    </row>
    <row r="680" ht="15" customHeight="1" spans="1:22" x14ac:dyDescent="0.25">
      <c r="A680" s="17" t="s">
        <v>2152</v>
      </c>
      <c r="B680" s="17" t="s">
        <v>70</v>
      </c>
      <c r="C680" s="17" t="s">
        <v>71</v>
      </c>
      <c r="D680" t="s">
        <v>2153</v>
      </c>
      <c r="F680" t="s">
        <v>2153</v>
      </c>
      <c r="K680" s="18">
        <f>6281315279900</f>
        <v>6281315279900</v>
      </c>
      <c r="N680" s="17" t="s">
        <v>81</v>
      </c>
      <c r="V680" s="18">
        <f>6281315279900</f>
        <v>6281315279900</v>
      </c>
    </row>
    <row r="681" ht="15" customHeight="1" spans="1:22" x14ac:dyDescent="0.25">
      <c r="A681" s="17" t="s">
        <v>2154</v>
      </c>
      <c r="B681" s="17" t="s">
        <v>70</v>
      </c>
      <c r="C681" s="17" t="s">
        <v>71</v>
      </c>
      <c r="D681" t="s">
        <v>2153</v>
      </c>
      <c r="F681" t="s">
        <v>2153</v>
      </c>
      <c r="K681" s="18">
        <f>6282210043767</f>
        <v>6282210043767</v>
      </c>
      <c r="N681" s="17" t="s">
        <v>77</v>
      </c>
      <c r="V681" s="18">
        <f>6282210043767</f>
        <v>6282210043767</v>
      </c>
    </row>
    <row r="682" ht="15" customHeight="1" spans="1:22" x14ac:dyDescent="0.25">
      <c r="A682" s="17" t="s">
        <v>2155</v>
      </c>
      <c r="B682" s="17" t="s">
        <v>70</v>
      </c>
      <c r="C682" s="17" t="s">
        <v>71</v>
      </c>
      <c r="D682" t="s">
        <v>2153</v>
      </c>
      <c r="F682" t="s">
        <v>2153</v>
      </c>
      <c r="K682" s="18">
        <f>62811869774</f>
        <v>62811869774</v>
      </c>
      <c r="N682" s="17" t="s">
        <v>74</v>
      </c>
      <c r="V682" s="18">
        <f>62811869774</f>
        <v>62811869774</v>
      </c>
    </row>
    <row r="683" ht="15" customHeight="1" spans="1:22" x14ac:dyDescent="0.25">
      <c r="A683" s="17" t="s">
        <v>2156</v>
      </c>
      <c r="B683" s="17" t="s">
        <v>70</v>
      </c>
      <c r="C683" s="17" t="s">
        <v>71</v>
      </c>
      <c r="D683" t="s">
        <v>2153</v>
      </c>
      <c r="F683" t="s">
        <v>2153</v>
      </c>
      <c r="J683" s="17" t="s">
        <v>2157</v>
      </c>
      <c r="K683" s="18">
        <f>6282277072828</f>
        <v>6282277072828</v>
      </c>
      <c r="N683" s="17" t="s">
        <v>77</v>
      </c>
      <c r="V683" s="18">
        <f>6282277072828</f>
        <v>6282277072828</v>
      </c>
    </row>
    <row r="684" ht="15" customHeight="1" spans="1:22" x14ac:dyDescent="0.25">
      <c r="A684" s="17" t="s">
        <v>2158</v>
      </c>
      <c r="B684" s="17" t="s">
        <v>70</v>
      </c>
      <c r="C684" s="17" t="s">
        <v>71</v>
      </c>
      <c r="D684" t="s">
        <v>2153</v>
      </c>
      <c r="F684" t="s">
        <v>2159</v>
      </c>
      <c r="K684" s="18">
        <f>62816850853</f>
        <v>62816850853</v>
      </c>
      <c r="N684" s="17" t="s">
        <v>77</v>
      </c>
      <c r="V684" s="18">
        <f>62816850853</f>
        <v>62816850853</v>
      </c>
    </row>
    <row r="685" ht="15" customHeight="1" spans="1:22" x14ac:dyDescent="0.25">
      <c r="A685" s="17" t="s">
        <v>2160</v>
      </c>
      <c r="B685" s="17" t="s">
        <v>70</v>
      </c>
      <c r="C685" s="17" t="s">
        <v>71</v>
      </c>
      <c r="D685" t="s">
        <v>2153</v>
      </c>
      <c r="F685" t="s">
        <v>2161</v>
      </c>
      <c r="K685" s="18">
        <f>628121111979</f>
        <v>628121111979</v>
      </c>
      <c r="N685" s="17" t="s">
        <v>77</v>
      </c>
      <c r="V685" s="18">
        <f>628121111979</f>
        <v>628121111979</v>
      </c>
    </row>
    <row r="686" ht="15" customHeight="1" spans="1:22" x14ac:dyDescent="0.25">
      <c r="A686" s="17" t="s">
        <v>2162</v>
      </c>
      <c r="B686" s="17" t="s">
        <v>70</v>
      </c>
      <c r="C686" s="17" t="s">
        <v>71</v>
      </c>
      <c r="D686" t="s">
        <v>2153</v>
      </c>
      <c r="F686" t="s">
        <v>2163</v>
      </c>
      <c r="J686" s="17" t="s">
        <v>2164</v>
      </c>
      <c r="K686" s="18">
        <f>6281288137969</f>
        <v>6281288137969</v>
      </c>
      <c r="N686" s="17" t="s">
        <v>77</v>
      </c>
      <c r="V686" s="18">
        <f>6281288137969</f>
        <v>6281288137969</v>
      </c>
    </row>
    <row r="687" ht="15" customHeight="1" spans="1:22" x14ac:dyDescent="0.25">
      <c r="A687" s="17" t="s">
        <v>2165</v>
      </c>
      <c r="B687" s="17" t="s">
        <v>70</v>
      </c>
      <c r="C687" s="17" t="s">
        <v>71</v>
      </c>
      <c r="D687" t="s">
        <v>2153</v>
      </c>
      <c r="F687" t="s">
        <v>2166</v>
      </c>
      <c r="K687" s="18">
        <f>62816953725</f>
        <v>62816953725</v>
      </c>
      <c r="N687" s="17" t="s">
        <v>77</v>
      </c>
      <c r="V687" s="18">
        <f>62816953725</f>
        <v>62816953725</v>
      </c>
    </row>
    <row r="688" ht="15" customHeight="1" spans="1:28" x14ac:dyDescent="0.25">
      <c r="A688" s="17" t="s">
        <v>2167</v>
      </c>
      <c r="B688" s="17" t="s">
        <v>70</v>
      </c>
      <c r="C688" s="17" t="s">
        <v>71</v>
      </c>
      <c r="D688" t="s">
        <v>2153</v>
      </c>
      <c r="F688" t="s">
        <v>2168</v>
      </c>
      <c r="J688" t="s">
        <v>115</v>
      </c>
      <c r="K688" s="18" t="s">
        <v>2169</v>
      </c>
      <c r="N688" s="17" t="s">
        <v>77</v>
      </c>
      <c r="O688" t="s">
        <v>145</v>
      </c>
      <c r="V688" s="18" t="s">
        <v>2169</v>
      </c>
      <c r="Y688" t="s">
        <v>115</v>
      </c>
      <c r="AA688" t="s">
        <v>115</v>
      </c>
      <c r="AB688" t="s">
        <v>119</v>
      </c>
    </row>
    <row r="689" ht="15" customHeight="1" spans="1:22" x14ac:dyDescent="0.25">
      <c r="A689" s="17" t="s">
        <v>2170</v>
      </c>
      <c r="B689" s="17" t="s">
        <v>70</v>
      </c>
      <c r="C689" s="17" t="s">
        <v>71</v>
      </c>
      <c r="D689" t="s">
        <v>2153</v>
      </c>
      <c r="F689" t="s">
        <v>2171</v>
      </c>
      <c r="K689" s="18">
        <f>6281289022350</f>
        <v>6281289022350</v>
      </c>
      <c r="N689" s="17" t="s">
        <v>77</v>
      </c>
      <c r="V689" s="18">
        <f>6281289022350</f>
        <v>6281289022350</v>
      </c>
    </row>
    <row r="690" ht="15" customHeight="1" spans="1:28" x14ac:dyDescent="0.25">
      <c r="A690" s="17" t="s">
        <v>2172</v>
      </c>
      <c r="B690" s="17" t="s">
        <v>70</v>
      </c>
      <c r="C690" s="17" t="s">
        <v>71</v>
      </c>
      <c r="D690" t="s">
        <v>2173</v>
      </c>
      <c r="F690" t="s">
        <v>2174</v>
      </c>
      <c r="J690" t="s">
        <v>115</v>
      </c>
      <c r="K690" s="18" t="s">
        <v>2175</v>
      </c>
      <c r="N690" s="17" t="s">
        <v>74</v>
      </c>
      <c r="O690" t="s">
        <v>261</v>
      </c>
      <c r="U690" s="17"/>
      <c r="V690" s="18" t="s">
        <v>2175</v>
      </c>
      <c r="W690" t="s">
        <v>2176</v>
      </c>
      <c r="Y690" t="s">
        <v>397</v>
      </c>
      <c r="AA690" t="s">
        <v>1199</v>
      </c>
      <c r="AB690" t="s">
        <v>119</v>
      </c>
    </row>
    <row r="691" ht="15" customHeight="1" spans="1:22" x14ac:dyDescent="0.25">
      <c r="A691" s="17" t="s">
        <v>2177</v>
      </c>
      <c r="B691" s="17" t="s">
        <v>70</v>
      </c>
      <c r="C691" s="17" t="s">
        <v>71</v>
      </c>
      <c r="D691" t="s">
        <v>2173</v>
      </c>
      <c r="F691" t="s">
        <v>2178</v>
      </c>
      <c r="K691" s="18">
        <f>6281211503256</f>
        <v>6281211503256</v>
      </c>
      <c r="N691" s="17" t="s">
        <v>74</v>
      </c>
      <c r="V691" s="18">
        <f>6281211503256</f>
        <v>6281211503256</v>
      </c>
    </row>
    <row r="692" ht="15" customHeight="1" spans="1:22" x14ac:dyDescent="0.25">
      <c r="A692" s="17" t="s">
        <v>2179</v>
      </c>
      <c r="B692" s="17" t="s">
        <v>70</v>
      </c>
      <c r="C692" s="17" t="s">
        <v>71</v>
      </c>
      <c r="D692" t="s">
        <v>2180</v>
      </c>
      <c r="F692" t="s">
        <v>2181</v>
      </c>
      <c r="K692" s="18">
        <f>6281281040041</f>
        <v>6281281040041</v>
      </c>
      <c r="N692" s="17" t="s">
        <v>77</v>
      </c>
      <c r="V692" s="18">
        <f>6281281040041</f>
        <v>6281281040041</v>
      </c>
    </row>
    <row r="693" ht="15" customHeight="1" spans="1:28" x14ac:dyDescent="0.25">
      <c r="A693" s="17" t="s">
        <v>2182</v>
      </c>
      <c r="B693" s="17" t="s">
        <v>70</v>
      </c>
      <c r="C693" s="17" t="s">
        <v>71</v>
      </c>
      <c r="D693" t="s">
        <v>2183</v>
      </c>
      <c r="F693" t="s">
        <v>2184</v>
      </c>
      <c r="J693" t="s">
        <v>115</v>
      </c>
      <c r="K693" s="18" t="s">
        <v>2185</v>
      </c>
      <c r="N693" s="17" t="s">
        <v>77</v>
      </c>
      <c r="O693" t="s">
        <v>117</v>
      </c>
      <c r="U693" s="17"/>
      <c r="V693" s="18" t="s">
        <v>2185</v>
      </c>
      <c r="W693" t="s">
        <v>2186</v>
      </c>
      <c r="Y693" s="17" t="s">
        <v>190</v>
      </c>
      <c r="AA693" t="s">
        <v>118</v>
      </c>
      <c r="AB693" t="s">
        <v>119</v>
      </c>
    </row>
    <row r="694" ht="15" customHeight="1" spans="1:22" x14ac:dyDescent="0.25">
      <c r="A694" s="17" t="s">
        <v>2187</v>
      </c>
      <c r="B694" s="17" t="s">
        <v>70</v>
      </c>
      <c r="C694" s="17" t="s">
        <v>71</v>
      </c>
      <c r="D694" t="s">
        <v>2188</v>
      </c>
      <c r="F694" t="s">
        <v>2189</v>
      </c>
      <c r="K694" s="18">
        <f>6281210399997</f>
        <v>6281210399997</v>
      </c>
      <c r="N694" s="17" t="s">
        <v>77</v>
      </c>
      <c r="V694" s="18">
        <f>6281210399997</f>
        <v>6281210399997</v>
      </c>
    </row>
    <row r="695" ht="15" customHeight="1" spans="1:28" x14ac:dyDescent="0.25">
      <c r="A695" s="17" t="s">
        <v>2190</v>
      </c>
      <c r="B695" s="17" t="s">
        <v>70</v>
      </c>
      <c r="C695" s="17" t="s">
        <v>71</v>
      </c>
      <c r="D695" t="s">
        <v>2191</v>
      </c>
      <c r="F695" t="s">
        <v>2192</v>
      </c>
      <c r="J695" t="s">
        <v>115</v>
      </c>
      <c r="K695" s="18" t="s">
        <v>2193</v>
      </c>
      <c r="N695" s="17" t="s">
        <v>77</v>
      </c>
      <c r="O695" t="s">
        <v>117</v>
      </c>
      <c r="V695" s="18" t="s">
        <v>2193</v>
      </c>
      <c r="Y695" t="s">
        <v>90</v>
      </c>
      <c r="AA695" t="s">
        <v>118</v>
      </c>
      <c r="AB695" t="s">
        <v>119</v>
      </c>
    </row>
    <row r="696" ht="15" customHeight="1" spans="1:22" x14ac:dyDescent="0.25">
      <c r="A696" s="17" t="s">
        <v>2194</v>
      </c>
      <c r="B696" s="17" t="s">
        <v>70</v>
      </c>
      <c r="C696" s="17" t="s">
        <v>71</v>
      </c>
      <c r="D696" t="s">
        <v>2195</v>
      </c>
      <c r="F696" t="s">
        <v>2195</v>
      </c>
      <c r="K696" s="18">
        <f>62816996400</f>
        <v>62816996400</v>
      </c>
      <c r="N696" s="17" t="s">
        <v>81</v>
      </c>
      <c r="V696" s="18">
        <f>62816996400</f>
        <v>62816996400</v>
      </c>
    </row>
    <row r="697" ht="15" customHeight="1" spans="1:22" x14ac:dyDescent="0.25">
      <c r="A697" s="17" t="s">
        <v>2196</v>
      </c>
      <c r="B697" s="17" t="s">
        <v>70</v>
      </c>
      <c r="C697" s="17" t="s">
        <v>71</v>
      </c>
      <c r="D697" t="s">
        <v>2195</v>
      </c>
      <c r="F697" t="s">
        <v>2195</v>
      </c>
      <c r="K697" s="18">
        <f>628159082683</f>
        <v>628159082683</v>
      </c>
      <c r="N697" s="17" t="s">
        <v>77</v>
      </c>
      <c r="V697" s="18">
        <f>628159082683</f>
        <v>628159082683</v>
      </c>
    </row>
    <row r="698" ht="15" customHeight="1" spans="1:25" x14ac:dyDescent="0.25">
      <c r="A698" s="17" t="s">
        <v>2197</v>
      </c>
      <c r="B698" s="17" t="s">
        <v>70</v>
      </c>
      <c r="C698" s="17" t="s">
        <v>71</v>
      </c>
      <c r="D698" t="s">
        <v>2195</v>
      </c>
      <c r="F698" t="s">
        <v>2198</v>
      </c>
      <c r="K698" s="18">
        <f>6281291340320</f>
        <v>6281291340320</v>
      </c>
      <c r="N698" s="17" t="s">
        <v>77</v>
      </c>
      <c r="U698" s="17"/>
      <c r="V698" s="18">
        <f>6281291340320</f>
        <v>6281291340320</v>
      </c>
      <c r="W698" t="s">
        <v>2199</v>
      </c>
      <c r="Y698" s="17" t="s">
        <v>90</v>
      </c>
    </row>
    <row r="699" ht="15" customHeight="1" spans="1:22" x14ac:dyDescent="0.25">
      <c r="A699" s="17" t="s">
        <v>2200</v>
      </c>
      <c r="B699" s="17" t="s">
        <v>70</v>
      </c>
      <c r="C699" s="17" t="s">
        <v>71</v>
      </c>
      <c r="D699" t="s">
        <v>2195</v>
      </c>
      <c r="F699" t="s">
        <v>2201</v>
      </c>
      <c r="K699" s="18">
        <f>62817882233</f>
        <v>62817882233</v>
      </c>
      <c r="N699" s="17" t="s">
        <v>81</v>
      </c>
      <c r="V699" s="18">
        <f>62817882233</f>
        <v>62817882233</v>
      </c>
    </row>
    <row r="700" ht="15" customHeight="1" spans="1:22" x14ac:dyDescent="0.25">
      <c r="A700" s="17" t="s">
        <v>2202</v>
      </c>
      <c r="B700" s="17" t="s">
        <v>70</v>
      </c>
      <c r="C700" s="17" t="s">
        <v>71</v>
      </c>
      <c r="D700" t="s">
        <v>2195</v>
      </c>
      <c r="F700" t="s">
        <v>2203</v>
      </c>
      <c r="K700" s="18">
        <f>628111503330</f>
        <v>628111503330</v>
      </c>
      <c r="N700" s="17" t="s">
        <v>77</v>
      </c>
      <c r="V700" s="18">
        <f>628111503330</f>
        <v>628111503330</v>
      </c>
    </row>
    <row r="701" ht="15" customHeight="1" spans="1:22" x14ac:dyDescent="0.25">
      <c r="A701" s="17" t="s">
        <v>2204</v>
      </c>
      <c r="B701" s="17" t="s">
        <v>70</v>
      </c>
      <c r="C701" s="17" t="s">
        <v>71</v>
      </c>
      <c r="D701" t="s">
        <v>2195</v>
      </c>
      <c r="F701" t="s">
        <v>1499</v>
      </c>
      <c r="K701" s="18">
        <f>62816784081</f>
        <v>62816784081</v>
      </c>
      <c r="N701" s="17" t="s">
        <v>77</v>
      </c>
      <c r="V701" s="18">
        <f>62816784081</f>
        <v>62816784081</v>
      </c>
    </row>
    <row r="702" ht="15" customHeight="1" spans="1:28" x14ac:dyDescent="0.25">
      <c r="A702" s="17" t="s">
        <v>2205</v>
      </c>
      <c r="B702" s="17" t="s">
        <v>70</v>
      </c>
      <c r="C702" s="17" t="s">
        <v>71</v>
      </c>
      <c r="D702" t="s">
        <v>2195</v>
      </c>
      <c r="F702" t="s">
        <v>205</v>
      </c>
      <c r="J702" t="s">
        <v>115</v>
      </c>
      <c r="K702" s="18" t="s">
        <v>2206</v>
      </c>
      <c r="N702" s="17" t="s">
        <v>77</v>
      </c>
      <c r="O702" t="s">
        <v>199</v>
      </c>
      <c r="V702" s="18" t="s">
        <v>2206</v>
      </c>
      <c r="Y702" t="s">
        <v>90</v>
      </c>
      <c r="AA702" t="s">
        <v>118</v>
      </c>
      <c r="AB702" t="s">
        <v>119</v>
      </c>
    </row>
    <row r="703" ht="15" customHeight="1" spans="1:28" x14ac:dyDescent="0.25">
      <c r="A703" s="17" t="s">
        <v>2207</v>
      </c>
      <c r="B703" s="17" t="s">
        <v>70</v>
      </c>
      <c r="C703" s="17" t="s">
        <v>71</v>
      </c>
      <c r="D703" t="s">
        <v>2195</v>
      </c>
      <c r="F703" t="s">
        <v>1848</v>
      </c>
      <c r="J703" s="17" t="s">
        <v>2208</v>
      </c>
      <c r="K703" s="18" t="s">
        <v>2209</v>
      </c>
      <c r="N703" s="17" t="s">
        <v>77</v>
      </c>
      <c r="O703" t="s">
        <v>117</v>
      </c>
      <c r="U703" s="17"/>
      <c r="V703" s="18" t="s">
        <v>2209</v>
      </c>
      <c r="W703" t="s">
        <v>2210</v>
      </c>
      <c r="Y703" s="17" t="s">
        <v>90</v>
      </c>
      <c r="AA703" t="s">
        <v>118</v>
      </c>
      <c r="AB703" t="s">
        <v>119</v>
      </c>
    </row>
    <row r="704" ht="15" customHeight="1" spans="1:28" x14ac:dyDescent="0.25">
      <c r="A704" s="17" t="s">
        <v>2211</v>
      </c>
      <c r="B704" s="17" t="s">
        <v>70</v>
      </c>
      <c r="C704" s="17" t="s">
        <v>71</v>
      </c>
      <c r="D704" t="s">
        <v>2195</v>
      </c>
      <c r="F704" t="s">
        <v>2212</v>
      </c>
      <c r="J704" s="17" t="s">
        <v>2213</v>
      </c>
      <c r="K704" s="18" t="s">
        <v>2214</v>
      </c>
      <c r="N704" s="17" t="s">
        <v>77</v>
      </c>
      <c r="O704" t="s">
        <v>145</v>
      </c>
      <c r="V704" s="18" t="s">
        <v>2214</v>
      </c>
      <c r="Y704" t="s">
        <v>115</v>
      </c>
      <c r="AA704" t="s">
        <v>115</v>
      </c>
      <c r="AB704" t="s">
        <v>119</v>
      </c>
    </row>
    <row r="705" ht="15" customHeight="1" spans="1:28" x14ac:dyDescent="0.25">
      <c r="A705" s="17" t="s">
        <v>2215</v>
      </c>
      <c r="B705" s="17" t="s">
        <v>70</v>
      </c>
      <c r="C705" s="17" t="s">
        <v>71</v>
      </c>
      <c r="D705" t="s">
        <v>2195</v>
      </c>
      <c r="F705" t="s">
        <v>2216</v>
      </c>
      <c r="J705" t="s">
        <v>2217</v>
      </c>
      <c r="K705" s="18" t="s">
        <v>2218</v>
      </c>
      <c r="N705" s="17" t="s">
        <v>81</v>
      </c>
      <c r="O705" t="s">
        <v>117</v>
      </c>
      <c r="V705" s="18" t="s">
        <v>2218</v>
      </c>
      <c r="Y705" t="s">
        <v>90</v>
      </c>
      <c r="AA705" t="s">
        <v>118</v>
      </c>
      <c r="AB705" t="s">
        <v>119</v>
      </c>
    </row>
    <row r="706" ht="15" customHeight="1" spans="1:22" x14ac:dyDescent="0.25">
      <c r="A706" s="17" t="s">
        <v>2219</v>
      </c>
      <c r="B706" s="17" t="s">
        <v>70</v>
      </c>
      <c r="C706" s="17" t="s">
        <v>71</v>
      </c>
      <c r="D706" t="s">
        <v>2195</v>
      </c>
      <c r="F706" t="s">
        <v>2220</v>
      </c>
      <c r="K706" s="18">
        <f>6281283003324</f>
        <v>6281283003324</v>
      </c>
      <c r="N706" s="17" t="s">
        <v>81</v>
      </c>
      <c r="V706" s="18">
        <f>6281283003324</f>
        <v>6281283003324</v>
      </c>
    </row>
    <row r="707" ht="15" customHeight="1" spans="1:22" x14ac:dyDescent="0.25">
      <c r="A707" s="17" t="s">
        <v>2221</v>
      </c>
      <c r="B707" s="17" t="s">
        <v>70</v>
      </c>
      <c r="C707" s="17" t="s">
        <v>71</v>
      </c>
      <c r="D707" t="s">
        <v>2195</v>
      </c>
      <c r="F707" t="s">
        <v>2222</v>
      </c>
      <c r="K707" s="18">
        <f>6281118830</f>
        <v>6281118830</v>
      </c>
      <c r="N707" s="17" t="s">
        <v>81</v>
      </c>
      <c r="V707" s="18">
        <f>6281118830</f>
        <v>6281118830</v>
      </c>
    </row>
    <row r="708" ht="15" customHeight="1" spans="1:22" x14ac:dyDescent="0.25">
      <c r="A708" s="17" t="s">
        <v>2223</v>
      </c>
      <c r="B708" s="17" t="s">
        <v>70</v>
      </c>
      <c r="C708" s="17" t="s">
        <v>71</v>
      </c>
      <c r="D708" t="s">
        <v>2195</v>
      </c>
      <c r="F708" t="s">
        <v>2224</v>
      </c>
      <c r="K708" s="18">
        <f>62818222612</f>
        <v>62818222612</v>
      </c>
      <c r="N708" s="17" t="s">
        <v>77</v>
      </c>
      <c r="V708" s="18">
        <f>62818222612</f>
        <v>62818222612</v>
      </c>
    </row>
    <row r="709" ht="15" customHeight="1" spans="1:25" x14ac:dyDescent="0.25">
      <c r="A709" s="17" t="s">
        <v>2225</v>
      </c>
      <c r="B709" s="17" t="s">
        <v>70</v>
      </c>
      <c r="C709" s="17" t="s">
        <v>71</v>
      </c>
      <c r="D709" t="s">
        <v>2195</v>
      </c>
      <c r="F709" t="s">
        <v>2226</v>
      </c>
      <c r="K709" s="18">
        <f>6281827936197</f>
        <v>6281827936197</v>
      </c>
      <c r="N709" s="17" t="s">
        <v>77</v>
      </c>
      <c r="U709" s="17"/>
      <c r="V709" s="18">
        <f>6281827936197</f>
        <v>6281827936197</v>
      </c>
      <c r="W709" t="s">
        <v>2227</v>
      </c>
      <c r="Y709" s="17" t="s">
        <v>90</v>
      </c>
    </row>
    <row r="710" ht="15" customHeight="1" spans="1:22" x14ac:dyDescent="0.25">
      <c r="A710" s="17" t="s">
        <v>2228</v>
      </c>
      <c r="B710" s="17" t="s">
        <v>70</v>
      </c>
      <c r="C710" s="17" t="s">
        <v>71</v>
      </c>
      <c r="D710" t="s">
        <v>2195</v>
      </c>
      <c r="F710" t="s">
        <v>2229</v>
      </c>
      <c r="K710" s="18">
        <f>628111126386</f>
        <v>628111126386</v>
      </c>
      <c r="N710" s="17" t="s">
        <v>77</v>
      </c>
      <c r="V710" s="18">
        <f>628111126386</f>
        <v>628111126386</v>
      </c>
    </row>
    <row r="711" ht="15" customHeight="1" spans="1:23" x14ac:dyDescent="0.25">
      <c r="A711" s="17" t="s">
        <v>2230</v>
      </c>
      <c r="B711" s="17" t="s">
        <v>70</v>
      </c>
      <c r="C711" s="17" t="s">
        <v>71</v>
      </c>
      <c r="D711" t="s">
        <v>2195</v>
      </c>
      <c r="F711" t="s">
        <v>2231</v>
      </c>
      <c r="K711" s="18">
        <f>628159741480</f>
        <v>628159741480</v>
      </c>
      <c r="N711" s="17" t="s">
        <v>81</v>
      </c>
      <c r="U711" s="17"/>
      <c r="V711" s="18">
        <f>628159741480</f>
        <v>628159741480</v>
      </c>
      <c r="W711" t="s">
        <v>2232</v>
      </c>
    </row>
    <row r="712" ht="15" customHeight="1" spans="1:28" x14ac:dyDescent="0.25">
      <c r="A712" s="17" t="s">
        <v>2233</v>
      </c>
      <c r="B712" s="17" t="s">
        <v>70</v>
      </c>
      <c r="C712" s="17" t="s">
        <v>71</v>
      </c>
      <c r="D712" t="s">
        <v>2195</v>
      </c>
      <c r="F712" t="s">
        <v>672</v>
      </c>
      <c r="J712" t="s">
        <v>115</v>
      </c>
      <c r="K712" s="18" t="s">
        <v>2234</v>
      </c>
      <c r="N712" s="17" t="s">
        <v>77</v>
      </c>
      <c r="O712" t="s">
        <v>117</v>
      </c>
      <c r="V712" s="18" t="s">
        <v>2234</v>
      </c>
      <c r="Y712" t="s">
        <v>90</v>
      </c>
      <c r="AA712" t="s">
        <v>118</v>
      </c>
      <c r="AB712" t="s">
        <v>119</v>
      </c>
    </row>
    <row r="713" ht="15" customHeight="1" spans="1:25" x14ac:dyDescent="0.25">
      <c r="A713" s="17" t="s">
        <v>2235</v>
      </c>
      <c r="B713" s="17" t="s">
        <v>70</v>
      </c>
      <c r="C713" s="17" t="s">
        <v>71</v>
      </c>
      <c r="D713" t="s">
        <v>2195</v>
      </c>
      <c r="F713" t="s">
        <v>2236</v>
      </c>
      <c r="J713" s="17" t="s">
        <v>2237</v>
      </c>
      <c r="K713" s="18">
        <f>6281299412881</f>
        <v>6281299412881</v>
      </c>
      <c r="N713" s="17" t="s">
        <v>77</v>
      </c>
      <c r="U713" s="17"/>
      <c r="V713" s="18">
        <f>6281299412881</f>
        <v>6281299412881</v>
      </c>
      <c r="W713" t="s">
        <v>2238</v>
      </c>
      <c r="Y713" s="17" t="s">
        <v>2239</v>
      </c>
    </row>
    <row r="714" ht="15" customHeight="1" spans="1:22" x14ac:dyDescent="0.25">
      <c r="A714" s="17" t="s">
        <v>2240</v>
      </c>
      <c r="B714" s="17" t="s">
        <v>70</v>
      </c>
      <c r="C714" s="17" t="s">
        <v>71</v>
      </c>
      <c r="D714" t="s">
        <v>2195</v>
      </c>
      <c r="F714" t="s">
        <v>672</v>
      </c>
      <c r="K714" s="18">
        <f>6281513640000</f>
        <v>6281513640000</v>
      </c>
      <c r="N714" s="17" t="s">
        <v>81</v>
      </c>
      <c r="V714" s="18">
        <f>6281513640000</f>
        <v>6281513640000</v>
      </c>
    </row>
    <row r="715" ht="15" customHeight="1" spans="1:23" x14ac:dyDescent="0.25">
      <c r="A715" s="17" t="s">
        <v>2241</v>
      </c>
      <c r="B715" s="17" t="s">
        <v>70</v>
      </c>
      <c r="C715" s="17" t="s">
        <v>71</v>
      </c>
      <c r="D715" t="s">
        <v>2242</v>
      </c>
      <c r="F715" t="s">
        <v>2243</v>
      </c>
      <c r="K715" s="18">
        <f>41798547292</f>
        <v>41798547292</v>
      </c>
      <c r="N715" s="17" t="s">
        <v>77</v>
      </c>
      <c r="U715" s="17"/>
      <c r="V715" s="18">
        <f>41798547292</f>
        <v>41798547292</v>
      </c>
      <c r="W715" t="s">
        <v>2244</v>
      </c>
    </row>
    <row r="716" ht="15" customHeight="1" spans="1:28" x14ac:dyDescent="0.25">
      <c r="A716" s="17" t="s">
        <v>2245</v>
      </c>
      <c r="B716" s="17" t="s">
        <v>70</v>
      </c>
      <c r="C716" s="17" t="s">
        <v>71</v>
      </c>
      <c r="D716" t="s">
        <v>2246</v>
      </c>
      <c r="F716" t="s">
        <v>2247</v>
      </c>
      <c r="J716" t="s">
        <v>115</v>
      </c>
      <c r="K716" s="18" t="s">
        <v>2248</v>
      </c>
      <c r="N716" s="17" t="s">
        <v>77</v>
      </c>
      <c r="O716" t="s">
        <v>117</v>
      </c>
      <c r="V716" s="18" t="s">
        <v>2248</v>
      </c>
      <c r="Y716" t="s">
        <v>190</v>
      </c>
      <c r="AA716" t="s">
        <v>118</v>
      </c>
      <c r="AB716" t="s">
        <v>119</v>
      </c>
    </row>
    <row r="717" ht="15" customHeight="1" spans="1:23" x14ac:dyDescent="0.25">
      <c r="A717" s="17" t="s">
        <v>2249</v>
      </c>
      <c r="B717" s="17" t="s">
        <v>70</v>
      </c>
      <c r="C717" s="17" t="s">
        <v>71</v>
      </c>
      <c r="D717" t="s">
        <v>2250</v>
      </c>
      <c r="F717" t="s">
        <v>2057</v>
      </c>
      <c r="K717" s="18">
        <f>351936825316</f>
        <v>351936825316</v>
      </c>
      <c r="N717" s="17" t="s">
        <v>77</v>
      </c>
      <c r="U717" s="17"/>
      <c r="V717" s="18">
        <f>351936825316</f>
        <v>351936825316</v>
      </c>
      <c r="W717" t="s">
        <v>2251</v>
      </c>
    </row>
    <row r="718" ht="15" customHeight="1" spans="1:28" x14ac:dyDescent="0.25">
      <c r="A718" s="17" t="s">
        <v>2252</v>
      </c>
      <c r="B718" s="17" t="s">
        <v>70</v>
      </c>
      <c r="C718" s="17" t="s">
        <v>71</v>
      </c>
      <c r="D718" t="s">
        <v>2253</v>
      </c>
      <c r="F718" t="s">
        <v>2254</v>
      </c>
      <c r="J718" t="s">
        <v>115</v>
      </c>
      <c r="K718" s="18" t="s">
        <v>2255</v>
      </c>
      <c r="N718" s="17" t="s">
        <v>81</v>
      </c>
      <c r="O718" t="s">
        <v>261</v>
      </c>
      <c r="V718" s="18" t="s">
        <v>2255</v>
      </c>
      <c r="Y718" t="s">
        <v>90</v>
      </c>
      <c r="AA718" t="s">
        <v>118</v>
      </c>
      <c r="AB718" t="s">
        <v>119</v>
      </c>
    </row>
    <row r="719" ht="15" customHeight="1" spans="1:25" x14ac:dyDescent="0.25">
      <c r="A719" s="17" t="s">
        <v>2256</v>
      </c>
      <c r="B719" s="17" t="s">
        <v>70</v>
      </c>
      <c r="C719" s="17" t="s">
        <v>71</v>
      </c>
      <c r="D719" t="s">
        <v>2257</v>
      </c>
      <c r="F719" t="s">
        <v>2258</v>
      </c>
      <c r="J719" s="17" t="s">
        <v>2259</v>
      </c>
      <c r="K719" s="18">
        <f>6281227240461</f>
        <v>6281227240461</v>
      </c>
      <c r="N719" s="17" t="s">
        <v>81</v>
      </c>
      <c r="U719" s="17"/>
      <c r="V719" s="18">
        <f>6281227240461</f>
        <v>6281227240461</v>
      </c>
      <c r="W719" t="s">
        <v>2260</v>
      </c>
      <c r="Y719" s="17" t="s">
        <v>90</v>
      </c>
    </row>
    <row r="720" ht="15" customHeight="1" spans="1:28" x14ac:dyDescent="0.25">
      <c r="A720" s="17" t="s">
        <v>2261</v>
      </c>
      <c r="B720" s="17" t="s">
        <v>70</v>
      </c>
      <c r="C720" s="17" t="s">
        <v>71</v>
      </c>
      <c r="D720" t="s">
        <v>2257</v>
      </c>
      <c r="F720" t="s">
        <v>2262</v>
      </c>
      <c r="J720" s="17" t="s">
        <v>2263</v>
      </c>
      <c r="K720" s="18" t="s">
        <v>2264</v>
      </c>
      <c r="N720" s="17" t="s">
        <v>77</v>
      </c>
      <c r="O720" t="s">
        <v>145</v>
      </c>
      <c r="V720" s="18" t="s">
        <v>2264</v>
      </c>
      <c r="Y720" t="s">
        <v>190</v>
      </c>
      <c r="AA720" t="s">
        <v>118</v>
      </c>
      <c r="AB720" t="s">
        <v>119</v>
      </c>
    </row>
    <row r="721" ht="15" customHeight="1" spans="1:22" x14ac:dyDescent="0.25">
      <c r="A721" s="17" t="s">
        <v>2265</v>
      </c>
      <c r="B721" s="17" t="s">
        <v>70</v>
      </c>
      <c r="C721" s="17" t="s">
        <v>71</v>
      </c>
      <c r="D721" t="s">
        <v>2266</v>
      </c>
      <c r="F721" t="s">
        <v>2267</v>
      </c>
      <c r="K721" s="18">
        <f>6287888857523</f>
        <v>6287888857523</v>
      </c>
      <c r="N721" s="17" t="s">
        <v>81</v>
      </c>
      <c r="V721" s="18">
        <f>6287888857523</f>
        <v>6287888857523</v>
      </c>
    </row>
    <row r="722" ht="15" customHeight="1" spans="1:28" x14ac:dyDescent="0.25">
      <c r="A722" s="17" t="s">
        <v>2268</v>
      </c>
      <c r="B722" s="17" t="s">
        <v>70</v>
      </c>
      <c r="C722" s="17" t="s">
        <v>71</v>
      </c>
      <c r="D722" t="s">
        <v>2269</v>
      </c>
      <c r="F722" t="s">
        <v>2270</v>
      </c>
      <c r="J722" t="s">
        <v>115</v>
      </c>
      <c r="K722" s="18" t="s">
        <v>2271</v>
      </c>
      <c r="N722" s="17" t="s">
        <v>81</v>
      </c>
      <c r="O722" t="s">
        <v>117</v>
      </c>
      <c r="V722" s="18" t="s">
        <v>2271</v>
      </c>
      <c r="Y722" t="s">
        <v>190</v>
      </c>
      <c r="AA722" t="s">
        <v>118</v>
      </c>
      <c r="AB722" t="s">
        <v>119</v>
      </c>
    </row>
    <row r="723" ht="15" customHeight="1" spans="1:22" x14ac:dyDescent="0.25">
      <c r="A723" s="17" t="s">
        <v>2272</v>
      </c>
      <c r="B723" s="17" t="s">
        <v>70</v>
      </c>
      <c r="C723" s="17" t="s">
        <v>71</v>
      </c>
      <c r="D723" t="s">
        <v>2273</v>
      </c>
      <c r="F723" t="s">
        <v>2273</v>
      </c>
      <c r="K723" s="18">
        <f>6281317779701</f>
        <v>6281317779701</v>
      </c>
      <c r="N723" s="17" t="s">
        <v>77</v>
      </c>
      <c r="V723" s="18">
        <f>6281317779701</f>
        <v>6281317779701</v>
      </c>
    </row>
    <row r="724" ht="15" customHeight="1" spans="1:22" x14ac:dyDescent="0.25">
      <c r="A724" s="17" t="s">
        <v>2274</v>
      </c>
      <c r="B724" s="17" t="s">
        <v>70</v>
      </c>
      <c r="C724" s="17" t="s">
        <v>71</v>
      </c>
      <c r="D724" t="s">
        <v>2273</v>
      </c>
      <c r="F724" t="s">
        <v>2275</v>
      </c>
      <c r="K724" s="18">
        <f>628129458518</f>
        <v>628129458518</v>
      </c>
      <c r="N724" s="17" t="s">
        <v>77</v>
      </c>
      <c r="V724" s="18">
        <f>628129458518</f>
        <v>628129458518</v>
      </c>
    </row>
    <row r="725" ht="15" customHeight="1" spans="1:22" x14ac:dyDescent="0.25">
      <c r="A725" s="17" t="s">
        <v>2276</v>
      </c>
      <c r="B725" s="17" t="s">
        <v>70</v>
      </c>
      <c r="C725" s="17" t="s">
        <v>71</v>
      </c>
      <c r="D725" t="s">
        <v>2277</v>
      </c>
      <c r="F725" t="s">
        <v>2277</v>
      </c>
      <c r="K725" s="18">
        <f>62817737605</f>
        <v>62817737605</v>
      </c>
      <c r="N725" s="17" t="s">
        <v>81</v>
      </c>
      <c r="V725" s="18">
        <f>62817737605</f>
        <v>62817737605</v>
      </c>
    </row>
    <row r="726" ht="15" customHeight="1" spans="1:28" x14ac:dyDescent="0.25">
      <c r="A726" s="17" t="s">
        <v>2278</v>
      </c>
      <c r="B726" s="17" t="s">
        <v>70</v>
      </c>
      <c r="C726" s="17" t="s">
        <v>71</v>
      </c>
      <c r="D726" t="s">
        <v>2279</v>
      </c>
      <c r="F726" t="s">
        <v>2280</v>
      </c>
      <c r="J726" s="17" t="s">
        <v>2281</v>
      </c>
      <c r="K726" s="18" t="s">
        <v>2282</v>
      </c>
      <c r="N726" s="17" t="s">
        <v>81</v>
      </c>
      <c r="O726" t="s">
        <v>261</v>
      </c>
      <c r="U726" s="17"/>
      <c r="V726" s="18" t="s">
        <v>2282</v>
      </c>
      <c r="W726" t="s">
        <v>2283</v>
      </c>
      <c r="Y726" s="17" t="s">
        <v>500</v>
      </c>
      <c r="AA726" t="s">
        <v>501</v>
      </c>
      <c r="AB726" t="s">
        <v>119</v>
      </c>
    </row>
    <row r="727" ht="15" customHeight="1" spans="1:25" x14ac:dyDescent="0.25">
      <c r="A727" s="17" t="s">
        <v>2284</v>
      </c>
      <c r="B727" s="17" t="s">
        <v>70</v>
      </c>
      <c r="C727" s="17" t="s">
        <v>71</v>
      </c>
      <c r="D727" t="s">
        <v>2279</v>
      </c>
      <c r="F727" t="s">
        <v>2279</v>
      </c>
      <c r="K727" s="18">
        <f>6281337745599</f>
        <v>6281337745599</v>
      </c>
      <c r="N727" s="17" t="s">
        <v>77</v>
      </c>
      <c r="U727" s="17"/>
      <c r="V727" s="18">
        <f>6281337745599</f>
        <v>6281337745599</v>
      </c>
      <c r="W727" t="s">
        <v>2285</v>
      </c>
      <c r="Y727" t="s">
        <v>181</v>
      </c>
    </row>
    <row r="728" ht="15" customHeight="1" spans="1:22" x14ac:dyDescent="0.25">
      <c r="A728" s="17" t="s">
        <v>2286</v>
      </c>
      <c r="B728" s="17" t="s">
        <v>70</v>
      </c>
      <c r="C728" s="17" t="s">
        <v>71</v>
      </c>
      <c r="D728" t="s">
        <v>2279</v>
      </c>
      <c r="F728" t="s">
        <v>2279</v>
      </c>
      <c r="K728" s="18">
        <f>628121344086</f>
        <v>628121344086</v>
      </c>
      <c r="N728" s="17" t="s">
        <v>77</v>
      </c>
      <c r="V728" s="18">
        <f>628121344086</f>
        <v>628121344086</v>
      </c>
    </row>
    <row r="729" ht="15" customHeight="1" spans="1:28" x14ac:dyDescent="0.25">
      <c r="A729" s="17" t="s">
        <v>2287</v>
      </c>
      <c r="B729" s="17" t="s">
        <v>70</v>
      </c>
      <c r="C729" s="17" t="s">
        <v>71</v>
      </c>
      <c r="D729" t="s">
        <v>2279</v>
      </c>
      <c r="F729" t="s">
        <v>2288</v>
      </c>
      <c r="J729" t="s">
        <v>115</v>
      </c>
      <c r="K729" s="18" t="s">
        <v>2289</v>
      </c>
      <c r="N729" s="17" t="s">
        <v>77</v>
      </c>
      <c r="O729" t="s">
        <v>117</v>
      </c>
      <c r="U729" s="17"/>
      <c r="V729" s="18" t="s">
        <v>2289</v>
      </c>
      <c r="W729" t="s">
        <v>2290</v>
      </c>
      <c r="Y729" s="17" t="s">
        <v>567</v>
      </c>
      <c r="AA729" t="s">
        <v>2291</v>
      </c>
      <c r="AB729" t="s">
        <v>119</v>
      </c>
    </row>
    <row r="730" ht="15" customHeight="1" spans="1:23" x14ac:dyDescent="0.25">
      <c r="A730" s="17" t="s">
        <v>2292</v>
      </c>
      <c r="B730" s="17" t="s">
        <v>70</v>
      </c>
      <c r="C730" s="17" t="s">
        <v>71</v>
      </c>
      <c r="D730" t="s">
        <v>2279</v>
      </c>
      <c r="F730" t="s">
        <v>2293</v>
      </c>
      <c r="K730" s="18">
        <f>628121020999</f>
        <v>628121020999</v>
      </c>
      <c r="N730" s="17" t="s">
        <v>74</v>
      </c>
      <c r="U730" s="17"/>
      <c r="V730" s="18">
        <f>628121020999</f>
        <v>628121020999</v>
      </c>
      <c r="W730" t="s">
        <v>2294</v>
      </c>
    </row>
    <row r="731" ht="15" customHeight="1" spans="1:28" x14ac:dyDescent="0.25">
      <c r="A731" s="17" t="s">
        <v>2295</v>
      </c>
      <c r="B731" s="17" t="s">
        <v>70</v>
      </c>
      <c r="C731" s="17" t="s">
        <v>71</v>
      </c>
      <c r="D731" t="s">
        <v>2279</v>
      </c>
      <c r="F731" t="s">
        <v>2296</v>
      </c>
      <c r="J731" s="17" t="s">
        <v>2297</v>
      </c>
      <c r="K731" s="18" t="s">
        <v>2298</v>
      </c>
      <c r="N731" s="17" t="s">
        <v>77</v>
      </c>
      <c r="O731" t="s">
        <v>145</v>
      </c>
      <c r="U731" s="17"/>
      <c r="V731" s="18" t="s">
        <v>2298</v>
      </c>
      <c r="W731" t="s">
        <v>2299</v>
      </c>
      <c r="Y731" s="17" t="s">
        <v>96</v>
      </c>
      <c r="AA731" t="s">
        <v>693</v>
      </c>
      <c r="AB731" t="s">
        <v>119</v>
      </c>
    </row>
    <row r="732" ht="15" customHeight="1" spans="1:28" x14ac:dyDescent="0.25">
      <c r="A732" s="17" t="s">
        <v>2300</v>
      </c>
      <c r="B732" s="17" t="s">
        <v>70</v>
      </c>
      <c r="C732" s="17" t="s">
        <v>71</v>
      </c>
      <c r="D732" t="s">
        <v>2279</v>
      </c>
      <c r="F732" t="s">
        <v>1169</v>
      </c>
      <c r="J732" t="s">
        <v>115</v>
      </c>
      <c r="K732" s="18" t="s">
        <v>2301</v>
      </c>
      <c r="N732" s="17" t="s">
        <v>77</v>
      </c>
      <c r="O732" t="s">
        <v>117</v>
      </c>
      <c r="V732" s="18" t="s">
        <v>2301</v>
      </c>
      <c r="Y732" t="s">
        <v>490</v>
      </c>
      <c r="AA732" t="s">
        <v>115</v>
      </c>
      <c r="AB732" t="s">
        <v>119</v>
      </c>
    </row>
    <row r="733" ht="15" customHeight="1" spans="1:28" x14ac:dyDescent="0.25">
      <c r="A733" s="17" t="s">
        <v>2302</v>
      </c>
      <c r="B733" s="17" t="s">
        <v>70</v>
      </c>
      <c r="C733" s="17" t="s">
        <v>71</v>
      </c>
      <c r="D733" t="s">
        <v>2279</v>
      </c>
      <c r="F733" t="s">
        <v>824</v>
      </c>
      <c r="J733" t="s">
        <v>115</v>
      </c>
      <c r="K733" s="18" t="s">
        <v>2303</v>
      </c>
      <c r="N733" s="17" t="s">
        <v>77</v>
      </c>
      <c r="O733" t="s">
        <v>117</v>
      </c>
      <c r="V733" s="18" t="s">
        <v>2303</v>
      </c>
      <c r="Y733" t="s">
        <v>190</v>
      </c>
      <c r="AA733" t="s">
        <v>118</v>
      </c>
      <c r="AB733" t="s">
        <v>119</v>
      </c>
    </row>
    <row r="734" ht="15" customHeight="1" spans="1:28" x14ac:dyDescent="0.25">
      <c r="A734" s="17" t="s">
        <v>2304</v>
      </c>
      <c r="B734" s="17" t="s">
        <v>70</v>
      </c>
      <c r="C734" s="17" t="s">
        <v>71</v>
      </c>
      <c r="D734" t="s">
        <v>2279</v>
      </c>
      <c r="F734" t="s">
        <v>2305</v>
      </c>
      <c r="J734" t="s">
        <v>115</v>
      </c>
      <c r="K734" s="18" t="s">
        <v>2306</v>
      </c>
      <c r="N734" s="17" t="s">
        <v>77</v>
      </c>
      <c r="O734" t="s">
        <v>117</v>
      </c>
      <c r="U734" s="17"/>
      <c r="V734" s="18" t="s">
        <v>2306</v>
      </c>
      <c r="W734" t="s">
        <v>2307</v>
      </c>
      <c r="Y734" s="17" t="s">
        <v>217</v>
      </c>
      <c r="AA734" t="s">
        <v>218</v>
      </c>
      <c r="AB734" t="s">
        <v>119</v>
      </c>
    </row>
    <row r="735" ht="15" customHeight="1" spans="1:28" x14ac:dyDescent="0.25">
      <c r="A735" s="17" t="s">
        <v>2308</v>
      </c>
      <c r="B735" s="17" t="s">
        <v>70</v>
      </c>
      <c r="C735" s="17" t="s">
        <v>71</v>
      </c>
      <c r="D735" t="s">
        <v>2279</v>
      </c>
      <c r="F735" t="s">
        <v>2309</v>
      </c>
      <c r="J735" t="s">
        <v>2310</v>
      </c>
      <c r="K735" s="18" t="s">
        <v>2311</v>
      </c>
      <c r="N735" s="17" t="s">
        <v>77</v>
      </c>
      <c r="O735" t="s">
        <v>489</v>
      </c>
      <c r="V735" s="18" t="s">
        <v>2311</v>
      </c>
      <c r="Y735" t="s">
        <v>190</v>
      </c>
      <c r="AA735" t="s">
        <v>118</v>
      </c>
      <c r="AB735" t="s">
        <v>119</v>
      </c>
    </row>
    <row r="736" ht="15" customHeight="1" spans="1:28" x14ac:dyDescent="0.25">
      <c r="A736" s="17" t="s">
        <v>2312</v>
      </c>
      <c r="B736" s="17" t="s">
        <v>70</v>
      </c>
      <c r="C736" s="17" t="s">
        <v>71</v>
      </c>
      <c r="D736" t="s">
        <v>2279</v>
      </c>
      <c r="F736" t="s">
        <v>2313</v>
      </c>
      <c r="J736" t="s">
        <v>115</v>
      </c>
      <c r="K736" s="18" t="s">
        <v>2314</v>
      </c>
      <c r="N736" s="17" t="s">
        <v>74</v>
      </c>
      <c r="O736" t="s">
        <v>261</v>
      </c>
      <c r="V736" s="18" t="s">
        <v>2314</v>
      </c>
      <c r="Y736" t="s">
        <v>90</v>
      </c>
      <c r="AA736" t="s">
        <v>118</v>
      </c>
      <c r="AB736" t="s">
        <v>119</v>
      </c>
    </row>
    <row r="737" ht="15" customHeight="1" spans="1:28" x14ac:dyDescent="0.25">
      <c r="A737" s="17" t="s">
        <v>2315</v>
      </c>
      <c r="B737" s="17" t="s">
        <v>70</v>
      </c>
      <c r="C737" s="17" t="s">
        <v>71</v>
      </c>
      <c r="D737" t="s">
        <v>2279</v>
      </c>
      <c r="F737" t="s">
        <v>2316</v>
      </c>
      <c r="J737" t="s">
        <v>115</v>
      </c>
      <c r="K737" s="18" t="s">
        <v>2317</v>
      </c>
      <c r="N737" s="17" t="s">
        <v>77</v>
      </c>
      <c r="O737" t="s">
        <v>261</v>
      </c>
      <c r="U737" s="17"/>
      <c r="V737" s="18" t="s">
        <v>2317</v>
      </c>
      <c r="W737" t="s">
        <v>2318</v>
      </c>
      <c r="Y737" s="17" t="s">
        <v>90</v>
      </c>
      <c r="AA737" t="s">
        <v>118</v>
      </c>
      <c r="AB737" t="s">
        <v>119</v>
      </c>
    </row>
    <row r="738" ht="15" customHeight="1" spans="1:22" x14ac:dyDescent="0.25">
      <c r="A738" s="17" t="s">
        <v>2319</v>
      </c>
      <c r="B738" s="17" t="s">
        <v>70</v>
      </c>
      <c r="C738" s="17" t="s">
        <v>71</v>
      </c>
      <c r="D738" t="s">
        <v>2279</v>
      </c>
      <c r="F738" t="s">
        <v>2320</v>
      </c>
      <c r="K738" s="18">
        <f>628122025775</f>
        <v>628122025775</v>
      </c>
      <c r="N738" s="17" t="s">
        <v>77</v>
      </c>
      <c r="V738" s="18">
        <f>628122025775</f>
        <v>628122025775</v>
      </c>
    </row>
    <row r="739" ht="15" customHeight="1" spans="1:25" x14ac:dyDescent="0.25">
      <c r="A739" s="17" t="s">
        <v>2321</v>
      </c>
      <c r="B739" s="17" t="s">
        <v>70</v>
      </c>
      <c r="C739" s="17" t="s">
        <v>71</v>
      </c>
      <c r="D739" t="s">
        <v>2279</v>
      </c>
      <c r="F739" t="s">
        <v>2322</v>
      </c>
      <c r="J739" s="17" t="s">
        <v>2323</v>
      </c>
      <c r="K739" s="18">
        <f>628118852878</f>
        <v>628118852878</v>
      </c>
      <c r="N739" s="17" t="s">
        <v>81</v>
      </c>
      <c r="U739" s="17"/>
      <c r="V739" s="18">
        <f>628118852878</f>
        <v>628118852878</v>
      </c>
      <c r="W739" t="s">
        <v>2324</v>
      </c>
      <c r="Y739" s="17" t="s">
        <v>90</v>
      </c>
    </row>
    <row r="740" ht="15" customHeight="1" spans="1:28" x14ac:dyDescent="0.25">
      <c r="A740" s="17" t="s">
        <v>2325</v>
      </c>
      <c r="B740" s="17" t="s">
        <v>70</v>
      </c>
      <c r="C740" s="17" t="s">
        <v>71</v>
      </c>
      <c r="D740" t="s">
        <v>2279</v>
      </c>
      <c r="F740" t="s">
        <v>2326</v>
      </c>
      <c r="J740" t="s">
        <v>115</v>
      </c>
      <c r="K740" s="18" t="s">
        <v>2327</v>
      </c>
      <c r="N740" s="17" t="s">
        <v>81</v>
      </c>
      <c r="O740" t="s">
        <v>117</v>
      </c>
      <c r="V740" s="18" t="s">
        <v>2327</v>
      </c>
      <c r="Y740" t="s">
        <v>115</v>
      </c>
      <c r="AA740" t="s">
        <v>115</v>
      </c>
      <c r="AB740" t="s">
        <v>119</v>
      </c>
    </row>
    <row r="741" ht="15" customHeight="1" spans="1:25" x14ac:dyDescent="0.25">
      <c r="A741" s="17" t="s">
        <v>2328</v>
      </c>
      <c r="B741" s="17" t="s">
        <v>70</v>
      </c>
      <c r="C741" s="17" t="s">
        <v>71</v>
      </c>
      <c r="D741" t="s">
        <v>2279</v>
      </c>
      <c r="F741" t="s">
        <v>1130</v>
      </c>
      <c r="K741" s="18">
        <f>62818588288</f>
        <v>62818588288</v>
      </c>
      <c r="N741" s="17" t="s">
        <v>77</v>
      </c>
      <c r="U741" s="17"/>
      <c r="V741" s="18">
        <f>62818588288</f>
        <v>62818588288</v>
      </c>
      <c r="W741" t="s">
        <v>2329</v>
      </c>
      <c r="Y741" s="17" t="s">
        <v>704</v>
      </c>
    </row>
    <row r="742" ht="15" customHeight="1" spans="1:22" x14ac:dyDescent="0.25">
      <c r="A742" s="17" t="s">
        <v>2330</v>
      </c>
      <c r="B742" s="17" t="s">
        <v>70</v>
      </c>
      <c r="C742" s="17" t="s">
        <v>71</v>
      </c>
      <c r="D742" t="s">
        <v>2279</v>
      </c>
      <c r="F742" t="s">
        <v>2331</v>
      </c>
      <c r="K742" s="18">
        <f>628128546489</f>
        <v>628128546489</v>
      </c>
      <c r="N742" s="17" t="s">
        <v>81</v>
      </c>
      <c r="V742" s="18">
        <f>628128546489</f>
        <v>628128546489</v>
      </c>
    </row>
    <row r="743" ht="15" customHeight="1" spans="1:22" x14ac:dyDescent="0.25">
      <c r="A743" s="17" t="s">
        <v>2332</v>
      </c>
      <c r="B743" s="17" t="s">
        <v>70</v>
      </c>
      <c r="C743" s="17" t="s">
        <v>71</v>
      </c>
      <c r="D743" t="s">
        <v>2279</v>
      </c>
      <c r="F743" t="s">
        <v>1140</v>
      </c>
      <c r="K743" s="18">
        <f>628119004300</f>
        <v>628119004300</v>
      </c>
      <c r="N743" s="17" t="s">
        <v>74</v>
      </c>
      <c r="V743" s="18">
        <f>628119004300</f>
        <v>628119004300</v>
      </c>
    </row>
    <row r="744" ht="15" customHeight="1" spans="1:27" x14ac:dyDescent="0.25">
      <c r="A744" s="17" t="s">
        <v>2333</v>
      </c>
      <c r="B744" s="17" t="s">
        <v>70</v>
      </c>
      <c r="C744" s="17" t="s">
        <v>71</v>
      </c>
      <c r="D744" t="s">
        <v>2279</v>
      </c>
      <c r="F744" t="s">
        <v>2334</v>
      </c>
      <c r="J744" s="17" t="s">
        <v>2335</v>
      </c>
      <c r="K744" s="18">
        <v>85242002109</v>
      </c>
      <c r="N744" s="17" t="s">
        <v>81</v>
      </c>
      <c r="U744" s="17"/>
      <c r="V744" s="18">
        <v>85242002109</v>
      </c>
      <c r="W744" t="s">
        <v>2336</v>
      </c>
      <c r="Y744" s="17" t="s">
        <v>90</v>
      </c>
      <c r="AA744" s="17">
        <v>10350</v>
      </c>
    </row>
    <row r="745" ht="15" customHeight="1" spans="1:22" x14ac:dyDescent="0.25">
      <c r="A745" s="17" t="s">
        <v>2337</v>
      </c>
      <c r="B745" s="17" t="s">
        <v>70</v>
      </c>
      <c r="C745" s="17" t="s">
        <v>71</v>
      </c>
      <c r="D745" t="s">
        <v>2279</v>
      </c>
      <c r="F745" t="s">
        <v>2338</v>
      </c>
      <c r="K745" s="18">
        <f>628192140140</f>
        <v>628192140140</v>
      </c>
      <c r="N745" s="17" t="s">
        <v>77</v>
      </c>
      <c r="V745" s="18">
        <f>628192140140</f>
        <v>628192140140</v>
      </c>
    </row>
    <row r="746" ht="15" customHeight="1" spans="1:22" x14ac:dyDescent="0.25">
      <c r="A746" s="17" t="s">
        <v>2339</v>
      </c>
      <c r="B746" s="17" t="s">
        <v>70</v>
      </c>
      <c r="C746" s="17" t="s">
        <v>71</v>
      </c>
      <c r="D746" t="s">
        <v>2279</v>
      </c>
      <c r="F746" t="s">
        <v>2279</v>
      </c>
      <c r="K746" s="18">
        <f>62811237473</f>
        <v>62811237473</v>
      </c>
      <c r="N746" s="17" t="s">
        <v>81</v>
      </c>
      <c r="V746" s="18">
        <f>62811237473</f>
        <v>62811237473</v>
      </c>
    </row>
    <row r="747" ht="15" customHeight="1" spans="1:28" x14ac:dyDescent="0.25">
      <c r="A747" s="17" t="s">
        <v>2340</v>
      </c>
      <c r="B747" s="17" t="s">
        <v>70</v>
      </c>
      <c r="C747" s="17" t="s">
        <v>71</v>
      </c>
      <c r="D747" t="s">
        <v>2341</v>
      </c>
      <c r="F747" t="s">
        <v>2341</v>
      </c>
      <c r="J747" t="s">
        <v>115</v>
      </c>
      <c r="K747" s="18" t="s">
        <v>2342</v>
      </c>
      <c r="N747" s="17" t="s">
        <v>77</v>
      </c>
      <c r="O747" t="s">
        <v>145</v>
      </c>
      <c r="V747" s="18" t="s">
        <v>2342</v>
      </c>
      <c r="Y747" t="s">
        <v>90</v>
      </c>
      <c r="AA747" t="s">
        <v>118</v>
      </c>
      <c r="AB747" t="s">
        <v>119</v>
      </c>
    </row>
    <row r="748" ht="15" customHeight="1" spans="1:25" x14ac:dyDescent="0.25">
      <c r="A748" s="17" t="s">
        <v>2343</v>
      </c>
      <c r="B748" s="17" t="s">
        <v>70</v>
      </c>
      <c r="C748" s="17" t="s">
        <v>71</v>
      </c>
      <c r="D748" t="s">
        <v>2344</v>
      </c>
      <c r="F748" t="s">
        <v>2345</v>
      </c>
      <c r="K748" s="18">
        <f>62811970502</f>
        <v>62811970502</v>
      </c>
      <c r="N748" s="17" t="s">
        <v>77</v>
      </c>
      <c r="U748" s="17"/>
      <c r="V748" s="18">
        <f>62811970502</f>
        <v>62811970502</v>
      </c>
      <c r="W748" t="s">
        <v>2346</v>
      </c>
      <c r="Y748" s="17" t="s">
        <v>90</v>
      </c>
    </row>
    <row r="749" ht="15" customHeight="1" spans="1:22" x14ac:dyDescent="0.25">
      <c r="A749" s="17" t="s">
        <v>2347</v>
      </c>
      <c r="B749" s="17" t="s">
        <v>70</v>
      </c>
      <c r="C749" s="17" t="s">
        <v>71</v>
      </c>
      <c r="D749" t="s">
        <v>2348</v>
      </c>
      <c r="F749" t="s">
        <v>2349</v>
      </c>
      <c r="K749" s="18">
        <f>62811929993</f>
        <v>62811929993</v>
      </c>
      <c r="N749" s="17" t="s">
        <v>77</v>
      </c>
      <c r="V749" s="18">
        <f>62811929993</f>
        <v>62811929993</v>
      </c>
    </row>
    <row r="750" ht="15" customHeight="1" spans="1:22" x14ac:dyDescent="0.25">
      <c r="A750" s="17" t="s">
        <v>2350</v>
      </c>
      <c r="B750" s="17" t="s">
        <v>70</v>
      </c>
      <c r="C750" s="17" t="s">
        <v>71</v>
      </c>
      <c r="D750" t="s">
        <v>2351</v>
      </c>
      <c r="F750" t="s">
        <v>2351</v>
      </c>
      <c r="K750" s="18">
        <f>6285714302829</f>
        <v>6285714302829</v>
      </c>
      <c r="N750" s="17" t="s">
        <v>77</v>
      </c>
      <c r="V750" s="18">
        <f>6285714302829</f>
        <v>6285714302829</v>
      </c>
    </row>
    <row r="751" ht="15" customHeight="1" spans="1:27" x14ac:dyDescent="0.25">
      <c r="A751" s="17" t="s">
        <v>2352</v>
      </c>
      <c r="B751" s="17" t="s">
        <v>70</v>
      </c>
      <c r="C751" s="17" t="s">
        <v>71</v>
      </c>
      <c r="D751" t="s">
        <v>2351</v>
      </c>
      <c r="F751" t="s">
        <v>2353</v>
      </c>
      <c r="J751" s="17" t="s">
        <v>2354</v>
      </c>
      <c r="K751" s="18">
        <f>6591557564</f>
        <v>6591557564</v>
      </c>
      <c r="N751" s="17" t="s">
        <v>74</v>
      </c>
      <c r="U751" s="17"/>
      <c r="V751" s="18">
        <f>6591557564</f>
        <v>6591557564</v>
      </c>
      <c r="W751" t="s">
        <v>2355</v>
      </c>
      <c r="Y751" s="17" t="s">
        <v>2356</v>
      </c>
      <c r="AA751" s="17">
        <v>309872</v>
      </c>
    </row>
    <row r="752" ht="15" customHeight="1" spans="1:28" x14ac:dyDescent="0.25">
      <c r="A752" s="17" t="s">
        <v>2357</v>
      </c>
      <c r="B752" s="17" t="s">
        <v>70</v>
      </c>
      <c r="C752" s="17" t="s">
        <v>71</v>
      </c>
      <c r="D752" t="s">
        <v>2351</v>
      </c>
      <c r="F752" t="s">
        <v>2353</v>
      </c>
      <c r="J752" t="s">
        <v>115</v>
      </c>
      <c r="K752" s="18" t="s">
        <v>2358</v>
      </c>
      <c r="N752" s="17" t="s">
        <v>81</v>
      </c>
      <c r="O752" t="s">
        <v>261</v>
      </c>
      <c r="U752" s="17"/>
      <c r="V752" s="18" t="s">
        <v>2358</v>
      </c>
      <c r="W752" t="s">
        <v>2359</v>
      </c>
      <c r="Y752" t="s">
        <v>2360</v>
      </c>
      <c r="AA752" t="s">
        <v>115</v>
      </c>
      <c r="AB752" t="s">
        <v>119</v>
      </c>
    </row>
    <row r="753" ht="15" customHeight="1" spans="1:22" x14ac:dyDescent="0.25">
      <c r="A753" s="17" t="s">
        <v>2361</v>
      </c>
      <c r="B753" s="17" t="s">
        <v>70</v>
      </c>
      <c r="C753" s="17" t="s">
        <v>71</v>
      </c>
      <c r="D753" t="s">
        <v>2362</v>
      </c>
      <c r="F753" t="s">
        <v>2363</v>
      </c>
      <c r="K753" s="18">
        <f>628174999835</f>
        <v>628174999835</v>
      </c>
      <c r="N753" s="17" t="s">
        <v>81</v>
      </c>
      <c r="V753" s="18">
        <f>628174999835</f>
        <v>628174999835</v>
      </c>
    </row>
    <row r="754" ht="15" customHeight="1" spans="1:28" x14ac:dyDescent="0.25">
      <c r="A754" s="17" t="s">
        <v>2364</v>
      </c>
      <c r="B754" s="17" t="s">
        <v>70</v>
      </c>
      <c r="C754" s="17" t="s">
        <v>71</v>
      </c>
      <c r="D754" t="s">
        <v>2365</v>
      </c>
      <c r="F754" t="s">
        <v>2366</v>
      </c>
      <c r="J754" t="s">
        <v>115</v>
      </c>
      <c r="K754" s="18" t="s">
        <v>2367</v>
      </c>
      <c r="N754" s="17" t="s">
        <v>77</v>
      </c>
      <c r="O754" t="s">
        <v>261</v>
      </c>
      <c r="U754" s="17"/>
      <c r="V754" s="18" t="s">
        <v>2367</v>
      </c>
      <c r="W754" t="s">
        <v>2368</v>
      </c>
      <c r="Y754" s="17" t="s">
        <v>90</v>
      </c>
      <c r="AA754" t="s">
        <v>118</v>
      </c>
      <c r="AB754" t="s">
        <v>119</v>
      </c>
    </row>
    <row r="755" ht="15" customHeight="1" spans="1:28" x14ac:dyDescent="0.25">
      <c r="A755" s="17" t="s">
        <v>2369</v>
      </c>
      <c r="B755" s="17" t="s">
        <v>70</v>
      </c>
      <c r="C755" s="17" t="s">
        <v>71</v>
      </c>
      <c r="D755" t="s">
        <v>2370</v>
      </c>
      <c r="F755" t="s">
        <v>2371</v>
      </c>
      <c r="J755" t="s">
        <v>115</v>
      </c>
      <c r="K755" s="18" t="s">
        <v>2372</v>
      </c>
      <c r="N755" s="17" t="s">
        <v>77</v>
      </c>
      <c r="O755" t="s">
        <v>117</v>
      </c>
      <c r="V755" s="18" t="s">
        <v>2372</v>
      </c>
      <c r="Y755" t="s">
        <v>90</v>
      </c>
      <c r="AA755" t="s">
        <v>118</v>
      </c>
      <c r="AB755" t="s">
        <v>119</v>
      </c>
    </row>
    <row r="756" ht="15" customHeight="1" spans="1:28" x14ac:dyDescent="0.25">
      <c r="A756" s="17" t="s">
        <v>2373</v>
      </c>
      <c r="B756" s="17" t="s">
        <v>70</v>
      </c>
      <c r="C756" s="17" t="s">
        <v>71</v>
      </c>
      <c r="D756" t="s">
        <v>2374</v>
      </c>
      <c r="F756" t="s">
        <v>2375</v>
      </c>
      <c r="J756" s="17" t="s">
        <v>2376</v>
      </c>
      <c r="K756" s="18" t="s">
        <v>2377</v>
      </c>
      <c r="N756" s="17" t="s">
        <v>81</v>
      </c>
      <c r="O756" t="s">
        <v>117</v>
      </c>
      <c r="U756" s="17"/>
      <c r="V756" s="18" t="s">
        <v>2377</v>
      </c>
      <c r="W756" t="s">
        <v>2378</v>
      </c>
      <c r="Y756" s="17" t="s">
        <v>90</v>
      </c>
      <c r="AA756" t="s">
        <v>118</v>
      </c>
      <c r="AB756" t="s">
        <v>119</v>
      </c>
    </row>
    <row r="757" ht="15" customHeight="1" spans="1:25" x14ac:dyDescent="0.25">
      <c r="A757" s="17" t="s">
        <v>2379</v>
      </c>
      <c r="B757" s="17" t="s">
        <v>70</v>
      </c>
      <c r="C757" s="17" t="s">
        <v>71</v>
      </c>
      <c r="D757" t="s">
        <v>2380</v>
      </c>
      <c r="F757" t="s">
        <v>2381</v>
      </c>
      <c r="K757" s="18">
        <f>628121013504</f>
        <v>628121013504</v>
      </c>
      <c r="N757" s="17" t="s">
        <v>74</v>
      </c>
      <c r="U757" s="17"/>
      <c r="V757" s="18">
        <f>628121013504</f>
        <v>628121013504</v>
      </c>
      <c r="W757" t="s">
        <v>2382</v>
      </c>
      <c r="Y757" s="17" t="s">
        <v>90</v>
      </c>
    </row>
    <row r="758" ht="15" customHeight="1" spans="1:22" x14ac:dyDescent="0.25">
      <c r="A758" s="17" t="s">
        <v>2383</v>
      </c>
      <c r="B758" s="17" t="s">
        <v>70</v>
      </c>
      <c r="C758" s="17" t="s">
        <v>71</v>
      </c>
      <c r="D758" t="s">
        <v>2380</v>
      </c>
      <c r="F758" t="s">
        <v>2384</v>
      </c>
      <c r="K758" s="18">
        <f>62811198721</f>
        <v>62811198721</v>
      </c>
      <c r="N758" s="17" t="s">
        <v>77</v>
      </c>
      <c r="V758" s="18">
        <f>62811198721</f>
        <v>62811198721</v>
      </c>
    </row>
    <row r="759" ht="15" customHeight="1" spans="1:23" x14ac:dyDescent="0.25">
      <c r="A759" s="17" t="s">
        <v>2385</v>
      </c>
      <c r="B759" s="17" t="s">
        <v>70</v>
      </c>
      <c r="C759" s="17" t="s">
        <v>71</v>
      </c>
      <c r="D759" t="s">
        <v>2380</v>
      </c>
      <c r="F759" t="s">
        <v>2386</v>
      </c>
      <c r="K759" s="18">
        <f>628115826666</f>
        <v>628115826666</v>
      </c>
      <c r="N759" s="17" t="s">
        <v>77</v>
      </c>
      <c r="U759" s="17"/>
      <c r="V759" s="18">
        <f>628115826666</f>
        <v>628115826666</v>
      </c>
      <c r="W759" t="s">
        <v>2387</v>
      </c>
    </row>
    <row r="760" ht="15" customHeight="1" spans="1:28" x14ac:dyDescent="0.25">
      <c r="A760" s="17" t="s">
        <v>2388</v>
      </c>
      <c r="B760" s="17" t="s">
        <v>70</v>
      </c>
      <c r="C760" s="17" t="s">
        <v>71</v>
      </c>
      <c r="D760" t="s">
        <v>2380</v>
      </c>
      <c r="F760" t="s">
        <v>2389</v>
      </c>
      <c r="J760" t="s">
        <v>115</v>
      </c>
      <c r="K760" s="18" t="s">
        <v>2390</v>
      </c>
      <c r="N760" s="17" t="s">
        <v>77</v>
      </c>
      <c r="O760" t="s">
        <v>117</v>
      </c>
      <c r="V760" s="18" t="s">
        <v>2390</v>
      </c>
      <c r="Y760" t="s">
        <v>190</v>
      </c>
      <c r="AA760" t="s">
        <v>118</v>
      </c>
      <c r="AB760" t="s">
        <v>119</v>
      </c>
    </row>
    <row r="761" ht="15" customHeight="1" spans="1:23" x14ac:dyDescent="0.25">
      <c r="A761" s="17" t="s">
        <v>2391</v>
      </c>
      <c r="B761" s="17" t="s">
        <v>70</v>
      </c>
      <c r="C761" s="17" t="s">
        <v>71</v>
      </c>
      <c r="D761" t="s">
        <v>2380</v>
      </c>
      <c r="F761" t="s">
        <v>2392</v>
      </c>
      <c r="K761" s="18">
        <f>6285778548484</f>
        <v>6285778548484</v>
      </c>
      <c r="N761" s="17" t="s">
        <v>77</v>
      </c>
      <c r="U761" s="17"/>
      <c r="V761" s="18">
        <f>6285778548484</f>
        <v>6285778548484</v>
      </c>
      <c r="W761" t="s">
        <v>2393</v>
      </c>
    </row>
    <row r="762" ht="15" customHeight="1" spans="1:28" x14ac:dyDescent="0.25">
      <c r="A762" s="17" t="s">
        <v>2394</v>
      </c>
      <c r="B762" s="17" t="s">
        <v>70</v>
      </c>
      <c r="C762" s="17" t="s">
        <v>71</v>
      </c>
      <c r="D762" t="s">
        <v>2380</v>
      </c>
      <c r="F762" t="s">
        <v>2395</v>
      </c>
      <c r="J762" t="s">
        <v>115</v>
      </c>
      <c r="K762" s="18" t="s">
        <v>2396</v>
      </c>
      <c r="N762" s="17" t="s">
        <v>77</v>
      </c>
      <c r="O762" t="s">
        <v>199</v>
      </c>
      <c r="U762" s="17"/>
      <c r="V762" s="18" t="s">
        <v>2396</v>
      </c>
      <c r="W762" t="s">
        <v>2397</v>
      </c>
      <c r="Y762" s="17" t="s">
        <v>90</v>
      </c>
      <c r="AA762" t="s">
        <v>115</v>
      </c>
      <c r="AB762" t="s">
        <v>119</v>
      </c>
    </row>
    <row r="763" ht="15" customHeight="1" spans="1:28" x14ac:dyDescent="0.25">
      <c r="A763" s="17" t="s">
        <v>2398</v>
      </c>
      <c r="B763" s="17" t="s">
        <v>70</v>
      </c>
      <c r="C763" s="17" t="s">
        <v>71</v>
      </c>
      <c r="D763" t="s">
        <v>2399</v>
      </c>
      <c r="F763" t="s">
        <v>2399</v>
      </c>
      <c r="J763" s="17" t="s">
        <v>2400</v>
      </c>
      <c r="K763" s="18" t="s">
        <v>2401</v>
      </c>
      <c r="N763" s="17" t="s">
        <v>77</v>
      </c>
      <c r="O763" t="s">
        <v>117</v>
      </c>
      <c r="V763" s="18" t="s">
        <v>2401</v>
      </c>
      <c r="Y763" s="17" t="s">
        <v>190</v>
      </c>
      <c r="AA763" t="s">
        <v>118</v>
      </c>
      <c r="AB763" t="s">
        <v>119</v>
      </c>
    </row>
    <row r="764" ht="15" customHeight="1" spans="1:22" x14ac:dyDescent="0.25">
      <c r="A764" s="17" t="s">
        <v>2402</v>
      </c>
      <c r="B764" s="17" t="s">
        <v>70</v>
      </c>
      <c r="C764" s="17" t="s">
        <v>71</v>
      </c>
      <c r="D764" t="s">
        <v>2399</v>
      </c>
      <c r="F764" t="s">
        <v>2399</v>
      </c>
      <c r="K764" s="18">
        <f>6281277159530</f>
        <v>6281277159530</v>
      </c>
      <c r="N764" s="17" t="s">
        <v>77</v>
      </c>
      <c r="V764" s="18">
        <f>6281277159530</f>
        <v>6281277159530</v>
      </c>
    </row>
    <row r="765" ht="15" customHeight="1" spans="1:22" x14ac:dyDescent="0.25">
      <c r="A765" s="17" t="s">
        <v>2403</v>
      </c>
      <c r="B765" s="17" t="s">
        <v>70</v>
      </c>
      <c r="C765" s="17" t="s">
        <v>71</v>
      </c>
      <c r="D765" t="s">
        <v>2399</v>
      </c>
      <c r="F765" t="s">
        <v>2399</v>
      </c>
      <c r="K765" s="18">
        <f>6285297357888</f>
        <v>6285297357888</v>
      </c>
      <c r="N765" s="17" t="s">
        <v>81</v>
      </c>
      <c r="V765" s="18">
        <f>6285297357888</f>
        <v>6285297357888</v>
      </c>
    </row>
    <row r="766" ht="15" customHeight="1" spans="1:28" x14ac:dyDescent="0.25">
      <c r="A766" s="17" t="s">
        <v>2404</v>
      </c>
      <c r="B766" s="17" t="s">
        <v>70</v>
      </c>
      <c r="C766" s="17" t="s">
        <v>71</v>
      </c>
      <c r="D766" t="s">
        <v>2405</v>
      </c>
      <c r="F766" t="s">
        <v>2406</v>
      </c>
      <c r="J766" t="s">
        <v>115</v>
      </c>
      <c r="K766" s="18" t="s">
        <v>2407</v>
      </c>
      <c r="N766" s="17" t="s">
        <v>77</v>
      </c>
      <c r="O766" t="s">
        <v>117</v>
      </c>
      <c r="V766" s="18" t="s">
        <v>2407</v>
      </c>
      <c r="Y766" t="s">
        <v>90</v>
      </c>
      <c r="AA766" t="s">
        <v>118</v>
      </c>
      <c r="AB766" t="s">
        <v>119</v>
      </c>
    </row>
    <row r="767" ht="15" customHeight="1" spans="1:22" x14ac:dyDescent="0.25">
      <c r="A767" s="17" t="s">
        <v>2408</v>
      </c>
      <c r="B767" s="17" t="s">
        <v>70</v>
      </c>
      <c r="C767" s="17" t="s">
        <v>71</v>
      </c>
      <c r="D767" t="s">
        <v>2409</v>
      </c>
      <c r="F767" t="s">
        <v>2409</v>
      </c>
      <c r="K767" s="18">
        <f>62811239799</f>
        <v>62811239799</v>
      </c>
      <c r="N767" s="17" t="s">
        <v>77</v>
      </c>
      <c r="V767" s="18">
        <f>62811239799</f>
        <v>62811239799</v>
      </c>
    </row>
    <row r="768" ht="15" customHeight="1" spans="1:22" x14ac:dyDescent="0.25">
      <c r="A768" s="17" t="s">
        <v>2410</v>
      </c>
      <c r="B768" s="17" t="s">
        <v>70</v>
      </c>
      <c r="C768" s="17" t="s">
        <v>71</v>
      </c>
      <c r="D768" t="s">
        <v>2409</v>
      </c>
      <c r="F768" t="s">
        <v>153</v>
      </c>
      <c r="K768" s="18">
        <f>62811598888</f>
        <v>62811598888</v>
      </c>
      <c r="N768" s="17" t="s">
        <v>77</v>
      </c>
      <c r="V768" s="18">
        <f>62811598888</f>
        <v>62811598888</v>
      </c>
    </row>
    <row r="769" ht="15" customHeight="1" spans="1:22" x14ac:dyDescent="0.25">
      <c r="A769" s="17" t="s">
        <v>2411</v>
      </c>
      <c r="B769" s="17" t="s">
        <v>70</v>
      </c>
      <c r="C769" s="17" t="s">
        <v>71</v>
      </c>
      <c r="D769" t="s">
        <v>2412</v>
      </c>
      <c r="F769" t="s">
        <v>2413</v>
      </c>
      <c r="K769" s="18">
        <f>62217203435</f>
        <v>62217203435</v>
      </c>
      <c r="N769" s="17" t="s">
        <v>81</v>
      </c>
      <c r="V769" s="18">
        <f>62217203435</f>
        <v>62217203435</v>
      </c>
    </row>
    <row r="770" ht="15" customHeight="1" spans="1:28" x14ac:dyDescent="0.25">
      <c r="A770" s="17" t="s">
        <v>2414</v>
      </c>
      <c r="B770" s="17" t="s">
        <v>70</v>
      </c>
      <c r="C770" s="17" t="s">
        <v>71</v>
      </c>
      <c r="D770" t="s">
        <v>2412</v>
      </c>
      <c r="F770" t="s">
        <v>1100</v>
      </c>
      <c r="J770" s="17" t="s">
        <v>2415</v>
      </c>
      <c r="K770" s="18" t="s">
        <v>2416</v>
      </c>
      <c r="N770" s="17" t="s">
        <v>77</v>
      </c>
      <c r="O770" t="s">
        <v>489</v>
      </c>
      <c r="V770" s="18" t="s">
        <v>2416</v>
      </c>
      <c r="Y770" t="s">
        <v>115</v>
      </c>
      <c r="AA770" t="s">
        <v>115</v>
      </c>
      <c r="AB770" t="s">
        <v>119</v>
      </c>
    </row>
    <row r="771" ht="15" customHeight="1" spans="1:22" x14ac:dyDescent="0.25">
      <c r="A771" s="17" t="s">
        <v>2417</v>
      </c>
      <c r="B771" s="17" t="s">
        <v>70</v>
      </c>
      <c r="C771" s="17" t="s">
        <v>71</v>
      </c>
      <c r="D771" t="s">
        <v>2412</v>
      </c>
      <c r="F771" t="s">
        <v>2418</v>
      </c>
      <c r="J771" s="17" t="s">
        <v>2419</v>
      </c>
      <c r="K771" s="18">
        <f>628161894083</f>
        <v>628161894083</v>
      </c>
      <c r="N771" s="17" t="s">
        <v>77</v>
      </c>
      <c r="V771" s="18">
        <f>628161894083</f>
        <v>628161894083</v>
      </c>
    </row>
    <row r="772" ht="15" customHeight="1" spans="1:22" x14ac:dyDescent="0.25">
      <c r="A772" s="17" t="s">
        <v>2420</v>
      </c>
      <c r="B772" s="17" t="s">
        <v>70</v>
      </c>
      <c r="C772" s="17" t="s">
        <v>71</v>
      </c>
      <c r="D772" t="s">
        <v>2412</v>
      </c>
      <c r="F772" t="s">
        <v>2421</v>
      </c>
      <c r="K772" s="18">
        <f>62811383339</f>
        <v>62811383339</v>
      </c>
      <c r="N772" s="17" t="s">
        <v>77</v>
      </c>
      <c r="V772" s="18">
        <f>62811383339</f>
        <v>62811383339</v>
      </c>
    </row>
    <row r="773" ht="15" customHeight="1" spans="1:25" x14ac:dyDescent="0.25">
      <c r="A773" s="17" t="s">
        <v>2422</v>
      </c>
      <c r="B773" s="17" t="s">
        <v>70</v>
      </c>
      <c r="C773" s="17" t="s">
        <v>71</v>
      </c>
      <c r="D773" t="s">
        <v>2423</v>
      </c>
      <c r="F773" t="s">
        <v>2423</v>
      </c>
      <c r="K773" s="18">
        <f>6281519410450</f>
        <v>6281519410450</v>
      </c>
      <c r="N773" s="17" t="s">
        <v>81</v>
      </c>
      <c r="U773" s="17"/>
      <c r="V773" s="18">
        <f>6281519410450</f>
        <v>6281519410450</v>
      </c>
      <c r="W773" t="s">
        <v>2424</v>
      </c>
      <c r="Y773" s="17" t="s">
        <v>90</v>
      </c>
    </row>
    <row r="774" ht="15" customHeight="1" spans="1:28" x14ac:dyDescent="0.25">
      <c r="A774" s="17" t="s">
        <v>2425</v>
      </c>
      <c r="B774" s="17" t="s">
        <v>70</v>
      </c>
      <c r="C774" s="17" t="s">
        <v>71</v>
      </c>
      <c r="D774" t="s">
        <v>2423</v>
      </c>
      <c r="F774" t="s">
        <v>2426</v>
      </c>
      <c r="J774" t="s">
        <v>115</v>
      </c>
      <c r="K774" s="18" t="s">
        <v>2427</v>
      </c>
      <c r="N774" s="17" t="s">
        <v>77</v>
      </c>
      <c r="O774" t="s">
        <v>199</v>
      </c>
      <c r="V774" s="18" t="s">
        <v>2427</v>
      </c>
      <c r="Y774" t="s">
        <v>96</v>
      </c>
      <c r="AA774" t="s">
        <v>693</v>
      </c>
      <c r="AB774" t="s">
        <v>119</v>
      </c>
    </row>
    <row r="775" ht="15" customHeight="1" spans="1:22" x14ac:dyDescent="0.25">
      <c r="A775" s="17" t="s">
        <v>2428</v>
      </c>
      <c r="B775" s="17" t="s">
        <v>70</v>
      </c>
      <c r="C775" s="17" t="s">
        <v>71</v>
      </c>
      <c r="D775" t="s">
        <v>2429</v>
      </c>
      <c r="F775" t="s">
        <v>2429</v>
      </c>
      <c r="K775" s="18">
        <f>6281331032008</f>
        <v>6281331032008</v>
      </c>
      <c r="N775" s="17" t="s">
        <v>77</v>
      </c>
      <c r="V775" s="18">
        <f>6281331032008</f>
        <v>6281331032008</v>
      </c>
    </row>
    <row r="776" ht="15" customHeight="1" spans="1:23" x14ac:dyDescent="0.25">
      <c r="A776" s="17" t="s">
        <v>2430</v>
      </c>
      <c r="B776" s="17" t="s">
        <v>70</v>
      </c>
      <c r="C776" s="17" t="s">
        <v>71</v>
      </c>
      <c r="D776" t="s">
        <v>2429</v>
      </c>
      <c r="F776" t="s">
        <v>2431</v>
      </c>
      <c r="K776" s="18">
        <f>6282211556808</f>
        <v>6282211556808</v>
      </c>
      <c r="N776" s="17" t="s">
        <v>77</v>
      </c>
      <c r="U776" s="17"/>
      <c r="V776" s="18">
        <f>6282211556808</f>
        <v>6282211556808</v>
      </c>
      <c r="W776" t="s">
        <v>2432</v>
      </c>
    </row>
    <row r="777" ht="15" customHeight="1" spans="1:27" x14ac:dyDescent="0.25">
      <c r="A777" s="17" t="s">
        <v>2433</v>
      </c>
      <c r="B777" s="17" t="s">
        <v>70</v>
      </c>
      <c r="C777" s="17" t="s">
        <v>71</v>
      </c>
      <c r="D777" t="s">
        <v>2434</v>
      </c>
      <c r="F777" t="s">
        <v>2434</v>
      </c>
      <c r="K777" s="18">
        <f>62811952377</f>
        <v>62811952377</v>
      </c>
      <c r="N777" s="17" t="s">
        <v>77</v>
      </c>
      <c r="U777" s="17"/>
      <c r="V777" s="18">
        <f>62811952377</f>
        <v>62811952377</v>
      </c>
      <c r="W777" t="s">
        <v>2435</v>
      </c>
      <c r="AA777" s="17" t="s">
        <v>2436</v>
      </c>
    </row>
    <row r="778" ht="15" customHeight="1" spans="1:25" x14ac:dyDescent="0.25">
      <c r="A778" s="17" t="s">
        <v>2437</v>
      </c>
      <c r="B778" s="17" t="s">
        <v>70</v>
      </c>
      <c r="C778" s="17" t="s">
        <v>71</v>
      </c>
      <c r="D778" t="s">
        <v>2434</v>
      </c>
      <c r="F778" t="s">
        <v>2434</v>
      </c>
      <c r="K778" s="18">
        <f>6281343988882</f>
        <v>6281343988882</v>
      </c>
      <c r="N778" s="17" t="s">
        <v>77</v>
      </c>
      <c r="U778" s="17"/>
      <c r="V778" s="18">
        <f>6281343988882</f>
        <v>6281343988882</v>
      </c>
      <c r="W778" t="s">
        <v>2438</v>
      </c>
      <c r="Y778" s="17" t="s">
        <v>78</v>
      </c>
    </row>
    <row r="779" ht="15" customHeight="1" spans="1:22" x14ac:dyDescent="0.25">
      <c r="A779" s="17" t="s">
        <v>2439</v>
      </c>
      <c r="B779" s="17" t="s">
        <v>70</v>
      </c>
      <c r="C779" s="17" t="s">
        <v>71</v>
      </c>
      <c r="D779" t="s">
        <v>2440</v>
      </c>
      <c r="F779" t="s">
        <v>2441</v>
      </c>
      <c r="J779" s="17" t="s">
        <v>2442</v>
      </c>
      <c r="K779" s="18">
        <f>6591529364</f>
        <v>6591529364</v>
      </c>
      <c r="N779" s="17" t="s">
        <v>81</v>
      </c>
      <c r="V779" s="18">
        <f>6591529364</f>
        <v>6591529364</v>
      </c>
    </row>
    <row r="780" ht="15" customHeight="1" spans="1:25" x14ac:dyDescent="0.25">
      <c r="A780" s="17" t="s">
        <v>2443</v>
      </c>
      <c r="B780" s="17" t="s">
        <v>70</v>
      </c>
      <c r="C780" s="17" t="s">
        <v>71</v>
      </c>
      <c r="D780" t="s">
        <v>2444</v>
      </c>
      <c r="F780" t="s">
        <v>2445</v>
      </c>
      <c r="K780" s="18">
        <f>6281829964</f>
        <v>6281829964</v>
      </c>
      <c r="N780" s="17" t="s">
        <v>81</v>
      </c>
      <c r="U780" s="17"/>
      <c r="V780" s="18">
        <f>6281829964</f>
        <v>6281829964</v>
      </c>
      <c r="W780" t="s">
        <v>2446</v>
      </c>
      <c r="Y780" s="17" t="s">
        <v>90</v>
      </c>
    </row>
    <row r="781" ht="15" customHeight="1" spans="1:25" x14ac:dyDescent="0.25">
      <c r="A781" s="17" t="s">
        <v>2447</v>
      </c>
      <c r="B781" s="17" t="s">
        <v>70</v>
      </c>
      <c r="C781" s="17" t="s">
        <v>71</v>
      </c>
      <c r="D781" t="s">
        <v>2444</v>
      </c>
      <c r="F781" t="s">
        <v>1208</v>
      </c>
      <c r="K781" s="18">
        <f>62811829964</f>
        <v>62811829964</v>
      </c>
      <c r="N781" s="17" t="s">
        <v>81</v>
      </c>
      <c r="U781" s="17"/>
      <c r="V781" s="18">
        <f>62811829964</f>
        <v>62811829964</v>
      </c>
      <c r="W781" t="s">
        <v>2448</v>
      </c>
      <c r="Y781" s="17" t="s">
        <v>378</v>
      </c>
    </row>
    <row r="782" ht="15" customHeight="1" spans="1:28" x14ac:dyDescent="0.25">
      <c r="A782" s="17" t="s">
        <v>2449</v>
      </c>
      <c r="B782" s="17" t="s">
        <v>70</v>
      </c>
      <c r="C782" s="17" t="s">
        <v>71</v>
      </c>
      <c r="D782" t="s">
        <v>2450</v>
      </c>
      <c r="F782" t="s">
        <v>225</v>
      </c>
      <c r="J782" s="17" t="s">
        <v>2451</v>
      </c>
      <c r="K782" s="18" t="s">
        <v>2452</v>
      </c>
      <c r="N782" s="17" t="s">
        <v>77</v>
      </c>
      <c r="O782" t="s">
        <v>199</v>
      </c>
      <c r="V782" s="18" t="s">
        <v>2452</v>
      </c>
      <c r="Y782" s="17" t="s">
        <v>906</v>
      </c>
      <c r="AA782" t="s">
        <v>115</v>
      </c>
      <c r="AB782" t="s">
        <v>119</v>
      </c>
    </row>
    <row r="783" ht="15" customHeight="1" spans="1:23" x14ac:dyDescent="0.25">
      <c r="A783" s="17" t="s">
        <v>2453</v>
      </c>
      <c r="B783" s="17" t="s">
        <v>70</v>
      </c>
      <c r="C783" s="17" t="s">
        <v>71</v>
      </c>
      <c r="D783" t="s">
        <v>2454</v>
      </c>
      <c r="F783" t="s">
        <v>2455</v>
      </c>
      <c r="K783" s="18">
        <f>966505433874</f>
        <v>966505433874</v>
      </c>
      <c r="N783" s="17" t="s">
        <v>77</v>
      </c>
      <c r="U783" s="17"/>
      <c r="V783" s="18">
        <f>966505433874</f>
        <v>966505433874</v>
      </c>
      <c r="W783" t="s">
        <v>2456</v>
      </c>
    </row>
    <row r="784" ht="15" customHeight="1" spans="1:25" x14ac:dyDescent="0.25">
      <c r="A784" s="17" t="s">
        <v>2457</v>
      </c>
      <c r="B784" s="17" t="s">
        <v>70</v>
      </c>
      <c r="C784" s="17" t="s">
        <v>71</v>
      </c>
      <c r="D784" t="s">
        <v>2458</v>
      </c>
      <c r="F784" t="s">
        <v>2459</v>
      </c>
      <c r="K784" s="18">
        <f>628129502802</f>
        <v>628129502802</v>
      </c>
      <c r="N784" s="17" t="s">
        <v>77</v>
      </c>
      <c r="U784" s="17"/>
      <c r="V784" s="18">
        <f>628129502802</f>
        <v>628129502802</v>
      </c>
      <c r="W784" t="s">
        <v>2460</v>
      </c>
      <c r="Y784" s="17" t="s">
        <v>96</v>
      </c>
    </row>
    <row r="785" ht="15" customHeight="1" spans="1:22" x14ac:dyDescent="0.25">
      <c r="A785" s="17" t="s">
        <v>2461</v>
      </c>
      <c r="B785" s="17" t="s">
        <v>70</v>
      </c>
      <c r="C785" s="17" t="s">
        <v>71</v>
      </c>
      <c r="D785" t="s">
        <v>2462</v>
      </c>
      <c r="F785" t="s">
        <v>2463</v>
      </c>
      <c r="J785" s="17" t="s">
        <v>2464</v>
      </c>
      <c r="K785" s="18">
        <f>628128100417</f>
        <v>628128100417</v>
      </c>
      <c r="N785" s="17" t="s">
        <v>77</v>
      </c>
      <c r="V785" s="18">
        <f>628128100417</f>
        <v>628128100417</v>
      </c>
    </row>
    <row r="786" ht="15" customHeight="1" spans="1:22" x14ac:dyDescent="0.25">
      <c r="A786" s="17" t="s">
        <v>2465</v>
      </c>
      <c r="B786" s="17" t="s">
        <v>70</v>
      </c>
      <c r="C786" s="17" t="s">
        <v>71</v>
      </c>
      <c r="D786" t="s">
        <v>2466</v>
      </c>
      <c r="F786" t="s">
        <v>2466</v>
      </c>
      <c r="K786" s="18">
        <f>6285288234234</f>
        <v>6285288234234</v>
      </c>
      <c r="N786" s="17" t="s">
        <v>77</v>
      </c>
      <c r="V786" s="18">
        <f>6285288234234</f>
        <v>6285288234234</v>
      </c>
    </row>
    <row r="787" ht="15" customHeight="1" spans="1:22" x14ac:dyDescent="0.25">
      <c r="A787" s="17" t="s">
        <v>2467</v>
      </c>
      <c r="B787" s="17" t="s">
        <v>70</v>
      </c>
      <c r="C787" s="17" t="s">
        <v>71</v>
      </c>
      <c r="D787" t="s">
        <v>2466</v>
      </c>
      <c r="F787" t="s">
        <v>2468</v>
      </c>
      <c r="K787" s="18">
        <v>81288639494</v>
      </c>
      <c r="N787" s="17" t="s">
        <v>81</v>
      </c>
      <c r="V787" s="18">
        <v>81288639494</v>
      </c>
    </row>
    <row r="788" ht="15" customHeight="1" spans="1:22" x14ac:dyDescent="0.25">
      <c r="A788" s="17" t="s">
        <v>2469</v>
      </c>
      <c r="B788" s="17" t="s">
        <v>70</v>
      </c>
      <c r="C788" s="17" t="s">
        <v>71</v>
      </c>
      <c r="D788" t="s">
        <v>2470</v>
      </c>
      <c r="F788" t="s">
        <v>2471</v>
      </c>
      <c r="K788" s="18">
        <f>6281892777</f>
        <v>6281892777</v>
      </c>
      <c r="N788" s="17" t="s">
        <v>77</v>
      </c>
      <c r="V788" s="18">
        <f>6281892777</f>
        <v>6281892777</v>
      </c>
    </row>
    <row r="789" ht="15" customHeight="1" spans="1:27" x14ac:dyDescent="0.25">
      <c r="A789" s="17" t="s">
        <v>2472</v>
      </c>
      <c r="B789" s="17" t="s">
        <v>70</v>
      </c>
      <c r="C789" s="17" t="s">
        <v>71</v>
      </c>
      <c r="D789" t="s">
        <v>2473</v>
      </c>
      <c r="F789" t="s">
        <v>1704</v>
      </c>
      <c r="J789" s="17" t="s">
        <v>2474</v>
      </c>
      <c r="K789" s="18">
        <f>62811974720</f>
        <v>62811974720</v>
      </c>
      <c r="N789" s="17" t="s">
        <v>77</v>
      </c>
      <c r="U789" s="17"/>
      <c r="V789" s="18">
        <f>62811974720</f>
        <v>62811974720</v>
      </c>
      <c r="W789" t="s">
        <v>2475</v>
      </c>
      <c r="Y789" s="17" t="s">
        <v>397</v>
      </c>
      <c r="AA789" s="17">
        <v>17412</v>
      </c>
    </row>
    <row r="790" ht="15" customHeight="1" spans="1:25" x14ac:dyDescent="0.25">
      <c r="A790" s="17" t="s">
        <v>2476</v>
      </c>
      <c r="B790" s="17" t="s">
        <v>70</v>
      </c>
      <c r="C790" s="17" t="s">
        <v>71</v>
      </c>
      <c r="D790" t="s">
        <v>2477</v>
      </c>
      <c r="F790" t="s">
        <v>2478</v>
      </c>
      <c r="K790" s="18">
        <f>6281223250888</f>
        <v>6281223250888</v>
      </c>
      <c r="N790" s="17" t="s">
        <v>81</v>
      </c>
      <c r="U790" s="17"/>
      <c r="V790" s="18">
        <f>6281223250888</f>
        <v>6281223250888</v>
      </c>
      <c r="W790" t="s">
        <v>2479</v>
      </c>
      <c r="Y790" t="s">
        <v>500</v>
      </c>
    </row>
    <row r="791" ht="15" customHeight="1" spans="1:22" x14ac:dyDescent="0.25">
      <c r="A791" s="17" t="s">
        <v>2480</v>
      </c>
      <c r="B791" s="17" t="s">
        <v>70</v>
      </c>
      <c r="C791" s="17" t="s">
        <v>71</v>
      </c>
      <c r="D791" t="s">
        <v>2481</v>
      </c>
      <c r="F791" t="s">
        <v>2482</v>
      </c>
      <c r="K791" s="18">
        <f>62811649021</f>
        <v>62811649021</v>
      </c>
      <c r="N791" s="17" t="s">
        <v>77</v>
      </c>
      <c r="V791" s="18">
        <f>62811649021</f>
        <v>62811649021</v>
      </c>
    </row>
    <row r="792" ht="15" customHeight="1" spans="1:22" x14ac:dyDescent="0.25">
      <c r="A792" s="17" t="s">
        <v>2483</v>
      </c>
      <c r="B792" s="17" t="s">
        <v>70</v>
      </c>
      <c r="C792" s="17" t="s">
        <v>71</v>
      </c>
      <c r="D792" t="s">
        <v>2481</v>
      </c>
      <c r="F792" t="s">
        <v>2484</v>
      </c>
      <c r="K792" s="18">
        <f>6281285004963</f>
        <v>6281285004963</v>
      </c>
      <c r="N792" s="17" t="s">
        <v>77</v>
      </c>
      <c r="V792" s="18">
        <f>6281285004963</f>
        <v>6281285004963</v>
      </c>
    </row>
    <row r="793" ht="15" customHeight="1" spans="1:22" x14ac:dyDescent="0.25">
      <c r="A793" s="17" t="s">
        <v>2485</v>
      </c>
      <c r="B793" s="17" t="s">
        <v>70</v>
      </c>
      <c r="C793" s="17" t="s">
        <v>71</v>
      </c>
      <c r="D793" t="s">
        <v>2481</v>
      </c>
      <c r="F793" t="s">
        <v>2486</v>
      </c>
      <c r="K793" s="18">
        <f>628113929188</f>
        <v>628113929188</v>
      </c>
      <c r="N793" s="17" t="s">
        <v>77</v>
      </c>
      <c r="V793" s="18">
        <f>628113929188</f>
        <v>628113929188</v>
      </c>
    </row>
    <row r="794" ht="15" customHeight="1" spans="1:28" x14ac:dyDescent="0.25">
      <c r="A794" s="17" t="s">
        <v>2487</v>
      </c>
      <c r="B794" s="17" t="s">
        <v>70</v>
      </c>
      <c r="C794" s="17" t="s">
        <v>71</v>
      </c>
      <c r="D794" t="s">
        <v>2488</v>
      </c>
      <c r="F794" t="s">
        <v>2489</v>
      </c>
      <c r="J794" t="s">
        <v>115</v>
      </c>
      <c r="K794" s="18" t="s">
        <v>2490</v>
      </c>
      <c r="N794" s="17" t="s">
        <v>77</v>
      </c>
      <c r="O794" t="s">
        <v>145</v>
      </c>
      <c r="U794" s="17"/>
      <c r="V794" s="18" t="s">
        <v>2490</v>
      </c>
      <c r="W794" t="s">
        <v>2491</v>
      </c>
      <c r="Y794" s="17" t="s">
        <v>190</v>
      </c>
      <c r="AA794" t="s">
        <v>118</v>
      </c>
      <c r="AB794" t="s">
        <v>119</v>
      </c>
    </row>
    <row r="795" ht="15" customHeight="1" spans="1:25" x14ac:dyDescent="0.25">
      <c r="A795" s="17" t="s">
        <v>2492</v>
      </c>
      <c r="B795" s="17" t="s">
        <v>70</v>
      </c>
      <c r="C795" s="17" t="s">
        <v>71</v>
      </c>
      <c r="D795" t="s">
        <v>2493</v>
      </c>
      <c r="F795" t="s">
        <v>2494</v>
      </c>
      <c r="K795" s="18">
        <v>227797095</v>
      </c>
      <c r="N795" s="17" t="s">
        <v>77</v>
      </c>
      <c r="U795" s="17"/>
      <c r="V795" s="18">
        <v>227797095</v>
      </c>
      <c r="W795" t="s">
        <v>2495</v>
      </c>
      <c r="Y795" s="17" t="s">
        <v>500</v>
      </c>
    </row>
    <row r="796" ht="15" customHeight="1" spans="1:28" x14ac:dyDescent="0.25">
      <c r="A796" s="17" t="s">
        <v>2496</v>
      </c>
      <c r="B796" s="17" t="s">
        <v>70</v>
      </c>
      <c r="C796" s="17" t="s">
        <v>71</v>
      </c>
      <c r="D796" t="s">
        <v>2497</v>
      </c>
      <c r="F796" t="s">
        <v>2493</v>
      </c>
      <c r="J796" s="17" t="s">
        <v>2498</v>
      </c>
      <c r="K796" s="18" t="s">
        <v>2499</v>
      </c>
      <c r="N796" s="17" t="s">
        <v>77</v>
      </c>
      <c r="O796" t="s">
        <v>489</v>
      </c>
      <c r="V796" s="18" t="s">
        <v>2499</v>
      </c>
      <c r="Y796" t="s">
        <v>115</v>
      </c>
      <c r="AA796" t="s">
        <v>115</v>
      </c>
      <c r="AB796" t="s">
        <v>2500</v>
      </c>
    </row>
    <row r="797" ht="15" customHeight="1" spans="1:22" x14ac:dyDescent="0.25">
      <c r="A797" s="17" t="s">
        <v>2501</v>
      </c>
      <c r="B797" s="17" t="s">
        <v>70</v>
      </c>
      <c r="C797" s="17" t="s">
        <v>71</v>
      </c>
      <c r="D797" t="s">
        <v>2502</v>
      </c>
      <c r="F797" t="s">
        <v>2502</v>
      </c>
      <c r="K797" s="18">
        <f>628161863145</f>
        <v>628161863145</v>
      </c>
      <c r="N797" s="17" t="s">
        <v>74</v>
      </c>
      <c r="V797" s="18">
        <f>628161863145</f>
        <v>628161863145</v>
      </c>
    </row>
    <row r="798" ht="15" customHeight="1" spans="1:22" x14ac:dyDescent="0.25">
      <c r="A798" s="17" t="s">
        <v>2503</v>
      </c>
      <c r="B798" s="17" t="s">
        <v>70</v>
      </c>
      <c r="C798" s="17" t="s">
        <v>71</v>
      </c>
      <c r="D798" t="s">
        <v>2502</v>
      </c>
      <c r="F798" t="s">
        <v>2502</v>
      </c>
      <c r="K798" s="18">
        <f>628122127537</f>
        <v>628122127537</v>
      </c>
      <c r="N798" s="17" t="s">
        <v>81</v>
      </c>
      <c r="V798" s="18">
        <f>628122127537</f>
        <v>628122127537</v>
      </c>
    </row>
    <row r="799" ht="15" customHeight="1" spans="1:22" x14ac:dyDescent="0.25">
      <c r="A799" s="17" t="s">
        <v>2504</v>
      </c>
      <c r="B799" s="17" t="s">
        <v>70</v>
      </c>
      <c r="C799" s="17" t="s">
        <v>71</v>
      </c>
      <c r="D799" t="s">
        <v>2502</v>
      </c>
      <c r="F799" t="s">
        <v>2502</v>
      </c>
      <c r="K799" s="18">
        <f>6281210941552</f>
        <v>6281210941552</v>
      </c>
      <c r="N799" s="17" t="s">
        <v>81</v>
      </c>
      <c r="V799" s="18">
        <f>6281210941552</f>
        <v>6281210941552</v>
      </c>
    </row>
    <row r="800" ht="15" customHeight="1" spans="1:25" x14ac:dyDescent="0.25">
      <c r="A800" s="17" t="s">
        <v>2505</v>
      </c>
      <c r="B800" s="17" t="s">
        <v>70</v>
      </c>
      <c r="C800" s="17" t="s">
        <v>71</v>
      </c>
      <c r="D800" t="s">
        <v>2502</v>
      </c>
      <c r="F800" t="s">
        <v>2502</v>
      </c>
      <c r="K800" s="18">
        <f>6287877247956</f>
        <v>6287877247956</v>
      </c>
      <c r="N800" s="17" t="s">
        <v>77</v>
      </c>
      <c r="U800" s="17"/>
      <c r="V800" s="18">
        <f>6287877247956</f>
        <v>6287877247956</v>
      </c>
      <c r="W800" t="s">
        <v>2506</v>
      </c>
      <c r="Y800" s="17" t="s">
        <v>378</v>
      </c>
    </row>
    <row r="801" ht="15" customHeight="1" spans="1:25" x14ac:dyDescent="0.25">
      <c r="A801" s="17" t="s">
        <v>2507</v>
      </c>
      <c r="B801" s="17" t="s">
        <v>70</v>
      </c>
      <c r="C801" s="17" t="s">
        <v>71</v>
      </c>
      <c r="D801" t="s">
        <v>2502</v>
      </c>
      <c r="F801" t="s">
        <v>2508</v>
      </c>
      <c r="K801" s="18">
        <f>6282112467855</f>
        <v>6282112467855</v>
      </c>
      <c r="N801" s="17" t="s">
        <v>77</v>
      </c>
      <c r="U801" s="17"/>
      <c r="V801" s="18">
        <f>6282112467855</f>
        <v>6282112467855</v>
      </c>
      <c r="W801" t="s">
        <v>2509</v>
      </c>
      <c r="Y801" s="17" t="s">
        <v>90</v>
      </c>
    </row>
    <row r="802" ht="15" customHeight="1" spans="1:22" x14ac:dyDescent="0.25">
      <c r="A802" s="17" t="s">
        <v>2510</v>
      </c>
      <c r="B802" s="17" t="s">
        <v>70</v>
      </c>
      <c r="C802" s="17" t="s">
        <v>71</v>
      </c>
      <c r="D802" t="s">
        <v>2502</v>
      </c>
      <c r="F802" t="s">
        <v>2511</v>
      </c>
      <c r="K802" s="18">
        <f>628568952153</f>
        <v>628568952153</v>
      </c>
      <c r="N802" s="17" t="s">
        <v>77</v>
      </c>
      <c r="V802" s="18">
        <f>628568952153</f>
        <v>628568952153</v>
      </c>
    </row>
    <row r="803" ht="15" customHeight="1" spans="1:28" x14ac:dyDescent="0.25">
      <c r="A803" s="17" t="s">
        <v>2512</v>
      </c>
      <c r="B803" s="17" t="s">
        <v>70</v>
      </c>
      <c r="C803" s="17" t="s">
        <v>71</v>
      </c>
      <c r="D803" t="s">
        <v>2502</v>
      </c>
      <c r="F803" t="s">
        <v>2513</v>
      </c>
      <c r="J803" s="17" t="s">
        <v>2514</v>
      </c>
      <c r="K803" s="18" t="s">
        <v>2515</v>
      </c>
      <c r="N803" s="17" t="s">
        <v>74</v>
      </c>
      <c r="O803" t="s">
        <v>117</v>
      </c>
      <c r="V803" s="18" t="s">
        <v>2515</v>
      </c>
      <c r="Y803" t="s">
        <v>90</v>
      </c>
      <c r="AA803" t="s">
        <v>118</v>
      </c>
      <c r="AB803" t="s">
        <v>119</v>
      </c>
    </row>
    <row r="804" ht="15" customHeight="1" spans="1:22" x14ac:dyDescent="0.25">
      <c r="A804" s="17" t="s">
        <v>2516</v>
      </c>
      <c r="B804" s="17" t="s">
        <v>70</v>
      </c>
      <c r="C804" s="17" t="s">
        <v>71</v>
      </c>
      <c r="D804" t="s">
        <v>2502</v>
      </c>
      <c r="F804" t="s">
        <v>2517</v>
      </c>
      <c r="K804" s="18">
        <f>628128001343</f>
        <v>628128001343</v>
      </c>
      <c r="N804" s="17" t="s">
        <v>81</v>
      </c>
      <c r="V804" s="18">
        <f>628128001343</f>
        <v>628128001343</v>
      </c>
    </row>
    <row r="805" ht="15" customHeight="1" spans="1:22" x14ac:dyDescent="0.25">
      <c r="A805" s="17" t="s">
        <v>2518</v>
      </c>
      <c r="B805" s="17" t="s">
        <v>70</v>
      </c>
      <c r="C805" s="17" t="s">
        <v>71</v>
      </c>
      <c r="D805" t="s">
        <v>2502</v>
      </c>
      <c r="F805" t="s">
        <v>2519</v>
      </c>
      <c r="K805" s="18">
        <f>628118887839</f>
        <v>628118887839</v>
      </c>
      <c r="N805" s="17" t="s">
        <v>81</v>
      </c>
      <c r="V805" s="18">
        <f>628118887839</f>
        <v>628118887839</v>
      </c>
    </row>
    <row r="806" ht="15" customHeight="1" spans="1:22" x14ac:dyDescent="0.25">
      <c r="A806" s="17" t="s">
        <v>2520</v>
      </c>
      <c r="B806" s="17" t="s">
        <v>70</v>
      </c>
      <c r="C806" s="17" t="s">
        <v>71</v>
      </c>
      <c r="D806" t="s">
        <v>2502</v>
      </c>
      <c r="F806" t="s">
        <v>2521</v>
      </c>
      <c r="K806" s="18">
        <f>62816936557</f>
        <v>62816936557</v>
      </c>
      <c r="N806" s="17" t="s">
        <v>74</v>
      </c>
      <c r="V806" s="18">
        <f>62816936557</f>
        <v>62816936557</v>
      </c>
    </row>
    <row r="807" ht="15" customHeight="1" spans="1:25" x14ac:dyDescent="0.25">
      <c r="A807" s="17" t="s">
        <v>2522</v>
      </c>
      <c r="B807" s="17" t="s">
        <v>70</v>
      </c>
      <c r="C807" s="17" t="s">
        <v>71</v>
      </c>
      <c r="D807" t="s">
        <v>2502</v>
      </c>
      <c r="F807" t="s">
        <v>2523</v>
      </c>
      <c r="K807" s="18">
        <f>6281313034677</f>
        <v>6281313034677</v>
      </c>
      <c r="N807" s="17" t="s">
        <v>81</v>
      </c>
      <c r="U807" s="17"/>
      <c r="V807" s="18">
        <f>6281313034677</f>
        <v>6281313034677</v>
      </c>
      <c r="W807" t="s">
        <v>2524</v>
      </c>
      <c r="Y807" s="17" t="s">
        <v>500</v>
      </c>
    </row>
    <row r="808" ht="15" customHeight="1" spans="1:25" x14ac:dyDescent="0.25">
      <c r="A808" s="17" t="s">
        <v>2525</v>
      </c>
      <c r="B808" s="17" t="s">
        <v>70</v>
      </c>
      <c r="C808" s="17" t="s">
        <v>71</v>
      </c>
      <c r="D808" t="s">
        <v>2526</v>
      </c>
      <c r="F808" t="s">
        <v>2527</v>
      </c>
      <c r="K808" s="18">
        <f>6281337438614</f>
        <v>6281337438614</v>
      </c>
      <c r="N808" s="17" t="s">
        <v>81</v>
      </c>
      <c r="V808" s="18">
        <f>6281337438614</f>
        <v>6281337438614</v>
      </c>
      <c r="Y808" s="17" t="s">
        <v>181</v>
      </c>
    </row>
    <row r="809" ht="15" customHeight="1" spans="1:28" x14ac:dyDescent="0.25">
      <c r="A809" s="17" t="s">
        <v>2528</v>
      </c>
      <c r="B809" s="17" t="s">
        <v>70</v>
      </c>
      <c r="C809" s="17" t="s">
        <v>71</v>
      </c>
      <c r="D809" t="s">
        <v>2529</v>
      </c>
      <c r="F809" t="s">
        <v>2530</v>
      </c>
      <c r="J809" t="s">
        <v>115</v>
      </c>
      <c r="K809" s="18" t="s">
        <v>2531</v>
      </c>
      <c r="N809" s="17" t="s">
        <v>77</v>
      </c>
      <c r="O809" t="s">
        <v>199</v>
      </c>
      <c r="U809" s="17"/>
      <c r="V809" s="18" t="s">
        <v>2531</v>
      </c>
      <c r="W809" t="s">
        <v>181</v>
      </c>
      <c r="Y809" s="17" t="s">
        <v>181</v>
      </c>
      <c r="AA809" t="s">
        <v>1672</v>
      </c>
      <c r="AB809" t="s">
        <v>119</v>
      </c>
    </row>
    <row r="810" ht="15" customHeight="1" spans="1:28" x14ac:dyDescent="0.25">
      <c r="A810" s="17" t="s">
        <v>2532</v>
      </c>
      <c r="B810" s="17" t="s">
        <v>70</v>
      </c>
      <c r="C810" s="17" t="s">
        <v>71</v>
      </c>
      <c r="D810" t="s">
        <v>2533</v>
      </c>
      <c r="F810" t="s">
        <v>1496</v>
      </c>
      <c r="J810" s="17" t="s">
        <v>2534</v>
      </c>
      <c r="K810" s="18" t="s">
        <v>2535</v>
      </c>
      <c r="N810" s="17" t="s">
        <v>77</v>
      </c>
      <c r="O810" t="s">
        <v>199</v>
      </c>
      <c r="U810" s="17"/>
      <c r="V810" s="18" t="s">
        <v>2535</v>
      </c>
      <c r="W810" t="s">
        <v>2536</v>
      </c>
      <c r="Y810" t="s">
        <v>190</v>
      </c>
      <c r="AA810" t="s">
        <v>118</v>
      </c>
      <c r="AB810" t="s">
        <v>119</v>
      </c>
    </row>
    <row r="811" ht="15" customHeight="1" spans="1:22" x14ac:dyDescent="0.25">
      <c r="A811" s="17" t="s">
        <v>2537</v>
      </c>
      <c r="B811" s="17" t="s">
        <v>70</v>
      </c>
      <c r="C811" s="17" t="s">
        <v>71</v>
      </c>
      <c r="D811" t="s">
        <v>2538</v>
      </c>
      <c r="F811" t="s">
        <v>2539</v>
      </c>
      <c r="K811" s="18">
        <f>6281281898989</f>
        <v>6281281898989</v>
      </c>
      <c r="N811" s="17" t="s">
        <v>77</v>
      </c>
      <c r="V811" s="18">
        <f>6281281898989</f>
        <v>6281281898989</v>
      </c>
    </row>
    <row r="812" ht="15" customHeight="1" spans="1:22" x14ac:dyDescent="0.25">
      <c r="A812" s="17" t="s">
        <v>2540</v>
      </c>
      <c r="B812" s="17" t="s">
        <v>70</v>
      </c>
      <c r="C812" s="17" t="s">
        <v>71</v>
      </c>
      <c r="D812" t="s">
        <v>2538</v>
      </c>
      <c r="F812" t="s">
        <v>2541</v>
      </c>
      <c r="K812" s="18">
        <f>62816802618</f>
        <v>62816802618</v>
      </c>
      <c r="N812" s="17" t="s">
        <v>77</v>
      </c>
      <c r="V812" s="18">
        <f>62816802618</f>
        <v>62816802618</v>
      </c>
    </row>
    <row r="813" ht="15" customHeight="1" spans="1:22" x14ac:dyDescent="0.25">
      <c r="A813" s="17" t="s">
        <v>2542</v>
      </c>
      <c r="B813" s="17" t="s">
        <v>70</v>
      </c>
      <c r="C813" s="17" t="s">
        <v>71</v>
      </c>
      <c r="D813" t="s">
        <v>2543</v>
      </c>
      <c r="F813" t="s">
        <v>2543</v>
      </c>
      <c r="K813" s="18">
        <f>628128069843</f>
        <v>628128069843</v>
      </c>
      <c r="N813" s="17" t="s">
        <v>77</v>
      </c>
      <c r="V813" s="18">
        <f>628128069843</f>
        <v>628128069843</v>
      </c>
    </row>
    <row r="814" ht="15" customHeight="1" spans="1:25" x14ac:dyDescent="0.25">
      <c r="A814" s="17" t="s">
        <v>2544</v>
      </c>
      <c r="B814" s="17" t="s">
        <v>70</v>
      </c>
      <c r="C814" s="17" t="s">
        <v>71</v>
      </c>
      <c r="D814" t="s">
        <v>2545</v>
      </c>
      <c r="F814" t="s">
        <v>2545</v>
      </c>
      <c r="K814" s="18">
        <f>6281323275350</f>
        <v>6281323275350</v>
      </c>
      <c r="N814" s="17" t="s">
        <v>77</v>
      </c>
      <c r="U814" s="17"/>
      <c r="V814" s="18">
        <f>6281323275350</f>
        <v>6281323275350</v>
      </c>
      <c r="W814" t="s">
        <v>2546</v>
      </c>
      <c r="Y814" s="17" t="s">
        <v>500</v>
      </c>
    </row>
    <row r="815" ht="15" customHeight="1" spans="1:22" x14ac:dyDescent="0.25">
      <c r="A815" s="17" t="s">
        <v>2547</v>
      </c>
      <c r="B815" s="17" t="s">
        <v>70</v>
      </c>
      <c r="C815" s="17" t="s">
        <v>71</v>
      </c>
      <c r="D815" t="s">
        <v>2545</v>
      </c>
      <c r="F815" t="s">
        <v>2545</v>
      </c>
      <c r="K815" s="18">
        <f>62816631663</f>
        <v>62816631663</v>
      </c>
      <c r="N815" s="17" t="s">
        <v>77</v>
      </c>
      <c r="V815" s="18">
        <f>62816631663</f>
        <v>62816631663</v>
      </c>
    </row>
    <row r="816" ht="15" customHeight="1" spans="1:22" x14ac:dyDescent="0.25">
      <c r="A816" s="17" t="s">
        <v>2548</v>
      </c>
      <c r="B816" s="17" t="s">
        <v>70</v>
      </c>
      <c r="C816" s="17" t="s">
        <v>71</v>
      </c>
      <c r="D816" t="s">
        <v>2549</v>
      </c>
      <c r="F816" t="s">
        <v>2550</v>
      </c>
      <c r="J816" s="17" t="s">
        <v>2551</v>
      </c>
      <c r="K816" s="18">
        <f>62816910234</f>
        <v>62816910234</v>
      </c>
      <c r="N816" s="17" t="s">
        <v>77</v>
      </c>
      <c r="V816" s="18">
        <f>62816910234</f>
        <v>62816910234</v>
      </c>
    </row>
    <row r="817" ht="15" customHeight="1" spans="1:22" x14ac:dyDescent="0.25">
      <c r="A817" s="17" t="s">
        <v>2552</v>
      </c>
      <c r="B817" s="17" t="s">
        <v>70</v>
      </c>
      <c r="C817" s="17" t="s">
        <v>71</v>
      </c>
      <c r="D817" t="s">
        <v>2553</v>
      </c>
      <c r="F817" t="s">
        <v>2554</v>
      </c>
      <c r="K817" s="18">
        <f>6281196908787</f>
        <v>6281196908787</v>
      </c>
      <c r="N817" s="17" t="s">
        <v>81</v>
      </c>
      <c r="V817" s="18">
        <f>6281196908787</f>
        <v>6281196908787</v>
      </c>
    </row>
    <row r="818" ht="15" customHeight="1" spans="1:22" x14ac:dyDescent="0.25">
      <c r="A818" s="17" t="s">
        <v>2555</v>
      </c>
      <c r="B818" s="17" t="s">
        <v>70</v>
      </c>
      <c r="C818" s="17" t="s">
        <v>71</v>
      </c>
      <c r="D818" t="s">
        <v>2553</v>
      </c>
      <c r="F818" t="s">
        <v>2554</v>
      </c>
      <c r="K818" s="18">
        <f>6281281924480</f>
        <v>6281281924480</v>
      </c>
      <c r="N818" s="17" t="s">
        <v>81</v>
      </c>
      <c r="V818" s="18">
        <f>6281281924480</f>
        <v>6281281924480</v>
      </c>
    </row>
    <row r="819" ht="15" customHeight="1" spans="1:25" x14ac:dyDescent="0.25">
      <c r="A819" s="17" t="s">
        <v>2556</v>
      </c>
      <c r="B819" s="17" t="s">
        <v>70</v>
      </c>
      <c r="C819" s="17" t="s">
        <v>71</v>
      </c>
      <c r="D819" t="s">
        <v>2557</v>
      </c>
      <c r="F819" t="s">
        <v>2558</v>
      </c>
      <c r="J819" s="17" t="s">
        <v>2559</v>
      </c>
      <c r="K819" s="18">
        <f>6281227234444</f>
        <v>6281227234444</v>
      </c>
      <c r="N819" s="17" t="s">
        <v>77</v>
      </c>
      <c r="U819" s="17"/>
      <c r="V819" s="18">
        <f>6281227234444</f>
        <v>6281227234444</v>
      </c>
      <c r="W819" t="s">
        <v>2560</v>
      </c>
      <c r="Y819" s="17" t="s">
        <v>2561</v>
      </c>
    </row>
    <row r="820" ht="15" customHeight="1" spans="1:22" x14ac:dyDescent="0.25">
      <c r="A820" s="17" t="s">
        <v>2562</v>
      </c>
      <c r="B820" s="17" t="s">
        <v>70</v>
      </c>
      <c r="C820" s="17" t="s">
        <v>71</v>
      </c>
      <c r="D820" t="s">
        <v>2557</v>
      </c>
      <c r="F820" t="s">
        <v>2563</v>
      </c>
      <c r="K820" s="18">
        <f>62818114967</f>
        <v>62818114967</v>
      </c>
      <c r="N820" s="17" t="s">
        <v>77</v>
      </c>
      <c r="V820" s="18">
        <f>62818114967</f>
        <v>62818114967</v>
      </c>
    </row>
    <row r="821" ht="15" customHeight="1" spans="1:22" x14ac:dyDescent="0.25">
      <c r="A821" s="17" t="s">
        <v>2564</v>
      </c>
      <c r="B821" s="17" t="s">
        <v>70</v>
      </c>
      <c r="C821" s="17" t="s">
        <v>71</v>
      </c>
      <c r="D821" t="s">
        <v>2565</v>
      </c>
      <c r="F821" t="s">
        <v>2566</v>
      </c>
      <c r="K821" s="18">
        <f>6281285955985</f>
        <v>6281285955985</v>
      </c>
      <c r="N821" s="17" t="s">
        <v>81</v>
      </c>
      <c r="V821" s="18">
        <f>6281285955985</f>
        <v>6281285955985</v>
      </c>
    </row>
    <row r="822" ht="15" customHeight="1" spans="1:25" x14ac:dyDescent="0.25">
      <c r="A822" s="17" t="s">
        <v>2567</v>
      </c>
      <c r="B822" s="17" t="s">
        <v>70</v>
      </c>
      <c r="C822" s="17" t="s">
        <v>71</v>
      </c>
      <c r="D822" t="s">
        <v>2568</v>
      </c>
      <c r="F822" t="s">
        <v>2568</v>
      </c>
      <c r="K822" s="18">
        <f>62818660047</f>
        <v>62818660047</v>
      </c>
      <c r="N822" s="17" t="s">
        <v>74</v>
      </c>
      <c r="U822" s="17"/>
      <c r="V822" s="18">
        <f>62818660047</f>
        <v>62818660047</v>
      </c>
      <c r="W822" t="s">
        <v>2569</v>
      </c>
      <c r="Y822" s="17" t="s">
        <v>96</v>
      </c>
    </row>
    <row r="823" ht="15" customHeight="1" spans="1:22" x14ac:dyDescent="0.25">
      <c r="A823" s="17" t="s">
        <v>2570</v>
      </c>
      <c r="B823" s="17" t="s">
        <v>70</v>
      </c>
      <c r="C823" s="17" t="s">
        <v>71</v>
      </c>
      <c r="D823" t="s">
        <v>2568</v>
      </c>
      <c r="F823" t="s">
        <v>2568</v>
      </c>
      <c r="K823" s="18">
        <f>62816899298</f>
        <v>62816899298</v>
      </c>
      <c r="N823" s="17" t="s">
        <v>81</v>
      </c>
      <c r="V823" s="18">
        <f>62816899298</f>
        <v>62816899298</v>
      </c>
    </row>
    <row r="824" ht="15" customHeight="1" spans="1:22" x14ac:dyDescent="0.25">
      <c r="A824" s="17" t="s">
        <v>2571</v>
      </c>
      <c r="B824" s="17" t="s">
        <v>70</v>
      </c>
      <c r="C824" s="17" t="s">
        <v>71</v>
      </c>
      <c r="D824" t="s">
        <v>2568</v>
      </c>
      <c r="F824" t="s">
        <v>2568</v>
      </c>
      <c r="K824" s="18">
        <f>6281298801409</f>
        <v>6281298801409</v>
      </c>
      <c r="N824" s="17" t="s">
        <v>77</v>
      </c>
      <c r="V824" s="18">
        <f>6281298801409</f>
        <v>6281298801409</v>
      </c>
    </row>
    <row r="825" ht="15" customHeight="1" spans="1:28" x14ac:dyDescent="0.25">
      <c r="A825" s="17" t="s">
        <v>2572</v>
      </c>
      <c r="B825" s="17" t="s">
        <v>70</v>
      </c>
      <c r="C825" s="17" t="s">
        <v>71</v>
      </c>
      <c r="D825" t="s">
        <v>2568</v>
      </c>
      <c r="F825" t="s">
        <v>1873</v>
      </c>
      <c r="J825" t="s">
        <v>115</v>
      </c>
      <c r="K825" s="18" t="s">
        <v>2573</v>
      </c>
      <c r="N825" s="17" t="s">
        <v>77</v>
      </c>
      <c r="O825" t="s">
        <v>145</v>
      </c>
      <c r="V825" s="18" t="s">
        <v>2573</v>
      </c>
      <c r="Y825" t="s">
        <v>190</v>
      </c>
      <c r="AA825" t="s">
        <v>118</v>
      </c>
      <c r="AB825" t="s">
        <v>119</v>
      </c>
    </row>
    <row r="826" ht="15" customHeight="1" spans="1:22" x14ac:dyDescent="0.25">
      <c r="A826" s="17" t="s">
        <v>2574</v>
      </c>
      <c r="B826" s="17" t="s">
        <v>70</v>
      </c>
      <c r="C826" s="17" t="s">
        <v>71</v>
      </c>
      <c r="D826" t="s">
        <v>2568</v>
      </c>
      <c r="F826" t="s">
        <v>2575</v>
      </c>
      <c r="K826" s="18">
        <f>6281337150540</f>
        <v>6281337150540</v>
      </c>
      <c r="N826" s="17" t="s">
        <v>77</v>
      </c>
      <c r="V826" s="18">
        <f>6281337150540</f>
        <v>6281337150540</v>
      </c>
    </row>
    <row r="827" ht="15" customHeight="1" spans="1:28" x14ac:dyDescent="0.25">
      <c r="A827" s="17" t="s">
        <v>2576</v>
      </c>
      <c r="B827" s="17" t="s">
        <v>70</v>
      </c>
      <c r="C827" s="17" t="s">
        <v>71</v>
      </c>
      <c r="D827" t="s">
        <v>2568</v>
      </c>
      <c r="F827" t="s">
        <v>2577</v>
      </c>
      <c r="J827" t="s">
        <v>2578</v>
      </c>
      <c r="K827" s="18" t="s">
        <v>2579</v>
      </c>
      <c r="N827" s="17" t="s">
        <v>74</v>
      </c>
      <c r="O827" t="s">
        <v>117</v>
      </c>
      <c r="U827" s="17"/>
      <c r="V827" s="18" t="s">
        <v>2579</v>
      </c>
      <c r="W827" t="s">
        <v>2580</v>
      </c>
      <c r="Y827" s="17" t="s">
        <v>500</v>
      </c>
      <c r="AA827" t="s">
        <v>501</v>
      </c>
      <c r="AB827" t="s">
        <v>119</v>
      </c>
    </row>
    <row r="828" ht="15" customHeight="1" spans="1:22" x14ac:dyDescent="0.25">
      <c r="A828" s="17" t="s">
        <v>2581</v>
      </c>
      <c r="B828" s="17" t="s">
        <v>70</v>
      </c>
      <c r="C828" s="17" t="s">
        <v>71</v>
      </c>
      <c r="D828" t="s">
        <v>2568</v>
      </c>
      <c r="F828" t="s">
        <v>2582</v>
      </c>
      <c r="K828" s="18">
        <f>6281295304255</f>
        <v>6281295304255</v>
      </c>
      <c r="N828" s="17" t="s">
        <v>81</v>
      </c>
      <c r="V828" s="18">
        <f>6281295304255</f>
        <v>6281295304255</v>
      </c>
    </row>
    <row r="829" ht="15" customHeight="1" spans="1:22" x14ac:dyDescent="0.25">
      <c r="A829" s="17" t="s">
        <v>2583</v>
      </c>
      <c r="B829" s="17" t="s">
        <v>70</v>
      </c>
      <c r="C829" s="17" t="s">
        <v>71</v>
      </c>
      <c r="D829" t="s">
        <v>2568</v>
      </c>
      <c r="F829" t="s">
        <v>2584</v>
      </c>
      <c r="K829" s="18">
        <f>6289608777039</f>
        <v>6289608777039</v>
      </c>
      <c r="N829" s="17" t="s">
        <v>77</v>
      </c>
      <c r="V829" s="18">
        <f>6289608777039</f>
        <v>6289608777039</v>
      </c>
    </row>
    <row r="830" ht="15" customHeight="1" spans="1:23" x14ac:dyDescent="0.25">
      <c r="A830" s="17" t="s">
        <v>2585</v>
      </c>
      <c r="B830" s="17" t="s">
        <v>70</v>
      </c>
      <c r="C830" s="17" t="s">
        <v>71</v>
      </c>
      <c r="D830" t="s">
        <v>2568</v>
      </c>
      <c r="F830" t="s">
        <v>2586</v>
      </c>
      <c r="K830" s="18">
        <f>628137798549</f>
        <v>628137798549</v>
      </c>
      <c r="N830" s="17" t="s">
        <v>77</v>
      </c>
      <c r="U830" s="17"/>
      <c r="V830" s="18">
        <f>628137798549</f>
        <v>628137798549</v>
      </c>
      <c r="W830" t="s">
        <v>2587</v>
      </c>
    </row>
    <row r="831" ht="15" customHeight="1" spans="1:28" x14ac:dyDescent="0.25">
      <c r="A831" s="17" t="s">
        <v>2588</v>
      </c>
      <c r="B831" s="17" t="s">
        <v>70</v>
      </c>
      <c r="C831" s="17" t="s">
        <v>71</v>
      </c>
      <c r="D831" t="s">
        <v>2568</v>
      </c>
      <c r="F831" t="s">
        <v>2589</v>
      </c>
      <c r="J831" t="s">
        <v>115</v>
      </c>
      <c r="K831" s="18" t="s">
        <v>2590</v>
      </c>
      <c r="N831" s="17" t="s">
        <v>81</v>
      </c>
      <c r="O831" t="s">
        <v>145</v>
      </c>
      <c r="U831" s="17"/>
      <c r="V831" s="18" t="s">
        <v>2590</v>
      </c>
      <c r="W831" t="s">
        <v>2591</v>
      </c>
      <c r="Y831" t="s">
        <v>90</v>
      </c>
      <c r="AA831" t="s">
        <v>118</v>
      </c>
      <c r="AB831" t="s">
        <v>119</v>
      </c>
    </row>
    <row r="832" ht="15" customHeight="1" spans="1:27" x14ac:dyDescent="0.25">
      <c r="A832" s="17" t="s">
        <v>2592</v>
      </c>
      <c r="B832" s="17" t="s">
        <v>70</v>
      </c>
      <c r="C832" s="17" t="s">
        <v>71</v>
      </c>
      <c r="D832" t="s">
        <v>2568</v>
      </c>
      <c r="F832" t="s">
        <v>2593</v>
      </c>
      <c r="J832" s="17" t="s">
        <v>2594</v>
      </c>
      <c r="K832" s="18">
        <f>6281210700897</f>
        <v>6281210700897</v>
      </c>
      <c r="N832" s="17" t="s">
        <v>77</v>
      </c>
      <c r="U832" s="17"/>
      <c r="V832" s="18">
        <f>6281210700897</f>
        <v>6281210700897</v>
      </c>
      <c r="W832" t="s">
        <v>2595</v>
      </c>
      <c r="Y832" s="17" t="s">
        <v>2596</v>
      </c>
      <c r="AA832" s="17">
        <v>11640</v>
      </c>
    </row>
    <row r="833" ht="15" customHeight="1" spans="1:25" x14ac:dyDescent="0.25">
      <c r="A833" s="17" t="s">
        <v>2597</v>
      </c>
      <c r="B833" s="17" t="s">
        <v>70</v>
      </c>
      <c r="C833" s="17" t="s">
        <v>71</v>
      </c>
      <c r="D833" t="s">
        <v>2568</v>
      </c>
      <c r="F833" t="s">
        <v>2598</v>
      </c>
      <c r="J833" s="17" t="s">
        <v>2599</v>
      </c>
      <c r="K833" s="18">
        <f>79639760261</f>
        <v>79639760261</v>
      </c>
      <c r="N833" s="17" t="s">
        <v>77</v>
      </c>
      <c r="U833" s="17"/>
      <c r="V833" s="18">
        <f>79639760261</f>
        <v>79639760261</v>
      </c>
      <c r="W833" t="s">
        <v>2600</v>
      </c>
      <c r="Y833" s="17" t="s">
        <v>90</v>
      </c>
    </row>
    <row r="834" ht="15" customHeight="1" spans="1:28" x14ac:dyDescent="0.25">
      <c r="A834" s="17" t="s">
        <v>2601</v>
      </c>
      <c r="B834" s="17" t="s">
        <v>70</v>
      </c>
      <c r="C834" s="17" t="s">
        <v>71</v>
      </c>
      <c r="D834" t="s">
        <v>2602</v>
      </c>
      <c r="F834" t="s">
        <v>2602</v>
      </c>
      <c r="J834" t="s">
        <v>2603</v>
      </c>
      <c r="K834" s="18" t="s">
        <v>2604</v>
      </c>
      <c r="N834" s="17" t="s">
        <v>77</v>
      </c>
      <c r="O834" t="s">
        <v>117</v>
      </c>
      <c r="U834" s="17"/>
      <c r="V834" s="18" t="s">
        <v>2604</v>
      </c>
      <c r="W834" t="s">
        <v>1671</v>
      </c>
      <c r="Y834" t="s">
        <v>115</v>
      </c>
      <c r="AA834" t="s">
        <v>115</v>
      </c>
      <c r="AB834" t="s">
        <v>2605</v>
      </c>
    </row>
    <row r="835" ht="15" customHeight="1" spans="1:23" x14ac:dyDescent="0.25">
      <c r="A835" s="17" t="s">
        <v>2606</v>
      </c>
      <c r="B835" s="17" t="s">
        <v>70</v>
      </c>
      <c r="C835" s="17" t="s">
        <v>71</v>
      </c>
      <c r="D835" t="s">
        <v>2607</v>
      </c>
      <c r="F835" t="s">
        <v>2608</v>
      </c>
      <c r="K835" s="18">
        <f>410797609723</f>
        <v>410797609723</v>
      </c>
      <c r="N835" s="17" t="s">
        <v>77</v>
      </c>
      <c r="U835" s="17"/>
      <c r="V835" s="18">
        <f>410797609723</f>
        <v>410797609723</v>
      </c>
      <c r="W835" t="s">
        <v>2609</v>
      </c>
    </row>
    <row r="836" ht="15" customHeight="1" spans="1:22" x14ac:dyDescent="0.25">
      <c r="A836" s="17" t="s">
        <v>2610</v>
      </c>
      <c r="B836" s="17" t="s">
        <v>70</v>
      </c>
      <c r="C836" s="17" t="s">
        <v>71</v>
      </c>
      <c r="D836" t="s">
        <v>2611</v>
      </c>
      <c r="F836" t="s">
        <v>2612</v>
      </c>
      <c r="K836" s="18">
        <v>375333292851</v>
      </c>
      <c r="N836" s="17" t="s">
        <v>77</v>
      </c>
      <c r="V836" s="18">
        <v>375333292851</v>
      </c>
    </row>
    <row r="837" ht="15" customHeight="1" spans="1:22" x14ac:dyDescent="0.25">
      <c r="A837" s="17" t="s">
        <v>2613</v>
      </c>
      <c r="B837" s="17" t="s">
        <v>70</v>
      </c>
      <c r="C837" s="17" t="s">
        <v>71</v>
      </c>
      <c r="D837" t="s">
        <v>2614</v>
      </c>
      <c r="F837" t="s">
        <v>2615</v>
      </c>
      <c r="K837" s="18">
        <v>81281443766</v>
      </c>
      <c r="N837" s="17" t="s">
        <v>81</v>
      </c>
      <c r="V837" s="18">
        <v>81281443766</v>
      </c>
    </row>
    <row r="838" ht="15" customHeight="1" spans="1:22" x14ac:dyDescent="0.25">
      <c r="A838" s="17" t="s">
        <v>2616</v>
      </c>
      <c r="B838" s="17" t="s">
        <v>70</v>
      </c>
      <c r="C838" s="17" t="s">
        <v>71</v>
      </c>
      <c r="D838" t="s">
        <v>2617</v>
      </c>
      <c r="F838" t="s">
        <v>2617</v>
      </c>
      <c r="K838" s="18">
        <f>6281345596588</f>
        <v>6281345596588</v>
      </c>
      <c r="N838" s="17" t="s">
        <v>77</v>
      </c>
      <c r="V838" s="18">
        <f>6281345596588</f>
        <v>6281345596588</v>
      </c>
    </row>
    <row r="839" ht="15" customHeight="1" spans="1:27" x14ac:dyDescent="0.25">
      <c r="A839" s="17" t="s">
        <v>2618</v>
      </c>
      <c r="B839" s="17" t="s">
        <v>70</v>
      </c>
      <c r="C839" s="17" t="s">
        <v>71</v>
      </c>
      <c r="D839" t="s">
        <v>2619</v>
      </c>
      <c r="F839" t="s">
        <v>2620</v>
      </c>
      <c r="K839" s="18">
        <f>62816902345</f>
        <v>62816902345</v>
      </c>
      <c r="N839" s="17" t="s">
        <v>77</v>
      </c>
      <c r="U839" s="17"/>
      <c r="V839" s="18">
        <f>62816902345</f>
        <v>62816902345</v>
      </c>
      <c r="W839" t="s">
        <v>2621</v>
      </c>
      <c r="Y839" s="17" t="s">
        <v>515</v>
      </c>
      <c r="AA839" s="17" t="s">
        <v>2622</v>
      </c>
    </row>
    <row r="840" ht="15" customHeight="1" spans="1:22" x14ac:dyDescent="0.25">
      <c r="A840" s="17" t="s">
        <v>2623</v>
      </c>
      <c r="B840" s="17" t="s">
        <v>70</v>
      </c>
      <c r="C840" s="17" t="s">
        <v>71</v>
      </c>
      <c r="D840" t="s">
        <v>2624</v>
      </c>
      <c r="F840" t="s">
        <v>2625</v>
      </c>
      <c r="K840" s="18">
        <f>6281389188811</f>
        <v>6281389188811</v>
      </c>
      <c r="N840" s="17" t="s">
        <v>81</v>
      </c>
      <c r="V840" s="18">
        <f>6281389188811</f>
        <v>6281389188811</v>
      </c>
    </row>
    <row r="841" ht="15" customHeight="1" spans="1:22" x14ac:dyDescent="0.25">
      <c r="A841" s="17" t="s">
        <v>2626</v>
      </c>
      <c r="B841" s="17" t="s">
        <v>70</v>
      </c>
      <c r="C841" s="17" t="s">
        <v>71</v>
      </c>
      <c r="D841" t="s">
        <v>2627</v>
      </c>
      <c r="F841" t="s">
        <v>944</v>
      </c>
      <c r="K841" s="18">
        <f>628121112899</f>
        <v>628121112899</v>
      </c>
      <c r="N841" s="17" t="s">
        <v>77</v>
      </c>
      <c r="V841" s="18">
        <f>628121112899</f>
        <v>628121112899</v>
      </c>
    </row>
    <row r="842" ht="15" customHeight="1" spans="1:22" x14ac:dyDescent="0.25">
      <c r="A842" s="17" t="s">
        <v>2628</v>
      </c>
      <c r="B842" s="17" t="s">
        <v>70</v>
      </c>
      <c r="C842" s="17" t="s">
        <v>71</v>
      </c>
      <c r="D842" t="s">
        <v>2629</v>
      </c>
      <c r="F842" t="s">
        <v>2630</v>
      </c>
      <c r="J842" s="17" t="s">
        <v>2631</v>
      </c>
      <c r="K842" s="18">
        <f>6281398885885</f>
        <v>6281398885885</v>
      </c>
      <c r="N842" s="17" t="s">
        <v>77</v>
      </c>
      <c r="V842" s="18">
        <f>6281398885885</f>
        <v>6281398885885</v>
      </c>
    </row>
    <row r="843" ht="15" customHeight="1" spans="1:28" x14ac:dyDescent="0.25">
      <c r="A843" s="17" t="s">
        <v>2632</v>
      </c>
      <c r="B843" s="17" t="s">
        <v>70</v>
      </c>
      <c r="C843" s="17" t="s">
        <v>71</v>
      </c>
      <c r="D843" t="s">
        <v>2633</v>
      </c>
      <c r="F843" t="s">
        <v>2633</v>
      </c>
      <c r="J843" t="s">
        <v>115</v>
      </c>
      <c r="K843" s="18" t="s">
        <v>2634</v>
      </c>
      <c r="N843" s="17" t="s">
        <v>77</v>
      </c>
      <c r="O843" t="s">
        <v>117</v>
      </c>
      <c r="V843" s="18" t="s">
        <v>2634</v>
      </c>
      <c r="Y843" s="17" t="s">
        <v>96</v>
      </c>
      <c r="AA843" s="17" t="s">
        <v>133</v>
      </c>
      <c r="AB843" t="s">
        <v>119</v>
      </c>
    </row>
    <row r="844" ht="15" customHeight="1" spans="1:25" x14ac:dyDescent="0.25">
      <c r="A844" s="17" t="s">
        <v>2635</v>
      </c>
      <c r="B844" s="17" t="s">
        <v>70</v>
      </c>
      <c r="C844" s="17" t="s">
        <v>71</v>
      </c>
      <c r="D844" t="s">
        <v>2636</v>
      </c>
      <c r="F844" t="s">
        <v>1916</v>
      </c>
      <c r="K844" s="18">
        <f>62818789285</f>
        <v>62818789285</v>
      </c>
      <c r="N844" s="17" t="s">
        <v>77</v>
      </c>
      <c r="U844" s="17"/>
      <c r="V844" s="18">
        <f>62818789285</f>
        <v>62818789285</v>
      </c>
      <c r="W844" t="s">
        <v>2637</v>
      </c>
      <c r="Y844" s="17" t="s">
        <v>96</v>
      </c>
    </row>
    <row r="845" ht="15" customHeight="1" spans="1:22" x14ac:dyDescent="0.25">
      <c r="A845" s="17" t="s">
        <v>2638</v>
      </c>
      <c r="B845" s="17" t="s">
        <v>70</v>
      </c>
      <c r="C845" s="17" t="s">
        <v>71</v>
      </c>
      <c r="D845" t="s">
        <v>2639</v>
      </c>
      <c r="F845" t="s">
        <v>2639</v>
      </c>
      <c r="K845" s="18">
        <f>6281398317567</f>
        <v>6281398317567</v>
      </c>
      <c r="N845" s="17" t="s">
        <v>74</v>
      </c>
      <c r="V845" s="18">
        <f>6281398317567</f>
        <v>6281398317567</v>
      </c>
    </row>
    <row r="846" ht="15" customHeight="1" spans="1:22" x14ac:dyDescent="0.25">
      <c r="A846" s="17" t="s">
        <v>2640</v>
      </c>
      <c r="B846" s="17" t="s">
        <v>70</v>
      </c>
      <c r="C846" s="17" t="s">
        <v>71</v>
      </c>
      <c r="D846" t="s">
        <v>2641</v>
      </c>
      <c r="F846" t="s">
        <v>2641</v>
      </c>
      <c r="K846" s="18">
        <f>628128320612</f>
        <v>628128320612</v>
      </c>
      <c r="N846" s="17" t="s">
        <v>77</v>
      </c>
      <c r="V846" s="18">
        <f>628128320612</f>
        <v>628128320612</v>
      </c>
    </row>
    <row r="847" ht="15" customHeight="1" spans="1:25" x14ac:dyDescent="0.25">
      <c r="A847" s="17" t="s">
        <v>2642</v>
      </c>
      <c r="B847" s="17" t="s">
        <v>70</v>
      </c>
      <c r="C847" s="17" t="s">
        <v>71</v>
      </c>
      <c r="D847" t="s">
        <v>2641</v>
      </c>
      <c r="F847" t="s">
        <v>2004</v>
      </c>
      <c r="K847" s="18">
        <f>6281386863014</f>
        <v>6281386863014</v>
      </c>
      <c r="N847" s="17" t="s">
        <v>77</v>
      </c>
      <c r="U847" s="17"/>
      <c r="V847" s="18">
        <f>6281386863014</f>
        <v>6281386863014</v>
      </c>
      <c r="W847" t="s">
        <v>2643</v>
      </c>
      <c r="Y847" s="17" t="s">
        <v>90</v>
      </c>
    </row>
    <row r="848" ht="15" customHeight="1" spans="1:28" x14ac:dyDescent="0.25">
      <c r="A848" s="17" t="s">
        <v>2644</v>
      </c>
      <c r="B848" s="17" t="s">
        <v>70</v>
      </c>
      <c r="C848" s="17" t="s">
        <v>71</v>
      </c>
      <c r="D848" t="s">
        <v>2641</v>
      </c>
      <c r="F848" t="s">
        <v>2645</v>
      </c>
      <c r="J848" t="s">
        <v>2646</v>
      </c>
      <c r="K848" s="18" t="s">
        <v>2647</v>
      </c>
      <c r="N848" s="17" t="s">
        <v>77</v>
      </c>
      <c r="O848" t="s">
        <v>145</v>
      </c>
      <c r="U848" s="17"/>
      <c r="V848" s="18" t="s">
        <v>2647</v>
      </c>
      <c r="W848" t="s">
        <v>2648</v>
      </c>
      <c r="Y848" t="s">
        <v>90</v>
      </c>
      <c r="AA848" s="17" t="s">
        <v>118</v>
      </c>
      <c r="AB848" t="s">
        <v>119</v>
      </c>
    </row>
    <row r="849" ht="15" customHeight="1" spans="1:22" x14ac:dyDescent="0.25">
      <c r="A849" s="17" t="s">
        <v>2649</v>
      </c>
      <c r="B849" s="17" t="s">
        <v>70</v>
      </c>
      <c r="C849" s="17" t="s">
        <v>71</v>
      </c>
      <c r="D849" t="s">
        <v>2650</v>
      </c>
      <c r="F849" t="s">
        <v>2650</v>
      </c>
      <c r="K849" s="18">
        <f>6281222401919</f>
        <v>6281222401919</v>
      </c>
      <c r="N849" s="17" t="s">
        <v>77</v>
      </c>
      <c r="V849" s="18">
        <f>6281222401919</f>
        <v>6281222401919</v>
      </c>
    </row>
    <row r="850" ht="15" customHeight="1" spans="1:28" x14ac:dyDescent="0.25">
      <c r="A850" s="17" t="s">
        <v>2651</v>
      </c>
      <c r="B850" s="17" t="s">
        <v>70</v>
      </c>
      <c r="C850" s="17" t="s">
        <v>71</v>
      </c>
      <c r="D850" t="s">
        <v>2652</v>
      </c>
      <c r="F850" t="s">
        <v>2653</v>
      </c>
      <c r="J850" t="s">
        <v>2654</v>
      </c>
      <c r="K850" s="18" t="s">
        <v>2655</v>
      </c>
      <c r="N850" s="17" t="s">
        <v>77</v>
      </c>
      <c r="O850" t="s">
        <v>145</v>
      </c>
      <c r="U850" s="17"/>
      <c r="V850" s="18" t="s">
        <v>2655</v>
      </c>
      <c r="W850" t="s">
        <v>1255</v>
      </c>
      <c r="Y850" t="s">
        <v>1707</v>
      </c>
      <c r="AA850" t="s">
        <v>115</v>
      </c>
      <c r="AB850" t="s">
        <v>119</v>
      </c>
    </row>
    <row r="851" ht="15" customHeight="1" spans="1:28" x14ac:dyDescent="0.25">
      <c r="A851" s="17" t="s">
        <v>2656</v>
      </c>
      <c r="B851" s="17" t="s">
        <v>70</v>
      </c>
      <c r="C851" s="17" t="s">
        <v>71</v>
      </c>
      <c r="D851" t="s">
        <v>2657</v>
      </c>
      <c r="F851" t="s">
        <v>2657</v>
      </c>
      <c r="J851" t="s">
        <v>115</v>
      </c>
      <c r="K851" s="18" t="s">
        <v>2658</v>
      </c>
      <c r="N851" s="17" t="s">
        <v>77</v>
      </c>
      <c r="O851" t="s">
        <v>117</v>
      </c>
      <c r="V851" s="18" t="s">
        <v>2658</v>
      </c>
      <c r="Y851" t="s">
        <v>190</v>
      </c>
      <c r="AA851" t="s">
        <v>118</v>
      </c>
      <c r="AB851" t="s">
        <v>119</v>
      </c>
    </row>
    <row r="852" ht="15" customHeight="1" spans="1:25" x14ac:dyDescent="0.25">
      <c r="A852" s="17" t="s">
        <v>2659</v>
      </c>
      <c r="B852" s="17" t="s">
        <v>70</v>
      </c>
      <c r="C852" s="17" t="s">
        <v>71</v>
      </c>
      <c r="D852" t="s">
        <v>2657</v>
      </c>
      <c r="F852" t="s">
        <v>2660</v>
      </c>
      <c r="J852" s="17" t="s">
        <v>2661</v>
      </c>
      <c r="K852" s="18">
        <f>62811198659</f>
        <v>62811198659</v>
      </c>
      <c r="N852" s="17" t="s">
        <v>74</v>
      </c>
      <c r="U852" s="17"/>
      <c r="V852" s="18">
        <f>62811198659</f>
        <v>62811198659</v>
      </c>
      <c r="W852" t="s">
        <v>2662</v>
      </c>
      <c r="Y852" s="17" t="s">
        <v>378</v>
      </c>
    </row>
    <row r="853" ht="15" customHeight="1" spans="1:27" x14ac:dyDescent="0.25">
      <c r="A853" s="17" t="s">
        <v>2663</v>
      </c>
      <c r="B853" s="17" t="s">
        <v>70</v>
      </c>
      <c r="C853" s="17" t="s">
        <v>71</v>
      </c>
      <c r="D853" t="s">
        <v>2657</v>
      </c>
      <c r="F853" t="s">
        <v>672</v>
      </c>
      <c r="J853" s="17" t="s">
        <v>2664</v>
      </c>
      <c r="K853" s="18">
        <f>622184596354</f>
        <v>622184596354</v>
      </c>
      <c r="N853" s="17" t="s">
        <v>77</v>
      </c>
      <c r="U853" s="17"/>
      <c r="V853" s="18">
        <f>622184596354</f>
        <v>622184596354</v>
      </c>
      <c r="W853" t="s">
        <v>2665</v>
      </c>
      <c r="Y853" s="17" t="s">
        <v>96</v>
      </c>
      <c r="AA853" s="17">
        <v>16954</v>
      </c>
    </row>
    <row r="854" ht="15" customHeight="1" spans="1:22" x14ac:dyDescent="0.25">
      <c r="A854" s="17" t="s">
        <v>2666</v>
      </c>
      <c r="B854" s="17" t="s">
        <v>70</v>
      </c>
      <c r="C854" s="17" t="s">
        <v>71</v>
      </c>
      <c r="D854" t="s">
        <v>2657</v>
      </c>
      <c r="F854" t="s">
        <v>672</v>
      </c>
      <c r="K854" s="18">
        <f>62811855101</f>
        <v>62811855101</v>
      </c>
      <c r="N854" s="17" t="s">
        <v>77</v>
      </c>
      <c r="V854" s="18">
        <f>62811855101</f>
        <v>62811855101</v>
      </c>
    </row>
    <row r="855" ht="15" customHeight="1" spans="1:28" x14ac:dyDescent="0.25">
      <c r="A855" s="17" t="s">
        <v>2667</v>
      </c>
      <c r="B855" s="17" t="s">
        <v>70</v>
      </c>
      <c r="C855" s="17" t="s">
        <v>71</v>
      </c>
      <c r="D855" t="s">
        <v>2657</v>
      </c>
      <c r="F855" t="s">
        <v>2668</v>
      </c>
      <c r="J855" t="s">
        <v>115</v>
      </c>
      <c r="K855" s="18" t="s">
        <v>2669</v>
      </c>
      <c r="N855" s="17" t="s">
        <v>74</v>
      </c>
      <c r="O855" t="s">
        <v>489</v>
      </c>
      <c r="V855" s="18" t="s">
        <v>2669</v>
      </c>
      <c r="Y855" t="s">
        <v>90</v>
      </c>
      <c r="AA855" t="s">
        <v>118</v>
      </c>
      <c r="AB855" t="s">
        <v>119</v>
      </c>
    </row>
    <row r="856" ht="15" customHeight="1" spans="1:28" x14ac:dyDescent="0.25">
      <c r="A856" s="17" t="s">
        <v>2670</v>
      </c>
      <c r="B856" s="17" t="s">
        <v>70</v>
      </c>
      <c r="C856" s="17" t="s">
        <v>71</v>
      </c>
      <c r="D856" t="s">
        <v>2657</v>
      </c>
      <c r="F856" t="s">
        <v>2671</v>
      </c>
      <c r="J856" t="s">
        <v>115</v>
      </c>
      <c r="K856" s="18" t="s">
        <v>2672</v>
      </c>
      <c r="N856" s="17" t="s">
        <v>74</v>
      </c>
      <c r="O856" t="s">
        <v>489</v>
      </c>
      <c r="V856" s="18" t="s">
        <v>2672</v>
      </c>
      <c r="Y856" t="s">
        <v>90</v>
      </c>
      <c r="AA856" t="s">
        <v>118</v>
      </c>
      <c r="AB856" t="s">
        <v>119</v>
      </c>
    </row>
    <row r="857" ht="15" customHeight="1" spans="1:28" x14ac:dyDescent="0.25">
      <c r="A857" s="17" t="s">
        <v>2673</v>
      </c>
      <c r="B857" s="17" t="s">
        <v>70</v>
      </c>
      <c r="C857" s="17" t="s">
        <v>71</v>
      </c>
      <c r="D857" t="s">
        <v>2674</v>
      </c>
      <c r="F857" t="s">
        <v>2675</v>
      </c>
      <c r="J857" s="17" t="s">
        <v>2676</v>
      </c>
      <c r="K857" s="18" t="s">
        <v>2677</v>
      </c>
      <c r="N857" s="17" t="s">
        <v>77</v>
      </c>
      <c r="O857" t="s">
        <v>199</v>
      </c>
      <c r="U857" s="17"/>
      <c r="V857" s="18" t="s">
        <v>2677</v>
      </c>
      <c r="W857" t="s">
        <v>2678</v>
      </c>
      <c r="Y857" s="17" t="s">
        <v>96</v>
      </c>
      <c r="AA857" t="s">
        <v>693</v>
      </c>
      <c r="AB857" t="s">
        <v>119</v>
      </c>
    </row>
    <row r="858" ht="15" customHeight="1" spans="1:22" x14ac:dyDescent="0.25">
      <c r="A858" s="17" t="s">
        <v>2679</v>
      </c>
      <c r="B858" s="17" t="s">
        <v>70</v>
      </c>
      <c r="C858" s="17" t="s">
        <v>71</v>
      </c>
      <c r="D858" t="s">
        <v>2657</v>
      </c>
      <c r="F858" t="s">
        <v>2680</v>
      </c>
      <c r="K858" s="18">
        <v>82174888828</v>
      </c>
      <c r="N858" s="17" t="s">
        <v>81</v>
      </c>
      <c r="V858" s="18">
        <v>82174888828</v>
      </c>
    </row>
    <row r="859" ht="15" customHeight="1" spans="1:22" x14ac:dyDescent="0.25">
      <c r="A859" s="17" t="s">
        <v>2681</v>
      </c>
      <c r="B859" s="17" t="s">
        <v>70</v>
      </c>
      <c r="C859" s="17" t="s">
        <v>71</v>
      </c>
      <c r="D859" t="s">
        <v>2657</v>
      </c>
      <c r="F859" t="s">
        <v>2682</v>
      </c>
      <c r="K859" s="18">
        <f>628179111455</f>
        <v>628179111455</v>
      </c>
      <c r="N859" s="17" t="s">
        <v>77</v>
      </c>
      <c r="V859" s="18">
        <f>628179111455</f>
        <v>628179111455</v>
      </c>
    </row>
    <row r="860" ht="15" customHeight="1" spans="1:27" x14ac:dyDescent="0.25">
      <c r="A860" s="17" t="s">
        <v>2683</v>
      </c>
      <c r="B860" s="17" t="s">
        <v>70</v>
      </c>
      <c r="C860" s="17" t="s">
        <v>71</v>
      </c>
      <c r="D860" t="s">
        <v>2657</v>
      </c>
      <c r="F860" t="s">
        <v>2684</v>
      </c>
      <c r="J860" s="17" t="s">
        <v>2685</v>
      </c>
      <c r="K860" s="18">
        <f>6281329779997</f>
        <v>6281329779997</v>
      </c>
      <c r="N860" s="17" t="s">
        <v>77</v>
      </c>
      <c r="U860" s="17"/>
      <c r="V860" s="18">
        <f>6281329779997</f>
        <v>6281329779997</v>
      </c>
      <c r="W860" t="s">
        <v>2686</v>
      </c>
      <c r="Y860" s="17" t="s">
        <v>96</v>
      </c>
      <c r="AA860" s="17">
        <v>12180</v>
      </c>
    </row>
    <row r="861" ht="15" customHeight="1" spans="1:25" x14ac:dyDescent="0.25">
      <c r="A861" s="17" t="s">
        <v>2687</v>
      </c>
      <c r="B861" s="17" t="s">
        <v>70</v>
      </c>
      <c r="C861" s="17" t="s">
        <v>71</v>
      </c>
      <c r="D861" t="s">
        <v>2657</v>
      </c>
      <c r="F861" t="s">
        <v>2688</v>
      </c>
      <c r="K861" s="18">
        <f>6281210487370</f>
        <v>6281210487370</v>
      </c>
      <c r="N861" s="17" t="s">
        <v>77</v>
      </c>
      <c r="U861" s="17"/>
      <c r="V861" s="18">
        <f>6281210487370</f>
        <v>6281210487370</v>
      </c>
      <c r="W861" t="s">
        <v>2689</v>
      </c>
      <c r="Y861" s="17" t="s">
        <v>96</v>
      </c>
    </row>
    <row r="862" ht="15" customHeight="1" spans="1:22" x14ac:dyDescent="0.25">
      <c r="A862" s="17" t="s">
        <v>2690</v>
      </c>
      <c r="B862" s="17" t="s">
        <v>70</v>
      </c>
      <c r="C862" s="17" t="s">
        <v>71</v>
      </c>
      <c r="D862" t="s">
        <v>2657</v>
      </c>
      <c r="F862" t="s">
        <v>2691</v>
      </c>
      <c r="K862" s="18">
        <f>62811806300</f>
        <v>62811806300</v>
      </c>
      <c r="N862" s="17" t="s">
        <v>77</v>
      </c>
      <c r="V862" s="18">
        <f>62811806300</f>
        <v>62811806300</v>
      </c>
    </row>
    <row r="863" ht="15" customHeight="1" spans="1:28" x14ac:dyDescent="0.25">
      <c r="A863" s="17" t="s">
        <v>2692</v>
      </c>
      <c r="B863" s="17" t="s">
        <v>70</v>
      </c>
      <c r="C863" s="17" t="s">
        <v>71</v>
      </c>
      <c r="D863" t="s">
        <v>2693</v>
      </c>
      <c r="F863" t="s">
        <v>1226</v>
      </c>
      <c r="J863" s="17" t="s">
        <v>2694</v>
      </c>
      <c r="K863" s="18" t="s">
        <v>2695</v>
      </c>
      <c r="N863" s="17" t="s">
        <v>77</v>
      </c>
      <c r="O863" t="s">
        <v>261</v>
      </c>
      <c r="U863" s="17"/>
      <c r="V863" s="18" t="s">
        <v>2695</v>
      </c>
      <c r="W863" t="s">
        <v>2696</v>
      </c>
      <c r="Y863" s="17" t="s">
        <v>96</v>
      </c>
      <c r="AA863" t="s">
        <v>693</v>
      </c>
      <c r="AB863" t="s">
        <v>119</v>
      </c>
    </row>
    <row r="864" ht="15" customHeight="1" spans="1:22" x14ac:dyDescent="0.25">
      <c r="A864" s="17" t="s">
        <v>2697</v>
      </c>
      <c r="B864" s="17" t="s">
        <v>70</v>
      </c>
      <c r="C864" s="17" t="s">
        <v>71</v>
      </c>
      <c r="D864" t="s">
        <v>2657</v>
      </c>
      <c r="F864" t="s">
        <v>2698</v>
      </c>
      <c r="K864" s="18">
        <f>6281282290692</f>
        <v>6281282290692</v>
      </c>
      <c r="N864" s="17" t="s">
        <v>77</v>
      </c>
      <c r="V864" s="18">
        <f>6281282290692</f>
        <v>6281282290692</v>
      </c>
    </row>
    <row r="865" ht="15" customHeight="1" spans="1:22" x14ac:dyDescent="0.25">
      <c r="A865" s="17" t="s">
        <v>2699</v>
      </c>
      <c r="B865" s="17" t="s">
        <v>70</v>
      </c>
      <c r="C865" s="17" t="s">
        <v>71</v>
      </c>
      <c r="D865" t="s">
        <v>2657</v>
      </c>
      <c r="F865" t="s">
        <v>2700</v>
      </c>
      <c r="K865" s="18">
        <f>62811877999</f>
        <v>62811877999</v>
      </c>
      <c r="N865" s="17" t="s">
        <v>74</v>
      </c>
      <c r="V865" s="18">
        <f>62811877999</f>
        <v>62811877999</v>
      </c>
    </row>
    <row r="866" ht="15" customHeight="1" spans="1:22" x14ac:dyDescent="0.25">
      <c r="A866" s="17" t="s">
        <v>2701</v>
      </c>
      <c r="B866" s="17" t="s">
        <v>70</v>
      </c>
      <c r="C866" s="17" t="s">
        <v>71</v>
      </c>
      <c r="D866" t="s">
        <v>2657</v>
      </c>
      <c r="F866" t="s">
        <v>2702</v>
      </c>
      <c r="K866" s="18">
        <f>62811878859</f>
        <v>62811878859</v>
      </c>
      <c r="N866" s="17" t="s">
        <v>77</v>
      </c>
      <c r="V866" s="18">
        <f>62811878859</f>
        <v>62811878859</v>
      </c>
    </row>
    <row r="867" ht="15" customHeight="1" spans="1:22" x14ac:dyDescent="0.25">
      <c r="A867" s="17" t="s">
        <v>2703</v>
      </c>
      <c r="B867" s="17" t="s">
        <v>70</v>
      </c>
      <c r="C867" s="17" t="s">
        <v>71</v>
      </c>
      <c r="D867" t="s">
        <v>2657</v>
      </c>
      <c r="F867" t="s">
        <v>2704</v>
      </c>
      <c r="K867" s="18">
        <f>628121064466</f>
        <v>628121064466</v>
      </c>
      <c r="N867" s="17" t="s">
        <v>77</v>
      </c>
      <c r="V867" s="18">
        <f>628121064466</f>
        <v>628121064466</v>
      </c>
    </row>
    <row r="868" ht="15" customHeight="1" spans="1:22" x14ac:dyDescent="0.25">
      <c r="A868" s="17" t="s">
        <v>2705</v>
      </c>
      <c r="B868" s="17" t="s">
        <v>70</v>
      </c>
      <c r="C868" s="17" t="s">
        <v>71</v>
      </c>
      <c r="D868" t="s">
        <v>2657</v>
      </c>
      <c r="F868" t="s">
        <v>2706</v>
      </c>
      <c r="K868" s="18">
        <f>628129490707</f>
        <v>628129490707</v>
      </c>
      <c r="N868" s="17" t="s">
        <v>77</v>
      </c>
      <c r="V868" s="18">
        <f>628129490707</f>
        <v>628129490707</v>
      </c>
    </row>
    <row r="869" ht="15" customHeight="1" spans="1:28" x14ac:dyDescent="0.25">
      <c r="A869" s="17" t="s">
        <v>2707</v>
      </c>
      <c r="B869" s="17" t="s">
        <v>70</v>
      </c>
      <c r="C869" s="17" t="s">
        <v>71</v>
      </c>
      <c r="D869" t="s">
        <v>2657</v>
      </c>
      <c r="F869" t="s">
        <v>2708</v>
      </c>
      <c r="J869" t="s">
        <v>115</v>
      </c>
      <c r="K869" s="18" t="s">
        <v>2709</v>
      </c>
      <c r="N869" s="17" t="s">
        <v>77</v>
      </c>
      <c r="O869" t="s">
        <v>199</v>
      </c>
      <c r="V869" s="18" t="s">
        <v>2709</v>
      </c>
      <c r="Y869" t="s">
        <v>190</v>
      </c>
      <c r="AA869" t="s">
        <v>118</v>
      </c>
      <c r="AB869" t="s">
        <v>119</v>
      </c>
    </row>
    <row r="870" ht="15" customHeight="1" spans="1:28" x14ac:dyDescent="0.25">
      <c r="A870" s="17" t="s">
        <v>2710</v>
      </c>
      <c r="B870" s="17" t="s">
        <v>70</v>
      </c>
      <c r="C870" s="17" t="s">
        <v>71</v>
      </c>
      <c r="D870" t="s">
        <v>2657</v>
      </c>
      <c r="F870" t="s">
        <v>2711</v>
      </c>
      <c r="J870" t="s">
        <v>115</v>
      </c>
      <c r="K870" s="18" t="s">
        <v>2712</v>
      </c>
      <c r="N870" s="17" t="s">
        <v>77</v>
      </c>
      <c r="O870" t="s">
        <v>199</v>
      </c>
      <c r="V870" s="18" t="s">
        <v>2712</v>
      </c>
      <c r="Y870" t="s">
        <v>90</v>
      </c>
      <c r="AA870" t="s">
        <v>118</v>
      </c>
      <c r="AB870" t="s">
        <v>119</v>
      </c>
    </row>
    <row r="871" ht="15" customHeight="1" spans="1:22" x14ac:dyDescent="0.25">
      <c r="A871" s="17" t="s">
        <v>2713</v>
      </c>
      <c r="B871" s="17" t="s">
        <v>70</v>
      </c>
      <c r="C871" s="17" t="s">
        <v>71</v>
      </c>
      <c r="D871" t="s">
        <v>2657</v>
      </c>
      <c r="F871" t="s">
        <v>2714</v>
      </c>
      <c r="K871" s="18">
        <f>628124207920</f>
        <v>628124207920</v>
      </c>
      <c r="N871" s="17" t="s">
        <v>81</v>
      </c>
      <c r="V871" s="18">
        <f>628124207920</f>
        <v>628124207920</v>
      </c>
    </row>
    <row r="872" ht="15" customHeight="1" spans="1:22" x14ac:dyDescent="0.25">
      <c r="A872" s="17" t="s">
        <v>2715</v>
      </c>
      <c r="B872" s="17" t="s">
        <v>70</v>
      </c>
      <c r="C872" s="17" t="s">
        <v>71</v>
      </c>
      <c r="D872" t="s">
        <v>2657</v>
      </c>
      <c r="F872" t="s">
        <v>2716</v>
      </c>
      <c r="K872" s="18">
        <f>6281280005093</f>
        <v>6281280005093</v>
      </c>
      <c r="N872" s="17" t="s">
        <v>81</v>
      </c>
      <c r="V872" s="18">
        <f>6281280005093</f>
        <v>6281280005093</v>
      </c>
    </row>
    <row r="873" ht="15" customHeight="1" spans="1:25" x14ac:dyDescent="0.25">
      <c r="A873" s="17" t="s">
        <v>2717</v>
      </c>
      <c r="B873" s="17" t="s">
        <v>70</v>
      </c>
      <c r="C873" s="17" t="s">
        <v>71</v>
      </c>
      <c r="D873" t="s">
        <v>2657</v>
      </c>
      <c r="F873" t="s">
        <v>2718</v>
      </c>
      <c r="J873" s="17" t="s">
        <v>2719</v>
      </c>
      <c r="K873" s="18">
        <f>6281242922003</f>
        <v>6281242922003</v>
      </c>
      <c r="N873" s="17" t="s">
        <v>81</v>
      </c>
      <c r="U873" s="17"/>
      <c r="V873" s="18">
        <f>6281242922003</f>
        <v>6281242922003</v>
      </c>
      <c r="W873" t="s">
        <v>2720</v>
      </c>
      <c r="Y873" t="s">
        <v>596</v>
      </c>
    </row>
    <row r="874" ht="15" customHeight="1" spans="1:22" x14ac:dyDescent="0.25">
      <c r="A874" s="17" t="s">
        <v>2721</v>
      </c>
      <c r="B874" s="17" t="s">
        <v>70</v>
      </c>
      <c r="C874" s="17" t="s">
        <v>71</v>
      </c>
      <c r="D874" t="s">
        <v>2657</v>
      </c>
      <c r="F874" t="s">
        <v>2722</v>
      </c>
      <c r="K874" s="18">
        <f>62816770089</f>
        <v>62816770089</v>
      </c>
      <c r="N874" s="17" t="s">
        <v>81</v>
      </c>
      <c r="V874" s="18">
        <f>62816770089</f>
        <v>62816770089</v>
      </c>
    </row>
    <row r="875" ht="15" customHeight="1" spans="1:22" x14ac:dyDescent="0.25">
      <c r="A875" s="17" t="s">
        <v>2723</v>
      </c>
      <c r="B875" s="17" t="s">
        <v>70</v>
      </c>
      <c r="C875" s="17" t="s">
        <v>71</v>
      </c>
      <c r="D875" t="s">
        <v>2657</v>
      </c>
      <c r="F875" t="s">
        <v>2724</v>
      </c>
      <c r="K875" s="18">
        <f>628129829808</f>
        <v>628129829808</v>
      </c>
      <c r="N875" s="17" t="s">
        <v>77</v>
      </c>
      <c r="V875" s="18">
        <f>628129829808</f>
        <v>628129829808</v>
      </c>
    </row>
    <row r="876" ht="15" customHeight="1" spans="1:27" x14ac:dyDescent="0.25">
      <c r="A876" s="17" t="s">
        <v>2725</v>
      </c>
      <c r="B876" s="17" t="s">
        <v>70</v>
      </c>
      <c r="C876" s="17" t="s">
        <v>71</v>
      </c>
      <c r="D876" t="s">
        <v>2657</v>
      </c>
      <c r="F876" t="s">
        <v>2726</v>
      </c>
      <c r="K876" s="18">
        <f>62811798979</f>
        <v>62811798979</v>
      </c>
      <c r="N876" s="17" t="s">
        <v>74</v>
      </c>
      <c r="U876" s="17"/>
      <c r="V876" s="18">
        <f>62811798979</f>
        <v>62811798979</v>
      </c>
      <c r="W876" t="s">
        <v>2727</v>
      </c>
      <c r="Y876" s="17" t="s">
        <v>626</v>
      </c>
      <c r="AA876" s="17" t="s">
        <v>2728</v>
      </c>
    </row>
    <row r="877" ht="15" customHeight="1" spans="1:25" x14ac:dyDescent="0.25">
      <c r="A877" s="17" t="s">
        <v>2729</v>
      </c>
      <c r="B877" s="17" t="s">
        <v>70</v>
      </c>
      <c r="C877" s="17" t="s">
        <v>71</v>
      </c>
      <c r="D877" t="s">
        <v>2657</v>
      </c>
      <c r="F877" t="s">
        <v>2730</v>
      </c>
      <c r="K877" s="18">
        <f>6281315667070</f>
        <v>6281315667070</v>
      </c>
      <c r="N877" s="17" t="s">
        <v>81</v>
      </c>
      <c r="U877" s="17"/>
      <c r="V877" s="18">
        <f>6281315667070</f>
        <v>6281315667070</v>
      </c>
      <c r="W877" t="s">
        <v>2731</v>
      </c>
      <c r="Y877" t="s">
        <v>90</v>
      </c>
    </row>
    <row r="878" ht="15" customHeight="1" spans="1:25" x14ac:dyDescent="0.25">
      <c r="A878" s="17" t="s">
        <v>2732</v>
      </c>
      <c r="B878" s="17" t="s">
        <v>70</v>
      </c>
      <c r="C878" s="17" t="s">
        <v>71</v>
      </c>
      <c r="D878" t="s">
        <v>2657</v>
      </c>
      <c r="F878" t="s">
        <v>1070</v>
      </c>
      <c r="J878" s="17" t="s">
        <v>2733</v>
      </c>
      <c r="K878" s="18">
        <f>6281315517141</f>
        <v>6281315517141</v>
      </c>
      <c r="N878" s="17" t="s">
        <v>77</v>
      </c>
      <c r="U878" s="17"/>
      <c r="V878" s="18">
        <f>6281315517141</f>
        <v>6281315517141</v>
      </c>
      <c r="W878" t="s">
        <v>2734</v>
      </c>
      <c r="Y878" s="17" t="s">
        <v>96</v>
      </c>
    </row>
    <row r="879" ht="15" customHeight="1" spans="1:25" x14ac:dyDescent="0.25">
      <c r="A879" s="17" t="s">
        <v>2735</v>
      </c>
      <c r="B879" s="17" t="s">
        <v>70</v>
      </c>
      <c r="C879" s="17" t="s">
        <v>71</v>
      </c>
      <c r="D879" t="s">
        <v>2657</v>
      </c>
      <c r="F879" t="s">
        <v>2736</v>
      </c>
      <c r="K879" s="18">
        <f>6281287066291</f>
        <v>6281287066291</v>
      </c>
      <c r="N879" s="17" t="s">
        <v>81</v>
      </c>
      <c r="U879" s="17"/>
      <c r="V879" s="18">
        <f>6281287066291</f>
        <v>6281287066291</v>
      </c>
      <c r="W879" t="s">
        <v>2737</v>
      </c>
      <c r="Y879" s="17" t="s">
        <v>626</v>
      </c>
    </row>
    <row r="880" ht="15" customHeight="1" spans="1:22" x14ac:dyDescent="0.25">
      <c r="A880" s="17" t="s">
        <v>2738</v>
      </c>
      <c r="B880" s="17" t="s">
        <v>70</v>
      </c>
      <c r="C880" s="17" t="s">
        <v>71</v>
      </c>
      <c r="D880" t="s">
        <v>2657</v>
      </c>
      <c r="F880" t="s">
        <v>2739</v>
      </c>
      <c r="K880" s="18">
        <f>6281220002345</f>
        <v>6281220002345</v>
      </c>
      <c r="N880" s="17" t="s">
        <v>74</v>
      </c>
      <c r="V880" s="18">
        <f>6281220002345</f>
        <v>6281220002345</v>
      </c>
    </row>
    <row r="881" ht="15" customHeight="1" spans="1:22" x14ac:dyDescent="0.25">
      <c r="A881" s="17" t="s">
        <v>2740</v>
      </c>
      <c r="B881" s="17" t="s">
        <v>70</v>
      </c>
      <c r="C881" s="17" t="s">
        <v>71</v>
      </c>
      <c r="D881" t="s">
        <v>2657</v>
      </c>
      <c r="F881" t="s">
        <v>2739</v>
      </c>
      <c r="K881" s="18">
        <f>62816743510</f>
        <v>62816743510</v>
      </c>
      <c r="N881" s="17" t="s">
        <v>77</v>
      </c>
      <c r="V881" s="18">
        <f>62816743510</f>
        <v>62816743510</v>
      </c>
    </row>
    <row r="882" ht="15" customHeight="1" spans="1:25" x14ac:dyDescent="0.25">
      <c r="A882" s="17" t="s">
        <v>2741</v>
      </c>
      <c r="B882" s="17" t="s">
        <v>70</v>
      </c>
      <c r="C882" s="17" t="s">
        <v>71</v>
      </c>
      <c r="D882" t="s">
        <v>2657</v>
      </c>
      <c r="F882" t="s">
        <v>2742</v>
      </c>
      <c r="K882" s="18">
        <f>62811714422</f>
        <v>62811714422</v>
      </c>
      <c r="N882" s="17" t="s">
        <v>77</v>
      </c>
      <c r="U882" s="17"/>
      <c r="V882" s="18">
        <f>62811714422</f>
        <v>62811714422</v>
      </c>
      <c r="W882" t="s">
        <v>2743</v>
      </c>
      <c r="Y882" s="17" t="s">
        <v>2744</v>
      </c>
    </row>
    <row r="883" ht="15" customHeight="1" spans="1:22" x14ac:dyDescent="0.25">
      <c r="A883" s="17" t="s">
        <v>2745</v>
      </c>
      <c r="B883" s="17" t="s">
        <v>70</v>
      </c>
      <c r="C883" s="17" t="s">
        <v>71</v>
      </c>
      <c r="D883" t="s">
        <v>2657</v>
      </c>
      <c r="F883" t="s">
        <v>2746</v>
      </c>
      <c r="K883" s="18">
        <f>62811607911</f>
        <v>62811607911</v>
      </c>
      <c r="N883" s="17" t="s">
        <v>81</v>
      </c>
      <c r="V883" s="18">
        <f>62811607911</f>
        <v>62811607911</v>
      </c>
    </row>
    <row r="884" ht="15" customHeight="1" spans="1:22" x14ac:dyDescent="0.25">
      <c r="A884" s="17" t="s">
        <v>2747</v>
      </c>
      <c r="B884" s="17" t="s">
        <v>70</v>
      </c>
      <c r="C884" s="17" t="s">
        <v>71</v>
      </c>
      <c r="D884" t="s">
        <v>2657</v>
      </c>
      <c r="F884" t="s">
        <v>1730</v>
      </c>
      <c r="K884" s="18">
        <f>6281573233233</f>
        <v>6281573233233</v>
      </c>
      <c r="N884" s="17" t="s">
        <v>74</v>
      </c>
      <c r="V884" s="18">
        <f>6281573233233</f>
        <v>6281573233233</v>
      </c>
    </row>
    <row r="885" ht="15" customHeight="1" spans="1:27" x14ac:dyDescent="0.25">
      <c r="A885" s="17" t="s">
        <v>2748</v>
      </c>
      <c r="B885" s="17" t="s">
        <v>70</v>
      </c>
      <c r="C885" s="17" t="s">
        <v>71</v>
      </c>
      <c r="D885" t="s">
        <v>2657</v>
      </c>
      <c r="F885" t="s">
        <v>2749</v>
      </c>
      <c r="K885" s="18">
        <f>628133912960</f>
        <v>628133912960</v>
      </c>
      <c r="N885" s="17" t="s">
        <v>77</v>
      </c>
      <c r="U885" s="17"/>
      <c r="V885" s="18">
        <f>628133912960</f>
        <v>628133912960</v>
      </c>
      <c r="W885" t="s">
        <v>2750</v>
      </c>
      <c r="AA885" s="17">
        <v>40286</v>
      </c>
    </row>
    <row r="886" ht="15" customHeight="1" spans="1:22" x14ac:dyDescent="0.25">
      <c r="A886" s="17" t="s">
        <v>2751</v>
      </c>
      <c r="B886" s="17" t="s">
        <v>70</v>
      </c>
      <c r="C886" s="17" t="s">
        <v>71</v>
      </c>
      <c r="D886" t="s">
        <v>2657</v>
      </c>
      <c r="F886" t="s">
        <v>2752</v>
      </c>
      <c r="K886" s="18">
        <f>6281286042000</f>
        <v>6281286042000</v>
      </c>
      <c r="N886" s="17" t="s">
        <v>81</v>
      </c>
      <c r="V886" s="18">
        <f>6281286042000</f>
        <v>6281286042000</v>
      </c>
    </row>
    <row r="887" ht="15" customHeight="1" spans="1:25" x14ac:dyDescent="0.25">
      <c r="A887" s="17" t="s">
        <v>2753</v>
      </c>
      <c r="B887" s="17" t="s">
        <v>70</v>
      </c>
      <c r="C887" s="17" t="s">
        <v>71</v>
      </c>
      <c r="D887" t="s">
        <v>2657</v>
      </c>
      <c r="F887" t="s">
        <v>2754</v>
      </c>
      <c r="J887" s="17" t="s">
        <v>2755</v>
      </c>
      <c r="K887" s="18">
        <f>6281233878845</f>
        <v>6281233878845</v>
      </c>
      <c r="N887" s="17" t="s">
        <v>77</v>
      </c>
      <c r="U887" s="17"/>
      <c r="V887" s="18">
        <f>6281233878845</f>
        <v>6281233878845</v>
      </c>
      <c r="W887" t="s">
        <v>2756</v>
      </c>
      <c r="Y887" s="17" t="s">
        <v>90</v>
      </c>
    </row>
    <row r="888" ht="15" customHeight="1" spans="1:28" x14ac:dyDescent="0.25">
      <c r="A888" s="17" t="s">
        <v>2757</v>
      </c>
      <c r="B888" s="17" t="s">
        <v>70</v>
      </c>
      <c r="C888" s="17" t="s">
        <v>71</v>
      </c>
      <c r="D888" t="s">
        <v>2657</v>
      </c>
      <c r="F888" t="s">
        <v>2758</v>
      </c>
      <c r="J888" s="17" t="s">
        <v>2759</v>
      </c>
      <c r="K888" s="18" t="s">
        <v>2760</v>
      </c>
      <c r="N888" s="17" t="s">
        <v>77</v>
      </c>
      <c r="O888" t="s">
        <v>117</v>
      </c>
      <c r="V888" s="18" t="s">
        <v>2760</v>
      </c>
      <c r="Y888" t="s">
        <v>90</v>
      </c>
      <c r="AA888" t="s">
        <v>118</v>
      </c>
      <c r="AB888" t="s">
        <v>119</v>
      </c>
    </row>
    <row r="889" ht="15" customHeight="1" spans="1:22" x14ac:dyDescent="0.25">
      <c r="A889" s="17" t="s">
        <v>2761</v>
      </c>
      <c r="B889" s="17" t="s">
        <v>70</v>
      </c>
      <c r="C889" s="17" t="s">
        <v>71</v>
      </c>
      <c r="D889" t="s">
        <v>2762</v>
      </c>
      <c r="F889" t="s">
        <v>2762</v>
      </c>
      <c r="J889" s="17" t="s">
        <v>2763</v>
      </c>
      <c r="K889" s="18">
        <f>6281290360350</f>
        <v>6281290360350</v>
      </c>
      <c r="N889" s="17" t="s">
        <v>81</v>
      </c>
      <c r="V889" s="18">
        <f>6281290360350</f>
        <v>6281290360350</v>
      </c>
    </row>
    <row r="890" ht="15" customHeight="1" spans="1:27" x14ac:dyDescent="0.25">
      <c r="A890" s="17" t="s">
        <v>2764</v>
      </c>
      <c r="B890" s="17" t="s">
        <v>70</v>
      </c>
      <c r="C890" s="17" t="s">
        <v>71</v>
      </c>
      <c r="D890" t="s">
        <v>2762</v>
      </c>
      <c r="F890" t="s">
        <v>615</v>
      </c>
      <c r="J890" s="17" t="s">
        <v>2765</v>
      </c>
      <c r="K890" s="18">
        <f>6281390333395</f>
        <v>6281390333395</v>
      </c>
      <c r="N890" s="17" t="s">
        <v>77</v>
      </c>
      <c r="U890" s="17"/>
      <c r="V890" s="18">
        <f>6281390333395</f>
        <v>6281390333395</v>
      </c>
      <c r="W890" t="s">
        <v>2766</v>
      </c>
      <c r="AA890" s="17">
        <v>17412</v>
      </c>
    </row>
    <row r="891" ht="15" customHeight="1" spans="1:27" x14ac:dyDescent="0.25">
      <c r="A891" s="17" t="s">
        <v>2767</v>
      </c>
      <c r="B891" s="17" t="s">
        <v>70</v>
      </c>
      <c r="C891" s="17" t="s">
        <v>71</v>
      </c>
      <c r="D891" t="s">
        <v>2762</v>
      </c>
      <c r="F891" t="s">
        <v>2768</v>
      </c>
      <c r="K891" s="18">
        <f>62811987331</f>
        <v>62811987331</v>
      </c>
      <c r="N891" s="17" t="s">
        <v>77</v>
      </c>
      <c r="U891" s="17"/>
      <c r="V891" s="18" t="s">
        <v>2769</v>
      </c>
      <c r="W891" t="s">
        <v>2770</v>
      </c>
      <c r="Y891" s="17" t="s">
        <v>2771</v>
      </c>
      <c r="AA891">
        <v>17433</v>
      </c>
    </row>
    <row r="892" ht="15" customHeight="1" spans="1:22" x14ac:dyDescent="0.25">
      <c r="A892" s="17" t="s">
        <v>2772</v>
      </c>
      <c r="B892" s="17" t="s">
        <v>70</v>
      </c>
      <c r="C892" s="17" t="s">
        <v>71</v>
      </c>
      <c r="D892" t="s">
        <v>2762</v>
      </c>
      <c r="F892" t="s">
        <v>2773</v>
      </c>
      <c r="K892" s="18">
        <f>628111893222</f>
        <v>628111893222</v>
      </c>
      <c r="N892" s="17" t="s">
        <v>77</v>
      </c>
      <c r="V892" s="18">
        <f>628111893222</f>
        <v>628111893222</v>
      </c>
    </row>
    <row r="893" ht="15" customHeight="1" spans="1:22" x14ac:dyDescent="0.25">
      <c r="A893" s="17" t="s">
        <v>2774</v>
      </c>
      <c r="B893" s="17" t="s">
        <v>70</v>
      </c>
      <c r="C893" s="17" t="s">
        <v>71</v>
      </c>
      <c r="D893" t="s">
        <v>2762</v>
      </c>
      <c r="F893" t="s">
        <v>2775</v>
      </c>
      <c r="K893" s="18">
        <f>62813215008880</f>
        <v>62813215008880</v>
      </c>
      <c r="N893" s="17" t="s">
        <v>77</v>
      </c>
      <c r="V893" s="18">
        <f>62813215008880</f>
        <v>62813215008880</v>
      </c>
    </row>
    <row r="894" ht="15" customHeight="1" spans="1:27" x14ac:dyDescent="0.25">
      <c r="A894" s="17" t="s">
        <v>2776</v>
      </c>
      <c r="B894" s="17" t="s">
        <v>70</v>
      </c>
      <c r="C894" s="17" t="s">
        <v>71</v>
      </c>
      <c r="D894" t="s">
        <v>2762</v>
      </c>
      <c r="F894" t="s">
        <v>1589</v>
      </c>
      <c r="K894" s="18">
        <f>6287824330257</f>
        <v>6287824330257</v>
      </c>
      <c r="N894" s="17" t="s">
        <v>77</v>
      </c>
      <c r="U894" s="17"/>
      <c r="V894" s="18">
        <f>6287824330257</f>
        <v>6287824330257</v>
      </c>
      <c r="W894" t="s">
        <v>2777</v>
      </c>
      <c r="Y894" s="17" t="s">
        <v>90</v>
      </c>
      <c r="AA894" s="17">
        <v>13430</v>
      </c>
    </row>
    <row r="895" ht="15" customHeight="1" spans="1:28" x14ac:dyDescent="0.25">
      <c r="A895" s="17" t="s">
        <v>2778</v>
      </c>
      <c r="B895" s="17" t="s">
        <v>70</v>
      </c>
      <c r="C895" s="17" t="s">
        <v>71</v>
      </c>
      <c r="D895" t="s">
        <v>2762</v>
      </c>
      <c r="F895" t="s">
        <v>1589</v>
      </c>
      <c r="J895" t="s">
        <v>2779</v>
      </c>
      <c r="K895" s="18" t="s">
        <v>2780</v>
      </c>
      <c r="N895" s="17" t="s">
        <v>77</v>
      </c>
      <c r="O895" t="s">
        <v>117</v>
      </c>
      <c r="V895" s="18" t="s">
        <v>2780</v>
      </c>
      <c r="Y895" t="s">
        <v>90</v>
      </c>
      <c r="AA895" t="s">
        <v>118</v>
      </c>
      <c r="AB895" t="s">
        <v>119</v>
      </c>
    </row>
    <row r="896" ht="15" customHeight="1" spans="1:22" x14ac:dyDescent="0.25">
      <c r="A896" s="17" t="s">
        <v>2781</v>
      </c>
      <c r="B896" s="17" t="s">
        <v>70</v>
      </c>
      <c r="C896" s="17" t="s">
        <v>71</v>
      </c>
      <c r="D896" t="s">
        <v>2762</v>
      </c>
      <c r="F896" t="s">
        <v>2782</v>
      </c>
      <c r="K896" s="18">
        <f>6281212390019</f>
        <v>6281212390019</v>
      </c>
      <c r="N896" s="17" t="s">
        <v>77</v>
      </c>
      <c r="V896" s="18">
        <f>6281212390019</f>
        <v>6281212390019</v>
      </c>
    </row>
    <row r="897" ht="15" customHeight="1" spans="1:28" x14ac:dyDescent="0.25">
      <c r="A897" s="17" t="s">
        <v>2783</v>
      </c>
      <c r="B897" s="17" t="s">
        <v>70</v>
      </c>
      <c r="C897" s="17" t="s">
        <v>71</v>
      </c>
      <c r="D897" t="s">
        <v>2784</v>
      </c>
      <c r="F897" t="s">
        <v>2785</v>
      </c>
      <c r="J897" t="s">
        <v>115</v>
      </c>
      <c r="K897" s="18" t="s">
        <v>2786</v>
      </c>
      <c r="N897" s="17" t="s">
        <v>77</v>
      </c>
      <c r="O897" t="s">
        <v>199</v>
      </c>
      <c r="V897" s="18" t="s">
        <v>2786</v>
      </c>
      <c r="Y897" t="s">
        <v>1091</v>
      </c>
      <c r="AA897" t="s">
        <v>115</v>
      </c>
      <c r="AB897" t="s">
        <v>119</v>
      </c>
    </row>
    <row r="898" ht="15" customHeight="1" spans="1:22" x14ac:dyDescent="0.25">
      <c r="A898" s="17" t="s">
        <v>2787</v>
      </c>
      <c r="B898" s="17" t="s">
        <v>70</v>
      </c>
      <c r="C898" s="17" t="s">
        <v>71</v>
      </c>
      <c r="D898" t="s">
        <v>2788</v>
      </c>
      <c r="F898" t="s">
        <v>2788</v>
      </c>
      <c r="K898" s="18">
        <f>62811100531</f>
        <v>62811100531</v>
      </c>
      <c r="N898" s="17" t="s">
        <v>81</v>
      </c>
      <c r="V898" s="18">
        <f>62811100531</f>
        <v>62811100531</v>
      </c>
    </row>
    <row r="899" ht="15" customHeight="1" spans="1:22" x14ac:dyDescent="0.25">
      <c r="A899" s="17" t="s">
        <v>2789</v>
      </c>
      <c r="B899" s="17" t="s">
        <v>70</v>
      </c>
      <c r="C899" s="17" t="s">
        <v>71</v>
      </c>
      <c r="D899" t="s">
        <v>2790</v>
      </c>
      <c r="F899" t="s">
        <v>2586</v>
      </c>
      <c r="K899" s="18">
        <f>6287888833301</f>
        <v>6287888833301</v>
      </c>
      <c r="N899" s="17" t="s">
        <v>81</v>
      </c>
      <c r="V899" s="18">
        <f>6287888833301</f>
        <v>6287888833301</v>
      </c>
    </row>
    <row r="900" ht="15" customHeight="1" spans="1:22" x14ac:dyDescent="0.25">
      <c r="A900" s="17" t="s">
        <v>2791</v>
      </c>
      <c r="B900" s="17" t="s">
        <v>70</v>
      </c>
      <c r="C900" s="17" t="s">
        <v>71</v>
      </c>
      <c r="D900" t="s">
        <v>2792</v>
      </c>
      <c r="F900" t="s">
        <v>2792</v>
      </c>
      <c r="K900" s="18">
        <f>6281318203455</f>
        <v>6281318203455</v>
      </c>
      <c r="N900" s="17" t="s">
        <v>81</v>
      </c>
      <c r="V900" s="18">
        <f>6281318203455</f>
        <v>6281318203455</v>
      </c>
    </row>
    <row r="901" ht="15" customHeight="1" spans="1:22" x14ac:dyDescent="0.25">
      <c r="A901" s="17" t="s">
        <v>2793</v>
      </c>
      <c r="B901" s="17" t="s">
        <v>70</v>
      </c>
      <c r="C901" s="17" t="s">
        <v>71</v>
      </c>
      <c r="D901" t="s">
        <v>2794</v>
      </c>
      <c r="F901" t="s">
        <v>2794</v>
      </c>
      <c r="K901" s="18">
        <f>628127123530</f>
        <v>628127123530</v>
      </c>
      <c r="N901" s="17" t="s">
        <v>74</v>
      </c>
      <c r="V901" s="18">
        <f>628127123530</f>
        <v>628127123530</v>
      </c>
    </row>
    <row r="902" ht="15" customHeight="1" spans="1:22" x14ac:dyDescent="0.25">
      <c r="A902" s="17" t="s">
        <v>2795</v>
      </c>
      <c r="B902" s="17" t="s">
        <v>70</v>
      </c>
      <c r="C902" s="17" t="s">
        <v>71</v>
      </c>
      <c r="D902" t="s">
        <v>2796</v>
      </c>
      <c r="F902" t="s">
        <v>1754</v>
      </c>
      <c r="K902" s="18">
        <v>8118083220</v>
      </c>
      <c r="N902" s="17" t="s">
        <v>81</v>
      </c>
      <c r="V902" s="18">
        <v>8118083220</v>
      </c>
    </row>
    <row r="903" ht="15" customHeight="1" spans="1:27" x14ac:dyDescent="0.25">
      <c r="A903" s="17" t="s">
        <v>2797</v>
      </c>
      <c r="B903" s="17" t="s">
        <v>70</v>
      </c>
      <c r="C903" s="17" t="s">
        <v>71</v>
      </c>
      <c r="D903" t="s">
        <v>2798</v>
      </c>
      <c r="F903" t="s">
        <v>2799</v>
      </c>
      <c r="K903" s="18">
        <f>628111142402</f>
        <v>628111142402</v>
      </c>
      <c r="N903" s="17" t="s">
        <v>77</v>
      </c>
      <c r="U903" s="17"/>
      <c r="V903" s="18">
        <f>628111142402</f>
        <v>628111142402</v>
      </c>
      <c r="W903" t="s">
        <v>2800</v>
      </c>
      <c r="Y903" s="17" t="s">
        <v>119</v>
      </c>
      <c r="AA903" s="17">
        <v>12410</v>
      </c>
    </row>
    <row r="904" ht="15" customHeight="1" spans="1:22" x14ac:dyDescent="0.25">
      <c r="A904" s="17" t="s">
        <v>2801</v>
      </c>
      <c r="B904" s="17" t="s">
        <v>70</v>
      </c>
      <c r="C904" s="17" t="s">
        <v>71</v>
      </c>
      <c r="D904" t="s">
        <v>2802</v>
      </c>
      <c r="F904" t="s">
        <v>2803</v>
      </c>
      <c r="J904" s="17" t="s">
        <v>2804</v>
      </c>
      <c r="K904" s="18">
        <f>62816903078</f>
        <v>62816903078</v>
      </c>
      <c r="N904" s="17" t="s">
        <v>81</v>
      </c>
      <c r="V904" s="18">
        <f>62816903078</f>
        <v>62816903078</v>
      </c>
    </row>
    <row r="905" ht="15" customHeight="1" spans="1:22" x14ac:dyDescent="0.25">
      <c r="A905" s="17" t="s">
        <v>2805</v>
      </c>
      <c r="B905" s="17" t="s">
        <v>70</v>
      </c>
      <c r="C905" s="17" t="s">
        <v>71</v>
      </c>
      <c r="D905" t="s">
        <v>2806</v>
      </c>
      <c r="F905" t="s">
        <v>2806</v>
      </c>
      <c r="K905" s="18">
        <f>628119912249</f>
        <v>628119912249</v>
      </c>
      <c r="N905" s="17" t="s">
        <v>77</v>
      </c>
      <c r="V905" s="18">
        <f>628119912249</f>
        <v>628119912249</v>
      </c>
    </row>
    <row r="906" ht="15" customHeight="1" spans="1:22" x14ac:dyDescent="0.25">
      <c r="A906" s="17" t="s">
        <v>2807</v>
      </c>
      <c r="B906" s="17" t="s">
        <v>70</v>
      </c>
      <c r="C906" s="17" t="s">
        <v>71</v>
      </c>
      <c r="D906" t="s">
        <v>2806</v>
      </c>
      <c r="F906" t="s">
        <v>2808</v>
      </c>
      <c r="K906" s="18">
        <f>622125533888</f>
        <v>622125533888</v>
      </c>
      <c r="N906" s="17" t="s">
        <v>81</v>
      </c>
      <c r="V906" s="18">
        <f>622125533888</f>
        <v>622125533888</v>
      </c>
    </row>
    <row r="907" ht="15" customHeight="1" spans="1:22" x14ac:dyDescent="0.25">
      <c r="A907" s="17" t="s">
        <v>2809</v>
      </c>
      <c r="B907" s="17" t="s">
        <v>70</v>
      </c>
      <c r="C907" s="17" t="s">
        <v>71</v>
      </c>
      <c r="D907" t="s">
        <v>2810</v>
      </c>
      <c r="F907" t="s">
        <v>2810</v>
      </c>
      <c r="K907" s="18">
        <f>6287839393993</f>
        <v>6287839393993</v>
      </c>
      <c r="N907" s="17" t="s">
        <v>81</v>
      </c>
      <c r="V907" s="18">
        <f>6287839393993</f>
        <v>6287839393993</v>
      </c>
    </row>
    <row r="908" ht="15" customHeight="1" spans="1:28" x14ac:dyDescent="0.25">
      <c r="A908" s="17" t="s">
        <v>2811</v>
      </c>
      <c r="B908" s="17" t="s">
        <v>70</v>
      </c>
      <c r="C908" s="17" t="s">
        <v>71</v>
      </c>
      <c r="D908" t="s">
        <v>2810</v>
      </c>
      <c r="F908" t="s">
        <v>2812</v>
      </c>
      <c r="J908" t="s">
        <v>115</v>
      </c>
      <c r="K908" s="18" t="s">
        <v>2813</v>
      </c>
      <c r="N908" s="17" t="s">
        <v>77</v>
      </c>
      <c r="O908" t="s">
        <v>261</v>
      </c>
      <c r="U908" s="17"/>
      <c r="V908" s="18" t="s">
        <v>2813</v>
      </c>
      <c r="W908" t="s">
        <v>2814</v>
      </c>
      <c r="Y908" t="s">
        <v>90</v>
      </c>
      <c r="AA908" t="s">
        <v>118</v>
      </c>
      <c r="AB908" t="s">
        <v>119</v>
      </c>
    </row>
    <row r="909" ht="15" customHeight="1" spans="1:25" x14ac:dyDescent="0.25">
      <c r="A909" s="17" t="s">
        <v>2815</v>
      </c>
      <c r="B909" s="17" t="s">
        <v>70</v>
      </c>
      <c r="C909" s="17" t="s">
        <v>71</v>
      </c>
      <c r="D909" t="s">
        <v>2810</v>
      </c>
      <c r="F909" t="s">
        <v>2816</v>
      </c>
      <c r="J909" s="17" t="s">
        <v>2817</v>
      </c>
      <c r="K909" s="18">
        <f>62816333388</f>
        <v>62816333388</v>
      </c>
      <c r="N909" s="17" t="s">
        <v>77</v>
      </c>
      <c r="U909" s="17"/>
      <c r="V909" s="18">
        <f>62816333388</f>
        <v>62816333388</v>
      </c>
      <c r="W909" t="s">
        <v>2818</v>
      </c>
      <c r="Y909" s="17" t="s">
        <v>90</v>
      </c>
    </row>
    <row r="910" ht="15" customHeight="1" spans="1:22" x14ac:dyDescent="0.25">
      <c r="A910" s="17" t="s">
        <v>2819</v>
      </c>
      <c r="B910" s="17" t="s">
        <v>70</v>
      </c>
      <c r="C910" s="17" t="s">
        <v>71</v>
      </c>
      <c r="D910" t="s">
        <v>2810</v>
      </c>
      <c r="F910" t="s">
        <v>618</v>
      </c>
      <c r="K910" s="18">
        <f>62811294117</f>
        <v>62811294117</v>
      </c>
      <c r="N910" s="17" t="s">
        <v>77</v>
      </c>
      <c r="V910" s="18">
        <f>62811294117</f>
        <v>62811294117</v>
      </c>
    </row>
    <row r="911" ht="15" customHeight="1" spans="1:22" x14ac:dyDescent="0.25">
      <c r="A911" s="17" t="s">
        <v>2820</v>
      </c>
      <c r="B911" s="17" t="s">
        <v>70</v>
      </c>
      <c r="C911" s="17" t="s">
        <v>71</v>
      </c>
      <c r="D911" t="s">
        <v>2810</v>
      </c>
      <c r="F911" t="s">
        <v>2821</v>
      </c>
      <c r="K911" s="18">
        <f>6281252535535</f>
        <v>6281252535535</v>
      </c>
      <c r="N911" s="17" t="s">
        <v>77</v>
      </c>
      <c r="V911" s="18">
        <f>6281252535535</f>
        <v>6281252535535</v>
      </c>
    </row>
    <row r="912" ht="15" customHeight="1" spans="1:28" x14ac:dyDescent="0.25">
      <c r="A912" s="17" t="s">
        <v>2822</v>
      </c>
      <c r="B912" s="17" t="s">
        <v>70</v>
      </c>
      <c r="C912" s="17" t="s">
        <v>71</v>
      </c>
      <c r="D912" t="s">
        <v>2810</v>
      </c>
      <c r="F912" t="s">
        <v>1865</v>
      </c>
      <c r="J912" t="s">
        <v>2823</v>
      </c>
      <c r="K912" s="18" t="s">
        <v>2824</v>
      </c>
      <c r="N912" s="17" t="s">
        <v>77</v>
      </c>
      <c r="O912" t="s">
        <v>489</v>
      </c>
      <c r="U912" s="17"/>
      <c r="V912" s="18" t="s">
        <v>2824</v>
      </c>
      <c r="W912" t="s">
        <v>2825</v>
      </c>
      <c r="Y912" t="s">
        <v>2826</v>
      </c>
      <c r="AA912" t="s">
        <v>115</v>
      </c>
      <c r="AB912" t="s">
        <v>119</v>
      </c>
    </row>
    <row r="913" ht="15" customHeight="1" spans="1:22" x14ac:dyDescent="0.25">
      <c r="A913" s="17" t="s">
        <v>2827</v>
      </c>
      <c r="B913" s="17" t="s">
        <v>70</v>
      </c>
      <c r="C913" s="17" t="s">
        <v>71</v>
      </c>
      <c r="D913" t="s">
        <v>2810</v>
      </c>
      <c r="F913" t="s">
        <v>2828</v>
      </c>
      <c r="K913" s="18">
        <f>628170790403</f>
        <v>628170790403</v>
      </c>
      <c r="N913" s="17" t="s">
        <v>77</v>
      </c>
      <c r="V913" s="18">
        <f>628170790403</f>
        <v>628170790403</v>
      </c>
    </row>
    <row r="914" ht="15" customHeight="1" spans="1:25" x14ac:dyDescent="0.25">
      <c r="A914" s="17" t="s">
        <v>2829</v>
      </c>
      <c r="B914" s="17" t="s">
        <v>70</v>
      </c>
      <c r="C914" s="17" t="s">
        <v>71</v>
      </c>
      <c r="D914" t="s">
        <v>2810</v>
      </c>
      <c r="F914" t="s">
        <v>2830</v>
      </c>
      <c r="K914" s="18">
        <f>6281585990369</f>
        <v>6281585990369</v>
      </c>
      <c r="N914" s="17" t="s">
        <v>74</v>
      </c>
      <c r="U914" s="17"/>
      <c r="V914" s="18">
        <f>6281585990369</f>
        <v>6281585990369</v>
      </c>
      <c r="W914" t="s">
        <v>2831</v>
      </c>
      <c r="Y914" s="17" t="s">
        <v>626</v>
      </c>
    </row>
    <row r="915" ht="15" customHeight="1" spans="1:28" x14ac:dyDescent="0.25">
      <c r="A915" s="17" t="s">
        <v>2832</v>
      </c>
      <c r="B915" s="17" t="s">
        <v>70</v>
      </c>
      <c r="C915" s="17" t="s">
        <v>71</v>
      </c>
      <c r="D915" t="s">
        <v>2810</v>
      </c>
      <c r="F915" t="s">
        <v>2833</v>
      </c>
      <c r="J915" t="s">
        <v>115</v>
      </c>
      <c r="K915" s="18" t="s">
        <v>2834</v>
      </c>
      <c r="N915" s="17" t="s">
        <v>74</v>
      </c>
      <c r="O915" t="s">
        <v>145</v>
      </c>
      <c r="V915" s="18" t="s">
        <v>2834</v>
      </c>
      <c r="Y915" t="s">
        <v>90</v>
      </c>
      <c r="AA915" t="s">
        <v>118</v>
      </c>
      <c r="AB915" t="s">
        <v>119</v>
      </c>
    </row>
    <row r="916" ht="15" customHeight="1" spans="1:28" x14ac:dyDescent="0.25">
      <c r="A916" s="17" t="s">
        <v>2835</v>
      </c>
      <c r="B916" s="17" t="s">
        <v>70</v>
      </c>
      <c r="C916" s="17" t="s">
        <v>71</v>
      </c>
      <c r="D916" t="s">
        <v>2810</v>
      </c>
      <c r="F916" t="s">
        <v>2836</v>
      </c>
      <c r="J916" t="s">
        <v>115</v>
      </c>
      <c r="K916" s="18" t="s">
        <v>2837</v>
      </c>
      <c r="N916" s="17" t="s">
        <v>77</v>
      </c>
      <c r="O916" t="s">
        <v>489</v>
      </c>
      <c r="V916" s="18" t="s">
        <v>2837</v>
      </c>
      <c r="Y916" t="s">
        <v>90</v>
      </c>
      <c r="AA916" t="s">
        <v>118</v>
      </c>
      <c r="AB916" t="s">
        <v>119</v>
      </c>
    </row>
    <row r="917" ht="15" customHeight="1" spans="1:22" x14ac:dyDescent="0.25">
      <c r="A917" s="17" t="s">
        <v>2838</v>
      </c>
      <c r="B917" s="17" t="s">
        <v>70</v>
      </c>
      <c r="C917" s="17" t="s">
        <v>71</v>
      </c>
      <c r="D917" t="s">
        <v>2810</v>
      </c>
      <c r="F917" t="s">
        <v>282</v>
      </c>
      <c r="K917" s="18">
        <f>62816991454</f>
        <v>62816991454</v>
      </c>
      <c r="N917" s="17" t="s">
        <v>74</v>
      </c>
      <c r="V917" s="18">
        <f>62816991454</f>
        <v>62816991454</v>
      </c>
    </row>
    <row r="918" ht="15" customHeight="1" spans="1:28" x14ac:dyDescent="0.25">
      <c r="A918" s="17" t="s">
        <v>2839</v>
      </c>
      <c r="B918" s="17" t="s">
        <v>70</v>
      </c>
      <c r="C918" s="17" t="s">
        <v>71</v>
      </c>
      <c r="D918" t="s">
        <v>2810</v>
      </c>
      <c r="F918" t="s">
        <v>2840</v>
      </c>
      <c r="J918" s="17" t="s">
        <v>2841</v>
      </c>
      <c r="K918" s="18" t="s">
        <v>2842</v>
      </c>
      <c r="N918" s="17" t="s">
        <v>74</v>
      </c>
      <c r="O918" t="s">
        <v>117</v>
      </c>
      <c r="V918" s="18" t="s">
        <v>2842</v>
      </c>
      <c r="Y918" t="s">
        <v>190</v>
      </c>
      <c r="AA918" t="s">
        <v>118</v>
      </c>
      <c r="AB918" t="s">
        <v>119</v>
      </c>
    </row>
    <row r="919" ht="15" customHeight="1" spans="1:25" x14ac:dyDescent="0.25">
      <c r="A919" s="17" t="s">
        <v>2843</v>
      </c>
      <c r="B919" s="17" t="s">
        <v>70</v>
      </c>
      <c r="C919" s="17" t="s">
        <v>71</v>
      </c>
      <c r="D919" t="s">
        <v>2810</v>
      </c>
      <c r="F919" t="s">
        <v>2844</v>
      </c>
      <c r="K919" s="18">
        <f>6281917168838</f>
        <v>6281917168838</v>
      </c>
      <c r="N919" s="17" t="s">
        <v>77</v>
      </c>
      <c r="U919" s="17"/>
      <c r="V919" s="18">
        <f>6281917168838</f>
        <v>6281917168838</v>
      </c>
      <c r="W919" t="s">
        <v>2845</v>
      </c>
      <c r="Y919" s="17" t="s">
        <v>2846</v>
      </c>
    </row>
    <row r="920" ht="15" customHeight="1" spans="1:23" x14ac:dyDescent="0.25">
      <c r="A920" s="17" t="s">
        <v>2847</v>
      </c>
      <c r="B920" s="17" t="s">
        <v>70</v>
      </c>
      <c r="C920" s="17" t="s">
        <v>71</v>
      </c>
      <c r="D920" t="s">
        <v>2810</v>
      </c>
      <c r="F920" t="s">
        <v>2848</v>
      </c>
      <c r="K920" s="18">
        <f>6282281828888</f>
        <v>6282281828888</v>
      </c>
      <c r="N920" s="17" t="s">
        <v>77</v>
      </c>
      <c r="U920" s="17"/>
      <c r="V920" s="18">
        <f>6282281828888</f>
        <v>6282281828888</v>
      </c>
      <c r="W920" t="s">
        <v>2849</v>
      </c>
    </row>
    <row r="921" ht="15" customHeight="1" spans="1:22" x14ac:dyDescent="0.25">
      <c r="A921" s="17" t="s">
        <v>2850</v>
      </c>
      <c r="B921" s="17" t="s">
        <v>70</v>
      </c>
      <c r="C921" s="17" t="s">
        <v>71</v>
      </c>
      <c r="D921" t="s">
        <v>2810</v>
      </c>
      <c r="F921" t="s">
        <v>2851</v>
      </c>
      <c r="K921" s="18">
        <f>6281290926502</f>
        <v>6281290926502</v>
      </c>
      <c r="N921" s="17" t="s">
        <v>74</v>
      </c>
      <c r="V921" s="18">
        <f>6281290926502</f>
        <v>6281290926502</v>
      </c>
    </row>
    <row r="922" ht="15" customHeight="1" spans="1:22" x14ac:dyDescent="0.25">
      <c r="A922" s="17" t="s">
        <v>2852</v>
      </c>
      <c r="B922" s="17" t="s">
        <v>70</v>
      </c>
      <c r="C922" s="17" t="s">
        <v>71</v>
      </c>
      <c r="D922" t="s">
        <v>2810</v>
      </c>
      <c r="F922" t="s">
        <v>2853</v>
      </c>
      <c r="K922" s="18">
        <f>68126787102</f>
        <v>68126787102</v>
      </c>
      <c r="N922" s="17" t="s">
        <v>81</v>
      </c>
      <c r="V922" s="18">
        <f>68126787102</f>
        <v>68126787102</v>
      </c>
    </row>
    <row r="923" ht="15" customHeight="1" spans="1:23" x14ac:dyDescent="0.25">
      <c r="A923" s="17" t="s">
        <v>2854</v>
      </c>
      <c r="B923" s="17" t="s">
        <v>70</v>
      </c>
      <c r="C923" s="17" t="s">
        <v>71</v>
      </c>
      <c r="D923" t="s">
        <v>2855</v>
      </c>
      <c r="F923" t="s">
        <v>2856</v>
      </c>
      <c r="K923" s="18">
        <f>62811855700</f>
        <v>62811855700</v>
      </c>
      <c r="N923" s="17" t="s">
        <v>81</v>
      </c>
      <c r="U923" s="17"/>
      <c r="V923" s="18">
        <f>62811855700</f>
        <v>62811855700</v>
      </c>
      <c r="W923" t="s">
        <v>2857</v>
      </c>
    </row>
    <row r="924" ht="15" customHeight="1" spans="1:28" x14ac:dyDescent="0.25">
      <c r="A924" s="17" t="s">
        <v>2858</v>
      </c>
      <c r="B924" s="17" t="s">
        <v>70</v>
      </c>
      <c r="C924" s="17" t="s">
        <v>71</v>
      </c>
      <c r="D924" t="s">
        <v>2859</v>
      </c>
      <c r="F924" t="s">
        <v>2860</v>
      </c>
      <c r="J924" s="17" t="s">
        <v>2861</v>
      </c>
      <c r="K924" s="18" t="s">
        <v>2862</v>
      </c>
      <c r="N924" s="17" t="s">
        <v>77</v>
      </c>
      <c r="O924" t="s">
        <v>117</v>
      </c>
      <c r="U924" s="17"/>
      <c r="V924" s="18" t="s">
        <v>2862</v>
      </c>
      <c r="W924" t="s">
        <v>2863</v>
      </c>
      <c r="Y924" t="s">
        <v>90</v>
      </c>
      <c r="AA924" t="s">
        <v>118</v>
      </c>
      <c r="AB924" t="s">
        <v>119</v>
      </c>
    </row>
    <row r="925" ht="15" customHeight="1" spans="1:28" x14ac:dyDescent="0.25">
      <c r="A925" s="17" t="s">
        <v>2864</v>
      </c>
      <c r="B925" s="17" t="s">
        <v>70</v>
      </c>
      <c r="C925" s="17" t="s">
        <v>71</v>
      </c>
      <c r="D925" t="s">
        <v>2859</v>
      </c>
      <c r="F925" t="s">
        <v>2865</v>
      </c>
      <c r="J925" s="17" t="s">
        <v>2866</v>
      </c>
      <c r="K925" s="18" t="s">
        <v>2867</v>
      </c>
      <c r="N925" s="17" t="s">
        <v>77</v>
      </c>
      <c r="O925" t="s">
        <v>117</v>
      </c>
      <c r="V925" s="18" t="s">
        <v>2867</v>
      </c>
      <c r="Y925" t="s">
        <v>190</v>
      </c>
      <c r="AA925" t="s">
        <v>118</v>
      </c>
      <c r="AB925" t="s">
        <v>119</v>
      </c>
    </row>
    <row r="926" ht="15" customHeight="1" spans="1:23" x14ac:dyDescent="0.25">
      <c r="A926" s="17" t="s">
        <v>2868</v>
      </c>
      <c r="B926" s="17" t="s">
        <v>70</v>
      </c>
      <c r="C926" s="17" t="s">
        <v>71</v>
      </c>
      <c r="D926" t="s">
        <v>2859</v>
      </c>
      <c r="F926" t="s">
        <v>153</v>
      </c>
      <c r="K926" s="18">
        <f>628129989333</f>
        <v>628129989333</v>
      </c>
      <c r="N926" s="17" t="s">
        <v>77</v>
      </c>
      <c r="U926" s="17"/>
      <c r="V926" s="18">
        <f>628129989333</f>
        <v>628129989333</v>
      </c>
      <c r="W926" t="s">
        <v>2869</v>
      </c>
    </row>
    <row r="927" ht="15" customHeight="1" spans="1:25" x14ac:dyDescent="0.25">
      <c r="A927" s="17" t="s">
        <v>2870</v>
      </c>
      <c r="B927" s="17" t="s">
        <v>70</v>
      </c>
      <c r="C927" s="17" t="s">
        <v>71</v>
      </c>
      <c r="D927" t="s">
        <v>2871</v>
      </c>
      <c r="F927" t="s">
        <v>2872</v>
      </c>
      <c r="K927" s="18">
        <f>6282188552947</f>
        <v>6282188552947</v>
      </c>
      <c r="N927" s="17" t="s">
        <v>77</v>
      </c>
      <c r="U927" s="17"/>
      <c r="V927" s="18">
        <f>6282188552947</f>
        <v>6282188552947</v>
      </c>
      <c r="W927" t="s">
        <v>2873</v>
      </c>
      <c r="Y927" s="17" t="s">
        <v>96</v>
      </c>
    </row>
    <row r="928" ht="15" customHeight="1" spans="1:28" x14ac:dyDescent="0.25">
      <c r="A928" s="17" t="s">
        <v>2874</v>
      </c>
      <c r="B928" s="17" t="s">
        <v>70</v>
      </c>
      <c r="C928" s="17" t="s">
        <v>71</v>
      </c>
      <c r="D928" t="s">
        <v>2875</v>
      </c>
      <c r="F928" t="s">
        <v>2159</v>
      </c>
      <c r="J928" t="s">
        <v>115</v>
      </c>
      <c r="K928" s="18" t="s">
        <v>2876</v>
      </c>
      <c r="N928" s="17" t="s">
        <v>77</v>
      </c>
      <c r="O928" t="s">
        <v>199</v>
      </c>
      <c r="V928" s="18" t="s">
        <v>2876</v>
      </c>
      <c r="Y928" t="s">
        <v>2877</v>
      </c>
      <c r="AA928" t="s">
        <v>115</v>
      </c>
      <c r="AB928" t="s">
        <v>119</v>
      </c>
    </row>
    <row r="929" ht="15" customHeight="1" spans="1:25" x14ac:dyDescent="0.25">
      <c r="A929" s="17" t="s">
        <v>2878</v>
      </c>
      <c r="B929" s="17" t="s">
        <v>70</v>
      </c>
      <c r="C929" s="17" t="s">
        <v>71</v>
      </c>
      <c r="D929" t="s">
        <v>2875</v>
      </c>
      <c r="F929" t="s">
        <v>212</v>
      </c>
      <c r="K929" s="18">
        <f>6281584204577</f>
        <v>6281584204577</v>
      </c>
      <c r="N929" s="17" t="s">
        <v>77</v>
      </c>
      <c r="U929" s="17"/>
      <c r="V929" s="18">
        <f>6281584204577</f>
        <v>6281584204577</v>
      </c>
      <c r="W929" t="s">
        <v>2879</v>
      </c>
      <c r="Y929" s="17" t="s">
        <v>90</v>
      </c>
    </row>
    <row r="930" ht="15" customHeight="1" spans="1:28" x14ac:dyDescent="0.25">
      <c r="A930" s="17" t="s">
        <v>2880</v>
      </c>
      <c r="B930" s="17" t="s">
        <v>70</v>
      </c>
      <c r="C930" s="17" t="s">
        <v>71</v>
      </c>
      <c r="D930" t="s">
        <v>2875</v>
      </c>
      <c r="F930" t="s">
        <v>2881</v>
      </c>
      <c r="J930" t="s">
        <v>115</v>
      </c>
      <c r="K930" s="18" t="s">
        <v>2882</v>
      </c>
      <c r="N930" s="17" t="s">
        <v>77</v>
      </c>
      <c r="O930" t="s">
        <v>199</v>
      </c>
      <c r="U930" s="17"/>
      <c r="V930" s="18" t="s">
        <v>2882</v>
      </c>
      <c r="W930" t="s">
        <v>2883</v>
      </c>
      <c r="Y930" s="17" t="s">
        <v>90</v>
      </c>
      <c r="AA930" t="s">
        <v>118</v>
      </c>
      <c r="AB930" t="s">
        <v>119</v>
      </c>
    </row>
    <row r="931" ht="15" customHeight="1" spans="1:25" x14ac:dyDescent="0.25">
      <c r="A931" s="17" t="s">
        <v>2884</v>
      </c>
      <c r="B931" s="17" t="s">
        <v>70</v>
      </c>
      <c r="C931" s="17" t="s">
        <v>71</v>
      </c>
      <c r="D931" t="s">
        <v>2875</v>
      </c>
      <c r="F931" t="s">
        <v>2885</v>
      </c>
      <c r="J931" s="17" t="s">
        <v>2886</v>
      </c>
      <c r="K931" s="18">
        <f>62816607036</f>
        <v>62816607036</v>
      </c>
      <c r="N931" s="17" t="s">
        <v>77</v>
      </c>
      <c r="U931" s="17"/>
      <c r="V931" s="18">
        <f>62816607036</f>
        <v>62816607036</v>
      </c>
      <c r="W931" t="s">
        <v>2887</v>
      </c>
      <c r="Y931" s="17" t="s">
        <v>500</v>
      </c>
    </row>
    <row r="932" ht="15" customHeight="1" spans="1:28" x14ac:dyDescent="0.25">
      <c r="A932" s="17" t="s">
        <v>2888</v>
      </c>
      <c r="B932" s="17" t="s">
        <v>70</v>
      </c>
      <c r="C932" s="17" t="s">
        <v>71</v>
      </c>
      <c r="D932" t="s">
        <v>2875</v>
      </c>
      <c r="F932" t="s">
        <v>282</v>
      </c>
      <c r="J932" t="s">
        <v>115</v>
      </c>
      <c r="K932" s="18" t="s">
        <v>2889</v>
      </c>
      <c r="N932" s="17" t="s">
        <v>77</v>
      </c>
      <c r="O932" t="s">
        <v>117</v>
      </c>
      <c r="U932" s="17"/>
      <c r="V932" s="18" t="s">
        <v>2889</v>
      </c>
      <c r="W932" t="s">
        <v>2890</v>
      </c>
      <c r="Y932" s="17" t="s">
        <v>190</v>
      </c>
      <c r="AA932" t="s">
        <v>118</v>
      </c>
      <c r="AB932" t="s">
        <v>119</v>
      </c>
    </row>
    <row r="933" ht="15" customHeight="1" spans="1:22" x14ac:dyDescent="0.25">
      <c r="A933" s="17" t="s">
        <v>2891</v>
      </c>
      <c r="B933" s="17" t="s">
        <v>70</v>
      </c>
      <c r="C933" s="17" t="s">
        <v>71</v>
      </c>
      <c r="D933" t="s">
        <v>2875</v>
      </c>
      <c r="F933" t="s">
        <v>2892</v>
      </c>
      <c r="K933" s="18">
        <f>6281293577763</f>
        <v>6281293577763</v>
      </c>
      <c r="N933" s="17" t="s">
        <v>77</v>
      </c>
      <c r="V933" s="18">
        <f>6281293577763</f>
        <v>6281293577763</v>
      </c>
    </row>
    <row r="934" ht="15" customHeight="1" spans="1:25" x14ac:dyDescent="0.25">
      <c r="A934" s="17" t="s">
        <v>2893</v>
      </c>
      <c r="B934" s="17" t="s">
        <v>70</v>
      </c>
      <c r="C934" s="17" t="s">
        <v>71</v>
      </c>
      <c r="D934" t="s">
        <v>2875</v>
      </c>
      <c r="F934" t="s">
        <v>2894</v>
      </c>
      <c r="K934" s="18">
        <f>62818881103</f>
        <v>62818881103</v>
      </c>
      <c r="N934" s="17" t="s">
        <v>77</v>
      </c>
      <c r="U934" s="17"/>
      <c r="V934" s="18">
        <f>62818881103</f>
        <v>62818881103</v>
      </c>
      <c r="W934" t="s">
        <v>2895</v>
      </c>
      <c r="Y934" s="17" t="s">
        <v>90</v>
      </c>
    </row>
    <row r="935" ht="15" customHeight="1" spans="1:22" x14ac:dyDescent="0.25">
      <c r="A935" s="17" t="s">
        <v>2896</v>
      </c>
      <c r="B935" s="17" t="s">
        <v>70</v>
      </c>
      <c r="C935" s="17" t="s">
        <v>71</v>
      </c>
      <c r="D935" t="s">
        <v>2875</v>
      </c>
      <c r="F935" t="s">
        <v>2897</v>
      </c>
      <c r="J935" s="17" t="s">
        <v>2898</v>
      </c>
      <c r="K935" s="18">
        <f>6281283870088</f>
        <v>6281283870088</v>
      </c>
      <c r="N935" s="17" t="s">
        <v>77</v>
      </c>
      <c r="V935" s="18">
        <f>6281283870088</f>
        <v>6281283870088</v>
      </c>
    </row>
    <row r="936" ht="15" customHeight="1" spans="1:22" x14ac:dyDescent="0.25">
      <c r="A936" s="17" t="s">
        <v>2899</v>
      </c>
      <c r="B936" s="17" t="s">
        <v>70</v>
      </c>
      <c r="C936" s="17" t="s">
        <v>71</v>
      </c>
      <c r="D936" t="s">
        <v>2900</v>
      </c>
      <c r="F936" t="s">
        <v>2900</v>
      </c>
      <c r="K936" s="18">
        <f>62819880982</f>
        <v>62819880982</v>
      </c>
      <c r="N936" s="17" t="s">
        <v>77</v>
      </c>
      <c r="V936" s="18">
        <f>62819880982</f>
        <v>62819880982</v>
      </c>
    </row>
    <row r="937" ht="15" customHeight="1" spans="1:22" x14ac:dyDescent="0.25">
      <c r="A937" s="17" t="s">
        <v>2901</v>
      </c>
      <c r="B937" s="17" t="s">
        <v>70</v>
      </c>
      <c r="C937" s="17" t="s">
        <v>71</v>
      </c>
      <c r="D937" t="s">
        <v>2900</v>
      </c>
      <c r="F937" t="s">
        <v>196</v>
      </c>
      <c r="K937" s="18">
        <f>6281807708868</f>
        <v>6281807708868</v>
      </c>
      <c r="N937" s="17" t="s">
        <v>81</v>
      </c>
      <c r="V937" s="18">
        <f>6281807708868</f>
        <v>6281807708868</v>
      </c>
    </row>
    <row r="938" ht="15" customHeight="1" spans="1:22" x14ac:dyDescent="0.25">
      <c r="A938" s="17" t="s">
        <v>2902</v>
      </c>
      <c r="B938" s="17" t="s">
        <v>70</v>
      </c>
      <c r="C938" s="17" t="s">
        <v>71</v>
      </c>
      <c r="D938" t="s">
        <v>2900</v>
      </c>
      <c r="F938" t="s">
        <v>2903</v>
      </c>
      <c r="K938" s="18">
        <f>628161468636</f>
        <v>628161468636</v>
      </c>
      <c r="N938" s="17" t="s">
        <v>77</v>
      </c>
      <c r="V938" s="18">
        <f>628161468636</f>
        <v>628161468636</v>
      </c>
    </row>
    <row r="939" ht="15" customHeight="1" spans="1:22" x14ac:dyDescent="0.25">
      <c r="A939" s="17" t="s">
        <v>2904</v>
      </c>
      <c r="B939" s="17" t="s">
        <v>70</v>
      </c>
      <c r="C939" s="17" t="s">
        <v>71</v>
      </c>
      <c r="D939" t="s">
        <v>2900</v>
      </c>
      <c r="F939" t="s">
        <v>2905</v>
      </c>
      <c r="J939" s="17" t="s">
        <v>2906</v>
      </c>
      <c r="K939" s="18">
        <f>62818661616</f>
        <v>62818661616</v>
      </c>
      <c r="N939" s="17" t="s">
        <v>81</v>
      </c>
      <c r="V939" s="18">
        <f>62818661616</f>
        <v>62818661616</v>
      </c>
    </row>
    <row r="940" ht="15" customHeight="1" spans="1:22" x14ac:dyDescent="0.25">
      <c r="A940" s="17" t="s">
        <v>2907</v>
      </c>
      <c r="B940" s="17" t="s">
        <v>70</v>
      </c>
      <c r="C940" s="17" t="s">
        <v>71</v>
      </c>
      <c r="D940" t="s">
        <v>2908</v>
      </c>
      <c r="F940" t="s">
        <v>2909</v>
      </c>
      <c r="K940" s="18">
        <f>6212376909010</f>
        <v>6212376909010</v>
      </c>
      <c r="N940" s="17" t="s">
        <v>77</v>
      </c>
      <c r="V940" s="18">
        <f>6212376909010</f>
        <v>6212376909010</v>
      </c>
    </row>
    <row r="941" ht="15" customHeight="1" spans="1:23" x14ac:dyDescent="0.25">
      <c r="A941" s="17" t="s">
        <v>2910</v>
      </c>
      <c r="B941" s="17" t="s">
        <v>70</v>
      </c>
      <c r="C941" s="17" t="s">
        <v>71</v>
      </c>
      <c r="D941" t="s">
        <v>2911</v>
      </c>
      <c r="F941" t="s">
        <v>2912</v>
      </c>
      <c r="J941" s="17" t="s">
        <v>2913</v>
      </c>
      <c r="K941" s="18">
        <f>380637080808</f>
        <v>380637080808</v>
      </c>
      <c r="N941" s="17" t="s">
        <v>77</v>
      </c>
      <c r="U941" s="17"/>
      <c r="V941" s="18">
        <f>380637080808</f>
        <v>380637080808</v>
      </c>
      <c r="W941" t="s">
        <v>2914</v>
      </c>
    </row>
    <row r="942" ht="15" customHeight="1" spans="1:27" x14ac:dyDescent="0.25">
      <c r="A942" s="17" t="s">
        <v>2915</v>
      </c>
      <c r="B942" s="17" t="s">
        <v>70</v>
      </c>
      <c r="C942" s="17" t="s">
        <v>71</v>
      </c>
      <c r="D942" t="s">
        <v>2916</v>
      </c>
      <c r="F942" t="s">
        <v>2916</v>
      </c>
      <c r="K942" s="18">
        <f>62816797115</f>
        <v>62816797115</v>
      </c>
      <c r="N942" s="17" t="s">
        <v>77</v>
      </c>
      <c r="U942" s="17"/>
      <c r="V942" s="18">
        <f>62816797115</f>
        <v>62816797115</v>
      </c>
      <c r="W942" t="s">
        <v>2917</v>
      </c>
      <c r="Y942" s="17" t="s">
        <v>378</v>
      </c>
      <c r="AA942" s="17" t="s">
        <v>2918</v>
      </c>
    </row>
    <row r="943" ht="15" customHeight="1" spans="1:22" x14ac:dyDescent="0.25">
      <c r="A943" s="17" t="s">
        <v>2919</v>
      </c>
      <c r="B943" s="17" t="s">
        <v>70</v>
      </c>
      <c r="C943" s="17" t="s">
        <v>71</v>
      </c>
      <c r="D943" t="s">
        <v>2916</v>
      </c>
      <c r="F943" t="s">
        <v>2916</v>
      </c>
      <c r="K943" s="18">
        <f>6281310076502</f>
        <v>6281310076502</v>
      </c>
      <c r="N943" s="17" t="s">
        <v>81</v>
      </c>
      <c r="V943" s="18">
        <f>6281310076502</f>
        <v>6281310076502</v>
      </c>
    </row>
    <row r="944" ht="15" customHeight="1" spans="1:28" x14ac:dyDescent="0.25">
      <c r="A944" s="17" t="s">
        <v>2920</v>
      </c>
      <c r="B944" s="17" t="s">
        <v>70</v>
      </c>
      <c r="C944" s="17" t="s">
        <v>71</v>
      </c>
      <c r="D944" t="s">
        <v>2916</v>
      </c>
      <c r="F944" t="s">
        <v>2916</v>
      </c>
      <c r="J944" t="s">
        <v>115</v>
      </c>
      <c r="K944" s="18" t="s">
        <v>2921</v>
      </c>
      <c r="N944" s="17" t="s">
        <v>81</v>
      </c>
      <c r="O944" t="s">
        <v>117</v>
      </c>
      <c r="V944" s="18" t="s">
        <v>2921</v>
      </c>
      <c r="Y944" t="s">
        <v>190</v>
      </c>
      <c r="AA944" t="s">
        <v>118</v>
      </c>
      <c r="AB944" t="s">
        <v>119</v>
      </c>
    </row>
    <row r="945" ht="15" customHeight="1" spans="1:28" x14ac:dyDescent="0.25">
      <c r="A945" s="17" t="s">
        <v>2922</v>
      </c>
      <c r="B945" s="17" t="s">
        <v>70</v>
      </c>
      <c r="C945" s="17" t="s">
        <v>71</v>
      </c>
      <c r="D945" t="s">
        <v>2916</v>
      </c>
      <c r="F945" t="s">
        <v>2923</v>
      </c>
      <c r="J945" t="s">
        <v>115</v>
      </c>
      <c r="K945" s="18" t="s">
        <v>2924</v>
      </c>
      <c r="N945" s="17" t="s">
        <v>77</v>
      </c>
      <c r="O945" t="s">
        <v>199</v>
      </c>
      <c r="V945" s="18" t="s">
        <v>2924</v>
      </c>
      <c r="Y945" s="17" t="s">
        <v>2500</v>
      </c>
      <c r="AA945" t="s">
        <v>115</v>
      </c>
      <c r="AB945" t="s">
        <v>2500</v>
      </c>
    </row>
    <row r="946" ht="15" customHeight="1" spans="1:23" x14ac:dyDescent="0.25">
      <c r="A946" s="17" t="s">
        <v>2925</v>
      </c>
      <c r="B946" s="17" t="s">
        <v>70</v>
      </c>
      <c r="C946" s="17" t="s">
        <v>71</v>
      </c>
      <c r="D946" t="s">
        <v>2916</v>
      </c>
      <c r="F946" t="s">
        <v>1972</v>
      </c>
      <c r="K946" s="18">
        <f>61432250015</f>
        <v>61432250015</v>
      </c>
      <c r="N946" s="17" t="s">
        <v>77</v>
      </c>
      <c r="U946" s="17"/>
      <c r="V946" s="18">
        <f>61432250015</f>
        <v>61432250015</v>
      </c>
      <c r="W946" t="s">
        <v>1903</v>
      </c>
    </row>
    <row r="947" ht="15" customHeight="1" spans="1:25" x14ac:dyDescent="0.25">
      <c r="A947" s="17" t="s">
        <v>2926</v>
      </c>
      <c r="B947" s="17" t="s">
        <v>70</v>
      </c>
      <c r="C947" s="17" t="s">
        <v>71</v>
      </c>
      <c r="D947" t="s">
        <v>2916</v>
      </c>
      <c r="F947" t="s">
        <v>2927</v>
      </c>
      <c r="J947" s="17" t="s">
        <v>2928</v>
      </c>
      <c r="K947" s="18">
        <f>628118000970</f>
        <v>628118000970</v>
      </c>
      <c r="N947" s="17" t="s">
        <v>77</v>
      </c>
      <c r="U947" s="17"/>
      <c r="V947" s="18">
        <f>628118000970</f>
        <v>628118000970</v>
      </c>
      <c r="W947" t="s">
        <v>2929</v>
      </c>
      <c r="Y947" s="17" t="s">
        <v>2930</v>
      </c>
    </row>
    <row r="948" ht="15" customHeight="1" spans="1:28" x14ac:dyDescent="0.25">
      <c r="A948" s="17" t="s">
        <v>2931</v>
      </c>
      <c r="B948" s="17" t="s">
        <v>70</v>
      </c>
      <c r="C948" s="17" t="s">
        <v>71</v>
      </c>
      <c r="D948" t="s">
        <v>2916</v>
      </c>
      <c r="F948" t="s">
        <v>2932</v>
      </c>
      <c r="J948" t="s">
        <v>115</v>
      </c>
      <c r="K948" s="18" t="s">
        <v>2933</v>
      </c>
      <c r="N948" s="17" t="s">
        <v>77</v>
      </c>
      <c r="O948" t="s">
        <v>117</v>
      </c>
      <c r="U948" s="17"/>
      <c r="V948" s="18" t="s">
        <v>2933</v>
      </c>
      <c r="W948" t="s">
        <v>2934</v>
      </c>
      <c r="Y948" t="s">
        <v>90</v>
      </c>
      <c r="AA948" t="s">
        <v>118</v>
      </c>
      <c r="AB948" t="s">
        <v>119</v>
      </c>
    </row>
    <row r="949" ht="15" customHeight="1" spans="1:22" x14ac:dyDescent="0.25">
      <c r="A949" s="17" t="s">
        <v>2935</v>
      </c>
      <c r="B949" s="17" t="s">
        <v>70</v>
      </c>
      <c r="C949" s="17" t="s">
        <v>71</v>
      </c>
      <c r="D949" t="s">
        <v>2916</v>
      </c>
      <c r="F949" t="s">
        <v>2936</v>
      </c>
      <c r="K949" s="18">
        <f>6287770630888</f>
        <v>6287770630888</v>
      </c>
      <c r="N949" s="17" t="s">
        <v>77</v>
      </c>
      <c r="V949" s="18">
        <f>6287770630888</f>
        <v>6287770630888</v>
      </c>
    </row>
    <row r="950" ht="15" customHeight="1" spans="1:28" x14ac:dyDescent="0.25">
      <c r="A950" s="17" t="s">
        <v>2937</v>
      </c>
      <c r="B950" s="17" t="s">
        <v>70</v>
      </c>
      <c r="C950" s="17" t="s">
        <v>71</v>
      </c>
      <c r="D950" t="s">
        <v>2916</v>
      </c>
      <c r="F950" t="s">
        <v>2938</v>
      </c>
      <c r="J950" s="17" t="s">
        <v>2939</v>
      </c>
      <c r="K950" s="18" t="s">
        <v>2940</v>
      </c>
      <c r="N950" s="17" t="s">
        <v>77</v>
      </c>
      <c r="O950" t="s">
        <v>145</v>
      </c>
      <c r="U950" s="17"/>
      <c r="V950" s="18" t="s">
        <v>2940</v>
      </c>
      <c r="W950" t="s">
        <v>2941</v>
      </c>
      <c r="Y950" t="s">
        <v>96</v>
      </c>
      <c r="AA950" t="s">
        <v>693</v>
      </c>
      <c r="AB950" t="s">
        <v>119</v>
      </c>
    </row>
    <row r="951" ht="15" customHeight="1" spans="1:28" x14ac:dyDescent="0.25">
      <c r="A951" s="17" t="s">
        <v>2942</v>
      </c>
      <c r="B951" s="17" t="s">
        <v>70</v>
      </c>
      <c r="C951" s="17" t="s">
        <v>71</v>
      </c>
      <c r="D951" t="s">
        <v>2916</v>
      </c>
      <c r="F951" t="s">
        <v>2943</v>
      </c>
      <c r="J951" t="s">
        <v>115</v>
      </c>
      <c r="K951" s="18" t="s">
        <v>2944</v>
      </c>
      <c r="N951" s="17" t="s">
        <v>77</v>
      </c>
      <c r="O951" t="s">
        <v>145</v>
      </c>
      <c r="U951" s="17"/>
      <c r="V951" s="18" t="s">
        <v>2944</v>
      </c>
      <c r="W951" t="s">
        <v>2945</v>
      </c>
      <c r="Y951" s="17" t="s">
        <v>90</v>
      </c>
      <c r="AA951" t="s">
        <v>118</v>
      </c>
      <c r="AB951" t="s">
        <v>119</v>
      </c>
    </row>
    <row r="952" ht="15" customHeight="1" spans="1:22" x14ac:dyDescent="0.25">
      <c r="A952" s="17" t="s">
        <v>2946</v>
      </c>
      <c r="B952" s="17" t="s">
        <v>70</v>
      </c>
      <c r="C952" s="17" t="s">
        <v>71</v>
      </c>
      <c r="D952" t="s">
        <v>2916</v>
      </c>
      <c r="F952" t="s">
        <v>2947</v>
      </c>
      <c r="K952" s="18">
        <f>62813801843133</f>
        <v>62813801843133</v>
      </c>
      <c r="N952" s="17" t="s">
        <v>77</v>
      </c>
      <c r="V952" s="18">
        <f>62813801843133</f>
        <v>62813801843133</v>
      </c>
    </row>
    <row r="953" ht="15" customHeight="1" spans="1:22" x14ac:dyDescent="0.25">
      <c r="A953" s="17" t="s">
        <v>2948</v>
      </c>
      <c r="B953" s="17" t="s">
        <v>70</v>
      </c>
      <c r="C953" s="17" t="s">
        <v>71</v>
      </c>
      <c r="D953" t="s">
        <v>2916</v>
      </c>
      <c r="F953" t="s">
        <v>2949</v>
      </c>
      <c r="K953" s="18">
        <f>6281398556677</f>
        <v>6281398556677</v>
      </c>
      <c r="N953" s="17" t="s">
        <v>77</v>
      </c>
      <c r="V953" s="18">
        <f>6281398556677</f>
        <v>6281398556677</v>
      </c>
    </row>
    <row r="954" ht="15" customHeight="1" spans="1:25" x14ac:dyDescent="0.25">
      <c r="A954" s="17" t="s">
        <v>2950</v>
      </c>
      <c r="B954" s="17" t="s">
        <v>70</v>
      </c>
      <c r="C954" s="17" t="s">
        <v>71</v>
      </c>
      <c r="D954" t="s">
        <v>2916</v>
      </c>
      <c r="F954" t="s">
        <v>2951</v>
      </c>
      <c r="K954" s="18">
        <f>6282111164397</f>
        <v>6282111164397</v>
      </c>
      <c r="N954" s="17" t="s">
        <v>81</v>
      </c>
      <c r="U954" s="17"/>
      <c r="V954" s="18">
        <f>6282111164397</f>
        <v>6282111164397</v>
      </c>
      <c r="W954" t="s">
        <v>2952</v>
      </c>
      <c r="Y954" s="17" t="s">
        <v>2953</v>
      </c>
    </row>
    <row r="955" ht="15" customHeight="1" spans="1:22" x14ac:dyDescent="0.25">
      <c r="A955" s="17" t="s">
        <v>2954</v>
      </c>
      <c r="B955" s="17" t="s">
        <v>70</v>
      </c>
      <c r="C955" s="17" t="s">
        <v>71</v>
      </c>
      <c r="D955" t="s">
        <v>2916</v>
      </c>
      <c r="F955" t="s">
        <v>2955</v>
      </c>
      <c r="K955" s="18">
        <f>6285711330888</f>
        <v>6285711330888</v>
      </c>
      <c r="N955" s="17" t="s">
        <v>77</v>
      </c>
      <c r="V955" s="18">
        <f>6285711330888</f>
        <v>6285711330888</v>
      </c>
    </row>
    <row r="956" ht="15" customHeight="1" spans="1:28" x14ac:dyDescent="0.25">
      <c r="A956" s="17" t="s">
        <v>2956</v>
      </c>
      <c r="B956" s="17" t="s">
        <v>70</v>
      </c>
      <c r="C956" s="17" t="s">
        <v>71</v>
      </c>
      <c r="D956" t="s">
        <v>2916</v>
      </c>
      <c r="F956" t="s">
        <v>2957</v>
      </c>
      <c r="J956" t="s">
        <v>115</v>
      </c>
      <c r="K956" s="18" t="s">
        <v>2958</v>
      </c>
      <c r="N956" s="17" t="s">
        <v>74</v>
      </c>
      <c r="O956" t="s">
        <v>145</v>
      </c>
      <c r="U956" s="17"/>
      <c r="V956" s="18" t="s">
        <v>2958</v>
      </c>
      <c r="W956" t="s">
        <v>500</v>
      </c>
      <c r="Y956" s="17" t="s">
        <v>500</v>
      </c>
      <c r="AA956" t="s">
        <v>501</v>
      </c>
      <c r="AB956" t="s">
        <v>119</v>
      </c>
    </row>
    <row r="957" ht="15" customHeight="1" spans="1:28" x14ac:dyDescent="0.25">
      <c r="A957" s="17" t="s">
        <v>2959</v>
      </c>
      <c r="B957" s="17" t="s">
        <v>70</v>
      </c>
      <c r="C957" s="17" t="s">
        <v>71</v>
      </c>
      <c r="D957" t="s">
        <v>2960</v>
      </c>
      <c r="F957" t="s">
        <v>2961</v>
      </c>
      <c r="J957" t="s">
        <v>115</v>
      </c>
      <c r="K957" s="18" t="s">
        <v>2962</v>
      </c>
      <c r="N957" s="17" t="s">
        <v>77</v>
      </c>
      <c r="O957" t="s">
        <v>199</v>
      </c>
      <c r="V957" s="18" t="s">
        <v>2962</v>
      </c>
      <c r="Y957" t="s">
        <v>115</v>
      </c>
      <c r="AA957" t="s">
        <v>115</v>
      </c>
      <c r="AB957" t="s">
        <v>1903</v>
      </c>
    </row>
    <row r="958" ht="15" customHeight="1" spans="1:22" x14ac:dyDescent="0.25">
      <c r="A958" s="17" t="s">
        <v>2963</v>
      </c>
      <c r="B958" s="17" t="s">
        <v>70</v>
      </c>
      <c r="C958" s="17" t="s">
        <v>71</v>
      </c>
      <c r="D958" t="s">
        <v>2916</v>
      </c>
      <c r="F958" t="s">
        <v>669</v>
      </c>
      <c r="K958" s="18">
        <f>6281223830231</f>
        <v>6281223830231</v>
      </c>
      <c r="N958" s="17" t="s">
        <v>77</v>
      </c>
      <c r="V958" s="18">
        <f>6281223830231</f>
        <v>6281223830231</v>
      </c>
    </row>
    <row r="959" ht="15" customHeight="1" spans="1:23" x14ac:dyDescent="0.25">
      <c r="A959" s="17" t="s">
        <v>2964</v>
      </c>
      <c r="B959" s="17" t="s">
        <v>70</v>
      </c>
      <c r="C959" s="17" t="s">
        <v>71</v>
      </c>
      <c r="D959" t="s">
        <v>2916</v>
      </c>
      <c r="F959" t="s">
        <v>2965</v>
      </c>
      <c r="K959" s="18">
        <f>6281399009119</f>
        <v>6281399009119</v>
      </c>
      <c r="N959" s="17" t="s">
        <v>81</v>
      </c>
      <c r="U959" s="17"/>
      <c r="V959" s="18">
        <f>6281399009119</f>
        <v>6281399009119</v>
      </c>
      <c r="W959" t="s">
        <v>2966</v>
      </c>
    </row>
    <row r="960" ht="15" customHeight="1" spans="1:22" x14ac:dyDescent="0.25">
      <c r="A960" s="17" t="s">
        <v>2967</v>
      </c>
      <c r="B960" s="17" t="s">
        <v>70</v>
      </c>
      <c r="C960" s="17" t="s">
        <v>71</v>
      </c>
      <c r="D960" t="s">
        <v>2916</v>
      </c>
      <c r="F960" t="s">
        <v>2968</v>
      </c>
      <c r="K960" s="18">
        <f>6281381915856</f>
        <v>6281381915856</v>
      </c>
      <c r="N960" s="17" t="s">
        <v>81</v>
      </c>
      <c r="V960" s="18">
        <f>6281381915856</f>
        <v>6281381915856</v>
      </c>
    </row>
    <row r="961" ht="15" customHeight="1" spans="1:22" x14ac:dyDescent="0.25">
      <c r="A961" s="17" t="s">
        <v>2969</v>
      </c>
      <c r="B961" s="17" t="s">
        <v>70</v>
      </c>
      <c r="C961" s="17" t="s">
        <v>71</v>
      </c>
      <c r="D961" t="s">
        <v>2916</v>
      </c>
      <c r="F961" t="s">
        <v>2970</v>
      </c>
      <c r="K961" s="18">
        <f>6281510364700</f>
        <v>6281510364700</v>
      </c>
      <c r="N961" s="17" t="s">
        <v>77</v>
      </c>
      <c r="V961" s="18">
        <f>6281510364700</f>
        <v>6281510364700</v>
      </c>
    </row>
    <row r="962" ht="15" customHeight="1" spans="1:22" x14ac:dyDescent="0.25">
      <c r="A962" s="17" t="s">
        <v>2971</v>
      </c>
      <c r="B962" s="17" t="s">
        <v>70</v>
      </c>
      <c r="C962" s="17" t="s">
        <v>71</v>
      </c>
      <c r="D962" t="s">
        <v>2916</v>
      </c>
      <c r="F962" t="s">
        <v>2897</v>
      </c>
      <c r="K962" s="18">
        <f>628128809816</f>
        <v>628128809816</v>
      </c>
      <c r="N962" s="17" t="s">
        <v>77</v>
      </c>
      <c r="V962" s="18">
        <f>628128809816</f>
        <v>628128809816</v>
      </c>
    </row>
    <row r="963" ht="15" customHeight="1" spans="1:22" x14ac:dyDescent="0.25">
      <c r="A963" s="17" t="s">
        <v>2972</v>
      </c>
      <c r="B963" s="17" t="s">
        <v>70</v>
      </c>
      <c r="C963" s="17" t="s">
        <v>71</v>
      </c>
      <c r="D963" t="s">
        <v>2916</v>
      </c>
      <c r="F963" t="s">
        <v>2897</v>
      </c>
      <c r="J963" s="17" t="s">
        <v>2973</v>
      </c>
      <c r="K963" s="18">
        <f>6281283809816</f>
        <v>6281283809816</v>
      </c>
      <c r="N963" s="17" t="s">
        <v>77</v>
      </c>
      <c r="V963" s="18">
        <f>6281283809816</f>
        <v>6281283809816</v>
      </c>
    </row>
    <row r="964" ht="15" customHeight="1" spans="1:22" x14ac:dyDescent="0.25">
      <c r="A964" s="17" t="s">
        <v>2974</v>
      </c>
      <c r="B964" s="17" t="s">
        <v>70</v>
      </c>
      <c r="C964" s="17" t="s">
        <v>71</v>
      </c>
      <c r="D964" t="s">
        <v>2975</v>
      </c>
      <c r="F964" t="s">
        <v>2976</v>
      </c>
      <c r="K964" s="18">
        <f>6281218601118</f>
        <v>6281218601118</v>
      </c>
      <c r="N964" s="17" t="s">
        <v>74</v>
      </c>
      <c r="V964" s="18">
        <f>6281218601118</f>
        <v>6281218601118</v>
      </c>
    </row>
    <row r="965" ht="15" customHeight="1" spans="1:22" x14ac:dyDescent="0.25">
      <c r="A965" s="17" t="s">
        <v>2977</v>
      </c>
      <c r="B965" s="17" t="s">
        <v>70</v>
      </c>
      <c r="C965" s="17" t="s">
        <v>71</v>
      </c>
      <c r="D965" t="s">
        <v>2978</v>
      </c>
      <c r="F965" t="s">
        <v>2978</v>
      </c>
      <c r="K965" s="18">
        <f>6281510708118</f>
        <v>6281510708118</v>
      </c>
      <c r="N965" s="17" t="s">
        <v>81</v>
      </c>
      <c r="V965" s="18">
        <f>6281510708118</f>
        <v>6281510708118</v>
      </c>
    </row>
    <row r="966" ht="15" customHeight="1" spans="1:22" x14ac:dyDescent="0.25">
      <c r="A966" s="17" t="s">
        <v>2979</v>
      </c>
      <c r="B966" s="17" t="s">
        <v>70</v>
      </c>
      <c r="C966" s="17" t="s">
        <v>71</v>
      </c>
      <c r="D966" t="s">
        <v>2978</v>
      </c>
      <c r="F966" t="s">
        <v>2978</v>
      </c>
      <c r="K966" s="18">
        <f>628569923427</f>
        <v>628569923427</v>
      </c>
      <c r="N966" s="17" t="s">
        <v>81</v>
      </c>
      <c r="V966" s="18">
        <f>628569923427</f>
        <v>628569923427</v>
      </c>
    </row>
    <row r="967" ht="15" customHeight="1" spans="1:22" x14ac:dyDescent="0.25">
      <c r="A967" s="17" t="s">
        <v>2980</v>
      </c>
      <c r="B967" s="17" t="s">
        <v>70</v>
      </c>
      <c r="C967" s="17" t="s">
        <v>71</v>
      </c>
      <c r="D967" t="s">
        <v>2978</v>
      </c>
      <c r="F967" t="s">
        <v>2978</v>
      </c>
      <c r="K967" s="18">
        <f>62819880404</f>
        <v>62819880404</v>
      </c>
      <c r="N967" s="17" t="s">
        <v>77</v>
      </c>
      <c r="V967" s="18">
        <f>62819880404</f>
        <v>62819880404</v>
      </c>
    </row>
    <row r="968" ht="15" customHeight="1" spans="1:22" x14ac:dyDescent="0.25">
      <c r="A968" s="17" t="s">
        <v>2981</v>
      </c>
      <c r="B968" s="17" t="s">
        <v>70</v>
      </c>
      <c r="C968" s="17" t="s">
        <v>71</v>
      </c>
      <c r="D968" t="s">
        <v>2978</v>
      </c>
      <c r="F968" t="s">
        <v>2978</v>
      </c>
      <c r="K968" s="18">
        <f>6281117777705</f>
        <v>6281117777705</v>
      </c>
      <c r="N968" s="17" t="s">
        <v>77</v>
      </c>
      <c r="V968" s="18">
        <f>6281117777705</f>
        <v>6281117777705</v>
      </c>
    </row>
    <row r="969" ht="15" customHeight="1" spans="1:25" x14ac:dyDescent="0.25">
      <c r="A969" s="17" t="s">
        <v>2982</v>
      </c>
      <c r="B969" s="17" t="s">
        <v>70</v>
      </c>
      <c r="C969" s="17" t="s">
        <v>71</v>
      </c>
      <c r="D969" t="s">
        <v>2978</v>
      </c>
      <c r="F969" t="s">
        <v>2983</v>
      </c>
      <c r="J969" s="17" t="s">
        <v>2984</v>
      </c>
      <c r="K969" s="18">
        <f>62811102002</f>
        <v>62811102002</v>
      </c>
      <c r="N969" s="17" t="s">
        <v>77</v>
      </c>
      <c r="U969" s="17"/>
      <c r="V969" s="18">
        <f>62811102002</f>
        <v>62811102002</v>
      </c>
      <c r="W969" t="s">
        <v>2985</v>
      </c>
      <c r="Y969" t="s">
        <v>217</v>
      </c>
    </row>
    <row r="970" ht="15" customHeight="1" spans="1:22" x14ac:dyDescent="0.25">
      <c r="A970" s="17" t="s">
        <v>2986</v>
      </c>
      <c r="B970" s="17" t="s">
        <v>70</v>
      </c>
      <c r="C970" s="17" t="s">
        <v>71</v>
      </c>
      <c r="D970" t="s">
        <v>2978</v>
      </c>
      <c r="F970" t="s">
        <v>2987</v>
      </c>
      <c r="K970" s="18">
        <f>6281519167514</f>
        <v>6281519167514</v>
      </c>
      <c r="N970" s="17" t="s">
        <v>77</v>
      </c>
      <c r="V970" s="18">
        <f>6281519167514</f>
        <v>6281519167514</v>
      </c>
    </row>
    <row r="971" ht="15" customHeight="1" spans="1:22" x14ac:dyDescent="0.25">
      <c r="A971" s="17" t="s">
        <v>2988</v>
      </c>
      <c r="B971" s="17" t="s">
        <v>70</v>
      </c>
      <c r="C971" s="17" t="s">
        <v>71</v>
      </c>
      <c r="D971" t="s">
        <v>2978</v>
      </c>
      <c r="F971" t="s">
        <v>2989</v>
      </c>
      <c r="K971" s="18">
        <f>628123845588</f>
        <v>628123845588</v>
      </c>
      <c r="N971" s="17" t="s">
        <v>77</v>
      </c>
      <c r="V971" s="18">
        <f>628123845588</f>
        <v>628123845588</v>
      </c>
    </row>
    <row r="972" ht="15" customHeight="1" spans="1:22" x14ac:dyDescent="0.25">
      <c r="A972" s="17" t="s">
        <v>2990</v>
      </c>
      <c r="B972" s="17" t="s">
        <v>70</v>
      </c>
      <c r="C972" s="17" t="s">
        <v>71</v>
      </c>
      <c r="D972" t="s">
        <v>2978</v>
      </c>
      <c r="F972" t="s">
        <v>2991</v>
      </c>
      <c r="K972" s="18">
        <f>62811223317</f>
        <v>62811223317</v>
      </c>
      <c r="N972" s="17" t="s">
        <v>77</v>
      </c>
      <c r="V972" s="18">
        <f>62811223317</f>
        <v>62811223317</v>
      </c>
    </row>
    <row r="973" ht="15" customHeight="1" spans="1:22" x14ac:dyDescent="0.25">
      <c r="A973" s="17" t="s">
        <v>2992</v>
      </c>
      <c r="B973" s="17" t="s">
        <v>70</v>
      </c>
      <c r="C973" s="17" t="s">
        <v>71</v>
      </c>
      <c r="D973" t="s">
        <v>2978</v>
      </c>
      <c r="F973" t="s">
        <v>301</v>
      </c>
      <c r="K973" s="18">
        <f>628129999956</f>
        <v>628129999956</v>
      </c>
      <c r="N973" s="17" t="s">
        <v>77</v>
      </c>
      <c r="V973" s="18">
        <f>628129999956</f>
        <v>628129999956</v>
      </c>
    </row>
    <row r="974" ht="15" customHeight="1" spans="1:28" x14ac:dyDescent="0.25">
      <c r="A974" s="17" t="s">
        <v>2993</v>
      </c>
      <c r="B974" s="17" t="s">
        <v>70</v>
      </c>
      <c r="C974" s="17" t="s">
        <v>71</v>
      </c>
      <c r="D974" t="s">
        <v>2978</v>
      </c>
      <c r="F974" t="s">
        <v>672</v>
      </c>
      <c r="J974" s="17" t="s">
        <v>2994</v>
      </c>
      <c r="K974" s="18" t="s">
        <v>2995</v>
      </c>
      <c r="N974" s="17" t="s">
        <v>77</v>
      </c>
      <c r="O974" t="s">
        <v>117</v>
      </c>
      <c r="U974" s="17"/>
      <c r="V974" s="18" t="s">
        <v>2995</v>
      </c>
      <c r="W974" t="s">
        <v>2996</v>
      </c>
      <c r="Y974" s="17" t="s">
        <v>90</v>
      </c>
      <c r="AA974" t="s">
        <v>118</v>
      </c>
      <c r="AB974" t="s">
        <v>119</v>
      </c>
    </row>
    <row r="975" ht="15" customHeight="1" spans="1:23" x14ac:dyDescent="0.25">
      <c r="A975" s="17" t="s">
        <v>2997</v>
      </c>
      <c r="B975" s="17" t="s">
        <v>70</v>
      </c>
      <c r="C975" s="17" t="s">
        <v>71</v>
      </c>
      <c r="D975" t="s">
        <v>2998</v>
      </c>
      <c r="F975" t="s">
        <v>2999</v>
      </c>
      <c r="K975" s="18">
        <f>628159308888</f>
        <v>628159308888</v>
      </c>
      <c r="N975" s="17" t="s">
        <v>74</v>
      </c>
      <c r="U975" s="17"/>
      <c r="V975" s="18">
        <f>628159308888</f>
        <v>628159308888</v>
      </c>
      <c r="W975" t="s">
        <v>3000</v>
      </c>
    </row>
    <row r="976" ht="15" customHeight="1" spans="1:22" x14ac:dyDescent="0.25">
      <c r="A976" s="17" t="s">
        <v>3001</v>
      </c>
      <c r="B976" s="17" t="s">
        <v>70</v>
      </c>
      <c r="C976" s="17" t="s">
        <v>71</v>
      </c>
      <c r="D976" t="s">
        <v>3002</v>
      </c>
      <c r="F976" t="s">
        <v>3003</v>
      </c>
      <c r="K976" s="18">
        <f>6281382290000</f>
        <v>6281382290000</v>
      </c>
      <c r="N976" s="17" t="s">
        <v>77</v>
      </c>
      <c r="V976" s="18">
        <f>6281382290000</f>
        <v>6281382290000</v>
      </c>
    </row>
    <row r="977" ht="15" customHeight="1" spans="1:22" x14ac:dyDescent="0.25">
      <c r="A977" s="17" t="s">
        <v>3004</v>
      </c>
      <c r="B977" s="17" t="s">
        <v>70</v>
      </c>
      <c r="C977" s="17" t="s">
        <v>71</v>
      </c>
      <c r="D977" t="s">
        <v>3005</v>
      </c>
      <c r="F977" t="s">
        <v>3006</v>
      </c>
      <c r="K977" s="18">
        <f>6287776008466</f>
        <v>6287776008466</v>
      </c>
      <c r="N977" s="17" t="s">
        <v>77</v>
      </c>
      <c r="V977" s="18">
        <f>6287776008466</f>
        <v>6287776008466</v>
      </c>
    </row>
    <row r="978" ht="15" customHeight="1" spans="1:25" x14ac:dyDescent="0.25">
      <c r="A978" s="17" t="s">
        <v>3007</v>
      </c>
      <c r="B978" s="17" t="s">
        <v>70</v>
      </c>
      <c r="C978" s="17" t="s">
        <v>71</v>
      </c>
      <c r="D978" t="s">
        <v>3008</v>
      </c>
      <c r="F978" t="s">
        <v>3009</v>
      </c>
      <c r="K978" s="18">
        <f>628119840645</f>
        <v>628119840645</v>
      </c>
      <c r="N978" s="17" t="s">
        <v>77</v>
      </c>
      <c r="U978" s="17"/>
      <c r="V978" s="18">
        <f>628119840645</f>
        <v>628119840645</v>
      </c>
      <c r="W978" t="s">
        <v>3010</v>
      </c>
      <c r="Y978" s="17" t="s">
        <v>90</v>
      </c>
    </row>
    <row r="979" ht="15" customHeight="1" spans="1:22" x14ac:dyDescent="0.25">
      <c r="A979" s="17" t="s">
        <v>3011</v>
      </c>
      <c r="B979" s="17" t="s">
        <v>70</v>
      </c>
      <c r="C979" s="17" t="s">
        <v>71</v>
      </c>
      <c r="D979" t="s">
        <v>3012</v>
      </c>
      <c r="F979" t="s">
        <v>1173</v>
      </c>
      <c r="J979" s="17" t="s">
        <v>3013</v>
      </c>
      <c r="K979" s="18">
        <f>6281272220006</f>
        <v>6281272220006</v>
      </c>
      <c r="N979" s="17" t="s">
        <v>77</v>
      </c>
      <c r="V979" s="18">
        <f>6281272220006</f>
        <v>6281272220006</v>
      </c>
    </row>
    <row r="980" ht="15" customHeight="1" spans="1:22" x14ac:dyDescent="0.25">
      <c r="A980" s="17" t="s">
        <v>3014</v>
      </c>
      <c r="B980" s="17" t="s">
        <v>70</v>
      </c>
      <c r="C980" s="17" t="s">
        <v>71</v>
      </c>
      <c r="D980" t="s">
        <v>3015</v>
      </c>
      <c r="F980" t="s">
        <v>3016</v>
      </c>
      <c r="K980" s="18">
        <f>628111772632</f>
        <v>628111772632</v>
      </c>
      <c r="N980" s="17" t="s">
        <v>81</v>
      </c>
      <c r="V980" s="18">
        <f>628111772632</f>
        <v>628111772632</v>
      </c>
    </row>
    <row r="981" ht="15" customHeight="1" spans="1:22" x14ac:dyDescent="0.25">
      <c r="A981" s="17" t="s">
        <v>3017</v>
      </c>
      <c r="B981" s="17" t="s">
        <v>70</v>
      </c>
      <c r="C981" s="17" t="s">
        <v>71</v>
      </c>
      <c r="D981" t="s">
        <v>3018</v>
      </c>
      <c r="F981" t="s">
        <v>3018</v>
      </c>
      <c r="K981" s="18">
        <f>628161663186</f>
        <v>628161663186</v>
      </c>
      <c r="N981" s="17" t="s">
        <v>77</v>
      </c>
      <c r="V981" s="18">
        <f>628161663186</f>
        <v>628161663186</v>
      </c>
    </row>
    <row r="982" ht="15" customHeight="1" spans="1:25" x14ac:dyDescent="0.25">
      <c r="A982" s="17" t="s">
        <v>3019</v>
      </c>
      <c r="B982" s="17" t="s">
        <v>70</v>
      </c>
      <c r="C982" s="17" t="s">
        <v>71</v>
      </c>
      <c r="D982" t="s">
        <v>3020</v>
      </c>
      <c r="F982" t="s">
        <v>2380</v>
      </c>
      <c r="K982" s="18">
        <f>62811134545</f>
        <v>62811134545</v>
      </c>
      <c r="N982" s="17" t="s">
        <v>74</v>
      </c>
      <c r="U982" s="17"/>
      <c r="V982" s="18">
        <f>62811134545</f>
        <v>62811134545</v>
      </c>
      <c r="W982" t="s">
        <v>3021</v>
      </c>
      <c r="Y982" s="17" t="s">
        <v>90</v>
      </c>
    </row>
    <row r="983" ht="15" customHeight="1" spans="1:22" x14ac:dyDescent="0.25">
      <c r="A983" s="17" t="s">
        <v>3022</v>
      </c>
      <c r="B983" s="17" t="s">
        <v>70</v>
      </c>
      <c r="C983" s="17" t="s">
        <v>71</v>
      </c>
      <c r="D983" t="s">
        <v>3020</v>
      </c>
      <c r="F983" t="s">
        <v>3023</v>
      </c>
      <c r="K983" s="18">
        <f>6281385117955</f>
        <v>6281385117955</v>
      </c>
      <c r="N983" s="17" t="s">
        <v>77</v>
      </c>
      <c r="V983" s="18">
        <f>6281385117955</f>
        <v>6281385117955</v>
      </c>
    </row>
    <row r="984" ht="15" customHeight="1" spans="1:25" x14ac:dyDescent="0.25">
      <c r="A984" s="17" t="s">
        <v>3024</v>
      </c>
      <c r="B984" s="17" t="s">
        <v>70</v>
      </c>
      <c r="C984" s="17" t="s">
        <v>71</v>
      </c>
      <c r="D984" t="s">
        <v>3020</v>
      </c>
      <c r="F984" t="s">
        <v>3025</v>
      </c>
      <c r="J984" s="17" t="s">
        <v>3026</v>
      </c>
      <c r="K984" s="18">
        <f>628153860909</f>
        <v>628153860909</v>
      </c>
      <c r="N984" s="17" t="s">
        <v>77</v>
      </c>
      <c r="U984" s="17"/>
      <c r="V984" s="18">
        <f>628153860909</f>
        <v>628153860909</v>
      </c>
      <c r="W984" t="s">
        <v>3027</v>
      </c>
      <c r="Y984" s="17" t="s">
        <v>3028</v>
      </c>
    </row>
    <row r="985" ht="15" customHeight="1" spans="1:23" x14ac:dyDescent="0.25">
      <c r="A985" s="17" t="s">
        <v>3029</v>
      </c>
      <c r="B985" s="17" t="s">
        <v>70</v>
      </c>
      <c r="C985" s="17" t="s">
        <v>71</v>
      </c>
      <c r="D985" t="s">
        <v>3020</v>
      </c>
      <c r="F985" t="s">
        <v>3030</v>
      </c>
      <c r="K985" s="18">
        <f>62811100857</f>
        <v>62811100857</v>
      </c>
      <c r="N985" s="17" t="s">
        <v>77</v>
      </c>
      <c r="U985" s="17"/>
      <c r="V985" s="18">
        <f>62811100857</f>
        <v>62811100857</v>
      </c>
      <c r="W985" t="s">
        <v>3031</v>
      </c>
    </row>
    <row r="986" ht="15" customHeight="1" spans="1:23" x14ac:dyDescent="0.25">
      <c r="A986" s="17" t="s">
        <v>3032</v>
      </c>
      <c r="B986" s="17" t="s">
        <v>70</v>
      </c>
      <c r="C986" s="17" t="s">
        <v>71</v>
      </c>
      <c r="D986" t="s">
        <v>3033</v>
      </c>
      <c r="F986" t="s">
        <v>2178</v>
      </c>
      <c r="K986" s="18">
        <f>6281282291689</f>
        <v>6281282291689</v>
      </c>
      <c r="N986" s="17" t="s">
        <v>74</v>
      </c>
      <c r="U986" s="17"/>
      <c r="V986" s="18">
        <f>6281282291689</f>
        <v>6281282291689</v>
      </c>
      <c r="W986" t="s">
        <v>3034</v>
      </c>
    </row>
    <row r="987" ht="15" customHeight="1" spans="1:27" x14ac:dyDescent="0.25">
      <c r="A987" s="17" t="s">
        <v>3035</v>
      </c>
      <c r="B987" s="17" t="s">
        <v>70</v>
      </c>
      <c r="C987" s="17" t="s">
        <v>71</v>
      </c>
      <c r="D987" t="s">
        <v>3036</v>
      </c>
      <c r="F987" t="s">
        <v>3037</v>
      </c>
      <c r="K987" s="18">
        <f>62811179369</f>
        <v>62811179369</v>
      </c>
      <c r="N987" s="17" t="s">
        <v>81</v>
      </c>
      <c r="U987" s="17"/>
      <c r="V987" s="18">
        <f>62811179369</f>
        <v>62811179369</v>
      </c>
      <c r="W987" t="s">
        <v>3038</v>
      </c>
      <c r="AA987" s="17">
        <v>15322</v>
      </c>
    </row>
    <row r="988" ht="15" customHeight="1" spans="1:22" x14ac:dyDescent="0.25">
      <c r="A988" s="17" t="s">
        <v>3039</v>
      </c>
      <c r="B988" s="17" t="s">
        <v>70</v>
      </c>
      <c r="C988" s="17" t="s">
        <v>71</v>
      </c>
      <c r="D988" t="s">
        <v>3040</v>
      </c>
      <c r="F988" t="s">
        <v>212</v>
      </c>
      <c r="J988" s="17" t="s">
        <v>3041</v>
      </c>
      <c r="K988" s="18">
        <f>6281389965070</f>
        <v>6281389965070</v>
      </c>
      <c r="N988" s="17" t="s">
        <v>81</v>
      </c>
      <c r="V988" s="18">
        <f>6281389965070</f>
        <v>6281389965070</v>
      </c>
    </row>
    <row r="989" ht="15" customHeight="1" spans="1:22" x14ac:dyDescent="0.25">
      <c r="A989" s="17" t="s">
        <v>3042</v>
      </c>
      <c r="B989" s="17" t="s">
        <v>70</v>
      </c>
      <c r="C989" s="17" t="s">
        <v>71</v>
      </c>
      <c r="D989" t="s">
        <v>3043</v>
      </c>
      <c r="F989" t="s">
        <v>3043</v>
      </c>
      <c r="K989" s="18">
        <f>6281366414888</f>
        <v>6281366414888</v>
      </c>
      <c r="N989" s="17" t="s">
        <v>74</v>
      </c>
      <c r="V989" s="18">
        <f>6281366414888</f>
        <v>6281366414888</v>
      </c>
    </row>
    <row r="990" ht="15" customHeight="1" spans="1:28" x14ac:dyDescent="0.25">
      <c r="A990" s="17" t="s">
        <v>3044</v>
      </c>
      <c r="B990" s="17" t="s">
        <v>70</v>
      </c>
      <c r="C990" s="17" t="s">
        <v>71</v>
      </c>
      <c r="D990" t="s">
        <v>3043</v>
      </c>
      <c r="F990" t="s">
        <v>3045</v>
      </c>
      <c r="J990" t="s">
        <v>115</v>
      </c>
      <c r="K990" s="18" t="s">
        <v>3046</v>
      </c>
      <c r="N990" s="17" t="s">
        <v>74</v>
      </c>
      <c r="O990" t="s">
        <v>117</v>
      </c>
      <c r="U990" s="17"/>
      <c r="V990" s="18" t="s">
        <v>3046</v>
      </c>
      <c r="W990" s="20" t="s">
        <v>3047</v>
      </c>
      <c r="Y990" t="s">
        <v>3048</v>
      </c>
      <c r="AA990" t="s">
        <v>115</v>
      </c>
      <c r="AB990" t="s">
        <v>119</v>
      </c>
    </row>
    <row r="991" ht="15" customHeight="1" spans="1:25" x14ac:dyDescent="0.25">
      <c r="A991" s="17" t="s">
        <v>3049</v>
      </c>
      <c r="B991" s="17" t="s">
        <v>70</v>
      </c>
      <c r="C991" s="17" t="s">
        <v>71</v>
      </c>
      <c r="D991" t="s">
        <v>3050</v>
      </c>
      <c r="F991" t="s">
        <v>3051</v>
      </c>
      <c r="K991" s="18">
        <f>6281383088813</f>
        <v>6281383088813</v>
      </c>
      <c r="N991" s="17" t="s">
        <v>77</v>
      </c>
      <c r="U991" s="17"/>
      <c r="V991" s="18">
        <f>6281383088813</f>
        <v>6281383088813</v>
      </c>
      <c r="W991" t="s">
        <v>3052</v>
      </c>
      <c r="Y991" s="17" t="s">
        <v>378</v>
      </c>
    </row>
    <row r="992" ht="15" customHeight="1" spans="1:22" x14ac:dyDescent="0.25">
      <c r="A992" s="17" t="s">
        <v>3053</v>
      </c>
      <c r="B992" s="17" t="s">
        <v>70</v>
      </c>
      <c r="C992" s="17" t="s">
        <v>71</v>
      </c>
      <c r="D992" t="s">
        <v>3054</v>
      </c>
      <c r="F992" t="s">
        <v>1589</v>
      </c>
      <c r="K992" s="18">
        <f>6281329250000</f>
        <v>6281329250000</v>
      </c>
      <c r="N992" s="17" t="s">
        <v>81</v>
      </c>
      <c r="V992" s="18">
        <f>6281329250000</f>
        <v>6281329250000</v>
      </c>
    </row>
    <row r="993" ht="15" customHeight="1" spans="1:22" x14ac:dyDescent="0.25">
      <c r="A993" s="17" t="s">
        <v>3055</v>
      </c>
      <c r="B993" s="17" t="s">
        <v>70</v>
      </c>
      <c r="C993" s="17" t="s">
        <v>71</v>
      </c>
      <c r="D993" t="s">
        <v>2784</v>
      </c>
      <c r="F993" t="s">
        <v>3056</v>
      </c>
      <c r="K993" s="18">
        <f>6282310002323</f>
        <v>6282310002323</v>
      </c>
      <c r="N993" s="17" t="s">
        <v>77</v>
      </c>
      <c r="V993" s="18">
        <f>6282310002323</f>
        <v>6282310002323</v>
      </c>
    </row>
    <row r="994" ht="15" customHeight="1" spans="1:22" x14ac:dyDescent="0.25">
      <c r="A994" s="17" t="s">
        <v>3057</v>
      </c>
      <c r="B994" s="17" t="s">
        <v>70</v>
      </c>
      <c r="C994" s="17" t="s">
        <v>71</v>
      </c>
      <c r="D994" t="s">
        <v>2784</v>
      </c>
      <c r="F994" t="s">
        <v>2949</v>
      </c>
      <c r="K994" s="18">
        <f>62817888248</f>
        <v>62817888248</v>
      </c>
      <c r="N994" s="17" t="s">
        <v>81</v>
      </c>
      <c r="V994" s="18">
        <f>62817888248</f>
        <v>62817888248</v>
      </c>
    </row>
    <row r="995" ht="15" customHeight="1" spans="1:22" x14ac:dyDescent="0.25">
      <c r="A995" s="17" t="s">
        <v>3058</v>
      </c>
      <c r="B995" s="17" t="s">
        <v>70</v>
      </c>
      <c r="C995" s="17" t="s">
        <v>71</v>
      </c>
      <c r="D995" t="s">
        <v>2784</v>
      </c>
      <c r="F995" t="s">
        <v>3059</v>
      </c>
      <c r="J995" s="17" t="s">
        <v>3060</v>
      </c>
      <c r="K995" s="18">
        <f>628155722050</f>
        <v>628155722050</v>
      </c>
      <c r="N995" s="17" t="s">
        <v>77</v>
      </c>
      <c r="V995" s="18">
        <f>628155722050</f>
        <v>628155722050</v>
      </c>
    </row>
    <row r="996" ht="15" customHeight="1" spans="1:25" x14ac:dyDescent="0.25">
      <c r="A996" s="17" t="s">
        <v>3061</v>
      </c>
      <c r="B996" s="17" t="s">
        <v>70</v>
      </c>
      <c r="C996" s="17" t="s">
        <v>71</v>
      </c>
      <c r="D996" t="s">
        <v>2784</v>
      </c>
      <c r="F996" t="s">
        <v>3062</v>
      </c>
      <c r="K996" s="18">
        <f>628569055100</f>
        <v>628569055100</v>
      </c>
      <c r="N996" s="17" t="s">
        <v>77</v>
      </c>
      <c r="U996" s="17"/>
      <c r="V996" s="18">
        <f>628569055100</f>
        <v>628569055100</v>
      </c>
      <c r="W996" t="s">
        <v>3063</v>
      </c>
      <c r="Y996" s="17" t="s">
        <v>90</v>
      </c>
    </row>
    <row r="997" ht="15" customHeight="1" spans="1:28" x14ac:dyDescent="0.25">
      <c r="A997" s="17" t="s">
        <v>3064</v>
      </c>
      <c r="B997" s="17" t="s">
        <v>70</v>
      </c>
      <c r="C997" s="17" t="s">
        <v>71</v>
      </c>
      <c r="D997" t="s">
        <v>3065</v>
      </c>
      <c r="F997" t="s">
        <v>3066</v>
      </c>
      <c r="J997" t="s">
        <v>115</v>
      </c>
      <c r="K997" s="18" t="s">
        <v>3067</v>
      </c>
      <c r="N997" s="17" t="s">
        <v>77</v>
      </c>
      <c r="O997" t="s">
        <v>199</v>
      </c>
      <c r="V997" s="18" t="s">
        <v>3067</v>
      </c>
      <c r="Y997" t="s">
        <v>190</v>
      </c>
      <c r="AA997" t="s">
        <v>118</v>
      </c>
      <c r="AB997" t="s">
        <v>119</v>
      </c>
    </row>
    <row r="998" ht="15" customHeight="1" spans="1:28" x14ac:dyDescent="0.25">
      <c r="A998" s="17" t="s">
        <v>3068</v>
      </c>
      <c r="B998" s="17" t="s">
        <v>70</v>
      </c>
      <c r="C998" s="17" t="s">
        <v>71</v>
      </c>
      <c r="D998" t="s">
        <v>3069</v>
      </c>
      <c r="F998" t="s">
        <v>3070</v>
      </c>
      <c r="J998" s="17" t="s">
        <v>3071</v>
      </c>
      <c r="K998" s="18" t="s">
        <v>3072</v>
      </c>
      <c r="N998" s="17" t="s">
        <v>77</v>
      </c>
      <c r="O998" t="s">
        <v>199</v>
      </c>
      <c r="V998" s="18" t="s">
        <v>3072</v>
      </c>
      <c r="Y998" t="s">
        <v>3073</v>
      </c>
      <c r="AA998" t="s">
        <v>115</v>
      </c>
      <c r="AB998" t="s">
        <v>119</v>
      </c>
    </row>
    <row r="999" ht="15" customHeight="1" spans="1:22" x14ac:dyDescent="0.25">
      <c r="A999" s="17" t="s">
        <v>3074</v>
      </c>
      <c r="B999" s="17" t="s">
        <v>70</v>
      </c>
      <c r="C999" s="17" t="s">
        <v>71</v>
      </c>
      <c r="D999" t="s">
        <v>3075</v>
      </c>
      <c r="F999" t="s">
        <v>3076</v>
      </c>
      <c r="K999" s="18">
        <f>6282122480137</f>
        <v>6282122480137</v>
      </c>
      <c r="N999" s="17" t="s">
        <v>81</v>
      </c>
      <c r="V999" s="18">
        <f>6282122480137</f>
        <v>6282122480137</v>
      </c>
    </row>
    <row r="1000" ht="15" customHeight="1" spans="1:23" x14ac:dyDescent="0.25">
      <c r="A1000" s="17" t="s">
        <v>3077</v>
      </c>
      <c r="B1000" s="17" t="s">
        <v>70</v>
      </c>
      <c r="C1000" s="17" t="s">
        <v>71</v>
      </c>
      <c r="D1000" t="s">
        <v>3078</v>
      </c>
      <c r="F1000" t="s">
        <v>3078</v>
      </c>
      <c r="K1000" s="18">
        <f>62811921910</f>
        <v>62811921910</v>
      </c>
      <c r="N1000" s="17" t="s">
        <v>77</v>
      </c>
      <c r="U1000" s="17"/>
      <c r="V1000" s="18">
        <f>62811921910</f>
        <v>62811921910</v>
      </c>
      <c r="W1000" t="s">
        <v>3079</v>
      </c>
    </row>
    <row r="1001" ht="15" customHeight="1" spans="1:22" x14ac:dyDescent="0.25">
      <c r="A1001" s="17" t="s">
        <v>3080</v>
      </c>
      <c r="B1001" s="17" t="s">
        <v>70</v>
      </c>
      <c r="C1001" s="17" t="s">
        <v>71</v>
      </c>
      <c r="D1001" t="s">
        <v>3078</v>
      </c>
      <c r="F1001" t="s">
        <v>3078</v>
      </c>
      <c r="K1001" s="18">
        <f>6287775577705</f>
        <v>6287775577705</v>
      </c>
      <c r="N1001" s="17" t="s">
        <v>77</v>
      </c>
      <c r="V1001" s="18">
        <f>6287775577705</f>
        <v>6287775577705</v>
      </c>
    </row>
    <row r="1002" ht="15" customHeight="1" spans="1:28" x14ac:dyDescent="0.25">
      <c r="A1002" s="17" t="s">
        <v>3081</v>
      </c>
      <c r="B1002" s="17" t="s">
        <v>70</v>
      </c>
      <c r="C1002" s="17" t="s">
        <v>71</v>
      </c>
      <c r="D1002" t="s">
        <v>3082</v>
      </c>
      <c r="F1002" t="s">
        <v>3083</v>
      </c>
      <c r="J1002" t="s">
        <v>115</v>
      </c>
      <c r="K1002" s="18" t="s">
        <v>3084</v>
      </c>
      <c r="N1002" s="17" t="s">
        <v>77</v>
      </c>
      <c r="O1002" t="s">
        <v>117</v>
      </c>
      <c r="V1002" s="18" t="s">
        <v>3084</v>
      </c>
      <c r="Y1002" t="s">
        <v>115</v>
      </c>
      <c r="AA1002" t="s">
        <v>115</v>
      </c>
      <c r="AB1002" t="s">
        <v>119</v>
      </c>
    </row>
    <row r="1003" ht="15" customHeight="1" spans="1:28" x14ac:dyDescent="0.25">
      <c r="A1003" s="17" t="s">
        <v>3085</v>
      </c>
      <c r="B1003" s="17" t="s">
        <v>70</v>
      </c>
      <c r="C1003" s="17" t="s">
        <v>71</v>
      </c>
      <c r="D1003" t="s">
        <v>3078</v>
      </c>
      <c r="F1003" t="s">
        <v>3086</v>
      </c>
      <c r="J1003" s="17" t="s">
        <v>3087</v>
      </c>
      <c r="K1003" s="18" t="s">
        <v>3088</v>
      </c>
      <c r="N1003" s="17" t="s">
        <v>77</v>
      </c>
      <c r="O1003" t="s">
        <v>261</v>
      </c>
      <c r="U1003" s="17"/>
      <c r="V1003" s="18" t="s">
        <v>3088</v>
      </c>
      <c r="W1003" t="s">
        <v>3089</v>
      </c>
      <c r="Y1003" s="17" t="s">
        <v>626</v>
      </c>
      <c r="AA1003" s="17" t="s">
        <v>3090</v>
      </c>
      <c r="AB1003" t="s">
        <v>119</v>
      </c>
    </row>
    <row r="1004" ht="15" customHeight="1" spans="1:25" x14ac:dyDescent="0.25">
      <c r="A1004" s="17" t="s">
        <v>3091</v>
      </c>
      <c r="B1004" s="17" t="s">
        <v>70</v>
      </c>
      <c r="C1004" s="17" t="s">
        <v>71</v>
      </c>
      <c r="D1004" t="s">
        <v>3078</v>
      </c>
      <c r="F1004" t="s">
        <v>3092</v>
      </c>
      <c r="K1004" s="18">
        <f>62816721549</f>
        <v>62816721549</v>
      </c>
      <c r="N1004" s="17" t="s">
        <v>74</v>
      </c>
      <c r="U1004" s="17"/>
      <c r="V1004" s="18">
        <f>62816721549</f>
        <v>62816721549</v>
      </c>
      <c r="W1004" t="s">
        <v>3093</v>
      </c>
      <c r="Y1004" s="17" t="s">
        <v>626</v>
      </c>
    </row>
    <row r="1005" ht="15" customHeight="1" spans="1:22" x14ac:dyDescent="0.25">
      <c r="A1005" s="17" t="s">
        <v>3094</v>
      </c>
      <c r="B1005" s="17" t="s">
        <v>70</v>
      </c>
      <c r="C1005" s="17" t="s">
        <v>71</v>
      </c>
      <c r="D1005" t="s">
        <v>3078</v>
      </c>
      <c r="F1005" t="s">
        <v>1642</v>
      </c>
      <c r="K1005" s="18">
        <f>6281281706971</f>
        <v>6281281706971</v>
      </c>
      <c r="N1005" s="17" t="s">
        <v>74</v>
      </c>
      <c r="V1005" s="18">
        <f>6281281706971</f>
        <v>6281281706971</v>
      </c>
    </row>
    <row r="1006" ht="15" customHeight="1" spans="1:25" x14ac:dyDescent="0.25">
      <c r="A1006" s="17" t="s">
        <v>3095</v>
      </c>
      <c r="B1006" s="17" t="s">
        <v>70</v>
      </c>
      <c r="C1006" s="17" t="s">
        <v>71</v>
      </c>
      <c r="D1006" t="s">
        <v>3078</v>
      </c>
      <c r="F1006" t="s">
        <v>744</v>
      </c>
      <c r="J1006" s="17" t="s">
        <v>3096</v>
      </c>
      <c r="K1006" s="18">
        <f>62811385835</f>
        <v>62811385835</v>
      </c>
      <c r="N1006" s="17" t="s">
        <v>77</v>
      </c>
      <c r="U1006" s="17"/>
      <c r="V1006" s="18">
        <f>62811385835</f>
        <v>62811385835</v>
      </c>
      <c r="W1006" t="s">
        <v>3097</v>
      </c>
      <c r="Y1006" s="17" t="s">
        <v>217</v>
      </c>
    </row>
    <row r="1007" ht="15" customHeight="1" spans="1:25" x14ac:dyDescent="0.25">
      <c r="A1007" s="17" t="s">
        <v>3098</v>
      </c>
      <c r="B1007" s="17" t="s">
        <v>70</v>
      </c>
      <c r="C1007" s="17" t="s">
        <v>71</v>
      </c>
      <c r="D1007" t="s">
        <v>3078</v>
      </c>
      <c r="F1007" t="s">
        <v>3099</v>
      </c>
      <c r="K1007" s="18">
        <f>6285266654321</f>
        <v>6285266654321</v>
      </c>
      <c r="N1007" s="17" t="s">
        <v>81</v>
      </c>
      <c r="V1007" s="18">
        <f>6285266654321</f>
        <v>6285266654321</v>
      </c>
      <c r="Y1007" s="17" t="s">
        <v>3100</v>
      </c>
    </row>
    <row r="1008" ht="15" customHeight="1" spans="1:27" x14ac:dyDescent="0.25">
      <c r="A1008" s="17" t="s">
        <v>3101</v>
      </c>
      <c r="B1008" s="17" t="s">
        <v>70</v>
      </c>
      <c r="C1008" s="17" t="s">
        <v>71</v>
      </c>
      <c r="D1008" t="s">
        <v>3078</v>
      </c>
      <c r="F1008" t="s">
        <v>2726</v>
      </c>
      <c r="K1008" s="18">
        <f>6281384541828</f>
        <v>6281384541828</v>
      </c>
      <c r="N1008" s="17" t="s">
        <v>77</v>
      </c>
      <c r="U1008" s="17"/>
      <c r="V1008" s="18">
        <f>6281384541828</f>
        <v>6281384541828</v>
      </c>
      <c r="W1008" t="s">
        <v>3102</v>
      </c>
      <c r="AA1008" s="17" t="s">
        <v>3103</v>
      </c>
    </row>
    <row r="1009" ht="15" customHeight="1" spans="1:22" x14ac:dyDescent="0.25">
      <c r="A1009" s="17" t="s">
        <v>3104</v>
      </c>
      <c r="B1009" s="17" t="s">
        <v>70</v>
      </c>
      <c r="C1009" s="17" t="s">
        <v>71</v>
      </c>
      <c r="D1009" t="s">
        <v>3078</v>
      </c>
      <c r="F1009" t="s">
        <v>871</v>
      </c>
      <c r="K1009" s="18">
        <f>62811882121</f>
        <v>62811882121</v>
      </c>
      <c r="N1009" s="17" t="s">
        <v>77</v>
      </c>
      <c r="V1009" s="18">
        <f>62811882121</f>
        <v>62811882121</v>
      </c>
    </row>
    <row r="1010" ht="15" customHeight="1" spans="1:25" x14ac:dyDescent="0.25">
      <c r="A1010" s="17" t="s">
        <v>3105</v>
      </c>
      <c r="B1010" s="17" t="s">
        <v>70</v>
      </c>
      <c r="C1010" s="17" t="s">
        <v>71</v>
      </c>
      <c r="D1010" t="s">
        <v>3078</v>
      </c>
      <c r="F1010" t="s">
        <v>1589</v>
      </c>
      <c r="K1010" s="18">
        <f>628158806162</f>
        <v>628158806162</v>
      </c>
      <c r="N1010" s="17" t="s">
        <v>77</v>
      </c>
      <c r="U1010" s="17"/>
      <c r="V1010" s="18">
        <f>628158806162</f>
        <v>628158806162</v>
      </c>
      <c r="W1010" t="s">
        <v>3106</v>
      </c>
      <c r="Y1010" s="17" t="s">
        <v>378</v>
      </c>
    </row>
    <row r="1011" ht="15" customHeight="1" spans="1:25" x14ac:dyDescent="0.25">
      <c r="A1011" s="17" t="s">
        <v>3107</v>
      </c>
      <c r="B1011" s="17" t="s">
        <v>70</v>
      </c>
      <c r="C1011" s="17" t="s">
        <v>71</v>
      </c>
      <c r="D1011" t="s">
        <v>3078</v>
      </c>
      <c r="F1011" t="s">
        <v>3108</v>
      </c>
      <c r="K1011" s="18">
        <f>62811801809</f>
        <v>62811801809</v>
      </c>
      <c r="N1011" s="17" t="s">
        <v>77</v>
      </c>
      <c r="U1011" s="17"/>
      <c r="V1011" s="18">
        <f>62811801809</f>
        <v>62811801809</v>
      </c>
      <c r="W1011" t="s">
        <v>3109</v>
      </c>
      <c r="Y1011" s="17" t="s">
        <v>96</v>
      </c>
    </row>
    <row r="1012" ht="15" customHeight="1" spans="1:25" x14ac:dyDescent="0.25">
      <c r="A1012" s="17" t="s">
        <v>3110</v>
      </c>
      <c r="B1012" s="17" t="s">
        <v>70</v>
      </c>
      <c r="C1012" s="17" t="s">
        <v>71</v>
      </c>
      <c r="D1012" t="s">
        <v>3078</v>
      </c>
      <c r="F1012" t="s">
        <v>3111</v>
      </c>
      <c r="K1012" s="18">
        <f>622142886586</f>
        <v>622142886586</v>
      </c>
      <c r="N1012" s="17" t="s">
        <v>77</v>
      </c>
      <c r="U1012" s="17"/>
      <c r="V1012" s="18">
        <f>622142886586</f>
        <v>622142886586</v>
      </c>
      <c r="W1012" t="s">
        <v>3112</v>
      </c>
      <c r="Y1012" s="17" t="s">
        <v>378</v>
      </c>
    </row>
    <row r="1013" ht="15" customHeight="1" spans="1:22" x14ac:dyDescent="0.25">
      <c r="A1013" s="17" t="s">
        <v>3113</v>
      </c>
      <c r="B1013" s="17" t="s">
        <v>70</v>
      </c>
      <c r="C1013" s="17" t="s">
        <v>71</v>
      </c>
      <c r="D1013" t="s">
        <v>3078</v>
      </c>
      <c r="F1013" t="s">
        <v>3114</v>
      </c>
      <c r="K1013" s="18">
        <f>62818888659</f>
        <v>62818888659</v>
      </c>
      <c r="N1013" s="17" t="s">
        <v>81</v>
      </c>
      <c r="V1013" s="18">
        <f>62818888659</f>
        <v>62818888659</v>
      </c>
    </row>
    <row r="1014" ht="15" customHeight="1" spans="1:25" x14ac:dyDescent="0.25">
      <c r="A1014" s="17" t="s">
        <v>3115</v>
      </c>
      <c r="B1014" s="17" t="s">
        <v>70</v>
      </c>
      <c r="C1014" s="17" t="s">
        <v>71</v>
      </c>
      <c r="D1014" t="s">
        <v>3078</v>
      </c>
      <c r="F1014" t="s">
        <v>3116</v>
      </c>
      <c r="K1014" s="18">
        <v>227332088</v>
      </c>
      <c r="N1014" s="17" t="s">
        <v>77</v>
      </c>
      <c r="U1014" s="17"/>
      <c r="V1014" s="18">
        <v>227332088</v>
      </c>
      <c r="W1014" t="s">
        <v>3117</v>
      </c>
      <c r="Y1014" s="17" t="s">
        <v>500</v>
      </c>
    </row>
    <row r="1015" ht="15" customHeight="1" spans="1:22" x14ac:dyDescent="0.25">
      <c r="A1015" s="17" t="s">
        <v>3118</v>
      </c>
      <c r="B1015" s="17" t="s">
        <v>70</v>
      </c>
      <c r="C1015" s="17" t="s">
        <v>71</v>
      </c>
      <c r="D1015" t="s">
        <v>3078</v>
      </c>
      <c r="F1015" t="s">
        <v>1169</v>
      </c>
      <c r="K1015" s="18">
        <f>628121133633</f>
        <v>628121133633</v>
      </c>
      <c r="N1015" s="17" t="s">
        <v>77</v>
      </c>
      <c r="V1015" s="18">
        <f>628121133633</f>
        <v>628121133633</v>
      </c>
    </row>
    <row r="1016" ht="15" customHeight="1" spans="1:28" x14ac:dyDescent="0.25">
      <c r="A1016" s="17" t="s">
        <v>3119</v>
      </c>
      <c r="B1016" s="17" t="s">
        <v>70</v>
      </c>
      <c r="C1016" s="17" t="s">
        <v>71</v>
      </c>
      <c r="D1016" t="s">
        <v>3120</v>
      </c>
      <c r="F1016" t="s">
        <v>3121</v>
      </c>
      <c r="J1016" t="s">
        <v>115</v>
      </c>
      <c r="K1016" s="18" t="s">
        <v>3122</v>
      </c>
      <c r="N1016" s="17" t="s">
        <v>77</v>
      </c>
      <c r="O1016" t="s">
        <v>489</v>
      </c>
      <c r="V1016" s="18" t="s">
        <v>3122</v>
      </c>
      <c r="Y1016" t="s">
        <v>190</v>
      </c>
      <c r="AA1016" t="s">
        <v>118</v>
      </c>
      <c r="AB1016" t="s">
        <v>119</v>
      </c>
    </row>
    <row r="1017" ht="15" customHeight="1" spans="1:28" x14ac:dyDescent="0.25">
      <c r="A1017" s="17" t="s">
        <v>3123</v>
      </c>
      <c r="B1017" s="17" t="s">
        <v>70</v>
      </c>
      <c r="C1017" s="17" t="s">
        <v>71</v>
      </c>
      <c r="D1017" t="s">
        <v>3124</v>
      </c>
      <c r="F1017" t="s">
        <v>3125</v>
      </c>
      <c r="J1017" t="s">
        <v>115</v>
      </c>
      <c r="K1017" s="18" t="s">
        <v>3126</v>
      </c>
      <c r="N1017" s="17" t="s">
        <v>77</v>
      </c>
      <c r="O1017" t="s">
        <v>117</v>
      </c>
      <c r="V1017" s="18" t="s">
        <v>3126</v>
      </c>
      <c r="Y1017" t="s">
        <v>90</v>
      </c>
      <c r="AA1017" t="s">
        <v>118</v>
      </c>
      <c r="AB1017" t="s">
        <v>119</v>
      </c>
    </row>
    <row r="1018" ht="15" customHeight="1" spans="1:23" x14ac:dyDescent="0.25">
      <c r="A1018" s="17" t="s">
        <v>3127</v>
      </c>
      <c r="B1018" s="17" t="s">
        <v>70</v>
      </c>
      <c r="C1018" s="17" t="s">
        <v>71</v>
      </c>
      <c r="D1018" t="s">
        <v>3128</v>
      </c>
      <c r="F1018" t="s">
        <v>3129</v>
      </c>
      <c r="K1018" s="18">
        <f>6282339647237</f>
        <v>6282339647237</v>
      </c>
      <c r="N1018" s="17" t="s">
        <v>77</v>
      </c>
      <c r="U1018" s="17"/>
      <c r="V1018" s="18">
        <f>6282339647237</f>
        <v>6282339647237</v>
      </c>
      <c r="W1018" t="s">
        <v>3130</v>
      </c>
    </row>
    <row r="1019" ht="15" customHeight="1" spans="1:22" x14ac:dyDescent="0.25">
      <c r="A1019" s="17" t="s">
        <v>3131</v>
      </c>
      <c r="B1019" s="17" t="s">
        <v>70</v>
      </c>
      <c r="C1019" s="17" t="s">
        <v>71</v>
      </c>
      <c r="D1019" t="s">
        <v>3132</v>
      </c>
      <c r="F1019" t="s">
        <v>186</v>
      </c>
      <c r="K1019" s="18">
        <f>62818171125</f>
        <v>62818171125</v>
      </c>
      <c r="N1019" s="17" t="s">
        <v>77</v>
      </c>
      <c r="V1019" s="18">
        <f>62818171125</f>
        <v>62818171125</v>
      </c>
    </row>
    <row r="1020" ht="15" customHeight="1" spans="1:22" x14ac:dyDescent="0.25">
      <c r="A1020" s="17" t="s">
        <v>3133</v>
      </c>
      <c r="B1020" s="17" t="s">
        <v>70</v>
      </c>
      <c r="C1020" s="17" t="s">
        <v>71</v>
      </c>
      <c r="D1020" t="s">
        <v>3134</v>
      </c>
      <c r="F1020" t="s">
        <v>3135</v>
      </c>
      <c r="K1020" s="18">
        <f>628129194690</f>
        <v>628129194690</v>
      </c>
      <c r="N1020" s="17" t="s">
        <v>77</v>
      </c>
      <c r="V1020" s="18">
        <f>628129194690</f>
        <v>628129194690</v>
      </c>
    </row>
    <row r="1021" ht="15" customHeight="1" spans="1:28" x14ac:dyDescent="0.25">
      <c r="A1021" s="17" t="s">
        <v>3136</v>
      </c>
      <c r="B1021" s="17" t="s">
        <v>70</v>
      </c>
      <c r="C1021" s="17" t="s">
        <v>71</v>
      </c>
      <c r="D1021" t="s">
        <v>3137</v>
      </c>
      <c r="F1021" t="s">
        <v>3138</v>
      </c>
      <c r="J1021" t="s">
        <v>115</v>
      </c>
      <c r="K1021" s="18" t="s">
        <v>3139</v>
      </c>
      <c r="N1021" s="17" t="s">
        <v>77</v>
      </c>
      <c r="O1021" t="s">
        <v>145</v>
      </c>
      <c r="V1021" s="18" t="s">
        <v>3139</v>
      </c>
      <c r="Y1021" t="s">
        <v>3140</v>
      </c>
      <c r="AA1021" t="s">
        <v>115</v>
      </c>
      <c r="AB1021" t="s">
        <v>3140</v>
      </c>
    </row>
    <row r="1022" ht="15" customHeight="1" spans="1:28" x14ac:dyDescent="0.25">
      <c r="A1022" s="17" t="s">
        <v>3141</v>
      </c>
      <c r="B1022" s="17" t="s">
        <v>70</v>
      </c>
      <c r="C1022" s="17" t="s">
        <v>71</v>
      </c>
      <c r="D1022" t="s">
        <v>3142</v>
      </c>
      <c r="F1022" t="s">
        <v>3143</v>
      </c>
      <c r="J1022" t="s">
        <v>115</v>
      </c>
      <c r="K1022" s="18" t="s">
        <v>3144</v>
      </c>
      <c r="N1022" s="17" t="s">
        <v>74</v>
      </c>
      <c r="O1022" t="s">
        <v>489</v>
      </c>
      <c r="U1022" s="17"/>
      <c r="V1022" s="18" t="s">
        <v>3144</v>
      </c>
      <c r="W1022" t="s">
        <v>3145</v>
      </c>
      <c r="Y1022" t="s">
        <v>1084</v>
      </c>
      <c r="AA1022" t="s">
        <v>3146</v>
      </c>
      <c r="AB1022" t="s">
        <v>119</v>
      </c>
    </row>
    <row r="1023" ht="15" customHeight="1" spans="1:23" x14ac:dyDescent="0.25">
      <c r="A1023" s="17" t="s">
        <v>3147</v>
      </c>
      <c r="B1023" s="17" t="s">
        <v>70</v>
      </c>
      <c r="C1023" s="17" t="s">
        <v>71</v>
      </c>
      <c r="D1023" t="s">
        <v>3134</v>
      </c>
      <c r="F1023" t="s">
        <v>3148</v>
      </c>
      <c r="J1023" s="17" t="s">
        <v>3149</v>
      </c>
      <c r="K1023" s="18">
        <f>628151899399</f>
        <v>628151899399</v>
      </c>
      <c r="N1023" s="17" t="s">
        <v>77</v>
      </c>
      <c r="U1023" s="17"/>
      <c r="V1023" s="18">
        <f>628151899399</f>
        <v>628151899399</v>
      </c>
      <c r="W1023" t="s">
        <v>3150</v>
      </c>
    </row>
    <row r="1024" ht="15" customHeight="1" spans="1:28" x14ac:dyDescent="0.25">
      <c r="A1024" s="17" t="s">
        <v>3151</v>
      </c>
      <c r="B1024" s="17" t="s">
        <v>70</v>
      </c>
      <c r="C1024" s="17" t="s">
        <v>71</v>
      </c>
      <c r="D1024" t="s">
        <v>3134</v>
      </c>
      <c r="F1024" t="s">
        <v>3152</v>
      </c>
      <c r="J1024" t="s">
        <v>115</v>
      </c>
      <c r="K1024" s="18" t="s">
        <v>3153</v>
      </c>
      <c r="N1024" s="17" t="s">
        <v>77</v>
      </c>
      <c r="O1024" t="s">
        <v>199</v>
      </c>
      <c r="V1024" s="18" t="s">
        <v>3153</v>
      </c>
      <c r="Y1024" t="s">
        <v>190</v>
      </c>
      <c r="AA1024" t="s">
        <v>118</v>
      </c>
      <c r="AB1024" t="s">
        <v>119</v>
      </c>
    </row>
    <row r="1025" ht="15" customHeight="1" spans="1:28" x14ac:dyDescent="0.25">
      <c r="A1025" s="17" t="s">
        <v>3154</v>
      </c>
      <c r="B1025" s="17" t="s">
        <v>70</v>
      </c>
      <c r="C1025" s="17" t="s">
        <v>71</v>
      </c>
      <c r="D1025" t="s">
        <v>3134</v>
      </c>
      <c r="F1025" t="s">
        <v>3155</v>
      </c>
      <c r="J1025" t="s">
        <v>115</v>
      </c>
      <c r="K1025" s="18" t="s">
        <v>3156</v>
      </c>
      <c r="N1025" s="17" t="s">
        <v>77</v>
      </c>
      <c r="O1025" t="s">
        <v>117</v>
      </c>
      <c r="V1025" s="18" t="s">
        <v>3156</v>
      </c>
      <c r="Y1025" t="s">
        <v>90</v>
      </c>
      <c r="AA1025" t="s">
        <v>118</v>
      </c>
      <c r="AB1025" t="s">
        <v>119</v>
      </c>
    </row>
    <row r="1026" ht="15" customHeight="1" spans="1:23" x14ac:dyDescent="0.25">
      <c r="A1026" s="17" t="s">
        <v>3157</v>
      </c>
      <c r="B1026" s="17" t="s">
        <v>70</v>
      </c>
      <c r="C1026" s="17" t="s">
        <v>71</v>
      </c>
      <c r="D1026" t="s">
        <v>3158</v>
      </c>
      <c r="F1026" t="s">
        <v>3158</v>
      </c>
      <c r="K1026" s="18">
        <f>6281397639000</f>
        <v>6281397639000</v>
      </c>
      <c r="N1026" s="17" t="s">
        <v>81</v>
      </c>
      <c r="U1026" s="17"/>
      <c r="V1026" s="18">
        <f>6281397639000</f>
        <v>6281397639000</v>
      </c>
      <c r="W1026" t="s">
        <v>3159</v>
      </c>
    </row>
    <row r="1027" ht="15" customHeight="1" spans="1:22" x14ac:dyDescent="0.25">
      <c r="A1027" s="17" t="s">
        <v>3160</v>
      </c>
      <c r="B1027" s="17" t="s">
        <v>70</v>
      </c>
      <c r="C1027" s="17" t="s">
        <v>71</v>
      </c>
      <c r="D1027" t="s">
        <v>3158</v>
      </c>
      <c r="F1027" t="s">
        <v>3158</v>
      </c>
      <c r="K1027" s="18">
        <f>6281289873436</f>
        <v>6281289873436</v>
      </c>
      <c r="N1027" s="17" t="s">
        <v>77</v>
      </c>
      <c r="V1027" s="18">
        <f>6281289873436</f>
        <v>6281289873436</v>
      </c>
    </row>
    <row r="1028" ht="15" customHeight="1" spans="1:28" x14ac:dyDescent="0.25">
      <c r="A1028" s="17" t="s">
        <v>3161</v>
      </c>
      <c r="B1028" s="17" t="s">
        <v>70</v>
      </c>
      <c r="C1028" s="17" t="s">
        <v>71</v>
      </c>
      <c r="D1028" t="s">
        <v>3158</v>
      </c>
      <c r="F1028" t="s">
        <v>3162</v>
      </c>
      <c r="J1028" t="s">
        <v>115</v>
      </c>
      <c r="K1028" s="18" t="s">
        <v>3163</v>
      </c>
      <c r="N1028" s="17" t="s">
        <v>81</v>
      </c>
      <c r="O1028" t="s">
        <v>489</v>
      </c>
      <c r="U1028" s="17"/>
      <c r="V1028" s="18" t="s">
        <v>3163</v>
      </c>
      <c r="W1028" t="s">
        <v>3164</v>
      </c>
      <c r="Y1028" s="17" t="s">
        <v>90</v>
      </c>
      <c r="AA1028" s="17" t="s">
        <v>118</v>
      </c>
      <c r="AB1028" t="s">
        <v>119</v>
      </c>
    </row>
    <row r="1029" ht="15" customHeight="1" spans="1:28" x14ac:dyDescent="0.25">
      <c r="A1029" s="17" t="s">
        <v>3165</v>
      </c>
      <c r="B1029" s="17" t="s">
        <v>70</v>
      </c>
      <c r="C1029" s="17" t="s">
        <v>71</v>
      </c>
      <c r="D1029" t="s">
        <v>3166</v>
      </c>
      <c r="F1029" t="s">
        <v>3167</v>
      </c>
      <c r="J1029" s="17" t="s">
        <v>3168</v>
      </c>
      <c r="K1029" s="18" t="s">
        <v>3169</v>
      </c>
      <c r="N1029" s="17" t="s">
        <v>77</v>
      </c>
      <c r="O1029" t="s">
        <v>145</v>
      </c>
      <c r="U1029" s="17"/>
      <c r="V1029" s="18" t="s">
        <v>3169</v>
      </c>
      <c r="W1029" t="s">
        <v>3170</v>
      </c>
      <c r="Y1029" s="17" t="s">
        <v>190</v>
      </c>
      <c r="AA1029" t="s">
        <v>118</v>
      </c>
      <c r="AB1029" t="s">
        <v>119</v>
      </c>
    </row>
    <row r="1030" ht="15" customHeight="1" spans="1:22" x14ac:dyDescent="0.25">
      <c r="A1030" s="17" t="s">
        <v>3171</v>
      </c>
      <c r="B1030" s="17" t="s">
        <v>70</v>
      </c>
      <c r="C1030" s="17" t="s">
        <v>71</v>
      </c>
      <c r="D1030" t="s">
        <v>3158</v>
      </c>
      <c r="F1030" t="s">
        <v>3172</v>
      </c>
      <c r="K1030" s="18">
        <f>628118116915</f>
        <v>628118116915</v>
      </c>
      <c r="N1030" s="17" t="s">
        <v>77</v>
      </c>
      <c r="V1030" s="18">
        <f>628118116915</f>
        <v>628118116915</v>
      </c>
    </row>
    <row r="1031" ht="15" customHeight="1" spans="1:22" x14ac:dyDescent="0.25">
      <c r="A1031" s="17" t="s">
        <v>3173</v>
      </c>
      <c r="B1031" s="17" t="s">
        <v>70</v>
      </c>
      <c r="C1031" s="17" t="s">
        <v>71</v>
      </c>
      <c r="D1031" t="s">
        <v>3158</v>
      </c>
      <c r="F1031" t="s">
        <v>3174</v>
      </c>
      <c r="K1031" s="18">
        <f>62818610726</f>
        <v>62818610726</v>
      </c>
      <c r="N1031" s="17" t="s">
        <v>77</v>
      </c>
      <c r="V1031" s="18">
        <f>62818610726</f>
        <v>62818610726</v>
      </c>
    </row>
    <row r="1032" ht="15" customHeight="1" spans="1:22" x14ac:dyDescent="0.25">
      <c r="A1032" s="17" t="s">
        <v>3175</v>
      </c>
      <c r="B1032" s="17" t="s">
        <v>70</v>
      </c>
      <c r="C1032" s="17" t="s">
        <v>71</v>
      </c>
      <c r="D1032" t="s">
        <v>3158</v>
      </c>
      <c r="F1032" t="s">
        <v>3176</v>
      </c>
      <c r="K1032" s="18">
        <f>6282276028936</f>
        <v>6282276028936</v>
      </c>
      <c r="N1032" s="17" t="s">
        <v>81</v>
      </c>
      <c r="V1032" s="18">
        <f>6282276028936</f>
        <v>6282276028936</v>
      </c>
    </row>
    <row r="1033" ht="15" customHeight="1" spans="1:28" x14ac:dyDescent="0.25">
      <c r="A1033" s="17" t="s">
        <v>3177</v>
      </c>
      <c r="B1033" s="17" t="s">
        <v>70</v>
      </c>
      <c r="C1033" s="17" t="s">
        <v>71</v>
      </c>
      <c r="D1033" t="s">
        <v>3158</v>
      </c>
      <c r="F1033" t="s">
        <v>3178</v>
      </c>
      <c r="J1033" t="s">
        <v>115</v>
      </c>
      <c r="K1033" s="18" t="s">
        <v>3179</v>
      </c>
      <c r="N1033" s="17" t="s">
        <v>81</v>
      </c>
      <c r="O1033" t="s">
        <v>489</v>
      </c>
      <c r="V1033" s="18" t="s">
        <v>3179</v>
      </c>
      <c r="Y1033" t="s">
        <v>115</v>
      </c>
      <c r="AA1033" t="s">
        <v>115</v>
      </c>
      <c r="AB1033" t="s">
        <v>119</v>
      </c>
    </row>
    <row r="1034" ht="15" customHeight="1" spans="1:25" x14ac:dyDescent="0.25">
      <c r="A1034" s="17" t="s">
        <v>3180</v>
      </c>
      <c r="B1034" s="17" t="s">
        <v>70</v>
      </c>
      <c r="C1034" s="17" t="s">
        <v>71</v>
      </c>
      <c r="D1034" t="s">
        <v>3158</v>
      </c>
      <c r="F1034" t="s">
        <v>3181</v>
      </c>
      <c r="K1034" s="18">
        <f>6285645338888</f>
        <v>6285645338888</v>
      </c>
      <c r="N1034" s="17" t="s">
        <v>81</v>
      </c>
      <c r="U1034" s="17"/>
      <c r="V1034" s="18">
        <f>6285645338888</f>
        <v>6285645338888</v>
      </c>
      <c r="W1034" t="s">
        <v>3182</v>
      </c>
      <c r="Y1034" s="17" t="s">
        <v>704</v>
      </c>
    </row>
    <row r="1035" ht="15" customHeight="1" spans="1:27" x14ac:dyDescent="0.25">
      <c r="A1035" s="17" t="s">
        <v>3183</v>
      </c>
      <c r="B1035" s="17" t="s">
        <v>70</v>
      </c>
      <c r="C1035" s="17" t="s">
        <v>71</v>
      </c>
      <c r="D1035" t="s">
        <v>3158</v>
      </c>
      <c r="F1035" t="s">
        <v>153</v>
      </c>
      <c r="K1035" s="18">
        <f>628118901983</f>
        <v>628118901983</v>
      </c>
      <c r="N1035" s="17" t="s">
        <v>77</v>
      </c>
      <c r="U1035" s="17"/>
      <c r="V1035" s="18">
        <f>628118901983</f>
        <v>628118901983</v>
      </c>
      <c r="W1035" t="s">
        <v>3184</v>
      </c>
      <c r="AA1035" s="17">
        <v>13210</v>
      </c>
    </row>
    <row r="1036" ht="15" customHeight="1" spans="1:25" x14ac:dyDescent="0.25">
      <c r="A1036" s="17" t="s">
        <v>3185</v>
      </c>
      <c r="B1036" s="17" t="s">
        <v>70</v>
      </c>
      <c r="C1036" s="17" t="s">
        <v>71</v>
      </c>
      <c r="D1036" t="s">
        <v>3158</v>
      </c>
      <c r="F1036" t="s">
        <v>3186</v>
      </c>
      <c r="J1036" s="17" t="s">
        <v>3187</v>
      </c>
      <c r="K1036" s="18">
        <f>62817778770</f>
        <v>62817778770</v>
      </c>
      <c r="N1036" s="17" t="s">
        <v>77</v>
      </c>
      <c r="U1036" s="17"/>
      <c r="V1036" s="18">
        <f>62817778770</f>
        <v>62817778770</v>
      </c>
      <c r="W1036" t="s">
        <v>3188</v>
      </c>
      <c r="Y1036" s="17" t="s">
        <v>626</v>
      </c>
    </row>
    <row r="1037" ht="15" customHeight="1" spans="1:22" x14ac:dyDescent="0.25">
      <c r="A1037" s="17" t="s">
        <v>3189</v>
      </c>
      <c r="B1037" s="17" t="s">
        <v>70</v>
      </c>
      <c r="C1037" s="17" t="s">
        <v>71</v>
      </c>
      <c r="D1037" t="s">
        <v>3190</v>
      </c>
      <c r="F1037" t="s">
        <v>3190</v>
      </c>
      <c r="K1037" s="18">
        <f>628559010391</f>
        <v>628559010391</v>
      </c>
      <c r="N1037" s="17" t="s">
        <v>77</v>
      </c>
      <c r="V1037" s="18" t="s">
        <v>3191</v>
      </c>
    </row>
    <row r="1038" ht="15" customHeight="1" spans="1:25" x14ac:dyDescent="0.25">
      <c r="A1038" s="17" t="s">
        <v>3192</v>
      </c>
      <c r="B1038" s="17" t="s">
        <v>70</v>
      </c>
      <c r="C1038" s="17" t="s">
        <v>71</v>
      </c>
      <c r="D1038" t="s">
        <v>3190</v>
      </c>
      <c r="F1038" t="s">
        <v>3193</v>
      </c>
      <c r="K1038" s="18">
        <f>6281310843999</f>
        <v>6281310843999</v>
      </c>
      <c r="N1038" s="17" t="s">
        <v>74</v>
      </c>
      <c r="U1038" s="17"/>
      <c r="V1038" s="18">
        <f>6281310843999</f>
        <v>6281310843999</v>
      </c>
      <c r="W1038" t="s">
        <v>3194</v>
      </c>
      <c r="Y1038" s="17" t="s">
        <v>3195</v>
      </c>
    </row>
    <row r="1039" ht="15" customHeight="1" spans="1:22" x14ac:dyDescent="0.25">
      <c r="A1039" s="17" t="s">
        <v>3196</v>
      </c>
      <c r="B1039" s="17" t="s">
        <v>70</v>
      </c>
      <c r="C1039" s="17" t="s">
        <v>71</v>
      </c>
      <c r="D1039" t="s">
        <v>3190</v>
      </c>
      <c r="F1039" t="s">
        <v>3197</v>
      </c>
      <c r="K1039" s="18">
        <f>628118116339</f>
        <v>628118116339</v>
      </c>
      <c r="N1039" s="17" t="s">
        <v>74</v>
      </c>
      <c r="V1039" s="18">
        <f>628118116339</f>
        <v>628118116339</v>
      </c>
    </row>
    <row r="1040" ht="15" customHeight="1" spans="1:28" x14ac:dyDescent="0.25">
      <c r="A1040" s="17" t="s">
        <v>3198</v>
      </c>
      <c r="B1040" s="17" t="s">
        <v>70</v>
      </c>
      <c r="C1040" s="17" t="s">
        <v>71</v>
      </c>
      <c r="D1040" t="s">
        <v>3190</v>
      </c>
      <c r="F1040" t="s">
        <v>3199</v>
      </c>
      <c r="J1040" t="s">
        <v>115</v>
      </c>
      <c r="K1040" s="18" t="s">
        <v>3200</v>
      </c>
      <c r="N1040" s="17" t="s">
        <v>81</v>
      </c>
      <c r="O1040" t="s">
        <v>117</v>
      </c>
      <c r="V1040" s="18" t="s">
        <v>3200</v>
      </c>
      <c r="Y1040" t="s">
        <v>115</v>
      </c>
      <c r="AA1040" t="s">
        <v>115</v>
      </c>
      <c r="AB1040" t="s">
        <v>119</v>
      </c>
    </row>
    <row r="1041" ht="15" customHeight="1" spans="1:28" x14ac:dyDescent="0.25">
      <c r="A1041" s="17" t="s">
        <v>3201</v>
      </c>
      <c r="B1041" s="17" t="s">
        <v>70</v>
      </c>
      <c r="C1041" s="17" t="s">
        <v>71</v>
      </c>
      <c r="D1041" t="s">
        <v>3190</v>
      </c>
      <c r="F1041" t="s">
        <v>3202</v>
      </c>
      <c r="J1041" t="s">
        <v>3203</v>
      </c>
      <c r="K1041" s="18" t="s">
        <v>3204</v>
      </c>
      <c r="N1041" s="17" t="s">
        <v>77</v>
      </c>
      <c r="O1041" t="s">
        <v>199</v>
      </c>
      <c r="V1041" s="18" t="s">
        <v>3204</v>
      </c>
      <c r="Y1041" t="s">
        <v>90</v>
      </c>
      <c r="AA1041" t="s">
        <v>118</v>
      </c>
      <c r="AB1041" t="s">
        <v>119</v>
      </c>
    </row>
    <row r="1042" ht="15" customHeight="1" spans="1:25" x14ac:dyDescent="0.25">
      <c r="A1042" s="17" t="s">
        <v>3205</v>
      </c>
      <c r="B1042" s="17" t="s">
        <v>70</v>
      </c>
      <c r="C1042" s="17" t="s">
        <v>71</v>
      </c>
      <c r="D1042" t="s">
        <v>3190</v>
      </c>
      <c r="F1042" t="s">
        <v>3206</v>
      </c>
      <c r="J1042" s="17" t="s">
        <v>3207</v>
      </c>
      <c r="K1042" s="18">
        <f>62818150993</f>
        <v>62818150993</v>
      </c>
      <c r="N1042" s="17" t="s">
        <v>77</v>
      </c>
      <c r="U1042" s="17"/>
      <c r="V1042" s="18">
        <f>62818150993</f>
        <v>62818150993</v>
      </c>
      <c r="W1042" t="s">
        <v>3208</v>
      </c>
      <c r="Y1042" s="17"/>
    </row>
    <row r="1043" ht="15" customHeight="1" spans="1:28" x14ac:dyDescent="0.25">
      <c r="A1043" s="17" t="s">
        <v>3209</v>
      </c>
      <c r="B1043" s="17" t="s">
        <v>70</v>
      </c>
      <c r="C1043" s="17" t="s">
        <v>71</v>
      </c>
      <c r="D1043" t="s">
        <v>3190</v>
      </c>
      <c r="F1043" t="s">
        <v>3210</v>
      </c>
      <c r="J1043" s="17" t="s">
        <v>3211</v>
      </c>
      <c r="K1043" s="18" t="s">
        <v>3212</v>
      </c>
      <c r="N1043" s="17" t="s">
        <v>77</v>
      </c>
      <c r="O1043" t="s">
        <v>199</v>
      </c>
      <c r="U1043" s="17"/>
      <c r="V1043" s="18" t="s">
        <v>3212</v>
      </c>
      <c r="W1043" t="s">
        <v>3213</v>
      </c>
      <c r="Y1043" t="s">
        <v>3214</v>
      </c>
      <c r="AA1043" t="s">
        <v>115</v>
      </c>
      <c r="AB1043" t="s">
        <v>119</v>
      </c>
    </row>
    <row r="1044" ht="15" customHeight="1" spans="1:28" x14ac:dyDescent="0.25">
      <c r="A1044" s="17" t="s">
        <v>3215</v>
      </c>
      <c r="B1044" s="17" t="s">
        <v>70</v>
      </c>
      <c r="C1044" s="17" t="s">
        <v>71</v>
      </c>
      <c r="D1044" t="s">
        <v>3190</v>
      </c>
      <c r="F1044" t="s">
        <v>3216</v>
      </c>
      <c r="J1044" t="s">
        <v>115</v>
      </c>
      <c r="K1044" s="18" t="s">
        <v>3217</v>
      </c>
      <c r="N1044" s="17" t="s">
        <v>81</v>
      </c>
      <c r="O1044" t="s">
        <v>117</v>
      </c>
      <c r="V1044" s="18" t="s">
        <v>3217</v>
      </c>
      <c r="Y1044" t="s">
        <v>90</v>
      </c>
      <c r="AA1044" t="s">
        <v>118</v>
      </c>
      <c r="AB1044" t="s">
        <v>119</v>
      </c>
    </row>
    <row r="1045" ht="15" customHeight="1" spans="1:22" x14ac:dyDescent="0.25">
      <c r="A1045" s="17" t="s">
        <v>3218</v>
      </c>
      <c r="B1045" s="17" t="s">
        <v>70</v>
      </c>
      <c r="C1045" s="17" t="s">
        <v>71</v>
      </c>
      <c r="D1045" t="s">
        <v>3190</v>
      </c>
      <c r="F1045" t="s">
        <v>3219</v>
      </c>
      <c r="J1045" s="17" t="s">
        <v>3220</v>
      </c>
      <c r="K1045" s="18">
        <f>6281329937650</f>
        <v>6281329937650</v>
      </c>
      <c r="N1045" s="17" t="s">
        <v>77</v>
      </c>
      <c r="V1045" s="18">
        <f>6281329937650</f>
        <v>6281329937650</v>
      </c>
    </row>
    <row r="1046" ht="15" customHeight="1" spans="1:22" x14ac:dyDescent="0.25">
      <c r="A1046" s="17" t="s">
        <v>3221</v>
      </c>
      <c r="B1046" s="17" t="s">
        <v>70</v>
      </c>
      <c r="C1046" s="17" t="s">
        <v>71</v>
      </c>
      <c r="D1046" t="s">
        <v>3190</v>
      </c>
      <c r="F1046" t="s">
        <v>3222</v>
      </c>
      <c r="K1046" s="18">
        <f>6281288703008</f>
        <v>6281288703008</v>
      </c>
      <c r="N1046" s="17" t="s">
        <v>81</v>
      </c>
      <c r="V1046" s="18">
        <f>6281288703008</f>
        <v>6281288703008</v>
      </c>
    </row>
    <row r="1047" ht="15" customHeight="1" spans="1:23" x14ac:dyDescent="0.25">
      <c r="A1047" s="17" t="s">
        <v>3223</v>
      </c>
      <c r="B1047" s="17" t="s">
        <v>70</v>
      </c>
      <c r="C1047" s="17" t="s">
        <v>71</v>
      </c>
      <c r="D1047" t="s">
        <v>3190</v>
      </c>
      <c r="F1047" t="s">
        <v>3224</v>
      </c>
      <c r="K1047" s="18">
        <f>62817891199</f>
        <v>62817891199</v>
      </c>
      <c r="N1047" s="17" t="s">
        <v>74</v>
      </c>
      <c r="U1047" s="17"/>
      <c r="V1047" s="18">
        <f>62817891199</f>
        <v>62817891199</v>
      </c>
      <c r="W1047" t="s">
        <v>3225</v>
      </c>
    </row>
    <row r="1048" ht="15" customHeight="1" spans="1:28" x14ac:dyDescent="0.25">
      <c r="A1048" s="17" t="s">
        <v>3226</v>
      </c>
      <c r="B1048" s="17" t="s">
        <v>70</v>
      </c>
      <c r="C1048" s="17" t="s">
        <v>71</v>
      </c>
      <c r="D1048" t="s">
        <v>3190</v>
      </c>
      <c r="F1048" t="s">
        <v>3227</v>
      </c>
      <c r="J1048" t="s">
        <v>115</v>
      </c>
      <c r="K1048" s="18" t="s">
        <v>3228</v>
      </c>
      <c r="N1048" s="17" t="s">
        <v>74</v>
      </c>
      <c r="O1048" t="s">
        <v>489</v>
      </c>
      <c r="V1048" s="18" t="s">
        <v>3228</v>
      </c>
      <c r="Y1048" t="s">
        <v>90</v>
      </c>
      <c r="AA1048" t="s">
        <v>118</v>
      </c>
      <c r="AB1048" t="s">
        <v>119</v>
      </c>
    </row>
    <row r="1049" ht="15" customHeight="1" spans="1:22" x14ac:dyDescent="0.25">
      <c r="A1049" s="17" t="s">
        <v>3229</v>
      </c>
      <c r="B1049" s="17" t="s">
        <v>70</v>
      </c>
      <c r="C1049" s="17" t="s">
        <v>71</v>
      </c>
      <c r="D1049" t="s">
        <v>3190</v>
      </c>
      <c r="F1049" t="s">
        <v>699</v>
      </c>
      <c r="K1049" s="18">
        <f>628122658101</f>
        <v>628122658101</v>
      </c>
      <c r="N1049" s="17" t="s">
        <v>77</v>
      </c>
      <c r="V1049" s="18">
        <f>628122658101</f>
        <v>628122658101</v>
      </c>
    </row>
    <row r="1050" ht="15" customHeight="1" spans="1:27" x14ac:dyDescent="0.25">
      <c r="A1050" s="17" t="s">
        <v>3230</v>
      </c>
      <c r="B1050" s="17" t="s">
        <v>70</v>
      </c>
      <c r="C1050" s="17" t="s">
        <v>71</v>
      </c>
      <c r="D1050" t="s">
        <v>3231</v>
      </c>
      <c r="F1050" t="s">
        <v>3232</v>
      </c>
      <c r="K1050" s="18">
        <f>628129221926</f>
        <v>628129221926</v>
      </c>
      <c r="N1050" s="17" t="s">
        <v>77</v>
      </c>
      <c r="U1050" s="17"/>
      <c r="V1050" s="18">
        <f>628129221926</f>
        <v>628129221926</v>
      </c>
      <c r="W1050" t="s">
        <v>3233</v>
      </c>
      <c r="Y1050" s="17" t="s">
        <v>3234</v>
      </c>
      <c r="AA1050">
        <v>12440</v>
      </c>
    </row>
    <row r="1051" ht="15" customHeight="1" spans="1:22" x14ac:dyDescent="0.25">
      <c r="A1051" s="17" t="s">
        <v>3235</v>
      </c>
      <c r="B1051" s="17" t="s">
        <v>70</v>
      </c>
      <c r="C1051" s="17" t="s">
        <v>71</v>
      </c>
      <c r="D1051" t="s">
        <v>3236</v>
      </c>
      <c r="F1051" t="s">
        <v>2386</v>
      </c>
      <c r="K1051" s="18">
        <f>62818647020</f>
        <v>62818647020</v>
      </c>
      <c r="N1051" s="17" t="s">
        <v>77</v>
      </c>
      <c r="V1051" s="18">
        <f>62818647020</f>
        <v>62818647020</v>
      </c>
    </row>
    <row r="1052" ht="15" customHeight="1" spans="1:28" x14ac:dyDescent="0.25">
      <c r="A1052" s="17" t="s">
        <v>3237</v>
      </c>
      <c r="B1052" s="17" t="s">
        <v>70</v>
      </c>
      <c r="C1052" s="17" t="s">
        <v>71</v>
      </c>
      <c r="D1052" t="s">
        <v>3238</v>
      </c>
      <c r="F1052" t="s">
        <v>3239</v>
      </c>
      <c r="J1052" t="s">
        <v>115</v>
      </c>
      <c r="K1052" s="18" t="s">
        <v>3240</v>
      </c>
      <c r="N1052" s="17" t="s">
        <v>77</v>
      </c>
      <c r="O1052" t="s">
        <v>261</v>
      </c>
      <c r="V1052" s="18" t="s">
        <v>3240</v>
      </c>
      <c r="Y1052" t="s">
        <v>90</v>
      </c>
      <c r="AA1052" t="s">
        <v>118</v>
      </c>
      <c r="AB1052" t="s">
        <v>119</v>
      </c>
    </row>
    <row r="1053" ht="15" customHeight="1" spans="1:22" x14ac:dyDescent="0.25">
      <c r="A1053" s="17" t="s">
        <v>3241</v>
      </c>
      <c r="B1053" s="17" t="s">
        <v>70</v>
      </c>
      <c r="C1053" s="17" t="s">
        <v>71</v>
      </c>
      <c r="D1053" t="s">
        <v>3238</v>
      </c>
      <c r="F1053" t="s">
        <v>3242</v>
      </c>
      <c r="K1053" s="18">
        <f>6281310178282</f>
        <v>6281310178282</v>
      </c>
      <c r="N1053" s="17" t="s">
        <v>74</v>
      </c>
      <c r="V1053" s="18">
        <f>6281310178282</f>
        <v>6281310178282</v>
      </c>
    </row>
    <row r="1054" ht="15" customHeight="1" spans="1:25" x14ac:dyDescent="0.25">
      <c r="A1054" s="17" t="s">
        <v>3243</v>
      </c>
      <c r="B1054" s="17" t="s">
        <v>70</v>
      </c>
      <c r="C1054" s="17" t="s">
        <v>71</v>
      </c>
      <c r="D1054" t="s">
        <v>3244</v>
      </c>
      <c r="F1054" t="s">
        <v>1555</v>
      </c>
      <c r="K1054" s="18">
        <f>6287784074646</f>
        <v>6287784074646</v>
      </c>
      <c r="N1054" s="17" t="s">
        <v>81</v>
      </c>
      <c r="U1054" s="17"/>
      <c r="V1054" s="18">
        <f>6287784074646</f>
        <v>6287784074646</v>
      </c>
      <c r="W1054" t="s">
        <v>3245</v>
      </c>
      <c r="Y1054" s="17" t="s">
        <v>96</v>
      </c>
    </row>
    <row r="1055" ht="15" customHeight="1" spans="1:28" x14ac:dyDescent="0.25">
      <c r="A1055" s="17" t="s">
        <v>3246</v>
      </c>
      <c r="B1055" s="17" t="s">
        <v>70</v>
      </c>
      <c r="C1055" s="17" t="s">
        <v>71</v>
      </c>
      <c r="D1055" t="s">
        <v>3247</v>
      </c>
      <c r="F1055" t="s">
        <v>3248</v>
      </c>
      <c r="J1055" t="s">
        <v>115</v>
      </c>
      <c r="K1055" s="18" t="s">
        <v>3249</v>
      </c>
      <c r="N1055" s="17" t="s">
        <v>77</v>
      </c>
      <c r="O1055" t="s">
        <v>117</v>
      </c>
      <c r="U1055" s="17"/>
      <c r="V1055" s="18" t="s">
        <v>3249</v>
      </c>
      <c r="W1055" t="s">
        <v>3250</v>
      </c>
      <c r="Y1055" s="17" t="s">
        <v>626</v>
      </c>
      <c r="AA1055" t="s">
        <v>3090</v>
      </c>
      <c r="AB1055" t="s">
        <v>119</v>
      </c>
    </row>
    <row r="1056" ht="15" customHeight="1" spans="1:28" x14ac:dyDescent="0.25">
      <c r="A1056" s="17" t="s">
        <v>3251</v>
      </c>
      <c r="B1056" s="17" t="s">
        <v>70</v>
      </c>
      <c r="C1056" s="17" t="s">
        <v>71</v>
      </c>
      <c r="D1056" t="s">
        <v>3252</v>
      </c>
      <c r="F1056" t="s">
        <v>3253</v>
      </c>
      <c r="J1056" t="s">
        <v>115</v>
      </c>
      <c r="K1056" s="18" t="s">
        <v>3254</v>
      </c>
      <c r="N1056" s="17" t="s">
        <v>77</v>
      </c>
      <c r="O1056" t="s">
        <v>199</v>
      </c>
      <c r="V1056" s="18" t="s">
        <v>3254</v>
      </c>
      <c r="Y1056" t="s">
        <v>90</v>
      </c>
      <c r="AA1056" t="s">
        <v>118</v>
      </c>
      <c r="AB1056" t="s">
        <v>119</v>
      </c>
    </row>
    <row r="1057" ht="15" customHeight="1" spans="1:23" x14ac:dyDescent="0.25">
      <c r="A1057" s="17" t="s">
        <v>3255</v>
      </c>
      <c r="B1057" s="17" t="s">
        <v>70</v>
      </c>
      <c r="C1057" s="17" t="s">
        <v>71</v>
      </c>
      <c r="D1057" t="s">
        <v>3252</v>
      </c>
      <c r="F1057" t="s">
        <v>3252</v>
      </c>
      <c r="K1057" s="18">
        <f>62818310388</f>
        <v>62818310388</v>
      </c>
      <c r="N1057" s="17" t="s">
        <v>77</v>
      </c>
      <c r="U1057" s="17"/>
      <c r="V1057" s="18">
        <f>62818310388</f>
        <v>62818310388</v>
      </c>
      <c r="W1057" t="s">
        <v>3256</v>
      </c>
    </row>
    <row r="1058" ht="15" customHeight="1" spans="1:22" x14ac:dyDescent="0.25">
      <c r="A1058" s="17" t="s">
        <v>3257</v>
      </c>
      <c r="B1058" s="17" t="s">
        <v>70</v>
      </c>
      <c r="C1058" s="17" t="s">
        <v>71</v>
      </c>
      <c r="D1058" t="s">
        <v>3252</v>
      </c>
      <c r="F1058" t="s">
        <v>3252</v>
      </c>
      <c r="K1058" s="18">
        <f>6281932319877</f>
        <v>6281932319877</v>
      </c>
      <c r="N1058" s="17" t="s">
        <v>74</v>
      </c>
      <c r="V1058" s="18">
        <f>6281932319877</f>
        <v>6281932319877</v>
      </c>
    </row>
    <row r="1059" ht="15" customHeight="1" spans="1:28" x14ac:dyDescent="0.25">
      <c r="A1059" s="17" t="s">
        <v>3258</v>
      </c>
      <c r="B1059" s="17" t="s">
        <v>70</v>
      </c>
      <c r="C1059" s="17" t="s">
        <v>71</v>
      </c>
      <c r="D1059" t="s">
        <v>3252</v>
      </c>
      <c r="F1059" t="s">
        <v>3259</v>
      </c>
      <c r="J1059" t="s">
        <v>3260</v>
      </c>
      <c r="K1059" s="18" t="s">
        <v>3261</v>
      </c>
      <c r="N1059" s="17" t="s">
        <v>81</v>
      </c>
      <c r="O1059" t="s">
        <v>261</v>
      </c>
      <c r="U1059" s="17"/>
      <c r="V1059" s="18" t="s">
        <v>3261</v>
      </c>
      <c r="W1059" t="s">
        <v>3262</v>
      </c>
      <c r="Y1059" s="17" t="s">
        <v>1084</v>
      </c>
      <c r="AA1059" t="s">
        <v>3146</v>
      </c>
      <c r="AB1059" t="s">
        <v>119</v>
      </c>
    </row>
    <row r="1060" ht="15" customHeight="1" spans="1:22" x14ac:dyDescent="0.25">
      <c r="A1060" s="17" t="s">
        <v>3263</v>
      </c>
      <c r="B1060" s="17" t="s">
        <v>70</v>
      </c>
      <c r="C1060" s="17" t="s">
        <v>71</v>
      </c>
      <c r="D1060" t="s">
        <v>3252</v>
      </c>
      <c r="F1060" t="s">
        <v>3264</v>
      </c>
      <c r="K1060" s="18">
        <f>62816771177</f>
        <v>62816771177</v>
      </c>
      <c r="N1060" s="17" t="s">
        <v>77</v>
      </c>
      <c r="V1060" s="18">
        <f>62816771177</f>
        <v>62816771177</v>
      </c>
    </row>
    <row r="1061" ht="15" customHeight="1" spans="1:22" x14ac:dyDescent="0.25">
      <c r="A1061" s="17" t="s">
        <v>3265</v>
      </c>
      <c r="B1061" s="17" t="s">
        <v>70</v>
      </c>
      <c r="C1061" s="17" t="s">
        <v>71</v>
      </c>
      <c r="D1061" t="s">
        <v>3266</v>
      </c>
      <c r="F1061" t="s">
        <v>3266</v>
      </c>
      <c r="K1061" s="18">
        <f>6281399565678</f>
        <v>6281399565678</v>
      </c>
      <c r="N1061" s="17" t="s">
        <v>81</v>
      </c>
      <c r="V1061" s="18">
        <f>6281399565678</f>
        <v>6281399565678</v>
      </c>
    </row>
    <row r="1062" ht="15" customHeight="1" spans="1:28" x14ac:dyDescent="0.25">
      <c r="A1062" s="17" t="s">
        <v>3267</v>
      </c>
      <c r="B1062" s="17" t="s">
        <v>70</v>
      </c>
      <c r="C1062" s="17" t="s">
        <v>71</v>
      </c>
      <c r="D1062" t="s">
        <v>3268</v>
      </c>
      <c r="F1062" t="s">
        <v>3268</v>
      </c>
      <c r="J1062" t="s">
        <v>115</v>
      </c>
      <c r="K1062" s="18" t="s">
        <v>3269</v>
      </c>
      <c r="N1062" s="17" t="s">
        <v>77</v>
      </c>
      <c r="O1062" t="s">
        <v>117</v>
      </c>
      <c r="V1062" s="18" t="s">
        <v>3269</v>
      </c>
      <c r="Y1062" t="s">
        <v>90</v>
      </c>
      <c r="AA1062" t="s">
        <v>118</v>
      </c>
      <c r="AB1062" t="s">
        <v>119</v>
      </c>
    </row>
    <row r="1063" ht="15" customHeight="1" spans="1:28" x14ac:dyDescent="0.25">
      <c r="A1063" s="17" t="s">
        <v>3270</v>
      </c>
      <c r="B1063" s="17" t="s">
        <v>70</v>
      </c>
      <c r="C1063" s="17" t="s">
        <v>71</v>
      </c>
      <c r="D1063" t="s">
        <v>3268</v>
      </c>
      <c r="F1063" t="s">
        <v>1754</v>
      </c>
      <c r="J1063" t="s">
        <v>115</v>
      </c>
      <c r="K1063" s="18" t="s">
        <v>3271</v>
      </c>
      <c r="N1063" s="17" t="s">
        <v>81</v>
      </c>
      <c r="O1063" t="s">
        <v>117</v>
      </c>
      <c r="V1063" s="18" t="s">
        <v>3271</v>
      </c>
      <c r="Y1063" t="s">
        <v>190</v>
      </c>
      <c r="AA1063" t="s">
        <v>118</v>
      </c>
      <c r="AB1063" t="s">
        <v>119</v>
      </c>
    </row>
    <row r="1064" ht="15" customHeight="1" spans="1:28" x14ac:dyDescent="0.25">
      <c r="A1064" s="17" t="s">
        <v>3272</v>
      </c>
      <c r="B1064" s="17" t="s">
        <v>70</v>
      </c>
      <c r="C1064" s="17" t="s">
        <v>71</v>
      </c>
      <c r="D1064" t="s">
        <v>3268</v>
      </c>
      <c r="F1064" t="s">
        <v>3273</v>
      </c>
      <c r="J1064" t="s">
        <v>115</v>
      </c>
      <c r="K1064" s="18" t="s">
        <v>3274</v>
      </c>
      <c r="N1064" s="17" t="s">
        <v>77</v>
      </c>
      <c r="O1064" t="s">
        <v>117</v>
      </c>
      <c r="U1064" s="17"/>
      <c r="V1064" s="18" t="s">
        <v>3274</v>
      </c>
      <c r="W1064" t="s">
        <v>3275</v>
      </c>
      <c r="Y1064" s="17" t="s">
        <v>1084</v>
      </c>
      <c r="AA1064" t="s">
        <v>3146</v>
      </c>
      <c r="AB1064" t="s">
        <v>119</v>
      </c>
    </row>
    <row r="1065" ht="15" customHeight="1" spans="1:27" x14ac:dyDescent="0.25">
      <c r="A1065" s="17" t="s">
        <v>3276</v>
      </c>
      <c r="B1065" s="17" t="s">
        <v>70</v>
      </c>
      <c r="C1065" s="17" t="s">
        <v>71</v>
      </c>
      <c r="D1065" t="s">
        <v>3268</v>
      </c>
      <c r="F1065" t="s">
        <v>1130</v>
      </c>
      <c r="J1065" s="17" t="s">
        <v>3277</v>
      </c>
      <c r="K1065" s="18">
        <f>6287784794768</f>
        <v>6287784794768</v>
      </c>
      <c r="N1065" s="17" t="s">
        <v>77</v>
      </c>
      <c r="U1065" s="17"/>
      <c r="V1065" s="18">
        <f>6287784794768</f>
        <v>6287784794768</v>
      </c>
      <c r="W1065" t="s">
        <v>3278</v>
      </c>
      <c r="Y1065" s="17" t="s">
        <v>90</v>
      </c>
      <c r="AA1065" s="17">
        <v>14450</v>
      </c>
    </row>
    <row r="1066" ht="15" customHeight="1" spans="1:22" x14ac:dyDescent="0.25">
      <c r="A1066" s="17" t="s">
        <v>3279</v>
      </c>
      <c r="B1066" s="17" t="s">
        <v>70</v>
      </c>
      <c r="C1066" s="17" t="s">
        <v>71</v>
      </c>
      <c r="D1066" t="s">
        <v>3268</v>
      </c>
      <c r="F1066" t="s">
        <v>3280</v>
      </c>
      <c r="K1066" s="18">
        <f>6281219791269</f>
        <v>6281219791269</v>
      </c>
      <c r="N1066" s="17" t="s">
        <v>81</v>
      </c>
      <c r="V1066" s="18">
        <f>6281219791269</f>
        <v>6281219791269</v>
      </c>
    </row>
    <row r="1067" ht="15" customHeight="1" spans="1:28" x14ac:dyDescent="0.25">
      <c r="A1067" s="17" t="s">
        <v>3281</v>
      </c>
      <c r="B1067" s="17" t="s">
        <v>70</v>
      </c>
      <c r="C1067" s="17" t="s">
        <v>71</v>
      </c>
      <c r="D1067" t="s">
        <v>3268</v>
      </c>
      <c r="F1067" t="s">
        <v>3282</v>
      </c>
      <c r="J1067" s="17" t="s">
        <v>3283</v>
      </c>
      <c r="K1067" s="18" t="s">
        <v>3284</v>
      </c>
      <c r="N1067" s="17" t="s">
        <v>74</v>
      </c>
      <c r="O1067" t="s">
        <v>145</v>
      </c>
      <c r="V1067" s="18" t="s">
        <v>3284</v>
      </c>
      <c r="Y1067" t="s">
        <v>90</v>
      </c>
      <c r="AA1067" t="s">
        <v>118</v>
      </c>
      <c r="AB1067" t="s">
        <v>119</v>
      </c>
    </row>
    <row r="1068" ht="15" customHeight="1" spans="1:22" x14ac:dyDescent="0.25">
      <c r="A1068" s="17" t="s">
        <v>3285</v>
      </c>
      <c r="B1068" s="17" t="s">
        <v>70</v>
      </c>
      <c r="C1068" s="17" t="s">
        <v>71</v>
      </c>
      <c r="D1068" t="s">
        <v>3286</v>
      </c>
      <c r="F1068" t="s">
        <v>3287</v>
      </c>
      <c r="K1068" s="18">
        <f>6585881177</f>
        <v>6585881177</v>
      </c>
      <c r="N1068" s="17" t="s">
        <v>77</v>
      </c>
      <c r="V1068" s="18">
        <f>6585881177</f>
        <v>6585881177</v>
      </c>
    </row>
    <row r="1069" ht="15" customHeight="1" spans="1:22" x14ac:dyDescent="0.25">
      <c r="A1069" s="17" t="s">
        <v>3288</v>
      </c>
      <c r="B1069" s="17" t="s">
        <v>70</v>
      </c>
      <c r="C1069" s="17" t="s">
        <v>71</v>
      </c>
      <c r="D1069" t="s">
        <v>3289</v>
      </c>
      <c r="F1069" t="s">
        <v>558</v>
      </c>
      <c r="K1069" s="18" t="s">
        <v>3290</v>
      </c>
      <c r="N1069" s="17" t="s">
        <v>74</v>
      </c>
      <c r="V1069" s="18" t="s">
        <v>3290</v>
      </c>
    </row>
    <row r="1070" ht="15" customHeight="1" spans="1:22" x14ac:dyDescent="0.25">
      <c r="A1070" s="17" t="s">
        <v>3291</v>
      </c>
      <c r="B1070" s="17" t="s">
        <v>70</v>
      </c>
      <c r="C1070" s="17" t="s">
        <v>71</v>
      </c>
      <c r="D1070" t="s">
        <v>3292</v>
      </c>
      <c r="F1070" t="s">
        <v>3293</v>
      </c>
      <c r="K1070" s="18">
        <f>628188661006</f>
        <v>628188661006</v>
      </c>
      <c r="N1070" s="17" t="s">
        <v>77</v>
      </c>
      <c r="V1070" s="18">
        <f>628188661006</f>
        <v>628188661006</v>
      </c>
    </row>
    <row r="1071" ht="15" customHeight="1" spans="1:25" x14ac:dyDescent="0.25">
      <c r="A1071" s="17" t="s">
        <v>3294</v>
      </c>
      <c r="B1071" s="17" t="s">
        <v>70</v>
      </c>
      <c r="C1071" s="17" t="s">
        <v>71</v>
      </c>
      <c r="D1071" t="s">
        <v>3295</v>
      </c>
      <c r="F1071" t="s">
        <v>3296</v>
      </c>
      <c r="K1071" s="18">
        <f>6288809099066</f>
        <v>6288809099066</v>
      </c>
      <c r="N1071" s="17" t="s">
        <v>77</v>
      </c>
      <c r="U1071" s="17"/>
      <c r="V1071" s="18">
        <f>6288809099066</f>
        <v>6288809099066</v>
      </c>
      <c r="W1071" t="s">
        <v>3297</v>
      </c>
      <c r="Y1071" s="17" t="s">
        <v>96</v>
      </c>
    </row>
    <row r="1072" ht="15" customHeight="1" spans="1:25" x14ac:dyDescent="0.25">
      <c r="A1072" s="17" t="s">
        <v>3298</v>
      </c>
      <c r="B1072" s="17" t="s">
        <v>70</v>
      </c>
      <c r="C1072" s="17" t="s">
        <v>71</v>
      </c>
      <c r="D1072" t="s">
        <v>3299</v>
      </c>
      <c r="F1072" t="s">
        <v>3299</v>
      </c>
      <c r="J1072" s="17" t="s">
        <v>3300</v>
      </c>
      <c r="K1072" s="18">
        <f>62811644991</f>
        <v>62811644991</v>
      </c>
      <c r="N1072" s="17" t="s">
        <v>77</v>
      </c>
      <c r="U1072" s="17"/>
      <c r="V1072" s="18">
        <f>62811644991</f>
        <v>62811644991</v>
      </c>
      <c r="W1072" t="s">
        <v>3301</v>
      </c>
      <c r="Y1072" s="17" t="s">
        <v>1157</v>
      </c>
    </row>
    <row r="1073" ht="15" customHeight="1" spans="1:28" x14ac:dyDescent="0.25">
      <c r="A1073" s="17" t="s">
        <v>3302</v>
      </c>
      <c r="B1073" s="17" t="s">
        <v>70</v>
      </c>
      <c r="C1073" s="17" t="s">
        <v>71</v>
      </c>
      <c r="D1073" t="s">
        <v>469</v>
      </c>
      <c r="F1073" t="s">
        <v>469</v>
      </c>
      <c r="J1073" t="s">
        <v>115</v>
      </c>
      <c r="K1073" s="18" t="s">
        <v>3303</v>
      </c>
      <c r="N1073" s="17" t="s">
        <v>77</v>
      </c>
      <c r="O1073" t="s">
        <v>117</v>
      </c>
      <c r="V1073" s="18" t="s">
        <v>3303</v>
      </c>
      <c r="Y1073" t="s">
        <v>90</v>
      </c>
      <c r="AA1073" t="s">
        <v>118</v>
      </c>
      <c r="AB1073" t="s">
        <v>119</v>
      </c>
    </row>
    <row r="1074" ht="15" customHeight="1" spans="1:28" x14ac:dyDescent="0.25">
      <c r="A1074" s="17" t="s">
        <v>3304</v>
      </c>
      <c r="B1074" s="17" t="s">
        <v>70</v>
      </c>
      <c r="C1074" s="17" t="s">
        <v>71</v>
      </c>
      <c r="D1074" t="s">
        <v>469</v>
      </c>
      <c r="F1074" t="s">
        <v>3305</v>
      </c>
      <c r="J1074" t="s">
        <v>115</v>
      </c>
      <c r="K1074" s="18" t="s">
        <v>3306</v>
      </c>
      <c r="N1074" s="17" t="s">
        <v>81</v>
      </c>
      <c r="O1074" t="s">
        <v>261</v>
      </c>
      <c r="U1074" s="17"/>
      <c r="V1074" s="18" t="s">
        <v>3306</v>
      </c>
      <c r="W1074" t="s">
        <v>3307</v>
      </c>
      <c r="Y1074" t="s">
        <v>90</v>
      </c>
      <c r="AA1074" t="s">
        <v>118</v>
      </c>
      <c r="AB1074" t="s">
        <v>119</v>
      </c>
    </row>
    <row r="1075" ht="15" customHeight="1" spans="1:23" x14ac:dyDescent="0.25">
      <c r="A1075" s="17" t="s">
        <v>3308</v>
      </c>
      <c r="B1075" s="17" t="s">
        <v>70</v>
      </c>
      <c r="C1075" s="17" t="s">
        <v>71</v>
      </c>
      <c r="D1075" t="s">
        <v>3309</v>
      </c>
      <c r="F1075" t="s">
        <v>3310</v>
      </c>
      <c r="K1075" s="18">
        <f>6281291656565</f>
        <v>6281291656565</v>
      </c>
      <c r="N1075" s="17" t="s">
        <v>77</v>
      </c>
      <c r="U1075" s="17"/>
      <c r="V1075" s="18">
        <f>6281291656565</f>
        <v>6281291656565</v>
      </c>
      <c r="W1075" t="s">
        <v>3311</v>
      </c>
    </row>
    <row r="1076" ht="15" customHeight="1" spans="1:28" x14ac:dyDescent="0.25">
      <c r="A1076" s="17" t="s">
        <v>3312</v>
      </c>
      <c r="B1076" s="17" t="s">
        <v>70</v>
      </c>
      <c r="C1076" s="17" t="s">
        <v>71</v>
      </c>
      <c r="D1076" t="s">
        <v>3313</v>
      </c>
      <c r="F1076" t="s">
        <v>3314</v>
      </c>
      <c r="J1076" t="s">
        <v>115</v>
      </c>
      <c r="K1076" s="18" t="s">
        <v>3315</v>
      </c>
      <c r="N1076" s="17" t="s">
        <v>77</v>
      </c>
      <c r="O1076" t="s">
        <v>145</v>
      </c>
      <c r="V1076" s="18" t="s">
        <v>3315</v>
      </c>
      <c r="Y1076" t="s">
        <v>90</v>
      </c>
      <c r="AA1076" t="s">
        <v>118</v>
      </c>
      <c r="AB1076" t="s">
        <v>119</v>
      </c>
    </row>
    <row r="1077" ht="15" customHeight="1" spans="1:25" x14ac:dyDescent="0.25">
      <c r="A1077" s="17" t="s">
        <v>3316</v>
      </c>
      <c r="B1077" s="17" t="s">
        <v>70</v>
      </c>
      <c r="C1077" s="17" t="s">
        <v>71</v>
      </c>
      <c r="D1077" t="s">
        <v>3317</v>
      </c>
      <c r="F1077" t="s">
        <v>3317</v>
      </c>
      <c r="J1077" s="17" t="s">
        <v>3318</v>
      </c>
      <c r="K1077" s="18">
        <f>6281315430023</f>
        <v>6281315430023</v>
      </c>
      <c r="N1077" s="17" t="s">
        <v>77</v>
      </c>
      <c r="U1077" s="17"/>
      <c r="V1077" s="18">
        <f>6281315430023</f>
        <v>6281315430023</v>
      </c>
      <c r="W1077" t="s">
        <v>3319</v>
      </c>
      <c r="Y1077" s="17" t="s">
        <v>3320</v>
      </c>
    </row>
    <row r="1078" ht="15" customHeight="1" spans="1:23" x14ac:dyDescent="0.25">
      <c r="A1078" s="17" t="s">
        <v>3321</v>
      </c>
      <c r="B1078" s="17" t="s">
        <v>70</v>
      </c>
      <c r="C1078" s="17" t="s">
        <v>71</v>
      </c>
      <c r="D1078" t="s">
        <v>3317</v>
      </c>
      <c r="F1078" t="s">
        <v>3322</v>
      </c>
      <c r="K1078" s="18">
        <f>628122213344</f>
        <v>628122213344</v>
      </c>
      <c r="N1078" s="17" t="s">
        <v>81</v>
      </c>
      <c r="U1078" s="17"/>
      <c r="V1078" s="18">
        <f>628122213344</f>
        <v>628122213344</v>
      </c>
      <c r="W1078" t="s">
        <v>3323</v>
      </c>
    </row>
    <row r="1079" ht="15" customHeight="1" spans="1:25" x14ac:dyDescent="0.25">
      <c r="A1079" s="17" t="s">
        <v>3324</v>
      </c>
      <c r="B1079" s="17" t="s">
        <v>70</v>
      </c>
      <c r="C1079" s="17" t="s">
        <v>71</v>
      </c>
      <c r="D1079" t="s">
        <v>3317</v>
      </c>
      <c r="F1079" t="s">
        <v>3325</v>
      </c>
      <c r="K1079" s="18">
        <f>628118039797</f>
        <v>628118039797</v>
      </c>
      <c r="N1079" s="17" t="s">
        <v>77</v>
      </c>
      <c r="U1079" s="17"/>
      <c r="V1079" s="18">
        <f>628118039797</f>
        <v>628118039797</v>
      </c>
      <c r="W1079" t="s">
        <v>3326</v>
      </c>
      <c r="Y1079" s="17" t="s">
        <v>96</v>
      </c>
    </row>
    <row r="1080" ht="15" customHeight="1" spans="1:22" x14ac:dyDescent="0.25">
      <c r="A1080" s="17" t="s">
        <v>3327</v>
      </c>
      <c r="B1080" s="17" t="s">
        <v>70</v>
      </c>
      <c r="C1080" s="17" t="s">
        <v>71</v>
      </c>
      <c r="D1080" t="s">
        <v>3317</v>
      </c>
      <c r="F1080" t="s">
        <v>2345</v>
      </c>
      <c r="K1080" s="18">
        <f>628111820592</f>
        <v>628111820592</v>
      </c>
      <c r="N1080" s="17" t="s">
        <v>81</v>
      </c>
      <c r="V1080" s="18">
        <f>628111820592</f>
        <v>628111820592</v>
      </c>
    </row>
    <row r="1081" ht="15" customHeight="1" spans="1:22" x14ac:dyDescent="0.25">
      <c r="A1081" s="17" t="s">
        <v>3328</v>
      </c>
      <c r="B1081" s="17" t="s">
        <v>70</v>
      </c>
      <c r="C1081" s="17" t="s">
        <v>71</v>
      </c>
      <c r="D1081" t="s">
        <v>3317</v>
      </c>
      <c r="F1081" t="s">
        <v>3329</v>
      </c>
      <c r="K1081" s="18">
        <f>62818102027</f>
        <v>62818102027</v>
      </c>
      <c r="N1081" s="17" t="s">
        <v>77</v>
      </c>
      <c r="V1081" s="18">
        <f>62818102027</f>
        <v>62818102027</v>
      </c>
    </row>
    <row r="1082" ht="15" customHeight="1" spans="1:23" x14ac:dyDescent="0.25">
      <c r="A1082" s="17" t="s">
        <v>3330</v>
      </c>
      <c r="B1082" s="17" t="s">
        <v>70</v>
      </c>
      <c r="C1082" s="17" t="s">
        <v>71</v>
      </c>
      <c r="D1082" t="s">
        <v>3313</v>
      </c>
      <c r="F1082" t="s">
        <v>3331</v>
      </c>
      <c r="K1082" s="18">
        <f>62217666223</f>
        <v>62217666223</v>
      </c>
      <c r="N1082" s="17" t="s">
        <v>77</v>
      </c>
      <c r="U1082" s="17"/>
      <c r="V1082" s="18">
        <f>62217666223</f>
        <v>62217666223</v>
      </c>
      <c r="W1082" t="s">
        <v>3332</v>
      </c>
    </row>
    <row r="1083" ht="15" customHeight="1" spans="1:28" x14ac:dyDescent="0.25">
      <c r="A1083" s="17" t="s">
        <v>3333</v>
      </c>
      <c r="B1083" s="17" t="s">
        <v>70</v>
      </c>
      <c r="C1083" s="17" t="s">
        <v>71</v>
      </c>
      <c r="D1083" t="s">
        <v>3313</v>
      </c>
      <c r="F1083" t="s">
        <v>3334</v>
      </c>
      <c r="J1083" t="s">
        <v>115</v>
      </c>
      <c r="K1083" s="18" t="s">
        <v>3335</v>
      </c>
      <c r="N1083" s="17" t="s">
        <v>74</v>
      </c>
      <c r="O1083" t="s">
        <v>199</v>
      </c>
      <c r="U1083" s="17"/>
      <c r="V1083" s="18" t="s">
        <v>3335</v>
      </c>
      <c r="W1083" t="s">
        <v>3336</v>
      </c>
      <c r="Y1083" t="s">
        <v>96</v>
      </c>
      <c r="AA1083" t="s">
        <v>693</v>
      </c>
      <c r="AB1083" t="s">
        <v>119</v>
      </c>
    </row>
    <row r="1084" ht="15" customHeight="1" spans="1:25" x14ac:dyDescent="0.25">
      <c r="A1084" s="17" t="s">
        <v>3337</v>
      </c>
      <c r="B1084" s="17" t="s">
        <v>70</v>
      </c>
      <c r="C1084" s="17" t="s">
        <v>71</v>
      </c>
      <c r="D1084" t="s">
        <v>3313</v>
      </c>
      <c r="F1084" t="s">
        <v>3314</v>
      </c>
      <c r="K1084" s="18">
        <f>6281381914573</f>
        <v>6281381914573</v>
      </c>
      <c r="N1084" s="17" t="s">
        <v>74</v>
      </c>
      <c r="U1084" s="17"/>
      <c r="V1084" s="18">
        <f>6281381914573</f>
        <v>6281381914573</v>
      </c>
      <c r="W1084" t="s">
        <v>3338</v>
      </c>
      <c r="Y1084" s="17" t="s">
        <v>3320</v>
      </c>
    </row>
    <row r="1085" ht="15" customHeight="1" spans="1:25" x14ac:dyDescent="0.25">
      <c r="A1085" s="17" t="s">
        <v>3339</v>
      </c>
      <c r="B1085" s="17" t="s">
        <v>70</v>
      </c>
      <c r="C1085" s="17" t="s">
        <v>71</v>
      </c>
      <c r="D1085" t="s">
        <v>3313</v>
      </c>
      <c r="F1085" t="s">
        <v>3340</v>
      </c>
      <c r="K1085" s="18">
        <f>628127129986</f>
        <v>628127129986</v>
      </c>
      <c r="N1085" s="17" t="s">
        <v>77</v>
      </c>
      <c r="U1085" s="17"/>
      <c r="V1085" s="18">
        <f>628127129986</f>
        <v>628127129986</v>
      </c>
      <c r="W1085" t="s">
        <v>3341</v>
      </c>
      <c r="Y1085" s="17" t="s">
        <v>96</v>
      </c>
    </row>
    <row r="1086" ht="15" customHeight="1" spans="1:22" x14ac:dyDescent="0.25">
      <c r="A1086" s="17" t="s">
        <v>3342</v>
      </c>
      <c r="B1086" s="17" t="s">
        <v>70</v>
      </c>
      <c r="C1086" s="17" t="s">
        <v>71</v>
      </c>
      <c r="D1086" t="s">
        <v>3343</v>
      </c>
      <c r="F1086" t="s">
        <v>3343</v>
      </c>
      <c r="K1086" s="18">
        <f>62816899249</f>
        <v>62816899249</v>
      </c>
      <c r="N1086" s="17" t="s">
        <v>74</v>
      </c>
      <c r="V1086" s="18">
        <f>62816899249</f>
        <v>62816899249</v>
      </c>
    </row>
    <row r="1087" ht="15" customHeight="1" spans="1:25" x14ac:dyDescent="0.25">
      <c r="A1087" s="17" t="s">
        <v>3344</v>
      </c>
      <c r="B1087" s="17" t="s">
        <v>70</v>
      </c>
      <c r="C1087" s="17" t="s">
        <v>71</v>
      </c>
      <c r="D1087" t="s">
        <v>3345</v>
      </c>
      <c r="F1087" t="s">
        <v>3346</v>
      </c>
      <c r="K1087" s="18">
        <f>6281513200808</f>
        <v>6281513200808</v>
      </c>
      <c r="N1087" s="17" t="s">
        <v>77</v>
      </c>
      <c r="U1087" s="17"/>
      <c r="V1087" s="18">
        <f>6281513200808</f>
        <v>6281513200808</v>
      </c>
      <c r="W1087" t="s">
        <v>3347</v>
      </c>
      <c r="Y1087" s="17" t="s">
        <v>626</v>
      </c>
    </row>
    <row r="1088" ht="15" customHeight="1" spans="1:22" x14ac:dyDescent="0.25">
      <c r="A1088" s="17" t="s">
        <v>3348</v>
      </c>
      <c r="B1088" s="17" t="s">
        <v>70</v>
      </c>
      <c r="C1088" s="17" t="s">
        <v>71</v>
      </c>
      <c r="D1088" t="s">
        <v>3349</v>
      </c>
      <c r="F1088" t="s">
        <v>3349</v>
      </c>
      <c r="K1088" s="18">
        <f>628121277676</f>
        <v>628121277676</v>
      </c>
      <c r="N1088" s="17" t="s">
        <v>81</v>
      </c>
      <c r="V1088" s="18">
        <f>628121277676</f>
        <v>628121277676</v>
      </c>
    </row>
    <row r="1089" ht="15" customHeight="1" spans="1:28" x14ac:dyDescent="0.25">
      <c r="A1089" s="17" t="s">
        <v>3350</v>
      </c>
      <c r="B1089" s="17" t="s">
        <v>70</v>
      </c>
      <c r="C1089" s="17" t="s">
        <v>71</v>
      </c>
      <c r="D1089" t="s">
        <v>3351</v>
      </c>
      <c r="F1089" t="s">
        <v>864</v>
      </c>
      <c r="J1089" t="s">
        <v>115</v>
      </c>
      <c r="K1089" s="18" t="s">
        <v>3352</v>
      </c>
      <c r="N1089" s="17" t="s">
        <v>81</v>
      </c>
      <c r="O1089" t="s">
        <v>199</v>
      </c>
      <c r="V1089" s="18" t="s">
        <v>3352</v>
      </c>
      <c r="Y1089" t="s">
        <v>190</v>
      </c>
      <c r="AA1089" t="s">
        <v>118</v>
      </c>
      <c r="AB1089" t="s">
        <v>119</v>
      </c>
    </row>
    <row r="1090" ht="15" customHeight="1" spans="1:23" x14ac:dyDescent="0.25">
      <c r="A1090" s="17" t="s">
        <v>3353</v>
      </c>
      <c r="B1090" s="17" t="s">
        <v>70</v>
      </c>
      <c r="C1090" s="17" t="s">
        <v>71</v>
      </c>
      <c r="D1090" t="s">
        <v>3349</v>
      </c>
      <c r="F1090" t="s">
        <v>3354</v>
      </c>
      <c r="K1090" s="18">
        <f>628176087879</f>
        <v>628176087879</v>
      </c>
      <c r="N1090" s="17" t="s">
        <v>81</v>
      </c>
      <c r="U1090" s="17"/>
      <c r="V1090" s="18">
        <f>628176087879</f>
        <v>628176087879</v>
      </c>
      <c r="W1090" t="s">
        <v>3355</v>
      </c>
    </row>
    <row r="1091" ht="15" customHeight="1" spans="1:22" x14ac:dyDescent="0.25">
      <c r="A1091" s="17" t="s">
        <v>3356</v>
      </c>
      <c r="B1091" s="17" t="s">
        <v>70</v>
      </c>
      <c r="C1091" s="17" t="s">
        <v>71</v>
      </c>
      <c r="D1091" t="s">
        <v>3357</v>
      </c>
      <c r="F1091" t="s">
        <v>3357</v>
      </c>
      <c r="K1091" s="18">
        <f>628129999888</f>
        <v>628129999888</v>
      </c>
      <c r="N1091" s="17" t="s">
        <v>81</v>
      </c>
      <c r="V1091" s="18">
        <f>628129999888</f>
        <v>628129999888</v>
      </c>
    </row>
    <row r="1092" ht="15" customHeight="1" spans="1:28" x14ac:dyDescent="0.25">
      <c r="A1092" s="17" t="s">
        <v>3358</v>
      </c>
      <c r="B1092" s="17" t="s">
        <v>70</v>
      </c>
      <c r="C1092" s="17" t="s">
        <v>71</v>
      </c>
      <c r="D1092" t="s">
        <v>3357</v>
      </c>
      <c r="F1092" t="s">
        <v>3359</v>
      </c>
      <c r="J1092" s="17" t="s">
        <v>3360</v>
      </c>
      <c r="K1092" s="18" t="s">
        <v>3361</v>
      </c>
      <c r="N1092" s="17" t="s">
        <v>77</v>
      </c>
      <c r="O1092" t="s">
        <v>199</v>
      </c>
      <c r="U1092" s="17"/>
      <c r="V1092" s="18" t="s">
        <v>3361</v>
      </c>
      <c r="W1092" t="s">
        <v>490</v>
      </c>
      <c r="Y1092" t="s">
        <v>490</v>
      </c>
      <c r="AA1092" t="s">
        <v>115</v>
      </c>
      <c r="AB1092" t="s">
        <v>119</v>
      </c>
    </row>
    <row r="1093" ht="15" customHeight="1" spans="1:22" x14ac:dyDescent="0.25">
      <c r="A1093" s="17" t="s">
        <v>3362</v>
      </c>
      <c r="B1093" s="17" t="s">
        <v>70</v>
      </c>
      <c r="C1093" s="17" t="s">
        <v>71</v>
      </c>
      <c r="D1093" t="s">
        <v>3193</v>
      </c>
      <c r="F1093" t="s">
        <v>3193</v>
      </c>
      <c r="K1093" s="18">
        <f>628129268491</f>
        <v>628129268491</v>
      </c>
      <c r="N1093" s="17" t="s">
        <v>77</v>
      </c>
      <c r="V1093" s="18">
        <f>628129268491</f>
        <v>628129268491</v>
      </c>
    </row>
    <row r="1094" ht="15" customHeight="1" spans="1:23" x14ac:dyDescent="0.25">
      <c r="A1094" s="17" t="s">
        <v>3363</v>
      </c>
      <c r="B1094" s="17" t="s">
        <v>70</v>
      </c>
      <c r="C1094" s="17" t="s">
        <v>71</v>
      </c>
      <c r="D1094" t="s">
        <v>3193</v>
      </c>
      <c r="F1094" t="s">
        <v>3364</v>
      </c>
      <c r="K1094" s="18">
        <f>62811819885</f>
        <v>62811819885</v>
      </c>
      <c r="N1094" s="17" t="s">
        <v>77</v>
      </c>
      <c r="U1094" s="17"/>
      <c r="V1094" s="18">
        <f>62811819885</f>
        <v>62811819885</v>
      </c>
      <c r="W1094" t="s">
        <v>3365</v>
      </c>
    </row>
    <row r="1095" ht="15" customHeight="1" spans="1:22" x14ac:dyDescent="0.25">
      <c r="A1095" s="17" t="s">
        <v>3366</v>
      </c>
      <c r="B1095" s="17" t="s">
        <v>70</v>
      </c>
      <c r="C1095" s="17" t="s">
        <v>71</v>
      </c>
      <c r="D1095" t="s">
        <v>2288</v>
      </c>
      <c r="F1095" t="s">
        <v>2288</v>
      </c>
      <c r="K1095" s="18">
        <f>6285959971255</f>
        <v>6285959971255</v>
      </c>
      <c r="N1095" s="17" t="s">
        <v>77</v>
      </c>
      <c r="V1095" s="18">
        <f>6285959971255</f>
        <v>6285959971255</v>
      </c>
    </row>
    <row r="1096" ht="15" customHeight="1" spans="1:25" x14ac:dyDescent="0.25">
      <c r="A1096" s="17" t="s">
        <v>3367</v>
      </c>
      <c r="B1096" s="17" t="s">
        <v>70</v>
      </c>
      <c r="C1096" s="17" t="s">
        <v>71</v>
      </c>
      <c r="D1096" t="s">
        <v>3368</v>
      </c>
      <c r="F1096" t="s">
        <v>3369</v>
      </c>
      <c r="K1096" s="18">
        <f>628128653708</f>
        <v>628128653708</v>
      </c>
      <c r="N1096" s="17" t="s">
        <v>81</v>
      </c>
      <c r="U1096" s="17"/>
      <c r="V1096" s="18">
        <f>628128653708</f>
        <v>628128653708</v>
      </c>
      <c r="W1096" t="s">
        <v>3370</v>
      </c>
      <c r="Y1096" s="17" t="s">
        <v>90</v>
      </c>
    </row>
    <row r="1097" ht="15" customHeight="1" spans="1:28" x14ac:dyDescent="0.25">
      <c r="A1097" s="17" t="s">
        <v>3371</v>
      </c>
      <c r="B1097" s="17" t="s">
        <v>70</v>
      </c>
      <c r="C1097" s="17" t="s">
        <v>71</v>
      </c>
      <c r="D1097" t="s">
        <v>3372</v>
      </c>
      <c r="F1097" t="s">
        <v>3373</v>
      </c>
      <c r="J1097" s="17" t="s">
        <v>3374</v>
      </c>
      <c r="K1097" s="18" t="s">
        <v>3375</v>
      </c>
      <c r="N1097" s="17" t="s">
        <v>74</v>
      </c>
      <c r="O1097" t="s">
        <v>117</v>
      </c>
      <c r="U1097" s="17"/>
      <c r="V1097" s="18" t="s">
        <v>3375</v>
      </c>
      <c r="W1097" t="s">
        <v>3376</v>
      </c>
      <c r="Y1097" t="s">
        <v>190</v>
      </c>
      <c r="AA1097" t="s">
        <v>118</v>
      </c>
      <c r="AB1097" t="s">
        <v>119</v>
      </c>
    </row>
    <row r="1098" ht="15" customHeight="1" spans="1:22" x14ac:dyDescent="0.25">
      <c r="A1098" s="17" t="s">
        <v>3377</v>
      </c>
      <c r="B1098" s="17" t="s">
        <v>70</v>
      </c>
      <c r="C1098" s="17" t="s">
        <v>71</v>
      </c>
      <c r="D1098" t="s">
        <v>3378</v>
      </c>
      <c r="F1098" t="s">
        <v>3378</v>
      </c>
      <c r="K1098" s="18">
        <f>628577876144</f>
        <v>628577876144</v>
      </c>
      <c r="N1098" s="17" t="s">
        <v>81</v>
      </c>
      <c r="V1098" s="18">
        <f>628577876144</f>
        <v>628577876144</v>
      </c>
    </row>
    <row r="1099" ht="15" customHeight="1" spans="1:28" x14ac:dyDescent="0.25">
      <c r="A1099" s="17" t="s">
        <v>3379</v>
      </c>
      <c r="B1099" s="17" t="s">
        <v>70</v>
      </c>
      <c r="C1099" s="17" t="s">
        <v>71</v>
      </c>
      <c r="D1099" t="s">
        <v>3380</v>
      </c>
      <c r="F1099" t="s">
        <v>3381</v>
      </c>
      <c r="J1099" t="s">
        <v>115</v>
      </c>
      <c r="K1099" s="18" t="s">
        <v>3382</v>
      </c>
      <c r="N1099" s="17" t="s">
        <v>77</v>
      </c>
      <c r="O1099" t="s">
        <v>117</v>
      </c>
      <c r="U1099" s="17"/>
      <c r="V1099" s="18" t="s">
        <v>3382</v>
      </c>
      <c r="W1099" t="s">
        <v>3383</v>
      </c>
      <c r="Y1099" s="17" t="s">
        <v>90</v>
      </c>
      <c r="AA1099" t="s">
        <v>118</v>
      </c>
      <c r="AB1099" t="s">
        <v>119</v>
      </c>
    </row>
    <row r="1100" ht="15" customHeight="1" spans="1:22" x14ac:dyDescent="0.25">
      <c r="A1100" s="17" t="s">
        <v>3384</v>
      </c>
      <c r="B1100" s="17" t="s">
        <v>70</v>
      </c>
      <c r="C1100" s="17" t="s">
        <v>71</v>
      </c>
      <c r="D1100" t="s">
        <v>3351</v>
      </c>
      <c r="F1100" t="s">
        <v>3351</v>
      </c>
      <c r="K1100" s="18">
        <f>62816887054</f>
        <v>62816887054</v>
      </c>
      <c r="N1100" s="17" t="s">
        <v>74</v>
      </c>
      <c r="V1100" s="18">
        <f>62816887054</f>
        <v>62816887054</v>
      </c>
    </row>
    <row r="1101" ht="15" customHeight="1" spans="1:23" x14ac:dyDescent="0.25">
      <c r="A1101" s="17" t="s">
        <v>3385</v>
      </c>
      <c r="B1101" s="17" t="s">
        <v>70</v>
      </c>
      <c r="C1101" s="17" t="s">
        <v>71</v>
      </c>
      <c r="D1101" t="s">
        <v>3351</v>
      </c>
      <c r="F1101" t="s">
        <v>3386</v>
      </c>
      <c r="K1101" s="18">
        <f>62811211212</f>
        <v>62811211212</v>
      </c>
      <c r="N1101" s="17" t="s">
        <v>74</v>
      </c>
      <c r="U1101" s="17"/>
      <c r="V1101" s="18">
        <f>62811211212</f>
        <v>62811211212</v>
      </c>
      <c r="W1101" t="s">
        <v>90</v>
      </c>
    </row>
    <row r="1102" ht="15" customHeight="1" spans="1:22" x14ac:dyDescent="0.25">
      <c r="A1102" s="17" t="s">
        <v>3387</v>
      </c>
      <c r="B1102" s="17" t="s">
        <v>70</v>
      </c>
      <c r="C1102" s="17" t="s">
        <v>71</v>
      </c>
      <c r="D1102" t="s">
        <v>3351</v>
      </c>
      <c r="F1102" t="s">
        <v>864</v>
      </c>
      <c r="J1102" s="17" t="s">
        <v>3388</v>
      </c>
      <c r="K1102" s="18">
        <f>6281381892808</f>
        <v>6281381892808</v>
      </c>
      <c r="N1102" s="17" t="s">
        <v>77</v>
      </c>
      <c r="V1102" s="18">
        <f>6281381892808</f>
        <v>6281381892808</v>
      </c>
    </row>
    <row r="1103" ht="15" customHeight="1" spans="1:28" x14ac:dyDescent="0.25">
      <c r="A1103" s="17" t="s">
        <v>3389</v>
      </c>
      <c r="B1103" s="17" t="s">
        <v>70</v>
      </c>
      <c r="C1103" s="17" t="s">
        <v>71</v>
      </c>
      <c r="D1103" t="s">
        <v>3351</v>
      </c>
      <c r="F1103" t="s">
        <v>3390</v>
      </c>
      <c r="J1103" t="s">
        <v>115</v>
      </c>
      <c r="K1103" s="18" t="s">
        <v>3391</v>
      </c>
      <c r="N1103" s="17" t="s">
        <v>77</v>
      </c>
      <c r="O1103" t="s">
        <v>145</v>
      </c>
      <c r="V1103" s="18" t="s">
        <v>3391</v>
      </c>
      <c r="Y1103" t="s">
        <v>90</v>
      </c>
      <c r="AA1103" t="s">
        <v>118</v>
      </c>
      <c r="AB1103" t="s">
        <v>119</v>
      </c>
    </row>
    <row r="1104" ht="15" customHeight="1" spans="1:27" x14ac:dyDescent="0.25">
      <c r="A1104" s="17" t="s">
        <v>3392</v>
      </c>
      <c r="B1104" s="17" t="s">
        <v>70</v>
      </c>
      <c r="C1104" s="17" t="s">
        <v>71</v>
      </c>
      <c r="D1104" t="s">
        <v>3351</v>
      </c>
      <c r="F1104" t="s">
        <v>3393</v>
      </c>
      <c r="K1104" s="18">
        <f>6281237777320</f>
        <v>6281237777320</v>
      </c>
      <c r="N1104" s="17" t="s">
        <v>81</v>
      </c>
      <c r="U1104" s="17"/>
      <c r="V1104" s="18">
        <f>6281237777320</f>
        <v>6281237777320</v>
      </c>
      <c r="W1104" t="s">
        <v>3394</v>
      </c>
      <c r="AA1104" s="17">
        <v>15811</v>
      </c>
    </row>
    <row r="1105" ht="15" customHeight="1" spans="1:28" x14ac:dyDescent="0.25">
      <c r="A1105" s="17" t="s">
        <v>3395</v>
      </c>
      <c r="B1105" s="17" t="s">
        <v>70</v>
      </c>
      <c r="C1105" s="17" t="s">
        <v>71</v>
      </c>
      <c r="D1105" t="s">
        <v>3396</v>
      </c>
      <c r="F1105" t="s">
        <v>3397</v>
      </c>
      <c r="J1105" t="s">
        <v>115</v>
      </c>
      <c r="K1105" s="18" t="s">
        <v>3398</v>
      </c>
      <c r="N1105" s="17" t="s">
        <v>77</v>
      </c>
      <c r="O1105" t="s">
        <v>117</v>
      </c>
      <c r="V1105" s="18" t="s">
        <v>3398</v>
      </c>
      <c r="Y1105" t="s">
        <v>115</v>
      </c>
      <c r="AA1105" t="s">
        <v>115</v>
      </c>
      <c r="AB1105" t="s">
        <v>119</v>
      </c>
    </row>
    <row r="1106" ht="15" customHeight="1" spans="1:22" x14ac:dyDescent="0.25">
      <c r="A1106" s="17" t="s">
        <v>3399</v>
      </c>
      <c r="B1106" s="17" t="s">
        <v>70</v>
      </c>
      <c r="C1106" s="17" t="s">
        <v>71</v>
      </c>
      <c r="D1106" t="s">
        <v>3351</v>
      </c>
      <c r="F1106" t="s">
        <v>686</v>
      </c>
      <c r="K1106" s="18">
        <f>62811961415</f>
        <v>62811961415</v>
      </c>
      <c r="N1106" s="17" t="s">
        <v>77</v>
      </c>
      <c r="V1106" s="18">
        <f>62811961415</f>
        <v>62811961415</v>
      </c>
    </row>
    <row r="1107" ht="15" customHeight="1" spans="1:27" x14ac:dyDescent="0.25">
      <c r="A1107" s="17" t="s">
        <v>3400</v>
      </c>
      <c r="B1107" s="17" t="s">
        <v>70</v>
      </c>
      <c r="C1107" s="17" t="s">
        <v>71</v>
      </c>
      <c r="D1107" t="s">
        <v>3401</v>
      </c>
      <c r="F1107" t="s">
        <v>1368</v>
      </c>
      <c r="K1107" s="18">
        <f>62811486997</f>
        <v>62811486997</v>
      </c>
      <c r="N1107" s="17" t="s">
        <v>77</v>
      </c>
      <c r="U1107" s="17"/>
      <c r="V1107" s="18">
        <f>62811486997</f>
        <v>62811486997</v>
      </c>
      <c r="W1107" t="s">
        <v>3402</v>
      </c>
      <c r="Y1107" s="17" t="s">
        <v>96</v>
      </c>
      <c r="AA1107" s="17" t="s">
        <v>3403</v>
      </c>
    </row>
    <row r="1108" ht="15" customHeight="1" spans="1:22" x14ac:dyDescent="0.25">
      <c r="A1108" s="17" t="s">
        <v>3404</v>
      </c>
      <c r="B1108" s="17" t="s">
        <v>70</v>
      </c>
      <c r="C1108" s="17" t="s">
        <v>71</v>
      </c>
      <c r="D1108" t="s">
        <v>3405</v>
      </c>
      <c r="F1108" t="s">
        <v>3405</v>
      </c>
      <c r="K1108" s="18">
        <f>6281290958637</f>
        <v>6281290958637</v>
      </c>
      <c r="N1108" s="17" t="s">
        <v>81</v>
      </c>
      <c r="V1108" s="18">
        <f>6281290958637</f>
        <v>6281290958637</v>
      </c>
    </row>
    <row r="1109" ht="15" customHeight="1" spans="1:25" x14ac:dyDescent="0.25">
      <c r="A1109" s="17" t="s">
        <v>3406</v>
      </c>
      <c r="B1109" s="17" t="s">
        <v>70</v>
      </c>
      <c r="C1109" s="17" t="s">
        <v>71</v>
      </c>
      <c r="D1109" t="s">
        <v>3407</v>
      </c>
      <c r="F1109" t="s">
        <v>3407</v>
      </c>
      <c r="K1109" s="18">
        <f>628164812320</f>
        <v>628164812320</v>
      </c>
      <c r="N1109" s="17" t="s">
        <v>77</v>
      </c>
      <c r="U1109" s="17"/>
      <c r="V1109" s="18">
        <f>628164812320</f>
        <v>628164812320</v>
      </c>
      <c r="W1109" t="s">
        <v>3408</v>
      </c>
      <c r="Y1109" s="17" t="s">
        <v>90</v>
      </c>
    </row>
    <row r="1110" ht="15" customHeight="1" spans="1:23" x14ac:dyDescent="0.25">
      <c r="A1110" s="17" t="s">
        <v>3409</v>
      </c>
      <c r="B1110" s="17" t="s">
        <v>70</v>
      </c>
      <c r="C1110" s="17" t="s">
        <v>71</v>
      </c>
      <c r="D1110" t="s">
        <v>3407</v>
      </c>
      <c r="F1110" t="s">
        <v>3407</v>
      </c>
      <c r="K1110" s="18">
        <f>62812138884</f>
        <v>62812138884</v>
      </c>
      <c r="N1110" s="17" t="s">
        <v>81</v>
      </c>
      <c r="U1110" s="17"/>
      <c r="V1110" s="18">
        <f>62812138884</f>
        <v>62812138884</v>
      </c>
      <c r="W1110" t="s">
        <v>3410</v>
      </c>
    </row>
    <row r="1111" ht="15" customHeight="1" spans="1:22" x14ac:dyDescent="0.25">
      <c r="A1111" s="17" t="s">
        <v>3411</v>
      </c>
      <c r="B1111" s="17" t="s">
        <v>70</v>
      </c>
      <c r="C1111" s="17" t="s">
        <v>71</v>
      </c>
      <c r="D1111" t="s">
        <v>3407</v>
      </c>
      <c r="F1111" t="s">
        <v>3407</v>
      </c>
      <c r="K1111" s="18">
        <f>628121138884</f>
        <v>628121138884</v>
      </c>
      <c r="N1111" s="17" t="s">
        <v>81</v>
      </c>
      <c r="V1111" s="18">
        <f>628121138884</f>
        <v>628121138884</v>
      </c>
    </row>
    <row r="1112" ht="15" customHeight="1" spans="1:22" x14ac:dyDescent="0.25">
      <c r="A1112" s="17" t="s">
        <v>3412</v>
      </c>
      <c r="B1112" s="17" t="s">
        <v>70</v>
      </c>
      <c r="C1112" s="17" t="s">
        <v>71</v>
      </c>
      <c r="D1112" t="s">
        <v>3407</v>
      </c>
      <c r="F1112" t="s">
        <v>3413</v>
      </c>
      <c r="K1112" s="18">
        <f>6281289934744</f>
        <v>6281289934744</v>
      </c>
      <c r="N1112" s="17" t="s">
        <v>77</v>
      </c>
      <c r="V1112" s="18">
        <f>6281289934744</f>
        <v>6281289934744</v>
      </c>
    </row>
    <row r="1113" ht="15" customHeight="1" spans="1:25" x14ac:dyDescent="0.25">
      <c r="A1113" s="17" t="s">
        <v>3414</v>
      </c>
      <c r="B1113" s="17" t="s">
        <v>70</v>
      </c>
      <c r="C1113" s="17" t="s">
        <v>71</v>
      </c>
      <c r="D1113" t="s">
        <v>3407</v>
      </c>
      <c r="F1113" t="s">
        <v>3415</v>
      </c>
      <c r="J1113" s="17" t="s">
        <v>3416</v>
      </c>
      <c r="K1113" s="18">
        <f>62811546938</f>
        <v>62811546938</v>
      </c>
      <c r="N1113" s="17" t="s">
        <v>77</v>
      </c>
      <c r="U1113" s="17"/>
      <c r="V1113" s="18">
        <f>62811546938</f>
        <v>62811546938</v>
      </c>
      <c r="W1113" t="s">
        <v>3417</v>
      </c>
      <c r="Y1113" s="17" t="s">
        <v>217</v>
      </c>
    </row>
    <row r="1114" ht="15" customHeight="1" spans="1:22" x14ac:dyDescent="0.25">
      <c r="A1114" s="17" t="s">
        <v>3418</v>
      </c>
      <c r="B1114" s="17" t="s">
        <v>70</v>
      </c>
      <c r="C1114" s="17" t="s">
        <v>71</v>
      </c>
      <c r="D1114" t="s">
        <v>3407</v>
      </c>
      <c r="F1114" t="s">
        <v>3419</v>
      </c>
      <c r="K1114" s="18">
        <f>628569999062</f>
        <v>628569999062</v>
      </c>
      <c r="N1114" s="17" t="s">
        <v>81</v>
      </c>
      <c r="V1114" s="18">
        <f>628569999062</f>
        <v>628569999062</v>
      </c>
    </row>
    <row r="1115" ht="15" customHeight="1" spans="1:22" x14ac:dyDescent="0.25">
      <c r="A1115" s="17" t="s">
        <v>3420</v>
      </c>
      <c r="B1115" s="17" t="s">
        <v>70</v>
      </c>
      <c r="C1115" s="17" t="s">
        <v>71</v>
      </c>
      <c r="D1115" t="s">
        <v>3407</v>
      </c>
      <c r="F1115" t="s">
        <v>150</v>
      </c>
      <c r="K1115" s="18">
        <f>6287868327575</f>
        <v>6287868327575</v>
      </c>
      <c r="N1115" s="17" t="s">
        <v>81</v>
      </c>
      <c r="V1115" s="18">
        <f>6287868327575</f>
        <v>6287868327575</v>
      </c>
    </row>
    <row r="1116" ht="15" customHeight="1" spans="1:28" x14ac:dyDescent="0.25">
      <c r="A1116" s="17" t="s">
        <v>3421</v>
      </c>
      <c r="B1116" s="17" t="s">
        <v>70</v>
      </c>
      <c r="C1116" s="17" t="s">
        <v>71</v>
      </c>
      <c r="D1116" t="s">
        <v>3407</v>
      </c>
      <c r="F1116" t="s">
        <v>3422</v>
      </c>
      <c r="J1116" t="s">
        <v>115</v>
      </c>
      <c r="K1116" s="18" t="s">
        <v>3423</v>
      </c>
      <c r="N1116" s="17" t="s">
        <v>77</v>
      </c>
      <c r="O1116" t="s">
        <v>117</v>
      </c>
      <c r="V1116" s="18" t="s">
        <v>3423</v>
      </c>
      <c r="Y1116" t="s">
        <v>190</v>
      </c>
      <c r="AA1116" t="s">
        <v>118</v>
      </c>
      <c r="AB1116" t="s">
        <v>119</v>
      </c>
    </row>
    <row r="1117" ht="15" customHeight="1" spans="1:22" x14ac:dyDescent="0.25">
      <c r="A1117" s="17" t="s">
        <v>3424</v>
      </c>
      <c r="B1117" s="17" t="s">
        <v>70</v>
      </c>
      <c r="C1117" s="17" t="s">
        <v>71</v>
      </c>
      <c r="D1117" t="s">
        <v>3407</v>
      </c>
      <c r="F1117" t="s">
        <v>2885</v>
      </c>
      <c r="K1117" s="18">
        <f>6281808082082</f>
        <v>6281808082082</v>
      </c>
      <c r="N1117" s="17" t="s">
        <v>77</v>
      </c>
      <c r="V1117" s="18">
        <f>6281808082082</f>
        <v>6281808082082</v>
      </c>
    </row>
    <row r="1118" ht="15" customHeight="1" spans="1:23" x14ac:dyDescent="0.25">
      <c r="A1118" s="17" t="s">
        <v>3425</v>
      </c>
      <c r="B1118" s="17" t="s">
        <v>70</v>
      </c>
      <c r="C1118" s="17" t="s">
        <v>71</v>
      </c>
      <c r="D1118" t="s">
        <v>3407</v>
      </c>
      <c r="F1118" t="s">
        <v>3426</v>
      </c>
      <c r="K1118" s="18">
        <f>628129947981</f>
        <v>628129947981</v>
      </c>
      <c r="N1118" s="17" t="s">
        <v>81</v>
      </c>
      <c r="U1118" s="17"/>
      <c r="V1118" s="18">
        <f>628129947981</f>
        <v>628129947981</v>
      </c>
      <c r="W1118" t="s">
        <v>3427</v>
      </c>
    </row>
    <row r="1119" ht="15" customHeight="1" spans="1:22" x14ac:dyDescent="0.25">
      <c r="A1119" s="17" t="s">
        <v>3428</v>
      </c>
      <c r="B1119" s="17" t="s">
        <v>70</v>
      </c>
      <c r="C1119" s="17" t="s">
        <v>71</v>
      </c>
      <c r="D1119" t="s">
        <v>3407</v>
      </c>
      <c r="F1119" t="s">
        <v>3429</v>
      </c>
      <c r="K1119" s="18">
        <f>6287780621863</f>
        <v>6287780621863</v>
      </c>
      <c r="N1119" s="17" t="s">
        <v>77</v>
      </c>
      <c r="V1119" s="18">
        <f>6287780621863</f>
        <v>6287780621863</v>
      </c>
    </row>
    <row r="1120" ht="15" customHeight="1" spans="1:22" x14ac:dyDescent="0.25">
      <c r="A1120" s="17" t="s">
        <v>3430</v>
      </c>
      <c r="B1120" s="17" t="s">
        <v>70</v>
      </c>
      <c r="C1120" s="17" t="s">
        <v>71</v>
      </c>
      <c r="D1120" t="s">
        <v>3407</v>
      </c>
      <c r="F1120" t="s">
        <v>3429</v>
      </c>
      <c r="K1120" s="18">
        <f>62811906421</f>
        <v>62811906421</v>
      </c>
      <c r="N1120" s="17" t="s">
        <v>77</v>
      </c>
      <c r="V1120" s="18">
        <f>62811906421</f>
        <v>62811906421</v>
      </c>
    </row>
    <row r="1121" ht="15" customHeight="1" spans="1:23" x14ac:dyDescent="0.25">
      <c r="A1121" s="17" t="s">
        <v>3431</v>
      </c>
      <c r="B1121" s="17" t="s">
        <v>70</v>
      </c>
      <c r="C1121" s="17" t="s">
        <v>71</v>
      </c>
      <c r="D1121" t="s">
        <v>3407</v>
      </c>
      <c r="F1121" t="s">
        <v>3432</v>
      </c>
      <c r="K1121" s="18">
        <f>628567153753</f>
        <v>628567153753</v>
      </c>
      <c r="N1121" s="17" t="s">
        <v>74</v>
      </c>
      <c r="U1121" s="17"/>
      <c r="V1121" s="18">
        <f>628567153753</f>
        <v>628567153753</v>
      </c>
      <c r="W1121" t="s">
        <v>3433</v>
      </c>
    </row>
    <row r="1122" ht="15" customHeight="1" spans="1:28" x14ac:dyDescent="0.25">
      <c r="A1122" s="17" t="s">
        <v>3434</v>
      </c>
      <c r="B1122" s="17" t="s">
        <v>70</v>
      </c>
      <c r="C1122" s="17" t="s">
        <v>71</v>
      </c>
      <c r="D1122" t="s">
        <v>3407</v>
      </c>
      <c r="F1122" t="s">
        <v>3407</v>
      </c>
      <c r="J1122" t="s">
        <v>115</v>
      </c>
      <c r="K1122" s="18" t="s">
        <v>3435</v>
      </c>
      <c r="N1122" s="17" t="s">
        <v>77</v>
      </c>
      <c r="O1122" t="s">
        <v>117</v>
      </c>
      <c r="V1122" s="18" t="s">
        <v>3435</v>
      </c>
      <c r="Y1122" t="s">
        <v>626</v>
      </c>
      <c r="AA1122" t="s">
        <v>3090</v>
      </c>
      <c r="AB1122" t="s">
        <v>119</v>
      </c>
    </row>
    <row r="1123" ht="15" customHeight="1" spans="1:28" x14ac:dyDescent="0.25">
      <c r="A1123" s="17" t="s">
        <v>3436</v>
      </c>
      <c r="B1123" s="17" t="s">
        <v>70</v>
      </c>
      <c r="C1123" s="17" t="s">
        <v>71</v>
      </c>
      <c r="D1123" t="s">
        <v>3437</v>
      </c>
      <c r="F1123" t="s">
        <v>3438</v>
      </c>
      <c r="J1123" t="s">
        <v>115</v>
      </c>
      <c r="K1123" s="18" t="s">
        <v>3439</v>
      </c>
      <c r="N1123" s="17" t="s">
        <v>74</v>
      </c>
      <c r="O1123" t="s">
        <v>489</v>
      </c>
      <c r="U1123" s="17"/>
      <c r="V1123" s="18" t="s">
        <v>3439</v>
      </c>
      <c r="W1123" t="s">
        <v>3440</v>
      </c>
      <c r="Y1123" t="s">
        <v>90</v>
      </c>
      <c r="AA1123" t="s">
        <v>118</v>
      </c>
      <c r="AB1123" t="s">
        <v>119</v>
      </c>
    </row>
    <row r="1124" ht="15" customHeight="1" spans="1:28" x14ac:dyDescent="0.25">
      <c r="A1124" s="17" t="s">
        <v>3441</v>
      </c>
      <c r="B1124" s="17" t="s">
        <v>70</v>
      </c>
      <c r="C1124" s="17" t="s">
        <v>71</v>
      </c>
      <c r="D1124" t="s">
        <v>3442</v>
      </c>
      <c r="F1124" t="s">
        <v>3443</v>
      </c>
      <c r="J1124" t="s">
        <v>115</v>
      </c>
      <c r="K1124" s="18" t="s">
        <v>3444</v>
      </c>
      <c r="N1124" s="17" t="s">
        <v>77</v>
      </c>
      <c r="O1124" t="s">
        <v>199</v>
      </c>
      <c r="V1124" s="18" t="s">
        <v>3444</v>
      </c>
      <c r="Y1124" t="s">
        <v>115</v>
      </c>
      <c r="AA1124" t="s">
        <v>115</v>
      </c>
      <c r="AB1124" t="s">
        <v>119</v>
      </c>
    </row>
    <row r="1125" ht="15" customHeight="1" spans="1:25" x14ac:dyDescent="0.25">
      <c r="A1125" s="17" t="s">
        <v>3445</v>
      </c>
      <c r="B1125" s="17" t="s">
        <v>70</v>
      </c>
      <c r="C1125" s="17" t="s">
        <v>71</v>
      </c>
      <c r="D1125" t="s">
        <v>3446</v>
      </c>
      <c r="F1125" t="s">
        <v>3447</v>
      </c>
      <c r="K1125" s="18">
        <f>62811657168</f>
        <v>62811657168</v>
      </c>
      <c r="N1125" s="17" t="s">
        <v>77</v>
      </c>
      <c r="U1125" s="17"/>
      <c r="V1125" s="18">
        <f>62811657168</f>
        <v>62811657168</v>
      </c>
      <c r="W1125" t="s">
        <v>3448</v>
      </c>
      <c r="Y1125" s="17" t="s">
        <v>596</v>
      </c>
    </row>
    <row r="1126" ht="15" customHeight="1" spans="1:22" x14ac:dyDescent="0.25">
      <c r="A1126" s="17" t="s">
        <v>3449</v>
      </c>
      <c r="B1126" s="17" t="s">
        <v>70</v>
      </c>
      <c r="C1126" s="17" t="s">
        <v>71</v>
      </c>
      <c r="D1126" t="s">
        <v>3446</v>
      </c>
      <c r="F1126" t="s">
        <v>3450</v>
      </c>
      <c r="K1126" s="18">
        <f>628118072272</f>
        <v>628118072272</v>
      </c>
      <c r="N1126" s="17" t="s">
        <v>77</v>
      </c>
      <c r="V1126" s="18">
        <f>628118072272</f>
        <v>628118072272</v>
      </c>
    </row>
    <row r="1127" ht="15" customHeight="1" spans="1:22" x14ac:dyDescent="0.25">
      <c r="A1127" s="17" t="s">
        <v>3451</v>
      </c>
      <c r="B1127" s="17" t="s">
        <v>70</v>
      </c>
      <c r="C1127" s="17" t="s">
        <v>71</v>
      </c>
      <c r="D1127" t="s">
        <v>3446</v>
      </c>
      <c r="F1127" t="s">
        <v>3452</v>
      </c>
      <c r="J1127" s="17" t="s">
        <v>3453</v>
      </c>
      <c r="K1127" s="18">
        <f>628118957855</f>
        <v>628118957855</v>
      </c>
      <c r="N1127" s="17" t="s">
        <v>81</v>
      </c>
      <c r="V1127" s="18">
        <f>628118957855</f>
        <v>628118957855</v>
      </c>
    </row>
    <row r="1128" ht="15" customHeight="1" spans="1:22" x14ac:dyDescent="0.25">
      <c r="A1128" s="17" t="s">
        <v>3454</v>
      </c>
      <c r="B1128" s="17" t="s">
        <v>70</v>
      </c>
      <c r="C1128" s="17" t="s">
        <v>71</v>
      </c>
      <c r="D1128" t="s">
        <v>3455</v>
      </c>
      <c r="F1128" t="s">
        <v>3455</v>
      </c>
      <c r="K1128" s="18">
        <f>6281811876</f>
        <v>6281811876</v>
      </c>
      <c r="N1128" s="17" t="s">
        <v>77</v>
      </c>
      <c r="V1128" s="18">
        <f>6281811876</f>
        <v>6281811876</v>
      </c>
    </row>
    <row r="1129" ht="15" customHeight="1" spans="1:23" x14ac:dyDescent="0.25">
      <c r="A1129" s="17" t="s">
        <v>3456</v>
      </c>
      <c r="B1129" s="17" t="s">
        <v>70</v>
      </c>
      <c r="C1129" s="17" t="s">
        <v>71</v>
      </c>
      <c r="D1129" t="s">
        <v>3457</v>
      </c>
      <c r="F1129" t="s">
        <v>2816</v>
      </c>
      <c r="K1129" s="18">
        <f>62811184131</f>
        <v>62811184131</v>
      </c>
      <c r="N1129" s="17" t="s">
        <v>77</v>
      </c>
      <c r="U1129" s="17"/>
      <c r="V1129" s="18">
        <f>62811184131</f>
        <v>62811184131</v>
      </c>
      <c r="W1129" t="s">
        <v>3458</v>
      </c>
    </row>
    <row r="1130" ht="15" customHeight="1" spans="1:28" x14ac:dyDescent="0.25">
      <c r="A1130" s="17" t="s">
        <v>3459</v>
      </c>
      <c r="B1130" s="17" t="s">
        <v>70</v>
      </c>
      <c r="C1130" s="17" t="s">
        <v>71</v>
      </c>
      <c r="D1130" t="s">
        <v>3457</v>
      </c>
      <c r="F1130" t="s">
        <v>3460</v>
      </c>
      <c r="J1130" t="s">
        <v>115</v>
      </c>
      <c r="K1130" s="18" t="s">
        <v>3461</v>
      </c>
      <c r="N1130" s="17" t="s">
        <v>81</v>
      </c>
      <c r="O1130" t="s">
        <v>117</v>
      </c>
      <c r="V1130" s="18" t="s">
        <v>3461</v>
      </c>
      <c r="Y1130" t="s">
        <v>190</v>
      </c>
      <c r="AA1130" t="s">
        <v>118</v>
      </c>
      <c r="AB1130" t="s">
        <v>119</v>
      </c>
    </row>
    <row r="1131" ht="15" customHeight="1" spans="1:22" x14ac:dyDescent="0.25">
      <c r="A1131" s="17" t="s">
        <v>3462</v>
      </c>
      <c r="B1131" s="17" t="s">
        <v>70</v>
      </c>
      <c r="C1131" s="17" t="s">
        <v>71</v>
      </c>
      <c r="D1131" t="s">
        <v>3457</v>
      </c>
      <c r="F1131" t="s">
        <v>3463</v>
      </c>
      <c r="K1131" s="18">
        <f>62811999851</f>
        <v>62811999851</v>
      </c>
      <c r="N1131" s="17" t="s">
        <v>77</v>
      </c>
      <c r="V1131" s="18">
        <f>62811999851</f>
        <v>62811999851</v>
      </c>
    </row>
    <row r="1132" ht="15" customHeight="1" spans="1:27" x14ac:dyDescent="0.25">
      <c r="A1132" s="17" t="s">
        <v>3464</v>
      </c>
      <c r="B1132" s="17" t="s">
        <v>70</v>
      </c>
      <c r="C1132" s="17" t="s">
        <v>71</v>
      </c>
      <c r="D1132" t="s">
        <v>3465</v>
      </c>
      <c r="F1132" t="s">
        <v>3466</v>
      </c>
      <c r="K1132" s="18">
        <v>56957679</v>
      </c>
      <c r="N1132" s="17" t="s">
        <v>77</v>
      </c>
      <c r="U1132" s="17"/>
      <c r="V1132" s="18">
        <v>56957679</v>
      </c>
      <c r="W1132" t="s">
        <v>3467</v>
      </c>
      <c r="Y1132" s="17" t="s">
        <v>626</v>
      </c>
      <c r="AA1132" s="17" t="s">
        <v>3468</v>
      </c>
    </row>
    <row r="1133" ht="15" customHeight="1" spans="1:22" x14ac:dyDescent="0.25">
      <c r="A1133" s="17" t="s">
        <v>3469</v>
      </c>
      <c r="B1133" s="17" t="s">
        <v>70</v>
      </c>
      <c r="C1133" s="17" t="s">
        <v>71</v>
      </c>
      <c r="D1133" t="s">
        <v>3470</v>
      </c>
      <c r="F1133" t="s">
        <v>3471</v>
      </c>
      <c r="K1133" s="18">
        <f>628129220900</f>
        <v>628129220900</v>
      </c>
      <c r="N1133" s="17" t="s">
        <v>77</v>
      </c>
      <c r="V1133" s="18">
        <f>628129220900</f>
        <v>628129220900</v>
      </c>
    </row>
    <row r="1134" ht="15" customHeight="1" spans="1:28" x14ac:dyDescent="0.25">
      <c r="A1134" s="17" t="s">
        <v>3472</v>
      </c>
      <c r="B1134" s="17" t="s">
        <v>70</v>
      </c>
      <c r="C1134" s="17" t="s">
        <v>71</v>
      </c>
      <c r="D1134" t="s">
        <v>3473</v>
      </c>
      <c r="F1134" t="s">
        <v>3474</v>
      </c>
      <c r="J1134" t="s">
        <v>115</v>
      </c>
      <c r="K1134" s="18" t="s">
        <v>3475</v>
      </c>
      <c r="N1134" s="17" t="s">
        <v>81</v>
      </c>
      <c r="O1134" t="s">
        <v>117</v>
      </c>
      <c r="V1134" s="18" t="s">
        <v>3475</v>
      </c>
      <c r="Y1134" t="s">
        <v>90</v>
      </c>
      <c r="AA1134" t="s">
        <v>118</v>
      </c>
      <c r="AB1134" t="s">
        <v>119</v>
      </c>
    </row>
    <row r="1135" ht="15" customHeight="1" spans="1:22" x14ac:dyDescent="0.25">
      <c r="A1135" s="17" t="s">
        <v>3476</v>
      </c>
      <c r="B1135" s="17" t="s">
        <v>70</v>
      </c>
      <c r="C1135" s="17" t="s">
        <v>71</v>
      </c>
      <c r="D1135" t="s">
        <v>3477</v>
      </c>
      <c r="F1135" t="s">
        <v>3477</v>
      </c>
      <c r="K1135" s="18">
        <f>628176560600</f>
        <v>628176560600</v>
      </c>
      <c r="N1135" s="17" t="s">
        <v>77</v>
      </c>
      <c r="V1135" s="18">
        <f>628176560600</f>
        <v>628176560600</v>
      </c>
    </row>
    <row r="1136" ht="15" customHeight="1" spans="1:22" x14ac:dyDescent="0.25">
      <c r="A1136" s="17" t="s">
        <v>3478</v>
      </c>
      <c r="B1136" s="17" t="s">
        <v>70</v>
      </c>
      <c r="C1136" s="17" t="s">
        <v>71</v>
      </c>
      <c r="D1136" t="s">
        <v>3477</v>
      </c>
      <c r="F1136" t="s">
        <v>3479</v>
      </c>
      <c r="K1136" s="18">
        <f>6281232008600</f>
        <v>6281232008600</v>
      </c>
      <c r="N1136" s="17" t="s">
        <v>77</v>
      </c>
      <c r="V1136" s="18">
        <f>6281232008600</f>
        <v>6281232008600</v>
      </c>
    </row>
    <row r="1137" ht="15" customHeight="1" spans="1:28" x14ac:dyDescent="0.25">
      <c r="A1137" s="17" t="s">
        <v>3480</v>
      </c>
      <c r="B1137" s="17" t="s">
        <v>70</v>
      </c>
      <c r="C1137" s="17" t="s">
        <v>71</v>
      </c>
      <c r="D1137" t="s">
        <v>3477</v>
      </c>
      <c r="F1137" t="s">
        <v>3481</v>
      </c>
      <c r="J1137" t="s">
        <v>3482</v>
      </c>
      <c r="K1137" s="18" t="s">
        <v>3483</v>
      </c>
      <c r="N1137" s="17" t="s">
        <v>81</v>
      </c>
      <c r="O1137" t="s">
        <v>117</v>
      </c>
      <c r="V1137" s="18" t="s">
        <v>3483</v>
      </c>
      <c r="Y1137" t="s">
        <v>90</v>
      </c>
      <c r="AA1137" t="s">
        <v>118</v>
      </c>
      <c r="AB1137" t="s">
        <v>119</v>
      </c>
    </row>
    <row r="1138" ht="15" customHeight="1" spans="1:28" x14ac:dyDescent="0.25">
      <c r="A1138" s="17" t="s">
        <v>3484</v>
      </c>
      <c r="B1138" s="17" t="s">
        <v>70</v>
      </c>
      <c r="C1138" s="17" t="s">
        <v>71</v>
      </c>
      <c r="D1138" t="s">
        <v>3485</v>
      </c>
      <c r="F1138" t="s">
        <v>3486</v>
      </c>
      <c r="J1138" t="s">
        <v>115</v>
      </c>
      <c r="K1138" s="18" t="s">
        <v>3487</v>
      </c>
      <c r="N1138" s="17" t="s">
        <v>81</v>
      </c>
      <c r="O1138" t="s">
        <v>145</v>
      </c>
      <c r="V1138" s="18" t="s">
        <v>3487</v>
      </c>
      <c r="Y1138" t="s">
        <v>90</v>
      </c>
      <c r="AA1138" t="s">
        <v>118</v>
      </c>
      <c r="AB1138" t="s">
        <v>119</v>
      </c>
    </row>
    <row r="1139" ht="15" customHeight="1" spans="1:25" x14ac:dyDescent="0.25">
      <c r="A1139" s="17" t="s">
        <v>3488</v>
      </c>
      <c r="B1139" s="17" t="s">
        <v>70</v>
      </c>
      <c r="C1139" s="17" t="s">
        <v>71</v>
      </c>
      <c r="D1139" t="s">
        <v>3489</v>
      </c>
      <c r="F1139" t="s">
        <v>3490</v>
      </c>
      <c r="K1139" s="18">
        <f>6282214291990</f>
        <v>6282214291990</v>
      </c>
      <c r="N1139" s="17" t="s">
        <v>77</v>
      </c>
      <c r="U1139" s="17"/>
      <c r="V1139" s="18">
        <f>6282214291990</f>
        <v>6282214291990</v>
      </c>
      <c r="W1139" t="s">
        <v>3491</v>
      </c>
      <c r="Y1139" s="17" t="s">
        <v>515</v>
      </c>
    </row>
    <row r="1140" ht="15" customHeight="1" spans="1:22" x14ac:dyDescent="0.25">
      <c r="A1140" s="17" t="s">
        <v>3492</v>
      </c>
      <c r="B1140" s="17" t="s">
        <v>70</v>
      </c>
      <c r="C1140" s="17" t="s">
        <v>71</v>
      </c>
      <c r="D1140" t="s">
        <v>3489</v>
      </c>
      <c r="F1140" t="s">
        <v>1850</v>
      </c>
      <c r="K1140" s="18">
        <f>62811125556</f>
        <v>62811125556</v>
      </c>
      <c r="N1140" s="17" t="s">
        <v>81</v>
      </c>
      <c r="V1140" s="18">
        <f>62811125556</f>
        <v>62811125556</v>
      </c>
    </row>
    <row r="1141" ht="15" customHeight="1" spans="1:22" x14ac:dyDescent="0.25">
      <c r="A1141" s="17" t="s">
        <v>3493</v>
      </c>
      <c r="B1141" s="17" t="s">
        <v>70</v>
      </c>
      <c r="C1141" s="17" t="s">
        <v>71</v>
      </c>
      <c r="D1141" t="s">
        <v>3494</v>
      </c>
      <c r="F1141" t="s">
        <v>3494</v>
      </c>
      <c r="K1141" s="18">
        <f>6285397888008</f>
        <v>6285397888008</v>
      </c>
      <c r="N1141" s="17" t="s">
        <v>81</v>
      </c>
      <c r="V1141" s="18">
        <f>6285397888008</f>
        <v>6285397888008</v>
      </c>
    </row>
    <row r="1142" ht="15" customHeight="1" spans="1:22" x14ac:dyDescent="0.25">
      <c r="A1142" s="17" t="s">
        <v>3495</v>
      </c>
      <c r="B1142" s="17" t="s">
        <v>70</v>
      </c>
      <c r="C1142" s="17" t="s">
        <v>71</v>
      </c>
      <c r="D1142" t="s">
        <v>3494</v>
      </c>
      <c r="F1142" t="s">
        <v>3494</v>
      </c>
      <c r="K1142" s="18">
        <f>6285715655569</f>
        <v>6285715655569</v>
      </c>
      <c r="N1142" s="17" t="s">
        <v>81</v>
      </c>
      <c r="V1142" s="18">
        <f>6285715655569</f>
        <v>6285715655569</v>
      </c>
    </row>
    <row r="1143" ht="15" customHeight="1" spans="1:22" x14ac:dyDescent="0.25">
      <c r="A1143" s="17" t="s">
        <v>3496</v>
      </c>
      <c r="B1143" s="17" t="s">
        <v>70</v>
      </c>
      <c r="C1143" s="17" t="s">
        <v>71</v>
      </c>
      <c r="D1143" t="s">
        <v>3494</v>
      </c>
      <c r="F1143" t="s">
        <v>3497</v>
      </c>
      <c r="K1143" s="18">
        <f>628174921381</f>
        <v>628174921381</v>
      </c>
      <c r="N1143" s="17" t="s">
        <v>77</v>
      </c>
      <c r="V1143" s="18">
        <f>628174921381</f>
        <v>628174921381</v>
      </c>
    </row>
    <row r="1144" ht="15" customHeight="1" spans="1:27" x14ac:dyDescent="0.25">
      <c r="A1144" s="17" t="s">
        <v>3498</v>
      </c>
      <c r="B1144" s="17" t="s">
        <v>70</v>
      </c>
      <c r="C1144" s="17" t="s">
        <v>71</v>
      </c>
      <c r="D1144" t="s">
        <v>3494</v>
      </c>
      <c r="F1144" t="s">
        <v>3499</v>
      </c>
      <c r="K1144" s="18">
        <f>6281329291983</f>
        <v>6281329291983</v>
      </c>
      <c r="N1144" s="17" t="s">
        <v>74</v>
      </c>
      <c r="U1144" s="17"/>
      <c r="V1144" s="18">
        <f>6281329291983</f>
        <v>6281329291983</v>
      </c>
      <c r="W1144" t="s">
        <v>3500</v>
      </c>
      <c r="Y1144" s="17" t="s">
        <v>515</v>
      </c>
      <c r="AA1144" s="17" t="s">
        <v>3501</v>
      </c>
    </row>
    <row r="1145" ht="15" customHeight="1" spans="1:27" x14ac:dyDescent="0.25">
      <c r="A1145" s="17" t="s">
        <v>3502</v>
      </c>
      <c r="B1145" s="17" t="s">
        <v>70</v>
      </c>
      <c r="C1145" s="17" t="s">
        <v>71</v>
      </c>
      <c r="D1145" t="s">
        <v>3494</v>
      </c>
      <c r="F1145" t="s">
        <v>3503</v>
      </c>
      <c r="K1145" s="18">
        <f>62811154488</f>
        <v>62811154488</v>
      </c>
      <c r="N1145" s="17" t="s">
        <v>77</v>
      </c>
      <c r="U1145" s="17"/>
      <c r="V1145" s="18">
        <f>62811154488</f>
        <v>62811154488</v>
      </c>
      <c r="W1145" t="s">
        <v>3504</v>
      </c>
      <c r="Y1145" s="17" t="s">
        <v>96</v>
      </c>
      <c r="AA1145" s="17" t="s">
        <v>97</v>
      </c>
    </row>
    <row r="1146" ht="15" customHeight="1" spans="1:27" x14ac:dyDescent="0.25">
      <c r="A1146" s="17" t="s">
        <v>3505</v>
      </c>
      <c r="B1146" s="17" t="s">
        <v>70</v>
      </c>
      <c r="C1146" s="17" t="s">
        <v>71</v>
      </c>
      <c r="D1146" t="s">
        <v>3494</v>
      </c>
      <c r="F1146" t="s">
        <v>3506</v>
      </c>
      <c r="K1146" s="18">
        <f>628170888788</f>
        <v>628170888788</v>
      </c>
      <c r="N1146" s="17" t="s">
        <v>77</v>
      </c>
      <c r="U1146" s="17"/>
      <c r="V1146" s="18">
        <f>628170888788</f>
        <v>628170888788</v>
      </c>
      <c r="W1146" t="s">
        <v>3507</v>
      </c>
      <c r="Y1146" s="17" t="s">
        <v>96</v>
      </c>
      <c r="AA1146" s="17" t="s">
        <v>3508</v>
      </c>
    </row>
    <row r="1147" ht="15" customHeight="1" spans="1:22" x14ac:dyDescent="0.25">
      <c r="A1147" s="17" t="s">
        <v>3509</v>
      </c>
      <c r="B1147" s="17" t="s">
        <v>70</v>
      </c>
      <c r="C1147" s="17" t="s">
        <v>71</v>
      </c>
      <c r="D1147" t="s">
        <v>3494</v>
      </c>
      <c r="F1147" t="s">
        <v>3510</v>
      </c>
      <c r="K1147" s="18">
        <f>6285173302122</f>
        <v>6285173302122</v>
      </c>
      <c r="N1147" s="17" t="s">
        <v>77</v>
      </c>
      <c r="V1147" s="18">
        <f>6285173302122</f>
        <v>6285173302122</v>
      </c>
    </row>
    <row r="1148" ht="15" customHeight="1" spans="1:28" x14ac:dyDescent="0.25">
      <c r="A1148" s="17" t="s">
        <v>3511</v>
      </c>
      <c r="B1148" s="17" t="s">
        <v>70</v>
      </c>
      <c r="C1148" s="17" t="s">
        <v>71</v>
      </c>
      <c r="D1148" t="s">
        <v>3494</v>
      </c>
      <c r="F1148" t="s">
        <v>3512</v>
      </c>
      <c r="J1148" t="s">
        <v>115</v>
      </c>
      <c r="K1148" s="18" t="s">
        <v>3513</v>
      </c>
      <c r="N1148" s="17" t="s">
        <v>77</v>
      </c>
      <c r="O1148" t="s">
        <v>199</v>
      </c>
      <c r="V1148" s="18" t="s">
        <v>3513</v>
      </c>
      <c r="Y1148" t="s">
        <v>217</v>
      </c>
      <c r="AA1148" t="s">
        <v>218</v>
      </c>
      <c r="AB1148" t="s">
        <v>119</v>
      </c>
    </row>
    <row r="1149" ht="15" customHeight="1" spans="1:27" x14ac:dyDescent="0.25">
      <c r="A1149" s="17" t="s">
        <v>3514</v>
      </c>
      <c r="B1149" s="17" t="s">
        <v>70</v>
      </c>
      <c r="C1149" s="17" t="s">
        <v>71</v>
      </c>
      <c r="D1149" t="s">
        <v>3494</v>
      </c>
      <c r="F1149" t="s">
        <v>3515</v>
      </c>
      <c r="J1149" s="17" t="s">
        <v>3516</v>
      </c>
      <c r="K1149" s="18">
        <f>628121043969</f>
        <v>628121043969</v>
      </c>
      <c r="N1149" s="17" t="s">
        <v>74</v>
      </c>
      <c r="U1149" s="17"/>
      <c r="V1149" s="18">
        <f>628121043969</f>
        <v>628121043969</v>
      </c>
      <c r="W1149" t="s">
        <v>3517</v>
      </c>
      <c r="Y1149" s="17" t="s">
        <v>96</v>
      </c>
      <c r="AA1149" s="17">
        <v>12510</v>
      </c>
    </row>
    <row r="1150" ht="15" customHeight="1" spans="1:28" x14ac:dyDescent="0.25">
      <c r="A1150" s="17" t="s">
        <v>3518</v>
      </c>
      <c r="B1150" s="17" t="s">
        <v>70</v>
      </c>
      <c r="C1150" s="17" t="s">
        <v>71</v>
      </c>
      <c r="D1150" t="s">
        <v>3494</v>
      </c>
      <c r="F1150" t="s">
        <v>3519</v>
      </c>
      <c r="J1150" s="17" t="s">
        <v>3520</v>
      </c>
      <c r="K1150" s="18" t="s">
        <v>3521</v>
      </c>
      <c r="N1150" s="17" t="s">
        <v>77</v>
      </c>
      <c r="O1150" t="s">
        <v>145</v>
      </c>
      <c r="U1150" s="17"/>
      <c r="V1150" s="18" t="s">
        <v>3521</v>
      </c>
      <c r="W1150" t="s">
        <v>3522</v>
      </c>
      <c r="Y1150" t="s">
        <v>1084</v>
      </c>
      <c r="AA1150" t="s">
        <v>3146</v>
      </c>
      <c r="AB1150" t="s">
        <v>119</v>
      </c>
    </row>
    <row r="1151" ht="15" customHeight="1" spans="1:22" x14ac:dyDescent="0.25">
      <c r="A1151" s="17" t="s">
        <v>3523</v>
      </c>
      <c r="B1151" s="17" t="s">
        <v>70</v>
      </c>
      <c r="C1151" s="17" t="s">
        <v>71</v>
      </c>
      <c r="D1151" t="s">
        <v>3524</v>
      </c>
      <c r="F1151" t="s">
        <v>3524</v>
      </c>
      <c r="K1151" s="18">
        <f>6281314068425</f>
        <v>6281314068425</v>
      </c>
      <c r="N1151" s="17" t="s">
        <v>81</v>
      </c>
      <c r="V1151" s="18">
        <f>6281314068425</f>
        <v>6281314068425</v>
      </c>
    </row>
    <row r="1152" ht="15" customHeight="1" spans="1:23" x14ac:dyDescent="0.25">
      <c r="A1152" s="17" t="s">
        <v>3525</v>
      </c>
      <c r="B1152" s="17" t="s">
        <v>70</v>
      </c>
      <c r="C1152" s="17" t="s">
        <v>71</v>
      </c>
      <c r="D1152" t="s">
        <v>1313</v>
      </c>
      <c r="F1152" t="s">
        <v>3526</v>
      </c>
      <c r="K1152" s="18">
        <f>6281289198177</f>
        <v>6281289198177</v>
      </c>
      <c r="N1152" s="17" t="s">
        <v>81</v>
      </c>
      <c r="U1152" s="17"/>
      <c r="V1152" s="18">
        <f>6281289198177</f>
        <v>6281289198177</v>
      </c>
      <c r="W1152" t="s">
        <v>3527</v>
      </c>
    </row>
    <row r="1153" ht="15" customHeight="1" spans="1:22" x14ac:dyDescent="0.25">
      <c r="A1153" s="17" t="s">
        <v>3528</v>
      </c>
      <c r="B1153" s="17" t="s">
        <v>70</v>
      </c>
      <c r="C1153" s="17" t="s">
        <v>71</v>
      </c>
      <c r="D1153" t="s">
        <v>3529</v>
      </c>
      <c r="F1153" t="s">
        <v>3529</v>
      </c>
      <c r="K1153" s="18">
        <f>628111333577</f>
        <v>628111333577</v>
      </c>
      <c r="N1153" s="17" t="s">
        <v>74</v>
      </c>
      <c r="V1153" s="18">
        <f>628111333577</f>
        <v>628111333577</v>
      </c>
    </row>
    <row r="1154" ht="15" customHeight="1" spans="1:22" x14ac:dyDescent="0.25">
      <c r="A1154" s="17" t="s">
        <v>3530</v>
      </c>
      <c r="B1154" s="17" t="s">
        <v>70</v>
      </c>
      <c r="C1154" s="17" t="s">
        <v>71</v>
      </c>
      <c r="D1154" t="s">
        <v>3531</v>
      </c>
      <c r="F1154" t="s">
        <v>3532</v>
      </c>
      <c r="K1154" s="18">
        <f>628127173792</f>
        <v>628127173792</v>
      </c>
      <c r="N1154" s="17" t="s">
        <v>74</v>
      </c>
      <c r="V1154" s="18">
        <f>628127173792</f>
        <v>628127173792</v>
      </c>
    </row>
    <row r="1155" ht="15" customHeight="1" spans="1:22" x14ac:dyDescent="0.25">
      <c r="A1155" s="17" t="s">
        <v>3533</v>
      </c>
      <c r="B1155" s="17" t="s">
        <v>70</v>
      </c>
      <c r="C1155" s="17" t="s">
        <v>71</v>
      </c>
      <c r="D1155" t="s">
        <v>3534</v>
      </c>
      <c r="F1155" t="s">
        <v>3534</v>
      </c>
      <c r="K1155" s="18">
        <f>628527630111</f>
        <v>628527630111</v>
      </c>
      <c r="N1155" s="17" t="s">
        <v>81</v>
      </c>
      <c r="V1155" s="18">
        <f>628527630111</f>
        <v>628527630111</v>
      </c>
    </row>
    <row r="1156" ht="15" customHeight="1" spans="1:23" x14ac:dyDescent="0.25">
      <c r="A1156" s="17" t="s">
        <v>3535</v>
      </c>
      <c r="B1156" s="17" t="s">
        <v>70</v>
      </c>
      <c r="C1156" s="17" t="s">
        <v>71</v>
      </c>
      <c r="D1156" t="s">
        <v>3534</v>
      </c>
      <c r="F1156" t="s">
        <v>3534</v>
      </c>
      <c r="K1156" s="18">
        <v>451481505</v>
      </c>
      <c r="N1156" s="17" t="s">
        <v>77</v>
      </c>
      <c r="U1156" s="17"/>
      <c r="V1156" s="18">
        <v>451481505</v>
      </c>
      <c r="W1156" t="s">
        <v>3536</v>
      </c>
    </row>
    <row r="1157" ht="15" customHeight="1" spans="1:23" x14ac:dyDescent="0.25">
      <c r="A1157" s="17" t="s">
        <v>3537</v>
      </c>
      <c r="B1157" s="17" t="s">
        <v>70</v>
      </c>
      <c r="C1157" s="17" t="s">
        <v>71</v>
      </c>
      <c r="D1157" t="s">
        <v>3534</v>
      </c>
      <c r="F1157" t="s">
        <v>3534</v>
      </c>
      <c r="K1157" s="18">
        <f>62811117896</f>
        <v>62811117896</v>
      </c>
      <c r="N1157" s="17" t="s">
        <v>77</v>
      </c>
      <c r="U1157" s="17"/>
      <c r="V1157" s="18">
        <f>62811117896</f>
        <v>62811117896</v>
      </c>
      <c r="W1157" t="s">
        <v>3538</v>
      </c>
    </row>
    <row r="1158" ht="15" customHeight="1" spans="1:28" x14ac:dyDescent="0.25">
      <c r="A1158" s="17" t="s">
        <v>3539</v>
      </c>
      <c r="B1158" s="17" t="s">
        <v>70</v>
      </c>
      <c r="C1158" s="17" t="s">
        <v>71</v>
      </c>
      <c r="D1158" t="s">
        <v>3534</v>
      </c>
      <c r="F1158" t="s">
        <v>3534</v>
      </c>
      <c r="J1158" t="s">
        <v>115</v>
      </c>
      <c r="K1158" s="18" t="s">
        <v>3540</v>
      </c>
      <c r="N1158" s="17" t="s">
        <v>77</v>
      </c>
      <c r="O1158" t="s">
        <v>117</v>
      </c>
      <c r="V1158" s="18" t="s">
        <v>3540</v>
      </c>
      <c r="Y1158" t="s">
        <v>90</v>
      </c>
      <c r="AA1158" t="s">
        <v>118</v>
      </c>
      <c r="AB1158" t="s">
        <v>119</v>
      </c>
    </row>
    <row r="1159" ht="15" customHeight="1" spans="1:28" x14ac:dyDescent="0.25">
      <c r="A1159" s="17" t="s">
        <v>3541</v>
      </c>
      <c r="B1159" s="17" t="s">
        <v>70</v>
      </c>
      <c r="C1159" s="17" t="s">
        <v>71</v>
      </c>
      <c r="D1159" t="s">
        <v>3534</v>
      </c>
      <c r="F1159" t="s">
        <v>3542</v>
      </c>
      <c r="J1159" t="s">
        <v>115</v>
      </c>
      <c r="K1159" s="18" t="s">
        <v>3543</v>
      </c>
      <c r="N1159" s="17" t="s">
        <v>74</v>
      </c>
      <c r="O1159" t="s">
        <v>117</v>
      </c>
      <c r="U1159" s="17"/>
      <c r="V1159" s="18" t="s">
        <v>3543</v>
      </c>
      <c r="W1159" t="s">
        <v>3544</v>
      </c>
      <c r="Y1159" s="17" t="s">
        <v>90</v>
      </c>
      <c r="AA1159" t="s">
        <v>118</v>
      </c>
      <c r="AB1159" t="s">
        <v>119</v>
      </c>
    </row>
    <row r="1160" ht="15" customHeight="1" spans="1:28" x14ac:dyDescent="0.25">
      <c r="A1160" s="17" t="s">
        <v>3545</v>
      </c>
      <c r="B1160" s="17" t="s">
        <v>70</v>
      </c>
      <c r="C1160" s="17" t="s">
        <v>71</v>
      </c>
      <c r="D1160" t="s">
        <v>3534</v>
      </c>
      <c r="F1160" t="s">
        <v>3546</v>
      </c>
      <c r="J1160" t="s">
        <v>3547</v>
      </c>
      <c r="K1160" s="18" t="s">
        <v>3548</v>
      </c>
      <c r="N1160" s="17" t="s">
        <v>77</v>
      </c>
      <c r="O1160" t="s">
        <v>117</v>
      </c>
      <c r="V1160" s="18" t="s">
        <v>3548</v>
      </c>
      <c r="Y1160" t="s">
        <v>190</v>
      </c>
      <c r="AA1160" t="s">
        <v>118</v>
      </c>
      <c r="AB1160" t="s">
        <v>119</v>
      </c>
    </row>
    <row r="1161" ht="15" customHeight="1" spans="1:23" x14ac:dyDescent="0.25">
      <c r="A1161" s="17" t="s">
        <v>3549</v>
      </c>
      <c r="B1161" s="17" t="s">
        <v>70</v>
      </c>
      <c r="C1161" s="17" t="s">
        <v>71</v>
      </c>
      <c r="D1161" t="s">
        <v>3534</v>
      </c>
      <c r="F1161" t="s">
        <v>106</v>
      </c>
      <c r="J1161" s="17" t="s">
        <v>3550</v>
      </c>
      <c r="K1161" s="18">
        <f>6281808270777</f>
        <v>6281808270777</v>
      </c>
      <c r="N1161" s="17" t="s">
        <v>81</v>
      </c>
      <c r="U1161" s="17"/>
      <c r="V1161" s="18">
        <f>6281808270777</f>
        <v>6281808270777</v>
      </c>
      <c r="W1161" t="s">
        <v>3551</v>
      </c>
    </row>
    <row r="1162" ht="15" customHeight="1" spans="1:23" x14ac:dyDescent="0.25">
      <c r="A1162" s="17" t="s">
        <v>3552</v>
      </c>
      <c r="B1162" s="17" t="s">
        <v>70</v>
      </c>
      <c r="C1162" s="17" t="s">
        <v>71</v>
      </c>
      <c r="D1162" t="s">
        <v>3534</v>
      </c>
      <c r="F1162" t="s">
        <v>3553</v>
      </c>
      <c r="K1162" s="18">
        <f>62816916459</f>
        <v>62816916459</v>
      </c>
      <c r="N1162" s="17" t="s">
        <v>77</v>
      </c>
      <c r="U1162" s="17"/>
      <c r="V1162" s="18">
        <f>62816916459</f>
        <v>62816916459</v>
      </c>
      <c r="W1162" t="s">
        <v>3554</v>
      </c>
    </row>
    <row r="1163" ht="15" customHeight="1" spans="1:25" x14ac:dyDescent="0.25">
      <c r="A1163" s="17" t="s">
        <v>3555</v>
      </c>
      <c r="B1163" s="17" t="s">
        <v>70</v>
      </c>
      <c r="C1163" s="17" t="s">
        <v>71</v>
      </c>
      <c r="D1163" t="s">
        <v>3534</v>
      </c>
      <c r="F1163" t="s">
        <v>3556</v>
      </c>
      <c r="K1163" s="18">
        <f>6281322514849</f>
        <v>6281322514849</v>
      </c>
      <c r="N1163" s="17" t="s">
        <v>81</v>
      </c>
      <c r="U1163" s="17"/>
      <c r="V1163" s="18">
        <f>6281322514849</f>
        <v>6281322514849</v>
      </c>
      <c r="W1163" t="s">
        <v>3557</v>
      </c>
      <c r="Y1163" s="17" t="s">
        <v>500</v>
      </c>
    </row>
    <row r="1164" ht="15" customHeight="1" spans="1:22" x14ac:dyDescent="0.25">
      <c r="A1164" s="17" t="s">
        <v>3558</v>
      </c>
      <c r="B1164" s="17" t="s">
        <v>70</v>
      </c>
      <c r="C1164" s="17" t="s">
        <v>71</v>
      </c>
      <c r="D1164" t="s">
        <v>3534</v>
      </c>
      <c r="F1164" t="s">
        <v>3559</v>
      </c>
      <c r="J1164" s="17" t="s">
        <v>3560</v>
      </c>
      <c r="K1164" s="18">
        <f>62811161400</f>
        <v>62811161400</v>
      </c>
      <c r="N1164" s="17" t="s">
        <v>74</v>
      </c>
      <c r="V1164" s="18">
        <f>62811161400</f>
        <v>62811161400</v>
      </c>
    </row>
    <row r="1165" ht="15" customHeight="1" spans="1:28" x14ac:dyDescent="0.25">
      <c r="A1165" s="17" t="s">
        <v>3561</v>
      </c>
      <c r="B1165" s="17" t="s">
        <v>70</v>
      </c>
      <c r="C1165" s="17" t="s">
        <v>71</v>
      </c>
      <c r="D1165" t="s">
        <v>3534</v>
      </c>
      <c r="F1165" t="s">
        <v>150</v>
      </c>
      <c r="J1165" t="s">
        <v>115</v>
      </c>
      <c r="K1165" s="18" t="s">
        <v>3562</v>
      </c>
      <c r="N1165" s="17" t="s">
        <v>74</v>
      </c>
      <c r="O1165" t="s">
        <v>489</v>
      </c>
      <c r="V1165" s="18" t="s">
        <v>3562</v>
      </c>
      <c r="Y1165" t="s">
        <v>190</v>
      </c>
      <c r="AA1165" t="s">
        <v>118</v>
      </c>
      <c r="AB1165" t="s">
        <v>119</v>
      </c>
    </row>
    <row r="1166" ht="15" customHeight="1" spans="1:22" x14ac:dyDescent="0.25">
      <c r="A1166" s="17" t="s">
        <v>3563</v>
      </c>
      <c r="B1166" s="17" t="s">
        <v>70</v>
      </c>
      <c r="C1166" s="17" t="s">
        <v>71</v>
      </c>
      <c r="D1166" t="s">
        <v>3534</v>
      </c>
      <c r="F1166" t="s">
        <v>3564</v>
      </c>
      <c r="K1166" s="18">
        <f>6281334178787</f>
        <v>6281334178787</v>
      </c>
      <c r="N1166" s="17" t="s">
        <v>74</v>
      </c>
      <c r="V1166" s="18">
        <f>6281334178787</f>
        <v>6281334178787</v>
      </c>
    </row>
    <row r="1167" ht="15" customHeight="1" spans="1:23" x14ac:dyDescent="0.25">
      <c r="A1167" s="17" t="s">
        <v>3565</v>
      </c>
      <c r="B1167" s="17" t="s">
        <v>70</v>
      </c>
      <c r="C1167" s="17" t="s">
        <v>71</v>
      </c>
      <c r="D1167" t="s">
        <v>3534</v>
      </c>
      <c r="F1167" t="s">
        <v>3566</v>
      </c>
      <c r="K1167" s="18">
        <f>628113347413</f>
        <v>628113347413</v>
      </c>
      <c r="N1167" s="17" t="s">
        <v>81</v>
      </c>
      <c r="U1167" s="17"/>
      <c r="V1167" s="18">
        <f>628113347413</f>
        <v>628113347413</v>
      </c>
      <c r="W1167" t="s">
        <v>3567</v>
      </c>
    </row>
    <row r="1168" ht="15" customHeight="1" spans="1:28" x14ac:dyDescent="0.25">
      <c r="A1168" s="17" t="s">
        <v>3568</v>
      </c>
      <c r="B1168" s="17" t="s">
        <v>70</v>
      </c>
      <c r="C1168" s="17" t="s">
        <v>71</v>
      </c>
      <c r="D1168" t="s">
        <v>3534</v>
      </c>
      <c r="F1168" t="s">
        <v>1208</v>
      </c>
      <c r="J1168" t="s">
        <v>115</v>
      </c>
      <c r="K1168" s="18" t="s">
        <v>3569</v>
      </c>
      <c r="N1168" s="17" t="s">
        <v>77</v>
      </c>
      <c r="O1168" t="s">
        <v>145</v>
      </c>
      <c r="V1168" s="18" t="s">
        <v>3569</v>
      </c>
      <c r="Y1168" t="s">
        <v>190</v>
      </c>
      <c r="AA1168" t="s">
        <v>118</v>
      </c>
      <c r="AB1168" t="s">
        <v>119</v>
      </c>
    </row>
    <row r="1169" ht="15" customHeight="1" spans="1:28" x14ac:dyDescent="0.25">
      <c r="A1169" s="17" t="s">
        <v>3570</v>
      </c>
      <c r="B1169" s="17" t="s">
        <v>70</v>
      </c>
      <c r="C1169" s="17" t="s">
        <v>71</v>
      </c>
      <c r="D1169" t="s">
        <v>3534</v>
      </c>
      <c r="F1169" t="s">
        <v>3571</v>
      </c>
      <c r="J1169" t="s">
        <v>115</v>
      </c>
      <c r="K1169" s="18" t="s">
        <v>3572</v>
      </c>
      <c r="N1169" s="17" t="s">
        <v>77</v>
      </c>
      <c r="O1169" t="s">
        <v>145</v>
      </c>
      <c r="V1169" s="18" t="s">
        <v>3572</v>
      </c>
      <c r="Y1169" t="s">
        <v>1247</v>
      </c>
      <c r="AA1169" t="s">
        <v>115</v>
      </c>
      <c r="AB1169" t="s">
        <v>119</v>
      </c>
    </row>
    <row r="1170" ht="15" customHeight="1" spans="1:25" x14ac:dyDescent="0.25">
      <c r="A1170" s="17" t="s">
        <v>3573</v>
      </c>
      <c r="B1170" s="17" t="s">
        <v>70</v>
      </c>
      <c r="C1170" s="17" t="s">
        <v>71</v>
      </c>
      <c r="D1170" t="s">
        <v>3534</v>
      </c>
      <c r="F1170" t="s">
        <v>3574</v>
      </c>
      <c r="K1170" s="18" t="s">
        <v>3575</v>
      </c>
      <c r="N1170" s="17" t="s">
        <v>77</v>
      </c>
      <c r="U1170" s="17"/>
      <c r="V1170" s="18" t="s">
        <v>3575</v>
      </c>
      <c r="W1170" t="s">
        <v>3576</v>
      </c>
      <c r="Y1170" s="17" t="s">
        <v>378</v>
      </c>
    </row>
    <row r="1171" ht="15" customHeight="1" spans="1:22" x14ac:dyDescent="0.25">
      <c r="A1171" s="17" t="s">
        <v>3577</v>
      </c>
      <c r="B1171" s="17" t="s">
        <v>70</v>
      </c>
      <c r="C1171" s="17" t="s">
        <v>71</v>
      </c>
      <c r="D1171" t="s">
        <v>3534</v>
      </c>
      <c r="F1171" t="s">
        <v>3574</v>
      </c>
      <c r="K1171" s="18">
        <v>19052024</v>
      </c>
      <c r="N1171" s="17" t="s">
        <v>77</v>
      </c>
      <c r="V1171" s="18">
        <v>19052024</v>
      </c>
    </row>
    <row r="1172" ht="15" customHeight="1" spans="1:22" x14ac:dyDescent="0.25">
      <c r="A1172" s="17" t="s">
        <v>3578</v>
      </c>
      <c r="B1172" s="17" t="s">
        <v>70</v>
      </c>
      <c r="C1172" s="17" t="s">
        <v>71</v>
      </c>
      <c r="D1172" t="s">
        <v>3534</v>
      </c>
      <c r="F1172" t="s">
        <v>3579</v>
      </c>
      <c r="K1172" s="18">
        <f>6281802030030</f>
        <v>6281802030030</v>
      </c>
      <c r="N1172" s="17" t="s">
        <v>81</v>
      </c>
      <c r="V1172" s="18">
        <f>6281802030030</f>
        <v>6281802030030</v>
      </c>
    </row>
    <row r="1173" ht="15" customHeight="1" spans="1:28" x14ac:dyDescent="0.25">
      <c r="A1173" s="17" t="s">
        <v>3580</v>
      </c>
      <c r="B1173" s="17" t="s">
        <v>70</v>
      </c>
      <c r="C1173" s="17" t="s">
        <v>71</v>
      </c>
      <c r="D1173" t="s">
        <v>3534</v>
      </c>
      <c r="F1173" t="s">
        <v>3581</v>
      </c>
      <c r="J1173" t="s">
        <v>115</v>
      </c>
      <c r="K1173" s="18" t="s">
        <v>3582</v>
      </c>
      <c r="N1173" s="17" t="s">
        <v>77</v>
      </c>
      <c r="O1173" t="s">
        <v>261</v>
      </c>
      <c r="U1173" s="17"/>
      <c r="V1173" s="18" t="s">
        <v>3582</v>
      </c>
      <c r="W1173" t="s">
        <v>3583</v>
      </c>
      <c r="Y1173" t="s">
        <v>217</v>
      </c>
      <c r="AA1173" t="s">
        <v>218</v>
      </c>
      <c r="AB1173" t="s">
        <v>119</v>
      </c>
    </row>
    <row r="1174" ht="15" customHeight="1" spans="1:22" x14ac:dyDescent="0.25">
      <c r="A1174" s="17" t="s">
        <v>3584</v>
      </c>
      <c r="B1174" s="17" t="s">
        <v>70</v>
      </c>
      <c r="C1174" s="17" t="s">
        <v>71</v>
      </c>
      <c r="D1174" t="s">
        <v>3534</v>
      </c>
      <c r="F1174" t="s">
        <v>3585</v>
      </c>
      <c r="K1174" s="18">
        <f>62817408588</f>
        <v>62817408588</v>
      </c>
      <c r="N1174" s="17" t="s">
        <v>77</v>
      </c>
      <c r="V1174" s="18">
        <f>62817408588</f>
        <v>62817408588</v>
      </c>
    </row>
    <row r="1175" ht="15" customHeight="1" spans="1:28" x14ac:dyDescent="0.25">
      <c r="A1175" s="17" t="s">
        <v>3586</v>
      </c>
      <c r="B1175" s="17" t="s">
        <v>70</v>
      </c>
      <c r="C1175" s="17" t="s">
        <v>71</v>
      </c>
      <c r="D1175" t="s">
        <v>3534</v>
      </c>
      <c r="F1175" t="s">
        <v>3587</v>
      </c>
      <c r="J1175" t="s">
        <v>115</v>
      </c>
      <c r="K1175" s="18" t="s">
        <v>3588</v>
      </c>
      <c r="N1175" s="17" t="s">
        <v>77</v>
      </c>
      <c r="O1175" t="s">
        <v>489</v>
      </c>
      <c r="U1175" s="17"/>
      <c r="V1175" s="18" t="s">
        <v>3588</v>
      </c>
      <c r="W1175" t="s">
        <v>3589</v>
      </c>
      <c r="Y1175" t="s">
        <v>90</v>
      </c>
      <c r="AA1175" t="s">
        <v>118</v>
      </c>
      <c r="AB1175" t="s">
        <v>119</v>
      </c>
    </row>
    <row r="1176" ht="15" customHeight="1" spans="1:28" x14ac:dyDescent="0.25">
      <c r="A1176" s="17" t="s">
        <v>3590</v>
      </c>
      <c r="B1176" s="17" t="s">
        <v>70</v>
      </c>
      <c r="C1176" s="17" t="s">
        <v>71</v>
      </c>
      <c r="D1176" t="s">
        <v>3534</v>
      </c>
      <c r="F1176" t="s">
        <v>3591</v>
      </c>
      <c r="J1176" t="s">
        <v>115</v>
      </c>
      <c r="K1176" s="18" t="s">
        <v>3592</v>
      </c>
      <c r="N1176" s="17" t="s">
        <v>77</v>
      </c>
      <c r="O1176" t="s">
        <v>117</v>
      </c>
      <c r="U1176" s="17"/>
      <c r="V1176" s="18" t="s">
        <v>3592</v>
      </c>
      <c r="W1176" t="s">
        <v>3593</v>
      </c>
      <c r="Y1176" t="s">
        <v>190</v>
      </c>
      <c r="AA1176" t="s">
        <v>118</v>
      </c>
      <c r="AB1176" t="s">
        <v>119</v>
      </c>
    </row>
    <row r="1177" ht="15" customHeight="1" spans="1:22" x14ac:dyDescent="0.25">
      <c r="A1177" s="17" t="s">
        <v>3594</v>
      </c>
      <c r="B1177" s="17" t="s">
        <v>70</v>
      </c>
      <c r="C1177" s="17" t="s">
        <v>71</v>
      </c>
      <c r="D1177" t="s">
        <v>3595</v>
      </c>
      <c r="F1177" t="s">
        <v>3595</v>
      </c>
      <c r="K1177" s="18">
        <f>62817161400</f>
        <v>62817161400</v>
      </c>
      <c r="N1177" s="17" t="s">
        <v>81</v>
      </c>
      <c r="V1177" s="18">
        <f>62817161400</f>
        <v>62817161400</v>
      </c>
    </row>
    <row r="1178" ht="15" customHeight="1" spans="1:22" x14ac:dyDescent="0.25">
      <c r="A1178" s="17" t="s">
        <v>3596</v>
      </c>
      <c r="B1178" s="17" t="s">
        <v>70</v>
      </c>
      <c r="C1178" s="17" t="s">
        <v>71</v>
      </c>
      <c r="D1178" t="s">
        <v>3597</v>
      </c>
      <c r="F1178" t="s">
        <v>3598</v>
      </c>
      <c r="K1178" s="18">
        <f>6281232593484</f>
        <v>6281232593484</v>
      </c>
      <c r="N1178" s="17" t="s">
        <v>81</v>
      </c>
      <c r="V1178" s="18">
        <f>6281232593484</f>
        <v>6281232593484</v>
      </c>
    </row>
    <row r="1179" ht="15" customHeight="1" spans="1:25" x14ac:dyDescent="0.25">
      <c r="A1179" s="17" t="s">
        <v>3599</v>
      </c>
      <c r="B1179" s="17" t="s">
        <v>70</v>
      </c>
      <c r="C1179" s="17" t="s">
        <v>71</v>
      </c>
      <c r="D1179" t="s">
        <v>3600</v>
      </c>
      <c r="F1179" t="s">
        <v>3601</v>
      </c>
      <c r="J1179" s="17" t="s">
        <v>3602</v>
      </c>
      <c r="K1179" s="18">
        <f>628119201212</f>
        <v>628119201212</v>
      </c>
      <c r="N1179" s="17" t="s">
        <v>81</v>
      </c>
      <c r="U1179" s="17"/>
      <c r="V1179" s="18">
        <f>628119201212</f>
        <v>628119201212</v>
      </c>
      <c r="W1179" t="s">
        <v>3603</v>
      </c>
      <c r="Y1179" s="17" t="s">
        <v>90</v>
      </c>
    </row>
    <row r="1180" ht="15" customHeight="1" spans="1:23" x14ac:dyDescent="0.25">
      <c r="A1180" s="17" t="s">
        <v>3604</v>
      </c>
      <c r="B1180" s="17" t="s">
        <v>70</v>
      </c>
      <c r="C1180" s="17" t="s">
        <v>71</v>
      </c>
      <c r="D1180" t="s">
        <v>3600</v>
      </c>
      <c r="F1180" t="s">
        <v>3605</v>
      </c>
      <c r="K1180" s="18">
        <f>628121018064</f>
        <v>628121018064</v>
      </c>
      <c r="N1180" s="17" t="s">
        <v>77</v>
      </c>
      <c r="U1180" s="17"/>
      <c r="V1180" s="18">
        <f>628121018064</f>
        <v>628121018064</v>
      </c>
      <c r="W1180" t="s">
        <v>3606</v>
      </c>
    </row>
    <row r="1181" ht="15" customHeight="1" spans="1:22" x14ac:dyDescent="0.25">
      <c r="A1181" s="17" t="s">
        <v>3607</v>
      </c>
      <c r="B1181" s="17" t="s">
        <v>70</v>
      </c>
      <c r="C1181" s="17" t="s">
        <v>71</v>
      </c>
      <c r="D1181" t="s">
        <v>3608</v>
      </c>
      <c r="F1181" t="s">
        <v>3609</v>
      </c>
      <c r="K1181" s="18">
        <f>6287878995738</f>
        <v>6287878995738</v>
      </c>
      <c r="N1181" s="17" t="s">
        <v>77</v>
      </c>
      <c r="V1181" s="18">
        <f>6287878995738</f>
        <v>6287878995738</v>
      </c>
    </row>
    <row r="1182" ht="15" customHeight="1" spans="1:22" x14ac:dyDescent="0.25">
      <c r="A1182" s="17" t="s">
        <v>3610</v>
      </c>
      <c r="B1182" s="17" t="s">
        <v>70</v>
      </c>
      <c r="C1182" s="17" t="s">
        <v>71</v>
      </c>
      <c r="D1182" t="s">
        <v>3611</v>
      </c>
      <c r="F1182" t="s">
        <v>2517</v>
      </c>
      <c r="K1182" s="18">
        <f>6281243614498</f>
        <v>6281243614498</v>
      </c>
      <c r="N1182" s="17" t="s">
        <v>81</v>
      </c>
      <c r="V1182" s="18">
        <f>6281243614498</f>
        <v>6281243614498</v>
      </c>
    </row>
    <row r="1183" ht="15" customHeight="1" spans="1:28" x14ac:dyDescent="0.25">
      <c r="A1183" s="17" t="s">
        <v>3612</v>
      </c>
      <c r="B1183" s="17" t="s">
        <v>70</v>
      </c>
      <c r="C1183" s="17" t="s">
        <v>71</v>
      </c>
      <c r="D1183" t="s">
        <v>3613</v>
      </c>
      <c r="F1183" t="s">
        <v>3614</v>
      </c>
      <c r="J1183" s="17" t="s">
        <v>3615</v>
      </c>
      <c r="K1183" s="18" t="s">
        <v>3616</v>
      </c>
      <c r="N1183" s="17" t="s">
        <v>77</v>
      </c>
      <c r="O1183" t="s">
        <v>199</v>
      </c>
      <c r="V1183" s="18" t="s">
        <v>3616</v>
      </c>
      <c r="Y1183" t="s">
        <v>115</v>
      </c>
      <c r="AA1183" t="s">
        <v>115</v>
      </c>
      <c r="AB1183" t="s">
        <v>920</v>
      </c>
    </row>
    <row r="1184" ht="15" customHeight="1" spans="1:25" x14ac:dyDescent="0.25">
      <c r="A1184" s="17" t="s">
        <v>3617</v>
      </c>
      <c r="B1184" s="17" t="s">
        <v>70</v>
      </c>
      <c r="C1184" s="17" t="s">
        <v>71</v>
      </c>
      <c r="D1184" t="s">
        <v>3618</v>
      </c>
      <c r="F1184" t="s">
        <v>3619</v>
      </c>
      <c r="K1184" s="18">
        <v>8811640039</v>
      </c>
      <c r="N1184" s="17" t="s">
        <v>81</v>
      </c>
      <c r="U1184" s="17"/>
      <c r="V1184" s="18">
        <v>8811640039</v>
      </c>
      <c r="W1184" t="s">
        <v>3620</v>
      </c>
      <c r="Y1184" s="17" t="s">
        <v>626</v>
      </c>
    </row>
    <row r="1185" ht="15" customHeight="1" spans="1:22" x14ac:dyDescent="0.25">
      <c r="A1185" s="17" t="s">
        <v>3621</v>
      </c>
      <c r="B1185" s="17" t="s">
        <v>70</v>
      </c>
      <c r="C1185" s="17" t="s">
        <v>71</v>
      </c>
      <c r="D1185" t="s">
        <v>3618</v>
      </c>
      <c r="F1185" t="s">
        <v>3618</v>
      </c>
      <c r="K1185" s="18">
        <v>18522414045</v>
      </c>
      <c r="N1185" s="17" t="s">
        <v>77</v>
      </c>
      <c r="V1185" s="18">
        <v>18522414045</v>
      </c>
    </row>
    <row r="1186" ht="15" customHeight="1" spans="1:28" x14ac:dyDescent="0.25">
      <c r="A1186" s="17" t="s">
        <v>3622</v>
      </c>
      <c r="B1186" s="17" t="s">
        <v>70</v>
      </c>
      <c r="C1186" s="17" t="s">
        <v>71</v>
      </c>
      <c r="D1186" t="s">
        <v>2502</v>
      </c>
      <c r="F1186" t="s">
        <v>3623</v>
      </c>
      <c r="J1186" t="s">
        <v>115</v>
      </c>
      <c r="K1186" s="18" t="s">
        <v>3624</v>
      </c>
      <c r="N1186" s="17" t="s">
        <v>81</v>
      </c>
      <c r="O1186" t="s">
        <v>117</v>
      </c>
      <c r="U1186" s="17"/>
      <c r="V1186" s="18" t="s">
        <v>3624</v>
      </c>
      <c r="W1186" t="s">
        <v>3625</v>
      </c>
      <c r="Y1186" t="s">
        <v>90</v>
      </c>
      <c r="AA1186" t="s">
        <v>118</v>
      </c>
      <c r="AB1186" t="s">
        <v>119</v>
      </c>
    </row>
    <row r="1187" ht="15" customHeight="1" spans="1:22" x14ac:dyDescent="0.25">
      <c r="A1187" s="17" t="s">
        <v>3626</v>
      </c>
      <c r="B1187" s="17" t="s">
        <v>70</v>
      </c>
      <c r="C1187" s="17" t="s">
        <v>71</v>
      </c>
      <c r="D1187" t="s">
        <v>3623</v>
      </c>
      <c r="F1187" t="s">
        <v>3623</v>
      </c>
      <c r="K1187" s="18">
        <f>62811132518</f>
        <v>62811132518</v>
      </c>
      <c r="N1187" s="17" t="s">
        <v>81</v>
      </c>
      <c r="V1187" s="18">
        <f>62811132518</f>
        <v>62811132518</v>
      </c>
    </row>
    <row r="1188" ht="15" customHeight="1" spans="1:22" x14ac:dyDescent="0.25">
      <c r="A1188" s="17" t="s">
        <v>3627</v>
      </c>
      <c r="B1188" s="17" t="s">
        <v>70</v>
      </c>
      <c r="C1188" s="17" t="s">
        <v>71</v>
      </c>
      <c r="D1188" t="s">
        <v>3623</v>
      </c>
      <c r="F1188" t="s">
        <v>3623</v>
      </c>
      <c r="K1188" s="18">
        <f>628159666969</f>
        <v>628159666969</v>
      </c>
      <c r="N1188" s="17" t="s">
        <v>77</v>
      </c>
      <c r="V1188" s="18">
        <f>628159666969</f>
        <v>628159666969</v>
      </c>
    </row>
    <row r="1189" ht="15" customHeight="1" spans="1:28" x14ac:dyDescent="0.25">
      <c r="A1189" s="17" t="s">
        <v>3628</v>
      </c>
      <c r="B1189" s="17" t="s">
        <v>70</v>
      </c>
      <c r="C1189" s="17" t="s">
        <v>71</v>
      </c>
      <c r="D1189" t="s">
        <v>3623</v>
      </c>
      <c r="F1189" t="s">
        <v>2153</v>
      </c>
      <c r="J1189" t="s">
        <v>115</v>
      </c>
      <c r="K1189" s="18" t="s">
        <v>3629</v>
      </c>
      <c r="N1189" s="17" t="s">
        <v>77</v>
      </c>
      <c r="O1189" t="s">
        <v>117</v>
      </c>
      <c r="U1189" s="17"/>
      <c r="V1189" s="18" t="s">
        <v>3629</v>
      </c>
      <c r="W1189" t="s">
        <v>3630</v>
      </c>
      <c r="Y1189" t="s">
        <v>490</v>
      </c>
      <c r="AA1189" t="s">
        <v>115</v>
      </c>
      <c r="AB1189" t="s">
        <v>119</v>
      </c>
    </row>
    <row r="1190" ht="15" customHeight="1" spans="1:28" x14ac:dyDescent="0.25">
      <c r="A1190" s="17" t="s">
        <v>3631</v>
      </c>
      <c r="B1190" s="17" t="s">
        <v>70</v>
      </c>
      <c r="C1190" s="17" t="s">
        <v>71</v>
      </c>
      <c r="D1190" t="s">
        <v>3623</v>
      </c>
      <c r="F1190" t="s">
        <v>3632</v>
      </c>
      <c r="J1190" t="s">
        <v>3633</v>
      </c>
      <c r="K1190" s="18" t="s">
        <v>3634</v>
      </c>
      <c r="N1190" s="17" t="s">
        <v>77</v>
      </c>
      <c r="O1190" t="s">
        <v>145</v>
      </c>
      <c r="V1190" s="18" t="s">
        <v>3634</v>
      </c>
      <c r="Y1190" t="s">
        <v>490</v>
      </c>
      <c r="AA1190" t="s">
        <v>115</v>
      </c>
      <c r="AB1190" t="s">
        <v>119</v>
      </c>
    </row>
    <row r="1191" ht="15" customHeight="1" spans="1:27" x14ac:dyDescent="0.25">
      <c r="A1191" s="17" t="s">
        <v>3635</v>
      </c>
      <c r="B1191" s="17" t="s">
        <v>70</v>
      </c>
      <c r="C1191" s="17" t="s">
        <v>71</v>
      </c>
      <c r="D1191" t="s">
        <v>3623</v>
      </c>
      <c r="F1191" t="s">
        <v>2293</v>
      </c>
      <c r="K1191" s="18">
        <f>62811184826</f>
        <v>62811184826</v>
      </c>
      <c r="N1191" s="17" t="s">
        <v>74</v>
      </c>
      <c r="U1191" s="17"/>
      <c r="V1191" s="18">
        <f>62811184826</f>
        <v>62811184826</v>
      </c>
      <c r="W1191" t="s">
        <v>3636</v>
      </c>
      <c r="Y1191" s="17" t="s">
        <v>96</v>
      </c>
      <c r="AA1191" s="17" t="s">
        <v>133</v>
      </c>
    </row>
    <row r="1192" ht="15" customHeight="1" spans="1:23" x14ac:dyDescent="0.25">
      <c r="A1192" s="17" t="s">
        <v>3637</v>
      </c>
      <c r="B1192" s="17" t="s">
        <v>70</v>
      </c>
      <c r="C1192" s="17" t="s">
        <v>71</v>
      </c>
      <c r="D1192" t="s">
        <v>3623</v>
      </c>
      <c r="F1192" t="s">
        <v>3638</v>
      </c>
      <c r="K1192" s="18">
        <f>62215732837</f>
        <v>62215732837</v>
      </c>
      <c r="N1192" s="17" t="s">
        <v>77</v>
      </c>
      <c r="U1192" s="17"/>
      <c r="V1192" s="18">
        <f>62215732837</f>
        <v>62215732837</v>
      </c>
      <c r="W1192" t="s">
        <v>3639</v>
      </c>
    </row>
    <row r="1193" ht="15" customHeight="1" spans="1:25" x14ac:dyDescent="0.25">
      <c r="A1193" s="17" t="s">
        <v>3640</v>
      </c>
      <c r="B1193" s="17" t="s">
        <v>70</v>
      </c>
      <c r="C1193" s="17" t="s">
        <v>71</v>
      </c>
      <c r="D1193" t="s">
        <v>3623</v>
      </c>
      <c r="F1193" t="s">
        <v>2938</v>
      </c>
      <c r="K1193" s="18">
        <f>62217944102</f>
        <v>62217944102</v>
      </c>
      <c r="N1193" s="17" t="s">
        <v>77</v>
      </c>
      <c r="U1193" s="17"/>
      <c r="V1193" s="18">
        <f>62217944102</f>
        <v>62217944102</v>
      </c>
      <c r="W1193" t="s">
        <v>3641</v>
      </c>
      <c r="Y1193" s="17" t="s">
        <v>90</v>
      </c>
    </row>
    <row r="1194" ht="15" customHeight="1" spans="1:22" x14ac:dyDescent="0.25">
      <c r="A1194" s="17" t="s">
        <v>3642</v>
      </c>
      <c r="B1194" s="17" t="s">
        <v>70</v>
      </c>
      <c r="C1194" s="17" t="s">
        <v>71</v>
      </c>
      <c r="D1194" t="s">
        <v>3623</v>
      </c>
      <c r="F1194" t="s">
        <v>3643</v>
      </c>
      <c r="K1194" s="18">
        <f>3057789831</f>
        <v>3057789831</v>
      </c>
      <c r="N1194" s="17" t="s">
        <v>77</v>
      </c>
      <c r="V1194" s="18">
        <f>3057789831</f>
        <v>3057789831</v>
      </c>
    </row>
    <row r="1195" ht="15" customHeight="1" spans="1:28" x14ac:dyDescent="0.25">
      <c r="A1195" s="17" t="s">
        <v>3644</v>
      </c>
      <c r="B1195" s="17" t="s">
        <v>70</v>
      </c>
      <c r="C1195" s="17" t="s">
        <v>71</v>
      </c>
      <c r="D1195" t="s">
        <v>3623</v>
      </c>
      <c r="F1195" t="s">
        <v>3645</v>
      </c>
      <c r="J1195" t="s">
        <v>3646</v>
      </c>
      <c r="K1195" s="18" t="s">
        <v>3647</v>
      </c>
      <c r="N1195" s="17" t="s">
        <v>77</v>
      </c>
      <c r="O1195" t="s">
        <v>117</v>
      </c>
      <c r="U1195" s="17"/>
      <c r="V1195" s="18" t="s">
        <v>3647</v>
      </c>
      <c r="W1195" t="s">
        <v>500</v>
      </c>
      <c r="Y1195" t="s">
        <v>490</v>
      </c>
      <c r="AA1195" t="s">
        <v>115</v>
      </c>
      <c r="AB1195" t="s">
        <v>119</v>
      </c>
    </row>
    <row r="1196" ht="15" customHeight="1" spans="1:23" x14ac:dyDescent="0.25">
      <c r="A1196" s="17" t="s">
        <v>3648</v>
      </c>
      <c r="B1196" s="17" t="s">
        <v>70</v>
      </c>
      <c r="C1196" s="17" t="s">
        <v>71</v>
      </c>
      <c r="D1196" t="s">
        <v>3623</v>
      </c>
      <c r="F1196" t="s">
        <v>3649</v>
      </c>
      <c r="K1196" s="18">
        <f>6282145133557</f>
        <v>6282145133557</v>
      </c>
      <c r="N1196" s="17" t="s">
        <v>81</v>
      </c>
      <c r="U1196" s="17"/>
      <c r="V1196" s="18">
        <f>6282145133557</f>
        <v>6282145133557</v>
      </c>
      <c r="W1196" t="s">
        <v>3650</v>
      </c>
    </row>
    <row r="1197" ht="15" customHeight="1" spans="1:22" x14ac:dyDescent="0.25">
      <c r="A1197" s="17" t="s">
        <v>3651</v>
      </c>
      <c r="B1197" s="17" t="s">
        <v>70</v>
      </c>
      <c r="C1197" s="17" t="s">
        <v>71</v>
      </c>
      <c r="D1197" t="s">
        <v>3623</v>
      </c>
      <c r="F1197" t="s">
        <v>3652</v>
      </c>
      <c r="K1197" s="18">
        <f>79959166719</f>
        <v>79959166719</v>
      </c>
      <c r="N1197" s="17" t="s">
        <v>77</v>
      </c>
      <c r="V1197" s="18">
        <f>79959166719</f>
        <v>79959166719</v>
      </c>
    </row>
    <row r="1198" ht="15" customHeight="1" spans="1:28" x14ac:dyDescent="0.25">
      <c r="A1198" s="17" t="s">
        <v>3653</v>
      </c>
      <c r="B1198" s="17" t="s">
        <v>70</v>
      </c>
      <c r="C1198" s="17" t="s">
        <v>71</v>
      </c>
      <c r="D1198" t="s">
        <v>3623</v>
      </c>
      <c r="F1198" t="s">
        <v>3654</v>
      </c>
      <c r="J1198" t="s">
        <v>115</v>
      </c>
      <c r="K1198" s="18" t="s">
        <v>3655</v>
      </c>
      <c r="N1198" s="17" t="s">
        <v>77</v>
      </c>
      <c r="O1198" t="s">
        <v>117</v>
      </c>
      <c r="U1198" s="17"/>
      <c r="V1198" s="18" t="s">
        <v>3655</v>
      </c>
      <c r="W1198" t="s">
        <v>3656</v>
      </c>
      <c r="Y1198" s="17" t="s">
        <v>190</v>
      </c>
      <c r="AA1198" t="s">
        <v>118</v>
      </c>
      <c r="AB1198" t="s">
        <v>119</v>
      </c>
    </row>
    <row r="1199" ht="15" customHeight="1" spans="1:28" x14ac:dyDescent="0.25">
      <c r="A1199" s="17" t="s">
        <v>3657</v>
      </c>
      <c r="B1199" s="17" t="s">
        <v>70</v>
      </c>
      <c r="C1199" s="17" t="s">
        <v>71</v>
      </c>
      <c r="D1199" t="s">
        <v>3623</v>
      </c>
      <c r="F1199" t="s">
        <v>3658</v>
      </c>
      <c r="J1199" t="s">
        <v>115</v>
      </c>
      <c r="K1199" s="18" t="s">
        <v>3659</v>
      </c>
      <c r="N1199" s="17" t="s">
        <v>77</v>
      </c>
      <c r="O1199" t="s">
        <v>117</v>
      </c>
      <c r="V1199" s="18" t="s">
        <v>3659</v>
      </c>
      <c r="Y1199" t="s">
        <v>90</v>
      </c>
      <c r="AA1199" t="s">
        <v>118</v>
      </c>
      <c r="AB1199" t="s">
        <v>119</v>
      </c>
    </row>
    <row r="1200" ht="15" customHeight="1" spans="1:28" x14ac:dyDescent="0.25">
      <c r="A1200" s="17" t="s">
        <v>3660</v>
      </c>
      <c r="B1200" s="17" t="s">
        <v>70</v>
      </c>
      <c r="C1200" s="17" t="s">
        <v>71</v>
      </c>
      <c r="D1200" t="s">
        <v>3623</v>
      </c>
      <c r="F1200" t="s">
        <v>3661</v>
      </c>
      <c r="J1200" t="s">
        <v>115</v>
      </c>
      <c r="K1200" s="18" t="s">
        <v>3662</v>
      </c>
      <c r="N1200" s="17" t="s">
        <v>77</v>
      </c>
      <c r="O1200" t="s">
        <v>117</v>
      </c>
      <c r="V1200" s="18" t="s">
        <v>3662</v>
      </c>
      <c r="Y1200" t="s">
        <v>90</v>
      </c>
      <c r="AA1200" t="s">
        <v>118</v>
      </c>
      <c r="AB1200" t="s">
        <v>119</v>
      </c>
    </row>
    <row r="1201" ht="15" customHeight="1" spans="1:23" x14ac:dyDescent="0.25">
      <c r="A1201" s="17" t="s">
        <v>3663</v>
      </c>
      <c r="B1201" s="17" t="s">
        <v>70</v>
      </c>
      <c r="C1201" s="17" t="s">
        <v>71</v>
      </c>
      <c r="D1201" t="s">
        <v>3623</v>
      </c>
      <c r="F1201" t="s">
        <v>3664</v>
      </c>
      <c r="J1201" s="17" t="s">
        <v>3665</v>
      </c>
      <c r="K1201" s="18">
        <f>628126032273</f>
        <v>628126032273</v>
      </c>
      <c r="N1201" s="17" t="s">
        <v>77</v>
      </c>
      <c r="U1201" s="17"/>
      <c r="V1201" s="18">
        <f>628126032273</f>
        <v>628126032273</v>
      </c>
      <c r="W1201" t="s">
        <v>3666</v>
      </c>
    </row>
    <row r="1202" ht="15" customHeight="1" spans="1:22" x14ac:dyDescent="0.25">
      <c r="A1202" s="17" t="s">
        <v>3667</v>
      </c>
      <c r="B1202" s="17" t="s">
        <v>70</v>
      </c>
      <c r="C1202" s="17" t="s">
        <v>71</v>
      </c>
      <c r="D1202" t="s">
        <v>3623</v>
      </c>
      <c r="F1202" t="s">
        <v>3668</v>
      </c>
      <c r="K1202" s="18">
        <f>79037261414</f>
        <v>79037261414</v>
      </c>
      <c r="N1202" s="17" t="s">
        <v>81</v>
      </c>
      <c r="V1202" s="18">
        <f>79037261414</f>
        <v>79037261414</v>
      </c>
    </row>
    <row r="1203" ht="15" customHeight="1" spans="1:22" x14ac:dyDescent="0.25">
      <c r="A1203" s="17" t="s">
        <v>3669</v>
      </c>
      <c r="B1203" s="17" t="s">
        <v>70</v>
      </c>
      <c r="C1203" s="17" t="s">
        <v>71</v>
      </c>
      <c r="D1203" t="s">
        <v>3623</v>
      </c>
      <c r="F1203" t="s">
        <v>3670</v>
      </c>
      <c r="K1203" s="18">
        <f>6281380010126</f>
        <v>6281380010126</v>
      </c>
      <c r="N1203" s="17" t="s">
        <v>77</v>
      </c>
      <c r="V1203" s="18">
        <f>6281380010126</f>
        <v>6281380010126</v>
      </c>
    </row>
    <row r="1204" ht="15" customHeight="1" spans="1:23" x14ac:dyDescent="0.25">
      <c r="A1204" s="17" t="s">
        <v>3671</v>
      </c>
      <c r="B1204" s="17" t="s">
        <v>70</v>
      </c>
      <c r="C1204" s="17" t="s">
        <v>71</v>
      </c>
      <c r="D1204" t="s">
        <v>3623</v>
      </c>
      <c r="F1204" t="s">
        <v>3672</v>
      </c>
      <c r="K1204" s="18">
        <f>6282113635900</f>
        <v>6282113635900</v>
      </c>
      <c r="N1204" s="17" t="s">
        <v>77</v>
      </c>
      <c r="U1204" s="17"/>
      <c r="V1204" s="18">
        <f>6282113635900</f>
        <v>6282113635900</v>
      </c>
      <c r="W1204" t="s">
        <v>3673</v>
      </c>
    </row>
    <row r="1205" ht="15" customHeight="1" spans="1:23" x14ac:dyDescent="0.25">
      <c r="A1205" s="17" t="s">
        <v>3674</v>
      </c>
      <c r="B1205" s="17" t="s">
        <v>70</v>
      </c>
      <c r="C1205" s="17" t="s">
        <v>71</v>
      </c>
      <c r="D1205" t="s">
        <v>3623</v>
      </c>
      <c r="F1205" t="s">
        <v>3675</v>
      </c>
      <c r="J1205" s="17" t="s">
        <v>3676</v>
      </c>
      <c r="K1205" s="18">
        <f>6282113584793</f>
        <v>6282113584793</v>
      </c>
      <c r="N1205" s="17" t="s">
        <v>77</v>
      </c>
      <c r="U1205" s="17"/>
      <c r="V1205" s="18">
        <f>6282113584793</f>
        <v>6282113584793</v>
      </c>
      <c r="W1205" t="s">
        <v>119</v>
      </c>
    </row>
    <row r="1206" ht="15" customHeight="1" spans="1:25" x14ac:dyDescent="0.25">
      <c r="A1206" s="17" t="s">
        <v>3677</v>
      </c>
      <c r="B1206" s="17" t="s">
        <v>70</v>
      </c>
      <c r="C1206" s="17" t="s">
        <v>71</v>
      </c>
      <c r="D1206" t="s">
        <v>3623</v>
      </c>
      <c r="F1206" t="s">
        <v>3678</v>
      </c>
      <c r="K1206" s="18">
        <f>62816758467</f>
        <v>62816758467</v>
      </c>
      <c r="N1206" s="17" t="s">
        <v>74</v>
      </c>
      <c r="U1206" s="17"/>
      <c r="V1206" s="18">
        <f>62816758467</f>
        <v>62816758467</v>
      </c>
      <c r="W1206" t="s">
        <v>3679</v>
      </c>
      <c r="Y1206" s="17" t="s">
        <v>96</v>
      </c>
    </row>
    <row r="1207" ht="15" customHeight="1" spans="1:25" x14ac:dyDescent="0.25">
      <c r="A1207" s="17" t="s">
        <v>3680</v>
      </c>
      <c r="B1207" s="17" t="s">
        <v>70</v>
      </c>
      <c r="C1207" s="17" t="s">
        <v>71</v>
      </c>
      <c r="D1207" t="s">
        <v>3623</v>
      </c>
      <c r="F1207" t="s">
        <v>3681</v>
      </c>
      <c r="K1207" s="18">
        <v>71790963</v>
      </c>
      <c r="N1207" s="17" t="s">
        <v>77</v>
      </c>
      <c r="U1207" s="17"/>
      <c r="V1207" s="18">
        <v>71790963</v>
      </c>
      <c r="W1207" t="s">
        <v>3682</v>
      </c>
      <c r="Y1207" s="17" t="s">
        <v>96</v>
      </c>
    </row>
    <row r="1208" ht="15" customHeight="1" spans="1:27" x14ac:dyDescent="0.25">
      <c r="A1208" s="17" t="s">
        <v>3683</v>
      </c>
      <c r="B1208" s="17" t="s">
        <v>70</v>
      </c>
      <c r="C1208" s="17" t="s">
        <v>71</v>
      </c>
      <c r="D1208" t="s">
        <v>3623</v>
      </c>
      <c r="F1208" t="s">
        <v>3684</v>
      </c>
      <c r="J1208" s="17" t="s">
        <v>3685</v>
      </c>
      <c r="K1208" s="18">
        <f>628127794244</f>
        <v>628127794244</v>
      </c>
      <c r="N1208" s="17" t="s">
        <v>74</v>
      </c>
      <c r="U1208" s="17"/>
      <c r="V1208" s="18">
        <f>628127794244</f>
        <v>628127794244</v>
      </c>
      <c r="W1208" t="s">
        <v>3686</v>
      </c>
      <c r="Y1208" s="17" t="s">
        <v>90</v>
      </c>
      <c r="AA1208" s="17">
        <v>13260</v>
      </c>
    </row>
    <row r="1209" ht="15" customHeight="1" spans="1:23" x14ac:dyDescent="0.25">
      <c r="A1209" s="17" t="s">
        <v>3687</v>
      </c>
      <c r="B1209" s="17" t="s">
        <v>70</v>
      </c>
      <c r="C1209" s="17" t="s">
        <v>71</v>
      </c>
      <c r="D1209" t="s">
        <v>3623</v>
      </c>
      <c r="F1209" t="s">
        <v>3688</v>
      </c>
      <c r="J1209" s="17" t="s">
        <v>3689</v>
      </c>
      <c r="K1209" s="18">
        <f>79154773700</f>
        <v>79154773700</v>
      </c>
      <c r="N1209" s="17" t="s">
        <v>81</v>
      </c>
      <c r="U1209" s="17"/>
      <c r="V1209" s="18">
        <f>79154773700</f>
        <v>79154773700</v>
      </c>
      <c r="W1209" t="s">
        <v>3690</v>
      </c>
    </row>
    <row r="1210" ht="15" customHeight="1" spans="1:23" x14ac:dyDescent="0.25">
      <c r="A1210" s="17" t="s">
        <v>3691</v>
      </c>
      <c r="B1210" s="17" t="s">
        <v>70</v>
      </c>
      <c r="C1210" s="17" t="s">
        <v>71</v>
      </c>
      <c r="D1210" t="s">
        <v>3623</v>
      </c>
      <c r="F1210" t="s">
        <v>3692</v>
      </c>
      <c r="J1210" s="17" t="s">
        <v>3693</v>
      </c>
      <c r="K1210" s="18">
        <f>6281280655625</f>
        <v>6281280655625</v>
      </c>
      <c r="N1210" s="17" t="s">
        <v>81</v>
      </c>
      <c r="U1210" s="17"/>
      <c r="V1210" s="18">
        <f>6281280655625</f>
        <v>6281280655625</v>
      </c>
      <c r="W1210" t="s">
        <v>3694</v>
      </c>
    </row>
    <row r="1211" ht="15" customHeight="1" spans="1:22" x14ac:dyDescent="0.25">
      <c r="A1211" s="17" t="s">
        <v>3695</v>
      </c>
      <c r="B1211" s="17" t="s">
        <v>70</v>
      </c>
      <c r="C1211" s="17" t="s">
        <v>71</v>
      </c>
      <c r="D1211" t="s">
        <v>3623</v>
      </c>
      <c r="F1211" t="s">
        <v>3432</v>
      </c>
      <c r="K1211" s="18">
        <f>6281362292323</f>
        <v>6281362292323</v>
      </c>
      <c r="N1211" s="17" t="s">
        <v>77</v>
      </c>
      <c r="V1211" s="18">
        <f>6281362292323</f>
        <v>6281362292323</v>
      </c>
    </row>
    <row r="1212" ht="15" customHeight="1" spans="1:28" x14ac:dyDescent="0.25">
      <c r="A1212" s="17" t="s">
        <v>3696</v>
      </c>
      <c r="B1212" s="17" t="s">
        <v>70</v>
      </c>
      <c r="C1212" s="17" t="s">
        <v>71</v>
      </c>
      <c r="D1212" t="s">
        <v>3623</v>
      </c>
      <c r="F1212" t="s">
        <v>505</v>
      </c>
      <c r="J1212" t="s">
        <v>115</v>
      </c>
      <c r="K1212" s="18" t="s">
        <v>3697</v>
      </c>
      <c r="N1212" s="17" t="s">
        <v>77</v>
      </c>
      <c r="O1212" t="s">
        <v>145</v>
      </c>
      <c r="U1212" s="17"/>
      <c r="V1212" s="18" t="s">
        <v>3697</v>
      </c>
      <c r="W1212" t="s">
        <v>3698</v>
      </c>
      <c r="Y1212" t="s">
        <v>1084</v>
      </c>
      <c r="AA1212" t="s">
        <v>3146</v>
      </c>
      <c r="AB1212" t="s">
        <v>119</v>
      </c>
    </row>
    <row r="1213" ht="15" customHeight="1" spans="1:22" x14ac:dyDescent="0.25">
      <c r="A1213" s="17" t="s">
        <v>3699</v>
      </c>
      <c r="B1213" s="17" t="s">
        <v>70</v>
      </c>
      <c r="C1213" s="17" t="s">
        <v>71</v>
      </c>
      <c r="D1213" t="s">
        <v>3623</v>
      </c>
      <c r="F1213" t="s">
        <v>3181</v>
      </c>
      <c r="K1213" s="18">
        <f>628179941136</f>
        <v>628179941136</v>
      </c>
      <c r="N1213" s="17" t="s">
        <v>81</v>
      </c>
      <c r="V1213" s="18">
        <f>628179941136</f>
        <v>628179941136</v>
      </c>
    </row>
    <row r="1214" ht="15" customHeight="1" spans="1:25" x14ac:dyDescent="0.25">
      <c r="A1214" s="17" t="s">
        <v>3700</v>
      </c>
      <c r="B1214" s="17" t="s">
        <v>70</v>
      </c>
      <c r="C1214" s="17" t="s">
        <v>71</v>
      </c>
      <c r="D1214" t="s">
        <v>3623</v>
      </c>
      <c r="F1214" t="s">
        <v>3701</v>
      </c>
      <c r="K1214" s="18">
        <f>62818727372</f>
        <v>62818727372</v>
      </c>
      <c r="N1214" s="17" t="s">
        <v>77</v>
      </c>
      <c r="U1214" s="17"/>
      <c r="V1214" s="18">
        <f>62818727372</f>
        <v>62818727372</v>
      </c>
      <c r="W1214" t="s">
        <v>3702</v>
      </c>
      <c r="Y1214" s="17" t="s">
        <v>1084</v>
      </c>
    </row>
    <row r="1215" ht="15" customHeight="1" spans="1:22" x14ac:dyDescent="0.25">
      <c r="A1215" s="17" t="s">
        <v>3703</v>
      </c>
      <c r="B1215" s="17" t="s">
        <v>70</v>
      </c>
      <c r="C1215" s="17" t="s">
        <v>71</v>
      </c>
      <c r="D1215" t="s">
        <v>3623</v>
      </c>
      <c r="F1215" t="s">
        <v>1169</v>
      </c>
      <c r="K1215" s="18">
        <f>628170755555</f>
        <v>628170755555</v>
      </c>
      <c r="N1215" s="17" t="s">
        <v>81</v>
      </c>
      <c r="V1215" s="18">
        <f>628170755555</f>
        <v>628170755555</v>
      </c>
    </row>
    <row r="1216" ht="15" customHeight="1" spans="1:22" x14ac:dyDescent="0.25">
      <c r="A1216" s="17" t="s">
        <v>3704</v>
      </c>
      <c r="B1216" s="17" t="s">
        <v>70</v>
      </c>
      <c r="C1216" s="17" t="s">
        <v>71</v>
      </c>
      <c r="D1216" t="s">
        <v>3623</v>
      </c>
      <c r="F1216" t="s">
        <v>3705</v>
      </c>
      <c r="K1216" s="18">
        <f>6281319096567</f>
        <v>6281319096567</v>
      </c>
      <c r="N1216" s="17" t="s">
        <v>77</v>
      </c>
      <c r="V1216" s="18">
        <f>6281319096567</f>
        <v>6281319096567</v>
      </c>
    </row>
    <row r="1217" ht="15" customHeight="1" spans="1:22" x14ac:dyDescent="0.25">
      <c r="A1217" s="17" t="s">
        <v>3706</v>
      </c>
      <c r="B1217" s="17" t="s">
        <v>70</v>
      </c>
      <c r="C1217" s="17" t="s">
        <v>71</v>
      </c>
      <c r="D1217" t="s">
        <v>3707</v>
      </c>
      <c r="F1217" t="s">
        <v>3707</v>
      </c>
      <c r="K1217" s="18">
        <f>628159718989</f>
        <v>628159718989</v>
      </c>
      <c r="N1217" s="17" t="s">
        <v>81</v>
      </c>
      <c r="V1217" s="18">
        <f>628159718989</f>
        <v>628159718989</v>
      </c>
    </row>
    <row r="1218" ht="15" customHeight="1" spans="1:25" x14ac:dyDescent="0.25">
      <c r="A1218" s="17" t="s">
        <v>3708</v>
      </c>
      <c r="B1218" s="17" t="s">
        <v>70</v>
      </c>
      <c r="C1218" s="17" t="s">
        <v>71</v>
      </c>
      <c r="D1218" t="s">
        <v>441</v>
      </c>
      <c r="F1218" t="s">
        <v>441</v>
      </c>
      <c r="K1218" s="18">
        <f>6281958897788</f>
        <v>6281958897788</v>
      </c>
      <c r="N1218" s="17" t="s">
        <v>81</v>
      </c>
      <c r="U1218" s="17"/>
      <c r="V1218" s="18">
        <f>6281958897788</f>
        <v>6281958897788</v>
      </c>
      <c r="W1218" t="s">
        <v>3709</v>
      </c>
      <c r="Y1218" s="17" t="s">
        <v>626</v>
      </c>
    </row>
    <row r="1219" ht="15" customHeight="1" spans="1:22" x14ac:dyDescent="0.25">
      <c r="A1219" s="17" t="s">
        <v>3710</v>
      </c>
      <c r="B1219" s="17" t="s">
        <v>70</v>
      </c>
      <c r="C1219" s="17" t="s">
        <v>71</v>
      </c>
      <c r="D1219" t="s">
        <v>441</v>
      </c>
      <c r="F1219" t="s">
        <v>3711</v>
      </c>
      <c r="K1219" s="18">
        <f>6281510798282</f>
        <v>6281510798282</v>
      </c>
      <c r="N1219" s="17" t="s">
        <v>77</v>
      </c>
      <c r="V1219" s="18">
        <f>6281510798282</f>
        <v>6281510798282</v>
      </c>
    </row>
    <row r="1220" ht="15" customHeight="1" spans="1:25" x14ac:dyDescent="0.25">
      <c r="A1220" s="17" t="s">
        <v>3712</v>
      </c>
      <c r="B1220" s="17" t="s">
        <v>70</v>
      </c>
      <c r="C1220" s="17" t="s">
        <v>71</v>
      </c>
      <c r="D1220" t="s">
        <v>441</v>
      </c>
      <c r="F1220" t="s">
        <v>3713</v>
      </c>
      <c r="K1220" s="18">
        <f>62811948210</f>
        <v>62811948210</v>
      </c>
      <c r="N1220" s="17" t="s">
        <v>77</v>
      </c>
      <c r="U1220" s="17"/>
      <c r="V1220" s="18">
        <f>62811948210</f>
        <v>62811948210</v>
      </c>
      <c r="W1220" t="s">
        <v>3714</v>
      </c>
      <c r="Y1220" s="17" t="s">
        <v>96</v>
      </c>
    </row>
    <row r="1221" ht="15" customHeight="1" spans="1:22" x14ac:dyDescent="0.25">
      <c r="A1221" s="17" t="s">
        <v>3715</v>
      </c>
      <c r="B1221" s="17" t="s">
        <v>70</v>
      </c>
      <c r="C1221" s="17" t="s">
        <v>71</v>
      </c>
      <c r="D1221" t="s">
        <v>441</v>
      </c>
      <c r="F1221" t="s">
        <v>3716</v>
      </c>
      <c r="K1221" s="18">
        <f>628111106811</f>
        <v>628111106811</v>
      </c>
      <c r="N1221" s="17" t="s">
        <v>81</v>
      </c>
      <c r="V1221" s="18">
        <f>628111106811</f>
        <v>628111106811</v>
      </c>
    </row>
    <row r="1222" ht="15" customHeight="1" spans="1:28" x14ac:dyDescent="0.25">
      <c r="A1222" s="17" t="s">
        <v>3717</v>
      </c>
      <c r="B1222" s="17" t="s">
        <v>70</v>
      </c>
      <c r="C1222" s="17" t="s">
        <v>71</v>
      </c>
      <c r="D1222" t="s">
        <v>441</v>
      </c>
      <c r="F1222" t="s">
        <v>3718</v>
      </c>
      <c r="J1222" s="17" t="s">
        <v>3719</v>
      </c>
      <c r="K1222" s="18" t="s">
        <v>3720</v>
      </c>
      <c r="N1222" s="17" t="s">
        <v>77</v>
      </c>
      <c r="O1222" t="s">
        <v>1188</v>
      </c>
      <c r="U1222" s="17"/>
      <c r="V1222" s="18" t="s">
        <v>3720</v>
      </c>
      <c r="W1222" t="s">
        <v>3721</v>
      </c>
      <c r="Y1222" t="s">
        <v>90</v>
      </c>
      <c r="AA1222" t="s">
        <v>118</v>
      </c>
      <c r="AB1222" t="s">
        <v>119</v>
      </c>
    </row>
    <row r="1223" ht="15" customHeight="1" spans="1:22" x14ac:dyDescent="0.25">
      <c r="A1223" s="17" t="s">
        <v>3722</v>
      </c>
      <c r="B1223" s="17" t="s">
        <v>70</v>
      </c>
      <c r="C1223" s="17" t="s">
        <v>71</v>
      </c>
      <c r="D1223" t="s">
        <v>441</v>
      </c>
      <c r="F1223" t="s">
        <v>3723</v>
      </c>
      <c r="K1223" s="18">
        <f>628121216000</f>
        <v>628121216000</v>
      </c>
      <c r="N1223" s="17" t="s">
        <v>74</v>
      </c>
      <c r="V1223" s="18">
        <f>628121216000</f>
        <v>628121216000</v>
      </c>
    </row>
    <row r="1224" ht="15" customHeight="1" spans="1:22" x14ac:dyDescent="0.25">
      <c r="A1224" s="17" t="s">
        <v>3724</v>
      </c>
      <c r="B1224" s="17" t="s">
        <v>70</v>
      </c>
      <c r="C1224" s="17" t="s">
        <v>71</v>
      </c>
      <c r="D1224" t="s">
        <v>441</v>
      </c>
      <c r="F1224" t="s">
        <v>3725</v>
      </c>
      <c r="K1224" s="18">
        <f>6281319056638</f>
        <v>6281319056638</v>
      </c>
      <c r="N1224" s="17" t="s">
        <v>81</v>
      </c>
      <c r="V1224" s="18">
        <f>6281319056638</f>
        <v>6281319056638</v>
      </c>
    </row>
    <row r="1225" ht="15" customHeight="1" spans="1:28" x14ac:dyDescent="0.25">
      <c r="A1225" s="17" t="s">
        <v>3726</v>
      </c>
      <c r="B1225" s="17" t="s">
        <v>70</v>
      </c>
      <c r="C1225" s="17" t="s">
        <v>71</v>
      </c>
      <c r="D1225" t="s">
        <v>441</v>
      </c>
      <c r="F1225" t="s">
        <v>3727</v>
      </c>
      <c r="J1225" t="s">
        <v>115</v>
      </c>
      <c r="K1225" s="18" t="s">
        <v>3728</v>
      </c>
      <c r="N1225" s="17" t="s">
        <v>81</v>
      </c>
      <c r="O1225" t="s">
        <v>145</v>
      </c>
      <c r="V1225" s="18" t="s">
        <v>3728</v>
      </c>
      <c r="Y1225" t="s">
        <v>115</v>
      </c>
      <c r="AA1225" t="s">
        <v>115</v>
      </c>
      <c r="AB1225" t="s">
        <v>119</v>
      </c>
    </row>
    <row r="1226" ht="15" customHeight="1" spans="1:28" x14ac:dyDescent="0.25">
      <c r="A1226" s="17" t="s">
        <v>3729</v>
      </c>
      <c r="B1226" s="17" t="s">
        <v>70</v>
      </c>
      <c r="C1226" s="17" t="s">
        <v>71</v>
      </c>
      <c r="D1226" t="s">
        <v>441</v>
      </c>
      <c r="F1226" t="s">
        <v>3730</v>
      </c>
      <c r="J1226" s="17" t="s">
        <v>3731</v>
      </c>
      <c r="K1226" s="18" t="s">
        <v>3732</v>
      </c>
      <c r="N1226" s="17" t="s">
        <v>77</v>
      </c>
      <c r="O1226" t="s">
        <v>489</v>
      </c>
      <c r="V1226" s="18" t="s">
        <v>3732</v>
      </c>
      <c r="Y1226" t="s">
        <v>90</v>
      </c>
      <c r="AA1226" t="s">
        <v>118</v>
      </c>
      <c r="AB1226" t="s">
        <v>119</v>
      </c>
    </row>
    <row r="1227" ht="15" customHeight="1" spans="1:28" x14ac:dyDescent="0.25">
      <c r="A1227" s="17" t="s">
        <v>3733</v>
      </c>
      <c r="B1227" s="17" t="s">
        <v>70</v>
      </c>
      <c r="C1227" s="17" t="s">
        <v>71</v>
      </c>
      <c r="D1227" t="s">
        <v>3734</v>
      </c>
      <c r="F1227" t="s">
        <v>3735</v>
      </c>
      <c r="J1227" s="17" t="s">
        <v>3736</v>
      </c>
      <c r="K1227" s="18" t="s">
        <v>3737</v>
      </c>
      <c r="N1227" s="17" t="s">
        <v>77</v>
      </c>
      <c r="O1227" t="s">
        <v>117</v>
      </c>
      <c r="U1227" s="17"/>
      <c r="V1227" s="18" t="s">
        <v>3737</v>
      </c>
      <c r="W1227" t="s">
        <v>3738</v>
      </c>
      <c r="Y1227" t="s">
        <v>704</v>
      </c>
      <c r="AA1227" t="s">
        <v>705</v>
      </c>
      <c r="AB1227" t="s">
        <v>119</v>
      </c>
    </row>
    <row r="1228" ht="15" customHeight="1" spans="1:28" x14ac:dyDescent="0.25">
      <c r="A1228" s="17" t="s">
        <v>3739</v>
      </c>
      <c r="B1228" s="17" t="s">
        <v>70</v>
      </c>
      <c r="C1228" s="17" t="s">
        <v>71</v>
      </c>
      <c r="D1228" t="s">
        <v>3734</v>
      </c>
      <c r="F1228" t="s">
        <v>3740</v>
      </c>
      <c r="J1228" s="17" t="s">
        <v>3741</v>
      </c>
      <c r="K1228" s="18" t="s">
        <v>3742</v>
      </c>
      <c r="N1228" s="17" t="s">
        <v>74</v>
      </c>
      <c r="O1228" t="s">
        <v>117</v>
      </c>
      <c r="U1228" s="17"/>
      <c r="V1228" s="18" t="s">
        <v>3742</v>
      </c>
      <c r="W1228" t="s">
        <v>3743</v>
      </c>
      <c r="Y1228" t="s">
        <v>1084</v>
      </c>
      <c r="AA1228" s="17" t="s">
        <v>3146</v>
      </c>
      <c r="AB1228" t="s">
        <v>119</v>
      </c>
    </row>
    <row r="1229" ht="15" customHeight="1" spans="1:25" x14ac:dyDescent="0.25">
      <c r="A1229" s="17" t="s">
        <v>3744</v>
      </c>
      <c r="B1229" s="17" t="s">
        <v>70</v>
      </c>
      <c r="C1229" s="17" t="s">
        <v>71</v>
      </c>
      <c r="D1229" t="s">
        <v>3745</v>
      </c>
      <c r="F1229" t="s">
        <v>3746</v>
      </c>
      <c r="J1229" s="17" t="s">
        <v>3747</v>
      </c>
      <c r="K1229" s="18">
        <f>6281294646772</f>
        <v>6281294646772</v>
      </c>
      <c r="N1229" s="17" t="s">
        <v>77</v>
      </c>
      <c r="V1229" s="18">
        <f>6281294646772</f>
        <v>6281294646772</v>
      </c>
      <c r="Y1229" s="17" t="s">
        <v>622</v>
      </c>
    </row>
    <row r="1230" ht="15" customHeight="1" spans="1:23" x14ac:dyDescent="0.25">
      <c r="A1230" s="17" t="s">
        <v>3748</v>
      </c>
      <c r="B1230" s="17" t="s">
        <v>70</v>
      </c>
      <c r="C1230" s="17" t="s">
        <v>71</v>
      </c>
      <c r="D1230" t="s">
        <v>3749</v>
      </c>
      <c r="F1230" t="s">
        <v>3750</v>
      </c>
      <c r="K1230" s="18">
        <f>6281380007007</f>
        <v>6281380007007</v>
      </c>
      <c r="N1230" s="17" t="s">
        <v>77</v>
      </c>
      <c r="U1230" s="17"/>
      <c r="V1230" s="18">
        <f>6281380007007</f>
        <v>6281380007007</v>
      </c>
      <c r="W1230" t="s">
        <v>3751</v>
      </c>
    </row>
    <row r="1231" ht="15" customHeight="1" spans="1:22" x14ac:dyDescent="0.25">
      <c r="A1231" s="17" t="s">
        <v>3752</v>
      </c>
      <c r="B1231" s="17" t="s">
        <v>70</v>
      </c>
      <c r="C1231" s="17" t="s">
        <v>71</v>
      </c>
      <c r="D1231" t="s">
        <v>3753</v>
      </c>
      <c r="F1231" t="s">
        <v>3753</v>
      </c>
      <c r="K1231" s="18">
        <f>6281220388823</f>
        <v>6281220388823</v>
      </c>
      <c r="N1231" s="17" t="s">
        <v>81</v>
      </c>
      <c r="V1231" s="18">
        <f>6281220388823</f>
        <v>6281220388823</v>
      </c>
    </row>
    <row r="1232" ht="15" customHeight="1" spans="1:22" x14ac:dyDescent="0.25">
      <c r="A1232" s="17" t="s">
        <v>3754</v>
      </c>
      <c r="B1232" s="17" t="s">
        <v>70</v>
      </c>
      <c r="C1232" s="17" t="s">
        <v>71</v>
      </c>
      <c r="D1232" t="s">
        <v>3753</v>
      </c>
      <c r="F1232" t="s">
        <v>3753</v>
      </c>
      <c r="K1232" s="18">
        <f>628121324253</f>
        <v>628121324253</v>
      </c>
      <c r="N1232" s="17" t="s">
        <v>81</v>
      </c>
      <c r="V1232" s="18">
        <f>628121324253</f>
        <v>628121324253</v>
      </c>
    </row>
    <row r="1233" ht="15" customHeight="1" spans="1:28" x14ac:dyDescent="0.25">
      <c r="A1233" s="17" t="s">
        <v>3755</v>
      </c>
      <c r="B1233" s="17" t="s">
        <v>70</v>
      </c>
      <c r="C1233" s="17" t="s">
        <v>71</v>
      </c>
      <c r="D1233" t="s">
        <v>3753</v>
      </c>
      <c r="F1233" t="s">
        <v>2987</v>
      </c>
      <c r="J1233" t="s">
        <v>115</v>
      </c>
      <c r="K1233" s="18" t="s">
        <v>3756</v>
      </c>
      <c r="N1233" s="17" t="s">
        <v>81</v>
      </c>
      <c r="O1233" t="s">
        <v>117</v>
      </c>
      <c r="V1233" s="18" t="s">
        <v>3756</v>
      </c>
      <c r="Y1233" t="s">
        <v>90</v>
      </c>
      <c r="AA1233" t="s">
        <v>118</v>
      </c>
      <c r="AB1233" t="s">
        <v>119</v>
      </c>
    </row>
    <row r="1234" ht="15" customHeight="1" spans="1:22" x14ac:dyDescent="0.25">
      <c r="A1234" s="17" t="s">
        <v>3757</v>
      </c>
      <c r="B1234" s="17" t="s">
        <v>70</v>
      </c>
      <c r="C1234" s="17" t="s">
        <v>71</v>
      </c>
      <c r="D1234" t="s">
        <v>3753</v>
      </c>
      <c r="F1234" t="s">
        <v>2828</v>
      </c>
      <c r="K1234" s="18">
        <f>6281284946888</f>
        <v>6281284946888</v>
      </c>
      <c r="N1234" s="17" t="s">
        <v>81</v>
      </c>
      <c r="V1234" s="18">
        <f>6281284946888</f>
        <v>6281284946888</v>
      </c>
    </row>
    <row r="1235" ht="15" customHeight="1" spans="1:25" x14ac:dyDescent="0.25">
      <c r="A1235" s="17" t="s">
        <v>3758</v>
      </c>
      <c r="B1235" s="17" t="s">
        <v>70</v>
      </c>
      <c r="C1235" s="17" t="s">
        <v>71</v>
      </c>
      <c r="D1235" t="s">
        <v>3753</v>
      </c>
      <c r="F1235" t="s">
        <v>3759</v>
      </c>
      <c r="K1235" s="18" t="s">
        <v>3760</v>
      </c>
      <c r="N1235" s="17" t="s">
        <v>77</v>
      </c>
      <c r="U1235" s="17"/>
      <c r="V1235" s="18" t="s">
        <v>3760</v>
      </c>
      <c r="W1235" t="s">
        <v>3761</v>
      </c>
      <c r="Y1235" s="17" t="s">
        <v>217</v>
      </c>
    </row>
    <row r="1236" ht="15" customHeight="1" spans="1:22" x14ac:dyDescent="0.25">
      <c r="A1236" s="17" t="s">
        <v>3762</v>
      </c>
      <c r="B1236" s="17" t="s">
        <v>70</v>
      </c>
      <c r="C1236" s="17" t="s">
        <v>71</v>
      </c>
      <c r="D1236" t="s">
        <v>3763</v>
      </c>
      <c r="F1236" t="s">
        <v>3763</v>
      </c>
      <c r="K1236" s="18">
        <f>62111333577</f>
        <v>62111333577</v>
      </c>
      <c r="N1236" s="17" t="s">
        <v>81</v>
      </c>
      <c r="V1236" s="18">
        <f>62111333577</f>
        <v>62111333577</v>
      </c>
    </row>
    <row r="1237" ht="15" customHeight="1" spans="1:22" x14ac:dyDescent="0.25">
      <c r="A1237" s="17" t="s">
        <v>3764</v>
      </c>
      <c r="B1237" s="17" t="s">
        <v>70</v>
      </c>
      <c r="C1237" s="17" t="s">
        <v>71</v>
      </c>
      <c r="D1237" t="s">
        <v>3763</v>
      </c>
      <c r="F1237" t="s">
        <v>3763</v>
      </c>
      <c r="K1237" s="18">
        <f>628111331099</f>
        <v>628111331099</v>
      </c>
      <c r="N1237" s="17" t="s">
        <v>81</v>
      </c>
      <c r="V1237" s="18">
        <f>628111331099</f>
        <v>628111331099</v>
      </c>
    </row>
    <row r="1238" ht="15" customHeight="1" spans="1:22" x14ac:dyDescent="0.25">
      <c r="A1238" s="17" t="s">
        <v>3765</v>
      </c>
      <c r="B1238" s="17" t="s">
        <v>70</v>
      </c>
      <c r="C1238" s="17" t="s">
        <v>71</v>
      </c>
      <c r="D1238" t="s">
        <v>3763</v>
      </c>
      <c r="F1238" t="s">
        <v>3763</v>
      </c>
      <c r="K1238" s="18">
        <f>628121151133</f>
        <v>628121151133</v>
      </c>
      <c r="N1238" s="17" t="s">
        <v>77</v>
      </c>
      <c r="V1238" s="18">
        <f>628121151133</f>
        <v>628121151133</v>
      </c>
    </row>
    <row r="1239" ht="15" customHeight="1" spans="1:28" x14ac:dyDescent="0.25">
      <c r="A1239" s="17" t="s">
        <v>3766</v>
      </c>
      <c r="B1239" s="17" t="s">
        <v>70</v>
      </c>
      <c r="C1239" s="17" t="s">
        <v>71</v>
      </c>
      <c r="D1239" t="s">
        <v>3763</v>
      </c>
      <c r="F1239" t="s">
        <v>3767</v>
      </c>
      <c r="J1239" s="17" t="s">
        <v>3768</v>
      </c>
      <c r="K1239" s="18" t="s">
        <v>3769</v>
      </c>
      <c r="N1239" s="17" t="s">
        <v>77</v>
      </c>
      <c r="O1239" t="s">
        <v>199</v>
      </c>
      <c r="U1239" s="17"/>
      <c r="V1239" s="18" t="s">
        <v>3769</v>
      </c>
      <c r="W1239" t="s">
        <v>3770</v>
      </c>
      <c r="Y1239" s="17" t="s">
        <v>96</v>
      </c>
      <c r="AA1239" s="17" t="s">
        <v>693</v>
      </c>
      <c r="AB1239" t="s">
        <v>119</v>
      </c>
    </row>
    <row r="1240" ht="15" customHeight="1" spans="1:23" x14ac:dyDescent="0.25">
      <c r="A1240" s="17" t="s">
        <v>3771</v>
      </c>
      <c r="B1240" s="17" t="s">
        <v>70</v>
      </c>
      <c r="C1240" s="17" t="s">
        <v>71</v>
      </c>
      <c r="D1240" t="s">
        <v>3763</v>
      </c>
      <c r="F1240" t="s">
        <v>3772</v>
      </c>
      <c r="K1240" s="18">
        <f>62895391466727</f>
        <v>62895391466727</v>
      </c>
      <c r="N1240" s="17" t="s">
        <v>81</v>
      </c>
      <c r="U1240" s="17"/>
      <c r="V1240" s="18">
        <f>62895391466727</f>
        <v>62895391466727</v>
      </c>
      <c r="W1240" t="s">
        <v>3773</v>
      </c>
    </row>
    <row r="1241" ht="15" customHeight="1" spans="1:23" x14ac:dyDescent="0.25">
      <c r="A1241" s="17" t="s">
        <v>3774</v>
      </c>
      <c r="B1241" s="17" t="s">
        <v>70</v>
      </c>
      <c r="C1241" s="17" t="s">
        <v>71</v>
      </c>
      <c r="D1241" t="s">
        <v>3763</v>
      </c>
      <c r="F1241" t="s">
        <v>3775</v>
      </c>
      <c r="J1241" s="17" t="s">
        <v>3776</v>
      </c>
      <c r="K1241" s="18">
        <f>628119811998</f>
        <v>628119811998</v>
      </c>
      <c r="N1241" s="17" t="s">
        <v>77</v>
      </c>
      <c r="U1241" s="17"/>
      <c r="V1241" s="18">
        <f>628119811998</f>
        <v>628119811998</v>
      </c>
      <c r="W1241" t="s">
        <v>3777</v>
      </c>
    </row>
    <row r="1242" ht="15" customHeight="1" spans="1:28" x14ac:dyDescent="0.25">
      <c r="A1242" s="17" t="s">
        <v>3778</v>
      </c>
      <c r="B1242" s="17" t="s">
        <v>70</v>
      </c>
      <c r="C1242" s="17" t="s">
        <v>71</v>
      </c>
      <c r="D1242" t="s">
        <v>3763</v>
      </c>
      <c r="F1242" t="s">
        <v>3779</v>
      </c>
      <c r="J1242" t="s">
        <v>115</v>
      </c>
      <c r="K1242" s="18" t="s">
        <v>3780</v>
      </c>
      <c r="N1242" s="17" t="s">
        <v>77</v>
      </c>
      <c r="O1242" t="s">
        <v>199</v>
      </c>
      <c r="V1242" s="18" t="s">
        <v>3780</v>
      </c>
      <c r="Y1242" t="s">
        <v>1091</v>
      </c>
      <c r="AA1242" t="s">
        <v>115</v>
      </c>
      <c r="AB1242" t="s">
        <v>119</v>
      </c>
    </row>
    <row r="1243" ht="15" customHeight="1" spans="1:25" x14ac:dyDescent="0.25">
      <c r="A1243" s="17" t="s">
        <v>3781</v>
      </c>
      <c r="B1243" s="17" t="s">
        <v>70</v>
      </c>
      <c r="C1243" s="17" t="s">
        <v>71</v>
      </c>
      <c r="D1243" t="s">
        <v>3763</v>
      </c>
      <c r="F1243" t="s">
        <v>3782</v>
      </c>
      <c r="K1243" s="18">
        <f>62811918319</f>
        <v>62811918319</v>
      </c>
      <c r="N1243" s="17" t="s">
        <v>77</v>
      </c>
      <c r="U1243" s="17"/>
      <c r="V1243" s="18">
        <f>62811918319</f>
        <v>62811918319</v>
      </c>
      <c r="W1243" t="s">
        <v>3783</v>
      </c>
      <c r="Y1243" s="17" t="s">
        <v>3784</v>
      </c>
    </row>
    <row r="1244" ht="15" customHeight="1" spans="1:28" x14ac:dyDescent="0.25">
      <c r="A1244" s="17" t="s">
        <v>3785</v>
      </c>
      <c r="B1244" s="17" t="s">
        <v>70</v>
      </c>
      <c r="C1244" s="17" t="s">
        <v>71</v>
      </c>
      <c r="D1244" t="s">
        <v>3763</v>
      </c>
      <c r="F1244" t="s">
        <v>3786</v>
      </c>
      <c r="J1244" t="s">
        <v>115</v>
      </c>
      <c r="K1244" s="18" t="s">
        <v>3787</v>
      </c>
      <c r="N1244" s="17" t="s">
        <v>77</v>
      </c>
      <c r="O1244" t="s">
        <v>199</v>
      </c>
      <c r="V1244" s="18" t="s">
        <v>3787</v>
      </c>
      <c r="Y1244" t="s">
        <v>90</v>
      </c>
      <c r="AA1244" t="s">
        <v>118</v>
      </c>
      <c r="AB1244" t="s">
        <v>119</v>
      </c>
    </row>
    <row r="1245" ht="15" customHeight="1" spans="1:28" x14ac:dyDescent="0.25">
      <c r="A1245" s="17" t="s">
        <v>3788</v>
      </c>
      <c r="B1245" s="17" t="s">
        <v>70</v>
      </c>
      <c r="C1245" s="17" t="s">
        <v>71</v>
      </c>
      <c r="D1245" t="s">
        <v>3789</v>
      </c>
      <c r="F1245" t="s">
        <v>3790</v>
      </c>
      <c r="J1245" t="s">
        <v>115</v>
      </c>
      <c r="K1245" s="18" t="s">
        <v>3791</v>
      </c>
      <c r="N1245" s="17" t="s">
        <v>74</v>
      </c>
      <c r="O1245" t="s">
        <v>1188</v>
      </c>
      <c r="U1245" s="17"/>
      <c r="V1245" s="18" t="s">
        <v>3791</v>
      </c>
      <c r="W1245" t="s">
        <v>3792</v>
      </c>
      <c r="Y1245" t="s">
        <v>90</v>
      </c>
      <c r="AA1245" t="s">
        <v>118</v>
      </c>
      <c r="AB1245" t="s">
        <v>119</v>
      </c>
    </row>
    <row r="1246" ht="15" customHeight="1" spans="1:25" x14ac:dyDescent="0.25">
      <c r="A1246" s="17" t="s">
        <v>3793</v>
      </c>
      <c r="B1246" s="17" t="s">
        <v>70</v>
      </c>
      <c r="C1246" s="17" t="s">
        <v>71</v>
      </c>
      <c r="D1246" t="s">
        <v>3763</v>
      </c>
      <c r="F1246" t="s">
        <v>1208</v>
      </c>
      <c r="K1246" s="18">
        <f>6289657038425</f>
        <v>6289657038425</v>
      </c>
      <c r="N1246" s="17" t="s">
        <v>77</v>
      </c>
      <c r="U1246" s="17"/>
      <c r="V1246" s="18">
        <f>6289657038425</f>
        <v>6289657038425</v>
      </c>
      <c r="W1246" t="s">
        <v>3794</v>
      </c>
      <c r="Y1246" s="17" t="s">
        <v>1084</v>
      </c>
    </row>
    <row r="1247" ht="15" customHeight="1" spans="1:27" x14ac:dyDescent="0.25">
      <c r="A1247" s="17" t="s">
        <v>3795</v>
      </c>
      <c r="B1247" s="17" t="s">
        <v>70</v>
      </c>
      <c r="C1247" s="17" t="s">
        <v>71</v>
      </c>
      <c r="D1247" t="s">
        <v>3763</v>
      </c>
      <c r="F1247" t="s">
        <v>3796</v>
      </c>
      <c r="K1247" s="18">
        <f>628179991022</f>
        <v>628179991022</v>
      </c>
      <c r="N1247" s="17" t="s">
        <v>77</v>
      </c>
      <c r="U1247" s="17"/>
      <c r="V1247" s="18">
        <f>628179991022</f>
        <v>628179991022</v>
      </c>
      <c r="W1247" t="s">
        <v>3797</v>
      </c>
      <c r="Y1247" s="17" t="s">
        <v>1084</v>
      </c>
      <c r="AA1247" s="17" t="s">
        <v>3798</v>
      </c>
    </row>
    <row r="1248" ht="15" customHeight="1" spans="1:28" x14ac:dyDescent="0.25">
      <c r="A1248" s="17" t="s">
        <v>3799</v>
      </c>
      <c r="B1248" s="17" t="s">
        <v>70</v>
      </c>
      <c r="C1248" s="17" t="s">
        <v>71</v>
      </c>
      <c r="D1248" t="s">
        <v>3800</v>
      </c>
      <c r="F1248" t="s">
        <v>3801</v>
      </c>
      <c r="J1248" t="s">
        <v>115</v>
      </c>
      <c r="K1248" s="18" t="s">
        <v>3802</v>
      </c>
      <c r="N1248" s="17" t="s">
        <v>77</v>
      </c>
      <c r="O1248" t="s">
        <v>489</v>
      </c>
      <c r="U1248" s="17"/>
      <c r="V1248" s="18" t="s">
        <v>3802</v>
      </c>
      <c r="W1248" t="s">
        <v>3803</v>
      </c>
      <c r="Y1248" t="s">
        <v>190</v>
      </c>
      <c r="AA1248" t="s">
        <v>118</v>
      </c>
      <c r="AB1248" t="s">
        <v>119</v>
      </c>
    </row>
    <row r="1249" ht="15" customHeight="1" spans="1:28" x14ac:dyDescent="0.25">
      <c r="A1249" s="17" t="s">
        <v>3804</v>
      </c>
      <c r="B1249" s="17" t="s">
        <v>70</v>
      </c>
      <c r="C1249" s="17" t="s">
        <v>71</v>
      </c>
      <c r="D1249" t="s">
        <v>3805</v>
      </c>
      <c r="F1249" t="s">
        <v>3806</v>
      </c>
      <c r="J1249" t="s">
        <v>115</v>
      </c>
      <c r="K1249" s="18" t="s">
        <v>3807</v>
      </c>
      <c r="N1249" s="17" t="s">
        <v>77</v>
      </c>
      <c r="O1249" t="s">
        <v>145</v>
      </c>
      <c r="V1249" s="18" t="s">
        <v>3807</v>
      </c>
      <c r="Y1249" t="s">
        <v>115</v>
      </c>
      <c r="AA1249" t="s">
        <v>115</v>
      </c>
      <c r="AB1249" t="s">
        <v>119</v>
      </c>
    </row>
    <row r="1250" ht="15" customHeight="1" spans="1:23" x14ac:dyDescent="0.25">
      <c r="A1250" s="17" t="s">
        <v>3808</v>
      </c>
      <c r="B1250" s="17" t="s">
        <v>70</v>
      </c>
      <c r="C1250" s="17" t="s">
        <v>71</v>
      </c>
      <c r="D1250" t="s">
        <v>3809</v>
      </c>
      <c r="F1250" t="s">
        <v>3809</v>
      </c>
      <c r="K1250" s="18">
        <f>622184900999</f>
        <v>622184900999</v>
      </c>
      <c r="N1250" s="17" t="s">
        <v>77</v>
      </c>
      <c r="U1250" s="17"/>
      <c r="V1250" s="18">
        <f>622184900999</f>
        <v>622184900999</v>
      </c>
      <c r="W1250" t="s">
        <v>3810</v>
      </c>
    </row>
    <row r="1251" ht="15" customHeight="1" spans="1:28" x14ac:dyDescent="0.25">
      <c r="A1251" s="17" t="s">
        <v>3811</v>
      </c>
      <c r="B1251" s="17" t="s">
        <v>70</v>
      </c>
      <c r="C1251" s="17" t="s">
        <v>71</v>
      </c>
      <c r="D1251" t="s">
        <v>3809</v>
      </c>
      <c r="F1251" t="s">
        <v>3812</v>
      </c>
      <c r="J1251" t="s">
        <v>115</v>
      </c>
      <c r="K1251" s="18" t="s">
        <v>3813</v>
      </c>
      <c r="N1251" s="17" t="s">
        <v>77</v>
      </c>
      <c r="O1251" t="s">
        <v>489</v>
      </c>
      <c r="V1251" s="18" t="s">
        <v>3813</v>
      </c>
      <c r="Y1251" t="s">
        <v>90</v>
      </c>
      <c r="AA1251" t="s">
        <v>118</v>
      </c>
      <c r="AB1251" t="s">
        <v>119</v>
      </c>
    </row>
    <row r="1252" ht="15" customHeight="1" spans="1:28" x14ac:dyDescent="0.25">
      <c r="A1252" s="17" t="s">
        <v>3814</v>
      </c>
      <c r="B1252" s="17" t="s">
        <v>70</v>
      </c>
      <c r="C1252" s="17" t="s">
        <v>71</v>
      </c>
      <c r="D1252" t="s">
        <v>3815</v>
      </c>
      <c r="F1252" t="s">
        <v>3816</v>
      </c>
      <c r="J1252" t="s">
        <v>115</v>
      </c>
      <c r="K1252" s="18" t="s">
        <v>3817</v>
      </c>
      <c r="N1252" s="17" t="s">
        <v>77</v>
      </c>
      <c r="O1252" t="s">
        <v>117</v>
      </c>
      <c r="V1252" s="18" t="s">
        <v>3817</v>
      </c>
      <c r="Y1252" t="s">
        <v>96</v>
      </c>
      <c r="AA1252" t="s">
        <v>693</v>
      </c>
      <c r="AB1252" t="s">
        <v>119</v>
      </c>
    </row>
    <row r="1253" ht="15" customHeight="1" spans="1:28" x14ac:dyDescent="0.25">
      <c r="A1253" s="17" t="s">
        <v>3818</v>
      </c>
      <c r="B1253" s="17" t="s">
        <v>70</v>
      </c>
      <c r="C1253" s="17" t="s">
        <v>71</v>
      </c>
      <c r="D1253" t="s">
        <v>3819</v>
      </c>
      <c r="F1253" t="s">
        <v>3820</v>
      </c>
      <c r="J1253" t="s">
        <v>115</v>
      </c>
      <c r="K1253" s="18" t="s">
        <v>3821</v>
      </c>
      <c r="N1253" s="17" t="s">
        <v>77</v>
      </c>
      <c r="O1253" t="s">
        <v>117</v>
      </c>
      <c r="V1253" s="18" t="s">
        <v>3821</v>
      </c>
      <c r="Y1253" t="s">
        <v>190</v>
      </c>
      <c r="AA1253" t="s">
        <v>118</v>
      </c>
      <c r="AB1253" t="s">
        <v>119</v>
      </c>
    </row>
    <row r="1254" ht="15" customHeight="1" spans="1:25" x14ac:dyDescent="0.25">
      <c r="A1254" s="17" t="s">
        <v>3822</v>
      </c>
      <c r="B1254" s="17" t="s">
        <v>70</v>
      </c>
      <c r="C1254" s="17" t="s">
        <v>71</v>
      </c>
      <c r="D1254" t="s">
        <v>3819</v>
      </c>
      <c r="F1254" t="s">
        <v>3823</v>
      </c>
      <c r="K1254" s="18">
        <f>62816723251</f>
        <v>62816723251</v>
      </c>
      <c r="N1254" s="17" t="s">
        <v>74</v>
      </c>
      <c r="U1254" s="17"/>
      <c r="V1254" s="18">
        <f>62816723251</f>
        <v>62816723251</v>
      </c>
      <c r="W1254" t="s">
        <v>3824</v>
      </c>
      <c r="Y1254" s="17" t="s">
        <v>378</v>
      </c>
    </row>
    <row r="1255" ht="15" customHeight="1" spans="1:28" x14ac:dyDescent="0.25">
      <c r="A1255" s="17" t="s">
        <v>3825</v>
      </c>
      <c r="B1255" s="17" t="s">
        <v>70</v>
      </c>
      <c r="C1255" s="17" t="s">
        <v>71</v>
      </c>
      <c r="D1255" t="s">
        <v>3819</v>
      </c>
      <c r="F1255" t="s">
        <v>3826</v>
      </c>
      <c r="J1255" t="s">
        <v>115</v>
      </c>
      <c r="K1255" s="18" t="s">
        <v>3827</v>
      </c>
      <c r="N1255" s="17" t="s">
        <v>77</v>
      </c>
      <c r="O1255" t="s">
        <v>145</v>
      </c>
      <c r="V1255" s="18" t="s">
        <v>3827</v>
      </c>
      <c r="Y1255" t="s">
        <v>190</v>
      </c>
      <c r="AA1255" t="s">
        <v>118</v>
      </c>
      <c r="AB1255" t="s">
        <v>119</v>
      </c>
    </row>
    <row r="1256" ht="15" customHeight="1" spans="1:28" x14ac:dyDescent="0.25">
      <c r="A1256" s="17" t="s">
        <v>3828</v>
      </c>
      <c r="B1256" s="17" t="s">
        <v>70</v>
      </c>
      <c r="C1256" s="17" t="s">
        <v>71</v>
      </c>
      <c r="D1256" t="s">
        <v>3829</v>
      </c>
      <c r="F1256" t="s">
        <v>3830</v>
      </c>
      <c r="J1256" t="s">
        <v>3831</v>
      </c>
      <c r="K1256" s="18" t="s">
        <v>3832</v>
      </c>
      <c r="N1256" s="17" t="s">
        <v>77</v>
      </c>
      <c r="O1256" t="s">
        <v>199</v>
      </c>
      <c r="U1256" s="17"/>
      <c r="V1256" s="18" t="s">
        <v>3832</v>
      </c>
      <c r="W1256" t="s">
        <v>3833</v>
      </c>
      <c r="Y1256" t="s">
        <v>90</v>
      </c>
      <c r="AA1256" t="s">
        <v>118</v>
      </c>
      <c r="AB1256" t="s">
        <v>119</v>
      </c>
    </row>
    <row r="1257" ht="15" customHeight="1" spans="1:28" x14ac:dyDescent="0.25">
      <c r="A1257" s="17" t="s">
        <v>3834</v>
      </c>
      <c r="B1257" s="17" t="s">
        <v>70</v>
      </c>
      <c r="C1257" s="17" t="s">
        <v>71</v>
      </c>
      <c r="D1257" t="s">
        <v>3835</v>
      </c>
      <c r="F1257" t="s">
        <v>3836</v>
      </c>
      <c r="J1257" t="s">
        <v>115</v>
      </c>
      <c r="K1257" s="18" t="s">
        <v>3837</v>
      </c>
      <c r="N1257" s="17" t="s">
        <v>77</v>
      </c>
      <c r="O1257" t="s">
        <v>117</v>
      </c>
      <c r="V1257" s="18" t="s">
        <v>3837</v>
      </c>
      <c r="Y1257" s="17" t="s">
        <v>1909</v>
      </c>
      <c r="AA1257" t="s">
        <v>115</v>
      </c>
      <c r="AB1257" t="s">
        <v>1909</v>
      </c>
    </row>
    <row r="1258" ht="15" customHeight="1" spans="1:22" x14ac:dyDescent="0.25">
      <c r="A1258" s="17" t="s">
        <v>3838</v>
      </c>
      <c r="B1258" s="17" t="s">
        <v>70</v>
      </c>
      <c r="C1258" s="17" t="s">
        <v>71</v>
      </c>
      <c r="D1258" t="s">
        <v>3839</v>
      </c>
      <c r="F1258" t="s">
        <v>3839</v>
      </c>
      <c r="K1258" s="18">
        <f>6288297901380</f>
        <v>6288297901380</v>
      </c>
      <c r="N1258" s="17" t="s">
        <v>81</v>
      </c>
      <c r="V1258" s="18">
        <f>6288297901380</f>
        <v>6288297901380</v>
      </c>
    </row>
    <row r="1259" ht="15" customHeight="1" spans="1:28" x14ac:dyDescent="0.25">
      <c r="A1259" s="17" t="s">
        <v>3840</v>
      </c>
      <c r="B1259" s="17" t="s">
        <v>70</v>
      </c>
      <c r="C1259" s="17" t="s">
        <v>71</v>
      </c>
      <c r="D1259" t="s">
        <v>3841</v>
      </c>
      <c r="F1259" t="s">
        <v>3842</v>
      </c>
      <c r="J1259" t="s">
        <v>115</v>
      </c>
      <c r="K1259" s="18" t="s">
        <v>3843</v>
      </c>
      <c r="N1259" s="17" t="s">
        <v>81</v>
      </c>
      <c r="O1259" t="s">
        <v>489</v>
      </c>
      <c r="V1259" s="18" t="s">
        <v>3843</v>
      </c>
      <c r="Y1259" t="s">
        <v>90</v>
      </c>
      <c r="AA1259" t="s">
        <v>118</v>
      </c>
      <c r="AB1259" t="s">
        <v>119</v>
      </c>
    </row>
    <row r="1260" ht="15" customHeight="1" spans="1:22" x14ac:dyDescent="0.25">
      <c r="A1260" s="17" t="s">
        <v>3844</v>
      </c>
      <c r="B1260" s="17" t="s">
        <v>70</v>
      </c>
      <c r="C1260" s="17" t="s">
        <v>71</v>
      </c>
      <c r="D1260" t="s">
        <v>3845</v>
      </c>
      <c r="F1260" t="s">
        <v>3846</v>
      </c>
      <c r="K1260" s="18">
        <f>628122106473</f>
        <v>628122106473</v>
      </c>
      <c r="N1260" s="17" t="s">
        <v>81</v>
      </c>
      <c r="V1260" s="18">
        <f>628122106473</f>
        <v>628122106473</v>
      </c>
    </row>
    <row r="1261" ht="15" customHeight="1" spans="1:28" x14ac:dyDescent="0.25">
      <c r="A1261" s="17" t="s">
        <v>3847</v>
      </c>
      <c r="B1261" s="17" t="s">
        <v>70</v>
      </c>
      <c r="C1261" s="17" t="s">
        <v>71</v>
      </c>
      <c r="D1261" t="s">
        <v>3848</v>
      </c>
      <c r="F1261" t="s">
        <v>3849</v>
      </c>
      <c r="J1261" s="17" t="s">
        <v>3850</v>
      </c>
      <c r="K1261" s="18" t="s">
        <v>3851</v>
      </c>
      <c r="N1261" s="17" t="s">
        <v>77</v>
      </c>
      <c r="O1261" t="s">
        <v>489</v>
      </c>
      <c r="V1261" s="18" t="s">
        <v>3851</v>
      </c>
      <c r="Y1261" t="s">
        <v>90</v>
      </c>
      <c r="AA1261" t="s">
        <v>118</v>
      </c>
      <c r="AB1261" t="s">
        <v>119</v>
      </c>
    </row>
    <row r="1262" ht="15" customHeight="1" spans="1:22" x14ac:dyDescent="0.25">
      <c r="A1262" s="17" t="s">
        <v>3852</v>
      </c>
      <c r="B1262" s="17" t="s">
        <v>70</v>
      </c>
      <c r="C1262" s="17" t="s">
        <v>71</v>
      </c>
      <c r="D1262" t="s">
        <v>3853</v>
      </c>
      <c r="F1262" t="s">
        <v>3854</v>
      </c>
      <c r="K1262" s="18">
        <f>6287808079182</f>
        <v>6287808079182</v>
      </c>
      <c r="N1262" s="17" t="s">
        <v>81</v>
      </c>
      <c r="V1262" s="18">
        <f>6287808079182</f>
        <v>6287808079182</v>
      </c>
    </row>
    <row r="1263" ht="15" customHeight="1" spans="1:22" x14ac:dyDescent="0.25">
      <c r="A1263" s="17" t="s">
        <v>3855</v>
      </c>
      <c r="B1263" s="17" t="s">
        <v>70</v>
      </c>
      <c r="C1263" s="17" t="s">
        <v>71</v>
      </c>
      <c r="D1263" t="s">
        <v>3856</v>
      </c>
      <c r="F1263" t="s">
        <v>3856</v>
      </c>
      <c r="K1263" s="18">
        <f>6282144791616</f>
        <v>6282144791616</v>
      </c>
      <c r="N1263" s="17" t="s">
        <v>77</v>
      </c>
      <c r="V1263" s="18">
        <f>6282144791616</f>
        <v>6282144791616</v>
      </c>
    </row>
    <row r="1264" ht="15" customHeight="1" spans="1:22" x14ac:dyDescent="0.25">
      <c r="A1264" s="17" t="s">
        <v>3857</v>
      </c>
      <c r="B1264" s="17" t="s">
        <v>70</v>
      </c>
      <c r="C1264" s="17" t="s">
        <v>71</v>
      </c>
      <c r="D1264" t="s">
        <v>3858</v>
      </c>
      <c r="F1264" t="s">
        <v>3858</v>
      </c>
      <c r="K1264" s="18">
        <f>62811895220</f>
        <v>62811895220</v>
      </c>
      <c r="N1264" s="17" t="s">
        <v>77</v>
      </c>
      <c r="V1264" s="18">
        <f>62811895220</f>
        <v>62811895220</v>
      </c>
    </row>
    <row r="1265" ht="15" customHeight="1" spans="1:22" x14ac:dyDescent="0.25">
      <c r="A1265" s="17" t="s">
        <v>3859</v>
      </c>
      <c r="B1265" s="17" t="s">
        <v>70</v>
      </c>
      <c r="C1265" s="17" t="s">
        <v>71</v>
      </c>
      <c r="D1265" t="s">
        <v>3858</v>
      </c>
      <c r="F1265" t="s">
        <v>3858</v>
      </c>
      <c r="K1265" s="18">
        <f>6281912333123</f>
        <v>6281912333123</v>
      </c>
      <c r="N1265" s="17" t="s">
        <v>81</v>
      </c>
      <c r="V1265" s="18">
        <f>6281912333123</f>
        <v>6281912333123</v>
      </c>
    </row>
    <row r="1266" ht="15" customHeight="1" spans="1:22" x14ac:dyDescent="0.25">
      <c r="A1266" s="17" t="s">
        <v>3860</v>
      </c>
      <c r="B1266" s="17" t="s">
        <v>70</v>
      </c>
      <c r="C1266" s="17" t="s">
        <v>71</v>
      </c>
      <c r="D1266" t="s">
        <v>3858</v>
      </c>
      <c r="F1266" t="s">
        <v>3861</v>
      </c>
      <c r="K1266" s="18">
        <f>628128152828</f>
        <v>628128152828</v>
      </c>
      <c r="N1266" s="17" t="s">
        <v>81</v>
      </c>
      <c r="V1266" s="18">
        <f>628128152828</f>
        <v>628128152828</v>
      </c>
    </row>
    <row r="1267" ht="15" customHeight="1" spans="1:28" x14ac:dyDescent="0.25">
      <c r="A1267" s="17" t="s">
        <v>3862</v>
      </c>
      <c r="B1267" s="17" t="s">
        <v>70</v>
      </c>
      <c r="C1267" s="17" t="s">
        <v>71</v>
      </c>
      <c r="D1267" t="s">
        <v>3858</v>
      </c>
      <c r="F1267" t="s">
        <v>193</v>
      </c>
      <c r="J1267" s="17" t="s">
        <v>3863</v>
      </c>
      <c r="K1267" s="18" t="s">
        <v>3864</v>
      </c>
      <c r="N1267" s="17" t="s">
        <v>77</v>
      </c>
      <c r="O1267" t="s">
        <v>145</v>
      </c>
      <c r="V1267" s="18" t="s">
        <v>3864</v>
      </c>
      <c r="Y1267" t="s">
        <v>115</v>
      </c>
      <c r="AA1267" t="s">
        <v>115</v>
      </c>
      <c r="AB1267" t="s">
        <v>119</v>
      </c>
    </row>
    <row r="1268" ht="15" customHeight="1" spans="1:23" x14ac:dyDescent="0.25">
      <c r="A1268" s="17" t="s">
        <v>3865</v>
      </c>
      <c r="B1268" s="17" t="s">
        <v>70</v>
      </c>
      <c r="C1268" s="17" t="s">
        <v>71</v>
      </c>
      <c r="D1268" t="s">
        <v>3858</v>
      </c>
      <c r="F1268" t="s">
        <v>3866</v>
      </c>
      <c r="K1268" s="18">
        <f>628161833132</f>
        <v>628161833132</v>
      </c>
      <c r="N1268" s="17" t="s">
        <v>77</v>
      </c>
      <c r="U1268" s="17"/>
      <c r="V1268" s="18">
        <f>628161833132</f>
        <v>628161833132</v>
      </c>
      <c r="W1268" t="s">
        <v>3867</v>
      </c>
    </row>
    <row r="1269" ht="15" customHeight="1" spans="1:28" x14ac:dyDescent="0.25">
      <c r="A1269" s="17" t="s">
        <v>3868</v>
      </c>
      <c r="B1269" s="17" t="s">
        <v>70</v>
      </c>
      <c r="C1269" s="17" t="s">
        <v>71</v>
      </c>
      <c r="D1269" t="s">
        <v>3858</v>
      </c>
      <c r="F1269" t="s">
        <v>3869</v>
      </c>
      <c r="J1269" s="17" t="s">
        <v>3870</v>
      </c>
      <c r="K1269" s="18" t="s">
        <v>3871</v>
      </c>
      <c r="N1269" s="17" t="s">
        <v>77</v>
      </c>
      <c r="O1269" t="s">
        <v>261</v>
      </c>
      <c r="V1269" s="18" t="s">
        <v>3871</v>
      </c>
      <c r="Y1269" t="s">
        <v>90</v>
      </c>
      <c r="AA1269" t="s">
        <v>118</v>
      </c>
      <c r="AB1269" t="s">
        <v>119</v>
      </c>
    </row>
    <row r="1270" ht="15" customHeight="1" spans="1:25" x14ac:dyDescent="0.25">
      <c r="A1270" s="17" t="s">
        <v>3872</v>
      </c>
      <c r="B1270" s="17" t="s">
        <v>70</v>
      </c>
      <c r="C1270" s="17" t="s">
        <v>71</v>
      </c>
      <c r="D1270" t="s">
        <v>3858</v>
      </c>
      <c r="F1270" t="s">
        <v>3873</v>
      </c>
      <c r="J1270" s="17" t="s">
        <v>3874</v>
      </c>
      <c r="K1270" s="18">
        <f>6281288251897</f>
        <v>6281288251897</v>
      </c>
      <c r="N1270" s="17" t="s">
        <v>81</v>
      </c>
      <c r="U1270" s="17"/>
      <c r="V1270" s="18">
        <f>6281288251897</f>
        <v>6281288251897</v>
      </c>
      <c r="W1270" t="s">
        <v>3875</v>
      </c>
      <c r="Y1270" s="17" t="s">
        <v>217</v>
      </c>
    </row>
    <row r="1271" ht="15" customHeight="1" spans="1:25" x14ac:dyDescent="0.25">
      <c r="A1271" s="17" t="s">
        <v>3876</v>
      </c>
      <c r="B1271" s="17" t="s">
        <v>70</v>
      </c>
      <c r="C1271" s="17" t="s">
        <v>71</v>
      </c>
      <c r="D1271" t="s">
        <v>3858</v>
      </c>
      <c r="F1271" t="s">
        <v>3877</v>
      </c>
      <c r="K1271" s="18">
        <f>628193337788</f>
        <v>628193337788</v>
      </c>
      <c r="N1271" s="17" t="s">
        <v>77</v>
      </c>
      <c r="V1271" s="18">
        <f>628193337788</f>
        <v>628193337788</v>
      </c>
      <c r="Y1271" s="17" t="s">
        <v>90</v>
      </c>
    </row>
    <row r="1272" ht="15" customHeight="1" spans="1:22" x14ac:dyDescent="0.25">
      <c r="A1272" s="17" t="s">
        <v>3878</v>
      </c>
      <c r="B1272" s="17" t="s">
        <v>70</v>
      </c>
      <c r="C1272" s="17" t="s">
        <v>71</v>
      </c>
      <c r="D1272" t="s">
        <v>3858</v>
      </c>
      <c r="F1272" t="s">
        <v>3879</v>
      </c>
      <c r="K1272" s="18">
        <f>628159102966</f>
        <v>628159102966</v>
      </c>
      <c r="N1272" s="17" t="s">
        <v>77</v>
      </c>
      <c r="V1272" s="18">
        <f>628159102966</f>
        <v>628159102966</v>
      </c>
    </row>
    <row r="1273" ht="15" customHeight="1" spans="1:22" x14ac:dyDescent="0.25">
      <c r="A1273" s="17" t="s">
        <v>3880</v>
      </c>
      <c r="B1273" s="17" t="s">
        <v>70</v>
      </c>
      <c r="C1273" s="17" t="s">
        <v>71</v>
      </c>
      <c r="D1273" t="s">
        <v>3858</v>
      </c>
      <c r="F1273" t="s">
        <v>3881</v>
      </c>
      <c r="K1273" s="18">
        <f>6281585249885</f>
        <v>6281585249885</v>
      </c>
      <c r="N1273" s="17" t="s">
        <v>81</v>
      </c>
      <c r="V1273" s="18">
        <f>6281585249885</f>
        <v>6281585249885</v>
      </c>
    </row>
    <row r="1274" ht="15" customHeight="1" spans="1:22" x14ac:dyDescent="0.25">
      <c r="A1274" s="17" t="s">
        <v>3882</v>
      </c>
      <c r="B1274" s="17" t="s">
        <v>70</v>
      </c>
      <c r="C1274" s="17" t="s">
        <v>71</v>
      </c>
      <c r="D1274" t="s">
        <v>3883</v>
      </c>
      <c r="F1274" t="s">
        <v>3883</v>
      </c>
      <c r="K1274" s="18">
        <f>6282111553476</f>
        <v>6282111553476</v>
      </c>
      <c r="N1274" s="17" t="s">
        <v>81</v>
      </c>
      <c r="V1274" s="18">
        <f>6282111553476</f>
        <v>6282111553476</v>
      </c>
    </row>
    <row r="1275" ht="15" customHeight="1" spans="1:22" x14ac:dyDescent="0.25">
      <c r="A1275" s="17" t="s">
        <v>3884</v>
      </c>
      <c r="B1275" s="17" t="s">
        <v>70</v>
      </c>
      <c r="C1275" s="17" t="s">
        <v>71</v>
      </c>
      <c r="D1275" t="s">
        <v>3883</v>
      </c>
      <c r="F1275" t="s">
        <v>3885</v>
      </c>
      <c r="K1275" s="18">
        <f>62816940989</f>
        <v>62816940989</v>
      </c>
      <c r="N1275" s="17" t="s">
        <v>81</v>
      </c>
      <c r="V1275" s="18">
        <f>62816940989</f>
        <v>62816940989</v>
      </c>
    </row>
    <row r="1276" ht="15" customHeight="1" spans="1:22" x14ac:dyDescent="0.25">
      <c r="A1276" s="17" t="s">
        <v>3886</v>
      </c>
      <c r="B1276" s="17" t="s">
        <v>70</v>
      </c>
      <c r="C1276" s="17" t="s">
        <v>71</v>
      </c>
      <c r="D1276" t="s">
        <v>3887</v>
      </c>
      <c r="F1276" t="s">
        <v>3888</v>
      </c>
      <c r="K1276" s="18">
        <f>6281280642855</f>
        <v>6281280642855</v>
      </c>
      <c r="N1276" s="17" t="s">
        <v>74</v>
      </c>
      <c r="V1276" s="18" t="s">
        <v>3889</v>
      </c>
    </row>
    <row r="1277" ht="15" customHeight="1" spans="1:22" x14ac:dyDescent="0.25">
      <c r="A1277" s="17" t="s">
        <v>3890</v>
      </c>
      <c r="B1277" s="17" t="s">
        <v>70</v>
      </c>
      <c r="C1277" s="17" t="s">
        <v>71</v>
      </c>
      <c r="D1277" t="s">
        <v>3891</v>
      </c>
      <c r="F1277" t="s">
        <v>3892</v>
      </c>
      <c r="K1277" s="18">
        <f>6281888812369</f>
        <v>6281888812369</v>
      </c>
      <c r="N1277" s="17" t="s">
        <v>81</v>
      </c>
      <c r="V1277" s="18">
        <f>6281888812369</f>
        <v>6281888812369</v>
      </c>
    </row>
    <row r="1278" ht="15" customHeight="1" spans="1:22" x14ac:dyDescent="0.25">
      <c r="A1278" s="17" t="s">
        <v>3893</v>
      </c>
      <c r="B1278" s="17" t="s">
        <v>70</v>
      </c>
      <c r="C1278" s="17" t="s">
        <v>71</v>
      </c>
      <c r="D1278" t="s">
        <v>3894</v>
      </c>
      <c r="F1278" t="s">
        <v>3895</v>
      </c>
      <c r="K1278" s="18">
        <f>6287881256964</f>
        <v>6287881256964</v>
      </c>
      <c r="N1278" s="17" t="s">
        <v>81</v>
      </c>
      <c r="V1278" s="18">
        <f>6287881256964</f>
        <v>6287881256964</v>
      </c>
    </row>
    <row r="1279" ht="15" customHeight="1" spans="1:23" x14ac:dyDescent="0.25">
      <c r="A1279" s="17" t="s">
        <v>3896</v>
      </c>
      <c r="B1279" s="17" t="s">
        <v>70</v>
      </c>
      <c r="C1279" s="17" t="s">
        <v>71</v>
      </c>
      <c r="D1279" t="s">
        <v>3897</v>
      </c>
      <c r="F1279" t="s">
        <v>3898</v>
      </c>
      <c r="K1279" s="18">
        <f>27112022</f>
        <v>27112022</v>
      </c>
      <c r="N1279" s="17" t="s">
        <v>77</v>
      </c>
      <c r="U1279" s="17"/>
      <c r="V1279" s="18">
        <f>27112022</f>
        <v>27112022</v>
      </c>
      <c r="W1279" t="s">
        <v>1908</v>
      </c>
    </row>
    <row r="1280" ht="15" customHeight="1" spans="1:22" x14ac:dyDescent="0.25">
      <c r="A1280" s="17" t="s">
        <v>3899</v>
      </c>
      <c r="B1280" s="17" t="s">
        <v>70</v>
      </c>
      <c r="C1280" s="17" t="s">
        <v>71</v>
      </c>
      <c r="D1280" t="s">
        <v>3900</v>
      </c>
      <c r="F1280" t="s">
        <v>3900</v>
      </c>
      <c r="J1280" s="17" t="s">
        <v>3901</v>
      </c>
      <c r="K1280" s="18">
        <f>6208111180299</f>
        <v>6208111180299</v>
      </c>
      <c r="N1280" s="17" t="s">
        <v>77</v>
      </c>
      <c r="V1280" s="18">
        <f>6208111180299</f>
        <v>6208111180299</v>
      </c>
    </row>
    <row r="1281" ht="15" customHeight="1" spans="1:22" x14ac:dyDescent="0.25">
      <c r="A1281" s="17" t="s">
        <v>3902</v>
      </c>
      <c r="B1281" s="17" t="s">
        <v>70</v>
      </c>
      <c r="C1281" s="17" t="s">
        <v>71</v>
      </c>
      <c r="D1281" t="s">
        <v>3900</v>
      </c>
      <c r="F1281" t="s">
        <v>3900</v>
      </c>
      <c r="K1281" s="18">
        <f>6281188383111</f>
        <v>6281188383111</v>
      </c>
      <c r="N1281" s="17" t="s">
        <v>74</v>
      </c>
      <c r="V1281" s="18">
        <f>6281188383111</f>
        <v>6281188383111</v>
      </c>
    </row>
    <row r="1282" ht="15" customHeight="1" spans="1:22" x14ac:dyDescent="0.25">
      <c r="A1282" s="17" t="s">
        <v>3903</v>
      </c>
      <c r="B1282" s="17" t="s">
        <v>70</v>
      </c>
      <c r="C1282" s="17" t="s">
        <v>71</v>
      </c>
      <c r="D1282" t="s">
        <v>3900</v>
      </c>
      <c r="F1282" t="s">
        <v>3904</v>
      </c>
      <c r="K1282" s="18">
        <f>628123218888</f>
        <v>628123218888</v>
      </c>
      <c r="N1282" s="17" t="s">
        <v>77</v>
      </c>
      <c r="V1282" s="18">
        <f>628123218888</f>
        <v>628123218888</v>
      </c>
    </row>
    <row r="1283" ht="15" customHeight="1" spans="1:27" x14ac:dyDescent="0.25">
      <c r="A1283" s="17" t="s">
        <v>3905</v>
      </c>
      <c r="B1283" s="17" t="s">
        <v>70</v>
      </c>
      <c r="C1283" s="17" t="s">
        <v>71</v>
      </c>
      <c r="D1283" t="s">
        <v>3900</v>
      </c>
      <c r="F1283" t="s">
        <v>3906</v>
      </c>
      <c r="K1283" s="18">
        <f>6231733320</f>
        <v>6231733320</v>
      </c>
      <c r="N1283" s="17" t="s">
        <v>77</v>
      </c>
      <c r="U1283" s="17"/>
      <c r="V1283" s="18">
        <f>6231733320</f>
        <v>6231733320</v>
      </c>
      <c r="W1283" t="s">
        <v>3907</v>
      </c>
      <c r="Y1283" s="17" t="s">
        <v>181</v>
      </c>
      <c r="AA1283" s="17" t="s">
        <v>3908</v>
      </c>
    </row>
    <row r="1284" ht="15" customHeight="1" spans="1:25" x14ac:dyDescent="0.25">
      <c r="A1284" s="17" t="s">
        <v>3909</v>
      </c>
      <c r="B1284" s="17" t="s">
        <v>70</v>
      </c>
      <c r="C1284" s="17" t="s">
        <v>71</v>
      </c>
      <c r="D1284" t="s">
        <v>3900</v>
      </c>
      <c r="F1284" t="s">
        <v>1564</v>
      </c>
      <c r="K1284" s="18">
        <f>6282111283012</f>
        <v>6282111283012</v>
      </c>
      <c r="N1284" s="17" t="s">
        <v>77</v>
      </c>
      <c r="U1284" s="17"/>
      <c r="V1284" s="18">
        <f>6282111283012</f>
        <v>6282111283012</v>
      </c>
      <c r="W1284" t="s">
        <v>3910</v>
      </c>
      <c r="Y1284" s="17" t="s">
        <v>3911</v>
      </c>
    </row>
    <row r="1285" ht="15" customHeight="1" spans="1:25" x14ac:dyDescent="0.25">
      <c r="A1285" s="17" t="s">
        <v>3912</v>
      </c>
      <c r="B1285" s="17" t="s">
        <v>70</v>
      </c>
      <c r="C1285" s="17" t="s">
        <v>71</v>
      </c>
      <c r="D1285" t="s">
        <v>3900</v>
      </c>
      <c r="F1285" t="s">
        <v>3913</v>
      </c>
      <c r="J1285" s="17" t="s">
        <v>3914</v>
      </c>
      <c r="K1285" s="18">
        <f>628161862084</f>
        <v>628161862084</v>
      </c>
      <c r="N1285" s="17" t="s">
        <v>74</v>
      </c>
      <c r="U1285" s="17"/>
      <c r="V1285" s="18">
        <f>628161862084</f>
        <v>628161862084</v>
      </c>
      <c r="W1285" t="s">
        <v>3915</v>
      </c>
      <c r="Y1285" s="17" t="s">
        <v>626</v>
      </c>
    </row>
    <row r="1286" ht="15" customHeight="1" spans="1:22" x14ac:dyDescent="0.25">
      <c r="A1286" s="17" t="s">
        <v>3916</v>
      </c>
      <c r="B1286" s="17" t="s">
        <v>70</v>
      </c>
      <c r="C1286" s="17" t="s">
        <v>71</v>
      </c>
      <c r="D1286" t="s">
        <v>3917</v>
      </c>
      <c r="F1286" t="s">
        <v>3918</v>
      </c>
      <c r="K1286" s="18">
        <f>6281806105959</f>
        <v>6281806105959</v>
      </c>
      <c r="N1286" s="17" t="s">
        <v>77</v>
      </c>
      <c r="V1286" s="18">
        <f>6281806105959</f>
        <v>6281806105959</v>
      </c>
    </row>
    <row r="1287" ht="15" customHeight="1" spans="1:22" x14ac:dyDescent="0.25">
      <c r="A1287" s="17" t="s">
        <v>3919</v>
      </c>
      <c r="B1287" s="17" t="s">
        <v>70</v>
      </c>
      <c r="C1287" s="17" t="s">
        <v>71</v>
      </c>
      <c r="D1287" t="s">
        <v>3920</v>
      </c>
      <c r="F1287" t="s">
        <v>3920</v>
      </c>
      <c r="K1287" s="18">
        <f>628118504429</f>
        <v>628118504429</v>
      </c>
      <c r="N1287" s="17" t="s">
        <v>81</v>
      </c>
      <c r="V1287" s="18">
        <f>628118504429</f>
        <v>628118504429</v>
      </c>
    </row>
    <row r="1288" ht="15" customHeight="1" spans="1:25" x14ac:dyDescent="0.25">
      <c r="A1288" s="17" t="s">
        <v>3921</v>
      </c>
      <c r="B1288" s="17" t="s">
        <v>70</v>
      </c>
      <c r="C1288" s="17" t="s">
        <v>71</v>
      </c>
      <c r="D1288" t="s">
        <v>3920</v>
      </c>
      <c r="F1288" t="s">
        <v>3920</v>
      </c>
      <c r="K1288" s="18">
        <f>6287868222299</f>
        <v>6287868222299</v>
      </c>
      <c r="N1288" s="17" t="s">
        <v>77</v>
      </c>
      <c r="U1288" s="17"/>
      <c r="V1288" s="18">
        <f>6287868222299</f>
        <v>6287868222299</v>
      </c>
      <c r="W1288" t="s">
        <v>3922</v>
      </c>
      <c r="Y1288" s="17" t="s">
        <v>1157</v>
      </c>
    </row>
    <row r="1289" ht="15" customHeight="1" spans="1:28" x14ac:dyDescent="0.25">
      <c r="A1289" s="17" t="s">
        <v>3923</v>
      </c>
      <c r="B1289" s="17" t="s">
        <v>70</v>
      </c>
      <c r="C1289" s="17" t="s">
        <v>71</v>
      </c>
      <c r="D1289" t="s">
        <v>3924</v>
      </c>
      <c r="F1289" t="s">
        <v>3920</v>
      </c>
      <c r="J1289" t="s">
        <v>115</v>
      </c>
      <c r="K1289" s="18" t="s">
        <v>3925</v>
      </c>
      <c r="N1289" s="17" t="s">
        <v>81</v>
      </c>
      <c r="O1289" t="s">
        <v>117</v>
      </c>
      <c r="U1289" s="17"/>
      <c r="V1289" s="18" t="s">
        <v>3925</v>
      </c>
      <c r="W1289" t="s">
        <v>3926</v>
      </c>
      <c r="Y1289" s="17" t="s">
        <v>90</v>
      </c>
      <c r="AA1289" t="s">
        <v>118</v>
      </c>
      <c r="AB1289" t="s">
        <v>119</v>
      </c>
    </row>
    <row r="1290" ht="15" customHeight="1" spans="1:28" x14ac:dyDescent="0.25">
      <c r="A1290" s="17" t="s">
        <v>3927</v>
      </c>
      <c r="B1290" s="17" t="s">
        <v>70</v>
      </c>
      <c r="C1290" s="17" t="s">
        <v>71</v>
      </c>
      <c r="D1290" t="s">
        <v>3920</v>
      </c>
      <c r="F1290" t="s">
        <v>3920</v>
      </c>
      <c r="J1290" t="s">
        <v>115</v>
      </c>
      <c r="K1290" s="18" t="s">
        <v>3928</v>
      </c>
      <c r="N1290" s="17" t="s">
        <v>77</v>
      </c>
      <c r="O1290" t="s">
        <v>117</v>
      </c>
      <c r="U1290" s="17"/>
      <c r="V1290" s="18" t="s">
        <v>3928</v>
      </c>
      <c r="W1290" t="s">
        <v>3929</v>
      </c>
      <c r="Y1290" t="s">
        <v>190</v>
      </c>
      <c r="AA1290" t="s">
        <v>118</v>
      </c>
      <c r="AB1290" t="s">
        <v>119</v>
      </c>
    </row>
    <row r="1291" ht="15" customHeight="1" spans="1:27" x14ac:dyDescent="0.25">
      <c r="A1291" s="17" t="s">
        <v>3930</v>
      </c>
      <c r="B1291" s="17" t="s">
        <v>70</v>
      </c>
      <c r="C1291" s="17" t="s">
        <v>71</v>
      </c>
      <c r="D1291" t="s">
        <v>3920</v>
      </c>
      <c r="F1291" t="s">
        <v>3931</v>
      </c>
      <c r="K1291" s="18">
        <f>6281573903565</f>
        <v>6281573903565</v>
      </c>
      <c r="N1291" s="17" t="s">
        <v>77</v>
      </c>
      <c r="U1291" s="17"/>
      <c r="V1291" s="18">
        <f>6281573903565</f>
        <v>6281573903565</v>
      </c>
      <c r="W1291" t="s">
        <v>3932</v>
      </c>
      <c r="Y1291" s="17" t="s">
        <v>500</v>
      </c>
      <c r="AA1291" s="17" t="s">
        <v>3933</v>
      </c>
    </row>
    <row r="1292" ht="15" customHeight="1" spans="1:28" x14ac:dyDescent="0.25">
      <c r="A1292" s="17" t="s">
        <v>3934</v>
      </c>
      <c r="B1292" s="17" t="s">
        <v>70</v>
      </c>
      <c r="C1292" s="17" t="s">
        <v>71</v>
      </c>
      <c r="D1292" t="s">
        <v>3920</v>
      </c>
      <c r="F1292" t="s">
        <v>3935</v>
      </c>
      <c r="J1292" s="17" t="s">
        <v>3936</v>
      </c>
      <c r="K1292" s="18" t="s">
        <v>3937</v>
      </c>
      <c r="N1292" s="17" t="s">
        <v>77</v>
      </c>
      <c r="O1292" t="s">
        <v>199</v>
      </c>
      <c r="U1292" s="17"/>
      <c r="V1292" s="18" t="s">
        <v>3937</v>
      </c>
      <c r="W1292" t="s">
        <v>1903</v>
      </c>
      <c r="Y1292" t="s">
        <v>1903</v>
      </c>
      <c r="AA1292" t="s">
        <v>115</v>
      </c>
      <c r="AB1292" t="s">
        <v>1903</v>
      </c>
    </row>
    <row r="1293" ht="15" customHeight="1" spans="1:22" x14ac:dyDescent="0.25">
      <c r="A1293" s="17" t="s">
        <v>3938</v>
      </c>
      <c r="B1293" s="17" t="s">
        <v>70</v>
      </c>
      <c r="C1293" s="17" t="s">
        <v>71</v>
      </c>
      <c r="D1293" t="s">
        <v>3920</v>
      </c>
      <c r="F1293" t="s">
        <v>3939</v>
      </c>
      <c r="K1293" s="18">
        <f>62811287787</f>
        <v>62811287787</v>
      </c>
      <c r="N1293" s="17" t="s">
        <v>74</v>
      </c>
      <c r="V1293" s="18">
        <f>62811287787</f>
        <v>62811287787</v>
      </c>
    </row>
    <row r="1294" ht="15" customHeight="1" spans="1:22" x14ac:dyDescent="0.25">
      <c r="A1294" s="17" t="s">
        <v>3940</v>
      </c>
      <c r="B1294" s="17" t="s">
        <v>70</v>
      </c>
      <c r="C1294" s="17" t="s">
        <v>71</v>
      </c>
      <c r="D1294" t="s">
        <v>3920</v>
      </c>
      <c r="F1294" t="s">
        <v>3941</v>
      </c>
      <c r="K1294" s="18">
        <f>79819790950</f>
        <v>79819790950</v>
      </c>
      <c r="N1294" s="17" t="s">
        <v>77</v>
      </c>
      <c r="V1294" s="18">
        <f>79819790950</f>
        <v>79819790950</v>
      </c>
    </row>
    <row r="1295" ht="15" customHeight="1" spans="1:22" x14ac:dyDescent="0.25">
      <c r="A1295" s="17" t="s">
        <v>3942</v>
      </c>
      <c r="B1295" s="17" t="s">
        <v>70</v>
      </c>
      <c r="C1295" s="17" t="s">
        <v>71</v>
      </c>
      <c r="D1295" t="s">
        <v>3920</v>
      </c>
      <c r="F1295" t="s">
        <v>2957</v>
      </c>
      <c r="K1295" s="18">
        <f>6281914533001</f>
        <v>6281914533001</v>
      </c>
      <c r="N1295" s="17" t="s">
        <v>77</v>
      </c>
      <c r="V1295" s="18">
        <f>6281914533001</f>
        <v>6281914533001</v>
      </c>
    </row>
    <row r="1296" ht="15" customHeight="1" spans="1:22" x14ac:dyDescent="0.25">
      <c r="A1296" s="17" t="s">
        <v>3943</v>
      </c>
      <c r="B1296" s="17" t="s">
        <v>70</v>
      </c>
      <c r="C1296" s="17" t="s">
        <v>71</v>
      </c>
      <c r="D1296" t="s">
        <v>3920</v>
      </c>
      <c r="F1296" t="s">
        <v>301</v>
      </c>
      <c r="K1296" s="18">
        <f>6285280000087</f>
        <v>6285280000087</v>
      </c>
      <c r="N1296" s="17" t="s">
        <v>77</v>
      </c>
      <c r="V1296" s="18">
        <f>6285280000087</f>
        <v>6285280000087</v>
      </c>
    </row>
    <row r="1297" ht="15" customHeight="1" spans="1:22" x14ac:dyDescent="0.25">
      <c r="A1297" s="17" t="s">
        <v>3944</v>
      </c>
      <c r="B1297" s="17" t="s">
        <v>70</v>
      </c>
      <c r="C1297" s="17" t="s">
        <v>71</v>
      </c>
      <c r="D1297" t="s">
        <v>3920</v>
      </c>
      <c r="F1297" t="s">
        <v>282</v>
      </c>
      <c r="K1297" s="18">
        <f>62811105784</f>
        <v>62811105784</v>
      </c>
      <c r="N1297" s="17" t="s">
        <v>77</v>
      </c>
      <c r="V1297" s="18">
        <f>62811105784</f>
        <v>62811105784</v>
      </c>
    </row>
    <row r="1298" ht="15" customHeight="1" spans="1:25" x14ac:dyDescent="0.25">
      <c r="A1298" s="17" t="s">
        <v>3945</v>
      </c>
      <c r="B1298" s="17" t="s">
        <v>70</v>
      </c>
      <c r="C1298" s="17" t="s">
        <v>71</v>
      </c>
      <c r="D1298" t="s">
        <v>3920</v>
      </c>
      <c r="F1298" t="s">
        <v>653</v>
      </c>
      <c r="J1298" s="17" t="s">
        <v>3946</v>
      </c>
      <c r="K1298" s="18">
        <f>6281330678383</f>
        <v>6281330678383</v>
      </c>
      <c r="N1298" s="17" t="s">
        <v>74</v>
      </c>
      <c r="U1298" s="17"/>
      <c r="V1298" s="18">
        <f>6281330678383</f>
        <v>6281330678383</v>
      </c>
      <c r="W1298" t="s">
        <v>3947</v>
      </c>
      <c r="Y1298" s="17" t="s">
        <v>3948</v>
      </c>
    </row>
    <row r="1299" ht="15" customHeight="1" spans="1:22" x14ac:dyDescent="0.25">
      <c r="A1299" s="17" t="s">
        <v>3949</v>
      </c>
      <c r="B1299" s="17" t="s">
        <v>70</v>
      </c>
      <c r="C1299" s="17" t="s">
        <v>71</v>
      </c>
      <c r="D1299" t="s">
        <v>3920</v>
      </c>
      <c r="F1299" t="s">
        <v>3950</v>
      </c>
      <c r="K1299" s="18">
        <f>6285814576899</f>
        <v>6285814576899</v>
      </c>
      <c r="N1299" s="17" t="s">
        <v>74</v>
      </c>
      <c r="V1299" s="18">
        <f>6285814576899</f>
        <v>6285814576899</v>
      </c>
    </row>
    <row r="1300" ht="15" customHeight="1" spans="1:22" x14ac:dyDescent="0.25">
      <c r="A1300" s="17" t="s">
        <v>3951</v>
      </c>
      <c r="B1300" s="17" t="s">
        <v>70</v>
      </c>
      <c r="C1300" s="17" t="s">
        <v>71</v>
      </c>
      <c r="D1300" t="s">
        <v>3920</v>
      </c>
      <c r="F1300" t="s">
        <v>3952</v>
      </c>
      <c r="K1300" s="18">
        <f>62811802928</f>
        <v>62811802928</v>
      </c>
      <c r="N1300" s="17" t="s">
        <v>77</v>
      </c>
      <c r="V1300" s="18">
        <f>62811802928</f>
        <v>62811802928</v>
      </c>
    </row>
    <row r="1301" ht="15" customHeight="1" spans="1:22" x14ac:dyDescent="0.25">
      <c r="A1301" s="17" t="s">
        <v>3953</v>
      </c>
      <c r="B1301" s="17" t="s">
        <v>70</v>
      </c>
      <c r="C1301" s="17" t="s">
        <v>71</v>
      </c>
      <c r="D1301" t="s">
        <v>3920</v>
      </c>
      <c r="F1301" t="s">
        <v>3954</v>
      </c>
      <c r="K1301" s="18">
        <f>6287789101688</f>
        <v>6287789101688</v>
      </c>
      <c r="N1301" s="17" t="s">
        <v>81</v>
      </c>
      <c r="V1301" s="18">
        <f>6287789101688</f>
        <v>6287789101688</v>
      </c>
    </row>
    <row r="1302" ht="15" customHeight="1" spans="1:22" x14ac:dyDescent="0.25">
      <c r="A1302" s="17" t="s">
        <v>3955</v>
      </c>
      <c r="B1302" s="17" t="s">
        <v>70</v>
      </c>
      <c r="C1302" s="17" t="s">
        <v>71</v>
      </c>
      <c r="D1302" t="s">
        <v>3920</v>
      </c>
      <c r="F1302" t="s">
        <v>3956</v>
      </c>
      <c r="K1302" s="18">
        <f>628114036333</f>
        <v>628114036333</v>
      </c>
      <c r="N1302" s="17" t="s">
        <v>81</v>
      </c>
      <c r="V1302" s="18">
        <f>628114036333</f>
        <v>628114036333</v>
      </c>
    </row>
    <row r="1303" ht="15" customHeight="1" spans="1:22" x14ac:dyDescent="0.25">
      <c r="A1303" s="17" t="s">
        <v>3957</v>
      </c>
      <c r="B1303" s="17" t="s">
        <v>70</v>
      </c>
      <c r="C1303" s="17" t="s">
        <v>71</v>
      </c>
      <c r="D1303" t="s">
        <v>3958</v>
      </c>
      <c r="F1303" t="s">
        <v>3959</v>
      </c>
      <c r="K1303" s="18">
        <f>628128242720</f>
        <v>628128242720</v>
      </c>
      <c r="N1303" s="17" t="s">
        <v>81</v>
      </c>
      <c r="V1303" s="18">
        <f>628128242720</f>
        <v>628128242720</v>
      </c>
    </row>
    <row r="1304" ht="15" customHeight="1" spans="1:23" x14ac:dyDescent="0.25">
      <c r="A1304" s="17" t="s">
        <v>3960</v>
      </c>
      <c r="B1304" s="17" t="s">
        <v>70</v>
      </c>
      <c r="C1304" s="17" t="s">
        <v>71</v>
      </c>
      <c r="D1304" t="s">
        <v>3961</v>
      </c>
      <c r="F1304" t="s">
        <v>3962</v>
      </c>
      <c r="K1304" s="18">
        <f>62816894000</f>
        <v>62816894000</v>
      </c>
      <c r="N1304" s="17" t="s">
        <v>77</v>
      </c>
      <c r="U1304" s="17"/>
      <c r="V1304" s="18">
        <f>62816894000</f>
        <v>62816894000</v>
      </c>
      <c r="W1304" t="s">
        <v>90</v>
      </c>
    </row>
    <row r="1305" ht="15" customHeight="1" spans="1:22" x14ac:dyDescent="0.25">
      <c r="A1305" s="17" t="s">
        <v>3963</v>
      </c>
      <c r="B1305" s="17" t="s">
        <v>70</v>
      </c>
      <c r="C1305" s="17" t="s">
        <v>71</v>
      </c>
      <c r="D1305" t="s">
        <v>3964</v>
      </c>
      <c r="F1305" t="s">
        <v>3964</v>
      </c>
      <c r="K1305" s="18">
        <v>628199668899</v>
      </c>
      <c r="N1305" s="17" t="s">
        <v>81</v>
      </c>
      <c r="V1305" s="18">
        <v>628199668899</v>
      </c>
    </row>
    <row r="1306" ht="15" customHeight="1" spans="1:22" x14ac:dyDescent="0.25">
      <c r="A1306" s="17" t="s">
        <v>3965</v>
      </c>
      <c r="B1306" s="17" t="s">
        <v>70</v>
      </c>
      <c r="C1306" s="17" t="s">
        <v>71</v>
      </c>
      <c r="D1306" t="s">
        <v>3964</v>
      </c>
      <c r="F1306" t="s">
        <v>3966</v>
      </c>
      <c r="K1306" s="18">
        <f>628164800600</f>
        <v>628164800600</v>
      </c>
      <c r="N1306" s="17" t="s">
        <v>77</v>
      </c>
      <c r="V1306" s="18">
        <f>628164800600</f>
        <v>628164800600</v>
      </c>
    </row>
    <row r="1307" ht="15" customHeight="1" spans="1:23" x14ac:dyDescent="0.25">
      <c r="A1307" s="17" t="s">
        <v>3967</v>
      </c>
      <c r="B1307" s="17" t="s">
        <v>70</v>
      </c>
      <c r="C1307" s="17" t="s">
        <v>71</v>
      </c>
      <c r="D1307" t="s">
        <v>3964</v>
      </c>
      <c r="F1307" t="s">
        <v>3968</v>
      </c>
      <c r="J1307" s="17" t="s">
        <v>3969</v>
      </c>
      <c r="K1307" s="18">
        <f>628112437878</f>
        <v>628112437878</v>
      </c>
      <c r="N1307" s="17" t="s">
        <v>77</v>
      </c>
      <c r="U1307" s="17"/>
      <c r="V1307" s="18">
        <f>628112437878</f>
        <v>628112437878</v>
      </c>
      <c r="W1307" t="s">
        <v>3970</v>
      </c>
    </row>
    <row r="1308" ht="15" customHeight="1" spans="1:22" x14ac:dyDescent="0.25">
      <c r="A1308" s="17" t="s">
        <v>3971</v>
      </c>
      <c r="B1308" s="17" t="s">
        <v>70</v>
      </c>
      <c r="C1308" s="17" t="s">
        <v>71</v>
      </c>
      <c r="D1308" t="s">
        <v>3964</v>
      </c>
      <c r="F1308" t="s">
        <v>3972</v>
      </c>
      <c r="K1308" s="18">
        <f>62818888759</f>
        <v>62818888759</v>
      </c>
      <c r="N1308" s="17" t="s">
        <v>77</v>
      </c>
      <c r="V1308" s="18">
        <f>62818888759</f>
        <v>62818888759</v>
      </c>
    </row>
    <row r="1309" ht="15" customHeight="1" spans="1:25" x14ac:dyDescent="0.25">
      <c r="A1309" s="17" t="s">
        <v>3973</v>
      </c>
      <c r="B1309" s="17" t="s">
        <v>70</v>
      </c>
      <c r="C1309" s="17" t="s">
        <v>71</v>
      </c>
      <c r="D1309" t="s">
        <v>3964</v>
      </c>
      <c r="F1309" t="s">
        <v>669</v>
      </c>
      <c r="K1309" s="18">
        <f>62811157388</f>
        <v>62811157388</v>
      </c>
      <c r="N1309" s="17" t="s">
        <v>74</v>
      </c>
      <c r="U1309" s="17"/>
      <c r="V1309" s="18">
        <f>62811157388</f>
        <v>62811157388</v>
      </c>
      <c r="W1309" t="s">
        <v>3974</v>
      </c>
      <c r="Y1309" s="17" t="s">
        <v>378</v>
      </c>
    </row>
    <row r="1310" ht="15" customHeight="1" spans="1:23" x14ac:dyDescent="0.25">
      <c r="A1310" s="17" t="s">
        <v>3975</v>
      </c>
      <c r="B1310" s="17" t="s">
        <v>70</v>
      </c>
      <c r="C1310" s="17" t="s">
        <v>71</v>
      </c>
      <c r="D1310" t="s">
        <v>3964</v>
      </c>
      <c r="F1310" t="s">
        <v>3976</v>
      </c>
      <c r="J1310" s="17" t="s">
        <v>3977</v>
      </c>
      <c r="K1310" s="18">
        <f>6281218080185</f>
        <v>6281218080185</v>
      </c>
      <c r="N1310" s="17" t="s">
        <v>77</v>
      </c>
      <c r="U1310" s="17"/>
      <c r="V1310" s="18">
        <f>6281218080185</f>
        <v>6281218080185</v>
      </c>
      <c r="W1310" t="s">
        <v>3978</v>
      </c>
    </row>
    <row r="1311" ht="15" customHeight="1" spans="1:22" x14ac:dyDescent="0.25">
      <c r="A1311" s="17" t="s">
        <v>3979</v>
      </c>
      <c r="B1311" s="17" t="s">
        <v>70</v>
      </c>
      <c r="C1311" s="17" t="s">
        <v>71</v>
      </c>
      <c r="D1311" t="s">
        <v>3980</v>
      </c>
      <c r="F1311" t="s">
        <v>3980</v>
      </c>
      <c r="K1311" s="18">
        <f>62816997161</f>
        <v>62816997161</v>
      </c>
      <c r="N1311" s="17" t="s">
        <v>77</v>
      </c>
      <c r="V1311" s="18">
        <f>62816997161</f>
        <v>62816997161</v>
      </c>
    </row>
    <row r="1312" ht="15" customHeight="1" spans="1:28" x14ac:dyDescent="0.25">
      <c r="A1312" s="17" t="s">
        <v>3981</v>
      </c>
      <c r="B1312" s="17" t="s">
        <v>70</v>
      </c>
      <c r="C1312" s="17" t="s">
        <v>71</v>
      </c>
      <c r="D1312" t="s">
        <v>3982</v>
      </c>
      <c r="F1312" t="s">
        <v>2602</v>
      </c>
      <c r="J1312" s="17" t="s">
        <v>3983</v>
      </c>
      <c r="K1312" s="18" t="s">
        <v>3984</v>
      </c>
      <c r="N1312" s="17" t="s">
        <v>77</v>
      </c>
      <c r="O1312" t="s">
        <v>145</v>
      </c>
      <c r="V1312" s="18" t="s">
        <v>3984</v>
      </c>
      <c r="Y1312" t="s">
        <v>1909</v>
      </c>
      <c r="AA1312" t="s">
        <v>115</v>
      </c>
      <c r="AB1312" t="s">
        <v>1909</v>
      </c>
    </row>
    <row r="1313" ht="15" customHeight="1" spans="1:22" x14ac:dyDescent="0.25">
      <c r="A1313" s="17" t="s">
        <v>3985</v>
      </c>
      <c r="B1313" s="17" t="s">
        <v>70</v>
      </c>
      <c r="C1313" s="17" t="s">
        <v>71</v>
      </c>
      <c r="D1313" t="s">
        <v>3986</v>
      </c>
      <c r="F1313" t="s">
        <v>3986</v>
      </c>
      <c r="K1313" s="18">
        <f>62811978980</f>
        <v>62811978980</v>
      </c>
      <c r="N1313" s="17" t="s">
        <v>81</v>
      </c>
      <c r="V1313" s="18">
        <f>62811978980</f>
        <v>62811978980</v>
      </c>
    </row>
    <row r="1314" ht="15" customHeight="1" spans="1:22" x14ac:dyDescent="0.25">
      <c r="A1314" s="17" t="s">
        <v>3987</v>
      </c>
      <c r="B1314" s="17" t="s">
        <v>70</v>
      </c>
      <c r="C1314" s="17" t="s">
        <v>71</v>
      </c>
      <c r="D1314" t="s">
        <v>3986</v>
      </c>
      <c r="F1314" t="s">
        <v>3988</v>
      </c>
      <c r="K1314" s="18">
        <f>62811826605</f>
        <v>62811826605</v>
      </c>
      <c r="N1314" s="17" t="s">
        <v>81</v>
      </c>
      <c r="V1314" s="18">
        <f>62811826605</f>
        <v>62811826605</v>
      </c>
    </row>
    <row r="1315" ht="15" customHeight="1" spans="1:22" x14ac:dyDescent="0.25">
      <c r="A1315" s="17" t="s">
        <v>3989</v>
      </c>
      <c r="B1315" s="17" t="s">
        <v>70</v>
      </c>
      <c r="C1315" s="17" t="s">
        <v>71</v>
      </c>
      <c r="D1315" t="s">
        <v>3986</v>
      </c>
      <c r="F1315" t="s">
        <v>167</v>
      </c>
      <c r="K1315" s="18">
        <f>6281217521769</f>
        <v>6281217521769</v>
      </c>
      <c r="N1315" s="17" t="s">
        <v>81</v>
      </c>
      <c r="V1315" s="18">
        <f>6281217521769</f>
        <v>6281217521769</v>
      </c>
    </row>
    <row r="1316" ht="15" customHeight="1" spans="1:22" x14ac:dyDescent="0.25">
      <c r="A1316" s="17" t="s">
        <v>3990</v>
      </c>
      <c r="B1316" s="17" t="s">
        <v>70</v>
      </c>
      <c r="C1316" s="17" t="s">
        <v>71</v>
      </c>
      <c r="D1316" t="s">
        <v>3986</v>
      </c>
      <c r="F1316" t="s">
        <v>3991</v>
      </c>
      <c r="K1316" s="18">
        <f>622129942010</f>
        <v>622129942010</v>
      </c>
      <c r="N1316" s="17" t="s">
        <v>77</v>
      </c>
      <c r="V1316" s="18">
        <f>622129942010</f>
        <v>622129942010</v>
      </c>
    </row>
    <row r="1317" ht="15" customHeight="1" spans="1:28" x14ac:dyDescent="0.25">
      <c r="A1317" s="17" t="s">
        <v>3992</v>
      </c>
      <c r="B1317" s="17" t="s">
        <v>70</v>
      </c>
      <c r="C1317" s="17" t="s">
        <v>71</v>
      </c>
      <c r="D1317" t="s">
        <v>3993</v>
      </c>
      <c r="F1317" t="s">
        <v>3993</v>
      </c>
      <c r="J1317" t="s">
        <v>115</v>
      </c>
      <c r="K1317" s="18" t="s">
        <v>3994</v>
      </c>
      <c r="N1317" s="17" t="s">
        <v>77</v>
      </c>
      <c r="O1317" t="s">
        <v>117</v>
      </c>
      <c r="V1317" s="18" t="s">
        <v>3994</v>
      </c>
      <c r="Y1317" t="s">
        <v>115</v>
      </c>
      <c r="AA1317" t="s">
        <v>115</v>
      </c>
      <c r="AB1317" t="s">
        <v>119</v>
      </c>
    </row>
    <row r="1318" ht="15" customHeight="1" spans="1:27" x14ac:dyDescent="0.25">
      <c r="A1318" s="17" t="s">
        <v>3995</v>
      </c>
      <c r="B1318" s="17" t="s">
        <v>70</v>
      </c>
      <c r="C1318" s="17" t="s">
        <v>71</v>
      </c>
      <c r="D1318" t="s">
        <v>438</v>
      </c>
      <c r="F1318" t="s">
        <v>2486</v>
      </c>
      <c r="J1318" s="17" t="s">
        <v>3996</v>
      </c>
      <c r="K1318" s="18">
        <f>62217533930</f>
        <v>62217533930</v>
      </c>
      <c r="N1318" s="17" t="s">
        <v>77</v>
      </c>
      <c r="U1318" s="17"/>
      <c r="V1318" s="18">
        <f>62217533930</f>
        <v>62217533930</v>
      </c>
      <c r="W1318" t="s">
        <v>3997</v>
      </c>
      <c r="Y1318" s="17" t="s">
        <v>567</v>
      </c>
      <c r="AA1318" s="17">
        <v>16514</v>
      </c>
    </row>
    <row r="1319" ht="15" customHeight="1" spans="1:23" x14ac:dyDescent="0.25">
      <c r="A1319" s="17" t="s">
        <v>3998</v>
      </c>
      <c r="B1319" s="17" t="s">
        <v>70</v>
      </c>
      <c r="C1319" s="17" t="s">
        <v>71</v>
      </c>
      <c r="D1319" t="s">
        <v>438</v>
      </c>
      <c r="F1319" t="s">
        <v>2004</v>
      </c>
      <c r="K1319" s="18">
        <f>6281394807941</f>
        <v>6281394807941</v>
      </c>
      <c r="N1319" s="17" t="s">
        <v>81</v>
      </c>
      <c r="U1319" s="17"/>
      <c r="V1319" s="18">
        <f>6281394807941</f>
        <v>6281394807941</v>
      </c>
      <c r="W1319" t="s">
        <v>3999</v>
      </c>
    </row>
    <row r="1320" ht="15" customHeight="1" spans="1:23" x14ac:dyDescent="0.25">
      <c r="A1320" s="17" t="s">
        <v>4000</v>
      </c>
      <c r="B1320" s="17" t="s">
        <v>70</v>
      </c>
      <c r="C1320" s="17" t="s">
        <v>71</v>
      </c>
      <c r="D1320" t="s">
        <v>438</v>
      </c>
      <c r="F1320" t="s">
        <v>4001</v>
      </c>
      <c r="K1320" s="18">
        <f>6281382030665</f>
        <v>6281382030665</v>
      </c>
      <c r="N1320" s="17" t="s">
        <v>81</v>
      </c>
      <c r="U1320" s="17"/>
      <c r="V1320" s="18">
        <f>6281382030665</f>
        <v>6281382030665</v>
      </c>
      <c r="W1320" t="s">
        <v>2561</v>
      </c>
    </row>
    <row r="1321" ht="15" customHeight="1" spans="1:22" x14ac:dyDescent="0.25">
      <c r="A1321" s="17" t="s">
        <v>4002</v>
      </c>
      <c r="B1321" s="17" t="s">
        <v>70</v>
      </c>
      <c r="C1321" s="17" t="s">
        <v>71</v>
      </c>
      <c r="D1321" t="s">
        <v>4003</v>
      </c>
      <c r="F1321" t="s">
        <v>4003</v>
      </c>
      <c r="K1321" s="18">
        <f>62816924260</f>
        <v>62816924260</v>
      </c>
      <c r="N1321" s="17" t="s">
        <v>81</v>
      </c>
      <c r="V1321" s="18">
        <f>62816924260</f>
        <v>62816924260</v>
      </c>
    </row>
    <row r="1322" ht="15" customHeight="1" spans="1:22" x14ac:dyDescent="0.25">
      <c r="A1322" s="17" t="s">
        <v>4004</v>
      </c>
      <c r="B1322" s="17" t="s">
        <v>70</v>
      </c>
      <c r="C1322" s="17" t="s">
        <v>71</v>
      </c>
      <c r="D1322" t="s">
        <v>4005</v>
      </c>
      <c r="F1322" t="s">
        <v>4006</v>
      </c>
      <c r="K1322" s="18">
        <f>62811909602</f>
        <v>62811909602</v>
      </c>
      <c r="N1322" s="17" t="s">
        <v>77</v>
      </c>
      <c r="V1322" s="18">
        <f>62811909602</f>
        <v>62811909602</v>
      </c>
    </row>
    <row r="1323" ht="15" customHeight="1" spans="1:22" x14ac:dyDescent="0.25">
      <c r="A1323" s="17" t="s">
        <v>4007</v>
      </c>
      <c r="B1323" s="17" t="s">
        <v>70</v>
      </c>
      <c r="C1323" s="17" t="s">
        <v>71</v>
      </c>
      <c r="D1323" t="s">
        <v>4008</v>
      </c>
      <c r="F1323" t="s">
        <v>4008</v>
      </c>
      <c r="K1323" s="18">
        <f>628111961103</f>
        <v>628111961103</v>
      </c>
      <c r="N1323" s="17" t="s">
        <v>81</v>
      </c>
      <c r="V1323" s="18">
        <f>628111961103</f>
        <v>628111961103</v>
      </c>
    </row>
    <row r="1324" ht="15" customHeight="1" spans="1:22" x14ac:dyDescent="0.25">
      <c r="A1324" s="17" t="s">
        <v>4009</v>
      </c>
      <c r="B1324" s="17" t="s">
        <v>70</v>
      </c>
      <c r="C1324" s="17" t="s">
        <v>71</v>
      </c>
      <c r="D1324" t="s">
        <v>4010</v>
      </c>
      <c r="F1324" t="s">
        <v>4011</v>
      </c>
      <c r="K1324" s="18">
        <f>62822108907811</f>
        <v>62822108907811</v>
      </c>
      <c r="N1324" s="17" t="s">
        <v>77</v>
      </c>
      <c r="V1324" s="18">
        <f>62822108907811</f>
        <v>62822108907811</v>
      </c>
    </row>
    <row r="1325" ht="15" customHeight="1" spans="1:22" x14ac:dyDescent="0.25">
      <c r="A1325" s="17" t="s">
        <v>4012</v>
      </c>
      <c r="B1325" s="17" t="s">
        <v>70</v>
      </c>
      <c r="C1325" s="17" t="s">
        <v>71</v>
      </c>
      <c r="D1325" t="s">
        <v>4010</v>
      </c>
      <c r="F1325" t="s">
        <v>4013</v>
      </c>
      <c r="K1325" s="18">
        <f>6282210907811</f>
        <v>6282210907811</v>
      </c>
      <c r="N1325" s="17" t="s">
        <v>81</v>
      </c>
      <c r="V1325" s="18">
        <f>6282210907811</f>
        <v>6282210907811</v>
      </c>
    </row>
    <row r="1326" ht="15" customHeight="1" spans="1:22" x14ac:dyDescent="0.25">
      <c r="A1326" s="17" t="s">
        <v>4014</v>
      </c>
      <c r="B1326" s="17" t="s">
        <v>70</v>
      </c>
      <c r="C1326" s="17" t="s">
        <v>71</v>
      </c>
      <c r="D1326" t="s">
        <v>2381</v>
      </c>
      <c r="F1326" t="s">
        <v>2381</v>
      </c>
      <c r="K1326" s="18">
        <f>62816858711</f>
        <v>62816858711</v>
      </c>
      <c r="N1326" s="17" t="s">
        <v>81</v>
      </c>
      <c r="V1326" s="18">
        <f>62816858711</f>
        <v>62816858711</v>
      </c>
    </row>
    <row r="1327" ht="15" customHeight="1" spans="1:22" x14ac:dyDescent="0.25">
      <c r="A1327" s="17" t="s">
        <v>4015</v>
      </c>
      <c r="B1327" s="17" t="s">
        <v>70</v>
      </c>
      <c r="C1327" s="17" t="s">
        <v>71</v>
      </c>
      <c r="D1327" t="s">
        <v>2381</v>
      </c>
      <c r="F1327" t="s">
        <v>4016</v>
      </c>
      <c r="K1327" s="18">
        <f>62818134595</f>
        <v>62818134595</v>
      </c>
      <c r="N1327" s="17" t="s">
        <v>81</v>
      </c>
      <c r="V1327" s="18">
        <f>62818134595</f>
        <v>62818134595</v>
      </c>
    </row>
    <row r="1328" ht="15" customHeight="1" spans="1:25" x14ac:dyDescent="0.25">
      <c r="A1328" s="17" t="s">
        <v>4017</v>
      </c>
      <c r="B1328" s="17" t="s">
        <v>70</v>
      </c>
      <c r="C1328" s="17" t="s">
        <v>71</v>
      </c>
      <c r="D1328" t="s">
        <v>2381</v>
      </c>
      <c r="F1328" t="s">
        <v>4018</v>
      </c>
      <c r="J1328" s="17" t="s">
        <v>4019</v>
      </c>
      <c r="K1328" s="18">
        <f>6287786408971</f>
        <v>6287786408971</v>
      </c>
      <c r="N1328" s="17" t="s">
        <v>77</v>
      </c>
      <c r="U1328" s="17"/>
      <c r="V1328" s="18">
        <f>6287786408971</f>
        <v>6287786408971</v>
      </c>
      <c r="W1328" t="s">
        <v>4020</v>
      </c>
      <c r="Y1328" s="17" t="s">
        <v>378</v>
      </c>
    </row>
    <row r="1329" ht="15" customHeight="1" spans="1:22" x14ac:dyDescent="0.25">
      <c r="A1329" s="17" t="s">
        <v>4021</v>
      </c>
      <c r="B1329" s="17" t="s">
        <v>70</v>
      </c>
      <c r="C1329" s="17" t="s">
        <v>71</v>
      </c>
      <c r="D1329" t="s">
        <v>4022</v>
      </c>
      <c r="F1329" t="s">
        <v>4023</v>
      </c>
      <c r="K1329" s="18">
        <f>628129259994</f>
        <v>628129259994</v>
      </c>
      <c r="N1329" s="17" t="s">
        <v>77</v>
      </c>
      <c r="V1329" s="18">
        <f>628129259994</f>
        <v>628129259994</v>
      </c>
    </row>
    <row r="1330" ht="15" customHeight="1" spans="1:27" x14ac:dyDescent="0.25">
      <c r="A1330" s="17" t="s">
        <v>4024</v>
      </c>
      <c r="B1330" s="17" t="s">
        <v>70</v>
      </c>
      <c r="C1330" s="17" t="s">
        <v>71</v>
      </c>
      <c r="D1330" t="s">
        <v>4022</v>
      </c>
      <c r="F1330" t="s">
        <v>4025</v>
      </c>
      <c r="K1330" s="18">
        <v>68119999</v>
      </c>
      <c r="N1330" s="17" t="s">
        <v>77</v>
      </c>
      <c r="U1330" s="17"/>
      <c r="V1330" s="18">
        <v>68119999</v>
      </c>
      <c r="W1330" t="s">
        <v>4026</v>
      </c>
      <c r="Y1330" s="17" t="s">
        <v>4027</v>
      </c>
      <c r="AA1330" s="17" t="s">
        <v>4028</v>
      </c>
    </row>
    <row r="1331" ht="15" customHeight="1" spans="1:27" x14ac:dyDescent="0.25">
      <c r="A1331" s="17" t="s">
        <v>4029</v>
      </c>
      <c r="B1331" s="17" t="s">
        <v>70</v>
      </c>
      <c r="C1331" s="17" t="s">
        <v>71</v>
      </c>
      <c r="D1331" t="s">
        <v>4030</v>
      </c>
      <c r="F1331" t="s">
        <v>2366</v>
      </c>
      <c r="K1331" s="18">
        <v>21122023</v>
      </c>
      <c r="N1331" s="17" t="s">
        <v>77</v>
      </c>
      <c r="V1331" s="18">
        <v>21122023</v>
      </c>
      <c r="AA1331" s="17">
        <v>12770</v>
      </c>
    </row>
    <row r="1332" ht="15" customHeight="1" spans="1:28" x14ac:dyDescent="0.25">
      <c r="A1332" s="17" t="s">
        <v>4031</v>
      </c>
      <c r="B1332" s="17" t="s">
        <v>70</v>
      </c>
      <c r="C1332" s="17" t="s">
        <v>71</v>
      </c>
      <c r="D1332" t="s">
        <v>4032</v>
      </c>
      <c r="F1332" t="s">
        <v>4033</v>
      </c>
      <c r="J1332" s="17" t="s">
        <v>4034</v>
      </c>
      <c r="K1332" s="18" t="s">
        <v>4035</v>
      </c>
      <c r="N1332" s="17" t="s">
        <v>77</v>
      </c>
      <c r="O1332" t="s">
        <v>145</v>
      </c>
      <c r="U1332" s="17"/>
      <c r="V1332" s="18" t="s">
        <v>4035</v>
      </c>
      <c r="W1332" t="s">
        <v>4036</v>
      </c>
      <c r="Y1332" t="s">
        <v>4036</v>
      </c>
      <c r="AA1332" t="s">
        <v>115</v>
      </c>
      <c r="AB1332" t="s">
        <v>4036</v>
      </c>
    </row>
    <row r="1333" ht="15" customHeight="1" spans="1:22" x14ac:dyDescent="0.25">
      <c r="A1333" s="17" t="s">
        <v>4037</v>
      </c>
      <c r="B1333" s="17" t="s">
        <v>70</v>
      </c>
      <c r="C1333" s="17" t="s">
        <v>71</v>
      </c>
      <c r="D1333" t="s">
        <v>4038</v>
      </c>
      <c r="F1333" t="s">
        <v>4038</v>
      </c>
      <c r="K1333" s="18">
        <f>6281292825765</f>
        <v>6281292825765</v>
      </c>
      <c r="N1333" s="17" t="s">
        <v>77</v>
      </c>
      <c r="V1333" s="18">
        <f>6281292825765</f>
        <v>6281292825765</v>
      </c>
    </row>
    <row r="1334" ht="15" customHeight="1" spans="1:25" x14ac:dyDescent="0.25">
      <c r="A1334" s="17" t="s">
        <v>4039</v>
      </c>
      <c r="B1334" s="17" t="s">
        <v>70</v>
      </c>
      <c r="C1334" s="17" t="s">
        <v>71</v>
      </c>
      <c r="D1334" t="s">
        <v>4038</v>
      </c>
      <c r="F1334" t="s">
        <v>4040</v>
      </c>
      <c r="K1334" s="18">
        <f>62811829522</f>
        <v>62811829522</v>
      </c>
      <c r="N1334" s="17" t="s">
        <v>77</v>
      </c>
      <c r="U1334" s="17"/>
      <c r="V1334" s="18">
        <f>62811829522</f>
        <v>62811829522</v>
      </c>
      <c r="W1334" t="s">
        <v>4041</v>
      </c>
      <c r="Y1334" s="17" t="s">
        <v>1084</v>
      </c>
    </row>
    <row r="1335" ht="15" customHeight="1" spans="1:28" x14ac:dyDescent="0.25">
      <c r="A1335" s="17" t="s">
        <v>4042</v>
      </c>
      <c r="B1335" s="17" t="s">
        <v>70</v>
      </c>
      <c r="C1335" s="17" t="s">
        <v>71</v>
      </c>
      <c r="D1335" t="s">
        <v>4043</v>
      </c>
      <c r="F1335" t="s">
        <v>4044</v>
      </c>
      <c r="J1335" t="s">
        <v>115</v>
      </c>
      <c r="K1335" s="18" t="s">
        <v>4045</v>
      </c>
      <c r="N1335" s="17" t="s">
        <v>77</v>
      </c>
      <c r="O1335" t="s">
        <v>145</v>
      </c>
      <c r="U1335" s="17"/>
      <c r="V1335" s="18" t="s">
        <v>4045</v>
      </c>
      <c r="W1335" t="s">
        <v>4046</v>
      </c>
      <c r="Y1335" s="17" t="s">
        <v>190</v>
      </c>
      <c r="AA1335" t="s">
        <v>118</v>
      </c>
      <c r="AB1335" t="s">
        <v>119</v>
      </c>
    </row>
    <row r="1336" ht="15" customHeight="1" spans="1:22" x14ac:dyDescent="0.25">
      <c r="A1336" s="17" t="s">
        <v>4047</v>
      </c>
      <c r="B1336" s="17" t="s">
        <v>70</v>
      </c>
      <c r="C1336" s="17" t="s">
        <v>71</v>
      </c>
      <c r="D1336" t="s">
        <v>4048</v>
      </c>
      <c r="F1336" t="s">
        <v>4048</v>
      </c>
      <c r="K1336" s="18">
        <f>62628788199629</f>
        <v>62628788199629</v>
      </c>
      <c r="N1336" s="17" t="s">
        <v>77</v>
      </c>
      <c r="V1336" s="18">
        <f>62628788199629</f>
        <v>62628788199629</v>
      </c>
    </row>
    <row r="1337" ht="15" customHeight="1" spans="1:22" x14ac:dyDescent="0.25">
      <c r="A1337" s="17" t="s">
        <v>4049</v>
      </c>
      <c r="B1337" s="17" t="s">
        <v>70</v>
      </c>
      <c r="C1337" s="17" t="s">
        <v>71</v>
      </c>
      <c r="D1337" t="s">
        <v>4048</v>
      </c>
      <c r="F1337" t="s">
        <v>4050</v>
      </c>
      <c r="K1337" s="18">
        <f>62811714000</f>
        <v>62811714000</v>
      </c>
      <c r="N1337" s="17" t="s">
        <v>77</v>
      </c>
      <c r="V1337" s="18">
        <f>62811714000</f>
        <v>62811714000</v>
      </c>
    </row>
    <row r="1338" ht="15" customHeight="1" spans="1:25" x14ac:dyDescent="0.25">
      <c r="A1338" s="17" t="s">
        <v>4051</v>
      </c>
      <c r="B1338" s="17" t="s">
        <v>70</v>
      </c>
      <c r="C1338" s="17" t="s">
        <v>71</v>
      </c>
      <c r="D1338" t="s">
        <v>4052</v>
      </c>
      <c r="F1338" t="s">
        <v>4052</v>
      </c>
      <c r="K1338" s="18">
        <f>6281257461747</f>
        <v>6281257461747</v>
      </c>
      <c r="N1338" s="17" t="s">
        <v>81</v>
      </c>
      <c r="U1338" s="17"/>
      <c r="V1338" s="18">
        <f>6281257461747</f>
        <v>6281257461747</v>
      </c>
      <c r="W1338" t="s">
        <v>4053</v>
      </c>
      <c r="Y1338" s="17" t="s">
        <v>4054</v>
      </c>
    </row>
    <row r="1339" ht="15" customHeight="1" spans="1:22" x14ac:dyDescent="0.25">
      <c r="A1339" s="17" t="s">
        <v>4055</v>
      </c>
      <c r="B1339" s="17" t="s">
        <v>70</v>
      </c>
      <c r="C1339" s="17" t="s">
        <v>71</v>
      </c>
      <c r="D1339" t="s">
        <v>4056</v>
      </c>
      <c r="F1339" t="s">
        <v>4057</v>
      </c>
      <c r="K1339" s="18">
        <f>6282112181089</f>
        <v>6282112181089</v>
      </c>
      <c r="N1339" s="17" t="s">
        <v>77</v>
      </c>
      <c r="V1339" s="18">
        <f>6282112181089</f>
        <v>6282112181089</v>
      </c>
    </row>
    <row r="1340" ht="15" customHeight="1" spans="1:28" x14ac:dyDescent="0.25">
      <c r="A1340" s="17" t="s">
        <v>4058</v>
      </c>
      <c r="B1340" s="17" t="s">
        <v>70</v>
      </c>
      <c r="C1340" s="17" t="s">
        <v>71</v>
      </c>
      <c r="D1340" t="s">
        <v>4056</v>
      </c>
      <c r="F1340" t="s">
        <v>4059</v>
      </c>
      <c r="J1340" t="s">
        <v>115</v>
      </c>
      <c r="K1340" s="18" t="s">
        <v>4060</v>
      </c>
      <c r="N1340" s="17" t="s">
        <v>74</v>
      </c>
      <c r="O1340" t="s">
        <v>261</v>
      </c>
      <c r="U1340" s="17"/>
      <c r="V1340" s="18" t="s">
        <v>4060</v>
      </c>
      <c r="W1340" t="s">
        <v>4061</v>
      </c>
      <c r="Y1340" t="s">
        <v>1084</v>
      </c>
      <c r="AA1340" t="s">
        <v>3146</v>
      </c>
      <c r="AB1340" t="s">
        <v>119</v>
      </c>
    </row>
    <row r="1341" ht="15" customHeight="1" spans="1:25" x14ac:dyDescent="0.25">
      <c r="A1341" s="17" t="s">
        <v>4062</v>
      </c>
      <c r="B1341" s="17" t="s">
        <v>70</v>
      </c>
      <c r="C1341" s="17" t="s">
        <v>71</v>
      </c>
      <c r="D1341" t="s">
        <v>3197</v>
      </c>
      <c r="F1341" t="s">
        <v>3197</v>
      </c>
      <c r="K1341" s="18">
        <f>6281288601928</f>
        <v>6281288601928</v>
      </c>
      <c r="N1341" s="17" t="s">
        <v>74</v>
      </c>
      <c r="U1341" s="17"/>
      <c r="V1341" s="18">
        <f>6281288601928</f>
        <v>6281288601928</v>
      </c>
      <c r="W1341" t="s">
        <v>4063</v>
      </c>
      <c r="Y1341" s="17" t="s">
        <v>96</v>
      </c>
    </row>
    <row r="1342" ht="15" customHeight="1" spans="1:28" x14ac:dyDescent="0.25">
      <c r="A1342" s="17" t="s">
        <v>4064</v>
      </c>
      <c r="B1342" s="17" t="s">
        <v>70</v>
      </c>
      <c r="C1342" s="17" t="s">
        <v>71</v>
      </c>
      <c r="D1342" t="s">
        <v>3197</v>
      </c>
      <c r="F1342" t="s">
        <v>4065</v>
      </c>
      <c r="J1342" t="s">
        <v>115</v>
      </c>
      <c r="K1342" s="18" t="s">
        <v>4066</v>
      </c>
      <c r="N1342" s="17" t="s">
        <v>77</v>
      </c>
      <c r="O1342" t="s">
        <v>145</v>
      </c>
      <c r="U1342" s="17"/>
      <c r="V1342" s="18" t="s">
        <v>4066</v>
      </c>
      <c r="W1342" t="s">
        <v>4067</v>
      </c>
      <c r="Y1342" s="17" t="s">
        <v>90</v>
      </c>
      <c r="AA1342" t="s">
        <v>118</v>
      </c>
      <c r="AB1342" t="s">
        <v>119</v>
      </c>
    </row>
    <row r="1343" ht="15" customHeight="1" spans="1:28" x14ac:dyDescent="0.25">
      <c r="A1343" s="17" t="s">
        <v>4068</v>
      </c>
      <c r="B1343" s="17" t="s">
        <v>70</v>
      </c>
      <c r="C1343" s="17" t="s">
        <v>71</v>
      </c>
      <c r="D1343" t="s">
        <v>3197</v>
      </c>
      <c r="F1343" t="s">
        <v>4069</v>
      </c>
      <c r="J1343" t="s">
        <v>115</v>
      </c>
      <c r="K1343" s="18" t="s">
        <v>4070</v>
      </c>
      <c r="N1343" s="17" t="s">
        <v>77</v>
      </c>
      <c r="O1343" t="s">
        <v>117</v>
      </c>
      <c r="V1343" s="18" t="s">
        <v>4070</v>
      </c>
      <c r="Y1343" t="s">
        <v>115</v>
      </c>
      <c r="AA1343" t="s">
        <v>115</v>
      </c>
      <c r="AB1343" t="s">
        <v>119</v>
      </c>
    </row>
    <row r="1344" ht="15" customHeight="1" spans="1:23" x14ac:dyDescent="0.25">
      <c r="A1344" s="17" t="s">
        <v>4071</v>
      </c>
      <c r="B1344" s="17" t="s">
        <v>70</v>
      </c>
      <c r="C1344" s="17" t="s">
        <v>71</v>
      </c>
      <c r="D1344" t="s">
        <v>3197</v>
      </c>
      <c r="F1344" t="s">
        <v>4072</v>
      </c>
      <c r="K1344" s="18">
        <f>62811862995</f>
        <v>62811862995</v>
      </c>
      <c r="N1344" s="17" t="s">
        <v>77</v>
      </c>
      <c r="U1344" s="17"/>
      <c r="V1344" s="18">
        <f>62811862995</f>
        <v>62811862995</v>
      </c>
      <c r="W1344" t="s">
        <v>4073</v>
      </c>
    </row>
    <row r="1345" ht="15" customHeight="1" spans="1:22" x14ac:dyDescent="0.25">
      <c r="A1345" s="17" t="s">
        <v>4074</v>
      </c>
      <c r="B1345" s="17" t="s">
        <v>70</v>
      </c>
      <c r="C1345" s="17" t="s">
        <v>71</v>
      </c>
      <c r="D1345" t="s">
        <v>3162</v>
      </c>
      <c r="F1345" t="s">
        <v>3162</v>
      </c>
      <c r="K1345" s="18">
        <f>6281808734225</f>
        <v>6281808734225</v>
      </c>
      <c r="N1345" s="17" t="s">
        <v>77</v>
      </c>
      <c r="V1345" s="18">
        <f>6281808734225</f>
        <v>6281808734225</v>
      </c>
    </row>
    <row r="1346" ht="15" customHeight="1" spans="1:28" x14ac:dyDescent="0.25">
      <c r="A1346" s="17" t="s">
        <v>4075</v>
      </c>
      <c r="B1346" s="17" t="s">
        <v>70</v>
      </c>
      <c r="C1346" s="17" t="s">
        <v>71</v>
      </c>
      <c r="D1346" t="s">
        <v>3197</v>
      </c>
      <c r="F1346" t="s">
        <v>4076</v>
      </c>
      <c r="J1346" t="s">
        <v>4077</v>
      </c>
      <c r="K1346" s="18" t="s">
        <v>4078</v>
      </c>
      <c r="N1346" s="17" t="s">
        <v>81</v>
      </c>
      <c r="O1346" t="s">
        <v>489</v>
      </c>
      <c r="U1346" s="17"/>
      <c r="V1346" s="18" t="s">
        <v>4078</v>
      </c>
      <c r="W1346" t="s">
        <v>4079</v>
      </c>
      <c r="Y1346" s="17" t="s">
        <v>1084</v>
      </c>
      <c r="AA1346" t="s">
        <v>3146</v>
      </c>
      <c r="AB1346" t="s">
        <v>119</v>
      </c>
    </row>
    <row r="1347" ht="15" customHeight="1" spans="1:23" x14ac:dyDescent="0.25">
      <c r="A1347" s="17" t="s">
        <v>4080</v>
      </c>
      <c r="B1347" s="17" t="s">
        <v>70</v>
      </c>
      <c r="C1347" s="17" t="s">
        <v>71</v>
      </c>
      <c r="D1347" t="s">
        <v>4081</v>
      </c>
      <c r="F1347" t="s">
        <v>4082</v>
      </c>
      <c r="K1347" s="18">
        <f>6281210268989</f>
        <v>6281210268989</v>
      </c>
      <c r="N1347" s="17" t="s">
        <v>81</v>
      </c>
      <c r="U1347" s="17"/>
      <c r="V1347" s="18">
        <f>6281210268989</f>
        <v>6281210268989</v>
      </c>
      <c r="W1347" t="s">
        <v>4083</v>
      </c>
    </row>
    <row r="1348" ht="15" customHeight="1" spans="1:28" x14ac:dyDescent="0.25">
      <c r="A1348" s="17" t="s">
        <v>4084</v>
      </c>
      <c r="B1348" s="17" t="s">
        <v>70</v>
      </c>
      <c r="C1348" s="17" t="s">
        <v>71</v>
      </c>
      <c r="D1348" t="s">
        <v>4081</v>
      </c>
      <c r="F1348" t="s">
        <v>4069</v>
      </c>
      <c r="J1348" t="s">
        <v>115</v>
      </c>
      <c r="K1348" s="18" t="s">
        <v>4085</v>
      </c>
      <c r="N1348" s="17" t="s">
        <v>77</v>
      </c>
      <c r="O1348" t="s">
        <v>117</v>
      </c>
      <c r="V1348" s="18" t="s">
        <v>4085</v>
      </c>
      <c r="Y1348" t="s">
        <v>90</v>
      </c>
      <c r="AA1348" t="s">
        <v>118</v>
      </c>
      <c r="AB1348" t="s">
        <v>119</v>
      </c>
    </row>
    <row r="1349" ht="15" customHeight="1" spans="1:22" x14ac:dyDescent="0.25">
      <c r="A1349" s="17" t="s">
        <v>4086</v>
      </c>
      <c r="B1349" s="17" t="s">
        <v>70</v>
      </c>
      <c r="C1349" s="17" t="s">
        <v>71</v>
      </c>
      <c r="D1349" t="s">
        <v>4087</v>
      </c>
      <c r="F1349" t="s">
        <v>4087</v>
      </c>
      <c r="K1349" s="18">
        <f>6282114804888</f>
        <v>6282114804888</v>
      </c>
      <c r="N1349" s="17" t="s">
        <v>81</v>
      </c>
      <c r="V1349" s="18">
        <f>6282114804888</f>
        <v>6282114804888</v>
      </c>
    </row>
    <row r="1350" ht="15" customHeight="1" spans="1:28" x14ac:dyDescent="0.25">
      <c r="A1350" s="17" t="s">
        <v>4088</v>
      </c>
      <c r="B1350" s="17" t="s">
        <v>70</v>
      </c>
      <c r="C1350" s="17" t="s">
        <v>71</v>
      </c>
      <c r="D1350" t="s">
        <v>4089</v>
      </c>
      <c r="F1350" t="s">
        <v>4089</v>
      </c>
      <c r="J1350" s="17" t="s">
        <v>4090</v>
      </c>
      <c r="K1350" s="18" t="s">
        <v>4091</v>
      </c>
      <c r="N1350" s="17" t="s">
        <v>77</v>
      </c>
      <c r="O1350" t="s">
        <v>489</v>
      </c>
      <c r="U1350" s="17"/>
      <c r="V1350" s="18" t="s">
        <v>4091</v>
      </c>
      <c r="W1350" t="s">
        <v>4092</v>
      </c>
      <c r="Y1350" s="17" t="s">
        <v>4093</v>
      </c>
      <c r="AA1350" s="17" t="s">
        <v>4094</v>
      </c>
      <c r="AB1350" t="s">
        <v>119</v>
      </c>
    </row>
    <row r="1351" ht="15" customHeight="1" spans="1:28" x14ac:dyDescent="0.25">
      <c r="A1351" s="17" t="s">
        <v>4095</v>
      </c>
      <c r="B1351" s="17" t="s">
        <v>70</v>
      </c>
      <c r="C1351" s="17" t="s">
        <v>71</v>
      </c>
      <c r="D1351" t="s">
        <v>4096</v>
      </c>
      <c r="F1351" t="s">
        <v>1517</v>
      </c>
      <c r="J1351" t="s">
        <v>115</v>
      </c>
      <c r="K1351" s="18" t="s">
        <v>4097</v>
      </c>
      <c r="N1351" s="17" t="s">
        <v>77</v>
      </c>
      <c r="O1351" t="s">
        <v>145</v>
      </c>
      <c r="V1351" s="18" t="s">
        <v>4097</v>
      </c>
      <c r="Y1351" t="s">
        <v>90</v>
      </c>
      <c r="AA1351" t="s">
        <v>118</v>
      </c>
      <c r="AB1351" t="s">
        <v>119</v>
      </c>
    </row>
    <row r="1352" ht="15" customHeight="1" spans="1:28" x14ac:dyDescent="0.25">
      <c r="A1352" s="17" t="s">
        <v>4098</v>
      </c>
      <c r="B1352" s="17" t="s">
        <v>70</v>
      </c>
      <c r="C1352" s="17" t="s">
        <v>71</v>
      </c>
      <c r="D1352" t="s">
        <v>4099</v>
      </c>
      <c r="F1352" t="s">
        <v>2412</v>
      </c>
      <c r="J1352" t="s">
        <v>4100</v>
      </c>
      <c r="K1352" s="18" t="s">
        <v>4101</v>
      </c>
      <c r="N1352" s="17" t="s">
        <v>74</v>
      </c>
      <c r="O1352" t="s">
        <v>145</v>
      </c>
      <c r="U1352" s="17"/>
      <c r="V1352" s="18" t="s">
        <v>4101</v>
      </c>
      <c r="W1352" t="s">
        <v>4102</v>
      </c>
      <c r="Y1352" s="17" t="s">
        <v>96</v>
      </c>
      <c r="AA1352" s="17" t="s">
        <v>693</v>
      </c>
      <c r="AB1352" t="s">
        <v>119</v>
      </c>
    </row>
    <row r="1353" ht="15" customHeight="1" spans="1:22" x14ac:dyDescent="0.25">
      <c r="A1353" s="17" t="s">
        <v>4103</v>
      </c>
      <c r="B1353" s="17" t="s">
        <v>70</v>
      </c>
      <c r="C1353" s="17" t="s">
        <v>71</v>
      </c>
      <c r="D1353" t="s">
        <v>4104</v>
      </c>
      <c r="F1353" t="s">
        <v>4104</v>
      </c>
      <c r="K1353" s="18">
        <f>6281399011995</f>
        <v>6281399011995</v>
      </c>
      <c r="N1353" s="17" t="s">
        <v>81</v>
      </c>
      <c r="V1353" s="18">
        <f>6281399011995</f>
        <v>6281399011995</v>
      </c>
    </row>
    <row r="1354" ht="15" customHeight="1" spans="1:22" x14ac:dyDescent="0.25">
      <c r="A1354" s="17" t="s">
        <v>4105</v>
      </c>
      <c r="B1354" s="17" t="s">
        <v>70</v>
      </c>
      <c r="C1354" s="17" t="s">
        <v>71</v>
      </c>
      <c r="D1354" t="s">
        <v>4106</v>
      </c>
      <c r="F1354" t="s">
        <v>4107</v>
      </c>
      <c r="K1354" s="18">
        <f>62811169600</f>
        <v>62811169600</v>
      </c>
      <c r="N1354" s="17" t="s">
        <v>74</v>
      </c>
      <c r="V1354" s="18">
        <f>62811169600</f>
        <v>62811169600</v>
      </c>
    </row>
    <row r="1355" ht="15" customHeight="1" spans="1:22" x14ac:dyDescent="0.25">
      <c r="A1355" s="17" t="s">
        <v>4108</v>
      </c>
      <c r="B1355" s="17" t="s">
        <v>70</v>
      </c>
      <c r="C1355" s="17" t="s">
        <v>71</v>
      </c>
      <c r="D1355" t="s">
        <v>4109</v>
      </c>
      <c r="F1355" t="s">
        <v>4110</v>
      </c>
      <c r="K1355" s="18">
        <f>6281323001988</f>
        <v>6281323001988</v>
      </c>
      <c r="N1355" s="17" t="s">
        <v>81</v>
      </c>
      <c r="V1355" s="18">
        <f>6281323001988</f>
        <v>6281323001988</v>
      </c>
    </row>
    <row r="1356" ht="15" customHeight="1" spans="1:22" x14ac:dyDescent="0.25">
      <c r="A1356" s="17" t="s">
        <v>4111</v>
      </c>
      <c r="B1356" s="17" t="s">
        <v>70</v>
      </c>
      <c r="C1356" s="17" t="s">
        <v>71</v>
      </c>
      <c r="D1356" t="s">
        <v>4112</v>
      </c>
      <c r="F1356" t="s">
        <v>4113</v>
      </c>
      <c r="K1356" s="18">
        <f>628176695629</f>
        <v>628176695629</v>
      </c>
      <c r="N1356" s="17" t="s">
        <v>74</v>
      </c>
      <c r="V1356" s="18">
        <f>628176695629</f>
        <v>628176695629</v>
      </c>
    </row>
    <row r="1357" ht="15" customHeight="1" spans="1:22" x14ac:dyDescent="0.25">
      <c r="A1357" s="17" t="s">
        <v>4114</v>
      </c>
      <c r="B1357" s="17" t="s">
        <v>70</v>
      </c>
      <c r="C1357" s="17" t="s">
        <v>71</v>
      </c>
      <c r="D1357" t="s">
        <v>4115</v>
      </c>
      <c r="F1357" t="s">
        <v>4116</v>
      </c>
      <c r="K1357" s="18">
        <f>6281908297666</f>
        <v>6281908297666</v>
      </c>
      <c r="N1357" s="17" t="s">
        <v>81</v>
      </c>
      <c r="V1357" s="18">
        <f>6281908297666</f>
        <v>6281908297666</v>
      </c>
    </row>
    <row r="1358" ht="15" customHeight="1" spans="1:28" x14ac:dyDescent="0.25">
      <c r="A1358" s="17" t="s">
        <v>4117</v>
      </c>
      <c r="B1358" s="17" t="s">
        <v>70</v>
      </c>
      <c r="C1358" s="17" t="s">
        <v>71</v>
      </c>
      <c r="D1358" t="s">
        <v>4118</v>
      </c>
      <c r="F1358" t="s">
        <v>4118</v>
      </c>
      <c r="J1358" t="s">
        <v>115</v>
      </c>
      <c r="K1358" s="18" t="s">
        <v>4119</v>
      </c>
      <c r="N1358" s="17" t="s">
        <v>81</v>
      </c>
      <c r="O1358" t="s">
        <v>117</v>
      </c>
      <c r="V1358" s="18" t="s">
        <v>4119</v>
      </c>
      <c r="Y1358" t="s">
        <v>190</v>
      </c>
      <c r="AA1358" t="s">
        <v>118</v>
      </c>
      <c r="AB1358" t="s">
        <v>119</v>
      </c>
    </row>
    <row r="1359" ht="15" customHeight="1" spans="1:28" x14ac:dyDescent="0.25">
      <c r="A1359" s="17" t="s">
        <v>4120</v>
      </c>
      <c r="B1359" s="17" t="s">
        <v>70</v>
      </c>
      <c r="C1359" s="17" t="s">
        <v>71</v>
      </c>
      <c r="D1359" t="s">
        <v>4121</v>
      </c>
      <c r="F1359" t="s">
        <v>4122</v>
      </c>
      <c r="J1359" t="s">
        <v>115</v>
      </c>
      <c r="K1359" s="18" t="s">
        <v>4123</v>
      </c>
      <c r="N1359" s="17" t="s">
        <v>74</v>
      </c>
      <c r="O1359" t="s">
        <v>261</v>
      </c>
      <c r="V1359" s="18" t="s">
        <v>4123</v>
      </c>
      <c r="Y1359" t="s">
        <v>115</v>
      </c>
      <c r="AA1359" t="s">
        <v>115</v>
      </c>
      <c r="AB1359" t="s">
        <v>119</v>
      </c>
    </row>
    <row r="1360" ht="15" customHeight="1" spans="1:22" x14ac:dyDescent="0.25">
      <c r="A1360" s="17" t="s">
        <v>4124</v>
      </c>
      <c r="B1360" s="17" t="s">
        <v>70</v>
      </c>
      <c r="C1360" s="17" t="s">
        <v>71</v>
      </c>
      <c r="D1360" t="s">
        <v>4125</v>
      </c>
      <c r="F1360" t="s">
        <v>4126</v>
      </c>
      <c r="K1360" s="18">
        <f>6281285322428</f>
        <v>6281285322428</v>
      </c>
      <c r="N1360" s="17" t="s">
        <v>81</v>
      </c>
      <c r="V1360" s="18">
        <f>6281285322428</f>
        <v>6281285322428</v>
      </c>
    </row>
    <row r="1361" ht="15" customHeight="1" spans="1:22" x14ac:dyDescent="0.25">
      <c r="A1361" s="17" t="s">
        <v>4127</v>
      </c>
      <c r="B1361" s="17" t="s">
        <v>70</v>
      </c>
      <c r="C1361" s="17" t="s">
        <v>71</v>
      </c>
      <c r="D1361" t="s">
        <v>4128</v>
      </c>
      <c r="F1361" t="s">
        <v>4129</v>
      </c>
      <c r="K1361" s="18">
        <f>6281287442886</f>
        <v>6281287442886</v>
      </c>
      <c r="N1361" s="17" t="s">
        <v>77</v>
      </c>
      <c r="V1361" s="18">
        <f>6281287442886</f>
        <v>6281287442886</v>
      </c>
    </row>
    <row r="1362" ht="15" customHeight="1" spans="1:27" x14ac:dyDescent="0.25">
      <c r="A1362" s="17" t="s">
        <v>4130</v>
      </c>
      <c r="B1362" s="17" t="s">
        <v>70</v>
      </c>
      <c r="C1362" s="17" t="s">
        <v>71</v>
      </c>
      <c r="D1362" t="s">
        <v>4131</v>
      </c>
      <c r="F1362" t="s">
        <v>4132</v>
      </c>
      <c r="J1362" s="17" t="s">
        <v>4133</v>
      </c>
      <c r="K1362" s="18">
        <f>62218617277</f>
        <v>62218617277</v>
      </c>
      <c r="N1362" s="17" t="s">
        <v>77</v>
      </c>
      <c r="U1362" s="17"/>
      <c r="V1362" s="18">
        <f>62218617277</f>
        <v>62218617277</v>
      </c>
      <c r="W1362" t="s">
        <v>4134</v>
      </c>
      <c r="Y1362" s="17" t="s">
        <v>515</v>
      </c>
      <c r="AA1362" s="17">
        <v>13430</v>
      </c>
    </row>
    <row r="1363" ht="15" customHeight="1" spans="1:22" x14ac:dyDescent="0.25">
      <c r="A1363" s="17" t="s">
        <v>4135</v>
      </c>
      <c r="B1363" s="17" t="s">
        <v>70</v>
      </c>
      <c r="C1363" s="17" t="s">
        <v>71</v>
      </c>
      <c r="D1363" t="s">
        <v>4136</v>
      </c>
      <c r="F1363" t="s">
        <v>4137</v>
      </c>
      <c r="K1363" s="18">
        <f>6285242009228</f>
        <v>6285242009228</v>
      </c>
      <c r="N1363" s="17" t="s">
        <v>77</v>
      </c>
      <c r="V1363" s="18">
        <f>6285242009228</f>
        <v>6285242009228</v>
      </c>
    </row>
    <row r="1364" ht="15" customHeight="1" spans="1:22" x14ac:dyDescent="0.25">
      <c r="A1364" s="17" t="s">
        <v>4138</v>
      </c>
      <c r="B1364" s="17" t="s">
        <v>70</v>
      </c>
      <c r="C1364" s="17" t="s">
        <v>71</v>
      </c>
      <c r="D1364" t="s">
        <v>4139</v>
      </c>
      <c r="F1364" t="s">
        <v>4139</v>
      </c>
      <c r="K1364" s="18">
        <f>628129481810</f>
        <v>628129481810</v>
      </c>
      <c r="N1364" s="17" t="s">
        <v>81</v>
      </c>
      <c r="V1364" s="18">
        <f>628129481810</f>
        <v>628129481810</v>
      </c>
    </row>
    <row r="1365" ht="15" customHeight="1" spans="1:28" x14ac:dyDescent="0.25">
      <c r="A1365" s="17" t="s">
        <v>4140</v>
      </c>
      <c r="B1365" s="17" t="s">
        <v>70</v>
      </c>
      <c r="C1365" s="17" t="s">
        <v>71</v>
      </c>
      <c r="D1365" t="s">
        <v>4139</v>
      </c>
      <c r="F1365" t="s">
        <v>4141</v>
      </c>
      <c r="J1365" t="s">
        <v>4142</v>
      </c>
      <c r="K1365" s="18" t="s">
        <v>4143</v>
      </c>
      <c r="N1365" s="17" t="s">
        <v>77</v>
      </c>
      <c r="O1365" t="s">
        <v>261</v>
      </c>
      <c r="U1365" s="17"/>
      <c r="V1365" s="18" t="s">
        <v>4143</v>
      </c>
      <c r="W1365" t="s">
        <v>4144</v>
      </c>
      <c r="Y1365" s="17" t="s">
        <v>90</v>
      </c>
      <c r="AA1365" s="17" t="s">
        <v>118</v>
      </c>
      <c r="AB1365" t="s">
        <v>119</v>
      </c>
    </row>
    <row r="1366" ht="15" customHeight="1" spans="1:28" x14ac:dyDescent="0.25">
      <c r="A1366" s="17" t="s">
        <v>4145</v>
      </c>
      <c r="B1366" s="17" t="s">
        <v>70</v>
      </c>
      <c r="C1366" s="17" t="s">
        <v>71</v>
      </c>
      <c r="D1366" t="s">
        <v>826</v>
      </c>
      <c r="F1366" t="s">
        <v>225</v>
      </c>
      <c r="J1366" t="s">
        <v>115</v>
      </c>
      <c r="K1366" s="18" t="s">
        <v>4146</v>
      </c>
      <c r="N1366" s="17" t="s">
        <v>81</v>
      </c>
      <c r="O1366" t="s">
        <v>117</v>
      </c>
      <c r="V1366" s="18" t="s">
        <v>4146</v>
      </c>
      <c r="Y1366" t="s">
        <v>90</v>
      </c>
      <c r="AA1366" t="s">
        <v>118</v>
      </c>
      <c r="AB1366" t="s">
        <v>119</v>
      </c>
    </row>
    <row r="1367" ht="15" customHeight="1" spans="1:22" x14ac:dyDescent="0.25">
      <c r="A1367" s="17" t="s">
        <v>4147</v>
      </c>
      <c r="B1367" s="17" t="s">
        <v>70</v>
      </c>
      <c r="C1367" s="17" t="s">
        <v>71</v>
      </c>
      <c r="D1367" t="s">
        <v>4148</v>
      </c>
      <c r="F1367" t="s">
        <v>4149</v>
      </c>
      <c r="K1367" s="18">
        <f>62811996499</f>
        <v>62811996499</v>
      </c>
      <c r="N1367" s="17" t="s">
        <v>77</v>
      </c>
      <c r="V1367" s="18">
        <f>62811996499</f>
        <v>62811996499</v>
      </c>
    </row>
    <row r="1368" ht="15" customHeight="1" spans="1:28" x14ac:dyDescent="0.25">
      <c r="A1368" s="17" t="s">
        <v>4150</v>
      </c>
      <c r="B1368" s="17" t="s">
        <v>70</v>
      </c>
      <c r="C1368" s="17" t="s">
        <v>71</v>
      </c>
      <c r="D1368" t="s">
        <v>4151</v>
      </c>
      <c r="F1368" t="s">
        <v>4152</v>
      </c>
      <c r="J1368" t="s">
        <v>115</v>
      </c>
      <c r="K1368" s="18" t="s">
        <v>4153</v>
      </c>
      <c r="N1368" s="17" t="s">
        <v>74</v>
      </c>
      <c r="O1368" t="s">
        <v>117</v>
      </c>
      <c r="V1368" s="18" t="s">
        <v>4153</v>
      </c>
      <c r="Y1368" t="s">
        <v>190</v>
      </c>
      <c r="AA1368" t="s">
        <v>118</v>
      </c>
      <c r="AB1368" t="s">
        <v>119</v>
      </c>
    </row>
    <row r="1369" ht="15" customHeight="1" spans="1:22" x14ac:dyDescent="0.25">
      <c r="A1369" s="17" t="s">
        <v>4154</v>
      </c>
      <c r="B1369" s="17" t="s">
        <v>70</v>
      </c>
      <c r="C1369" s="17" t="s">
        <v>71</v>
      </c>
      <c r="D1369" t="s">
        <v>4155</v>
      </c>
      <c r="F1369" t="s">
        <v>4156</v>
      </c>
      <c r="K1369" s="18">
        <f>6281511373373</f>
        <v>6281511373373</v>
      </c>
      <c r="N1369" s="17" t="s">
        <v>77</v>
      </c>
      <c r="V1369" s="18">
        <f>6281511373373</f>
        <v>6281511373373</v>
      </c>
    </row>
    <row r="1370" ht="15" customHeight="1" spans="1:22" x14ac:dyDescent="0.25">
      <c r="A1370" s="17" t="s">
        <v>4157</v>
      </c>
      <c r="B1370" s="17" t="s">
        <v>70</v>
      </c>
      <c r="C1370" s="17" t="s">
        <v>71</v>
      </c>
      <c r="D1370" t="s">
        <v>4158</v>
      </c>
      <c r="F1370" t="s">
        <v>4159</v>
      </c>
      <c r="K1370" s="18">
        <f>6281188809192</f>
        <v>6281188809192</v>
      </c>
      <c r="N1370" s="17" t="s">
        <v>77</v>
      </c>
      <c r="V1370" s="18">
        <f>6281188809192</f>
        <v>6281188809192</v>
      </c>
    </row>
    <row r="1371" ht="15" customHeight="1" spans="1:22" x14ac:dyDescent="0.25">
      <c r="A1371" s="17" t="s">
        <v>4160</v>
      </c>
      <c r="B1371" s="17" t="s">
        <v>70</v>
      </c>
      <c r="C1371" s="17" t="s">
        <v>71</v>
      </c>
      <c r="D1371" t="s">
        <v>4161</v>
      </c>
      <c r="F1371" t="s">
        <v>4161</v>
      </c>
      <c r="K1371" s="18">
        <f>6281380806</f>
        <v>6281380806</v>
      </c>
      <c r="N1371" s="17" t="s">
        <v>74</v>
      </c>
      <c r="V1371" s="18">
        <f>6281380806</f>
        <v>6281380806</v>
      </c>
    </row>
    <row r="1372" ht="15" customHeight="1" spans="1:22" x14ac:dyDescent="0.25">
      <c r="A1372" s="17" t="s">
        <v>4162</v>
      </c>
      <c r="B1372" s="17" t="s">
        <v>70</v>
      </c>
      <c r="C1372" s="17" t="s">
        <v>71</v>
      </c>
      <c r="D1372" t="s">
        <v>4161</v>
      </c>
      <c r="F1372" t="s">
        <v>1823</v>
      </c>
      <c r="K1372" s="18">
        <f>6281310321717</f>
        <v>6281310321717</v>
      </c>
      <c r="N1372" s="17" t="s">
        <v>81</v>
      </c>
      <c r="V1372" s="18">
        <f>6281310321717</f>
        <v>6281310321717</v>
      </c>
    </row>
    <row r="1373" ht="15" customHeight="1" spans="1:22" x14ac:dyDescent="0.25">
      <c r="A1373" s="17" t="s">
        <v>4163</v>
      </c>
      <c r="B1373" s="17" t="s">
        <v>70</v>
      </c>
      <c r="C1373" s="17" t="s">
        <v>71</v>
      </c>
      <c r="D1373" t="s">
        <v>4161</v>
      </c>
      <c r="F1373" t="s">
        <v>3585</v>
      </c>
      <c r="K1373" s="18">
        <f>628568880102</f>
        <v>628568880102</v>
      </c>
      <c r="N1373" s="17" t="s">
        <v>77</v>
      </c>
      <c r="V1373" s="18">
        <f>628568880102</f>
        <v>628568880102</v>
      </c>
    </row>
    <row r="1374" ht="15" customHeight="1" spans="1:22" x14ac:dyDescent="0.25">
      <c r="A1374" s="17" t="s">
        <v>4164</v>
      </c>
      <c r="B1374" s="17" t="s">
        <v>70</v>
      </c>
      <c r="C1374" s="17" t="s">
        <v>71</v>
      </c>
      <c r="D1374" t="s">
        <v>1055</v>
      </c>
      <c r="F1374" t="s">
        <v>1517</v>
      </c>
      <c r="K1374" s="18">
        <f>628179908989</f>
        <v>628179908989</v>
      </c>
      <c r="N1374" s="17" t="s">
        <v>81</v>
      </c>
      <c r="V1374" s="18">
        <f>628179908989</f>
        <v>628179908989</v>
      </c>
    </row>
    <row r="1375" ht="15" customHeight="1" spans="1:28" x14ac:dyDescent="0.25">
      <c r="A1375" s="17" t="s">
        <v>4165</v>
      </c>
      <c r="B1375" s="17" t="s">
        <v>70</v>
      </c>
      <c r="C1375" s="17" t="s">
        <v>71</v>
      </c>
      <c r="D1375" t="s">
        <v>4166</v>
      </c>
      <c r="F1375" t="s">
        <v>4167</v>
      </c>
      <c r="J1375" t="s">
        <v>115</v>
      </c>
      <c r="K1375" s="18" t="s">
        <v>4168</v>
      </c>
      <c r="N1375" s="17" t="s">
        <v>77</v>
      </c>
      <c r="O1375" t="s">
        <v>117</v>
      </c>
      <c r="U1375" s="17"/>
      <c r="V1375" s="18" t="s">
        <v>4168</v>
      </c>
      <c r="W1375" t="s">
        <v>4169</v>
      </c>
      <c r="Y1375" t="s">
        <v>90</v>
      </c>
      <c r="AA1375" t="s">
        <v>118</v>
      </c>
      <c r="AB1375" t="s">
        <v>119</v>
      </c>
    </row>
    <row r="1376" ht="15" customHeight="1" spans="1:25" x14ac:dyDescent="0.25">
      <c r="A1376" s="17" t="s">
        <v>4170</v>
      </c>
      <c r="B1376" s="17" t="s">
        <v>70</v>
      </c>
      <c r="C1376" s="17" t="s">
        <v>71</v>
      </c>
      <c r="D1376" t="s">
        <v>4171</v>
      </c>
      <c r="F1376" t="s">
        <v>4172</v>
      </c>
      <c r="K1376" s="18">
        <f>628151811711</f>
        <v>628151811711</v>
      </c>
      <c r="N1376" s="17" t="s">
        <v>77</v>
      </c>
      <c r="U1376" s="17"/>
      <c r="V1376" s="18">
        <f>628151811711</f>
        <v>628151811711</v>
      </c>
      <c r="W1376" t="s">
        <v>4173</v>
      </c>
      <c r="Y1376" s="17" t="s">
        <v>4174</v>
      </c>
    </row>
    <row r="1377" ht="15" customHeight="1" spans="1:23" x14ac:dyDescent="0.25">
      <c r="A1377" s="17" t="s">
        <v>4175</v>
      </c>
      <c r="B1377" s="17" t="s">
        <v>70</v>
      </c>
      <c r="C1377" s="17" t="s">
        <v>71</v>
      </c>
      <c r="D1377" t="s">
        <v>4176</v>
      </c>
      <c r="F1377" t="s">
        <v>618</v>
      </c>
      <c r="K1377" s="18">
        <f>6282113332007</f>
        <v>6282113332007</v>
      </c>
      <c r="N1377" s="17" t="s">
        <v>81</v>
      </c>
      <c r="U1377" s="17"/>
      <c r="V1377" s="18">
        <f>6282113332007</f>
        <v>6282113332007</v>
      </c>
      <c r="W1377" t="s">
        <v>4177</v>
      </c>
    </row>
    <row r="1378" ht="15" customHeight="1" spans="1:22" x14ac:dyDescent="0.25">
      <c r="A1378" s="17" t="s">
        <v>4178</v>
      </c>
      <c r="B1378" s="17" t="s">
        <v>70</v>
      </c>
      <c r="C1378" s="17" t="s">
        <v>71</v>
      </c>
      <c r="D1378" t="s">
        <v>4179</v>
      </c>
      <c r="F1378" t="s">
        <v>4180</v>
      </c>
      <c r="K1378" s="18">
        <f>62817170002</f>
        <v>62817170002</v>
      </c>
      <c r="N1378" s="17" t="s">
        <v>77</v>
      </c>
      <c r="V1378" s="18">
        <f>62817170002</f>
        <v>62817170002</v>
      </c>
    </row>
    <row r="1379" ht="15" customHeight="1" spans="1:22" x14ac:dyDescent="0.25">
      <c r="A1379" s="17" t="s">
        <v>4181</v>
      </c>
      <c r="B1379" s="17" t="s">
        <v>70</v>
      </c>
      <c r="C1379" s="17" t="s">
        <v>71</v>
      </c>
      <c r="D1379" t="s">
        <v>4182</v>
      </c>
      <c r="F1379" t="s">
        <v>4182</v>
      </c>
      <c r="K1379" s="18">
        <f>6285814069190</f>
        <v>6285814069190</v>
      </c>
      <c r="N1379" s="17" t="s">
        <v>74</v>
      </c>
      <c r="V1379" s="18">
        <f>6285814069190</f>
        <v>6285814069190</v>
      </c>
    </row>
    <row r="1380" ht="15" customHeight="1" spans="1:28" x14ac:dyDescent="0.25">
      <c r="A1380" s="17" t="s">
        <v>4183</v>
      </c>
      <c r="B1380" s="17" t="s">
        <v>70</v>
      </c>
      <c r="C1380" s="17" t="s">
        <v>71</v>
      </c>
      <c r="D1380" t="s">
        <v>4184</v>
      </c>
      <c r="F1380" t="s">
        <v>4185</v>
      </c>
      <c r="J1380" s="17" t="s">
        <v>4186</v>
      </c>
      <c r="K1380" s="18" t="s">
        <v>4187</v>
      </c>
      <c r="N1380" s="17" t="s">
        <v>81</v>
      </c>
      <c r="O1380" t="s">
        <v>489</v>
      </c>
      <c r="U1380" s="17"/>
      <c r="V1380" s="18" t="s">
        <v>4187</v>
      </c>
      <c r="W1380" t="s">
        <v>4188</v>
      </c>
      <c r="Y1380" t="s">
        <v>90</v>
      </c>
      <c r="AA1380" s="17" t="s">
        <v>118</v>
      </c>
      <c r="AB1380" t="s">
        <v>119</v>
      </c>
    </row>
    <row r="1381" ht="15" customHeight="1" spans="1:22" x14ac:dyDescent="0.25">
      <c r="A1381" s="17" t="s">
        <v>4189</v>
      </c>
      <c r="B1381" s="17" t="s">
        <v>70</v>
      </c>
      <c r="C1381" s="17" t="s">
        <v>71</v>
      </c>
      <c r="D1381" t="s">
        <v>4190</v>
      </c>
      <c r="F1381" t="s">
        <v>4191</v>
      </c>
      <c r="K1381" s="18">
        <f>6281290098257</f>
        <v>6281290098257</v>
      </c>
      <c r="N1381" s="17" t="s">
        <v>77</v>
      </c>
      <c r="V1381" s="18">
        <f>6281290098257</f>
        <v>6281290098257</v>
      </c>
    </row>
    <row r="1382" ht="15" customHeight="1" spans="1:22" x14ac:dyDescent="0.25">
      <c r="A1382" s="17" t="s">
        <v>4192</v>
      </c>
      <c r="B1382" s="17" t="s">
        <v>70</v>
      </c>
      <c r="C1382" s="17" t="s">
        <v>71</v>
      </c>
      <c r="D1382" t="s">
        <v>4193</v>
      </c>
      <c r="F1382" t="s">
        <v>4194</v>
      </c>
      <c r="K1382" s="18">
        <f>6281310012363</f>
        <v>6281310012363</v>
      </c>
      <c r="N1382" s="17" t="s">
        <v>81</v>
      </c>
      <c r="V1382" s="18">
        <f>6281310012363</f>
        <v>6281310012363</v>
      </c>
    </row>
    <row r="1383" ht="15" customHeight="1" spans="1:22" x14ac:dyDescent="0.25">
      <c r="A1383" s="17" t="s">
        <v>4195</v>
      </c>
      <c r="B1383" s="17" t="s">
        <v>70</v>
      </c>
      <c r="C1383" s="17" t="s">
        <v>71</v>
      </c>
      <c r="D1383" t="s">
        <v>4196</v>
      </c>
      <c r="F1383" t="s">
        <v>4197</v>
      </c>
      <c r="K1383" s="18">
        <f>62818222003</f>
        <v>62818222003</v>
      </c>
      <c r="N1383" s="17" t="s">
        <v>81</v>
      </c>
      <c r="V1383" s="18">
        <f>62818222003</f>
        <v>62818222003</v>
      </c>
    </row>
    <row r="1384" ht="15" customHeight="1" spans="1:22" x14ac:dyDescent="0.25">
      <c r="A1384" s="17" t="s">
        <v>4198</v>
      </c>
      <c r="B1384" s="17" t="s">
        <v>70</v>
      </c>
      <c r="C1384" s="17" t="s">
        <v>71</v>
      </c>
      <c r="D1384" t="s">
        <v>4199</v>
      </c>
      <c r="F1384" t="s">
        <v>4199</v>
      </c>
      <c r="K1384" s="18">
        <f>6287889435999</f>
        <v>6287889435999</v>
      </c>
      <c r="N1384" s="17" t="s">
        <v>77</v>
      </c>
      <c r="V1384" s="18">
        <f>6287889435999</f>
        <v>6287889435999</v>
      </c>
    </row>
    <row r="1385" ht="15" customHeight="1" spans="1:28" x14ac:dyDescent="0.25">
      <c r="A1385" s="17" t="s">
        <v>4200</v>
      </c>
      <c r="B1385" s="17" t="s">
        <v>70</v>
      </c>
      <c r="C1385" s="17" t="s">
        <v>71</v>
      </c>
      <c r="D1385" t="s">
        <v>4201</v>
      </c>
      <c r="F1385" t="s">
        <v>2641</v>
      </c>
      <c r="J1385" s="17" t="s">
        <v>4202</v>
      </c>
      <c r="K1385" s="18" t="s">
        <v>4203</v>
      </c>
      <c r="N1385" s="17" t="s">
        <v>77</v>
      </c>
      <c r="O1385" t="s">
        <v>145</v>
      </c>
      <c r="U1385" s="17"/>
      <c r="V1385" s="18" t="s">
        <v>4203</v>
      </c>
      <c r="W1385" t="s">
        <v>90</v>
      </c>
      <c r="Y1385" t="s">
        <v>190</v>
      </c>
      <c r="AA1385" t="s">
        <v>118</v>
      </c>
      <c r="AB1385" t="s">
        <v>119</v>
      </c>
    </row>
    <row r="1386" ht="15" customHeight="1" spans="1:25" x14ac:dyDescent="0.25">
      <c r="A1386" s="17" t="s">
        <v>4204</v>
      </c>
      <c r="B1386" s="17" t="s">
        <v>70</v>
      </c>
      <c r="C1386" s="17" t="s">
        <v>71</v>
      </c>
      <c r="D1386" t="s">
        <v>4201</v>
      </c>
      <c r="F1386" t="s">
        <v>4205</v>
      </c>
      <c r="J1386" s="17" t="s">
        <v>4206</v>
      </c>
      <c r="K1386" s="18">
        <f>628122029084</f>
        <v>628122029084</v>
      </c>
      <c r="N1386" s="17" t="s">
        <v>81</v>
      </c>
      <c r="U1386" s="17"/>
      <c r="V1386" s="18">
        <f>628122029084</f>
        <v>628122029084</v>
      </c>
      <c r="W1386" t="s">
        <v>4207</v>
      </c>
      <c r="Y1386" s="17" t="s">
        <v>90</v>
      </c>
    </row>
    <row r="1387" ht="15" customHeight="1" spans="1:27" x14ac:dyDescent="0.25">
      <c r="A1387" s="17" t="s">
        <v>4208</v>
      </c>
      <c r="B1387" s="17" t="s">
        <v>70</v>
      </c>
      <c r="C1387" s="17" t="s">
        <v>71</v>
      </c>
      <c r="D1387" t="s">
        <v>4201</v>
      </c>
      <c r="F1387" t="s">
        <v>4209</v>
      </c>
      <c r="K1387" s="18">
        <f>62811875772</f>
        <v>62811875772</v>
      </c>
      <c r="N1387" s="17" t="s">
        <v>77</v>
      </c>
      <c r="U1387" s="17"/>
      <c r="V1387" s="18">
        <f>62811875772</f>
        <v>62811875772</v>
      </c>
      <c r="W1387" t="s">
        <v>4210</v>
      </c>
      <c r="Y1387" s="17" t="s">
        <v>96</v>
      </c>
      <c r="AA1387" s="17" t="s">
        <v>133</v>
      </c>
    </row>
    <row r="1388" ht="15" customHeight="1" spans="1:28" x14ac:dyDescent="0.25">
      <c r="A1388" s="17" t="s">
        <v>4211</v>
      </c>
      <c r="B1388" s="17" t="s">
        <v>70</v>
      </c>
      <c r="C1388" s="17" t="s">
        <v>71</v>
      </c>
      <c r="D1388" t="s">
        <v>4212</v>
      </c>
      <c r="F1388" t="s">
        <v>4213</v>
      </c>
      <c r="J1388" t="s">
        <v>115</v>
      </c>
      <c r="K1388" s="18" t="s">
        <v>4214</v>
      </c>
      <c r="N1388" s="17" t="s">
        <v>77</v>
      </c>
      <c r="O1388" t="s">
        <v>199</v>
      </c>
      <c r="V1388" s="18" t="s">
        <v>4214</v>
      </c>
      <c r="Y1388" t="s">
        <v>190</v>
      </c>
      <c r="AA1388" t="s">
        <v>118</v>
      </c>
      <c r="AB1388" t="s">
        <v>119</v>
      </c>
    </row>
    <row r="1389" ht="15" customHeight="1" spans="1:22" x14ac:dyDescent="0.25">
      <c r="A1389" s="17" t="s">
        <v>4215</v>
      </c>
      <c r="B1389" s="17" t="s">
        <v>70</v>
      </c>
      <c r="C1389" s="17" t="s">
        <v>71</v>
      </c>
      <c r="D1389" t="s">
        <v>4201</v>
      </c>
      <c r="F1389" t="s">
        <v>4216</v>
      </c>
      <c r="K1389" s="18">
        <f>628111775518</f>
        <v>628111775518</v>
      </c>
      <c r="N1389" s="17" t="s">
        <v>74</v>
      </c>
      <c r="V1389" s="18">
        <f>628111775518</f>
        <v>628111775518</v>
      </c>
    </row>
    <row r="1390" ht="15" customHeight="1" spans="1:28" x14ac:dyDescent="0.25">
      <c r="A1390" s="17" t="s">
        <v>4217</v>
      </c>
      <c r="B1390" s="17" t="s">
        <v>70</v>
      </c>
      <c r="C1390" s="17" t="s">
        <v>71</v>
      </c>
      <c r="D1390" t="s">
        <v>4201</v>
      </c>
      <c r="F1390" t="s">
        <v>1064</v>
      </c>
      <c r="J1390" t="s">
        <v>115</v>
      </c>
      <c r="K1390" s="18" t="s">
        <v>4218</v>
      </c>
      <c r="N1390" s="17" t="s">
        <v>81</v>
      </c>
      <c r="O1390" t="s">
        <v>199</v>
      </c>
      <c r="U1390" s="17"/>
      <c r="V1390" s="18" t="s">
        <v>4218</v>
      </c>
      <c r="W1390" t="s">
        <v>4219</v>
      </c>
      <c r="Y1390" t="s">
        <v>190</v>
      </c>
      <c r="AA1390" t="s">
        <v>118</v>
      </c>
      <c r="AB1390" t="s">
        <v>119</v>
      </c>
    </row>
    <row r="1391" ht="15" customHeight="1" spans="1:28" x14ac:dyDescent="0.25">
      <c r="A1391" s="17" t="s">
        <v>4220</v>
      </c>
      <c r="B1391" s="17" t="s">
        <v>70</v>
      </c>
      <c r="C1391" s="17" t="s">
        <v>71</v>
      </c>
      <c r="D1391" t="s">
        <v>4201</v>
      </c>
      <c r="F1391" t="s">
        <v>4221</v>
      </c>
      <c r="J1391" t="s">
        <v>4222</v>
      </c>
      <c r="K1391" s="18" t="s">
        <v>4223</v>
      </c>
      <c r="N1391" s="17" t="s">
        <v>77</v>
      </c>
      <c r="O1391" t="s">
        <v>199</v>
      </c>
      <c r="V1391" s="18" t="s">
        <v>4223</v>
      </c>
      <c r="Y1391" t="s">
        <v>115</v>
      </c>
      <c r="AA1391" t="s">
        <v>115</v>
      </c>
      <c r="AB1391" t="s">
        <v>119</v>
      </c>
    </row>
    <row r="1392" ht="15" customHeight="1" spans="1:28" x14ac:dyDescent="0.25">
      <c r="A1392" s="17" t="s">
        <v>4224</v>
      </c>
      <c r="B1392" s="17" t="s">
        <v>70</v>
      </c>
      <c r="C1392" s="17" t="s">
        <v>71</v>
      </c>
      <c r="D1392" t="s">
        <v>4201</v>
      </c>
      <c r="F1392" t="s">
        <v>4225</v>
      </c>
      <c r="J1392" t="s">
        <v>115</v>
      </c>
      <c r="K1392" s="18" t="s">
        <v>4226</v>
      </c>
      <c r="N1392" s="17" t="s">
        <v>77</v>
      </c>
      <c r="O1392" t="s">
        <v>199</v>
      </c>
      <c r="V1392" s="18" t="s">
        <v>4226</v>
      </c>
      <c r="Y1392" t="s">
        <v>190</v>
      </c>
      <c r="AA1392" t="s">
        <v>118</v>
      </c>
      <c r="AB1392" t="s">
        <v>119</v>
      </c>
    </row>
    <row r="1393" ht="15" customHeight="1" spans="1:28" x14ac:dyDescent="0.25">
      <c r="A1393" s="17" t="s">
        <v>4227</v>
      </c>
      <c r="B1393" s="17" t="s">
        <v>70</v>
      </c>
      <c r="C1393" s="17" t="s">
        <v>71</v>
      </c>
      <c r="D1393" t="s">
        <v>4201</v>
      </c>
      <c r="F1393" t="s">
        <v>4228</v>
      </c>
      <c r="J1393" t="s">
        <v>115</v>
      </c>
      <c r="K1393" s="18" t="s">
        <v>4229</v>
      </c>
      <c r="N1393" s="17" t="s">
        <v>81</v>
      </c>
      <c r="O1393" t="s">
        <v>117</v>
      </c>
      <c r="V1393" s="18" t="s">
        <v>4229</v>
      </c>
      <c r="Y1393" t="s">
        <v>90</v>
      </c>
      <c r="AA1393" t="s">
        <v>118</v>
      </c>
      <c r="AB1393" t="s">
        <v>119</v>
      </c>
    </row>
    <row r="1394" ht="15" customHeight="1" spans="1:22" x14ac:dyDescent="0.25">
      <c r="A1394" s="17" t="s">
        <v>4230</v>
      </c>
      <c r="B1394" s="17" t="s">
        <v>70</v>
      </c>
      <c r="C1394" s="17" t="s">
        <v>71</v>
      </c>
      <c r="D1394" t="s">
        <v>4201</v>
      </c>
      <c r="F1394" t="s">
        <v>4231</v>
      </c>
      <c r="K1394" s="18">
        <f>628164814540</f>
        <v>628164814540</v>
      </c>
      <c r="N1394" s="17" t="s">
        <v>77</v>
      </c>
      <c r="V1394" s="18">
        <f>628164814540</f>
        <v>628164814540</v>
      </c>
    </row>
    <row r="1395" ht="15" customHeight="1" spans="1:22" x14ac:dyDescent="0.25">
      <c r="A1395" s="17" t="s">
        <v>4232</v>
      </c>
      <c r="B1395" s="17" t="s">
        <v>70</v>
      </c>
      <c r="C1395" s="17" t="s">
        <v>71</v>
      </c>
      <c r="D1395" t="s">
        <v>4201</v>
      </c>
      <c r="F1395" t="s">
        <v>4233</v>
      </c>
      <c r="K1395" s="18">
        <f>628161837067</f>
        <v>628161837067</v>
      </c>
      <c r="N1395" s="17" t="s">
        <v>77</v>
      </c>
      <c r="V1395" s="18">
        <f>628161837067</f>
        <v>628161837067</v>
      </c>
    </row>
    <row r="1396" ht="15" customHeight="1" spans="1:22" x14ac:dyDescent="0.25">
      <c r="A1396" s="17" t="s">
        <v>4234</v>
      </c>
      <c r="B1396" s="17" t="s">
        <v>70</v>
      </c>
      <c r="C1396" s="17" t="s">
        <v>71</v>
      </c>
      <c r="D1396" t="s">
        <v>4201</v>
      </c>
      <c r="F1396" t="s">
        <v>1730</v>
      </c>
      <c r="K1396" s="18">
        <f>6281399212168</f>
        <v>6281399212168</v>
      </c>
      <c r="N1396" s="17" t="s">
        <v>74</v>
      </c>
      <c r="V1396" s="18">
        <f>6281399212168</f>
        <v>6281399212168</v>
      </c>
    </row>
    <row r="1397" ht="15" customHeight="1" spans="1:28" x14ac:dyDescent="0.25">
      <c r="A1397" s="17" t="s">
        <v>4235</v>
      </c>
      <c r="B1397" s="17" t="s">
        <v>70</v>
      </c>
      <c r="C1397" s="17" t="s">
        <v>71</v>
      </c>
      <c r="D1397" t="s">
        <v>4201</v>
      </c>
      <c r="F1397" t="s">
        <v>4236</v>
      </c>
      <c r="J1397" t="s">
        <v>115</v>
      </c>
      <c r="K1397" s="18" t="s">
        <v>4237</v>
      </c>
      <c r="N1397" s="17" t="s">
        <v>77</v>
      </c>
      <c r="O1397" t="s">
        <v>199</v>
      </c>
      <c r="V1397" s="18" t="s">
        <v>4237</v>
      </c>
      <c r="Y1397" t="s">
        <v>115</v>
      </c>
      <c r="AA1397" t="s">
        <v>115</v>
      </c>
      <c r="AB1397" t="s">
        <v>119</v>
      </c>
    </row>
    <row r="1398" ht="15" customHeight="1" spans="1:22" x14ac:dyDescent="0.25">
      <c r="A1398" s="17" t="s">
        <v>4238</v>
      </c>
      <c r="B1398" s="17" t="s">
        <v>70</v>
      </c>
      <c r="C1398" s="17" t="s">
        <v>71</v>
      </c>
      <c r="D1398" t="s">
        <v>4201</v>
      </c>
      <c r="F1398" t="s">
        <v>2563</v>
      </c>
      <c r="K1398" s="18">
        <f>622129543175</f>
        <v>622129543175</v>
      </c>
      <c r="N1398" s="17" t="s">
        <v>81</v>
      </c>
      <c r="V1398" s="18">
        <f>622129543175</f>
        <v>622129543175</v>
      </c>
    </row>
    <row r="1399" ht="15" customHeight="1" spans="1:28" x14ac:dyDescent="0.25">
      <c r="A1399" s="17" t="s">
        <v>4239</v>
      </c>
      <c r="B1399" s="17" t="s">
        <v>70</v>
      </c>
      <c r="C1399" s="17" t="s">
        <v>71</v>
      </c>
      <c r="D1399" t="s">
        <v>4240</v>
      </c>
      <c r="F1399" t="s">
        <v>2412</v>
      </c>
      <c r="J1399" t="s">
        <v>115</v>
      </c>
      <c r="K1399" s="18" t="s">
        <v>4241</v>
      </c>
      <c r="N1399" s="17" t="s">
        <v>77</v>
      </c>
      <c r="O1399" t="s">
        <v>117</v>
      </c>
      <c r="V1399" s="18" t="s">
        <v>4241</v>
      </c>
      <c r="Y1399" t="s">
        <v>115</v>
      </c>
      <c r="AA1399" t="s">
        <v>115</v>
      </c>
      <c r="AB1399" t="s">
        <v>119</v>
      </c>
    </row>
    <row r="1400" ht="15" customHeight="1" spans="1:22" x14ac:dyDescent="0.25">
      <c r="A1400" s="17" t="s">
        <v>4242</v>
      </c>
      <c r="B1400" s="17" t="s">
        <v>70</v>
      </c>
      <c r="C1400" s="17" t="s">
        <v>71</v>
      </c>
      <c r="D1400" t="s">
        <v>4243</v>
      </c>
      <c r="F1400" t="s">
        <v>4244</v>
      </c>
      <c r="K1400" s="18">
        <f>6281808914343</f>
        <v>6281808914343</v>
      </c>
      <c r="N1400" s="17" t="s">
        <v>81</v>
      </c>
      <c r="V1400" s="18">
        <f>6281808914343</f>
        <v>6281808914343</v>
      </c>
    </row>
    <row r="1401" ht="15" customHeight="1" spans="1:22" x14ac:dyDescent="0.25">
      <c r="A1401" s="17" t="s">
        <v>4245</v>
      </c>
      <c r="B1401" s="17" t="s">
        <v>70</v>
      </c>
      <c r="C1401" s="17" t="s">
        <v>71</v>
      </c>
      <c r="D1401" t="s">
        <v>4201</v>
      </c>
      <c r="F1401" t="s">
        <v>4246</v>
      </c>
      <c r="K1401" s="18">
        <f>62816835276</f>
        <v>62816835276</v>
      </c>
      <c r="N1401" s="17" t="s">
        <v>77</v>
      </c>
      <c r="V1401" s="18">
        <f>62816835276</f>
        <v>62816835276</v>
      </c>
    </row>
    <row r="1402" ht="15" customHeight="1" spans="1:22" x14ac:dyDescent="0.25">
      <c r="A1402" s="17" t="s">
        <v>4247</v>
      </c>
      <c r="B1402" s="17" t="s">
        <v>70</v>
      </c>
      <c r="C1402" s="17" t="s">
        <v>71</v>
      </c>
      <c r="D1402" t="s">
        <v>4248</v>
      </c>
      <c r="F1402" t="s">
        <v>4249</v>
      </c>
      <c r="K1402" s="18">
        <f>62816943150</f>
        <v>62816943150</v>
      </c>
      <c r="N1402" s="17" t="s">
        <v>77</v>
      </c>
      <c r="V1402" s="18">
        <f>62816943150</f>
        <v>62816943150</v>
      </c>
    </row>
    <row r="1403" ht="15" customHeight="1" spans="1:22" x14ac:dyDescent="0.25">
      <c r="A1403" s="17" t="s">
        <v>4250</v>
      </c>
      <c r="B1403" s="17" t="s">
        <v>70</v>
      </c>
      <c r="C1403" s="17" t="s">
        <v>71</v>
      </c>
      <c r="D1403" t="s">
        <v>4251</v>
      </c>
      <c r="F1403" t="s">
        <v>4252</v>
      </c>
      <c r="J1403" s="17" t="s">
        <v>4253</v>
      </c>
      <c r="K1403" s="18">
        <f>62816961486</f>
        <v>62816961486</v>
      </c>
      <c r="N1403" s="17" t="s">
        <v>77</v>
      </c>
      <c r="V1403" s="18">
        <f>62816961486</f>
        <v>62816961486</v>
      </c>
    </row>
    <row r="1404" ht="15" customHeight="1" spans="1:27" x14ac:dyDescent="0.25">
      <c r="A1404" s="17" t="s">
        <v>4254</v>
      </c>
      <c r="B1404" s="17" t="s">
        <v>70</v>
      </c>
      <c r="C1404" s="17" t="s">
        <v>71</v>
      </c>
      <c r="D1404" t="s">
        <v>4255</v>
      </c>
      <c r="F1404" t="s">
        <v>629</v>
      </c>
      <c r="K1404" s="18">
        <f>62816868089</f>
        <v>62816868089</v>
      </c>
      <c r="N1404" s="17" t="s">
        <v>77</v>
      </c>
      <c r="U1404" s="17"/>
      <c r="V1404" s="18">
        <f>62816868089</f>
        <v>62816868089</v>
      </c>
      <c r="W1404" t="s">
        <v>4256</v>
      </c>
      <c r="AA1404" s="17" t="s">
        <v>4257</v>
      </c>
    </row>
    <row r="1405" ht="15" customHeight="1" spans="1:22" x14ac:dyDescent="0.25">
      <c r="A1405" s="17" t="s">
        <v>4258</v>
      </c>
      <c r="B1405" s="17" t="s">
        <v>70</v>
      </c>
      <c r="C1405" s="17" t="s">
        <v>71</v>
      </c>
      <c r="D1405" t="s">
        <v>4255</v>
      </c>
      <c r="F1405" t="s">
        <v>4259</v>
      </c>
      <c r="J1405" s="17" t="s">
        <v>4260</v>
      </c>
      <c r="K1405" s="18">
        <f>628181639994</f>
        <v>628181639994</v>
      </c>
      <c r="N1405" s="17" t="s">
        <v>77</v>
      </c>
      <c r="V1405" s="18">
        <f>628181639994</f>
        <v>628181639994</v>
      </c>
    </row>
    <row r="1406" ht="15" customHeight="1" spans="1:22" x14ac:dyDescent="0.25">
      <c r="A1406" s="17" t="s">
        <v>4261</v>
      </c>
      <c r="B1406" s="17" t="s">
        <v>70</v>
      </c>
      <c r="C1406" s="17" t="s">
        <v>71</v>
      </c>
      <c r="D1406" t="s">
        <v>4262</v>
      </c>
      <c r="F1406" t="s">
        <v>4262</v>
      </c>
      <c r="K1406" s="18">
        <f>62628551112255</f>
        <v>62628551112255</v>
      </c>
      <c r="N1406" s="17" t="s">
        <v>77</v>
      </c>
      <c r="V1406" s="18">
        <f>62628551112255</f>
        <v>62628551112255</v>
      </c>
    </row>
    <row r="1407" ht="15" customHeight="1" spans="1:22" x14ac:dyDescent="0.25">
      <c r="A1407" s="17" t="s">
        <v>4263</v>
      </c>
      <c r="B1407" s="17" t="s">
        <v>70</v>
      </c>
      <c r="C1407" s="17" t="s">
        <v>71</v>
      </c>
      <c r="D1407" t="s">
        <v>4264</v>
      </c>
      <c r="F1407" t="s">
        <v>4265</v>
      </c>
      <c r="K1407" s="18">
        <f>62818712646</f>
        <v>62818712646</v>
      </c>
      <c r="N1407" s="17" t="s">
        <v>4266</v>
      </c>
      <c r="V1407" s="18">
        <f>62818712646</f>
        <v>62818712646</v>
      </c>
    </row>
    <row r="1408" ht="15" customHeight="1" spans="1:22" x14ac:dyDescent="0.25">
      <c r="A1408" s="17" t="s">
        <v>4267</v>
      </c>
      <c r="B1408" s="17" t="s">
        <v>70</v>
      </c>
      <c r="C1408" s="17" t="s">
        <v>71</v>
      </c>
      <c r="D1408" t="s">
        <v>4268</v>
      </c>
      <c r="F1408" t="s">
        <v>4269</v>
      </c>
      <c r="K1408" s="18">
        <f>6285811188676</f>
        <v>6285811188676</v>
      </c>
      <c r="N1408" s="17" t="s">
        <v>77</v>
      </c>
      <c r="V1408" s="18">
        <f>6285811188676</f>
        <v>6285811188676</v>
      </c>
    </row>
    <row r="1409" ht="15" customHeight="1" spans="1:28" x14ac:dyDescent="0.25">
      <c r="A1409" s="17" t="s">
        <v>4270</v>
      </c>
      <c r="B1409" s="17" t="s">
        <v>70</v>
      </c>
      <c r="C1409" s="17" t="s">
        <v>71</v>
      </c>
      <c r="D1409" t="s">
        <v>4271</v>
      </c>
      <c r="F1409" t="s">
        <v>4272</v>
      </c>
      <c r="J1409" t="s">
        <v>115</v>
      </c>
      <c r="K1409" s="18" t="s">
        <v>4273</v>
      </c>
      <c r="N1409" s="17" t="s">
        <v>77</v>
      </c>
      <c r="O1409" t="s">
        <v>199</v>
      </c>
      <c r="U1409" s="17"/>
      <c r="V1409" s="18" t="s">
        <v>4273</v>
      </c>
      <c r="W1409" t="s">
        <v>4274</v>
      </c>
      <c r="Y1409" t="s">
        <v>1553</v>
      </c>
      <c r="AA1409" t="s">
        <v>115</v>
      </c>
      <c r="AB1409" t="s">
        <v>119</v>
      </c>
    </row>
    <row r="1410" ht="15" customHeight="1" spans="1:22" x14ac:dyDescent="0.25">
      <c r="A1410" s="17" t="s">
        <v>4275</v>
      </c>
      <c r="B1410" s="17" t="s">
        <v>70</v>
      </c>
      <c r="C1410" s="17" t="s">
        <v>71</v>
      </c>
      <c r="D1410" t="s">
        <v>4276</v>
      </c>
      <c r="F1410" t="s">
        <v>4276</v>
      </c>
      <c r="K1410" s="18">
        <f>62811339497</f>
        <v>62811339497</v>
      </c>
      <c r="N1410" s="17" t="s">
        <v>81</v>
      </c>
      <c r="V1410" s="18">
        <f>62811339497</f>
        <v>62811339497</v>
      </c>
    </row>
    <row r="1411" ht="15" customHeight="1" spans="1:22" x14ac:dyDescent="0.25">
      <c r="A1411" s="17" t="s">
        <v>4277</v>
      </c>
      <c r="B1411" s="17" t="s">
        <v>70</v>
      </c>
      <c r="C1411" s="17" t="s">
        <v>71</v>
      </c>
      <c r="D1411" t="s">
        <v>4276</v>
      </c>
      <c r="F1411" t="s">
        <v>4276</v>
      </c>
      <c r="K1411" s="18">
        <f>6281542650199</f>
        <v>6281542650199</v>
      </c>
      <c r="N1411" s="17" t="s">
        <v>81</v>
      </c>
      <c r="V1411" s="18">
        <f>6281542650199</f>
        <v>6281542650199</v>
      </c>
    </row>
    <row r="1412" ht="15" customHeight="1" spans="1:22" x14ac:dyDescent="0.25">
      <c r="A1412" s="17" t="s">
        <v>4278</v>
      </c>
      <c r="B1412" s="17" t="s">
        <v>70</v>
      </c>
      <c r="C1412" s="17" t="s">
        <v>71</v>
      </c>
      <c r="D1412" t="s">
        <v>4276</v>
      </c>
      <c r="F1412" t="s">
        <v>4279</v>
      </c>
      <c r="K1412" s="18">
        <f>6281265708989</f>
        <v>6281265708989</v>
      </c>
      <c r="N1412" s="17" t="s">
        <v>77</v>
      </c>
      <c r="V1412" s="18">
        <f>6281265708989</f>
        <v>6281265708989</v>
      </c>
    </row>
    <row r="1413" ht="15" customHeight="1" spans="1:22" x14ac:dyDescent="0.25">
      <c r="A1413" s="17" t="s">
        <v>4280</v>
      </c>
      <c r="B1413" s="17" t="s">
        <v>70</v>
      </c>
      <c r="C1413" s="17" t="s">
        <v>71</v>
      </c>
      <c r="D1413" t="s">
        <v>4276</v>
      </c>
      <c r="F1413" t="s">
        <v>4281</v>
      </c>
      <c r="K1413" s="18">
        <f>62811996002</f>
        <v>62811996002</v>
      </c>
      <c r="N1413" s="17" t="s">
        <v>74</v>
      </c>
      <c r="V1413" s="18">
        <f>62811996002</f>
        <v>62811996002</v>
      </c>
    </row>
    <row r="1414" ht="15" customHeight="1" spans="1:28" x14ac:dyDescent="0.25">
      <c r="A1414" s="17" t="s">
        <v>4282</v>
      </c>
      <c r="B1414" s="17" t="s">
        <v>70</v>
      </c>
      <c r="C1414" s="17" t="s">
        <v>71</v>
      </c>
      <c r="D1414" t="s">
        <v>4276</v>
      </c>
      <c r="F1414" t="s">
        <v>4283</v>
      </c>
      <c r="J1414" s="17" t="s">
        <v>4284</v>
      </c>
      <c r="K1414" s="18" t="s">
        <v>4285</v>
      </c>
      <c r="N1414" s="17" t="s">
        <v>77</v>
      </c>
      <c r="O1414" t="s">
        <v>199</v>
      </c>
      <c r="U1414" s="17"/>
      <c r="V1414" s="18" t="s">
        <v>4285</v>
      </c>
      <c r="W1414" t="s">
        <v>4286</v>
      </c>
      <c r="Y1414" s="17" t="s">
        <v>90</v>
      </c>
      <c r="AA1414" t="s">
        <v>118</v>
      </c>
      <c r="AB1414" t="s">
        <v>119</v>
      </c>
    </row>
    <row r="1415" ht="15" customHeight="1" spans="1:22" x14ac:dyDescent="0.25">
      <c r="A1415" s="17" t="s">
        <v>4287</v>
      </c>
      <c r="B1415" s="17" t="s">
        <v>70</v>
      </c>
      <c r="C1415" s="17" t="s">
        <v>71</v>
      </c>
      <c r="D1415" t="s">
        <v>4276</v>
      </c>
      <c r="F1415" t="s">
        <v>4288</v>
      </c>
      <c r="K1415" s="18">
        <f>6281807895215</f>
        <v>6281807895215</v>
      </c>
      <c r="N1415" s="17" t="s">
        <v>81</v>
      </c>
      <c r="V1415" s="18">
        <f>6281807895215</f>
        <v>6281807895215</v>
      </c>
    </row>
    <row r="1416" ht="15" customHeight="1" spans="1:28" x14ac:dyDescent="0.25">
      <c r="A1416" s="17" t="s">
        <v>4289</v>
      </c>
      <c r="B1416" s="17" t="s">
        <v>70</v>
      </c>
      <c r="C1416" s="17" t="s">
        <v>71</v>
      </c>
      <c r="D1416" t="s">
        <v>4290</v>
      </c>
      <c r="F1416" t="s">
        <v>4291</v>
      </c>
      <c r="J1416" t="s">
        <v>115</v>
      </c>
      <c r="K1416" s="18" t="s">
        <v>4292</v>
      </c>
      <c r="N1416" s="17" t="s">
        <v>74</v>
      </c>
      <c r="O1416" t="s">
        <v>117</v>
      </c>
      <c r="V1416" s="18" t="s">
        <v>4292</v>
      </c>
      <c r="Y1416" t="s">
        <v>90</v>
      </c>
      <c r="AA1416" t="s">
        <v>118</v>
      </c>
      <c r="AB1416" t="s">
        <v>119</v>
      </c>
    </row>
    <row r="1417" ht="15" customHeight="1" spans="1:22" x14ac:dyDescent="0.25">
      <c r="A1417" s="17" t="s">
        <v>4293</v>
      </c>
      <c r="B1417" s="17" t="s">
        <v>70</v>
      </c>
      <c r="C1417" s="17" t="s">
        <v>71</v>
      </c>
      <c r="D1417" t="s">
        <v>4276</v>
      </c>
      <c r="F1417" t="s">
        <v>4294</v>
      </c>
      <c r="K1417" s="18">
        <f>6281288165592</f>
        <v>6281288165592</v>
      </c>
      <c r="N1417" s="17" t="s">
        <v>81</v>
      </c>
      <c r="V1417" s="18">
        <f>6281288165592</f>
        <v>6281288165592</v>
      </c>
    </row>
    <row r="1418" ht="15" customHeight="1" spans="1:22" x14ac:dyDescent="0.25">
      <c r="A1418" s="17" t="s">
        <v>4295</v>
      </c>
      <c r="B1418" s="17" t="s">
        <v>70</v>
      </c>
      <c r="C1418" s="17" t="s">
        <v>71</v>
      </c>
      <c r="D1418" t="s">
        <v>4296</v>
      </c>
      <c r="F1418" t="s">
        <v>4296</v>
      </c>
      <c r="K1418" s="18">
        <f>62811728915</f>
        <v>62811728915</v>
      </c>
      <c r="N1418" s="17" t="s">
        <v>81</v>
      </c>
      <c r="V1418" s="18">
        <f>62811728915</f>
        <v>62811728915</v>
      </c>
    </row>
    <row r="1419" ht="15" customHeight="1" spans="1:22" x14ac:dyDescent="0.25">
      <c r="A1419" s="17" t="s">
        <v>4297</v>
      </c>
      <c r="B1419" s="17" t="s">
        <v>70</v>
      </c>
      <c r="C1419" s="17" t="s">
        <v>71</v>
      </c>
      <c r="D1419" t="s">
        <v>4298</v>
      </c>
      <c r="F1419" t="s">
        <v>4298</v>
      </c>
      <c r="K1419" s="18">
        <f>628123416577</f>
        <v>628123416577</v>
      </c>
      <c r="N1419" s="17" t="s">
        <v>81</v>
      </c>
      <c r="V1419" s="18">
        <f>628123416577</f>
        <v>628123416577</v>
      </c>
    </row>
    <row r="1420" ht="15" customHeight="1" spans="1:22" x14ac:dyDescent="0.25">
      <c r="A1420" s="17" t="s">
        <v>4299</v>
      </c>
      <c r="B1420" s="17" t="s">
        <v>70</v>
      </c>
      <c r="C1420" s="17" t="s">
        <v>71</v>
      </c>
      <c r="D1420" t="s">
        <v>4298</v>
      </c>
      <c r="F1420" t="s">
        <v>4298</v>
      </c>
      <c r="K1420" s="18">
        <f>628567861575</f>
        <v>628567861575</v>
      </c>
      <c r="N1420" s="17" t="s">
        <v>77</v>
      </c>
      <c r="V1420" s="18">
        <f>628567861575</f>
        <v>628567861575</v>
      </c>
    </row>
    <row r="1421" ht="15" customHeight="1" spans="1:22" x14ac:dyDescent="0.25">
      <c r="A1421" s="17" t="s">
        <v>4300</v>
      </c>
      <c r="B1421" s="17" t="s">
        <v>70</v>
      </c>
      <c r="C1421" s="17" t="s">
        <v>71</v>
      </c>
      <c r="D1421" t="s">
        <v>4298</v>
      </c>
      <c r="F1421" t="s">
        <v>4298</v>
      </c>
      <c r="K1421" s="18">
        <f>628159397097</f>
        <v>628159397097</v>
      </c>
      <c r="N1421" s="17" t="s">
        <v>77</v>
      </c>
      <c r="V1421" s="18">
        <f>628159397097</f>
        <v>628159397097</v>
      </c>
    </row>
    <row r="1422" ht="15" customHeight="1" spans="1:28" x14ac:dyDescent="0.25">
      <c r="A1422" s="17" t="s">
        <v>4301</v>
      </c>
      <c r="B1422" s="17" t="s">
        <v>70</v>
      </c>
      <c r="C1422" s="17" t="s">
        <v>71</v>
      </c>
      <c r="D1422" t="s">
        <v>4298</v>
      </c>
      <c r="F1422" t="s">
        <v>4302</v>
      </c>
      <c r="J1422" t="s">
        <v>115</v>
      </c>
      <c r="K1422" s="18" t="s">
        <v>4303</v>
      </c>
      <c r="N1422" s="17" t="s">
        <v>77</v>
      </c>
      <c r="O1422" t="s">
        <v>117</v>
      </c>
      <c r="V1422" s="18" t="s">
        <v>4303</v>
      </c>
      <c r="Y1422" t="s">
        <v>190</v>
      </c>
      <c r="AA1422" t="s">
        <v>118</v>
      </c>
      <c r="AB1422" t="s">
        <v>119</v>
      </c>
    </row>
    <row r="1423" ht="15" customHeight="1" spans="1:23" x14ac:dyDescent="0.25">
      <c r="A1423" s="17" t="s">
        <v>4304</v>
      </c>
      <c r="B1423" s="17" t="s">
        <v>70</v>
      </c>
      <c r="C1423" s="17" t="s">
        <v>71</v>
      </c>
      <c r="D1423" t="s">
        <v>4298</v>
      </c>
      <c r="F1423" t="s">
        <v>4305</v>
      </c>
      <c r="K1423" s="18">
        <f>628112871237</f>
        <v>628112871237</v>
      </c>
      <c r="N1423" s="17" t="s">
        <v>81</v>
      </c>
      <c r="U1423" s="17"/>
      <c r="V1423" s="18">
        <f>628112871237</f>
        <v>628112871237</v>
      </c>
      <c r="W1423" t="s">
        <v>4306</v>
      </c>
    </row>
    <row r="1424" ht="15" customHeight="1" spans="1:28" x14ac:dyDescent="0.25">
      <c r="A1424" s="17" t="s">
        <v>4307</v>
      </c>
      <c r="B1424" s="17" t="s">
        <v>70</v>
      </c>
      <c r="C1424" s="17" t="s">
        <v>71</v>
      </c>
      <c r="D1424" t="s">
        <v>4298</v>
      </c>
      <c r="F1424" t="s">
        <v>4308</v>
      </c>
      <c r="J1424" t="s">
        <v>115</v>
      </c>
      <c r="K1424" s="18" t="s">
        <v>4309</v>
      </c>
      <c r="N1424" s="17" t="s">
        <v>77</v>
      </c>
      <c r="O1424" t="s">
        <v>489</v>
      </c>
      <c r="V1424" s="18" t="s">
        <v>4309</v>
      </c>
      <c r="Y1424" s="17" t="s">
        <v>90</v>
      </c>
      <c r="AA1424" t="s">
        <v>118</v>
      </c>
      <c r="AB1424" t="s">
        <v>119</v>
      </c>
    </row>
    <row r="1425" ht="15" customHeight="1" spans="1:28" x14ac:dyDescent="0.25">
      <c r="A1425" s="17" t="s">
        <v>4310</v>
      </c>
      <c r="B1425" s="17" t="s">
        <v>70</v>
      </c>
      <c r="C1425" s="17" t="s">
        <v>71</v>
      </c>
      <c r="D1425" t="s">
        <v>4298</v>
      </c>
      <c r="F1425" t="s">
        <v>4311</v>
      </c>
      <c r="J1425" t="s">
        <v>115</v>
      </c>
      <c r="K1425" s="18" t="s">
        <v>4312</v>
      </c>
      <c r="N1425" s="17" t="s">
        <v>77</v>
      </c>
      <c r="O1425" t="s">
        <v>145</v>
      </c>
      <c r="V1425" s="18" t="s">
        <v>4312</v>
      </c>
      <c r="Y1425" t="s">
        <v>115</v>
      </c>
      <c r="AA1425" t="s">
        <v>115</v>
      </c>
      <c r="AB1425" t="s">
        <v>119</v>
      </c>
    </row>
    <row r="1426" ht="15" customHeight="1" spans="1:22" x14ac:dyDescent="0.25">
      <c r="A1426" s="17" t="s">
        <v>4313</v>
      </c>
      <c r="B1426" s="17" t="s">
        <v>70</v>
      </c>
      <c r="C1426" s="17" t="s">
        <v>71</v>
      </c>
      <c r="D1426" t="s">
        <v>4298</v>
      </c>
      <c r="F1426" t="s">
        <v>4314</v>
      </c>
      <c r="K1426" s="18">
        <f>62811290142</f>
        <v>62811290142</v>
      </c>
      <c r="N1426" s="17" t="s">
        <v>81</v>
      </c>
      <c r="V1426" s="18">
        <f>62811290142</f>
        <v>62811290142</v>
      </c>
    </row>
    <row r="1427" ht="15" customHeight="1" spans="1:23" x14ac:dyDescent="0.25">
      <c r="A1427" s="17" t="s">
        <v>4315</v>
      </c>
      <c r="B1427" s="17" t="s">
        <v>70</v>
      </c>
      <c r="C1427" s="17" t="s">
        <v>71</v>
      </c>
      <c r="D1427" t="s">
        <v>4298</v>
      </c>
      <c r="F1427" t="s">
        <v>4316</v>
      </c>
      <c r="K1427" s="18">
        <f>6281510100004</f>
        <v>6281510100004</v>
      </c>
      <c r="N1427" s="17" t="s">
        <v>77</v>
      </c>
      <c r="U1427" s="17"/>
      <c r="V1427" s="18">
        <f>6281510100004</f>
        <v>6281510100004</v>
      </c>
      <c r="W1427" t="s">
        <v>4317</v>
      </c>
    </row>
    <row r="1428" ht="15" customHeight="1" spans="1:22" x14ac:dyDescent="0.25">
      <c r="A1428" s="17" t="s">
        <v>4318</v>
      </c>
      <c r="B1428" s="17" t="s">
        <v>70</v>
      </c>
      <c r="C1428" s="17" t="s">
        <v>71</v>
      </c>
      <c r="D1428" t="s">
        <v>4298</v>
      </c>
      <c r="F1428" t="s">
        <v>4319</v>
      </c>
      <c r="K1428" s="18">
        <f>628121239666</f>
        <v>628121239666</v>
      </c>
      <c r="N1428" s="17" t="s">
        <v>81</v>
      </c>
      <c r="V1428" s="18">
        <f>628121239666</f>
        <v>628121239666</v>
      </c>
    </row>
    <row r="1429" ht="15" customHeight="1" spans="1:22" x14ac:dyDescent="0.25">
      <c r="A1429" s="17" t="s">
        <v>4320</v>
      </c>
      <c r="B1429" s="17" t="s">
        <v>70</v>
      </c>
      <c r="C1429" s="17" t="s">
        <v>71</v>
      </c>
      <c r="D1429" t="s">
        <v>4298</v>
      </c>
      <c r="F1429" t="s">
        <v>4321</v>
      </c>
      <c r="K1429" s="18">
        <f>62811946977</f>
        <v>62811946977</v>
      </c>
      <c r="N1429" s="17" t="s">
        <v>74</v>
      </c>
      <c r="V1429" s="18">
        <f>62811946977</f>
        <v>62811946977</v>
      </c>
    </row>
    <row r="1430" ht="15" customHeight="1" spans="1:23" x14ac:dyDescent="0.25">
      <c r="A1430" s="17" t="s">
        <v>4322</v>
      </c>
      <c r="B1430" s="17" t="s">
        <v>70</v>
      </c>
      <c r="C1430" s="17" t="s">
        <v>71</v>
      </c>
      <c r="D1430" t="s">
        <v>4298</v>
      </c>
      <c r="F1430" t="s">
        <v>4323</v>
      </c>
      <c r="K1430" s="18">
        <f>12135506914</f>
        <v>12135506914</v>
      </c>
      <c r="N1430" s="17" t="s">
        <v>77</v>
      </c>
      <c r="U1430" s="17"/>
      <c r="V1430" s="18">
        <f>12135506914</f>
        <v>12135506914</v>
      </c>
      <c r="W1430" t="s">
        <v>4324</v>
      </c>
    </row>
    <row r="1431" ht="15" customHeight="1" spans="1:28" x14ac:dyDescent="0.25">
      <c r="A1431" s="17" t="s">
        <v>4325</v>
      </c>
      <c r="B1431" s="17" t="s">
        <v>70</v>
      </c>
      <c r="C1431" s="17" t="s">
        <v>71</v>
      </c>
      <c r="D1431" t="s">
        <v>338</v>
      </c>
      <c r="F1431" t="s">
        <v>4326</v>
      </c>
      <c r="J1431" s="17" t="s">
        <v>4327</v>
      </c>
      <c r="K1431" s="18" t="s">
        <v>4328</v>
      </c>
      <c r="N1431" s="17" t="s">
        <v>77</v>
      </c>
      <c r="O1431" t="s">
        <v>117</v>
      </c>
      <c r="V1431" s="18" t="s">
        <v>4328</v>
      </c>
      <c r="Y1431" s="17" t="s">
        <v>90</v>
      </c>
      <c r="AA1431" t="s">
        <v>118</v>
      </c>
      <c r="AB1431" t="s">
        <v>119</v>
      </c>
    </row>
    <row r="1432" ht="15" customHeight="1" spans="1:23" x14ac:dyDescent="0.25">
      <c r="A1432" s="17" t="s">
        <v>4329</v>
      </c>
      <c r="B1432" s="17" t="s">
        <v>70</v>
      </c>
      <c r="C1432" s="17" t="s">
        <v>71</v>
      </c>
      <c r="D1432" t="s">
        <v>4330</v>
      </c>
      <c r="F1432" t="s">
        <v>4331</v>
      </c>
      <c r="J1432" s="17" t="s">
        <v>4332</v>
      </c>
      <c r="K1432" s="18">
        <f>62817777611</f>
        <v>62817777611</v>
      </c>
      <c r="N1432" s="17" t="s">
        <v>81</v>
      </c>
      <c r="U1432" s="17"/>
      <c r="V1432" s="18">
        <f>62817777611</f>
        <v>62817777611</v>
      </c>
      <c r="W1432" t="s">
        <v>4333</v>
      </c>
    </row>
    <row r="1433" ht="15" customHeight="1" spans="1:25" x14ac:dyDescent="0.25">
      <c r="A1433" s="17" t="s">
        <v>4334</v>
      </c>
      <c r="B1433" s="17" t="s">
        <v>70</v>
      </c>
      <c r="C1433" s="17" t="s">
        <v>71</v>
      </c>
      <c r="D1433" t="s">
        <v>4335</v>
      </c>
      <c r="F1433" t="s">
        <v>4336</v>
      </c>
      <c r="J1433" s="17" t="s">
        <v>4337</v>
      </c>
      <c r="K1433" s="18">
        <f>62811972235</f>
        <v>62811972235</v>
      </c>
      <c r="N1433" s="17" t="s">
        <v>77</v>
      </c>
      <c r="U1433" s="17"/>
      <c r="V1433" s="18">
        <f>62811972235</f>
        <v>62811972235</v>
      </c>
      <c r="W1433" t="s">
        <v>4338</v>
      </c>
      <c r="Y1433" s="17" t="s">
        <v>96</v>
      </c>
    </row>
    <row r="1434" ht="15" customHeight="1" spans="1:28" x14ac:dyDescent="0.25">
      <c r="A1434" s="17" t="s">
        <v>4339</v>
      </c>
      <c r="B1434" s="17" t="s">
        <v>70</v>
      </c>
      <c r="C1434" s="17" t="s">
        <v>71</v>
      </c>
      <c r="D1434" t="s">
        <v>4335</v>
      </c>
      <c r="F1434" t="s">
        <v>4340</v>
      </c>
      <c r="J1434" t="s">
        <v>115</v>
      </c>
      <c r="K1434" s="18" t="s">
        <v>4341</v>
      </c>
      <c r="N1434" s="17" t="s">
        <v>77</v>
      </c>
      <c r="O1434" t="s">
        <v>145</v>
      </c>
      <c r="V1434" s="18" t="s">
        <v>4341</v>
      </c>
      <c r="Y1434" t="s">
        <v>90</v>
      </c>
      <c r="AA1434" t="s">
        <v>118</v>
      </c>
      <c r="AB1434" t="s">
        <v>119</v>
      </c>
    </row>
    <row r="1435" ht="15" customHeight="1" spans="1:22" x14ac:dyDescent="0.25">
      <c r="A1435" s="17" t="s">
        <v>4342</v>
      </c>
      <c r="B1435" s="17" t="s">
        <v>70</v>
      </c>
      <c r="C1435" s="17" t="s">
        <v>71</v>
      </c>
      <c r="D1435" t="s">
        <v>4335</v>
      </c>
      <c r="F1435" t="s">
        <v>4343</v>
      </c>
      <c r="K1435" s="18">
        <f>6281286988899</f>
        <v>6281286988899</v>
      </c>
      <c r="N1435" s="17" t="s">
        <v>77</v>
      </c>
      <c r="V1435" s="18">
        <f>6281286988899</f>
        <v>6281286988899</v>
      </c>
    </row>
    <row r="1436" ht="15" customHeight="1" spans="1:28" x14ac:dyDescent="0.25">
      <c r="A1436" s="17" t="s">
        <v>4344</v>
      </c>
      <c r="B1436" s="17" t="s">
        <v>70</v>
      </c>
      <c r="C1436" s="17" t="s">
        <v>71</v>
      </c>
      <c r="D1436" t="s">
        <v>4345</v>
      </c>
      <c r="F1436" t="s">
        <v>4346</v>
      </c>
      <c r="J1436" t="s">
        <v>115</v>
      </c>
      <c r="K1436" s="18" t="s">
        <v>4347</v>
      </c>
      <c r="N1436" s="17" t="s">
        <v>74</v>
      </c>
      <c r="O1436" t="s">
        <v>117</v>
      </c>
      <c r="V1436" s="18" t="s">
        <v>4347</v>
      </c>
      <c r="Y1436" s="17" t="s">
        <v>1707</v>
      </c>
      <c r="AA1436" t="s">
        <v>115</v>
      </c>
      <c r="AB1436" t="s">
        <v>119</v>
      </c>
    </row>
    <row r="1437" ht="15" customHeight="1" spans="1:22" x14ac:dyDescent="0.25">
      <c r="A1437" s="17" t="s">
        <v>4348</v>
      </c>
      <c r="B1437" s="17" t="s">
        <v>70</v>
      </c>
      <c r="C1437" s="17" t="s">
        <v>71</v>
      </c>
      <c r="D1437" t="s">
        <v>4349</v>
      </c>
      <c r="F1437" t="s">
        <v>4350</v>
      </c>
      <c r="K1437" s="18">
        <f>628161803424</f>
        <v>628161803424</v>
      </c>
      <c r="N1437" s="17" t="s">
        <v>77</v>
      </c>
      <c r="V1437" s="18">
        <f>628161803424</f>
        <v>628161803424</v>
      </c>
    </row>
    <row r="1438" ht="15" customHeight="1" spans="1:22" x14ac:dyDescent="0.25">
      <c r="A1438" s="17" t="s">
        <v>4351</v>
      </c>
      <c r="B1438" s="17" t="s">
        <v>70</v>
      </c>
      <c r="C1438" s="17" t="s">
        <v>71</v>
      </c>
      <c r="D1438" t="s">
        <v>196</v>
      </c>
      <c r="F1438" t="s">
        <v>196</v>
      </c>
      <c r="K1438" s="18">
        <f>628170125639</f>
        <v>628170125639</v>
      </c>
      <c r="N1438" s="17" t="s">
        <v>77</v>
      </c>
      <c r="V1438" s="18">
        <f>628170125639</f>
        <v>628170125639</v>
      </c>
    </row>
    <row r="1439" ht="15" customHeight="1" spans="1:22" x14ac:dyDescent="0.25">
      <c r="A1439" s="17" t="s">
        <v>4352</v>
      </c>
      <c r="B1439" s="17" t="s">
        <v>70</v>
      </c>
      <c r="C1439" s="17" t="s">
        <v>71</v>
      </c>
      <c r="D1439" t="s">
        <v>196</v>
      </c>
      <c r="F1439" t="s">
        <v>196</v>
      </c>
      <c r="K1439" s="18">
        <f>6281510364468</f>
        <v>6281510364468</v>
      </c>
      <c r="N1439" s="17" t="s">
        <v>81</v>
      </c>
      <c r="V1439" s="18">
        <f>6281510364468</f>
        <v>6281510364468</v>
      </c>
    </row>
    <row r="1440" ht="15" customHeight="1" spans="1:25" x14ac:dyDescent="0.25">
      <c r="A1440" s="17" t="s">
        <v>4353</v>
      </c>
      <c r="B1440" s="17" t="s">
        <v>70</v>
      </c>
      <c r="C1440" s="17" t="s">
        <v>71</v>
      </c>
      <c r="D1440" t="s">
        <v>196</v>
      </c>
      <c r="F1440" t="s">
        <v>196</v>
      </c>
      <c r="K1440" s="18">
        <f>6287777111110</f>
        <v>6287777111110</v>
      </c>
      <c r="N1440" s="17" t="s">
        <v>77</v>
      </c>
      <c r="U1440" s="17"/>
      <c r="V1440" s="18">
        <f>6287777111110</f>
        <v>6287777111110</v>
      </c>
      <c r="W1440" t="s">
        <v>4354</v>
      </c>
      <c r="Y1440" s="17" t="s">
        <v>96</v>
      </c>
    </row>
    <row r="1441" ht="15" customHeight="1" spans="1:22" x14ac:dyDescent="0.25">
      <c r="A1441" s="17" t="s">
        <v>4355</v>
      </c>
      <c r="B1441" s="17" t="s">
        <v>70</v>
      </c>
      <c r="C1441" s="17" t="s">
        <v>71</v>
      </c>
      <c r="D1441" t="s">
        <v>196</v>
      </c>
      <c r="F1441" t="s">
        <v>4356</v>
      </c>
      <c r="K1441" s="18">
        <f>628121052683</f>
        <v>628121052683</v>
      </c>
      <c r="N1441" s="17" t="s">
        <v>77</v>
      </c>
      <c r="V1441" s="18">
        <f>628121052683</f>
        <v>628121052683</v>
      </c>
    </row>
    <row r="1442" ht="15" customHeight="1" spans="1:22" x14ac:dyDescent="0.25">
      <c r="A1442" s="17" t="s">
        <v>4357</v>
      </c>
      <c r="B1442" s="17" t="s">
        <v>70</v>
      </c>
      <c r="C1442" s="17" t="s">
        <v>71</v>
      </c>
      <c r="D1442" t="s">
        <v>196</v>
      </c>
      <c r="F1442" t="s">
        <v>4358</v>
      </c>
      <c r="K1442" s="18">
        <f>62811943834</f>
        <v>62811943834</v>
      </c>
      <c r="N1442" s="17" t="s">
        <v>77</v>
      </c>
      <c r="V1442" s="18">
        <f>62811943834</f>
        <v>62811943834</v>
      </c>
    </row>
    <row r="1443" ht="15" customHeight="1" spans="1:22" x14ac:dyDescent="0.25">
      <c r="A1443" s="17" t="s">
        <v>4359</v>
      </c>
      <c r="B1443" s="17" t="s">
        <v>70</v>
      </c>
      <c r="C1443" s="17" t="s">
        <v>71</v>
      </c>
      <c r="D1443" t="s">
        <v>196</v>
      </c>
      <c r="F1443" t="s">
        <v>4360</v>
      </c>
      <c r="K1443" s="18">
        <f>6282347219027</f>
        <v>6282347219027</v>
      </c>
      <c r="N1443" s="17" t="s">
        <v>77</v>
      </c>
      <c r="V1443" s="18">
        <f>6282347219027</f>
        <v>6282347219027</v>
      </c>
    </row>
    <row r="1444" ht="15" customHeight="1" spans="1:28" x14ac:dyDescent="0.25">
      <c r="A1444" s="17" t="s">
        <v>4361</v>
      </c>
      <c r="B1444" s="17" t="s">
        <v>70</v>
      </c>
      <c r="C1444" s="17" t="s">
        <v>71</v>
      </c>
      <c r="D1444" t="s">
        <v>4276</v>
      </c>
      <c r="F1444" t="s">
        <v>1525</v>
      </c>
      <c r="J1444" t="s">
        <v>115</v>
      </c>
      <c r="K1444" s="18" t="s">
        <v>4362</v>
      </c>
      <c r="N1444" s="17" t="s">
        <v>77</v>
      </c>
      <c r="O1444" t="s">
        <v>117</v>
      </c>
      <c r="U1444" s="17"/>
      <c r="V1444" s="18" t="s">
        <v>4362</v>
      </c>
      <c r="W1444" t="s">
        <v>4363</v>
      </c>
      <c r="Y1444" s="17" t="s">
        <v>190</v>
      </c>
      <c r="AA1444" t="s">
        <v>118</v>
      </c>
      <c r="AB1444" t="s">
        <v>119</v>
      </c>
    </row>
    <row r="1445" ht="15" customHeight="1" spans="1:23" x14ac:dyDescent="0.25">
      <c r="A1445" s="17" t="s">
        <v>4364</v>
      </c>
      <c r="B1445" s="17" t="s">
        <v>70</v>
      </c>
      <c r="C1445" s="17" t="s">
        <v>71</v>
      </c>
      <c r="D1445" t="s">
        <v>196</v>
      </c>
      <c r="F1445" t="s">
        <v>4365</v>
      </c>
      <c r="K1445" s="18">
        <f>628119954274</f>
        <v>628119954274</v>
      </c>
      <c r="N1445" s="17" t="s">
        <v>77</v>
      </c>
      <c r="U1445" s="17"/>
      <c r="V1445" s="18">
        <f>628119954274</f>
        <v>628119954274</v>
      </c>
      <c r="W1445" t="s">
        <v>4366</v>
      </c>
    </row>
    <row r="1446" ht="15" customHeight="1" spans="1:22" x14ac:dyDescent="0.25">
      <c r="A1446" s="17" t="s">
        <v>4367</v>
      </c>
      <c r="B1446" s="17" t="s">
        <v>70</v>
      </c>
      <c r="C1446" s="17" t="s">
        <v>71</v>
      </c>
      <c r="D1446" t="s">
        <v>196</v>
      </c>
      <c r="F1446" t="s">
        <v>4368</v>
      </c>
      <c r="K1446" s="18">
        <f>62816807049</f>
        <v>62816807049</v>
      </c>
      <c r="N1446" s="17" t="s">
        <v>81</v>
      </c>
      <c r="V1446" s="18">
        <f>62816807049</f>
        <v>62816807049</v>
      </c>
    </row>
    <row r="1447" ht="15" customHeight="1" spans="1:22" x14ac:dyDescent="0.25">
      <c r="A1447" s="17" t="s">
        <v>4369</v>
      </c>
      <c r="B1447" s="17" t="s">
        <v>70</v>
      </c>
      <c r="C1447" s="17" t="s">
        <v>71</v>
      </c>
      <c r="D1447" t="s">
        <v>196</v>
      </c>
      <c r="F1447" t="s">
        <v>1856</v>
      </c>
      <c r="K1447" s="18">
        <f>62811960414</f>
        <v>62811960414</v>
      </c>
      <c r="N1447" s="17" t="s">
        <v>81</v>
      </c>
      <c r="V1447" s="18">
        <f>62811960414</f>
        <v>62811960414</v>
      </c>
    </row>
    <row r="1448" ht="15" customHeight="1" spans="1:23" x14ac:dyDescent="0.25">
      <c r="A1448" s="17" t="s">
        <v>4370</v>
      </c>
      <c r="B1448" s="17" t="s">
        <v>70</v>
      </c>
      <c r="C1448" s="17" t="s">
        <v>71</v>
      </c>
      <c r="D1448" t="s">
        <v>4371</v>
      </c>
      <c r="F1448" t="s">
        <v>4372</v>
      </c>
      <c r="K1448" s="18">
        <f>62217262660</f>
        <v>62217262660</v>
      </c>
      <c r="N1448" s="17" t="s">
        <v>77</v>
      </c>
      <c r="U1448" s="17"/>
      <c r="V1448" s="18">
        <f>62217262660</f>
        <v>62217262660</v>
      </c>
      <c r="W1448" t="s">
        <v>4373</v>
      </c>
    </row>
    <row r="1449" ht="15" customHeight="1" spans="1:23" x14ac:dyDescent="0.25">
      <c r="A1449" s="17" t="s">
        <v>4374</v>
      </c>
      <c r="B1449" s="17" t="s">
        <v>70</v>
      </c>
      <c r="C1449" s="17" t="s">
        <v>71</v>
      </c>
      <c r="D1449" t="s">
        <v>4375</v>
      </c>
      <c r="F1449" t="s">
        <v>4375</v>
      </c>
      <c r="K1449" s="18">
        <f>628161377001</f>
        <v>628161377001</v>
      </c>
      <c r="N1449" s="17" t="s">
        <v>81</v>
      </c>
      <c r="U1449" s="17"/>
      <c r="V1449" s="18">
        <f>628161377001</f>
        <v>628161377001</v>
      </c>
      <c r="W1449" t="s">
        <v>4376</v>
      </c>
    </row>
    <row r="1450" ht="15" customHeight="1" spans="1:23" x14ac:dyDescent="0.25">
      <c r="A1450" s="17" t="s">
        <v>4377</v>
      </c>
      <c r="B1450" s="17" t="s">
        <v>70</v>
      </c>
      <c r="C1450" s="17" t="s">
        <v>71</v>
      </c>
      <c r="D1450" t="s">
        <v>4378</v>
      </c>
      <c r="F1450" t="s">
        <v>4378</v>
      </c>
      <c r="K1450" s="18">
        <f>62217900490</f>
        <v>62217900490</v>
      </c>
      <c r="N1450" s="17" t="s">
        <v>77</v>
      </c>
      <c r="U1450" s="17"/>
      <c r="V1450" s="18">
        <f>62217900490</f>
        <v>62217900490</v>
      </c>
      <c r="W1450" t="s">
        <v>4379</v>
      </c>
    </row>
    <row r="1451" ht="15" customHeight="1" spans="1:22" x14ac:dyDescent="0.25">
      <c r="A1451" s="17" t="s">
        <v>4380</v>
      </c>
      <c r="B1451" s="17" t="s">
        <v>70</v>
      </c>
      <c r="C1451" s="17" t="s">
        <v>71</v>
      </c>
      <c r="D1451" t="s">
        <v>4378</v>
      </c>
      <c r="F1451" t="s">
        <v>4381</v>
      </c>
      <c r="K1451" s="18">
        <f>6281280080850</f>
        <v>6281280080850</v>
      </c>
      <c r="N1451" s="17" t="s">
        <v>81</v>
      </c>
      <c r="V1451" s="18">
        <f>6281280080850</f>
        <v>6281280080850</v>
      </c>
    </row>
    <row r="1452" ht="15" customHeight="1" spans="1:23" x14ac:dyDescent="0.25">
      <c r="A1452" s="17" t="s">
        <v>4382</v>
      </c>
      <c r="B1452" s="17" t="s">
        <v>70</v>
      </c>
      <c r="C1452" s="17" t="s">
        <v>71</v>
      </c>
      <c r="D1452" t="s">
        <v>4378</v>
      </c>
      <c r="F1452" t="s">
        <v>2478</v>
      </c>
      <c r="K1452" s="18">
        <v>85330401111</v>
      </c>
      <c r="N1452" s="17" t="s">
        <v>81</v>
      </c>
      <c r="U1452" s="17"/>
      <c r="V1452" s="18">
        <v>85330401111</v>
      </c>
      <c r="W1452" t="s">
        <v>4383</v>
      </c>
    </row>
    <row r="1453" ht="15" customHeight="1" spans="1:22" x14ac:dyDescent="0.25">
      <c r="A1453" s="17" t="s">
        <v>4384</v>
      </c>
      <c r="B1453" s="17" t="s">
        <v>70</v>
      </c>
      <c r="C1453" s="17" t="s">
        <v>71</v>
      </c>
      <c r="D1453" t="s">
        <v>4378</v>
      </c>
      <c r="F1453" t="s">
        <v>672</v>
      </c>
      <c r="K1453" s="18">
        <f>628127117308</f>
        <v>628127117308</v>
      </c>
      <c r="N1453" s="17" t="s">
        <v>77</v>
      </c>
      <c r="V1453" s="18">
        <f>628127117308</f>
        <v>628127117308</v>
      </c>
    </row>
    <row r="1454" ht="15" customHeight="1" spans="1:23" x14ac:dyDescent="0.25">
      <c r="A1454" s="17" t="s">
        <v>4385</v>
      </c>
      <c r="B1454" s="17" t="s">
        <v>70</v>
      </c>
      <c r="C1454" s="17" t="s">
        <v>71</v>
      </c>
      <c r="D1454" t="s">
        <v>4386</v>
      </c>
      <c r="F1454" t="s">
        <v>4386</v>
      </c>
      <c r="K1454" s="18">
        <f>6281319815801</f>
        <v>6281319815801</v>
      </c>
      <c r="N1454" s="17" t="s">
        <v>81</v>
      </c>
      <c r="U1454" s="17"/>
      <c r="V1454" s="18">
        <f>6281319815801</f>
        <v>6281319815801</v>
      </c>
      <c r="W1454" t="s">
        <v>4387</v>
      </c>
    </row>
    <row r="1455" ht="15" customHeight="1" spans="1:25" x14ac:dyDescent="0.25">
      <c r="A1455" s="17" t="s">
        <v>4388</v>
      </c>
      <c r="B1455" s="17" t="s">
        <v>70</v>
      </c>
      <c r="C1455" s="17" t="s">
        <v>71</v>
      </c>
      <c r="D1455" t="s">
        <v>4389</v>
      </c>
      <c r="F1455" t="s">
        <v>1564</v>
      </c>
      <c r="J1455" s="17" t="s">
        <v>4390</v>
      </c>
      <c r="K1455" s="18">
        <f>628112622322</f>
        <v>628112622322</v>
      </c>
      <c r="N1455" s="17" t="s">
        <v>77</v>
      </c>
      <c r="U1455" s="17"/>
      <c r="V1455" s="18">
        <f>628112622322</f>
        <v>628112622322</v>
      </c>
      <c r="W1455" t="s">
        <v>4391</v>
      </c>
      <c r="Y1455" s="17" t="s">
        <v>90</v>
      </c>
    </row>
    <row r="1456" ht="15" customHeight="1" spans="1:23" x14ac:dyDescent="0.25">
      <c r="A1456" s="17" t="s">
        <v>4392</v>
      </c>
      <c r="B1456" s="17" t="s">
        <v>70</v>
      </c>
      <c r="C1456" s="17" t="s">
        <v>71</v>
      </c>
      <c r="D1456" t="s">
        <v>4389</v>
      </c>
      <c r="F1456" t="s">
        <v>1564</v>
      </c>
      <c r="J1456" s="17" t="s">
        <v>4390</v>
      </c>
      <c r="K1456" s="18">
        <f>62812622322</f>
        <v>62812622322</v>
      </c>
      <c r="N1456" s="17" t="s">
        <v>77</v>
      </c>
      <c r="U1456" s="17"/>
      <c r="V1456" s="18">
        <f>62812622322</f>
        <v>62812622322</v>
      </c>
      <c r="W1456" t="s">
        <v>4391</v>
      </c>
    </row>
    <row r="1457" ht="15" customHeight="1" spans="1:28" x14ac:dyDescent="0.25">
      <c r="A1457" s="17" t="s">
        <v>4393</v>
      </c>
      <c r="B1457" s="17" t="s">
        <v>70</v>
      </c>
      <c r="C1457" s="17" t="s">
        <v>71</v>
      </c>
      <c r="D1457" t="s">
        <v>4394</v>
      </c>
      <c r="F1457" t="s">
        <v>4395</v>
      </c>
      <c r="J1457" s="17" t="s">
        <v>4396</v>
      </c>
      <c r="K1457" s="18" t="s">
        <v>4397</v>
      </c>
      <c r="N1457" s="17" t="s">
        <v>77</v>
      </c>
      <c r="O1457" t="s">
        <v>117</v>
      </c>
      <c r="U1457" s="17"/>
      <c r="V1457" s="18" t="s">
        <v>4397</v>
      </c>
      <c r="W1457" t="s">
        <v>4398</v>
      </c>
      <c r="Y1457" s="17" t="s">
        <v>96</v>
      </c>
      <c r="AA1457" s="17" t="s">
        <v>693</v>
      </c>
      <c r="AB1457" t="s">
        <v>119</v>
      </c>
    </row>
    <row r="1458" ht="15" customHeight="1" spans="1:27" x14ac:dyDescent="0.25">
      <c r="A1458" s="17" t="s">
        <v>4399</v>
      </c>
      <c r="B1458" s="17" t="s">
        <v>70</v>
      </c>
      <c r="C1458" s="17" t="s">
        <v>71</v>
      </c>
      <c r="D1458" t="s">
        <v>4400</v>
      </c>
      <c r="F1458" t="s">
        <v>4401</v>
      </c>
      <c r="J1458" s="17" t="s">
        <v>4402</v>
      </c>
      <c r="K1458" s="18">
        <f>628129566567</f>
        <v>628129566567</v>
      </c>
      <c r="N1458" s="17" t="s">
        <v>77</v>
      </c>
      <c r="U1458" s="17"/>
      <c r="V1458" s="18">
        <f>628129566567</f>
        <v>628129566567</v>
      </c>
      <c r="W1458" t="s">
        <v>4403</v>
      </c>
      <c r="Y1458" s="17" t="s">
        <v>378</v>
      </c>
      <c r="AA1458" s="17">
        <v>10150</v>
      </c>
    </row>
    <row r="1459" ht="15" customHeight="1" spans="1:23" x14ac:dyDescent="0.25">
      <c r="A1459" s="17" t="s">
        <v>4404</v>
      </c>
      <c r="B1459" s="17" t="s">
        <v>70</v>
      </c>
      <c r="C1459" s="17" t="s">
        <v>71</v>
      </c>
      <c r="D1459" t="s">
        <v>4400</v>
      </c>
      <c r="F1459" t="s">
        <v>4405</v>
      </c>
      <c r="K1459" s="18">
        <f>6282299328434</f>
        <v>6282299328434</v>
      </c>
      <c r="N1459" s="17" t="s">
        <v>81</v>
      </c>
      <c r="U1459" s="17"/>
      <c r="V1459" s="18">
        <f>6282299328434</f>
        <v>6282299328434</v>
      </c>
      <c r="W1459" t="s">
        <v>4406</v>
      </c>
    </row>
    <row r="1460" ht="15" customHeight="1" spans="1:28" x14ac:dyDescent="0.25">
      <c r="A1460" s="17" t="s">
        <v>4407</v>
      </c>
      <c r="B1460" s="17" t="s">
        <v>70</v>
      </c>
      <c r="C1460" s="17" t="s">
        <v>71</v>
      </c>
      <c r="D1460" t="s">
        <v>4408</v>
      </c>
      <c r="F1460" t="s">
        <v>4409</v>
      </c>
      <c r="J1460" t="s">
        <v>115</v>
      </c>
      <c r="K1460" s="18" t="s">
        <v>4410</v>
      </c>
      <c r="N1460" s="17" t="s">
        <v>74</v>
      </c>
      <c r="O1460" t="s">
        <v>489</v>
      </c>
      <c r="U1460" s="17"/>
      <c r="V1460" s="18" t="s">
        <v>4410</v>
      </c>
      <c r="W1460" t="s">
        <v>4411</v>
      </c>
      <c r="Y1460" t="s">
        <v>4412</v>
      </c>
      <c r="AA1460" t="s">
        <v>115</v>
      </c>
      <c r="AB1460" t="s">
        <v>119</v>
      </c>
    </row>
    <row r="1461" ht="15" customHeight="1" spans="1:22" x14ac:dyDescent="0.25">
      <c r="A1461" s="17" t="s">
        <v>4413</v>
      </c>
      <c r="B1461" s="17" t="s">
        <v>70</v>
      </c>
      <c r="C1461" s="17" t="s">
        <v>71</v>
      </c>
      <c r="D1461" t="s">
        <v>4414</v>
      </c>
      <c r="F1461" t="s">
        <v>3585</v>
      </c>
      <c r="K1461" s="18">
        <f>62816888307</f>
        <v>62816888307</v>
      </c>
      <c r="N1461" s="17" t="s">
        <v>74</v>
      </c>
      <c r="V1461" s="18">
        <f>62816888307</f>
        <v>62816888307</v>
      </c>
    </row>
    <row r="1462" ht="15" customHeight="1" spans="1:22" x14ac:dyDescent="0.25">
      <c r="A1462" s="17" t="s">
        <v>4415</v>
      </c>
      <c r="B1462" s="17" t="s">
        <v>70</v>
      </c>
      <c r="C1462" s="17" t="s">
        <v>71</v>
      </c>
      <c r="D1462" t="s">
        <v>4416</v>
      </c>
      <c r="F1462" t="s">
        <v>4416</v>
      </c>
      <c r="K1462" s="18">
        <f>62817133198</f>
        <v>62817133198</v>
      </c>
      <c r="N1462" s="17" t="s">
        <v>77</v>
      </c>
      <c r="V1462" s="18">
        <f>62817133198</f>
        <v>62817133198</v>
      </c>
    </row>
    <row r="1463" ht="15" customHeight="1" spans="1:25" x14ac:dyDescent="0.25">
      <c r="A1463" s="17" t="s">
        <v>4417</v>
      </c>
      <c r="B1463" s="17" t="s">
        <v>70</v>
      </c>
      <c r="C1463" s="17" t="s">
        <v>71</v>
      </c>
      <c r="D1463" t="s">
        <v>4416</v>
      </c>
      <c r="F1463" t="s">
        <v>1564</v>
      </c>
      <c r="K1463" s="18">
        <f>6281622837</f>
        <v>6281622837</v>
      </c>
      <c r="N1463" s="17" t="s">
        <v>77</v>
      </c>
      <c r="U1463" s="17"/>
      <c r="V1463" s="18">
        <f>6281622837</f>
        <v>6281622837</v>
      </c>
      <c r="W1463" t="s">
        <v>4418</v>
      </c>
      <c r="Y1463" s="17" t="s">
        <v>96</v>
      </c>
    </row>
    <row r="1464" ht="15" customHeight="1" spans="1:22" x14ac:dyDescent="0.25">
      <c r="A1464" s="17" t="s">
        <v>4419</v>
      </c>
      <c r="B1464" s="17" t="s">
        <v>70</v>
      </c>
      <c r="C1464" s="17" t="s">
        <v>71</v>
      </c>
      <c r="D1464" t="s">
        <v>4416</v>
      </c>
      <c r="F1464" t="s">
        <v>4420</v>
      </c>
      <c r="K1464" s="18">
        <f>6281238439008</f>
        <v>6281238439008</v>
      </c>
      <c r="N1464" s="17" t="s">
        <v>77</v>
      </c>
      <c r="V1464" s="18">
        <f>6281238439008</f>
        <v>6281238439008</v>
      </c>
    </row>
    <row r="1465" ht="15" customHeight="1" spans="1:22" x14ac:dyDescent="0.25">
      <c r="A1465" s="17" t="s">
        <v>4421</v>
      </c>
      <c r="B1465" s="17" t="s">
        <v>70</v>
      </c>
      <c r="C1465" s="17" t="s">
        <v>71</v>
      </c>
      <c r="D1465" t="s">
        <v>4416</v>
      </c>
      <c r="F1465" t="s">
        <v>1564</v>
      </c>
      <c r="J1465" s="17" t="s">
        <v>4422</v>
      </c>
      <c r="K1465" s="18">
        <f>62816822837</f>
        <v>62816822837</v>
      </c>
      <c r="N1465" s="17" t="s">
        <v>74</v>
      </c>
      <c r="V1465" s="18">
        <f>62816822837</f>
        <v>62816822837</v>
      </c>
    </row>
    <row r="1466" ht="15" customHeight="1" spans="1:28" x14ac:dyDescent="0.25">
      <c r="A1466" s="17" t="s">
        <v>4423</v>
      </c>
      <c r="B1466" s="17" t="s">
        <v>70</v>
      </c>
      <c r="C1466" s="17" t="s">
        <v>71</v>
      </c>
      <c r="D1466" t="s">
        <v>4416</v>
      </c>
      <c r="F1466" t="s">
        <v>4424</v>
      </c>
      <c r="J1466" s="17" t="s">
        <v>4425</v>
      </c>
      <c r="K1466" s="18" t="s">
        <v>4426</v>
      </c>
      <c r="N1466" s="17" t="s">
        <v>77</v>
      </c>
      <c r="O1466" t="s">
        <v>261</v>
      </c>
      <c r="U1466" s="17"/>
      <c r="V1466" s="18" t="s">
        <v>4426</v>
      </c>
      <c r="W1466" t="s">
        <v>4427</v>
      </c>
      <c r="Y1466" s="17" t="s">
        <v>500</v>
      </c>
      <c r="AA1466" t="s">
        <v>501</v>
      </c>
      <c r="AB1466" t="s">
        <v>119</v>
      </c>
    </row>
    <row r="1467" ht="15" customHeight="1" spans="1:23" x14ac:dyDescent="0.25">
      <c r="A1467" s="17" t="s">
        <v>4428</v>
      </c>
      <c r="B1467" s="17" t="s">
        <v>70</v>
      </c>
      <c r="C1467" s="17" t="s">
        <v>71</v>
      </c>
      <c r="D1467" t="s">
        <v>4429</v>
      </c>
      <c r="F1467" t="s">
        <v>4430</v>
      </c>
      <c r="J1467" s="17" t="s">
        <v>4431</v>
      </c>
      <c r="K1467" s="18">
        <f>62811825434</f>
        <v>62811825434</v>
      </c>
      <c r="N1467" s="17" t="s">
        <v>81</v>
      </c>
      <c r="U1467" s="17"/>
      <c r="V1467" s="18">
        <f>62811825434</f>
        <v>62811825434</v>
      </c>
      <c r="W1467" t="s">
        <v>4432</v>
      </c>
    </row>
    <row r="1468" ht="15" customHeight="1" spans="1:25" x14ac:dyDescent="0.25">
      <c r="A1468" s="17" t="s">
        <v>4433</v>
      </c>
      <c r="B1468" s="17" t="s">
        <v>70</v>
      </c>
      <c r="C1468" s="17" t="s">
        <v>71</v>
      </c>
      <c r="D1468" t="s">
        <v>4434</v>
      </c>
      <c r="F1468" t="s">
        <v>3364</v>
      </c>
      <c r="K1468" s="18">
        <f>622130064418</f>
        <v>622130064418</v>
      </c>
      <c r="N1468" s="17" t="s">
        <v>77</v>
      </c>
      <c r="U1468" s="17"/>
      <c r="V1468" s="18">
        <f>622130064418</f>
        <v>622130064418</v>
      </c>
      <c r="W1468" t="s">
        <v>4435</v>
      </c>
      <c r="Y1468" s="17" t="s">
        <v>96</v>
      </c>
    </row>
    <row r="1469" ht="15" customHeight="1" spans="1:23" x14ac:dyDescent="0.25">
      <c r="A1469" s="17" t="s">
        <v>4436</v>
      </c>
      <c r="B1469" s="17" t="s">
        <v>70</v>
      </c>
      <c r="C1469" s="17" t="s">
        <v>71</v>
      </c>
      <c r="D1469" t="s">
        <v>4434</v>
      </c>
      <c r="F1469" t="s">
        <v>4437</v>
      </c>
      <c r="K1469" s="18">
        <f>6281221523153</f>
        <v>6281221523153</v>
      </c>
      <c r="N1469" s="17" t="s">
        <v>77</v>
      </c>
      <c r="U1469" s="17"/>
      <c r="V1469" s="18">
        <f>6281221523153</f>
        <v>6281221523153</v>
      </c>
      <c r="W1469" t="s">
        <v>500</v>
      </c>
    </row>
    <row r="1470" ht="15" customHeight="1" spans="1:22" x14ac:dyDescent="0.25">
      <c r="A1470" s="17" t="s">
        <v>4438</v>
      </c>
      <c r="B1470" s="17" t="s">
        <v>70</v>
      </c>
      <c r="C1470" s="17" t="s">
        <v>71</v>
      </c>
      <c r="D1470" t="s">
        <v>4439</v>
      </c>
      <c r="F1470" t="s">
        <v>4440</v>
      </c>
      <c r="K1470" s="18">
        <f>6281319333080</f>
        <v>6281319333080</v>
      </c>
      <c r="N1470" s="17" t="s">
        <v>77</v>
      </c>
      <c r="V1470" s="18">
        <f>6281319333080</f>
        <v>6281319333080</v>
      </c>
    </row>
    <row r="1471" ht="15" customHeight="1" spans="1:22" x14ac:dyDescent="0.25">
      <c r="A1471" s="17" t="s">
        <v>4441</v>
      </c>
      <c r="B1471" s="17" t="s">
        <v>70</v>
      </c>
      <c r="C1471" s="17" t="s">
        <v>71</v>
      </c>
      <c r="D1471" t="s">
        <v>4442</v>
      </c>
      <c r="F1471" t="s">
        <v>4443</v>
      </c>
      <c r="K1471" s="18">
        <f>6281315170804</f>
        <v>6281315170804</v>
      </c>
      <c r="N1471" s="17" t="s">
        <v>77</v>
      </c>
      <c r="V1471" s="18">
        <f>6281315170804</f>
        <v>6281315170804</v>
      </c>
    </row>
    <row r="1472" ht="15" customHeight="1" spans="1:22" x14ac:dyDescent="0.25">
      <c r="A1472" s="17" t="s">
        <v>4444</v>
      </c>
      <c r="B1472" s="17" t="s">
        <v>70</v>
      </c>
      <c r="C1472" s="17" t="s">
        <v>71</v>
      </c>
      <c r="D1472" t="s">
        <v>4445</v>
      </c>
      <c r="F1472" t="s">
        <v>4446</v>
      </c>
      <c r="K1472" s="18">
        <f>62816302556</f>
        <v>62816302556</v>
      </c>
      <c r="N1472" s="17" t="s">
        <v>77</v>
      </c>
      <c r="V1472" s="18">
        <f>62816302556</f>
        <v>62816302556</v>
      </c>
    </row>
    <row r="1473" ht="15" customHeight="1" spans="1:22" x14ac:dyDescent="0.25">
      <c r="A1473" s="17" t="s">
        <v>4447</v>
      </c>
      <c r="B1473" s="17" t="s">
        <v>70</v>
      </c>
      <c r="C1473" s="17" t="s">
        <v>71</v>
      </c>
      <c r="D1473" t="s">
        <v>4448</v>
      </c>
      <c r="F1473" t="s">
        <v>4448</v>
      </c>
      <c r="K1473" s="18">
        <f>62811999258</f>
        <v>62811999258</v>
      </c>
      <c r="N1473" s="17" t="s">
        <v>77</v>
      </c>
      <c r="V1473" s="18">
        <f>62811999258</f>
        <v>62811999258</v>
      </c>
    </row>
    <row r="1474" ht="15" customHeight="1" spans="1:25" x14ac:dyDescent="0.25">
      <c r="A1474" s="17" t="s">
        <v>4449</v>
      </c>
      <c r="B1474" s="17" t="s">
        <v>70</v>
      </c>
      <c r="C1474" s="17" t="s">
        <v>71</v>
      </c>
      <c r="D1474" t="s">
        <v>4450</v>
      </c>
      <c r="F1474" t="s">
        <v>4251</v>
      </c>
      <c r="K1474" s="18">
        <f>628561203888</f>
        <v>628561203888</v>
      </c>
      <c r="N1474" s="17" t="s">
        <v>81</v>
      </c>
      <c r="U1474" s="17"/>
      <c r="V1474" s="18">
        <f>628561203888</f>
        <v>628561203888</v>
      </c>
      <c r="W1474" t="s">
        <v>4451</v>
      </c>
      <c r="Y1474" s="17" t="s">
        <v>1084</v>
      </c>
    </row>
    <row r="1475" ht="15" customHeight="1" spans="1:27" x14ac:dyDescent="0.25">
      <c r="A1475" s="17" t="s">
        <v>4452</v>
      </c>
      <c r="B1475" s="17" t="s">
        <v>70</v>
      </c>
      <c r="C1475" s="17" t="s">
        <v>71</v>
      </c>
      <c r="D1475" t="s">
        <v>1089</v>
      </c>
      <c r="F1475" t="s">
        <v>1089</v>
      </c>
      <c r="J1475" s="17" t="s">
        <v>4453</v>
      </c>
      <c r="K1475" s="18">
        <f>6281297899189</f>
        <v>6281297899189</v>
      </c>
      <c r="N1475" s="17" t="s">
        <v>77</v>
      </c>
      <c r="U1475" s="17"/>
      <c r="V1475" s="18">
        <f>6281297899189</f>
        <v>6281297899189</v>
      </c>
      <c r="W1475" t="s">
        <v>4454</v>
      </c>
      <c r="Y1475" s="17" t="s">
        <v>378</v>
      </c>
      <c r="AA1475" s="17">
        <v>10730</v>
      </c>
    </row>
    <row r="1476" ht="15" customHeight="1" spans="1:22" x14ac:dyDescent="0.25">
      <c r="A1476" s="17" t="s">
        <v>4455</v>
      </c>
      <c r="B1476" s="17" t="s">
        <v>70</v>
      </c>
      <c r="C1476" s="17" t="s">
        <v>71</v>
      </c>
      <c r="D1476" t="s">
        <v>1089</v>
      </c>
      <c r="F1476" t="s">
        <v>1089</v>
      </c>
      <c r="K1476" s="18">
        <f>628238097181</f>
        <v>628238097181</v>
      </c>
      <c r="N1476" s="17" t="s">
        <v>81</v>
      </c>
      <c r="V1476" s="18">
        <f>628238097181</f>
        <v>628238097181</v>
      </c>
    </row>
    <row r="1477" ht="15" customHeight="1" spans="1:22" x14ac:dyDescent="0.25">
      <c r="A1477" s="17" t="s">
        <v>4456</v>
      </c>
      <c r="B1477" s="17" t="s">
        <v>70</v>
      </c>
      <c r="C1477" s="17" t="s">
        <v>71</v>
      </c>
      <c r="D1477" t="s">
        <v>4457</v>
      </c>
      <c r="F1477" t="s">
        <v>4458</v>
      </c>
      <c r="K1477" s="18">
        <f>6281329299999</f>
        <v>6281329299999</v>
      </c>
      <c r="N1477" s="17" t="s">
        <v>77</v>
      </c>
      <c r="V1477" s="18">
        <f>6281329299999</f>
        <v>6281329299999</v>
      </c>
    </row>
    <row r="1478" ht="15" customHeight="1" spans="1:22" x14ac:dyDescent="0.25">
      <c r="A1478" s="17" t="s">
        <v>4459</v>
      </c>
      <c r="B1478" s="17" t="s">
        <v>70</v>
      </c>
      <c r="C1478" s="17" t="s">
        <v>71</v>
      </c>
      <c r="D1478" t="s">
        <v>4460</v>
      </c>
      <c r="F1478" t="s">
        <v>4461</v>
      </c>
      <c r="K1478" s="18">
        <f>622125558763</f>
        <v>622125558763</v>
      </c>
      <c r="N1478" s="17" t="s">
        <v>74</v>
      </c>
      <c r="V1478" s="18">
        <f>622125558763</f>
        <v>622125558763</v>
      </c>
    </row>
    <row r="1479" ht="15" customHeight="1" spans="1:28" x14ac:dyDescent="0.25">
      <c r="A1479" s="17" t="s">
        <v>4462</v>
      </c>
      <c r="B1479" s="17" t="s">
        <v>70</v>
      </c>
      <c r="C1479" s="17" t="s">
        <v>71</v>
      </c>
      <c r="D1479" t="s">
        <v>4463</v>
      </c>
      <c r="F1479" t="s">
        <v>4464</v>
      </c>
      <c r="J1479" s="17" t="s">
        <v>4465</v>
      </c>
      <c r="K1479" s="18" t="s">
        <v>4466</v>
      </c>
      <c r="N1479" s="17" t="s">
        <v>77</v>
      </c>
      <c r="O1479" t="s">
        <v>117</v>
      </c>
      <c r="V1479" s="18" t="s">
        <v>4466</v>
      </c>
      <c r="Y1479" t="s">
        <v>90</v>
      </c>
      <c r="AA1479" t="s">
        <v>118</v>
      </c>
      <c r="AB1479" t="s">
        <v>119</v>
      </c>
    </row>
    <row r="1480" ht="15" customHeight="1" spans="1:22" x14ac:dyDescent="0.25">
      <c r="A1480" s="17" t="s">
        <v>4467</v>
      </c>
      <c r="B1480" s="17" t="s">
        <v>70</v>
      </c>
      <c r="C1480" s="17" t="s">
        <v>71</v>
      </c>
      <c r="D1480" t="s">
        <v>4468</v>
      </c>
      <c r="F1480" t="s">
        <v>4469</v>
      </c>
      <c r="K1480" s="18">
        <f>628111010388</f>
        <v>628111010388</v>
      </c>
      <c r="N1480" s="17" t="s">
        <v>81</v>
      </c>
      <c r="V1480" s="18">
        <f>628111010388</f>
        <v>628111010388</v>
      </c>
    </row>
    <row r="1481" ht="15" customHeight="1" spans="1:25" x14ac:dyDescent="0.25">
      <c r="A1481" s="17" t="s">
        <v>4470</v>
      </c>
      <c r="B1481" s="17" t="s">
        <v>70</v>
      </c>
      <c r="C1481" s="17" t="s">
        <v>71</v>
      </c>
      <c r="D1481" t="s">
        <v>4471</v>
      </c>
      <c r="F1481" t="s">
        <v>4472</v>
      </c>
      <c r="K1481" s="18">
        <f>628324724326</f>
        <v>628324724326</v>
      </c>
      <c r="N1481" s="17" t="s">
        <v>81</v>
      </c>
      <c r="U1481" s="17"/>
      <c r="V1481" s="18">
        <f>628324724326</f>
        <v>628324724326</v>
      </c>
      <c r="W1481" t="s">
        <v>4473</v>
      </c>
      <c r="Y1481" s="17" t="s">
        <v>930</v>
      </c>
    </row>
    <row r="1482" ht="15" customHeight="1" spans="1:22" x14ac:dyDescent="0.25">
      <c r="A1482" s="17" t="s">
        <v>4474</v>
      </c>
      <c r="B1482" s="17" t="s">
        <v>70</v>
      </c>
      <c r="C1482" s="17" t="s">
        <v>71</v>
      </c>
      <c r="D1482" t="s">
        <v>4283</v>
      </c>
      <c r="F1482" t="s">
        <v>2412</v>
      </c>
      <c r="K1482" s="18">
        <f>62811890984</f>
        <v>62811890984</v>
      </c>
      <c r="N1482" s="17" t="s">
        <v>77</v>
      </c>
      <c r="V1482" s="18">
        <f>62811890984</f>
        <v>62811890984</v>
      </c>
    </row>
    <row r="1483" ht="15" customHeight="1" spans="1:22" x14ac:dyDescent="0.25">
      <c r="A1483" s="17" t="s">
        <v>4475</v>
      </c>
      <c r="B1483" s="17" t="s">
        <v>70</v>
      </c>
      <c r="C1483" s="17" t="s">
        <v>71</v>
      </c>
      <c r="D1483" t="s">
        <v>4283</v>
      </c>
      <c r="F1483" t="s">
        <v>4476</v>
      </c>
      <c r="K1483" s="18">
        <f>62217223775</f>
        <v>62217223775</v>
      </c>
      <c r="N1483" s="17" t="s">
        <v>77</v>
      </c>
      <c r="V1483" s="18">
        <f>62217223775</f>
        <v>62217223775</v>
      </c>
    </row>
    <row r="1484" ht="15" customHeight="1" spans="1:28" x14ac:dyDescent="0.25">
      <c r="A1484" s="17" t="s">
        <v>4477</v>
      </c>
      <c r="B1484" s="17" t="s">
        <v>70</v>
      </c>
      <c r="C1484" s="17" t="s">
        <v>71</v>
      </c>
      <c r="D1484" t="s">
        <v>4478</v>
      </c>
      <c r="F1484" t="s">
        <v>4479</v>
      </c>
      <c r="J1484" t="s">
        <v>115</v>
      </c>
      <c r="K1484" s="18" t="s">
        <v>4480</v>
      </c>
      <c r="N1484" s="17" t="s">
        <v>77</v>
      </c>
      <c r="O1484" t="s">
        <v>199</v>
      </c>
      <c r="V1484" s="18" t="s">
        <v>4480</v>
      </c>
      <c r="Y1484" t="s">
        <v>190</v>
      </c>
      <c r="AA1484" t="s">
        <v>118</v>
      </c>
      <c r="AB1484" t="s">
        <v>119</v>
      </c>
    </row>
    <row r="1485" ht="15" customHeight="1" spans="1:22" x14ac:dyDescent="0.25">
      <c r="A1485" s="17" t="s">
        <v>4481</v>
      </c>
      <c r="B1485" s="17" t="s">
        <v>70</v>
      </c>
      <c r="C1485" s="17" t="s">
        <v>71</v>
      </c>
      <c r="D1485" t="s">
        <v>4478</v>
      </c>
      <c r="F1485" t="s">
        <v>1009</v>
      </c>
      <c r="J1485" s="17" t="s">
        <v>4482</v>
      </c>
      <c r="K1485" s="18">
        <f>628119882281</f>
        <v>628119882281</v>
      </c>
      <c r="N1485" s="17" t="s">
        <v>77</v>
      </c>
      <c r="V1485" s="18">
        <f>628119882281</f>
        <v>628119882281</v>
      </c>
    </row>
    <row r="1486" ht="15" customHeight="1" spans="1:22" x14ac:dyDescent="0.25">
      <c r="A1486" s="17" t="s">
        <v>4483</v>
      </c>
      <c r="B1486" s="17" t="s">
        <v>70</v>
      </c>
      <c r="C1486" s="17" t="s">
        <v>71</v>
      </c>
      <c r="D1486" t="s">
        <v>4484</v>
      </c>
      <c r="F1486" t="s">
        <v>4485</v>
      </c>
      <c r="K1486" s="18">
        <f>6281111932012</f>
        <v>6281111932012</v>
      </c>
      <c r="N1486" s="17" t="s">
        <v>81</v>
      </c>
      <c r="V1486" s="18">
        <f>6281111932012</f>
        <v>6281111932012</v>
      </c>
    </row>
    <row r="1487" ht="15" customHeight="1" spans="1:22" x14ac:dyDescent="0.25">
      <c r="A1487" s="17" t="s">
        <v>4486</v>
      </c>
      <c r="B1487" s="17" t="s">
        <v>70</v>
      </c>
      <c r="C1487" s="17" t="s">
        <v>71</v>
      </c>
      <c r="D1487" t="s">
        <v>4487</v>
      </c>
      <c r="F1487" t="s">
        <v>4488</v>
      </c>
      <c r="K1487" s="18">
        <f>6281290912876</f>
        <v>6281290912876</v>
      </c>
      <c r="N1487" s="17" t="s">
        <v>77</v>
      </c>
      <c r="V1487" s="18">
        <f>6281290912876</f>
        <v>6281290912876</v>
      </c>
    </row>
    <row r="1488" ht="15" customHeight="1" spans="1:28" x14ac:dyDescent="0.25">
      <c r="A1488" s="17" t="s">
        <v>4489</v>
      </c>
      <c r="B1488" s="17" t="s">
        <v>70</v>
      </c>
      <c r="C1488" s="17" t="s">
        <v>71</v>
      </c>
      <c r="D1488" t="s">
        <v>2067</v>
      </c>
      <c r="F1488" t="s">
        <v>2077</v>
      </c>
      <c r="J1488" t="s">
        <v>2078</v>
      </c>
      <c r="K1488" s="18" t="s">
        <v>4490</v>
      </c>
      <c r="N1488" s="17" t="s">
        <v>77</v>
      </c>
      <c r="O1488" t="s">
        <v>261</v>
      </c>
      <c r="U1488" s="17"/>
      <c r="V1488" s="18" t="s">
        <v>4490</v>
      </c>
      <c r="W1488" t="s">
        <v>4491</v>
      </c>
      <c r="Y1488" t="s">
        <v>704</v>
      </c>
      <c r="AA1488" t="s">
        <v>705</v>
      </c>
      <c r="AB1488" t="s">
        <v>119</v>
      </c>
    </row>
    <row r="1489" ht="15" customHeight="1" spans="1:22" x14ac:dyDescent="0.25">
      <c r="A1489" s="17" t="s">
        <v>4492</v>
      </c>
      <c r="B1489" s="17" t="s">
        <v>70</v>
      </c>
      <c r="C1489" s="17" t="s">
        <v>71</v>
      </c>
      <c r="D1489" t="s">
        <v>4493</v>
      </c>
      <c r="F1489" t="s">
        <v>4494</v>
      </c>
      <c r="K1489" s="18">
        <f>6285739960859</f>
        <v>6285739960859</v>
      </c>
      <c r="N1489" s="17" t="s">
        <v>77</v>
      </c>
      <c r="V1489" s="18">
        <f>6285739960859</f>
        <v>6285739960859</v>
      </c>
    </row>
    <row r="1490" ht="15" customHeight="1" spans="1:22" x14ac:dyDescent="0.25">
      <c r="A1490" s="17" t="s">
        <v>4495</v>
      </c>
      <c r="B1490" s="17" t="s">
        <v>70</v>
      </c>
      <c r="C1490" s="17" t="s">
        <v>71</v>
      </c>
      <c r="D1490" t="s">
        <v>4496</v>
      </c>
      <c r="F1490" t="s">
        <v>860</v>
      </c>
      <c r="K1490" s="18">
        <f>6281510555555</f>
        <v>6281510555555</v>
      </c>
      <c r="N1490" s="17" t="s">
        <v>77</v>
      </c>
      <c r="V1490" s="18">
        <f>6281510555555</f>
        <v>6281510555555</v>
      </c>
    </row>
    <row r="1491" ht="15" customHeight="1" spans="1:28" x14ac:dyDescent="0.25">
      <c r="A1491" s="17" t="s">
        <v>4497</v>
      </c>
      <c r="B1491" s="17" t="s">
        <v>70</v>
      </c>
      <c r="C1491" s="17" t="s">
        <v>71</v>
      </c>
      <c r="D1491" t="s">
        <v>4498</v>
      </c>
      <c r="F1491" t="s">
        <v>4499</v>
      </c>
      <c r="J1491" t="s">
        <v>4500</v>
      </c>
      <c r="K1491" s="18" t="s">
        <v>4501</v>
      </c>
      <c r="N1491" s="17" t="s">
        <v>77</v>
      </c>
      <c r="O1491" t="s">
        <v>117</v>
      </c>
      <c r="U1491" s="17"/>
      <c r="V1491" s="18" t="s">
        <v>4501</v>
      </c>
      <c r="W1491" t="s">
        <v>4502</v>
      </c>
      <c r="Y1491" s="17" t="s">
        <v>190</v>
      </c>
      <c r="AA1491" t="s">
        <v>118</v>
      </c>
      <c r="AB1491" t="s">
        <v>119</v>
      </c>
    </row>
    <row r="1492" ht="15" customHeight="1" spans="1:23" x14ac:dyDescent="0.25">
      <c r="A1492" s="17" t="s">
        <v>4503</v>
      </c>
      <c r="B1492" s="17" t="s">
        <v>70</v>
      </c>
      <c r="C1492" s="17" t="s">
        <v>71</v>
      </c>
      <c r="D1492" t="s">
        <v>4504</v>
      </c>
      <c r="F1492" t="s">
        <v>4504</v>
      </c>
      <c r="K1492" s="18">
        <f>6281297739106</f>
        <v>6281297739106</v>
      </c>
      <c r="N1492" s="17" t="s">
        <v>81</v>
      </c>
      <c r="U1492" s="17"/>
      <c r="V1492" s="18">
        <f>6281297739106</f>
        <v>6281297739106</v>
      </c>
      <c r="W1492" t="s">
        <v>4505</v>
      </c>
    </row>
    <row r="1493" ht="15" customHeight="1" spans="1:22" x14ac:dyDescent="0.25">
      <c r="A1493" s="17" t="s">
        <v>4506</v>
      </c>
      <c r="B1493" s="17" t="s">
        <v>70</v>
      </c>
      <c r="C1493" s="17" t="s">
        <v>71</v>
      </c>
      <c r="D1493" t="s">
        <v>4507</v>
      </c>
      <c r="F1493" t="s">
        <v>4507</v>
      </c>
      <c r="K1493" s="18">
        <f>6281310008000</f>
        <v>6281310008000</v>
      </c>
      <c r="N1493" s="17" t="s">
        <v>77</v>
      </c>
      <c r="V1493" s="18">
        <f>6281310008000</f>
        <v>6281310008000</v>
      </c>
    </row>
    <row r="1494" ht="15" customHeight="1" spans="1:22" x14ac:dyDescent="0.25">
      <c r="A1494" s="17" t="s">
        <v>4508</v>
      </c>
      <c r="B1494" s="17" t="s">
        <v>70</v>
      </c>
      <c r="C1494" s="17" t="s">
        <v>71</v>
      </c>
      <c r="D1494" t="s">
        <v>4507</v>
      </c>
      <c r="F1494" t="s">
        <v>4507</v>
      </c>
      <c r="K1494" s="18">
        <f>628129490373</f>
        <v>628129490373</v>
      </c>
      <c r="N1494" s="17" t="s">
        <v>77</v>
      </c>
      <c r="V1494" s="18">
        <f>628129490373</f>
        <v>628129490373</v>
      </c>
    </row>
    <row r="1495" ht="15" customHeight="1" spans="1:22" x14ac:dyDescent="0.25">
      <c r="A1495" s="17" t="s">
        <v>4509</v>
      </c>
      <c r="B1495" s="17" t="s">
        <v>70</v>
      </c>
      <c r="C1495" s="17" t="s">
        <v>71</v>
      </c>
      <c r="D1495" t="s">
        <v>4510</v>
      </c>
      <c r="F1495" t="s">
        <v>4510</v>
      </c>
      <c r="K1495" s="18">
        <f>628129376721</f>
        <v>628129376721</v>
      </c>
      <c r="N1495" s="17" t="s">
        <v>77</v>
      </c>
      <c r="V1495" s="18">
        <f>628129376721</f>
        <v>628129376721</v>
      </c>
    </row>
    <row r="1496" ht="15" customHeight="1" spans="1:22" x14ac:dyDescent="0.25">
      <c r="A1496" s="17" t="s">
        <v>4511</v>
      </c>
      <c r="B1496" s="17" t="s">
        <v>70</v>
      </c>
      <c r="C1496" s="17" t="s">
        <v>71</v>
      </c>
      <c r="D1496" t="s">
        <v>4512</v>
      </c>
      <c r="F1496" t="s">
        <v>4513</v>
      </c>
      <c r="K1496" s="18">
        <f>6281234561090</f>
        <v>6281234561090</v>
      </c>
      <c r="N1496" s="17" t="s">
        <v>81</v>
      </c>
      <c r="V1496" s="18">
        <f>6281234561090</f>
        <v>6281234561090</v>
      </c>
    </row>
    <row r="1497" ht="15" customHeight="1" spans="1:27" x14ac:dyDescent="0.25">
      <c r="A1497" s="17" t="s">
        <v>4514</v>
      </c>
      <c r="B1497" s="17" t="s">
        <v>70</v>
      </c>
      <c r="C1497" s="17" t="s">
        <v>71</v>
      </c>
      <c r="D1497" t="s">
        <v>4515</v>
      </c>
      <c r="F1497" t="s">
        <v>4515</v>
      </c>
      <c r="K1497" s="18">
        <f>62816988000</f>
        <v>62816988000</v>
      </c>
      <c r="N1497" s="17" t="s">
        <v>77</v>
      </c>
      <c r="U1497" s="17"/>
      <c r="V1497" s="18">
        <f>62816988000</f>
        <v>62816988000</v>
      </c>
      <c r="W1497" t="s">
        <v>4516</v>
      </c>
      <c r="Y1497" s="17" t="s">
        <v>96</v>
      </c>
      <c r="AA1497" s="17" t="s">
        <v>4028</v>
      </c>
    </row>
    <row r="1498" ht="15" customHeight="1" spans="1:28" x14ac:dyDescent="0.25">
      <c r="A1498" s="17" t="s">
        <v>4517</v>
      </c>
      <c r="B1498" s="17" t="s">
        <v>70</v>
      </c>
      <c r="C1498" s="17" t="s">
        <v>71</v>
      </c>
      <c r="D1498" t="s">
        <v>4515</v>
      </c>
      <c r="F1498" t="s">
        <v>4518</v>
      </c>
      <c r="J1498" t="s">
        <v>115</v>
      </c>
      <c r="K1498" s="18" t="s">
        <v>4519</v>
      </c>
      <c r="N1498" s="17" t="s">
        <v>77</v>
      </c>
      <c r="O1498" t="s">
        <v>145</v>
      </c>
      <c r="V1498" s="18" t="s">
        <v>4519</v>
      </c>
      <c r="Y1498" t="s">
        <v>90</v>
      </c>
      <c r="AA1498" t="s">
        <v>118</v>
      </c>
      <c r="AB1498" t="s">
        <v>119</v>
      </c>
    </row>
    <row r="1499" ht="15" customHeight="1" spans="1:22" x14ac:dyDescent="0.25">
      <c r="A1499" s="17" t="s">
        <v>4520</v>
      </c>
      <c r="B1499" s="17" t="s">
        <v>70</v>
      </c>
      <c r="C1499" s="17" t="s">
        <v>71</v>
      </c>
      <c r="D1499" t="s">
        <v>4521</v>
      </c>
      <c r="F1499" t="s">
        <v>942</v>
      </c>
      <c r="K1499" s="18">
        <f>62811022024</f>
        <v>62811022024</v>
      </c>
      <c r="N1499" s="17" t="s">
        <v>81</v>
      </c>
      <c r="V1499" s="18">
        <f>62811022024</f>
        <v>62811022024</v>
      </c>
    </row>
    <row r="1500" ht="15" customHeight="1" spans="1:28" x14ac:dyDescent="0.25">
      <c r="A1500" s="17" t="s">
        <v>4522</v>
      </c>
      <c r="B1500" s="17" t="s">
        <v>70</v>
      </c>
      <c r="C1500" s="17" t="s">
        <v>71</v>
      </c>
      <c r="D1500" t="s">
        <v>4523</v>
      </c>
      <c r="F1500" t="s">
        <v>4524</v>
      </c>
      <c r="J1500" t="s">
        <v>4525</v>
      </c>
      <c r="K1500" s="18" t="s">
        <v>4526</v>
      </c>
      <c r="N1500" s="17" t="s">
        <v>77</v>
      </c>
      <c r="O1500" t="s">
        <v>145</v>
      </c>
      <c r="U1500" s="17"/>
      <c r="V1500" s="18" t="s">
        <v>4526</v>
      </c>
      <c r="W1500" t="s">
        <v>4527</v>
      </c>
      <c r="Y1500" t="s">
        <v>96</v>
      </c>
      <c r="AA1500" t="s">
        <v>693</v>
      </c>
      <c r="AB1500" t="s">
        <v>119</v>
      </c>
    </row>
    <row r="1501" ht="15" customHeight="1" spans="1:28" x14ac:dyDescent="0.25">
      <c r="A1501" s="17" t="s">
        <v>4528</v>
      </c>
      <c r="B1501" s="17" t="s">
        <v>70</v>
      </c>
      <c r="C1501" s="17" t="s">
        <v>71</v>
      </c>
      <c r="D1501" t="s">
        <v>4529</v>
      </c>
      <c r="F1501" t="s">
        <v>4530</v>
      </c>
      <c r="J1501" s="17" t="s">
        <v>4531</v>
      </c>
      <c r="K1501" s="18" t="s">
        <v>4532</v>
      </c>
      <c r="N1501" s="17" t="s">
        <v>77</v>
      </c>
      <c r="O1501" t="s">
        <v>199</v>
      </c>
      <c r="U1501" s="17"/>
      <c r="V1501" s="18" t="s">
        <v>4532</v>
      </c>
      <c r="W1501" t="s">
        <v>2914</v>
      </c>
      <c r="Y1501" t="s">
        <v>250</v>
      </c>
      <c r="AA1501" t="s">
        <v>115</v>
      </c>
      <c r="AB1501" t="s">
        <v>119</v>
      </c>
    </row>
    <row r="1502" ht="15" customHeight="1" spans="1:28" x14ac:dyDescent="0.25">
      <c r="A1502" s="17" t="s">
        <v>4533</v>
      </c>
      <c r="B1502" s="17" t="s">
        <v>70</v>
      </c>
      <c r="C1502" s="17" t="s">
        <v>71</v>
      </c>
      <c r="D1502" t="s">
        <v>4534</v>
      </c>
      <c r="F1502" t="s">
        <v>4535</v>
      </c>
      <c r="J1502" t="s">
        <v>115</v>
      </c>
      <c r="K1502" s="18" t="s">
        <v>4536</v>
      </c>
      <c r="N1502" s="17" t="s">
        <v>77</v>
      </c>
      <c r="O1502" t="s">
        <v>117</v>
      </c>
      <c r="U1502" s="17"/>
      <c r="V1502" s="18" t="s">
        <v>4536</v>
      </c>
      <c r="W1502" t="s">
        <v>4537</v>
      </c>
      <c r="Y1502" t="s">
        <v>90</v>
      </c>
      <c r="AA1502" t="s">
        <v>118</v>
      </c>
      <c r="AB1502" t="s">
        <v>119</v>
      </c>
    </row>
    <row r="1503" ht="15" customHeight="1" spans="1:22" x14ac:dyDescent="0.25">
      <c r="A1503" s="17" t="s">
        <v>4538</v>
      </c>
      <c r="B1503" s="17" t="s">
        <v>70</v>
      </c>
      <c r="C1503" s="17" t="s">
        <v>71</v>
      </c>
      <c r="D1503" t="s">
        <v>4539</v>
      </c>
      <c r="F1503" t="s">
        <v>4540</v>
      </c>
      <c r="K1503" s="18">
        <f>62811755142</f>
        <v>62811755142</v>
      </c>
      <c r="N1503" s="17" t="s">
        <v>81</v>
      </c>
      <c r="V1503" s="18">
        <f>62811755142</f>
        <v>62811755142</v>
      </c>
    </row>
    <row r="1504" ht="15" customHeight="1" spans="1:23" x14ac:dyDescent="0.25">
      <c r="A1504" s="17" t="s">
        <v>4541</v>
      </c>
      <c r="B1504" s="17" t="s">
        <v>70</v>
      </c>
      <c r="C1504" s="17" t="s">
        <v>71</v>
      </c>
      <c r="D1504" t="s">
        <v>4542</v>
      </c>
      <c r="F1504" t="s">
        <v>4543</v>
      </c>
      <c r="K1504" s="18">
        <f>628129878791</f>
        <v>628129878791</v>
      </c>
      <c r="N1504" s="17" t="s">
        <v>77</v>
      </c>
      <c r="U1504" s="17"/>
      <c r="V1504" s="18">
        <f>628129878791</f>
        <v>628129878791</v>
      </c>
      <c r="W1504" t="s">
        <v>4544</v>
      </c>
    </row>
    <row r="1505" ht="15" customHeight="1" spans="1:27" x14ac:dyDescent="0.25">
      <c r="A1505" s="17" t="s">
        <v>4545</v>
      </c>
      <c r="B1505" s="17" t="s">
        <v>70</v>
      </c>
      <c r="C1505" s="17" t="s">
        <v>71</v>
      </c>
      <c r="D1505" t="s">
        <v>4542</v>
      </c>
      <c r="F1505" t="s">
        <v>4546</v>
      </c>
      <c r="K1505" s="18">
        <f>6281331036680</f>
        <v>6281331036680</v>
      </c>
      <c r="N1505" s="17" t="s">
        <v>77</v>
      </c>
      <c r="U1505" s="17"/>
      <c r="V1505" s="18">
        <f>6281331036680</f>
        <v>6281331036680</v>
      </c>
      <c r="W1505" t="s">
        <v>4547</v>
      </c>
      <c r="AA1505" s="17" t="s">
        <v>4548</v>
      </c>
    </row>
    <row r="1506" ht="15" customHeight="1" spans="1:23" x14ac:dyDescent="0.25">
      <c r="A1506" s="17" t="s">
        <v>4549</v>
      </c>
      <c r="B1506" s="17" t="s">
        <v>70</v>
      </c>
      <c r="C1506" s="17" t="s">
        <v>71</v>
      </c>
      <c r="D1506" t="s">
        <v>4542</v>
      </c>
      <c r="F1506" t="s">
        <v>4550</v>
      </c>
      <c r="J1506" s="17" t="s">
        <v>4551</v>
      </c>
      <c r="K1506" s="18">
        <f>6287822690087</f>
        <v>6287822690087</v>
      </c>
      <c r="N1506" s="17" t="s">
        <v>77</v>
      </c>
      <c r="U1506" s="17"/>
      <c r="V1506" s="18">
        <f>6287822690087</f>
        <v>6287822690087</v>
      </c>
      <c r="W1506" t="s">
        <v>4552</v>
      </c>
    </row>
    <row r="1507" ht="15" customHeight="1" spans="1:28" x14ac:dyDescent="0.25">
      <c r="A1507" s="17" t="s">
        <v>4553</v>
      </c>
      <c r="B1507" s="17" t="s">
        <v>70</v>
      </c>
      <c r="C1507" s="17" t="s">
        <v>71</v>
      </c>
      <c r="D1507" t="s">
        <v>4554</v>
      </c>
      <c r="F1507" t="s">
        <v>4555</v>
      </c>
      <c r="J1507" s="17" t="s">
        <v>4556</v>
      </c>
      <c r="K1507" s="18" t="s">
        <v>4557</v>
      </c>
      <c r="N1507" s="17" t="s">
        <v>74</v>
      </c>
      <c r="O1507" t="s">
        <v>145</v>
      </c>
      <c r="U1507" s="17"/>
      <c r="V1507" s="18" t="s">
        <v>4557</v>
      </c>
      <c r="W1507" t="s">
        <v>4558</v>
      </c>
      <c r="Y1507" s="17" t="s">
        <v>90</v>
      </c>
      <c r="AA1507" t="s">
        <v>118</v>
      </c>
      <c r="AB1507" t="s">
        <v>119</v>
      </c>
    </row>
    <row r="1508" ht="15" customHeight="1" spans="1:22" x14ac:dyDescent="0.25">
      <c r="A1508" s="17" t="s">
        <v>4559</v>
      </c>
      <c r="B1508" s="17" t="s">
        <v>70</v>
      </c>
      <c r="C1508" s="17" t="s">
        <v>71</v>
      </c>
      <c r="D1508" t="s">
        <v>4554</v>
      </c>
      <c r="F1508" t="s">
        <v>355</v>
      </c>
      <c r="K1508" s="18">
        <f>628121099648</f>
        <v>628121099648</v>
      </c>
      <c r="N1508" s="17" t="s">
        <v>77</v>
      </c>
      <c r="V1508" s="18">
        <f>628121099648</f>
        <v>628121099648</v>
      </c>
    </row>
    <row r="1509" ht="15" customHeight="1" spans="1:23" x14ac:dyDescent="0.25">
      <c r="A1509" s="17" t="s">
        <v>4560</v>
      </c>
      <c r="B1509" s="17" t="s">
        <v>70</v>
      </c>
      <c r="C1509" s="17" t="s">
        <v>71</v>
      </c>
      <c r="D1509" t="s">
        <v>4561</v>
      </c>
      <c r="F1509" t="s">
        <v>4562</v>
      </c>
      <c r="J1509" s="17" t="s">
        <v>4563</v>
      </c>
      <c r="K1509" s="18">
        <f>795858571650</f>
        <v>795858571650</v>
      </c>
      <c r="N1509" s="17" t="s">
        <v>77</v>
      </c>
      <c r="U1509" s="17"/>
      <c r="V1509" s="18">
        <f>795858571650</f>
        <v>795858571650</v>
      </c>
      <c r="W1509" t="s">
        <v>1908</v>
      </c>
    </row>
    <row r="1510" ht="15" customHeight="1" spans="1:27" x14ac:dyDescent="0.25">
      <c r="A1510" s="17" t="s">
        <v>4564</v>
      </c>
      <c r="B1510" s="17" t="s">
        <v>70</v>
      </c>
      <c r="C1510" s="17" t="s">
        <v>71</v>
      </c>
      <c r="D1510" t="s">
        <v>4565</v>
      </c>
      <c r="F1510" t="s">
        <v>4566</v>
      </c>
      <c r="K1510" s="18">
        <f>628118833778</f>
        <v>628118833778</v>
      </c>
      <c r="N1510" s="17" t="s">
        <v>77</v>
      </c>
      <c r="U1510" s="17"/>
      <c r="V1510" s="18">
        <f>628118833778</f>
        <v>628118833778</v>
      </c>
      <c r="W1510" t="s">
        <v>4567</v>
      </c>
      <c r="Y1510" s="17" t="s">
        <v>515</v>
      </c>
      <c r="AA1510" s="17" t="s">
        <v>4568</v>
      </c>
    </row>
    <row r="1511" ht="15" customHeight="1" spans="1:23" x14ac:dyDescent="0.25">
      <c r="A1511" s="17" t="s">
        <v>4569</v>
      </c>
      <c r="B1511" s="17" t="s">
        <v>70</v>
      </c>
      <c r="C1511" s="17" t="s">
        <v>71</v>
      </c>
      <c r="D1511" t="s">
        <v>4570</v>
      </c>
      <c r="F1511" t="s">
        <v>4571</v>
      </c>
      <c r="J1511" s="17" t="s">
        <v>4572</v>
      </c>
      <c r="K1511" s="18">
        <f>6281212901989</f>
        <v>6281212901989</v>
      </c>
      <c r="N1511" s="17" t="s">
        <v>77</v>
      </c>
      <c r="U1511" s="17"/>
      <c r="V1511" s="18">
        <f>6281212901989</f>
        <v>6281212901989</v>
      </c>
      <c r="W1511" t="s">
        <v>4573</v>
      </c>
    </row>
    <row r="1512" ht="15" customHeight="1" spans="1:22" x14ac:dyDescent="0.25">
      <c r="A1512" s="17" t="s">
        <v>4574</v>
      </c>
      <c r="B1512" s="17" t="s">
        <v>70</v>
      </c>
      <c r="C1512" s="17" t="s">
        <v>71</v>
      </c>
      <c r="D1512" t="s">
        <v>4575</v>
      </c>
      <c r="F1512" t="s">
        <v>4576</v>
      </c>
      <c r="K1512" s="18">
        <f>6282110200287</f>
        <v>6282110200287</v>
      </c>
      <c r="N1512" s="17" t="s">
        <v>77</v>
      </c>
      <c r="V1512" s="18">
        <f>6282110200287</f>
        <v>6282110200287</v>
      </c>
    </row>
    <row r="1513" ht="15" customHeight="1" spans="1:23" x14ac:dyDescent="0.25">
      <c r="A1513" s="17" t="s">
        <v>4577</v>
      </c>
      <c r="B1513" s="17" t="s">
        <v>70</v>
      </c>
      <c r="C1513" s="17" t="s">
        <v>71</v>
      </c>
      <c r="D1513" t="s">
        <v>4578</v>
      </c>
      <c r="F1513" t="s">
        <v>209</v>
      </c>
      <c r="K1513" s="18">
        <f>6282134557991</f>
        <v>6282134557991</v>
      </c>
      <c r="N1513" s="17" t="s">
        <v>77</v>
      </c>
      <c r="U1513" s="17"/>
      <c r="V1513" s="18">
        <f>6282134557991</f>
        <v>6282134557991</v>
      </c>
      <c r="W1513" t="s">
        <v>4579</v>
      </c>
    </row>
    <row r="1514" ht="15" customHeight="1" spans="1:25" x14ac:dyDescent="0.25">
      <c r="A1514" s="17" t="s">
        <v>4580</v>
      </c>
      <c r="B1514" s="17" t="s">
        <v>70</v>
      </c>
      <c r="C1514" s="17" t="s">
        <v>71</v>
      </c>
      <c r="D1514" t="s">
        <v>4581</v>
      </c>
      <c r="F1514" t="s">
        <v>4582</v>
      </c>
      <c r="K1514" s="18">
        <f>6281297750711</f>
        <v>6281297750711</v>
      </c>
      <c r="N1514" s="17" t="s">
        <v>74</v>
      </c>
      <c r="U1514" s="17"/>
      <c r="V1514" s="18">
        <f>6281297750711</f>
        <v>6281297750711</v>
      </c>
      <c r="W1514" t="s">
        <v>4583</v>
      </c>
      <c r="Y1514" s="17" t="s">
        <v>96</v>
      </c>
    </row>
    <row r="1515" ht="15" customHeight="1" spans="1:22" x14ac:dyDescent="0.25">
      <c r="A1515" s="17" t="s">
        <v>4584</v>
      </c>
      <c r="B1515" s="17" t="s">
        <v>70</v>
      </c>
      <c r="C1515" s="17" t="s">
        <v>71</v>
      </c>
      <c r="D1515" t="s">
        <v>544</v>
      </c>
      <c r="F1515" t="s">
        <v>983</v>
      </c>
      <c r="J1515" s="17" t="s">
        <v>4585</v>
      </c>
      <c r="K1515" s="18">
        <f>6282131933123</f>
        <v>6282131933123</v>
      </c>
      <c r="N1515" s="17" t="s">
        <v>81</v>
      </c>
      <c r="V1515" s="18">
        <f>6282131933123</f>
        <v>6282131933123</v>
      </c>
    </row>
    <row r="1516" ht="15" customHeight="1" spans="1:22" x14ac:dyDescent="0.25">
      <c r="A1516" s="17" t="s">
        <v>4586</v>
      </c>
      <c r="B1516" s="17" t="s">
        <v>70</v>
      </c>
      <c r="C1516" s="17" t="s">
        <v>71</v>
      </c>
      <c r="D1516" t="s">
        <v>4587</v>
      </c>
      <c r="F1516" t="s">
        <v>4588</v>
      </c>
      <c r="K1516" s="18">
        <f>6281318386252</f>
        <v>6281318386252</v>
      </c>
      <c r="N1516" s="17" t="s">
        <v>81</v>
      </c>
      <c r="V1516" s="18">
        <f>6281318386252</f>
        <v>6281318386252</v>
      </c>
    </row>
    <row r="1517" ht="15" customHeight="1" spans="1:23" x14ac:dyDescent="0.25">
      <c r="A1517" s="17" t="s">
        <v>4589</v>
      </c>
      <c r="B1517" s="17" t="s">
        <v>70</v>
      </c>
      <c r="C1517" s="17" t="s">
        <v>71</v>
      </c>
      <c r="D1517" t="s">
        <v>4590</v>
      </c>
      <c r="F1517" t="s">
        <v>4591</v>
      </c>
      <c r="K1517" s="18">
        <f>628115991099</f>
        <v>628115991099</v>
      </c>
      <c r="N1517" s="17" t="s">
        <v>81</v>
      </c>
      <c r="U1517" s="17"/>
      <c r="V1517" s="18">
        <f>628115991099</f>
        <v>628115991099</v>
      </c>
      <c r="W1517" t="s">
        <v>4592</v>
      </c>
    </row>
    <row r="1518" ht="15" customHeight="1" spans="1:27" x14ac:dyDescent="0.25">
      <c r="A1518" s="17" t="s">
        <v>4593</v>
      </c>
      <c r="B1518" s="17" t="s">
        <v>70</v>
      </c>
      <c r="C1518" s="17" t="s">
        <v>71</v>
      </c>
      <c r="D1518" t="s">
        <v>4594</v>
      </c>
      <c r="F1518" t="s">
        <v>2938</v>
      </c>
      <c r="J1518" s="17" t="s">
        <v>4595</v>
      </c>
      <c r="K1518" s="18">
        <f>6281213484381</f>
        <v>6281213484381</v>
      </c>
      <c r="N1518" s="17" t="s">
        <v>81</v>
      </c>
      <c r="U1518" s="17"/>
      <c r="V1518" s="18">
        <f>6281213484381</f>
        <v>6281213484381</v>
      </c>
      <c r="W1518" t="s">
        <v>4596</v>
      </c>
      <c r="Y1518" s="17" t="s">
        <v>96</v>
      </c>
      <c r="AA1518" s="17">
        <v>12910</v>
      </c>
    </row>
    <row r="1519" ht="15" customHeight="1" spans="1:28" x14ac:dyDescent="0.25">
      <c r="A1519" s="17" t="s">
        <v>4597</v>
      </c>
      <c r="B1519" s="17" t="s">
        <v>70</v>
      </c>
      <c r="C1519" s="17" t="s">
        <v>71</v>
      </c>
      <c r="D1519" t="s">
        <v>4598</v>
      </c>
      <c r="F1519" t="s">
        <v>1396</v>
      </c>
      <c r="J1519" t="s">
        <v>115</v>
      </c>
      <c r="K1519" s="18" t="s">
        <v>4599</v>
      </c>
      <c r="N1519" s="17" t="s">
        <v>77</v>
      </c>
      <c r="O1519" t="s">
        <v>261</v>
      </c>
      <c r="U1519" s="17"/>
      <c r="V1519" s="18" t="s">
        <v>4599</v>
      </c>
      <c r="W1519" t="s">
        <v>4600</v>
      </c>
      <c r="Y1519" t="s">
        <v>217</v>
      </c>
      <c r="AA1519" t="s">
        <v>218</v>
      </c>
      <c r="AB1519" t="s">
        <v>119</v>
      </c>
    </row>
    <row r="1520" ht="15" customHeight="1" spans="1:23" x14ac:dyDescent="0.25">
      <c r="A1520" s="17" t="s">
        <v>4601</v>
      </c>
      <c r="B1520" s="17" t="s">
        <v>70</v>
      </c>
      <c r="C1520" s="17" t="s">
        <v>71</v>
      </c>
      <c r="D1520" t="s">
        <v>4602</v>
      </c>
      <c r="F1520" t="s">
        <v>2816</v>
      </c>
      <c r="K1520" s="18">
        <f>628174711571</f>
        <v>628174711571</v>
      </c>
      <c r="N1520" s="17" t="s">
        <v>77</v>
      </c>
      <c r="U1520" s="17"/>
      <c r="V1520" s="18">
        <f>628174711571</f>
        <v>628174711571</v>
      </c>
      <c r="W1520" t="s">
        <v>4603</v>
      </c>
    </row>
    <row r="1521" ht="15" customHeight="1" spans="1:27" x14ac:dyDescent="0.25">
      <c r="A1521" s="17" t="s">
        <v>4604</v>
      </c>
      <c r="B1521" s="17" t="s">
        <v>70</v>
      </c>
      <c r="C1521" s="17" t="s">
        <v>71</v>
      </c>
      <c r="D1521" t="s">
        <v>4602</v>
      </c>
      <c r="F1521" t="s">
        <v>1286</v>
      </c>
      <c r="K1521" s="18">
        <f>628129204311</f>
        <v>628129204311</v>
      </c>
      <c r="N1521" s="17" t="s">
        <v>77</v>
      </c>
      <c r="U1521" s="17"/>
      <c r="V1521" s="18">
        <f>628129204311</f>
        <v>628129204311</v>
      </c>
      <c r="W1521" t="s">
        <v>4605</v>
      </c>
      <c r="Y1521" s="17" t="s">
        <v>96</v>
      </c>
      <c r="AA1521" s="17" t="s">
        <v>3403</v>
      </c>
    </row>
    <row r="1522" ht="15" customHeight="1" spans="1:22" x14ac:dyDescent="0.25">
      <c r="A1522" s="17" t="s">
        <v>4606</v>
      </c>
      <c r="B1522" s="17" t="s">
        <v>70</v>
      </c>
      <c r="C1522" s="17" t="s">
        <v>71</v>
      </c>
      <c r="D1522" t="s">
        <v>4607</v>
      </c>
      <c r="F1522" t="s">
        <v>4607</v>
      </c>
      <c r="K1522" s="18">
        <f>6281293838282</f>
        <v>6281293838282</v>
      </c>
      <c r="N1522" s="17" t="s">
        <v>74</v>
      </c>
      <c r="V1522" s="18">
        <f>6281293838282</f>
        <v>6281293838282</v>
      </c>
    </row>
    <row r="1523" ht="15" customHeight="1" spans="1:28" x14ac:dyDescent="0.25">
      <c r="A1523" s="17" t="s">
        <v>4608</v>
      </c>
      <c r="B1523" s="17" t="s">
        <v>70</v>
      </c>
      <c r="C1523" s="17" t="s">
        <v>71</v>
      </c>
      <c r="D1523" t="s">
        <v>4607</v>
      </c>
      <c r="F1523" t="s">
        <v>608</v>
      </c>
      <c r="J1523" t="s">
        <v>115</v>
      </c>
      <c r="K1523" s="18" t="s">
        <v>4609</v>
      </c>
      <c r="N1523" s="17" t="s">
        <v>81</v>
      </c>
      <c r="O1523" t="s">
        <v>199</v>
      </c>
      <c r="V1523" s="18" t="s">
        <v>4609</v>
      </c>
      <c r="Y1523" t="s">
        <v>90</v>
      </c>
      <c r="AA1523" t="s">
        <v>118</v>
      </c>
      <c r="AB1523" t="s">
        <v>119</v>
      </c>
    </row>
    <row r="1524" ht="15" customHeight="1" spans="1:22" x14ac:dyDescent="0.25">
      <c r="A1524" s="17" t="s">
        <v>4610</v>
      </c>
      <c r="B1524" s="17" t="s">
        <v>70</v>
      </c>
      <c r="C1524" s="17" t="s">
        <v>71</v>
      </c>
      <c r="D1524" t="s">
        <v>4607</v>
      </c>
      <c r="F1524" t="s">
        <v>4611</v>
      </c>
      <c r="K1524" s="18">
        <f>6281917051957</f>
        <v>6281917051957</v>
      </c>
      <c r="N1524" s="17" t="s">
        <v>77</v>
      </c>
      <c r="V1524" s="18">
        <f>6281917051957</f>
        <v>6281917051957</v>
      </c>
    </row>
    <row r="1525" ht="15" customHeight="1" spans="1:28" x14ac:dyDescent="0.25">
      <c r="A1525" s="17" t="s">
        <v>4612</v>
      </c>
      <c r="B1525" s="17" t="s">
        <v>70</v>
      </c>
      <c r="C1525" s="17" t="s">
        <v>71</v>
      </c>
      <c r="D1525" t="s">
        <v>4607</v>
      </c>
      <c r="F1525" t="s">
        <v>4613</v>
      </c>
      <c r="J1525" t="s">
        <v>115</v>
      </c>
      <c r="K1525" s="18" t="s">
        <v>4614</v>
      </c>
      <c r="N1525" s="17" t="s">
        <v>81</v>
      </c>
      <c r="O1525" t="s">
        <v>489</v>
      </c>
      <c r="V1525" s="18" t="s">
        <v>4614</v>
      </c>
      <c r="Y1525" t="s">
        <v>90</v>
      </c>
      <c r="AA1525" t="s">
        <v>118</v>
      </c>
      <c r="AB1525" t="s">
        <v>119</v>
      </c>
    </row>
    <row r="1526" ht="15" customHeight="1" spans="1:27" x14ac:dyDescent="0.25">
      <c r="A1526" s="17" t="s">
        <v>4615</v>
      </c>
      <c r="B1526" s="17" t="s">
        <v>70</v>
      </c>
      <c r="C1526" s="17" t="s">
        <v>71</v>
      </c>
      <c r="D1526" t="s">
        <v>4607</v>
      </c>
      <c r="F1526" t="s">
        <v>4616</v>
      </c>
      <c r="J1526" s="17" t="s">
        <v>4617</v>
      </c>
      <c r="K1526" s="18">
        <f>628111088087</f>
        <v>628111088087</v>
      </c>
      <c r="N1526" s="17" t="s">
        <v>77</v>
      </c>
      <c r="V1526" s="18">
        <f>628111088087</f>
        <v>628111088087</v>
      </c>
      <c r="Y1526" s="17" t="s">
        <v>90</v>
      </c>
      <c r="AA1526" s="17">
        <v>12620</v>
      </c>
    </row>
    <row r="1527" ht="15" customHeight="1" spans="1:22" x14ac:dyDescent="0.25">
      <c r="A1527" s="17" t="s">
        <v>4618</v>
      </c>
      <c r="B1527" s="17" t="s">
        <v>70</v>
      </c>
      <c r="C1527" s="17" t="s">
        <v>71</v>
      </c>
      <c r="D1527" t="s">
        <v>4607</v>
      </c>
      <c r="F1527" t="s">
        <v>4619</v>
      </c>
      <c r="K1527" s="18">
        <f>6281329997997</f>
        <v>6281329997997</v>
      </c>
      <c r="N1527" s="17" t="s">
        <v>77</v>
      </c>
      <c r="V1527" s="18">
        <f>6281329997997</f>
        <v>6281329997997</v>
      </c>
    </row>
    <row r="1528" ht="15" customHeight="1" spans="1:22" x14ac:dyDescent="0.25">
      <c r="A1528" s="17" t="s">
        <v>4620</v>
      </c>
      <c r="B1528" s="17" t="s">
        <v>70</v>
      </c>
      <c r="C1528" s="17" t="s">
        <v>71</v>
      </c>
      <c r="D1528" t="s">
        <v>4607</v>
      </c>
      <c r="F1528" t="s">
        <v>4621</v>
      </c>
      <c r="K1528" s="18">
        <f>62818116912</f>
        <v>62818116912</v>
      </c>
      <c r="N1528" s="17" t="s">
        <v>77</v>
      </c>
      <c r="V1528" s="18">
        <f>62818116912</f>
        <v>62818116912</v>
      </c>
    </row>
    <row r="1529" ht="15" customHeight="1" spans="1:23" x14ac:dyDescent="0.25">
      <c r="A1529" s="17" t="s">
        <v>4622</v>
      </c>
      <c r="B1529" s="17" t="s">
        <v>70</v>
      </c>
      <c r="C1529" s="17" t="s">
        <v>71</v>
      </c>
      <c r="D1529" t="s">
        <v>4607</v>
      </c>
      <c r="F1529" t="s">
        <v>4623</v>
      </c>
      <c r="J1529" s="17" t="s">
        <v>4624</v>
      </c>
      <c r="K1529" s="18">
        <f>6281316333999</f>
        <v>6281316333999</v>
      </c>
      <c r="N1529" s="17" t="s">
        <v>81</v>
      </c>
      <c r="U1529" s="17"/>
      <c r="V1529" s="18">
        <f>6281316333999</f>
        <v>6281316333999</v>
      </c>
      <c r="W1529" t="s">
        <v>4625</v>
      </c>
    </row>
    <row r="1530" ht="15" customHeight="1" spans="1:22" x14ac:dyDescent="0.25">
      <c r="A1530" s="17" t="s">
        <v>4626</v>
      </c>
      <c r="B1530" s="17" t="s">
        <v>70</v>
      </c>
      <c r="C1530" s="17" t="s">
        <v>71</v>
      </c>
      <c r="D1530" t="s">
        <v>4627</v>
      </c>
      <c r="F1530" t="s">
        <v>4627</v>
      </c>
      <c r="K1530" s="18">
        <f>628179854949</f>
        <v>628179854949</v>
      </c>
      <c r="N1530" s="17" t="s">
        <v>77</v>
      </c>
      <c r="V1530" s="18">
        <f>628179854949</f>
        <v>628179854949</v>
      </c>
    </row>
    <row r="1531" ht="15" customHeight="1" spans="1:22" x14ac:dyDescent="0.25">
      <c r="A1531" s="17" t="s">
        <v>4628</v>
      </c>
      <c r="B1531" s="17" t="s">
        <v>70</v>
      </c>
      <c r="C1531" s="17" t="s">
        <v>71</v>
      </c>
      <c r="D1531" t="s">
        <v>2736</v>
      </c>
      <c r="F1531" t="s">
        <v>2736</v>
      </c>
      <c r="K1531" s="18">
        <f>6285693159321</f>
        <v>6285693159321</v>
      </c>
      <c r="N1531" s="17" t="s">
        <v>74</v>
      </c>
      <c r="V1531" s="18">
        <f>6285693159321</f>
        <v>6285693159321</v>
      </c>
    </row>
    <row r="1532" ht="15" customHeight="1" spans="1:22" x14ac:dyDescent="0.25">
      <c r="A1532" s="17" t="s">
        <v>4629</v>
      </c>
      <c r="B1532" s="17" t="s">
        <v>70</v>
      </c>
      <c r="C1532" s="17" t="s">
        <v>71</v>
      </c>
      <c r="D1532" t="s">
        <v>2736</v>
      </c>
      <c r="F1532" t="s">
        <v>4630</v>
      </c>
      <c r="J1532" s="17" t="s">
        <v>4631</v>
      </c>
      <c r="K1532" s="18">
        <f>62816826451</f>
        <v>62816826451</v>
      </c>
      <c r="N1532" s="17" t="s">
        <v>77</v>
      </c>
      <c r="V1532" s="18">
        <f>62816826451</f>
        <v>62816826451</v>
      </c>
    </row>
    <row r="1533" ht="15" customHeight="1" spans="1:22" x14ac:dyDescent="0.25">
      <c r="A1533" s="17" t="s">
        <v>4632</v>
      </c>
      <c r="B1533" s="17" t="s">
        <v>70</v>
      </c>
      <c r="C1533" s="17" t="s">
        <v>71</v>
      </c>
      <c r="D1533" t="s">
        <v>2736</v>
      </c>
      <c r="F1533" t="s">
        <v>4633</v>
      </c>
      <c r="K1533" s="18">
        <f>6281280667004</f>
        <v>6281280667004</v>
      </c>
      <c r="N1533" s="17" t="s">
        <v>81</v>
      </c>
      <c r="V1533" s="18">
        <f>6281280667004</f>
        <v>6281280667004</v>
      </c>
    </row>
    <row r="1534" ht="15" customHeight="1" spans="1:28" x14ac:dyDescent="0.25">
      <c r="A1534" s="17" t="s">
        <v>4634</v>
      </c>
      <c r="B1534" s="17" t="s">
        <v>70</v>
      </c>
      <c r="C1534" s="17" t="s">
        <v>71</v>
      </c>
      <c r="D1534" t="s">
        <v>4635</v>
      </c>
      <c r="F1534" t="s">
        <v>4636</v>
      </c>
      <c r="J1534" s="17" t="s">
        <v>4637</v>
      </c>
      <c r="K1534" s="18" t="s">
        <v>4638</v>
      </c>
      <c r="N1534" s="17" t="s">
        <v>77</v>
      </c>
      <c r="O1534" t="s">
        <v>145</v>
      </c>
      <c r="U1534" s="17"/>
      <c r="V1534" s="18" t="s">
        <v>4638</v>
      </c>
      <c r="W1534" t="s">
        <v>4639</v>
      </c>
      <c r="Y1534" t="s">
        <v>4640</v>
      </c>
      <c r="AA1534" t="s">
        <v>115</v>
      </c>
      <c r="AB1534" t="s">
        <v>119</v>
      </c>
    </row>
    <row r="1535" ht="15" customHeight="1" spans="1:23" x14ac:dyDescent="0.25">
      <c r="A1535" s="17" t="s">
        <v>4641</v>
      </c>
      <c r="B1535" s="17" t="s">
        <v>70</v>
      </c>
      <c r="C1535" s="17" t="s">
        <v>71</v>
      </c>
      <c r="D1535" t="s">
        <v>4642</v>
      </c>
      <c r="F1535" t="s">
        <v>4642</v>
      </c>
      <c r="K1535" s="18">
        <f>628124187676</f>
        <v>628124187676</v>
      </c>
      <c r="N1535" s="17" t="s">
        <v>77</v>
      </c>
      <c r="U1535" s="17"/>
      <c r="V1535" s="18">
        <f>628124187676</f>
        <v>628124187676</v>
      </c>
      <c r="W1535" t="s">
        <v>4643</v>
      </c>
    </row>
    <row r="1536" ht="15" customHeight="1" spans="1:25" x14ac:dyDescent="0.25">
      <c r="A1536" s="17" t="s">
        <v>4644</v>
      </c>
      <c r="B1536" s="17" t="s">
        <v>70</v>
      </c>
      <c r="C1536" s="17" t="s">
        <v>71</v>
      </c>
      <c r="D1536" t="s">
        <v>4645</v>
      </c>
      <c r="F1536" t="s">
        <v>4645</v>
      </c>
      <c r="K1536" s="18">
        <f>6281287483345</f>
        <v>6281287483345</v>
      </c>
      <c r="N1536" s="17" t="s">
        <v>77</v>
      </c>
      <c r="V1536" s="18">
        <f>6281287483345</f>
        <v>6281287483345</v>
      </c>
      <c r="Y1536" s="17" t="s">
        <v>96</v>
      </c>
    </row>
    <row r="1537" ht="15" customHeight="1" spans="1:27" x14ac:dyDescent="0.25">
      <c r="A1537" s="17" t="s">
        <v>4646</v>
      </c>
      <c r="B1537" s="17" t="s">
        <v>70</v>
      </c>
      <c r="C1537" s="17" t="s">
        <v>71</v>
      </c>
      <c r="D1537" t="s">
        <v>4645</v>
      </c>
      <c r="F1537" t="s">
        <v>3775</v>
      </c>
      <c r="K1537" s="18">
        <f>6281511916264</f>
        <v>6281511916264</v>
      </c>
      <c r="N1537" s="17" t="s">
        <v>77</v>
      </c>
      <c r="U1537" s="17"/>
      <c r="V1537" s="18">
        <f>6281511916264</f>
        <v>6281511916264</v>
      </c>
      <c r="W1537" t="s">
        <v>4647</v>
      </c>
      <c r="Y1537" s="17" t="s">
        <v>378</v>
      </c>
      <c r="AA1537" s="17">
        <v>10310</v>
      </c>
    </row>
    <row r="1538" ht="15" customHeight="1" spans="1:22" x14ac:dyDescent="0.25">
      <c r="A1538" s="17" t="s">
        <v>4648</v>
      </c>
      <c r="B1538" s="17" t="s">
        <v>70</v>
      </c>
      <c r="C1538" s="17" t="s">
        <v>71</v>
      </c>
      <c r="D1538" t="s">
        <v>4645</v>
      </c>
      <c r="F1538" t="s">
        <v>4649</v>
      </c>
      <c r="K1538" s="18">
        <f>628159229096</f>
        <v>628159229096</v>
      </c>
      <c r="N1538" s="17" t="s">
        <v>77</v>
      </c>
      <c r="V1538" s="18">
        <f>628159229096</f>
        <v>628159229096</v>
      </c>
    </row>
    <row r="1539" ht="15" customHeight="1" spans="1:22" x14ac:dyDescent="0.25">
      <c r="A1539" s="17" t="s">
        <v>4650</v>
      </c>
      <c r="B1539" s="17" t="s">
        <v>70</v>
      </c>
      <c r="C1539" s="17" t="s">
        <v>71</v>
      </c>
      <c r="D1539" t="s">
        <v>4645</v>
      </c>
      <c r="F1539" t="s">
        <v>4651</v>
      </c>
      <c r="K1539" s="18">
        <f>628111831107</f>
        <v>628111831107</v>
      </c>
      <c r="N1539" s="17" t="s">
        <v>77</v>
      </c>
      <c r="V1539" s="18">
        <f>628111831107</f>
        <v>628111831107</v>
      </c>
    </row>
    <row r="1540" ht="15" customHeight="1" spans="1:22" x14ac:dyDescent="0.25">
      <c r="A1540" s="17" t="s">
        <v>4652</v>
      </c>
      <c r="B1540" s="17" t="s">
        <v>70</v>
      </c>
      <c r="C1540" s="17" t="s">
        <v>71</v>
      </c>
      <c r="D1540" t="s">
        <v>4653</v>
      </c>
      <c r="F1540" t="s">
        <v>4654</v>
      </c>
      <c r="K1540" s="18">
        <f>62818818313</f>
        <v>62818818313</v>
      </c>
      <c r="N1540" s="17" t="s">
        <v>77</v>
      </c>
      <c r="V1540" s="18">
        <f>62818818313</f>
        <v>62818818313</v>
      </c>
    </row>
    <row r="1541" ht="15" customHeight="1" spans="1:23" x14ac:dyDescent="0.25">
      <c r="A1541" s="17" t="s">
        <v>4655</v>
      </c>
      <c r="B1541" s="17" t="s">
        <v>70</v>
      </c>
      <c r="C1541" s="17" t="s">
        <v>71</v>
      </c>
      <c r="D1541" t="s">
        <v>4656</v>
      </c>
      <c r="F1541" t="s">
        <v>4657</v>
      </c>
      <c r="K1541" s="18">
        <f>628127111425</f>
        <v>628127111425</v>
      </c>
      <c r="N1541" s="17" t="s">
        <v>74</v>
      </c>
      <c r="U1541" s="17"/>
      <c r="V1541" s="18">
        <f>628127111425</f>
        <v>628127111425</v>
      </c>
      <c r="W1541" t="s">
        <v>4658</v>
      </c>
    </row>
    <row r="1542" ht="15" customHeight="1" spans="1:28" x14ac:dyDescent="0.25">
      <c r="A1542" s="17" t="s">
        <v>4659</v>
      </c>
      <c r="B1542" s="17" t="s">
        <v>70</v>
      </c>
      <c r="C1542" s="17" t="s">
        <v>71</v>
      </c>
      <c r="D1542" t="s">
        <v>4656</v>
      </c>
      <c r="F1542" t="s">
        <v>4660</v>
      </c>
      <c r="J1542" t="s">
        <v>115</v>
      </c>
      <c r="K1542" s="18" t="s">
        <v>4661</v>
      </c>
      <c r="N1542" s="17" t="s">
        <v>77</v>
      </c>
      <c r="O1542" t="s">
        <v>117</v>
      </c>
      <c r="V1542" s="18" t="s">
        <v>4661</v>
      </c>
      <c r="Y1542" t="s">
        <v>90</v>
      </c>
      <c r="AA1542" t="s">
        <v>118</v>
      </c>
      <c r="AB1542" t="s">
        <v>119</v>
      </c>
    </row>
    <row r="1543" ht="15" customHeight="1" spans="1:22" x14ac:dyDescent="0.25">
      <c r="A1543" s="17" t="s">
        <v>4662</v>
      </c>
      <c r="B1543" s="17" t="s">
        <v>70</v>
      </c>
      <c r="C1543" s="17" t="s">
        <v>71</v>
      </c>
      <c r="D1543" t="s">
        <v>4663</v>
      </c>
      <c r="F1543" t="s">
        <v>4664</v>
      </c>
      <c r="K1543" s="18">
        <f>6281284939147</f>
        <v>6281284939147</v>
      </c>
      <c r="N1543" s="17" t="s">
        <v>81</v>
      </c>
      <c r="V1543" s="18">
        <f>6281284939147</f>
        <v>6281284939147</v>
      </c>
    </row>
    <row r="1544" ht="15" customHeight="1" spans="1:22" x14ac:dyDescent="0.25">
      <c r="A1544" s="17" t="s">
        <v>4665</v>
      </c>
      <c r="B1544" s="17" t="s">
        <v>70</v>
      </c>
      <c r="C1544" s="17" t="s">
        <v>71</v>
      </c>
      <c r="D1544" t="s">
        <v>4666</v>
      </c>
      <c r="F1544" t="s">
        <v>4666</v>
      </c>
      <c r="K1544" s="18">
        <f>628179311277</f>
        <v>628179311277</v>
      </c>
      <c r="N1544" s="17" t="s">
        <v>77</v>
      </c>
      <c r="V1544" s="18">
        <f>628179311277</f>
        <v>628179311277</v>
      </c>
    </row>
    <row r="1545" ht="15" customHeight="1" spans="1:22" x14ac:dyDescent="0.25">
      <c r="A1545" s="17" t="s">
        <v>4667</v>
      </c>
      <c r="B1545" s="17" t="s">
        <v>70</v>
      </c>
      <c r="C1545" s="17" t="s">
        <v>71</v>
      </c>
      <c r="D1545" t="s">
        <v>4668</v>
      </c>
      <c r="F1545" t="s">
        <v>4669</v>
      </c>
      <c r="K1545" s="18">
        <f>6281282829595</f>
        <v>6281282829595</v>
      </c>
      <c r="N1545" s="17" t="s">
        <v>77</v>
      </c>
      <c r="V1545" s="18">
        <f>6281282829595</f>
        <v>6281282829595</v>
      </c>
    </row>
    <row r="1546" ht="15" customHeight="1" spans="1:22" x14ac:dyDescent="0.25">
      <c r="A1546" s="17" t="s">
        <v>4670</v>
      </c>
      <c r="B1546" s="17" t="s">
        <v>70</v>
      </c>
      <c r="C1546" s="17" t="s">
        <v>71</v>
      </c>
      <c r="D1546" t="s">
        <v>4671</v>
      </c>
      <c r="F1546" t="s">
        <v>4671</v>
      </c>
      <c r="K1546" s="18">
        <f>628128014135</f>
        <v>628128014135</v>
      </c>
      <c r="N1546" s="17" t="s">
        <v>77</v>
      </c>
      <c r="V1546" s="18">
        <f>628128014135</f>
        <v>628128014135</v>
      </c>
    </row>
    <row r="1547" ht="15" customHeight="1" spans="1:22" x14ac:dyDescent="0.25">
      <c r="A1547" s="17" t="s">
        <v>4672</v>
      </c>
      <c r="B1547" s="17" t="s">
        <v>70</v>
      </c>
      <c r="C1547" s="17" t="s">
        <v>71</v>
      </c>
      <c r="D1547" t="s">
        <v>4673</v>
      </c>
      <c r="F1547" t="s">
        <v>4674</v>
      </c>
      <c r="K1547" s="18">
        <f>6281353254858</f>
        <v>6281353254858</v>
      </c>
      <c r="N1547" s="17" t="s">
        <v>74</v>
      </c>
      <c r="V1547" s="18">
        <f>6281353254858</f>
        <v>6281353254858</v>
      </c>
    </row>
    <row r="1548" ht="15" customHeight="1" spans="1:22" x14ac:dyDescent="0.25">
      <c r="A1548" s="17" t="s">
        <v>4675</v>
      </c>
      <c r="B1548" s="17" t="s">
        <v>70</v>
      </c>
      <c r="C1548" s="17" t="s">
        <v>71</v>
      </c>
      <c r="D1548" t="s">
        <v>4676</v>
      </c>
      <c r="F1548" t="s">
        <v>4676</v>
      </c>
      <c r="K1548" s="18">
        <f>62811555500</f>
        <v>62811555500</v>
      </c>
      <c r="N1548" s="17" t="s">
        <v>81</v>
      </c>
      <c r="V1548" s="18">
        <f>62811555500</f>
        <v>62811555500</v>
      </c>
    </row>
    <row r="1549" ht="15" customHeight="1" spans="1:27" x14ac:dyDescent="0.25">
      <c r="A1549" s="17" t="s">
        <v>4677</v>
      </c>
      <c r="B1549" s="17" t="s">
        <v>70</v>
      </c>
      <c r="C1549" s="17" t="s">
        <v>71</v>
      </c>
      <c r="D1549" t="s">
        <v>4676</v>
      </c>
      <c r="F1549" t="s">
        <v>4678</v>
      </c>
      <c r="K1549" s="18">
        <f>6281584101230</f>
        <v>6281584101230</v>
      </c>
      <c r="N1549" s="17" t="s">
        <v>77</v>
      </c>
      <c r="U1549" s="17"/>
      <c r="V1549" s="18">
        <f>6281584101230</f>
        <v>6281584101230</v>
      </c>
      <c r="W1549" t="s">
        <v>4679</v>
      </c>
      <c r="Y1549" s="17" t="s">
        <v>384</v>
      </c>
      <c r="AA1549" s="17">
        <v>15811</v>
      </c>
    </row>
    <row r="1550" ht="15" customHeight="1" spans="1:22" x14ac:dyDescent="0.25">
      <c r="A1550" s="17" t="s">
        <v>4680</v>
      </c>
      <c r="B1550" s="17" t="s">
        <v>70</v>
      </c>
      <c r="C1550" s="17" t="s">
        <v>71</v>
      </c>
      <c r="D1550" t="s">
        <v>4681</v>
      </c>
      <c r="F1550" t="s">
        <v>4681</v>
      </c>
      <c r="K1550" s="18">
        <f>628119987777</f>
        <v>628119987777</v>
      </c>
      <c r="N1550" s="17" t="s">
        <v>77</v>
      </c>
      <c r="V1550" s="18">
        <f>628119987777</f>
        <v>628119987777</v>
      </c>
    </row>
    <row r="1551" ht="15" customHeight="1" spans="1:22" x14ac:dyDescent="0.25">
      <c r="A1551" s="17" t="s">
        <v>4682</v>
      </c>
      <c r="B1551" s="17" t="s">
        <v>70</v>
      </c>
      <c r="C1551" s="17" t="s">
        <v>71</v>
      </c>
      <c r="D1551" t="s">
        <v>4683</v>
      </c>
      <c r="F1551" t="s">
        <v>4683</v>
      </c>
      <c r="K1551" s="18">
        <f>6281311468077</f>
        <v>6281311468077</v>
      </c>
      <c r="N1551" s="17" t="s">
        <v>77</v>
      </c>
      <c r="V1551" s="18">
        <f>6281311468077</f>
        <v>6281311468077</v>
      </c>
    </row>
    <row r="1552" ht="15" customHeight="1" spans="1:22" x14ac:dyDescent="0.25">
      <c r="A1552" s="17" t="s">
        <v>4684</v>
      </c>
      <c r="B1552" s="17" t="s">
        <v>70</v>
      </c>
      <c r="C1552" s="17" t="s">
        <v>71</v>
      </c>
      <c r="D1552" t="s">
        <v>4685</v>
      </c>
      <c r="F1552" t="s">
        <v>4686</v>
      </c>
      <c r="J1552" s="17" t="s">
        <v>4687</v>
      </c>
      <c r="K1552" s="18">
        <f>6281288624123</f>
        <v>6281288624123</v>
      </c>
      <c r="N1552" s="17" t="s">
        <v>81</v>
      </c>
      <c r="V1552" s="18">
        <f>6281288624123</f>
        <v>6281288624123</v>
      </c>
    </row>
    <row r="1553" ht="15" customHeight="1" spans="1:28" x14ac:dyDescent="0.25">
      <c r="A1553" s="17" t="s">
        <v>4688</v>
      </c>
      <c r="B1553" s="17" t="s">
        <v>70</v>
      </c>
      <c r="C1553" s="17" t="s">
        <v>71</v>
      </c>
      <c r="D1553" t="s">
        <v>4689</v>
      </c>
      <c r="F1553" t="s">
        <v>4690</v>
      </c>
      <c r="J1553" s="17" t="s">
        <v>4691</v>
      </c>
      <c r="K1553" s="18" t="s">
        <v>4692</v>
      </c>
      <c r="N1553" s="17" t="s">
        <v>77</v>
      </c>
      <c r="O1553" t="s">
        <v>145</v>
      </c>
      <c r="U1553" s="17"/>
      <c r="V1553" s="18" t="s">
        <v>4692</v>
      </c>
      <c r="W1553" t="s">
        <v>4693</v>
      </c>
      <c r="Y1553" s="17" t="s">
        <v>930</v>
      </c>
      <c r="AA1553" t="s">
        <v>115</v>
      </c>
      <c r="AB1553" t="s">
        <v>451</v>
      </c>
    </row>
    <row r="1554" ht="15" customHeight="1" spans="1:22" x14ac:dyDescent="0.25">
      <c r="A1554" s="17" t="s">
        <v>4694</v>
      </c>
      <c r="B1554" s="17" t="s">
        <v>70</v>
      </c>
      <c r="C1554" s="17" t="s">
        <v>71</v>
      </c>
      <c r="D1554" t="s">
        <v>4695</v>
      </c>
      <c r="F1554" t="s">
        <v>4695</v>
      </c>
      <c r="K1554" s="18">
        <f>62811141109</f>
        <v>62811141109</v>
      </c>
      <c r="N1554" s="17" t="s">
        <v>77</v>
      </c>
      <c r="V1554" s="18">
        <f>62811141109</f>
        <v>62811141109</v>
      </c>
    </row>
    <row r="1555" ht="15" customHeight="1" spans="1:28" x14ac:dyDescent="0.25">
      <c r="A1555" s="17" t="s">
        <v>4696</v>
      </c>
      <c r="B1555" s="17" t="s">
        <v>70</v>
      </c>
      <c r="C1555" s="17" t="s">
        <v>71</v>
      </c>
      <c r="D1555" t="s">
        <v>4697</v>
      </c>
      <c r="F1555" t="s">
        <v>4698</v>
      </c>
      <c r="J1555" t="s">
        <v>115</v>
      </c>
      <c r="K1555" s="18" t="s">
        <v>4699</v>
      </c>
      <c r="N1555" s="17" t="s">
        <v>77</v>
      </c>
      <c r="O1555" t="s">
        <v>145</v>
      </c>
      <c r="V1555" s="18" t="s">
        <v>4699</v>
      </c>
      <c r="Y1555" t="s">
        <v>90</v>
      </c>
      <c r="AA1555" t="s">
        <v>118</v>
      </c>
      <c r="AB1555" t="s">
        <v>119</v>
      </c>
    </row>
    <row r="1556" ht="15" customHeight="1" spans="1:22" x14ac:dyDescent="0.25">
      <c r="A1556" s="17" t="s">
        <v>4700</v>
      </c>
      <c r="B1556" s="17" t="s">
        <v>70</v>
      </c>
      <c r="C1556" s="17" t="s">
        <v>71</v>
      </c>
      <c r="D1556" t="s">
        <v>4701</v>
      </c>
      <c r="F1556" t="s">
        <v>4701</v>
      </c>
      <c r="K1556" s="18" t="s">
        <v>4702</v>
      </c>
      <c r="N1556" s="17" t="s">
        <v>77</v>
      </c>
      <c r="V1556" s="18" t="s">
        <v>4702</v>
      </c>
    </row>
    <row r="1557" ht="15" customHeight="1" spans="1:25" x14ac:dyDescent="0.25">
      <c r="A1557" s="17" t="s">
        <v>4703</v>
      </c>
      <c r="B1557" s="17" t="s">
        <v>70</v>
      </c>
      <c r="C1557" s="17" t="s">
        <v>71</v>
      </c>
      <c r="D1557" t="s">
        <v>4701</v>
      </c>
      <c r="F1557" t="s">
        <v>4704</v>
      </c>
      <c r="J1557" s="17" t="s">
        <v>4705</v>
      </c>
      <c r="K1557" s="18">
        <f>628114858182</f>
        <v>628114858182</v>
      </c>
      <c r="N1557" s="17" t="s">
        <v>77</v>
      </c>
      <c r="U1557" s="17"/>
      <c r="V1557" s="18">
        <f>628114858182</f>
        <v>628114858182</v>
      </c>
      <c r="W1557" t="s">
        <v>4706</v>
      </c>
      <c r="Y1557" s="17" t="s">
        <v>4640</v>
      </c>
    </row>
    <row r="1558" ht="15" customHeight="1" spans="1:23" x14ac:dyDescent="0.25">
      <c r="A1558" s="17" t="s">
        <v>4707</v>
      </c>
      <c r="B1558" s="17" t="s">
        <v>70</v>
      </c>
      <c r="C1558" s="17" t="s">
        <v>71</v>
      </c>
      <c r="D1558" t="s">
        <v>4701</v>
      </c>
      <c r="F1558" t="s">
        <v>4708</v>
      </c>
      <c r="K1558" s="18">
        <f>62811261439</f>
        <v>62811261439</v>
      </c>
      <c r="N1558" s="17" t="s">
        <v>77</v>
      </c>
      <c r="U1558" s="17"/>
      <c r="V1558" s="18">
        <f>62811261439</f>
        <v>62811261439</v>
      </c>
      <c r="W1558" t="s">
        <v>4709</v>
      </c>
    </row>
    <row r="1559" ht="15" customHeight="1" spans="1:22" x14ac:dyDescent="0.25">
      <c r="A1559" s="17" t="s">
        <v>4710</v>
      </c>
      <c r="B1559" s="17" t="s">
        <v>70</v>
      </c>
      <c r="C1559" s="17" t="s">
        <v>71</v>
      </c>
      <c r="D1559" t="s">
        <v>4701</v>
      </c>
      <c r="F1559" t="s">
        <v>4711</v>
      </c>
      <c r="K1559" s="18">
        <f>6287777883033</f>
        <v>6287777883033</v>
      </c>
      <c r="N1559" s="17" t="s">
        <v>77</v>
      </c>
      <c r="V1559" s="18">
        <f>6287777883033</f>
        <v>6287777883033</v>
      </c>
    </row>
    <row r="1560" ht="15" customHeight="1" spans="1:25" x14ac:dyDescent="0.25">
      <c r="A1560" s="17" t="s">
        <v>4712</v>
      </c>
      <c r="B1560" s="17" t="s">
        <v>70</v>
      </c>
      <c r="C1560" s="17" t="s">
        <v>71</v>
      </c>
      <c r="D1560" t="s">
        <v>4701</v>
      </c>
      <c r="F1560" t="s">
        <v>4713</v>
      </c>
      <c r="J1560" s="17" t="s">
        <v>4714</v>
      </c>
      <c r="K1560" s="18">
        <f>6281805050579</f>
        <v>6281805050579</v>
      </c>
      <c r="N1560" s="17" t="s">
        <v>77</v>
      </c>
      <c r="U1560" s="17"/>
      <c r="V1560" s="18">
        <f>6281805050579</f>
        <v>6281805050579</v>
      </c>
      <c r="W1560" t="s">
        <v>4715</v>
      </c>
      <c r="Y1560" s="17" t="s">
        <v>217</v>
      </c>
    </row>
    <row r="1561" ht="15" customHeight="1" spans="1:22" x14ac:dyDescent="0.25">
      <c r="A1561" s="17" t="s">
        <v>4716</v>
      </c>
      <c r="B1561" s="17" t="s">
        <v>70</v>
      </c>
      <c r="C1561" s="17" t="s">
        <v>71</v>
      </c>
      <c r="D1561" t="s">
        <v>4717</v>
      </c>
      <c r="F1561" t="s">
        <v>4717</v>
      </c>
      <c r="K1561" s="18">
        <f>628888128880</f>
        <v>628888128880</v>
      </c>
      <c r="N1561" s="17" t="s">
        <v>77</v>
      </c>
      <c r="V1561" s="18">
        <f>628888128880</f>
        <v>628888128880</v>
      </c>
    </row>
    <row r="1562" ht="15" customHeight="1" spans="1:23" x14ac:dyDescent="0.25">
      <c r="A1562" s="17" t="s">
        <v>4718</v>
      </c>
      <c r="B1562" s="17" t="s">
        <v>70</v>
      </c>
      <c r="C1562" s="17" t="s">
        <v>71</v>
      </c>
      <c r="D1562" t="s">
        <v>4719</v>
      </c>
      <c r="F1562" t="s">
        <v>4719</v>
      </c>
      <c r="J1562" s="17" t="s">
        <v>4720</v>
      </c>
      <c r="K1562" s="18">
        <f>628112638778</f>
        <v>628112638778</v>
      </c>
      <c r="N1562" s="17" t="s">
        <v>77</v>
      </c>
      <c r="U1562" s="17"/>
      <c r="V1562" s="18">
        <f>628112638778</f>
        <v>628112638778</v>
      </c>
      <c r="W1562" t="s">
        <v>4721</v>
      </c>
    </row>
    <row r="1563" ht="15" customHeight="1" spans="1:22" x14ac:dyDescent="0.25">
      <c r="A1563" s="17" t="s">
        <v>4722</v>
      </c>
      <c r="B1563" s="17" t="s">
        <v>70</v>
      </c>
      <c r="C1563" s="17" t="s">
        <v>71</v>
      </c>
      <c r="D1563" t="s">
        <v>4723</v>
      </c>
      <c r="F1563" t="s">
        <v>4724</v>
      </c>
      <c r="K1563" s="18">
        <f>6281281113077</f>
        <v>6281281113077</v>
      </c>
      <c r="N1563" s="17" t="s">
        <v>81</v>
      </c>
      <c r="V1563" s="18">
        <f>6281281113077</f>
        <v>6281281113077</v>
      </c>
    </row>
    <row r="1564" ht="15" customHeight="1" spans="1:22" x14ac:dyDescent="0.25">
      <c r="A1564" s="17" t="s">
        <v>4725</v>
      </c>
      <c r="B1564" s="17" t="s">
        <v>70</v>
      </c>
      <c r="C1564" s="17" t="s">
        <v>71</v>
      </c>
      <c r="D1564" t="s">
        <v>4726</v>
      </c>
      <c r="F1564" t="s">
        <v>4727</v>
      </c>
      <c r="K1564" s="18">
        <f>6281806362871</f>
        <v>6281806362871</v>
      </c>
      <c r="N1564" s="17" t="s">
        <v>77</v>
      </c>
      <c r="V1564" s="18">
        <f>6281806362871</f>
        <v>6281806362871</v>
      </c>
    </row>
    <row r="1565" ht="15" customHeight="1" spans="1:25" x14ac:dyDescent="0.25">
      <c r="A1565" s="17" t="s">
        <v>4728</v>
      </c>
      <c r="B1565" s="17" t="s">
        <v>70</v>
      </c>
      <c r="C1565" s="17" t="s">
        <v>71</v>
      </c>
      <c r="D1565" t="s">
        <v>4729</v>
      </c>
      <c r="F1565" t="s">
        <v>4729</v>
      </c>
      <c r="K1565" s="18">
        <f>628128555574</f>
        <v>628128555574</v>
      </c>
      <c r="N1565" s="17" t="s">
        <v>77</v>
      </c>
      <c r="V1565" s="18">
        <f>628128555574</f>
        <v>628128555574</v>
      </c>
      <c r="Y1565" s="17" t="s">
        <v>3028</v>
      </c>
    </row>
    <row r="1566" ht="15" customHeight="1" spans="1:28" x14ac:dyDescent="0.25">
      <c r="A1566" s="17" t="s">
        <v>4730</v>
      </c>
      <c r="B1566" s="17" t="s">
        <v>70</v>
      </c>
      <c r="C1566" s="17" t="s">
        <v>71</v>
      </c>
      <c r="D1566" t="s">
        <v>4731</v>
      </c>
      <c r="F1566" t="s">
        <v>4732</v>
      </c>
      <c r="J1566" t="s">
        <v>115</v>
      </c>
      <c r="K1566" s="18" t="s">
        <v>4733</v>
      </c>
      <c r="N1566" s="17" t="s">
        <v>81</v>
      </c>
      <c r="O1566" t="s">
        <v>117</v>
      </c>
      <c r="U1566" s="17"/>
      <c r="V1566" s="18" t="s">
        <v>4733</v>
      </c>
      <c r="W1566" t="s">
        <v>4734</v>
      </c>
      <c r="Y1566" t="s">
        <v>90</v>
      </c>
      <c r="AA1566" t="s">
        <v>118</v>
      </c>
      <c r="AB1566" t="s">
        <v>119</v>
      </c>
    </row>
    <row r="1567" ht="15" customHeight="1" spans="1:25" x14ac:dyDescent="0.25">
      <c r="A1567" s="17" t="s">
        <v>4735</v>
      </c>
      <c r="B1567" s="17" t="s">
        <v>70</v>
      </c>
      <c r="C1567" s="17" t="s">
        <v>71</v>
      </c>
      <c r="D1567" t="s">
        <v>4731</v>
      </c>
      <c r="F1567" t="s">
        <v>4736</v>
      </c>
      <c r="K1567" s="18">
        <f>628176543993</f>
        <v>628176543993</v>
      </c>
      <c r="N1567" s="17" t="s">
        <v>81</v>
      </c>
      <c r="U1567" s="17"/>
      <c r="V1567" s="18">
        <f>628176543993</f>
        <v>628176543993</v>
      </c>
      <c r="W1567" t="s">
        <v>4737</v>
      </c>
      <c r="Y1567" s="17" t="s">
        <v>515</v>
      </c>
    </row>
    <row r="1568" ht="15" customHeight="1" spans="1:28" x14ac:dyDescent="0.25">
      <c r="A1568" s="17" t="s">
        <v>4738</v>
      </c>
      <c r="B1568" s="17" t="s">
        <v>70</v>
      </c>
      <c r="C1568" s="17" t="s">
        <v>71</v>
      </c>
      <c r="D1568" t="s">
        <v>4731</v>
      </c>
      <c r="F1568" t="s">
        <v>4739</v>
      </c>
      <c r="J1568" s="17" t="s">
        <v>4740</v>
      </c>
      <c r="K1568" s="18" t="s">
        <v>4741</v>
      </c>
      <c r="N1568" s="17" t="s">
        <v>81</v>
      </c>
      <c r="O1568" t="s">
        <v>117</v>
      </c>
      <c r="U1568" s="17"/>
      <c r="V1568" s="18" t="s">
        <v>4741</v>
      </c>
      <c r="W1568" t="s">
        <v>4742</v>
      </c>
      <c r="Y1568" s="17" t="s">
        <v>190</v>
      </c>
      <c r="AA1568" s="17" t="s">
        <v>118</v>
      </c>
      <c r="AB1568" t="s">
        <v>119</v>
      </c>
    </row>
    <row r="1569" ht="15" customHeight="1" spans="1:22" x14ac:dyDescent="0.25">
      <c r="A1569" s="17" t="s">
        <v>4743</v>
      </c>
      <c r="B1569" s="17" t="s">
        <v>70</v>
      </c>
      <c r="C1569" s="17" t="s">
        <v>71</v>
      </c>
      <c r="D1569" t="s">
        <v>4744</v>
      </c>
      <c r="F1569" t="s">
        <v>2380</v>
      </c>
      <c r="K1569" s="18">
        <f>6281318877777</f>
        <v>6281318877777</v>
      </c>
      <c r="N1569" s="17" t="s">
        <v>74</v>
      </c>
      <c r="V1569" s="18">
        <f>6281318877777</f>
        <v>6281318877777</v>
      </c>
    </row>
    <row r="1570" ht="15" customHeight="1" spans="1:23" x14ac:dyDescent="0.25">
      <c r="A1570" s="17" t="s">
        <v>4745</v>
      </c>
      <c r="B1570" s="17" t="s">
        <v>70</v>
      </c>
      <c r="C1570" s="17" t="s">
        <v>71</v>
      </c>
      <c r="D1570" t="s">
        <v>4746</v>
      </c>
      <c r="F1570" t="s">
        <v>4747</v>
      </c>
      <c r="K1570" s="18">
        <f>6281289773481</f>
        <v>6281289773481</v>
      </c>
      <c r="N1570" s="17" t="s">
        <v>81</v>
      </c>
      <c r="U1570" s="17"/>
      <c r="V1570" s="18">
        <f>6281289773481</f>
        <v>6281289773481</v>
      </c>
      <c r="W1570" t="s">
        <v>4748</v>
      </c>
    </row>
    <row r="1571" ht="15" customHeight="1" spans="1:23" x14ac:dyDescent="0.25">
      <c r="A1571" s="17" t="s">
        <v>4749</v>
      </c>
      <c r="B1571" s="17" t="s">
        <v>70</v>
      </c>
      <c r="C1571" s="17" t="s">
        <v>71</v>
      </c>
      <c r="D1571" t="s">
        <v>4750</v>
      </c>
      <c r="F1571" t="s">
        <v>4751</v>
      </c>
      <c r="K1571" s="18">
        <f>6285691225888</f>
        <v>6285691225888</v>
      </c>
      <c r="N1571" s="17" t="s">
        <v>77</v>
      </c>
      <c r="U1571" s="17"/>
      <c r="V1571" s="18">
        <f>6285691225888</f>
        <v>6285691225888</v>
      </c>
      <c r="W1571" t="s">
        <v>4752</v>
      </c>
    </row>
    <row r="1572" ht="15" customHeight="1" spans="1:28" x14ac:dyDescent="0.25">
      <c r="A1572" s="17" t="s">
        <v>4753</v>
      </c>
      <c r="B1572" s="17" t="s">
        <v>70</v>
      </c>
      <c r="C1572" s="17" t="s">
        <v>71</v>
      </c>
      <c r="D1572" t="s">
        <v>4754</v>
      </c>
      <c r="F1572" t="s">
        <v>4194</v>
      </c>
      <c r="J1572" t="s">
        <v>115</v>
      </c>
      <c r="K1572" s="18" t="s">
        <v>4755</v>
      </c>
      <c r="N1572" s="17" t="s">
        <v>77</v>
      </c>
      <c r="O1572" t="s">
        <v>145</v>
      </c>
      <c r="V1572" s="18" t="s">
        <v>4755</v>
      </c>
      <c r="Y1572" t="s">
        <v>190</v>
      </c>
      <c r="AA1572" t="s">
        <v>118</v>
      </c>
      <c r="AB1572" t="s">
        <v>119</v>
      </c>
    </row>
    <row r="1573" ht="15" customHeight="1" spans="1:22" x14ac:dyDescent="0.25">
      <c r="A1573" s="17" t="s">
        <v>4756</v>
      </c>
      <c r="B1573" s="17" t="s">
        <v>70</v>
      </c>
      <c r="C1573" s="17" t="s">
        <v>71</v>
      </c>
      <c r="D1573" t="s">
        <v>4757</v>
      </c>
      <c r="F1573" t="s">
        <v>4757</v>
      </c>
      <c r="K1573" s="18">
        <f>62817193345</f>
        <v>62817193345</v>
      </c>
      <c r="N1573" s="17" t="s">
        <v>74</v>
      </c>
      <c r="V1573" s="18">
        <f>62817193345</f>
        <v>62817193345</v>
      </c>
    </row>
    <row r="1574" ht="15" customHeight="1" spans="1:25" x14ac:dyDescent="0.25">
      <c r="A1574" s="17" t="s">
        <v>4758</v>
      </c>
      <c r="B1574" s="17" t="s">
        <v>70</v>
      </c>
      <c r="C1574" s="17" t="s">
        <v>71</v>
      </c>
      <c r="D1574" t="s">
        <v>4759</v>
      </c>
      <c r="F1574" t="s">
        <v>4760</v>
      </c>
      <c r="K1574" s="18">
        <f>6281855749</f>
        <v>6281855749</v>
      </c>
      <c r="N1574" s="17" t="s">
        <v>77</v>
      </c>
      <c r="U1574" s="17"/>
      <c r="V1574" s="18">
        <f>6281855749</f>
        <v>6281855749</v>
      </c>
      <c r="W1574" t="s">
        <v>4761</v>
      </c>
      <c r="Y1574" s="17" t="s">
        <v>596</v>
      </c>
    </row>
    <row r="1575" ht="15" customHeight="1" spans="1:28" x14ac:dyDescent="0.25">
      <c r="A1575" s="17" t="s">
        <v>4762</v>
      </c>
      <c r="B1575" s="17" t="s">
        <v>70</v>
      </c>
      <c r="C1575" s="17" t="s">
        <v>71</v>
      </c>
      <c r="D1575" t="s">
        <v>4763</v>
      </c>
      <c r="F1575" t="s">
        <v>4764</v>
      </c>
      <c r="J1575" t="s">
        <v>115</v>
      </c>
      <c r="K1575" s="18" t="s">
        <v>4765</v>
      </c>
      <c r="N1575" s="17" t="s">
        <v>77</v>
      </c>
      <c r="O1575" t="s">
        <v>199</v>
      </c>
      <c r="V1575" s="18" t="s">
        <v>4765</v>
      </c>
      <c r="Y1575" t="s">
        <v>190</v>
      </c>
      <c r="AA1575" t="s">
        <v>118</v>
      </c>
      <c r="AB1575" t="s">
        <v>119</v>
      </c>
    </row>
    <row r="1576" ht="15" customHeight="1" spans="1:22" x14ac:dyDescent="0.25">
      <c r="A1576" s="17" t="s">
        <v>4766</v>
      </c>
      <c r="B1576" s="17" t="s">
        <v>70</v>
      </c>
      <c r="C1576" s="17" t="s">
        <v>71</v>
      </c>
      <c r="D1576" t="s">
        <v>4767</v>
      </c>
      <c r="F1576" t="s">
        <v>4767</v>
      </c>
      <c r="K1576" s="18">
        <f>6281322145678</f>
        <v>6281322145678</v>
      </c>
      <c r="N1576" s="17" t="s">
        <v>81</v>
      </c>
      <c r="V1576" s="18">
        <f>6281322145678</f>
        <v>6281322145678</v>
      </c>
    </row>
    <row r="1577" ht="15" customHeight="1" spans="1:22" x14ac:dyDescent="0.25">
      <c r="A1577" s="17" t="s">
        <v>4768</v>
      </c>
      <c r="B1577" s="17" t="s">
        <v>70</v>
      </c>
      <c r="C1577" s="17" t="s">
        <v>71</v>
      </c>
      <c r="D1577" t="s">
        <v>4769</v>
      </c>
      <c r="F1577" t="s">
        <v>4770</v>
      </c>
      <c r="K1577" s="18">
        <f>62811979636</f>
        <v>62811979636</v>
      </c>
      <c r="N1577" s="17" t="s">
        <v>81</v>
      </c>
      <c r="V1577" s="18">
        <f>62811979636</f>
        <v>62811979636</v>
      </c>
    </row>
    <row r="1578" ht="15" customHeight="1" spans="1:28" x14ac:dyDescent="0.25">
      <c r="A1578" s="17" t="s">
        <v>4771</v>
      </c>
      <c r="B1578" s="17" t="s">
        <v>70</v>
      </c>
      <c r="C1578" s="17" t="s">
        <v>71</v>
      </c>
      <c r="D1578" t="s">
        <v>4769</v>
      </c>
      <c r="F1578" t="s">
        <v>4630</v>
      </c>
      <c r="J1578" t="s">
        <v>115</v>
      </c>
      <c r="K1578" s="18" t="s">
        <v>4772</v>
      </c>
      <c r="N1578" s="17" t="s">
        <v>77</v>
      </c>
      <c r="O1578" t="s">
        <v>117</v>
      </c>
      <c r="V1578" s="18" t="s">
        <v>4772</v>
      </c>
      <c r="Y1578" t="s">
        <v>90</v>
      </c>
      <c r="AA1578" t="s">
        <v>118</v>
      </c>
      <c r="AB1578" t="s">
        <v>119</v>
      </c>
    </row>
    <row r="1579" ht="15" customHeight="1" spans="1:28" x14ac:dyDescent="0.25">
      <c r="A1579" s="17" t="s">
        <v>4773</v>
      </c>
      <c r="B1579" s="17" t="s">
        <v>70</v>
      </c>
      <c r="C1579" s="17" t="s">
        <v>71</v>
      </c>
      <c r="D1579" t="s">
        <v>4769</v>
      </c>
      <c r="F1579" t="s">
        <v>4774</v>
      </c>
      <c r="J1579" t="s">
        <v>115</v>
      </c>
      <c r="K1579" s="18" t="s">
        <v>4775</v>
      </c>
      <c r="N1579" s="17" t="s">
        <v>77</v>
      </c>
      <c r="O1579" t="s">
        <v>489</v>
      </c>
      <c r="V1579" s="18" t="s">
        <v>4775</v>
      </c>
      <c r="Y1579" t="s">
        <v>190</v>
      </c>
      <c r="AA1579" t="s">
        <v>118</v>
      </c>
      <c r="AB1579" t="s">
        <v>119</v>
      </c>
    </row>
    <row r="1580" ht="15" customHeight="1" spans="1:28" x14ac:dyDescent="0.25">
      <c r="A1580" s="17" t="s">
        <v>4776</v>
      </c>
      <c r="B1580" s="17" t="s">
        <v>70</v>
      </c>
      <c r="C1580" s="17" t="s">
        <v>71</v>
      </c>
      <c r="D1580" t="s">
        <v>4777</v>
      </c>
      <c r="F1580" t="s">
        <v>4778</v>
      </c>
      <c r="J1580" s="17" t="s">
        <v>4779</v>
      </c>
      <c r="K1580" s="18" t="s">
        <v>4780</v>
      </c>
      <c r="N1580" s="17" t="s">
        <v>77</v>
      </c>
      <c r="O1580" t="s">
        <v>199</v>
      </c>
      <c r="U1580" s="17"/>
      <c r="V1580" s="18" t="s">
        <v>4780</v>
      </c>
      <c r="W1580" t="s">
        <v>4781</v>
      </c>
      <c r="Y1580" t="s">
        <v>115</v>
      </c>
      <c r="AA1580" t="s">
        <v>115</v>
      </c>
      <c r="AB1580" t="s">
        <v>119</v>
      </c>
    </row>
    <row r="1581" ht="15" customHeight="1" spans="1:28" x14ac:dyDescent="0.25">
      <c r="A1581" s="17" t="s">
        <v>4782</v>
      </c>
      <c r="B1581" s="17" t="s">
        <v>70</v>
      </c>
      <c r="C1581" s="17" t="s">
        <v>71</v>
      </c>
      <c r="D1581" t="s">
        <v>4783</v>
      </c>
      <c r="F1581" t="s">
        <v>4784</v>
      </c>
      <c r="J1581" t="s">
        <v>115</v>
      </c>
      <c r="K1581" s="18" t="s">
        <v>4785</v>
      </c>
      <c r="N1581" s="17" t="s">
        <v>77</v>
      </c>
      <c r="O1581" t="s">
        <v>199</v>
      </c>
      <c r="V1581" s="18" t="s">
        <v>4785</v>
      </c>
      <c r="Y1581" t="s">
        <v>3536</v>
      </c>
      <c r="AA1581" t="s">
        <v>115</v>
      </c>
      <c r="AB1581" t="s">
        <v>119</v>
      </c>
    </row>
    <row r="1582" ht="15" customHeight="1" spans="1:22" x14ac:dyDescent="0.25">
      <c r="A1582" s="17" t="s">
        <v>4786</v>
      </c>
      <c r="B1582" s="17" t="s">
        <v>70</v>
      </c>
      <c r="C1582" s="17" t="s">
        <v>71</v>
      </c>
      <c r="D1582" t="s">
        <v>4787</v>
      </c>
      <c r="F1582" t="s">
        <v>4787</v>
      </c>
      <c r="K1582" s="18">
        <f>628176615099</f>
        <v>628176615099</v>
      </c>
      <c r="N1582" s="17" t="s">
        <v>77</v>
      </c>
      <c r="V1582" s="18">
        <f>628176615099</f>
        <v>628176615099</v>
      </c>
    </row>
    <row r="1583" ht="15" customHeight="1" spans="1:22" x14ac:dyDescent="0.25">
      <c r="A1583" s="17" t="s">
        <v>4788</v>
      </c>
      <c r="B1583" s="17" t="s">
        <v>70</v>
      </c>
      <c r="C1583" s="17" t="s">
        <v>71</v>
      </c>
      <c r="D1583" t="s">
        <v>4787</v>
      </c>
      <c r="F1583" t="s">
        <v>4787</v>
      </c>
      <c r="J1583" s="17" t="s">
        <v>4789</v>
      </c>
      <c r="K1583" s="18">
        <f>6282125728600</f>
        <v>6282125728600</v>
      </c>
      <c r="N1583" s="17" t="s">
        <v>77</v>
      </c>
      <c r="V1583" s="18">
        <f>6282125728600</f>
        <v>6282125728600</v>
      </c>
    </row>
    <row r="1584" ht="15" customHeight="1" spans="1:22" x14ac:dyDescent="0.25">
      <c r="A1584" s="17" t="s">
        <v>4790</v>
      </c>
      <c r="B1584" s="17" t="s">
        <v>70</v>
      </c>
      <c r="C1584" s="17" t="s">
        <v>71</v>
      </c>
      <c r="D1584" t="s">
        <v>4787</v>
      </c>
      <c r="F1584" t="s">
        <v>4787</v>
      </c>
      <c r="K1584" s="18">
        <f>6281219477750</f>
        <v>6281219477750</v>
      </c>
      <c r="N1584" s="17" t="s">
        <v>81</v>
      </c>
      <c r="V1584" s="18">
        <f>6281219477750</f>
        <v>6281219477750</v>
      </c>
    </row>
    <row r="1585" ht="15" customHeight="1" spans="1:25" x14ac:dyDescent="0.25">
      <c r="A1585" s="17" t="s">
        <v>4791</v>
      </c>
      <c r="B1585" s="17" t="s">
        <v>70</v>
      </c>
      <c r="C1585" s="17" t="s">
        <v>71</v>
      </c>
      <c r="D1585" t="s">
        <v>4787</v>
      </c>
      <c r="F1585" t="s">
        <v>4792</v>
      </c>
      <c r="K1585" s="18">
        <f>628112003001</f>
        <v>628112003001</v>
      </c>
      <c r="N1585" s="17" t="s">
        <v>81</v>
      </c>
      <c r="U1585" s="17"/>
      <c r="V1585" s="18">
        <f>628112003001</f>
        <v>628112003001</v>
      </c>
      <c r="W1585" t="s">
        <v>4793</v>
      </c>
      <c r="Y1585" s="17" t="s">
        <v>500</v>
      </c>
    </row>
    <row r="1586" ht="15" customHeight="1" spans="1:27" x14ac:dyDescent="0.25">
      <c r="A1586" s="17" t="s">
        <v>4794</v>
      </c>
      <c r="B1586" s="17" t="s">
        <v>70</v>
      </c>
      <c r="C1586" s="17" t="s">
        <v>71</v>
      </c>
      <c r="D1586" t="s">
        <v>4787</v>
      </c>
      <c r="F1586" t="s">
        <v>4795</v>
      </c>
      <c r="K1586" s="18">
        <f>6287886763001</f>
        <v>6287886763001</v>
      </c>
      <c r="N1586" s="17" t="s">
        <v>77</v>
      </c>
      <c r="U1586" s="17"/>
      <c r="V1586" s="18">
        <f>6287886763001</f>
        <v>6287886763001</v>
      </c>
      <c r="W1586" t="s">
        <v>4796</v>
      </c>
      <c r="Y1586" s="17" t="s">
        <v>90</v>
      </c>
      <c r="AA1586" s="17">
        <v>14240</v>
      </c>
    </row>
    <row r="1587" ht="15" customHeight="1" spans="1:22" x14ac:dyDescent="0.25">
      <c r="A1587" s="17" t="s">
        <v>4797</v>
      </c>
      <c r="B1587" s="17" t="s">
        <v>70</v>
      </c>
      <c r="C1587" s="17" t="s">
        <v>71</v>
      </c>
      <c r="D1587" t="s">
        <v>4798</v>
      </c>
      <c r="F1587" t="s">
        <v>4799</v>
      </c>
      <c r="K1587" s="18">
        <f>6282236638529</f>
        <v>6282236638529</v>
      </c>
      <c r="N1587" s="17" t="s">
        <v>77</v>
      </c>
      <c r="V1587" s="18">
        <f>6282236638529</f>
        <v>6282236638529</v>
      </c>
    </row>
    <row r="1588" ht="15" customHeight="1" spans="1:22" x14ac:dyDescent="0.25">
      <c r="A1588" s="17" t="s">
        <v>4800</v>
      </c>
      <c r="B1588" s="17" t="s">
        <v>70</v>
      </c>
      <c r="C1588" s="17" t="s">
        <v>71</v>
      </c>
      <c r="D1588" t="s">
        <v>4801</v>
      </c>
      <c r="F1588" t="s">
        <v>4802</v>
      </c>
      <c r="K1588" s="18">
        <f>628161902777</f>
        <v>628161902777</v>
      </c>
      <c r="N1588" s="17" t="s">
        <v>77</v>
      </c>
      <c r="V1588" s="18">
        <f>628161902777</f>
        <v>628161902777</v>
      </c>
    </row>
    <row r="1589" ht="15" customHeight="1" spans="1:28" x14ac:dyDescent="0.25">
      <c r="A1589" s="17" t="s">
        <v>4803</v>
      </c>
      <c r="B1589" s="17" t="s">
        <v>70</v>
      </c>
      <c r="C1589" s="17" t="s">
        <v>71</v>
      </c>
      <c r="D1589" t="s">
        <v>4801</v>
      </c>
      <c r="F1589" t="s">
        <v>4804</v>
      </c>
      <c r="J1589" t="s">
        <v>115</v>
      </c>
      <c r="K1589" s="18" t="s">
        <v>4805</v>
      </c>
      <c r="N1589" s="17" t="s">
        <v>77</v>
      </c>
      <c r="O1589" t="s">
        <v>117</v>
      </c>
      <c r="U1589" s="17"/>
      <c r="V1589" s="18" t="s">
        <v>4805</v>
      </c>
      <c r="W1589" t="s">
        <v>4806</v>
      </c>
      <c r="Y1589" t="s">
        <v>90</v>
      </c>
      <c r="AA1589" t="s">
        <v>118</v>
      </c>
      <c r="AB1589" t="s">
        <v>119</v>
      </c>
    </row>
    <row r="1590" ht="15" customHeight="1" spans="1:22" x14ac:dyDescent="0.25">
      <c r="A1590" s="17" t="s">
        <v>4807</v>
      </c>
      <c r="B1590" s="17" t="s">
        <v>70</v>
      </c>
      <c r="C1590" s="17" t="s">
        <v>71</v>
      </c>
      <c r="D1590" t="s">
        <v>4801</v>
      </c>
      <c r="F1590" t="s">
        <v>4808</v>
      </c>
      <c r="K1590" s="18">
        <f>6282192853770</f>
        <v>6282192853770</v>
      </c>
      <c r="N1590" s="17" t="s">
        <v>77</v>
      </c>
      <c r="V1590" s="18">
        <f>6282192853770</f>
        <v>6282192853770</v>
      </c>
    </row>
    <row r="1591" ht="15" customHeight="1" spans="1:27" x14ac:dyDescent="0.25">
      <c r="A1591" s="17" t="s">
        <v>4809</v>
      </c>
      <c r="B1591" s="17" t="s">
        <v>70</v>
      </c>
      <c r="C1591" s="17" t="s">
        <v>71</v>
      </c>
      <c r="D1591" t="s">
        <v>4810</v>
      </c>
      <c r="F1591" t="s">
        <v>3906</v>
      </c>
      <c r="K1591" s="18">
        <f>62318480193</f>
        <v>62318480193</v>
      </c>
      <c r="N1591" s="17" t="s">
        <v>77</v>
      </c>
      <c r="U1591" s="17"/>
      <c r="V1591" s="18">
        <f>62318480193</f>
        <v>62318480193</v>
      </c>
      <c r="W1591" t="s">
        <v>4811</v>
      </c>
      <c r="Y1591" s="17" t="s">
        <v>181</v>
      </c>
      <c r="AA1591" s="17" t="s">
        <v>4812</v>
      </c>
    </row>
    <row r="1592" ht="15" customHeight="1" spans="1:23" x14ac:dyDescent="0.25">
      <c r="A1592" s="17" t="s">
        <v>4813</v>
      </c>
      <c r="B1592" s="17" t="s">
        <v>70</v>
      </c>
      <c r="C1592" s="17" t="s">
        <v>71</v>
      </c>
      <c r="D1592" t="s">
        <v>4814</v>
      </c>
      <c r="F1592" t="s">
        <v>4815</v>
      </c>
      <c r="K1592" s="18">
        <f>628111632935</f>
        <v>628111632935</v>
      </c>
      <c r="N1592" s="17" t="s">
        <v>81</v>
      </c>
      <c r="U1592" s="17"/>
      <c r="V1592" s="18">
        <f>628111632935</f>
        <v>628111632935</v>
      </c>
      <c r="W1592" t="s">
        <v>4816</v>
      </c>
    </row>
    <row r="1593" ht="15" customHeight="1" spans="1:23" x14ac:dyDescent="0.25">
      <c r="A1593" s="17" t="s">
        <v>4817</v>
      </c>
      <c r="B1593" s="17" t="s">
        <v>70</v>
      </c>
      <c r="C1593" s="17" t="s">
        <v>71</v>
      </c>
      <c r="D1593" t="s">
        <v>4814</v>
      </c>
      <c r="F1593" t="s">
        <v>4815</v>
      </c>
      <c r="K1593" s="18">
        <f>628111832935</f>
        <v>628111832935</v>
      </c>
      <c r="N1593" s="17" t="s">
        <v>77</v>
      </c>
      <c r="U1593" s="17"/>
      <c r="V1593" s="18">
        <f>628111832935</f>
        <v>628111832935</v>
      </c>
      <c r="W1593" t="s">
        <v>4818</v>
      </c>
    </row>
    <row r="1594" ht="15" customHeight="1" spans="1:22" x14ac:dyDescent="0.25">
      <c r="A1594" s="17" t="s">
        <v>4819</v>
      </c>
      <c r="B1594" s="17" t="s">
        <v>70</v>
      </c>
      <c r="C1594" s="17" t="s">
        <v>71</v>
      </c>
      <c r="D1594" t="s">
        <v>4820</v>
      </c>
      <c r="F1594" t="s">
        <v>4821</v>
      </c>
      <c r="K1594" s="18">
        <f>628111998588</f>
        <v>628111998588</v>
      </c>
      <c r="N1594" s="17" t="s">
        <v>77</v>
      </c>
      <c r="V1594" s="18">
        <f>628111998588</f>
        <v>628111998588</v>
      </c>
    </row>
    <row r="1595" ht="15" customHeight="1" spans="1:22" x14ac:dyDescent="0.25">
      <c r="A1595" s="17" t="s">
        <v>4822</v>
      </c>
      <c r="B1595" s="17" t="s">
        <v>70</v>
      </c>
      <c r="C1595" s="17" t="s">
        <v>71</v>
      </c>
      <c r="D1595" t="s">
        <v>4823</v>
      </c>
      <c r="F1595" t="s">
        <v>4823</v>
      </c>
      <c r="K1595" s="18">
        <f>6281356778988</f>
        <v>6281356778988</v>
      </c>
      <c r="N1595" s="17" t="s">
        <v>77</v>
      </c>
      <c r="V1595" s="18">
        <f>6281356778988</f>
        <v>6281356778988</v>
      </c>
    </row>
    <row r="1596" ht="15" customHeight="1" spans="1:22" x14ac:dyDescent="0.25">
      <c r="A1596" s="17" t="s">
        <v>4824</v>
      </c>
      <c r="B1596" s="17" t="s">
        <v>70</v>
      </c>
      <c r="C1596" s="17" t="s">
        <v>71</v>
      </c>
      <c r="D1596" t="s">
        <v>4823</v>
      </c>
      <c r="F1596" t="s">
        <v>4823</v>
      </c>
      <c r="K1596" s="18">
        <f>62818984465</f>
        <v>62818984465</v>
      </c>
      <c r="N1596" s="17" t="s">
        <v>77</v>
      </c>
      <c r="V1596" s="18">
        <f>62818984465</f>
        <v>62818984465</v>
      </c>
    </row>
    <row r="1597" ht="15" customHeight="1" spans="1:22" x14ac:dyDescent="0.25">
      <c r="A1597" s="17" t="s">
        <v>4825</v>
      </c>
      <c r="B1597" s="17" t="s">
        <v>70</v>
      </c>
      <c r="C1597" s="17" t="s">
        <v>71</v>
      </c>
      <c r="D1597" t="s">
        <v>4823</v>
      </c>
      <c r="F1597" t="s">
        <v>4823</v>
      </c>
      <c r="K1597" s="18">
        <f>6285881363738</f>
        <v>6285881363738</v>
      </c>
      <c r="N1597" s="17" t="s">
        <v>77</v>
      </c>
      <c r="V1597" s="18">
        <f>6285881363738</f>
        <v>6285881363738</v>
      </c>
    </row>
    <row r="1598" ht="15" customHeight="1" spans="1:22" x14ac:dyDescent="0.25">
      <c r="A1598" s="17" t="s">
        <v>4826</v>
      </c>
      <c r="B1598" s="17" t="s">
        <v>70</v>
      </c>
      <c r="C1598" s="17" t="s">
        <v>71</v>
      </c>
      <c r="D1598" t="s">
        <v>4823</v>
      </c>
      <c r="F1598" t="s">
        <v>4823</v>
      </c>
      <c r="K1598" s="18">
        <f>62811820447</f>
        <v>62811820447</v>
      </c>
      <c r="N1598" s="17" t="s">
        <v>81</v>
      </c>
      <c r="V1598" s="18">
        <f>62811820447</f>
        <v>62811820447</v>
      </c>
    </row>
    <row r="1599" ht="15" customHeight="1" spans="1:28" x14ac:dyDescent="0.25">
      <c r="A1599" s="17" t="s">
        <v>4827</v>
      </c>
      <c r="B1599" s="17" t="s">
        <v>70</v>
      </c>
      <c r="C1599" s="17" t="s">
        <v>71</v>
      </c>
      <c r="D1599" t="s">
        <v>4823</v>
      </c>
      <c r="F1599" t="s">
        <v>4823</v>
      </c>
      <c r="J1599" t="s">
        <v>115</v>
      </c>
      <c r="K1599" s="18" t="s">
        <v>4828</v>
      </c>
      <c r="N1599" s="17" t="s">
        <v>74</v>
      </c>
      <c r="O1599" t="s">
        <v>117</v>
      </c>
      <c r="V1599" s="18" t="s">
        <v>4828</v>
      </c>
      <c r="Y1599" t="s">
        <v>115</v>
      </c>
      <c r="AA1599" t="s">
        <v>115</v>
      </c>
      <c r="AB1599" t="s">
        <v>119</v>
      </c>
    </row>
    <row r="1600" ht="15" customHeight="1" spans="1:23" x14ac:dyDescent="0.25">
      <c r="A1600" s="17" t="s">
        <v>4829</v>
      </c>
      <c r="B1600" s="17" t="s">
        <v>70</v>
      </c>
      <c r="C1600" s="17" t="s">
        <v>71</v>
      </c>
      <c r="D1600" t="s">
        <v>4823</v>
      </c>
      <c r="F1600" t="s">
        <v>4830</v>
      </c>
      <c r="K1600" s="18">
        <f>6285888222487</f>
        <v>6285888222487</v>
      </c>
      <c r="N1600" s="17" t="s">
        <v>77</v>
      </c>
      <c r="U1600" s="17"/>
      <c r="V1600" s="18">
        <f>6285888222487</f>
        <v>6285888222487</v>
      </c>
      <c r="W1600" t="s">
        <v>4831</v>
      </c>
    </row>
    <row r="1601" ht="15" customHeight="1" spans="1:22" x14ac:dyDescent="0.25">
      <c r="A1601" s="17" t="s">
        <v>4832</v>
      </c>
      <c r="B1601" s="17" t="s">
        <v>70</v>
      </c>
      <c r="C1601" s="17" t="s">
        <v>71</v>
      </c>
      <c r="D1601" t="s">
        <v>4823</v>
      </c>
      <c r="F1601" t="s">
        <v>4833</v>
      </c>
      <c r="K1601" s="18">
        <f>62816925355</f>
        <v>62816925355</v>
      </c>
      <c r="N1601" s="17" t="s">
        <v>81</v>
      </c>
      <c r="V1601" s="18">
        <f>62816925355</f>
        <v>62816925355</v>
      </c>
    </row>
    <row r="1602" ht="15" customHeight="1" spans="1:28" x14ac:dyDescent="0.25">
      <c r="A1602" s="17" t="s">
        <v>4834</v>
      </c>
      <c r="B1602" s="17" t="s">
        <v>70</v>
      </c>
      <c r="C1602" s="17" t="s">
        <v>71</v>
      </c>
      <c r="D1602" t="s">
        <v>4823</v>
      </c>
      <c r="F1602" t="s">
        <v>4835</v>
      </c>
      <c r="J1602" s="17" t="s">
        <v>4836</v>
      </c>
      <c r="K1602" s="18" t="s">
        <v>4837</v>
      </c>
      <c r="N1602" s="17" t="s">
        <v>77</v>
      </c>
      <c r="O1602" t="s">
        <v>145</v>
      </c>
      <c r="U1602" s="17"/>
      <c r="V1602" s="18" t="s">
        <v>4837</v>
      </c>
      <c r="W1602" t="s">
        <v>4838</v>
      </c>
      <c r="Y1602" t="s">
        <v>96</v>
      </c>
      <c r="AA1602" s="17" t="s">
        <v>693</v>
      </c>
      <c r="AB1602" t="s">
        <v>119</v>
      </c>
    </row>
    <row r="1603" ht="15" customHeight="1" spans="1:23" x14ac:dyDescent="0.25">
      <c r="A1603" s="17" t="s">
        <v>4839</v>
      </c>
      <c r="B1603" s="17" t="s">
        <v>70</v>
      </c>
      <c r="C1603" s="17" t="s">
        <v>71</v>
      </c>
      <c r="D1603" t="s">
        <v>4823</v>
      </c>
      <c r="F1603" t="s">
        <v>4840</v>
      </c>
      <c r="K1603" s="18">
        <f>6281932405065</f>
        <v>6281932405065</v>
      </c>
      <c r="N1603" s="17" t="s">
        <v>77</v>
      </c>
      <c r="U1603" s="17"/>
      <c r="V1603" s="18">
        <f>6281932405065</f>
        <v>6281932405065</v>
      </c>
      <c r="W1603" t="s">
        <v>4841</v>
      </c>
    </row>
    <row r="1604" ht="15" customHeight="1" spans="1:27" x14ac:dyDescent="0.25">
      <c r="A1604" s="17" t="s">
        <v>4842</v>
      </c>
      <c r="B1604" s="17" t="s">
        <v>70</v>
      </c>
      <c r="C1604" s="17" t="s">
        <v>71</v>
      </c>
      <c r="D1604" t="s">
        <v>4823</v>
      </c>
      <c r="F1604" t="s">
        <v>4843</v>
      </c>
      <c r="K1604" s="18">
        <v>78833926</v>
      </c>
      <c r="N1604" s="17" t="s">
        <v>77</v>
      </c>
      <c r="U1604" s="17"/>
      <c r="V1604" s="18">
        <v>78833926</v>
      </c>
      <c r="W1604" t="s">
        <v>4844</v>
      </c>
      <c r="Y1604" s="17" t="s">
        <v>96</v>
      </c>
      <c r="AA1604" s="17" t="s">
        <v>4845</v>
      </c>
    </row>
    <row r="1605" ht="15" customHeight="1" spans="1:25" x14ac:dyDescent="0.25">
      <c r="A1605" s="17" t="s">
        <v>4846</v>
      </c>
      <c r="B1605" s="17" t="s">
        <v>70</v>
      </c>
      <c r="C1605" s="17" t="s">
        <v>71</v>
      </c>
      <c r="D1605" t="s">
        <v>4823</v>
      </c>
      <c r="F1605" t="s">
        <v>4847</v>
      </c>
      <c r="J1605" s="17" t="s">
        <v>4848</v>
      </c>
      <c r="K1605" s="18">
        <f>628170060757</f>
        <v>628170060757</v>
      </c>
      <c r="N1605" s="17" t="s">
        <v>77</v>
      </c>
      <c r="U1605" s="17"/>
      <c r="V1605" s="18">
        <f>628170060757</f>
        <v>628170060757</v>
      </c>
      <c r="W1605" t="s">
        <v>4849</v>
      </c>
      <c r="Y1605" s="17" t="s">
        <v>90</v>
      </c>
    </row>
    <row r="1606" ht="15" customHeight="1" spans="1:22" x14ac:dyDescent="0.25">
      <c r="A1606" s="17" t="s">
        <v>4850</v>
      </c>
      <c r="B1606" s="17" t="s">
        <v>70</v>
      </c>
      <c r="C1606" s="17" t="s">
        <v>71</v>
      </c>
      <c r="D1606" t="s">
        <v>4823</v>
      </c>
      <c r="F1606" t="s">
        <v>4851</v>
      </c>
      <c r="K1606" s="18">
        <f>6285883433433</f>
        <v>6285883433433</v>
      </c>
      <c r="N1606" s="17" t="s">
        <v>77</v>
      </c>
      <c r="V1606" s="18">
        <f>6285883433433</f>
        <v>6285883433433</v>
      </c>
    </row>
    <row r="1607" ht="15" customHeight="1" spans="1:28" x14ac:dyDescent="0.25">
      <c r="A1607" s="17" t="s">
        <v>4852</v>
      </c>
      <c r="B1607" s="17" t="s">
        <v>70</v>
      </c>
      <c r="C1607" s="17" t="s">
        <v>71</v>
      </c>
      <c r="D1607" t="s">
        <v>4823</v>
      </c>
      <c r="F1607" t="s">
        <v>4853</v>
      </c>
      <c r="J1607" t="s">
        <v>115</v>
      </c>
      <c r="K1607" s="18" t="s">
        <v>4854</v>
      </c>
      <c r="N1607" s="17" t="s">
        <v>77</v>
      </c>
      <c r="O1607" t="s">
        <v>199</v>
      </c>
      <c r="U1607" s="17"/>
      <c r="V1607" s="18" t="s">
        <v>4854</v>
      </c>
      <c r="W1607" t="s">
        <v>4855</v>
      </c>
      <c r="Y1607" t="s">
        <v>190</v>
      </c>
      <c r="AA1607" s="17" t="s">
        <v>118</v>
      </c>
      <c r="AB1607" t="s">
        <v>119</v>
      </c>
    </row>
    <row r="1608" ht="15" customHeight="1" spans="1:23" x14ac:dyDescent="0.25">
      <c r="A1608" s="17" t="s">
        <v>4856</v>
      </c>
      <c r="B1608" s="17" t="s">
        <v>70</v>
      </c>
      <c r="C1608" s="17" t="s">
        <v>71</v>
      </c>
      <c r="D1608" t="s">
        <v>4857</v>
      </c>
      <c r="F1608" t="s">
        <v>4858</v>
      </c>
      <c r="K1608" s="18">
        <f>628111555176</f>
        <v>628111555176</v>
      </c>
      <c r="N1608" s="17" t="s">
        <v>81</v>
      </c>
      <c r="U1608" s="17"/>
      <c r="V1608" s="18">
        <f>628111555176</f>
        <v>628111555176</v>
      </c>
      <c r="W1608" t="s">
        <v>4859</v>
      </c>
    </row>
    <row r="1609" ht="15" customHeight="1" spans="1:28" x14ac:dyDescent="0.25">
      <c r="A1609" s="17" t="s">
        <v>4860</v>
      </c>
      <c r="B1609" s="17" t="s">
        <v>70</v>
      </c>
      <c r="C1609" s="17" t="s">
        <v>71</v>
      </c>
      <c r="D1609" t="s">
        <v>4861</v>
      </c>
      <c r="F1609" t="s">
        <v>4862</v>
      </c>
      <c r="J1609" t="s">
        <v>115</v>
      </c>
      <c r="K1609" s="18" t="s">
        <v>4863</v>
      </c>
      <c r="N1609" s="17" t="s">
        <v>81</v>
      </c>
      <c r="O1609" t="s">
        <v>145</v>
      </c>
      <c r="U1609" s="17"/>
      <c r="V1609" s="18" t="s">
        <v>4863</v>
      </c>
      <c r="W1609" t="s">
        <v>4864</v>
      </c>
      <c r="Y1609" t="s">
        <v>90</v>
      </c>
      <c r="AA1609" t="s">
        <v>118</v>
      </c>
      <c r="AB1609" t="s">
        <v>119</v>
      </c>
    </row>
    <row r="1610" ht="15" customHeight="1" spans="1:22" x14ac:dyDescent="0.25">
      <c r="A1610" s="17" t="s">
        <v>4865</v>
      </c>
      <c r="B1610" s="17" t="s">
        <v>70</v>
      </c>
      <c r="C1610" s="17" t="s">
        <v>71</v>
      </c>
      <c r="D1610" t="s">
        <v>4866</v>
      </c>
      <c r="F1610" t="s">
        <v>4867</v>
      </c>
      <c r="K1610" s="18">
        <f>6282122065625</f>
        <v>6282122065625</v>
      </c>
      <c r="N1610" s="17" t="s">
        <v>77</v>
      </c>
      <c r="V1610" s="18">
        <f>6282122065625</f>
        <v>6282122065625</v>
      </c>
    </row>
    <row r="1611" ht="15" customHeight="1" spans="1:28" x14ac:dyDescent="0.25">
      <c r="A1611" s="17" t="s">
        <v>4868</v>
      </c>
      <c r="B1611" s="17" t="s">
        <v>70</v>
      </c>
      <c r="C1611" s="17" t="s">
        <v>71</v>
      </c>
      <c r="D1611" t="s">
        <v>4866</v>
      </c>
      <c r="F1611" t="s">
        <v>4869</v>
      </c>
      <c r="J1611" t="s">
        <v>115</v>
      </c>
      <c r="K1611" s="18" t="s">
        <v>4870</v>
      </c>
      <c r="N1611" s="17" t="s">
        <v>77</v>
      </c>
      <c r="O1611" t="s">
        <v>489</v>
      </c>
      <c r="V1611" s="18" t="s">
        <v>4870</v>
      </c>
      <c r="Y1611" t="s">
        <v>1084</v>
      </c>
      <c r="AA1611" t="s">
        <v>3146</v>
      </c>
      <c r="AB1611" t="s">
        <v>119</v>
      </c>
    </row>
    <row r="1612" ht="15" customHeight="1" spans="1:23" x14ac:dyDescent="0.25">
      <c r="A1612" s="17" t="s">
        <v>4871</v>
      </c>
      <c r="B1612" s="17" t="s">
        <v>70</v>
      </c>
      <c r="C1612" s="17" t="s">
        <v>71</v>
      </c>
      <c r="D1612" t="s">
        <v>4872</v>
      </c>
      <c r="F1612" t="s">
        <v>1704</v>
      </c>
      <c r="K1612" s="18">
        <f>62811657707</f>
        <v>62811657707</v>
      </c>
      <c r="N1612" s="17" t="s">
        <v>81</v>
      </c>
      <c r="U1612" s="17"/>
      <c r="V1612" s="18">
        <f>62811657707</f>
        <v>62811657707</v>
      </c>
      <c r="W1612" t="s">
        <v>4873</v>
      </c>
    </row>
    <row r="1613" ht="15" customHeight="1" spans="1:22" x14ac:dyDescent="0.25">
      <c r="A1613" s="17" t="s">
        <v>4874</v>
      </c>
      <c r="B1613" s="17" t="s">
        <v>70</v>
      </c>
      <c r="C1613" s="17" t="s">
        <v>71</v>
      </c>
      <c r="D1613" t="s">
        <v>4875</v>
      </c>
      <c r="F1613" t="s">
        <v>4876</v>
      </c>
      <c r="K1613" s="18">
        <f>628158987888</f>
        <v>628158987888</v>
      </c>
      <c r="N1613" s="17" t="s">
        <v>74</v>
      </c>
      <c r="V1613" s="18">
        <f>628158987888</f>
        <v>628158987888</v>
      </c>
    </row>
    <row r="1614" ht="15" customHeight="1" spans="1:23" x14ac:dyDescent="0.25">
      <c r="A1614" s="17" t="s">
        <v>4877</v>
      </c>
      <c r="B1614" s="17" t="s">
        <v>70</v>
      </c>
      <c r="C1614" s="17" t="s">
        <v>71</v>
      </c>
      <c r="D1614" t="s">
        <v>4205</v>
      </c>
      <c r="F1614" t="s">
        <v>4205</v>
      </c>
      <c r="K1614" s="18">
        <f>6282283877777</f>
        <v>6282283877777</v>
      </c>
      <c r="N1614" s="17" t="s">
        <v>81</v>
      </c>
      <c r="U1614" s="17"/>
      <c r="V1614" s="18">
        <f>6282283877777</f>
        <v>6282283877777</v>
      </c>
      <c r="W1614" t="s">
        <v>4878</v>
      </c>
    </row>
    <row r="1615" ht="15" customHeight="1" spans="1:22" x14ac:dyDescent="0.25">
      <c r="A1615" s="17" t="s">
        <v>4879</v>
      </c>
      <c r="B1615" s="17" t="s">
        <v>70</v>
      </c>
      <c r="C1615" s="17" t="s">
        <v>71</v>
      </c>
      <c r="D1615" t="s">
        <v>4205</v>
      </c>
      <c r="F1615" t="s">
        <v>1024</v>
      </c>
      <c r="K1615" s="18">
        <f>6281316868898</f>
        <v>6281316868898</v>
      </c>
      <c r="N1615" s="17" t="s">
        <v>74</v>
      </c>
      <c r="V1615" s="18">
        <f>6281316868898</f>
        <v>6281316868898</v>
      </c>
    </row>
    <row r="1616" ht="15" customHeight="1" spans="1:22" x14ac:dyDescent="0.25">
      <c r="A1616" s="17" t="s">
        <v>4880</v>
      </c>
      <c r="B1616" s="17" t="s">
        <v>70</v>
      </c>
      <c r="C1616" s="17" t="s">
        <v>71</v>
      </c>
      <c r="D1616" t="s">
        <v>4881</v>
      </c>
      <c r="F1616" t="s">
        <v>4882</v>
      </c>
      <c r="K1616" s="18">
        <f>62811811913</f>
        <v>62811811913</v>
      </c>
      <c r="N1616" s="17" t="s">
        <v>81</v>
      </c>
      <c r="V1616" s="18">
        <f>62811811913</f>
        <v>62811811913</v>
      </c>
    </row>
    <row r="1617" ht="15" customHeight="1" spans="1:28" x14ac:dyDescent="0.25">
      <c r="A1617" s="17" t="s">
        <v>4883</v>
      </c>
      <c r="B1617" s="17" t="s">
        <v>70</v>
      </c>
      <c r="C1617" s="17" t="s">
        <v>71</v>
      </c>
      <c r="D1617" t="s">
        <v>4884</v>
      </c>
      <c r="F1617" t="s">
        <v>4885</v>
      </c>
      <c r="J1617" s="17" t="s">
        <v>4886</v>
      </c>
      <c r="K1617" s="18" t="s">
        <v>4887</v>
      </c>
      <c r="N1617" s="17" t="s">
        <v>77</v>
      </c>
      <c r="O1617" t="s">
        <v>261</v>
      </c>
      <c r="U1617" s="17"/>
      <c r="V1617" s="18" t="s">
        <v>4887</v>
      </c>
      <c r="W1617" t="s">
        <v>4888</v>
      </c>
      <c r="Y1617" t="s">
        <v>148</v>
      </c>
      <c r="AA1617" t="s">
        <v>115</v>
      </c>
      <c r="AB1617" t="s">
        <v>148</v>
      </c>
    </row>
    <row r="1618" ht="15" customHeight="1" spans="1:22" x14ac:dyDescent="0.25">
      <c r="A1618" s="17" t="s">
        <v>4889</v>
      </c>
      <c r="B1618" s="17" t="s">
        <v>70</v>
      </c>
      <c r="C1618" s="17" t="s">
        <v>71</v>
      </c>
      <c r="D1618" t="s">
        <v>4890</v>
      </c>
      <c r="F1618" t="s">
        <v>4890</v>
      </c>
      <c r="K1618" s="18">
        <f>6282283286789</f>
        <v>6282283286789</v>
      </c>
      <c r="N1618" s="17" t="s">
        <v>81</v>
      </c>
      <c r="V1618" s="18">
        <f>6282283286789</f>
        <v>6282283286789</v>
      </c>
    </row>
    <row r="1619" ht="15" customHeight="1" spans="1:22" x14ac:dyDescent="0.25">
      <c r="A1619" s="17" t="s">
        <v>4891</v>
      </c>
      <c r="B1619" s="17" t="s">
        <v>70</v>
      </c>
      <c r="C1619" s="17" t="s">
        <v>71</v>
      </c>
      <c r="D1619" t="s">
        <v>4892</v>
      </c>
      <c r="F1619" t="s">
        <v>4892</v>
      </c>
      <c r="K1619" s="18">
        <f>62811883910</f>
        <v>62811883910</v>
      </c>
      <c r="N1619" s="17" t="s">
        <v>81</v>
      </c>
      <c r="V1619" s="18">
        <f>62811883910</f>
        <v>62811883910</v>
      </c>
    </row>
    <row r="1620" ht="15" customHeight="1" spans="1:28" x14ac:dyDescent="0.25">
      <c r="A1620" s="17" t="s">
        <v>4893</v>
      </c>
      <c r="B1620" s="17" t="s">
        <v>70</v>
      </c>
      <c r="C1620" s="17" t="s">
        <v>71</v>
      </c>
      <c r="D1620" t="s">
        <v>4894</v>
      </c>
      <c r="F1620" t="s">
        <v>4895</v>
      </c>
      <c r="J1620" t="s">
        <v>115</v>
      </c>
      <c r="K1620" s="18" t="s">
        <v>4896</v>
      </c>
      <c r="N1620" s="17" t="s">
        <v>77</v>
      </c>
      <c r="O1620" t="s">
        <v>199</v>
      </c>
      <c r="V1620" s="18" t="s">
        <v>4896</v>
      </c>
      <c r="Y1620" t="s">
        <v>4897</v>
      </c>
      <c r="AA1620" t="s">
        <v>115</v>
      </c>
      <c r="AB1620" t="s">
        <v>119</v>
      </c>
    </row>
    <row r="1621" ht="15" customHeight="1" spans="1:22" x14ac:dyDescent="0.25">
      <c r="A1621" s="17" t="s">
        <v>4898</v>
      </c>
      <c r="B1621" s="17" t="s">
        <v>70</v>
      </c>
      <c r="C1621" s="17" t="s">
        <v>71</v>
      </c>
      <c r="D1621" t="s">
        <v>4899</v>
      </c>
      <c r="F1621" t="s">
        <v>4899</v>
      </c>
      <c r="K1621" s="18">
        <f>6281546018333</f>
        <v>6281546018333</v>
      </c>
      <c r="N1621" s="17" t="s">
        <v>77</v>
      </c>
      <c r="V1621" s="18">
        <f>6281546018333</f>
        <v>6281546018333</v>
      </c>
    </row>
    <row r="1622" ht="15" customHeight="1" spans="1:28" x14ac:dyDescent="0.25">
      <c r="A1622" s="17" t="s">
        <v>4900</v>
      </c>
      <c r="B1622" s="17" t="s">
        <v>70</v>
      </c>
      <c r="C1622" s="17" t="s">
        <v>71</v>
      </c>
      <c r="D1622" t="s">
        <v>4901</v>
      </c>
      <c r="F1622" t="s">
        <v>4902</v>
      </c>
      <c r="J1622" t="s">
        <v>115</v>
      </c>
      <c r="K1622" s="18" t="s">
        <v>4903</v>
      </c>
      <c r="N1622" s="17" t="s">
        <v>77</v>
      </c>
      <c r="O1622" t="s">
        <v>199</v>
      </c>
      <c r="V1622" s="18" t="s">
        <v>4903</v>
      </c>
      <c r="Y1622" t="s">
        <v>90</v>
      </c>
      <c r="AA1622" t="s">
        <v>118</v>
      </c>
      <c r="AB1622" t="s">
        <v>119</v>
      </c>
    </row>
    <row r="1623" ht="15" customHeight="1" spans="1:22" x14ac:dyDescent="0.25">
      <c r="A1623" s="17" t="s">
        <v>4904</v>
      </c>
      <c r="B1623" s="17" t="s">
        <v>70</v>
      </c>
      <c r="C1623" s="17" t="s">
        <v>71</v>
      </c>
      <c r="D1623" t="s">
        <v>4905</v>
      </c>
      <c r="F1623" t="s">
        <v>4906</v>
      </c>
      <c r="K1623" s="18">
        <f>628119204218</f>
        <v>628119204218</v>
      </c>
      <c r="N1623" s="17" t="s">
        <v>77</v>
      </c>
      <c r="V1623" s="18">
        <f>628119204218</f>
        <v>628119204218</v>
      </c>
    </row>
    <row r="1624" ht="15" customHeight="1" spans="1:22" x14ac:dyDescent="0.25">
      <c r="A1624" s="17" t="s">
        <v>4907</v>
      </c>
      <c r="B1624" s="17" t="s">
        <v>70</v>
      </c>
      <c r="C1624" s="17" t="s">
        <v>71</v>
      </c>
      <c r="D1624" t="s">
        <v>4905</v>
      </c>
      <c r="F1624" t="s">
        <v>4908</v>
      </c>
      <c r="K1624" s="18">
        <f>6281381119778</f>
        <v>6281381119778</v>
      </c>
      <c r="N1624" s="17" t="s">
        <v>77</v>
      </c>
      <c r="V1624" s="18">
        <f>6281381119778</f>
        <v>6281381119778</v>
      </c>
    </row>
    <row r="1625" ht="15" customHeight="1" spans="1:22" x14ac:dyDescent="0.25">
      <c r="A1625" s="17" t="s">
        <v>4909</v>
      </c>
      <c r="B1625" s="17" t="s">
        <v>70</v>
      </c>
      <c r="C1625" s="17" t="s">
        <v>71</v>
      </c>
      <c r="D1625" t="s">
        <v>4910</v>
      </c>
      <c r="F1625" t="s">
        <v>4910</v>
      </c>
      <c r="K1625" s="18">
        <f>6281286405777</f>
        <v>6281286405777</v>
      </c>
      <c r="N1625" s="17" t="s">
        <v>74</v>
      </c>
      <c r="V1625" s="18">
        <f>6281286405777</f>
        <v>6281286405777</v>
      </c>
    </row>
    <row r="1626" ht="15" customHeight="1" spans="1:25" x14ac:dyDescent="0.25">
      <c r="A1626" s="17" t="s">
        <v>4911</v>
      </c>
      <c r="B1626" s="17" t="s">
        <v>70</v>
      </c>
      <c r="C1626" s="17" t="s">
        <v>71</v>
      </c>
      <c r="D1626" t="s">
        <v>4910</v>
      </c>
      <c r="F1626" t="s">
        <v>4912</v>
      </c>
      <c r="K1626" s="18">
        <f>628122916446</f>
        <v>628122916446</v>
      </c>
      <c r="N1626" s="17" t="s">
        <v>77</v>
      </c>
      <c r="U1626" s="17"/>
      <c r="V1626" s="18">
        <f>628122916446</f>
        <v>628122916446</v>
      </c>
      <c r="W1626" t="s">
        <v>4913</v>
      </c>
      <c r="Y1626" s="17" t="s">
        <v>622</v>
      </c>
    </row>
    <row r="1627" ht="15" customHeight="1" spans="1:22" x14ac:dyDescent="0.25">
      <c r="A1627" s="17" t="s">
        <v>4914</v>
      </c>
      <c r="B1627" s="17" t="s">
        <v>70</v>
      </c>
      <c r="C1627" s="17" t="s">
        <v>71</v>
      </c>
      <c r="D1627" t="s">
        <v>4910</v>
      </c>
      <c r="F1627" t="s">
        <v>4566</v>
      </c>
      <c r="K1627" s="18">
        <f>62811815816</f>
        <v>62811815816</v>
      </c>
      <c r="N1627" s="17" t="s">
        <v>77</v>
      </c>
      <c r="V1627" s="18">
        <f>62811815816</f>
        <v>62811815816</v>
      </c>
    </row>
    <row r="1628" ht="15" customHeight="1" spans="1:22" x14ac:dyDescent="0.25">
      <c r="A1628" s="17" t="s">
        <v>4915</v>
      </c>
      <c r="B1628" s="17" t="s">
        <v>70</v>
      </c>
      <c r="C1628" s="17" t="s">
        <v>71</v>
      </c>
      <c r="D1628" t="s">
        <v>4916</v>
      </c>
      <c r="F1628" t="s">
        <v>301</v>
      </c>
      <c r="K1628" s="18">
        <f>6285717685067</f>
        <v>6285717685067</v>
      </c>
      <c r="N1628" s="17" t="s">
        <v>77</v>
      </c>
      <c r="V1628" s="18">
        <f>6285717685067</f>
        <v>6285717685067</v>
      </c>
    </row>
    <row r="1629" ht="15" customHeight="1" spans="1:22" x14ac:dyDescent="0.25">
      <c r="A1629" s="17" t="s">
        <v>4917</v>
      </c>
      <c r="B1629" s="17" t="s">
        <v>70</v>
      </c>
      <c r="C1629" s="17" t="s">
        <v>71</v>
      </c>
      <c r="D1629" t="s">
        <v>4916</v>
      </c>
      <c r="F1629" t="s">
        <v>4918</v>
      </c>
      <c r="K1629" s="18">
        <f>6281511307259</f>
        <v>6281511307259</v>
      </c>
      <c r="N1629" s="17" t="s">
        <v>77</v>
      </c>
      <c r="V1629" s="18">
        <f>6281511307259</f>
        <v>6281511307259</v>
      </c>
    </row>
    <row r="1630" ht="15" customHeight="1" spans="1:28" x14ac:dyDescent="0.25">
      <c r="A1630" s="17" t="s">
        <v>4919</v>
      </c>
      <c r="B1630" s="17" t="s">
        <v>70</v>
      </c>
      <c r="C1630" s="17" t="s">
        <v>71</v>
      </c>
      <c r="D1630" t="s">
        <v>4920</v>
      </c>
      <c r="F1630" t="s">
        <v>4920</v>
      </c>
      <c r="J1630" s="17" t="s">
        <v>4921</v>
      </c>
      <c r="K1630" s="18" t="s">
        <v>4922</v>
      </c>
      <c r="N1630" s="17" t="s">
        <v>77</v>
      </c>
      <c r="O1630" t="s">
        <v>199</v>
      </c>
      <c r="U1630" s="17"/>
      <c r="V1630" s="18" t="s">
        <v>4922</v>
      </c>
      <c r="W1630" t="s">
        <v>4923</v>
      </c>
      <c r="Y1630" t="s">
        <v>190</v>
      </c>
      <c r="AA1630" t="s">
        <v>118</v>
      </c>
      <c r="AB1630" t="s">
        <v>119</v>
      </c>
    </row>
    <row r="1631" ht="15" customHeight="1" spans="1:23" x14ac:dyDescent="0.25">
      <c r="A1631" s="17" t="s">
        <v>4924</v>
      </c>
      <c r="B1631" s="17" t="s">
        <v>70</v>
      </c>
      <c r="C1631" s="17" t="s">
        <v>71</v>
      </c>
      <c r="D1631" t="s">
        <v>4920</v>
      </c>
      <c r="F1631" t="s">
        <v>4925</v>
      </c>
      <c r="K1631" s="18">
        <f>6282217697991</f>
        <v>6282217697991</v>
      </c>
      <c r="N1631" s="17" t="s">
        <v>81</v>
      </c>
      <c r="U1631" s="17"/>
      <c r="V1631" s="18">
        <f>6282217697991</f>
        <v>6282217697991</v>
      </c>
      <c r="W1631" t="s">
        <v>4926</v>
      </c>
    </row>
    <row r="1632" ht="15" customHeight="1" spans="1:25" x14ac:dyDescent="0.25">
      <c r="A1632" s="17" t="s">
        <v>4927</v>
      </c>
      <c r="B1632" s="17" t="s">
        <v>70</v>
      </c>
      <c r="C1632" s="17" t="s">
        <v>71</v>
      </c>
      <c r="D1632" t="s">
        <v>4928</v>
      </c>
      <c r="F1632" t="s">
        <v>1130</v>
      </c>
      <c r="K1632" s="18">
        <f>6281218572701</f>
        <v>6281218572701</v>
      </c>
      <c r="N1632" s="17" t="s">
        <v>77</v>
      </c>
      <c r="U1632" s="17"/>
      <c r="V1632" s="18">
        <f>6281218572701</f>
        <v>6281218572701</v>
      </c>
      <c r="W1632" t="s">
        <v>4929</v>
      </c>
      <c r="Y1632" s="17" t="s">
        <v>397</v>
      </c>
    </row>
    <row r="1633" ht="15" customHeight="1" spans="1:22" x14ac:dyDescent="0.25">
      <c r="A1633" s="17" t="s">
        <v>4930</v>
      </c>
      <c r="B1633" s="17" t="s">
        <v>70</v>
      </c>
      <c r="C1633" s="17" t="s">
        <v>71</v>
      </c>
      <c r="D1633" t="s">
        <v>4931</v>
      </c>
      <c r="F1633" t="s">
        <v>1169</v>
      </c>
      <c r="K1633" s="18">
        <f>6281327038888</f>
        <v>6281327038888</v>
      </c>
      <c r="N1633" s="17" t="s">
        <v>77</v>
      </c>
      <c r="V1633" s="18">
        <f>6281327038888</f>
        <v>6281327038888</v>
      </c>
    </row>
    <row r="1634" ht="15" customHeight="1" spans="1:28" x14ac:dyDescent="0.25">
      <c r="A1634" s="17" t="s">
        <v>4932</v>
      </c>
      <c r="B1634" s="17" t="s">
        <v>70</v>
      </c>
      <c r="C1634" s="17" t="s">
        <v>71</v>
      </c>
      <c r="D1634" t="s">
        <v>4561</v>
      </c>
      <c r="F1634" t="s">
        <v>4933</v>
      </c>
      <c r="J1634" s="17" t="s">
        <v>4934</v>
      </c>
      <c r="K1634" s="18" t="s">
        <v>4935</v>
      </c>
      <c r="N1634" s="17" t="s">
        <v>77</v>
      </c>
      <c r="O1634" t="s">
        <v>199</v>
      </c>
      <c r="U1634" s="17"/>
      <c r="V1634" s="18" t="s">
        <v>4935</v>
      </c>
      <c r="W1634" t="s">
        <v>1909</v>
      </c>
      <c r="Y1634" t="s">
        <v>115</v>
      </c>
      <c r="AA1634" t="s">
        <v>115</v>
      </c>
      <c r="AB1634" t="s">
        <v>2605</v>
      </c>
    </row>
    <row r="1635" ht="15" customHeight="1" spans="1:22" x14ac:dyDescent="0.25">
      <c r="A1635" s="17" t="s">
        <v>4936</v>
      </c>
      <c r="B1635" s="17" t="s">
        <v>70</v>
      </c>
      <c r="C1635" s="17" t="s">
        <v>71</v>
      </c>
      <c r="D1635" t="s">
        <v>4937</v>
      </c>
      <c r="F1635" t="s">
        <v>4938</v>
      </c>
      <c r="K1635" s="18">
        <f>62817788018</f>
        <v>62817788018</v>
      </c>
      <c r="N1635" s="17" t="s">
        <v>77</v>
      </c>
      <c r="V1635" s="18">
        <f>62817788018</f>
        <v>62817788018</v>
      </c>
    </row>
    <row r="1636" ht="15" customHeight="1" spans="1:22" x14ac:dyDescent="0.25">
      <c r="A1636" s="17" t="s">
        <v>4939</v>
      </c>
      <c r="B1636" s="17" t="s">
        <v>70</v>
      </c>
      <c r="C1636" s="17" t="s">
        <v>71</v>
      </c>
      <c r="D1636" t="s">
        <v>4940</v>
      </c>
      <c r="F1636" t="s">
        <v>4941</v>
      </c>
      <c r="K1636" s="18">
        <f>628118776848</f>
        <v>628118776848</v>
      </c>
      <c r="N1636" s="17" t="s">
        <v>74</v>
      </c>
      <c r="V1636" s="18">
        <f>628118776848</f>
        <v>628118776848</v>
      </c>
    </row>
    <row r="1637" ht="15" customHeight="1" spans="1:22" x14ac:dyDescent="0.25">
      <c r="A1637" s="17" t="s">
        <v>4942</v>
      </c>
      <c r="B1637" s="17" t="s">
        <v>70</v>
      </c>
      <c r="C1637" s="17" t="s">
        <v>71</v>
      </c>
      <c r="D1637" t="s">
        <v>4943</v>
      </c>
      <c r="F1637" t="s">
        <v>4943</v>
      </c>
      <c r="K1637" s="18">
        <f>681244095040</f>
        <v>681244095040</v>
      </c>
      <c r="N1637" s="17" t="s">
        <v>81</v>
      </c>
      <c r="V1637" s="18">
        <f>681244095040</f>
        <v>681244095040</v>
      </c>
    </row>
    <row r="1638" ht="15" customHeight="1" spans="1:22" x14ac:dyDescent="0.25">
      <c r="A1638" s="17" t="s">
        <v>4944</v>
      </c>
      <c r="B1638" s="17" t="s">
        <v>70</v>
      </c>
      <c r="C1638" s="17" t="s">
        <v>71</v>
      </c>
      <c r="D1638" t="s">
        <v>4945</v>
      </c>
      <c r="F1638" t="s">
        <v>301</v>
      </c>
      <c r="K1638" s="18">
        <f>628179106060</f>
        <v>628179106060</v>
      </c>
      <c r="N1638" s="17" t="s">
        <v>77</v>
      </c>
      <c r="V1638" s="18">
        <f>628179106060</f>
        <v>628179106060</v>
      </c>
    </row>
    <row r="1639" ht="15" customHeight="1" spans="1:28" x14ac:dyDescent="0.25">
      <c r="A1639" s="17" t="s">
        <v>4946</v>
      </c>
      <c r="B1639" s="17" t="s">
        <v>70</v>
      </c>
      <c r="C1639" s="17" t="s">
        <v>71</v>
      </c>
      <c r="D1639" t="s">
        <v>4947</v>
      </c>
      <c r="F1639" t="s">
        <v>4948</v>
      </c>
      <c r="J1639" t="s">
        <v>115</v>
      </c>
      <c r="K1639" s="18" t="s">
        <v>4949</v>
      </c>
      <c r="N1639" s="17" t="s">
        <v>77</v>
      </c>
      <c r="O1639" t="s">
        <v>261</v>
      </c>
      <c r="U1639" s="17"/>
      <c r="V1639" s="18" t="s">
        <v>4949</v>
      </c>
      <c r="W1639" t="s">
        <v>4950</v>
      </c>
      <c r="Y1639" t="s">
        <v>90</v>
      </c>
      <c r="AA1639" t="s">
        <v>118</v>
      </c>
      <c r="AB1639" t="s">
        <v>119</v>
      </c>
    </row>
    <row r="1640" ht="15" customHeight="1" spans="1:22" x14ac:dyDescent="0.25">
      <c r="A1640" s="17" t="s">
        <v>4951</v>
      </c>
      <c r="B1640" s="17" t="s">
        <v>70</v>
      </c>
      <c r="C1640" s="17" t="s">
        <v>71</v>
      </c>
      <c r="D1640" t="s">
        <v>4952</v>
      </c>
      <c r="F1640" t="s">
        <v>2987</v>
      </c>
      <c r="K1640" s="18">
        <f>62811147580</f>
        <v>62811147580</v>
      </c>
      <c r="N1640" s="17" t="s">
        <v>77</v>
      </c>
      <c r="V1640" s="18">
        <f>62811147580</f>
        <v>62811147580</v>
      </c>
    </row>
    <row r="1641" ht="15" customHeight="1" spans="1:28" x14ac:dyDescent="0.25">
      <c r="A1641" s="17" t="s">
        <v>4953</v>
      </c>
      <c r="B1641" s="17" t="s">
        <v>70</v>
      </c>
      <c r="C1641" s="17" t="s">
        <v>71</v>
      </c>
      <c r="D1641" t="s">
        <v>4954</v>
      </c>
      <c r="F1641" t="s">
        <v>4955</v>
      </c>
      <c r="J1641" s="17" t="s">
        <v>4956</v>
      </c>
      <c r="K1641" s="18" t="s">
        <v>4957</v>
      </c>
      <c r="N1641" s="17" t="s">
        <v>77</v>
      </c>
      <c r="O1641" t="s">
        <v>145</v>
      </c>
      <c r="U1641" s="17"/>
      <c r="V1641" s="18" t="s">
        <v>4957</v>
      </c>
      <c r="W1641" t="s">
        <v>4958</v>
      </c>
      <c r="Y1641" t="s">
        <v>4959</v>
      </c>
      <c r="AA1641" t="s">
        <v>115</v>
      </c>
      <c r="AB1641" t="s">
        <v>119</v>
      </c>
    </row>
    <row r="1642" ht="15" customHeight="1" spans="1:22" x14ac:dyDescent="0.25">
      <c r="A1642" s="17" t="s">
        <v>4960</v>
      </c>
      <c r="B1642" s="17" t="s">
        <v>70</v>
      </c>
      <c r="C1642" s="17" t="s">
        <v>71</v>
      </c>
      <c r="D1642" t="s">
        <v>4961</v>
      </c>
      <c r="F1642" t="s">
        <v>4962</v>
      </c>
      <c r="K1642" s="18">
        <f>6287781973181</f>
        <v>6287781973181</v>
      </c>
      <c r="N1642" s="17" t="s">
        <v>77</v>
      </c>
      <c r="V1642" s="18">
        <f>6287781973181</f>
        <v>6287781973181</v>
      </c>
    </row>
    <row r="1643" ht="15" customHeight="1" spans="1:22" x14ac:dyDescent="0.25">
      <c r="A1643" s="17" t="s">
        <v>4963</v>
      </c>
      <c r="B1643" s="17" t="s">
        <v>70</v>
      </c>
      <c r="C1643" s="17" t="s">
        <v>71</v>
      </c>
      <c r="D1643" t="s">
        <v>4964</v>
      </c>
      <c r="F1643" t="s">
        <v>4964</v>
      </c>
      <c r="K1643" s="18">
        <f>6287888008920</f>
        <v>6287888008920</v>
      </c>
      <c r="N1643" s="17" t="s">
        <v>81</v>
      </c>
      <c r="V1643" s="18">
        <f>6287888008920</f>
        <v>6287888008920</v>
      </c>
    </row>
    <row r="1644" ht="15" customHeight="1" spans="1:25" x14ac:dyDescent="0.25">
      <c r="A1644" s="17" t="s">
        <v>4965</v>
      </c>
      <c r="B1644" s="17" t="s">
        <v>70</v>
      </c>
      <c r="C1644" s="17" t="s">
        <v>71</v>
      </c>
      <c r="D1644" t="s">
        <v>4966</v>
      </c>
      <c r="F1644" t="s">
        <v>4967</v>
      </c>
      <c r="K1644" s="18">
        <f>6282215171742</f>
        <v>6282215171742</v>
      </c>
      <c r="N1644" s="17" t="s">
        <v>77</v>
      </c>
      <c r="U1644" s="17"/>
      <c r="V1644" s="18">
        <f>6282215171742</f>
        <v>6282215171742</v>
      </c>
      <c r="W1644" t="s">
        <v>4968</v>
      </c>
      <c r="Y1644" s="17" t="s">
        <v>500</v>
      </c>
    </row>
    <row r="1645" ht="15" customHeight="1" spans="1:22" x14ac:dyDescent="0.25">
      <c r="A1645" s="17" t="s">
        <v>4969</v>
      </c>
      <c r="B1645" s="17" t="s">
        <v>70</v>
      </c>
      <c r="C1645" s="17" t="s">
        <v>71</v>
      </c>
      <c r="D1645" t="s">
        <v>4970</v>
      </c>
      <c r="F1645" t="s">
        <v>4970</v>
      </c>
      <c r="K1645" s="18">
        <f>6281218435282</f>
        <v>6281218435282</v>
      </c>
      <c r="N1645" s="17" t="s">
        <v>77</v>
      </c>
      <c r="V1645" s="18">
        <f>6281218435282</f>
        <v>6281218435282</v>
      </c>
    </row>
    <row r="1646" ht="15" customHeight="1" spans="1:22" x14ac:dyDescent="0.25">
      <c r="A1646" s="17" t="s">
        <v>4971</v>
      </c>
      <c r="B1646" s="17" t="s">
        <v>70</v>
      </c>
      <c r="C1646" s="17" t="s">
        <v>71</v>
      </c>
      <c r="D1646" t="s">
        <v>4970</v>
      </c>
      <c r="F1646" t="s">
        <v>814</v>
      </c>
      <c r="K1646" s="18">
        <f>6281211394268</f>
        <v>6281211394268</v>
      </c>
      <c r="N1646" s="17" t="s">
        <v>81</v>
      </c>
      <c r="V1646" s="18">
        <f>6281211394268</f>
        <v>6281211394268</v>
      </c>
    </row>
    <row r="1647" ht="15" customHeight="1" spans="1:23" x14ac:dyDescent="0.25">
      <c r="A1647" s="17" t="s">
        <v>4972</v>
      </c>
      <c r="B1647" s="17" t="s">
        <v>70</v>
      </c>
      <c r="C1647" s="17" t="s">
        <v>71</v>
      </c>
      <c r="D1647" t="s">
        <v>4973</v>
      </c>
      <c r="F1647" t="s">
        <v>4974</v>
      </c>
      <c r="K1647" s="18">
        <f>6281805911223</f>
        <v>6281805911223</v>
      </c>
      <c r="N1647" s="17" t="s">
        <v>81</v>
      </c>
      <c r="U1647" s="17"/>
      <c r="V1647" s="18">
        <f>6281805911223</f>
        <v>6281805911223</v>
      </c>
      <c r="W1647" t="s">
        <v>4975</v>
      </c>
    </row>
    <row r="1648" ht="15" customHeight="1" spans="1:22" x14ac:dyDescent="0.25">
      <c r="A1648" s="17" t="s">
        <v>4976</v>
      </c>
      <c r="B1648" s="17" t="s">
        <v>70</v>
      </c>
      <c r="C1648" s="17" t="s">
        <v>71</v>
      </c>
      <c r="D1648" t="s">
        <v>4977</v>
      </c>
      <c r="F1648" t="s">
        <v>4978</v>
      </c>
      <c r="K1648" s="18">
        <f>6285710187288</f>
        <v>6285710187288</v>
      </c>
      <c r="N1648" s="17" t="s">
        <v>77</v>
      </c>
      <c r="V1648" s="18">
        <f>6285710187288</f>
        <v>6285710187288</v>
      </c>
    </row>
    <row r="1649" ht="15" customHeight="1" spans="1:22" x14ac:dyDescent="0.25">
      <c r="A1649" s="17" t="s">
        <v>4979</v>
      </c>
      <c r="B1649" s="17" t="s">
        <v>70</v>
      </c>
      <c r="C1649" s="17" t="s">
        <v>71</v>
      </c>
      <c r="D1649" t="s">
        <v>4977</v>
      </c>
      <c r="F1649" t="s">
        <v>4980</v>
      </c>
      <c r="K1649" s="18">
        <f>628112112314</f>
        <v>628112112314</v>
      </c>
      <c r="N1649" s="17" t="s">
        <v>77</v>
      </c>
      <c r="V1649" s="18">
        <f>628112112314</f>
        <v>628112112314</v>
      </c>
    </row>
    <row r="1650" ht="15" customHeight="1" spans="1:28" x14ac:dyDescent="0.25">
      <c r="A1650" s="17" t="s">
        <v>4981</v>
      </c>
      <c r="B1650" s="17" t="s">
        <v>70</v>
      </c>
      <c r="C1650" s="17" t="s">
        <v>71</v>
      </c>
      <c r="D1650" t="s">
        <v>4977</v>
      </c>
      <c r="F1650" t="s">
        <v>4982</v>
      </c>
      <c r="J1650" t="s">
        <v>115</v>
      </c>
      <c r="K1650" s="18" t="s">
        <v>4983</v>
      </c>
      <c r="N1650" s="17" t="s">
        <v>77</v>
      </c>
      <c r="O1650" t="s">
        <v>117</v>
      </c>
      <c r="V1650" s="18" t="s">
        <v>4983</v>
      </c>
      <c r="Y1650" t="s">
        <v>90</v>
      </c>
      <c r="AA1650" t="s">
        <v>118</v>
      </c>
      <c r="AB1650" t="s">
        <v>119</v>
      </c>
    </row>
    <row r="1651" ht="15" customHeight="1" spans="1:22" x14ac:dyDescent="0.25">
      <c r="A1651" s="17" t="s">
        <v>4984</v>
      </c>
      <c r="B1651" s="17" t="s">
        <v>70</v>
      </c>
      <c r="C1651" s="17" t="s">
        <v>71</v>
      </c>
      <c r="D1651" t="s">
        <v>4977</v>
      </c>
      <c r="F1651" t="s">
        <v>4985</v>
      </c>
      <c r="K1651" s="18">
        <f>6281770171000</f>
        <v>6281770171000</v>
      </c>
      <c r="N1651" s="17" t="s">
        <v>81</v>
      </c>
      <c r="V1651" s="18">
        <f>6281770171000</f>
        <v>6281770171000</v>
      </c>
    </row>
    <row r="1652" ht="15" customHeight="1" spans="1:27" x14ac:dyDescent="0.25">
      <c r="A1652" s="17" t="s">
        <v>4986</v>
      </c>
      <c r="B1652" s="17" t="s">
        <v>70</v>
      </c>
      <c r="C1652" s="17" t="s">
        <v>71</v>
      </c>
      <c r="D1652" t="s">
        <v>4987</v>
      </c>
      <c r="F1652" t="s">
        <v>4987</v>
      </c>
      <c r="K1652" s="18">
        <f>6282111999890</f>
        <v>6282111999890</v>
      </c>
      <c r="N1652" s="17" t="s">
        <v>81</v>
      </c>
      <c r="U1652" s="17"/>
      <c r="V1652" s="18">
        <f>6282111999890</f>
        <v>6282111999890</v>
      </c>
      <c r="W1652" t="s">
        <v>4988</v>
      </c>
      <c r="AA1652" s="17">
        <v>12190</v>
      </c>
    </row>
    <row r="1653" ht="15" customHeight="1" spans="1:28" x14ac:dyDescent="0.25">
      <c r="A1653" s="17" t="s">
        <v>4989</v>
      </c>
      <c r="B1653" s="17" t="s">
        <v>70</v>
      </c>
      <c r="C1653" s="17" t="s">
        <v>71</v>
      </c>
      <c r="D1653" t="s">
        <v>4990</v>
      </c>
      <c r="F1653" t="s">
        <v>1169</v>
      </c>
      <c r="J1653" t="s">
        <v>4991</v>
      </c>
      <c r="K1653" s="18" t="s">
        <v>4992</v>
      </c>
      <c r="N1653" s="17" t="s">
        <v>77</v>
      </c>
      <c r="O1653" t="s">
        <v>117</v>
      </c>
      <c r="V1653" s="18" t="s">
        <v>4992</v>
      </c>
      <c r="Y1653" t="s">
        <v>4993</v>
      </c>
      <c r="AA1653" t="s">
        <v>115</v>
      </c>
      <c r="AB1653" t="s">
        <v>119</v>
      </c>
    </row>
    <row r="1654" ht="15" customHeight="1" spans="1:22" x14ac:dyDescent="0.25">
      <c r="A1654" s="17" t="s">
        <v>4994</v>
      </c>
      <c r="B1654" s="17" t="s">
        <v>70</v>
      </c>
      <c r="C1654" s="17" t="s">
        <v>71</v>
      </c>
      <c r="D1654" t="s">
        <v>4995</v>
      </c>
      <c r="F1654" t="s">
        <v>4995</v>
      </c>
      <c r="K1654" s="18">
        <f>628159115575</f>
        <v>628159115575</v>
      </c>
      <c r="N1654" s="17" t="s">
        <v>77</v>
      </c>
      <c r="V1654" s="18">
        <f>628159115575</f>
        <v>628159115575</v>
      </c>
    </row>
    <row r="1655" ht="15" customHeight="1" spans="1:22" x14ac:dyDescent="0.25">
      <c r="A1655" s="17" t="s">
        <v>4996</v>
      </c>
      <c r="B1655" s="17" t="s">
        <v>70</v>
      </c>
      <c r="C1655" s="17" t="s">
        <v>71</v>
      </c>
      <c r="D1655" t="s">
        <v>4997</v>
      </c>
      <c r="F1655" t="s">
        <v>4997</v>
      </c>
      <c r="K1655" s="18">
        <f>628179944699</f>
        <v>628179944699</v>
      </c>
      <c r="N1655" s="17" t="s">
        <v>77</v>
      </c>
      <c r="V1655" s="18">
        <f>628179944699</f>
        <v>628179944699</v>
      </c>
    </row>
    <row r="1656" ht="15" customHeight="1" spans="1:22" x14ac:dyDescent="0.25">
      <c r="A1656" s="17" t="s">
        <v>4998</v>
      </c>
      <c r="B1656" s="17" t="s">
        <v>70</v>
      </c>
      <c r="C1656" s="17" t="s">
        <v>71</v>
      </c>
      <c r="D1656" t="s">
        <v>4997</v>
      </c>
      <c r="F1656" t="s">
        <v>2905</v>
      </c>
      <c r="K1656" s="18">
        <f>62818730777</f>
        <v>62818730777</v>
      </c>
      <c r="N1656" s="17" t="s">
        <v>77</v>
      </c>
      <c r="V1656" s="18">
        <f>62818730777</f>
        <v>62818730777</v>
      </c>
    </row>
    <row r="1657" ht="15" customHeight="1" spans="1:27" x14ac:dyDescent="0.25">
      <c r="A1657" s="17" t="s">
        <v>4999</v>
      </c>
      <c r="B1657" s="17" t="s">
        <v>70</v>
      </c>
      <c r="C1657" s="17" t="s">
        <v>71</v>
      </c>
      <c r="D1657" t="s">
        <v>5000</v>
      </c>
      <c r="F1657" t="s">
        <v>5001</v>
      </c>
      <c r="K1657" s="18">
        <f>6281585506793</f>
        <v>6281585506793</v>
      </c>
      <c r="N1657" s="17" t="s">
        <v>74</v>
      </c>
      <c r="U1657" s="17"/>
      <c r="V1657" s="18">
        <f>6281585506793</f>
        <v>6281585506793</v>
      </c>
      <c r="W1657" t="s">
        <v>5002</v>
      </c>
      <c r="Y1657" s="17" t="s">
        <v>1084</v>
      </c>
      <c r="AA1657" s="17" t="s">
        <v>5003</v>
      </c>
    </row>
    <row r="1658" ht="15" customHeight="1" spans="1:22" x14ac:dyDescent="0.25">
      <c r="A1658" s="17" t="s">
        <v>5004</v>
      </c>
      <c r="B1658" s="17" t="s">
        <v>70</v>
      </c>
      <c r="C1658" s="17" t="s">
        <v>71</v>
      </c>
      <c r="D1658" t="s">
        <v>5005</v>
      </c>
      <c r="F1658" t="s">
        <v>5005</v>
      </c>
      <c r="K1658" s="18">
        <f>62818800234</f>
        <v>62818800234</v>
      </c>
      <c r="N1658" s="17" t="s">
        <v>77</v>
      </c>
      <c r="V1658" s="18">
        <f>62818800234</f>
        <v>62818800234</v>
      </c>
    </row>
    <row r="1659" ht="15" customHeight="1" spans="1:28" x14ac:dyDescent="0.25">
      <c r="A1659" s="17" t="s">
        <v>5006</v>
      </c>
      <c r="B1659" s="17" t="s">
        <v>70</v>
      </c>
      <c r="C1659" s="17" t="s">
        <v>71</v>
      </c>
      <c r="D1659" t="s">
        <v>5007</v>
      </c>
      <c r="F1659" t="s">
        <v>5008</v>
      </c>
      <c r="J1659" t="s">
        <v>115</v>
      </c>
      <c r="K1659" s="18" t="s">
        <v>5009</v>
      </c>
      <c r="N1659" s="17" t="s">
        <v>81</v>
      </c>
      <c r="O1659" t="s">
        <v>489</v>
      </c>
      <c r="V1659" s="18" t="s">
        <v>5009</v>
      </c>
      <c r="Y1659" t="s">
        <v>1084</v>
      </c>
      <c r="AA1659" t="s">
        <v>3146</v>
      </c>
      <c r="AB1659" t="s">
        <v>119</v>
      </c>
    </row>
    <row r="1660" ht="15" customHeight="1" spans="1:28" x14ac:dyDescent="0.25">
      <c r="A1660" s="17" t="s">
        <v>5010</v>
      </c>
      <c r="B1660" s="17" t="s">
        <v>70</v>
      </c>
      <c r="C1660" s="17" t="s">
        <v>71</v>
      </c>
      <c r="D1660" t="s">
        <v>5011</v>
      </c>
      <c r="F1660" t="s">
        <v>3585</v>
      </c>
      <c r="J1660" s="17" t="s">
        <v>5012</v>
      </c>
      <c r="K1660" s="18" t="s">
        <v>5013</v>
      </c>
      <c r="N1660" s="17" t="s">
        <v>77</v>
      </c>
      <c r="O1660" t="s">
        <v>261</v>
      </c>
      <c r="U1660" s="17"/>
      <c r="V1660" s="18" t="s">
        <v>5013</v>
      </c>
      <c r="W1660" t="s">
        <v>5014</v>
      </c>
      <c r="Y1660" s="17" t="s">
        <v>90</v>
      </c>
      <c r="AA1660" t="s">
        <v>118</v>
      </c>
      <c r="AB1660" t="s">
        <v>119</v>
      </c>
    </row>
    <row r="1661" ht="15" customHeight="1" spans="1:22" x14ac:dyDescent="0.25">
      <c r="A1661" s="17" t="s">
        <v>5015</v>
      </c>
      <c r="B1661" s="17" t="s">
        <v>70</v>
      </c>
      <c r="C1661" s="17" t="s">
        <v>71</v>
      </c>
      <c r="D1661" t="s">
        <v>5016</v>
      </c>
      <c r="F1661" t="s">
        <v>5017</v>
      </c>
      <c r="K1661" s="18">
        <f>628112659393</f>
        <v>628112659393</v>
      </c>
      <c r="N1661" s="17" t="s">
        <v>81</v>
      </c>
      <c r="V1661" s="18">
        <f>628112659393</f>
        <v>628112659393</v>
      </c>
    </row>
    <row r="1662" ht="15" customHeight="1" spans="1:22" x14ac:dyDescent="0.25">
      <c r="A1662" s="17" t="s">
        <v>5018</v>
      </c>
      <c r="B1662" s="17" t="s">
        <v>70</v>
      </c>
      <c r="C1662" s="17" t="s">
        <v>71</v>
      </c>
      <c r="D1662" t="s">
        <v>5019</v>
      </c>
      <c r="F1662" t="s">
        <v>5019</v>
      </c>
      <c r="K1662" s="18">
        <f>6281285407600</f>
        <v>6281285407600</v>
      </c>
      <c r="N1662" s="17" t="s">
        <v>81</v>
      </c>
      <c r="V1662" s="18">
        <f>6281285407600</f>
        <v>6281285407600</v>
      </c>
    </row>
    <row r="1663" ht="15" customHeight="1" spans="1:28" x14ac:dyDescent="0.25">
      <c r="A1663" s="17" t="s">
        <v>5020</v>
      </c>
      <c r="B1663" s="17" t="s">
        <v>70</v>
      </c>
      <c r="C1663" s="17" t="s">
        <v>71</v>
      </c>
      <c r="D1663" t="s">
        <v>5019</v>
      </c>
      <c r="F1663" t="s">
        <v>2279</v>
      </c>
      <c r="J1663" t="s">
        <v>5021</v>
      </c>
      <c r="K1663" s="18" t="s">
        <v>5022</v>
      </c>
      <c r="N1663" s="17" t="s">
        <v>77</v>
      </c>
      <c r="O1663" t="s">
        <v>117</v>
      </c>
      <c r="U1663" s="17"/>
      <c r="V1663" s="18" t="s">
        <v>5022</v>
      </c>
      <c r="W1663" t="s">
        <v>5023</v>
      </c>
      <c r="Y1663" t="s">
        <v>190</v>
      </c>
      <c r="AA1663" t="s">
        <v>118</v>
      </c>
      <c r="AB1663" t="s">
        <v>119</v>
      </c>
    </row>
    <row r="1664" ht="15" customHeight="1" spans="1:28" x14ac:dyDescent="0.25">
      <c r="A1664" s="17" t="s">
        <v>5024</v>
      </c>
      <c r="B1664" s="17" t="s">
        <v>70</v>
      </c>
      <c r="C1664" s="17" t="s">
        <v>71</v>
      </c>
      <c r="D1664" t="s">
        <v>5025</v>
      </c>
      <c r="F1664" t="s">
        <v>2413</v>
      </c>
      <c r="J1664" t="s">
        <v>115</v>
      </c>
      <c r="K1664" s="18" t="s">
        <v>5026</v>
      </c>
      <c r="N1664" s="17" t="s">
        <v>77</v>
      </c>
      <c r="O1664" t="s">
        <v>117</v>
      </c>
      <c r="V1664" s="18" t="s">
        <v>5026</v>
      </c>
      <c r="Y1664" t="s">
        <v>90</v>
      </c>
      <c r="AA1664" t="s">
        <v>118</v>
      </c>
      <c r="AB1664" t="s">
        <v>119</v>
      </c>
    </row>
    <row r="1665" ht="15" customHeight="1" spans="1:28" x14ac:dyDescent="0.25">
      <c r="A1665" s="17" t="s">
        <v>5027</v>
      </c>
      <c r="B1665" s="17" t="s">
        <v>70</v>
      </c>
      <c r="C1665" s="17" t="s">
        <v>71</v>
      </c>
      <c r="D1665" t="s">
        <v>5019</v>
      </c>
      <c r="F1665" t="s">
        <v>5028</v>
      </c>
      <c r="J1665" t="s">
        <v>115</v>
      </c>
      <c r="K1665" s="18" t="s">
        <v>5029</v>
      </c>
      <c r="N1665" s="17" t="s">
        <v>81</v>
      </c>
      <c r="O1665" t="s">
        <v>117</v>
      </c>
      <c r="U1665" s="17"/>
      <c r="V1665" s="18" t="s">
        <v>5029</v>
      </c>
      <c r="W1665" t="s">
        <v>5030</v>
      </c>
      <c r="Y1665" s="17" t="s">
        <v>622</v>
      </c>
      <c r="AA1665" t="s">
        <v>623</v>
      </c>
      <c r="AB1665" t="s">
        <v>119</v>
      </c>
    </row>
    <row r="1666" ht="15" customHeight="1" spans="1:27" x14ac:dyDescent="0.25">
      <c r="A1666" s="17" t="s">
        <v>5031</v>
      </c>
      <c r="B1666" s="17" t="s">
        <v>70</v>
      </c>
      <c r="C1666" s="17" t="s">
        <v>71</v>
      </c>
      <c r="D1666" t="s">
        <v>5019</v>
      </c>
      <c r="F1666" t="s">
        <v>5032</v>
      </c>
      <c r="K1666" s="18">
        <f>6281399211271</f>
        <v>6281399211271</v>
      </c>
      <c r="N1666" s="17" t="s">
        <v>77</v>
      </c>
      <c r="U1666" s="17"/>
      <c r="V1666" s="18">
        <f>6281399211271</f>
        <v>6281399211271</v>
      </c>
      <c r="W1666" t="s">
        <v>5033</v>
      </c>
      <c r="Y1666" s="17" t="s">
        <v>596</v>
      </c>
      <c r="AA1666" s="17">
        <v>15412</v>
      </c>
    </row>
    <row r="1667" ht="15" customHeight="1" spans="1:22" x14ac:dyDescent="0.25">
      <c r="A1667" s="17" t="s">
        <v>5034</v>
      </c>
      <c r="B1667" s="17" t="s">
        <v>70</v>
      </c>
      <c r="C1667" s="17" t="s">
        <v>71</v>
      </c>
      <c r="D1667" t="s">
        <v>5019</v>
      </c>
      <c r="F1667" t="s">
        <v>5035</v>
      </c>
      <c r="K1667" s="18">
        <f>6281320620614</f>
        <v>6281320620614</v>
      </c>
      <c r="N1667" s="17" t="s">
        <v>77</v>
      </c>
      <c r="V1667" s="18">
        <f>6281320620614</f>
        <v>6281320620614</v>
      </c>
    </row>
    <row r="1668" ht="15" customHeight="1" spans="1:27" x14ac:dyDescent="0.25">
      <c r="A1668" s="17" t="s">
        <v>5036</v>
      </c>
      <c r="B1668" s="17" t="s">
        <v>70</v>
      </c>
      <c r="C1668" s="17" t="s">
        <v>71</v>
      </c>
      <c r="D1668" t="s">
        <v>5019</v>
      </c>
      <c r="F1668" t="s">
        <v>5037</v>
      </c>
      <c r="K1668" s="18">
        <f>6281289848605</f>
        <v>6281289848605</v>
      </c>
      <c r="N1668" s="17" t="s">
        <v>77</v>
      </c>
      <c r="U1668" s="17"/>
      <c r="V1668" s="18">
        <f>6281289848605</f>
        <v>6281289848605</v>
      </c>
      <c r="W1668" t="s">
        <v>5038</v>
      </c>
      <c r="Y1668" s="17" t="s">
        <v>1331</v>
      </c>
      <c r="AA1668" s="17">
        <v>13440</v>
      </c>
    </row>
    <row r="1669" ht="15" customHeight="1" spans="1:28" x14ac:dyDescent="0.25">
      <c r="A1669" s="17" t="s">
        <v>5039</v>
      </c>
      <c r="B1669" s="17" t="s">
        <v>70</v>
      </c>
      <c r="C1669" s="17" t="s">
        <v>71</v>
      </c>
      <c r="D1669" t="s">
        <v>5040</v>
      </c>
      <c r="F1669" t="s">
        <v>5041</v>
      </c>
      <c r="J1669" s="17" t="s">
        <v>5042</v>
      </c>
      <c r="K1669" s="18" t="s">
        <v>5043</v>
      </c>
      <c r="N1669" s="17" t="s">
        <v>77</v>
      </c>
      <c r="O1669" t="s">
        <v>145</v>
      </c>
      <c r="V1669" s="18" t="s">
        <v>5043</v>
      </c>
      <c r="Y1669" t="s">
        <v>190</v>
      </c>
      <c r="AA1669" t="s">
        <v>118</v>
      </c>
      <c r="AB1669" t="s">
        <v>119</v>
      </c>
    </row>
    <row r="1670" ht="15" customHeight="1" spans="1:23" x14ac:dyDescent="0.25">
      <c r="A1670" s="17" t="s">
        <v>5044</v>
      </c>
      <c r="B1670" s="17" t="s">
        <v>70</v>
      </c>
      <c r="C1670" s="17" t="s">
        <v>71</v>
      </c>
      <c r="D1670" t="s">
        <v>5045</v>
      </c>
      <c r="F1670" t="s">
        <v>5045</v>
      </c>
      <c r="K1670" s="18">
        <f>6281285513737</f>
        <v>6281285513737</v>
      </c>
      <c r="N1670" s="17" t="s">
        <v>81</v>
      </c>
      <c r="U1670" s="17"/>
      <c r="V1670" s="18">
        <f>6281285513737</f>
        <v>6281285513737</v>
      </c>
      <c r="W1670" t="s">
        <v>4993</v>
      </c>
    </row>
    <row r="1671" ht="15" customHeight="1" spans="1:22" x14ac:dyDescent="0.25">
      <c r="A1671" s="17" t="s">
        <v>5046</v>
      </c>
      <c r="B1671" s="17" t="s">
        <v>70</v>
      </c>
      <c r="C1671" s="17" t="s">
        <v>71</v>
      </c>
      <c r="D1671" t="s">
        <v>5047</v>
      </c>
      <c r="F1671" t="s">
        <v>5048</v>
      </c>
      <c r="K1671" s="18">
        <f>6285211213231</f>
        <v>6285211213231</v>
      </c>
      <c r="N1671" s="17" t="s">
        <v>81</v>
      </c>
      <c r="V1671" s="18">
        <f>6285211213231</f>
        <v>6285211213231</v>
      </c>
    </row>
    <row r="1672" ht="15" customHeight="1" spans="1:27" x14ac:dyDescent="0.25">
      <c r="A1672" s="17" t="s">
        <v>5049</v>
      </c>
      <c r="B1672" s="17" t="s">
        <v>70</v>
      </c>
      <c r="C1672" s="17" t="s">
        <v>71</v>
      </c>
      <c r="D1672" t="s">
        <v>5050</v>
      </c>
      <c r="F1672" t="s">
        <v>5051</v>
      </c>
      <c r="J1672" s="17" t="s">
        <v>5052</v>
      </c>
      <c r="K1672" s="18">
        <f>6281286239971</f>
        <v>6281286239971</v>
      </c>
      <c r="N1672" s="17" t="s">
        <v>74</v>
      </c>
      <c r="U1672" s="17"/>
      <c r="V1672" s="18">
        <f>6281286239971</f>
        <v>6281286239971</v>
      </c>
      <c r="W1672" t="s">
        <v>5053</v>
      </c>
      <c r="Y1672" s="17" t="s">
        <v>5054</v>
      </c>
      <c r="AA1672" s="17">
        <v>41313</v>
      </c>
    </row>
    <row r="1673" ht="15" customHeight="1" spans="1:22" x14ac:dyDescent="0.25">
      <c r="A1673" s="17" t="s">
        <v>5055</v>
      </c>
      <c r="B1673" s="17" t="s">
        <v>70</v>
      </c>
      <c r="C1673" s="17" t="s">
        <v>71</v>
      </c>
      <c r="D1673" t="s">
        <v>5056</v>
      </c>
      <c r="F1673" t="s">
        <v>5056</v>
      </c>
      <c r="K1673" s="18">
        <f>62818762817</f>
        <v>62818762817</v>
      </c>
      <c r="N1673" s="17" t="s">
        <v>81</v>
      </c>
      <c r="V1673" s="18">
        <f>62818762817</f>
        <v>62818762817</v>
      </c>
    </row>
    <row r="1674" ht="15" customHeight="1" spans="1:22" x14ac:dyDescent="0.25">
      <c r="A1674" s="17" t="s">
        <v>5057</v>
      </c>
      <c r="B1674" s="17" t="s">
        <v>70</v>
      </c>
      <c r="C1674" s="17" t="s">
        <v>71</v>
      </c>
      <c r="D1674" t="s">
        <v>5058</v>
      </c>
      <c r="F1674" t="s">
        <v>5059</v>
      </c>
      <c r="K1674" s="18">
        <f>6281290077773</f>
        <v>6281290077773</v>
      </c>
      <c r="N1674" s="17" t="s">
        <v>81</v>
      </c>
      <c r="V1674" s="18">
        <f>6281290077773</f>
        <v>6281290077773</v>
      </c>
    </row>
    <row r="1675" ht="15" customHeight="1" spans="1:22" x14ac:dyDescent="0.25">
      <c r="A1675" s="17" t="s">
        <v>5060</v>
      </c>
      <c r="B1675" s="17" t="s">
        <v>70</v>
      </c>
      <c r="C1675" s="17" t="s">
        <v>71</v>
      </c>
      <c r="D1675" t="s">
        <v>5061</v>
      </c>
      <c r="F1675" t="s">
        <v>5062</v>
      </c>
      <c r="K1675" s="18">
        <f>6285777999758</f>
        <v>6285777999758</v>
      </c>
      <c r="N1675" s="17" t="s">
        <v>81</v>
      </c>
      <c r="V1675" s="18">
        <f>6285777999758</f>
        <v>6285777999758</v>
      </c>
    </row>
    <row r="1676" ht="15" customHeight="1" spans="1:28" x14ac:dyDescent="0.25">
      <c r="A1676" s="17" t="s">
        <v>5063</v>
      </c>
      <c r="B1676" s="17" t="s">
        <v>70</v>
      </c>
      <c r="C1676" s="17" t="s">
        <v>71</v>
      </c>
      <c r="D1676" t="s">
        <v>5064</v>
      </c>
      <c r="F1676" t="s">
        <v>5065</v>
      </c>
      <c r="J1676" t="s">
        <v>115</v>
      </c>
      <c r="K1676" s="18" t="s">
        <v>5066</v>
      </c>
      <c r="N1676" s="17" t="s">
        <v>81</v>
      </c>
      <c r="O1676" t="s">
        <v>261</v>
      </c>
      <c r="U1676" s="17"/>
      <c r="V1676" s="18" t="s">
        <v>5066</v>
      </c>
      <c r="W1676" t="s">
        <v>5067</v>
      </c>
      <c r="Y1676" t="s">
        <v>96</v>
      </c>
      <c r="AA1676" t="s">
        <v>693</v>
      </c>
      <c r="AB1676" t="s">
        <v>119</v>
      </c>
    </row>
    <row r="1677" ht="15" customHeight="1" spans="1:25" x14ac:dyDescent="0.25">
      <c r="A1677" s="17" t="s">
        <v>5068</v>
      </c>
      <c r="B1677" s="17" t="s">
        <v>70</v>
      </c>
      <c r="C1677" s="17" t="s">
        <v>71</v>
      </c>
      <c r="D1677" t="s">
        <v>5069</v>
      </c>
      <c r="F1677" t="s">
        <v>5070</v>
      </c>
      <c r="K1677" s="18">
        <f>6281511506685</f>
        <v>6281511506685</v>
      </c>
      <c r="N1677" s="17" t="s">
        <v>77</v>
      </c>
      <c r="U1677" s="17"/>
      <c r="V1677" s="18">
        <f>6281511506685</f>
        <v>6281511506685</v>
      </c>
      <c r="W1677" t="s">
        <v>5071</v>
      </c>
      <c r="Y1677" s="17" t="s">
        <v>90</v>
      </c>
    </row>
    <row r="1678" ht="15" customHeight="1" spans="1:28" x14ac:dyDescent="0.25">
      <c r="A1678" s="17" t="s">
        <v>5072</v>
      </c>
      <c r="B1678" s="17" t="s">
        <v>70</v>
      </c>
      <c r="C1678" s="17" t="s">
        <v>71</v>
      </c>
      <c r="D1678" t="s">
        <v>5069</v>
      </c>
      <c r="F1678" t="s">
        <v>5073</v>
      </c>
      <c r="J1678" s="17" t="s">
        <v>5074</v>
      </c>
      <c r="K1678" s="18" t="s">
        <v>5075</v>
      </c>
      <c r="N1678" s="17" t="s">
        <v>74</v>
      </c>
      <c r="O1678" t="s">
        <v>489</v>
      </c>
      <c r="U1678" s="17"/>
      <c r="V1678" s="18" t="s">
        <v>5075</v>
      </c>
      <c r="W1678" t="s">
        <v>5076</v>
      </c>
      <c r="Y1678" t="s">
        <v>96</v>
      </c>
      <c r="AA1678" t="s">
        <v>693</v>
      </c>
      <c r="AB1678" t="s">
        <v>119</v>
      </c>
    </row>
    <row r="1679" ht="15" customHeight="1" spans="1:22" x14ac:dyDescent="0.25">
      <c r="A1679" s="17" t="s">
        <v>5077</v>
      </c>
      <c r="B1679" s="17" t="s">
        <v>70</v>
      </c>
      <c r="C1679" s="17" t="s">
        <v>71</v>
      </c>
      <c r="D1679" t="s">
        <v>5078</v>
      </c>
      <c r="F1679" t="s">
        <v>5079</v>
      </c>
      <c r="K1679" s="18">
        <f>6281384610881</f>
        <v>6281384610881</v>
      </c>
      <c r="N1679" s="17" t="s">
        <v>77</v>
      </c>
      <c r="V1679" s="18">
        <f>6281384610881</f>
        <v>6281384610881</v>
      </c>
    </row>
    <row r="1680" ht="15" customHeight="1" spans="1:22" x14ac:dyDescent="0.25">
      <c r="A1680" s="17" t="s">
        <v>5080</v>
      </c>
      <c r="B1680" s="17" t="s">
        <v>70</v>
      </c>
      <c r="C1680" s="17" t="s">
        <v>71</v>
      </c>
      <c r="D1680" t="s">
        <v>5081</v>
      </c>
      <c r="F1680" t="s">
        <v>860</v>
      </c>
      <c r="K1680" s="18">
        <f>6287877284447</f>
        <v>6287877284447</v>
      </c>
      <c r="N1680" s="17" t="s">
        <v>81</v>
      </c>
      <c r="V1680" s="18">
        <f>6287877284447</f>
        <v>6287877284447</v>
      </c>
    </row>
    <row r="1681" ht="15" customHeight="1" spans="1:23" x14ac:dyDescent="0.25">
      <c r="A1681" s="17" t="s">
        <v>5082</v>
      </c>
      <c r="B1681" s="17" t="s">
        <v>70</v>
      </c>
      <c r="C1681" s="17" t="s">
        <v>71</v>
      </c>
      <c r="D1681" t="s">
        <v>5083</v>
      </c>
      <c r="F1681" t="s">
        <v>5084</v>
      </c>
      <c r="K1681" s="18">
        <f>6281298851993</f>
        <v>6281298851993</v>
      </c>
      <c r="N1681" s="17" t="s">
        <v>77</v>
      </c>
      <c r="U1681" s="17"/>
      <c r="V1681" s="18">
        <f>6281298851993</f>
        <v>6281298851993</v>
      </c>
      <c r="W1681" t="s">
        <v>5085</v>
      </c>
    </row>
    <row r="1682" ht="15" customHeight="1" spans="1:22" x14ac:dyDescent="0.25">
      <c r="A1682" s="17" t="s">
        <v>5086</v>
      </c>
      <c r="B1682" s="17" t="s">
        <v>70</v>
      </c>
      <c r="C1682" s="17" t="s">
        <v>71</v>
      </c>
      <c r="D1682" t="s">
        <v>5087</v>
      </c>
      <c r="F1682" t="s">
        <v>5088</v>
      </c>
      <c r="K1682" s="18">
        <f>6281285319632</f>
        <v>6281285319632</v>
      </c>
      <c r="N1682" s="17" t="s">
        <v>77</v>
      </c>
      <c r="V1682" s="18">
        <f>6281285319632</f>
        <v>6281285319632</v>
      </c>
    </row>
    <row r="1683" ht="15" customHeight="1" spans="1:28" x14ac:dyDescent="0.25">
      <c r="A1683" s="17" t="s">
        <v>5089</v>
      </c>
      <c r="B1683" s="17" t="s">
        <v>70</v>
      </c>
      <c r="C1683" s="17" t="s">
        <v>71</v>
      </c>
      <c r="D1683" t="s">
        <v>5090</v>
      </c>
      <c r="F1683" t="s">
        <v>5091</v>
      </c>
      <c r="J1683" s="17" t="s">
        <v>5092</v>
      </c>
      <c r="K1683" s="18" t="s">
        <v>5093</v>
      </c>
      <c r="N1683" s="17" t="s">
        <v>77</v>
      </c>
      <c r="O1683" t="s">
        <v>145</v>
      </c>
      <c r="U1683" s="17"/>
      <c r="V1683" s="18" t="s">
        <v>5093</v>
      </c>
      <c r="W1683" t="s">
        <v>1310</v>
      </c>
      <c r="Y1683" t="s">
        <v>115</v>
      </c>
      <c r="AA1683" t="s">
        <v>115</v>
      </c>
      <c r="AB1683" t="s">
        <v>1310</v>
      </c>
    </row>
    <row r="1684" ht="15" customHeight="1" spans="1:22" x14ac:dyDescent="0.25">
      <c r="A1684" s="17" t="s">
        <v>5094</v>
      </c>
      <c r="B1684" s="17" t="s">
        <v>70</v>
      </c>
      <c r="C1684" s="17" t="s">
        <v>71</v>
      </c>
      <c r="D1684" t="s">
        <v>5095</v>
      </c>
      <c r="F1684" t="s">
        <v>5095</v>
      </c>
      <c r="K1684" s="18">
        <f>62818491728</f>
        <v>62818491728</v>
      </c>
      <c r="N1684" s="17" t="s">
        <v>81</v>
      </c>
      <c r="V1684" s="18">
        <f>62818491728</f>
        <v>62818491728</v>
      </c>
    </row>
    <row r="1685" ht="15" customHeight="1" spans="1:27" x14ac:dyDescent="0.25">
      <c r="A1685" s="17" t="s">
        <v>5096</v>
      </c>
      <c r="B1685" s="17" t="s">
        <v>70</v>
      </c>
      <c r="C1685" s="17" t="s">
        <v>71</v>
      </c>
      <c r="D1685" t="s">
        <v>5095</v>
      </c>
      <c r="F1685" t="s">
        <v>5095</v>
      </c>
      <c r="K1685" s="18">
        <f>62215862637</f>
        <v>62215862637</v>
      </c>
      <c r="N1685" s="17" t="s">
        <v>77</v>
      </c>
      <c r="U1685" s="17"/>
      <c r="V1685" s="18">
        <f>62215862637</f>
        <v>62215862637</v>
      </c>
      <c r="W1685" t="s">
        <v>5097</v>
      </c>
      <c r="Y1685" s="17" t="s">
        <v>5098</v>
      </c>
      <c r="AA1685" s="17" t="s">
        <v>5099</v>
      </c>
    </row>
    <row r="1686" ht="15" customHeight="1" spans="1:22" x14ac:dyDescent="0.25">
      <c r="A1686" s="17" t="s">
        <v>5100</v>
      </c>
      <c r="B1686" s="17" t="s">
        <v>70</v>
      </c>
      <c r="C1686" s="17" t="s">
        <v>71</v>
      </c>
      <c r="D1686" t="s">
        <v>5101</v>
      </c>
      <c r="F1686" t="s">
        <v>5101</v>
      </c>
      <c r="K1686" s="18">
        <f>628111141261</f>
        <v>628111141261</v>
      </c>
      <c r="N1686" s="17" t="s">
        <v>77</v>
      </c>
      <c r="V1686" s="18">
        <f>628111141261</f>
        <v>628111141261</v>
      </c>
    </row>
    <row r="1687" ht="15" customHeight="1" spans="1:22" x14ac:dyDescent="0.25">
      <c r="A1687" s="17" t="s">
        <v>5102</v>
      </c>
      <c r="B1687" s="17" t="s">
        <v>70</v>
      </c>
      <c r="C1687" s="17" t="s">
        <v>71</v>
      </c>
      <c r="D1687" t="s">
        <v>5103</v>
      </c>
      <c r="F1687" t="s">
        <v>5103</v>
      </c>
      <c r="K1687" s="18">
        <f>62818115094</f>
        <v>62818115094</v>
      </c>
      <c r="N1687" s="17" t="s">
        <v>81</v>
      </c>
      <c r="V1687" s="18">
        <f>62818115094</f>
        <v>62818115094</v>
      </c>
    </row>
    <row r="1688" ht="15" customHeight="1" spans="1:22" x14ac:dyDescent="0.25">
      <c r="A1688" s="17" t="s">
        <v>5104</v>
      </c>
      <c r="B1688" s="17" t="s">
        <v>70</v>
      </c>
      <c r="C1688" s="17" t="s">
        <v>71</v>
      </c>
      <c r="D1688" t="s">
        <v>5103</v>
      </c>
      <c r="F1688" t="s">
        <v>5105</v>
      </c>
      <c r="K1688" s="18">
        <f>628111777234</f>
        <v>628111777234</v>
      </c>
      <c r="N1688" s="17" t="s">
        <v>77</v>
      </c>
      <c r="V1688" s="18">
        <f>628111777234</f>
        <v>628111777234</v>
      </c>
    </row>
    <row r="1689" ht="15" customHeight="1" spans="1:22" x14ac:dyDescent="0.25">
      <c r="A1689" s="17" t="s">
        <v>5106</v>
      </c>
      <c r="B1689" s="17" t="s">
        <v>70</v>
      </c>
      <c r="C1689" s="17" t="s">
        <v>71</v>
      </c>
      <c r="D1689" t="s">
        <v>5107</v>
      </c>
      <c r="F1689" t="s">
        <v>5108</v>
      </c>
      <c r="K1689" s="18">
        <f>6281325811898</f>
        <v>6281325811898</v>
      </c>
      <c r="N1689" s="17" t="s">
        <v>81</v>
      </c>
      <c r="V1689" s="18">
        <f>6281325811898</f>
        <v>6281325811898</v>
      </c>
    </row>
    <row r="1690" ht="15" customHeight="1" spans="1:27" x14ac:dyDescent="0.25">
      <c r="A1690" s="17" t="s">
        <v>5109</v>
      </c>
      <c r="B1690" s="17" t="s">
        <v>70</v>
      </c>
      <c r="C1690" s="17" t="s">
        <v>71</v>
      </c>
      <c r="D1690" t="s">
        <v>5110</v>
      </c>
      <c r="F1690" t="s">
        <v>5111</v>
      </c>
      <c r="K1690" s="18">
        <f>628111923071</f>
        <v>628111923071</v>
      </c>
      <c r="N1690" s="17" t="s">
        <v>77</v>
      </c>
      <c r="U1690" s="17"/>
      <c r="V1690" s="18">
        <f>628111923071</f>
        <v>628111923071</v>
      </c>
      <c r="W1690" t="s">
        <v>5112</v>
      </c>
      <c r="AA1690" s="17">
        <v>12730</v>
      </c>
    </row>
    <row r="1691" ht="15" customHeight="1" spans="1:27" x14ac:dyDescent="0.25">
      <c r="A1691" s="17" t="s">
        <v>5113</v>
      </c>
      <c r="B1691" s="17" t="s">
        <v>70</v>
      </c>
      <c r="C1691" s="17" t="s">
        <v>71</v>
      </c>
      <c r="D1691" t="s">
        <v>5114</v>
      </c>
      <c r="F1691" t="s">
        <v>5115</v>
      </c>
      <c r="K1691" s="18">
        <f>6281318775405</f>
        <v>6281318775405</v>
      </c>
      <c r="N1691" s="17" t="s">
        <v>77</v>
      </c>
      <c r="U1691" s="17"/>
      <c r="V1691" s="18">
        <f>6281318775405</f>
        <v>6281318775405</v>
      </c>
      <c r="W1691" t="s">
        <v>5116</v>
      </c>
      <c r="AA1691" s="17">
        <v>13330</v>
      </c>
    </row>
    <row r="1692" ht="15" customHeight="1" spans="1:22" x14ac:dyDescent="0.25">
      <c r="A1692" s="17" t="s">
        <v>5117</v>
      </c>
      <c r="B1692" s="17" t="s">
        <v>70</v>
      </c>
      <c r="C1692" s="17" t="s">
        <v>71</v>
      </c>
      <c r="D1692" t="s">
        <v>5118</v>
      </c>
      <c r="F1692" t="s">
        <v>5118</v>
      </c>
      <c r="K1692" s="18">
        <f>6282221858888</f>
        <v>6282221858888</v>
      </c>
      <c r="N1692" s="17" t="s">
        <v>77</v>
      </c>
      <c r="V1692" s="18">
        <f>6282221858888</f>
        <v>6282221858888</v>
      </c>
    </row>
    <row r="1693" ht="15" customHeight="1" spans="1:27" x14ac:dyDescent="0.25">
      <c r="A1693" s="17" t="s">
        <v>5119</v>
      </c>
      <c r="B1693" s="17" t="s">
        <v>70</v>
      </c>
      <c r="C1693" s="17" t="s">
        <v>71</v>
      </c>
      <c r="D1693" t="s">
        <v>5120</v>
      </c>
      <c r="F1693" t="s">
        <v>5121</v>
      </c>
      <c r="K1693" s="18">
        <f>62811156993</f>
        <v>62811156993</v>
      </c>
      <c r="N1693" s="17" t="s">
        <v>74</v>
      </c>
      <c r="U1693" s="17"/>
      <c r="V1693" s="18">
        <f>62811156993</f>
        <v>62811156993</v>
      </c>
      <c r="W1693" t="s">
        <v>5122</v>
      </c>
      <c r="Y1693" s="17" t="s">
        <v>1084</v>
      </c>
      <c r="AA1693" s="17" t="s">
        <v>5123</v>
      </c>
    </row>
    <row r="1694" ht="15" customHeight="1" spans="1:22" x14ac:dyDescent="0.25">
      <c r="A1694" s="17" t="s">
        <v>5124</v>
      </c>
      <c r="B1694" s="17" t="s">
        <v>70</v>
      </c>
      <c r="C1694" s="17" t="s">
        <v>71</v>
      </c>
      <c r="D1694" t="s">
        <v>5125</v>
      </c>
      <c r="F1694" t="s">
        <v>5126</v>
      </c>
      <c r="K1694" s="18">
        <f>6281213351178</f>
        <v>6281213351178</v>
      </c>
      <c r="N1694" s="17" t="s">
        <v>77</v>
      </c>
      <c r="V1694" s="18">
        <f>6281213351178</f>
        <v>6281213351178</v>
      </c>
    </row>
    <row r="1695" ht="15" customHeight="1" spans="1:25" x14ac:dyDescent="0.25">
      <c r="A1695" s="17" t="s">
        <v>5127</v>
      </c>
      <c r="B1695" s="17" t="s">
        <v>70</v>
      </c>
      <c r="C1695" s="17" t="s">
        <v>71</v>
      </c>
      <c r="D1695" t="s">
        <v>5125</v>
      </c>
      <c r="F1695" t="s">
        <v>5128</v>
      </c>
      <c r="K1695" s="18">
        <f>6281224110951</f>
        <v>6281224110951</v>
      </c>
      <c r="N1695" s="17" t="s">
        <v>81</v>
      </c>
      <c r="U1695" s="17"/>
      <c r="V1695" s="18">
        <f>6281224110951</f>
        <v>6281224110951</v>
      </c>
      <c r="W1695" t="s">
        <v>5129</v>
      </c>
      <c r="Y1695" s="17" t="s">
        <v>500</v>
      </c>
    </row>
    <row r="1696" ht="15" customHeight="1" spans="1:28" x14ac:dyDescent="0.25">
      <c r="A1696" s="17" t="s">
        <v>5130</v>
      </c>
      <c r="B1696" s="17" t="s">
        <v>70</v>
      </c>
      <c r="C1696" s="17" t="s">
        <v>71</v>
      </c>
      <c r="D1696" t="s">
        <v>5131</v>
      </c>
      <c r="F1696" t="s">
        <v>5132</v>
      </c>
      <c r="J1696" t="s">
        <v>115</v>
      </c>
      <c r="K1696" s="18" t="s">
        <v>5133</v>
      </c>
      <c r="N1696" s="17" t="s">
        <v>81</v>
      </c>
      <c r="O1696" t="s">
        <v>117</v>
      </c>
      <c r="U1696" s="17"/>
      <c r="V1696" s="18" t="s">
        <v>5133</v>
      </c>
      <c r="W1696" t="s">
        <v>5134</v>
      </c>
      <c r="Y1696" t="s">
        <v>190</v>
      </c>
      <c r="AA1696" t="s">
        <v>118</v>
      </c>
      <c r="AB1696" t="s">
        <v>119</v>
      </c>
    </row>
    <row r="1697" ht="15" customHeight="1" spans="1:22" x14ac:dyDescent="0.25">
      <c r="A1697" s="17" t="s">
        <v>5135</v>
      </c>
      <c r="B1697" s="17" t="s">
        <v>70</v>
      </c>
      <c r="C1697" s="17" t="s">
        <v>71</v>
      </c>
      <c r="D1697" t="s">
        <v>5136</v>
      </c>
      <c r="F1697" t="s">
        <v>5136</v>
      </c>
      <c r="K1697" s="18">
        <f>62811988067</f>
        <v>62811988067</v>
      </c>
      <c r="N1697" s="17" t="s">
        <v>81</v>
      </c>
      <c r="V1697" s="18">
        <f>62811988067</f>
        <v>62811988067</v>
      </c>
    </row>
    <row r="1698" ht="15" customHeight="1" spans="1:25" x14ac:dyDescent="0.25">
      <c r="A1698" s="17" t="s">
        <v>5137</v>
      </c>
      <c r="B1698" s="17" t="s">
        <v>70</v>
      </c>
      <c r="C1698" s="17" t="s">
        <v>71</v>
      </c>
      <c r="D1698" t="s">
        <v>5138</v>
      </c>
      <c r="F1698" t="s">
        <v>5139</v>
      </c>
      <c r="J1698" s="17" t="s">
        <v>5140</v>
      </c>
      <c r="K1698" s="18" t="s">
        <v>5141</v>
      </c>
      <c r="N1698" s="17" t="s">
        <v>77</v>
      </c>
      <c r="U1698" s="17"/>
      <c r="V1698" s="18" t="s">
        <v>5141</v>
      </c>
      <c r="W1698" t="s">
        <v>5142</v>
      </c>
      <c r="Y1698" s="17" t="s">
        <v>5143</v>
      </c>
    </row>
    <row r="1699" ht="15" customHeight="1" spans="1:23" x14ac:dyDescent="0.25">
      <c r="A1699" s="17" t="s">
        <v>5144</v>
      </c>
      <c r="B1699" s="17" t="s">
        <v>70</v>
      </c>
      <c r="C1699" s="17" t="s">
        <v>71</v>
      </c>
      <c r="D1699" t="s">
        <v>5145</v>
      </c>
      <c r="F1699" t="s">
        <v>5146</v>
      </c>
      <c r="K1699" s="18">
        <f>6281315085622</f>
        <v>6281315085622</v>
      </c>
      <c r="N1699" s="17" t="s">
        <v>81</v>
      </c>
      <c r="U1699" s="17"/>
      <c r="V1699" s="18">
        <f>6281315085622</f>
        <v>6281315085622</v>
      </c>
      <c r="W1699" t="s">
        <v>5147</v>
      </c>
    </row>
    <row r="1700" ht="15" customHeight="1" spans="1:28" x14ac:dyDescent="0.25">
      <c r="A1700" s="17" t="s">
        <v>5148</v>
      </c>
      <c r="B1700" s="17" t="s">
        <v>70</v>
      </c>
      <c r="C1700" s="17" t="s">
        <v>71</v>
      </c>
      <c r="D1700" t="s">
        <v>5149</v>
      </c>
      <c r="F1700" t="s">
        <v>5150</v>
      </c>
      <c r="J1700" t="s">
        <v>115</v>
      </c>
      <c r="K1700" s="18" t="s">
        <v>5151</v>
      </c>
      <c r="N1700" s="17" t="s">
        <v>77</v>
      </c>
      <c r="O1700" t="s">
        <v>117</v>
      </c>
      <c r="V1700" s="18" t="s">
        <v>5151</v>
      </c>
      <c r="Y1700" t="s">
        <v>90</v>
      </c>
      <c r="AA1700" t="s">
        <v>118</v>
      </c>
      <c r="AB1700" t="s">
        <v>119</v>
      </c>
    </row>
    <row r="1701" ht="15" customHeight="1" spans="1:22" x14ac:dyDescent="0.25">
      <c r="A1701" s="17" t="s">
        <v>5152</v>
      </c>
      <c r="B1701" s="17" t="s">
        <v>70</v>
      </c>
      <c r="C1701" s="17" t="s">
        <v>71</v>
      </c>
      <c r="D1701" t="s">
        <v>5149</v>
      </c>
      <c r="F1701" t="s">
        <v>5153</v>
      </c>
      <c r="K1701" s="18">
        <f>628118863333</f>
        <v>628118863333</v>
      </c>
      <c r="N1701" s="17" t="s">
        <v>81</v>
      </c>
      <c r="V1701" s="18">
        <f>628118863333</f>
        <v>628118863333</v>
      </c>
    </row>
    <row r="1702" ht="15" customHeight="1" spans="1:22" x14ac:dyDescent="0.25">
      <c r="A1702" s="17" t="s">
        <v>5154</v>
      </c>
      <c r="B1702" s="17" t="s">
        <v>70</v>
      </c>
      <c r="C1702" s="17" t="s">
        <v>71</v>
      </c>
      <c r="D1702" t="s">
        <v>5149</v>
      </c>
      <c r="F1702" t="s">
        <v>5155</v>
      </c>
      <c r="K1702" s="18">
        <f>6287876605425</f>
        <v>6287876605425</v>
      </c>
      <c r="N1702" s="17" t="s">
        <v>74</v>
      </c>
      <c r="V1702" s="18">
        <f>6287876605425</f>
        <v>6287876605425</v>
      </c>
    </row>
    <row r="1703" ht="15" customHeight="1" spans="1:22" x14ac:dyDescent="0.25">
      <c r="A1703" s="17" t="s">
        <v>5156</v>
      </c>
      <c r="B1703" s="17" t="s">
        <v>70</v>
      </c>
      <c r="C1703" s="17" t="s">
        <v>71</v>
      </c>
      <c r="D1703" t="s">
        <v>5157</v>
      </c>
      <c r="F1703" t="s">
        <v>5157</v>
      </c>
      <c r="K1703" s="18">
        <f>6285216101604</f>
        <v>6285216101604</v>
      </c>
      <c r="N1703" s="17" t="s">
        <v>77</v>
      </c>
      <c r="V1703" s="18">
        <f>6285216101604</f>
        <v>6285216101604</v>
      </c>
    </row>
    <row r="1704" ht="15" customHeight="1" spans="1:27" x14ac:dyDescent="0.25">
      <c r="A1704" s="17" t="s">
        <v>5158</v>
      </c>
      <c r="B1704" s="17" t="s">
        <v>70</v>
      </c>
      <c r="C1704" s="17" t="s">
        <v>71</v>
      </c>
      <c r="D1704" t="s">
        <v>5159</v>
      </c>
      <c r="F1704" t="s">
        <v>782</v>
      </c>
      <c r="J1704" s="17" t="s">
        <v>5160</v>
      </c>
      <c r="K1704" s="18">
        <f>628997777797</f>
        <v>628997777797</v>
      </c>
      <c r="N1704" s="17" t="s">
        <v>77</v>
      </c>
      <c r="U1704" s="17"/>
      <c r="V1704" s="18">
        <f>628997777797</f>
        <v>628997777797</v>
      </c>
      <c r="W1704" t="s">
        <v>5161</v>
      </c>
      <c r="Y1704" s="17" t="s">
        <v>90</v>
      </c>
      <c r="AA1704" s="17">
        <v>12430</v>
      </c>
    </row>
    <row r="1705" ht="15" customHeight="1" spans="1:28" x14ac:dyDescent="0.25">
      <c r="A1705" s="17" t="s">
        <v>5162</v>
      </c>
      <c r="B1705" s="17" t="s">
        <v>70</v>
      </c>
      <c r="C1705" s="17" t="s">
        <v>71</v>
      </c>
      <c r="D1705" t="s">
        <v>5159</v>
      </c>
      <c r="F1705" t="s">
        <v>5163</v>
      </c>
      <c r="J1705" t="s">
        <v>115</v>
      </c>
      <c r="K1705" s="18" t="s">
        <v>5164</v>
      </c>
      <c r="N1705" s="17" t="s">
        <v>77</v>
      </c>
      <c r="O1705" t="s">
        <v>199</v>
      </c>
      <c r="V1705" s="18" t="s">
        <v>5164</v>
      </c>
      <c r="Y1705" t="s">
        <v>190</v>
      </c>
      <c r="AA1705" t="s">
        <v>118</v>
      </c>
      <c r="AB1705" t="s">
        <v>119</v>
      </c>
    </row>
    <row r="1706" ht="15" customHeight="1" spans="1:23" x14ac:dyDescent="0.25">
      <c r="A1706" s="17" t="s">
        <v>5165</v>
      </c>
      <c r="B1706" s="17" t="s">
        <v>70</v>
      </c>
      <c r="C1706" s="17" t="s">
        <v>71</v>
      </c>
      <c r="D1706" t="s">
        <v>5166</v>
      </c>
      <c r="F1706" t="s">
        <v>5166</v>
      </c>
      <c r="K1706" s="18">
        <f>62818980589</f>
        <v>62818980589</v>
      </c>
      <c r="N1706" s="17" t="s">
        <v>77</v>
      </c>
      <c r="U1706" s="17"/>
      <c r="V1706" s="18">
        <f>62818980589</f>
        <v>62818980589</v>
      </c>
      <c r="W1706" t="s">
        <v>5167</v>
      </c>
    </row>
    <row r="1707" ht="15" customHeight="1" spans="1:25" x14ac:dyDescent="0.25">
      <c r="A1707" s="17" t="s">
        <v>5168</v>
      </c>
      <c r="B1707" s="17" t="s">
        <v>70</v>
      </c>
      <c r="C1707" s="17" t="s">
        <v>71</v>
      </c>
      <c r="D1707" t="s">
        <v>5169</v>
      </c>
      <c r="F1707" t="s">
        <v>3585</v>
      </c>
      <c r="J1707" s="17" t="s">
        <v>5170</v>
      </c>
      <c r="K1707" s="18">
        <f>628159357889</f>
        <v>628159357889</v>
      </c>
      <c r="N1707" s="17" t="s">
        <v>77</v>
      </c>
      <c r="U1707" s="17"/>
      <c r="V1707" s="18">
        <f>628159357889</f>
        <v>628159357889</v>
      </c>
      <c r="W1707" t="s">
        <v>5171</v>
      </c>
      <c r="Y1707" s="17" t="s">
        <v>90</v>
      </c>
    </row>
    <row r="1708" ht="15" customHeight="1" spans="1:22" x14ac:dyDescent="0.25">
      <c r="A1708" s="17" t="s">
        <v>5172</v>
      </c>
      <c r="B1708" s="17" t="s">
        <v>70</v>
      </c>
      <c r="C1708" s="17" t="s">
        <v>71</v>
      </c>
      <c r="D1708" t="s">
        <v>5173</v>
      </c>
      <c r="F1708" t="s">
        <v>5173</v>
      </c>
      <c r="K1708" s="18">
        <f>6282211676666</f>
        <v>6282211676666</v>
      </c>
      <c r="N1708" s="17" t="s">
        <v>77</v>
      </c>
      <c r="V1708" s="18">
        <f>6282211676666</f>
        <v>6282211676666</v>
      </c>
    </row>
    <row r="1709" ht="15" customHeight="1" spans="1:22" x14ac:dyDescent="0.25">
      <c r="A1709" s="17" t="s">
        <v>5174</v>
      </c>
      <c r="B1709" s="17" t="s">
        <v>70</v>
      </c>
      <c r="C1709" s="17" t="s">
        <v>71</v>
      </c>
      <c r="D1709" t="s">
        <v>3767</v>
      </c>
      <c r="F1709" t="s">
        <v>3767</v>
      </c>
      <c r="K1709" s="18">
        <f>6285883436567</f>
        <v>6285883436567</v>
      </c>
      <c r="N1709" s="17" t="s">
        <v>77</v>
      </c>
      <c r="V1709" s="18">
        <f>6285883436567</f>
        <v>6285883436567</v>
      </c>
    </row>
    <row r="1710" ht="15" customHeight="1" spans="1:22" x14ac:dyDescent="0.25">
      <c r="A1710" s="17" t="s">
        <v>5175</v>
      </c>
      <c r="B1710" s="17" t="s">
        <v>70</v>
      </c>
      <c r="C1710" s="17" t="s">
        <v>71</v>
      </c>
      <c r="D1710" t="s">
        <v>3767</v>
      </c>
      <c r="F1710" t="s">
        <v>3767</v>
      </c>
      <c r="K1710" s="18">
        <f>62811814781</f>
        <v>62811814781</v>
      </c>
      <c r="N1710" s="17" t="s">
        <v>81</v>
      </c>
      <c r="V1710" s="18">
        <f>62811814781</f>
        <v>62811814781</v>
      </c>
    </row>
    <row r="1711" ht="15" customHeight="1" spans="1:22" x14ac:dyDescent="0.25">
      <c r="A1711" s="17" t="s">
        <v>5176</v>
      </c>
      <c r="B1711" s="17" t="s">
        <v>70</v>
      </c>
      <c r="C1711" s="17" t="s">
        <v>71</v>
      </c>
      <c r="D1711" t="s">
        <v>3767</v>
      </c>
      <c r="F1711" t="s">
        <v>3767</v>
      </c>
      <c r="K1711" s="18">
        <f>6282111619887</f>
        <v>6282111619887</v>
      </c>
      <c r="N1711" s="17" t="s">
        <v>81</v>
      </c>
      <c r="V1711" s="18">
        <f>6282111619887</f>
        <v>6282111619887</v>
      </c>
    </row>
    <row r="1712" ht="15" customHeight="1" spans="1:22" x14ac:dyDescent="0.25">
      <c r="A1712" s="17" t="s">
        <v>5177</v>
      </c>
      <c r="B1712" s="17" t="s">
        <v>70</v>
      </c>
      <c r="C1712" s="17" t="s">
        <v>71</v>
      </c>
      <c r="D1712" t="s">
        <v>3767</v>
      </c>
      <c r="F1712" t="s">
        <v>3767</v>
      </c>
      <c r="K1712" s="18">
        <f>6281338246333</f>
        <v>6281338246333</v>
      </c>
      <c r="N1712" s="17" t="s">
        <v>77</v>
      </c>
      <c r="V1712" s="18">
        <f>6281338246333</f>
        <v>6281338246333</v>
      </c>
    </row>
    <row r="1713" ht="15" customHeight="1" spans="1:22" x14ac:dyDescent="0.25">
      <c r="A1713" s="17" t="s">
        <v>5178</v>
      </c>
      <c r="B1713" s="17" t="s">
        <v>70</v>
      </c>
      <c r="C1713" s="17" t="s">
        <v>71</v>
      </c>
      <c r="D1713" t="s">
        <v>3767</v>
      </c>
      <c r="F1713" t="s">
        <v>3767</v>
      </c>
      <c r="K1713" s="18">
        <f>6281219656565</f>
        <v>6281219656565</v>
      </c>
      <c r="N1713" s="17" t="s">
        <v>81</v>
      </c>
      <c r="V1713" s="18">
        <f>6281219656565</f>
        <v>6281219656565</v>
      </c>
    </row>
    <row r="1714" ht="15" customHeight="1" spans="1:28" x14ac:dyDescent="0.25">
      <c r="A1714" s="17" t="s">
        <v>5179</v>
      </c>
      <c r="B1714" s="17" t="s">
        <v>70</v>
      </c>
      <c r="C1714" s="17" t="s">
        <v>71</v>
      </c>
      <c r="D1714" t="s">
        <v>5180</v>
      </c>
      <c r="F1714" t="s">
        <v>2258</v>
      </c>
      <c r="J1714" t="s">
        <v>115</v>
      </c>
      <c r="K1714" s="18" t="s">
        <v>5181</v>
      </c>
      <c r="N1714" s="17" t="s">
        <v>77</v>
      </c>
      <c r="O1714" t="s">
        <v>117</v>
      </c>
      <c r="V1714" s="18" t="s">
        <v>5181</v>
      </c>
      <c r="Y1714" t="s">
        <v>115</v>
      </c>
      <c r="AA1714" t="s">
        <v>115</v>
      </c>
      <c r="AB1714" t="s">
        <v>119</v>
      </c>
    </row>
    <row r="1715" ht="15" customHeight="1" spans="1:28" x14ac:dyDescent="0.25">
      <c r="A1715" s="17" t="s">
        <v>5182</v>
      </c>
      <c r="B1715" s="17" t="s">
        <v>70</v>
      </c>
      <c r="C1715" s="17" t="s">
        <v>71</v>
      </c>
      <c r="D1715" t="s">
        <v>3767</v>
      </c>
      <c r="F1715" t="s">
        <v>3767</v>
      </c>
      <c r="J1715" t="s">
        <v>115</v>
      </c>
      <c r="K1715" s="18" t="s">
        <v>5183</v>
      </c>
      <c r="N1715" s="17" t="s">
        <v>81</v>
      </c>
      <c r="O1715" t="s">
        <v>145</v>
      </c>
      <c r="V1715" s="18" t="s">
        <v>5183</v>
      </c>
      <c r="Y1715" t="s">
        <v>115</v>
      </c>
      <c r="AA1715" t="s">
        <v>115</v>
      </c>
      <c r="AB1715" t="s">
        <v>119</v>
      </c>
    </row>
    <row r="1716" ht="15" customHeight="1" spans="1:28" x14ac:dyDescent="0.25">
      <c r="A1716" s="17" t="s">
        <v>5184</v>
      </c>
      <c r="B1716" s="17" t="s">
        <v>70</v>
      </c>
      <c r="C1716" s="17" t="s">
        <v>71</v>
      </c>
      <c r="D1716" t="s">
        <v>3767</v>
      </c>
      <c r="F1716" t="s">
        <v>5185</v>
      </c>
      <c r="J1716" t="s">
        <v>115</v>
      </c>
      <c r="K1716" s="18" t="s">
        <v>5186</v>
      </c>
      <c r="N1716" s="17" t="s">
        <v>77</v>
      </c>
      <c r="O1716" t="s">
        <v>145</v>
      </c>
      <c r="V1716" s="18" t="s">
        <v>5186</v>
      </c>
      <c r="Y1716" s="17" t="s">
        <v>90</v>
      </c>
      <c r="AA1716" t="s">
        <v>118</v>
      </c>
      <c r="AB1716" t="s">
        <v>119</v>
      </c>
    </row>
    <row r="1717" ht="15" customHeight="1" spans="1:22" x14ac:dyDescent="0.25">
      <c r="A1717" s="17" t="s">
        <v>5187</v>
      </c>
      <c r="B1717" s="17" t="s">
        <v>70</v>
      </c>
      <c r="C1717" s="17" t="s">
        <v>71</v>
      </c>
      <c r="D1717" t="s">
        <v>3767</v>
      </c>
      <c r="F1717" t="s">
        <v>5188</v>
      </c>
      <c r="K1717" s="18">
        <f>628119208056</f>
        <v>628119208056</v>
      </c>
      <c r="N1717" s="17" t="s">
        <v>74</v>
      </c>
      <c r="V1717" s="18">
        <f>628119208056</f>
        <v>628119208056</v>
      </c>
    </row>
    <row r="1718" ht="15" customHeight="1" spans="1:28" x14ac:dyDescent="0.25">
      <c r="A1718" s="17" t="s">
        <v>5189</v>
      </c>
      <c r="B1718" s="17" t="s">
        <v>70</v>
      </c>
      <c r="C1718" s="17" t="s">
        <v>71</v>
      </c>
      <c r="D1718" t="s">
        <v>3767</v>
      </c>
      <c r="F1718" t="s">
        <v>5190</v>
      </c>
      <c r="J1718" t="s">
        <v>115</v>
      </c>
      <c r="K1718" s="18" t="s">
        <v>5191</v>
      </c>
      <c r="N1718" s="17" t="s">
        <v>77</v>
      </c>
      <c r="O1718" t="s">
        <v>117</v>
      </c>
      <c r="V1718" s="18" t="s">
        <v>5191</v>
      </c>
      <c r="Y1718" t="s">
        <v>90</v>
      </c>
      <c r="AA1718" t="s">
        <v>118</v>
      </c>
      <c r="AB1718" t="s">
        <v>119</v>
      </c>
    </row>
    <row r="1719" ht="15" customHeight="1" spans="1:28" x14ac:dyDescent="0.25">
      <c r="A1719" s="17" t="s">
        <v>5192</v>
      </c>
      <c r="B1719" s="17" t="s">
        <v>70</v>
      </c>
      <c r="C1719" s="17" t="s">
        <v>71</v>
      </c>
      <c r="D1719" t="s">
        <v>5193</v>
      </c>
      <c r="F1719" t="s">
        <v>5194</v>
      </c>
      <c r="J1719" s="17" t="s">
        <v>5195</v>
      </c>
      <c r="K1719" s="18" t="s">
        <v>5196</v>
      </c>
      <c r="N1719" s="17" t="s">
        <v>77</v>
      </c>
      <c r="O1719" t="s">
        <v>261</v>
      </c>
      <c r="U1719" s="17"/>
      <c r="V1719" s="18" t="s">
        <v>5196</v>
      </c>
      <c r="W1719" t="s">
        <v>5197</v>
      </c>
      <c r="Y1719" t="s">
        <v>181</v>
      </c>
      <c r="AA1719" t="s">
        <v>1672</v>
      </c>
      <c r="AB1719" t="s">
        <v>119</v>
      </c>
    </row>
    <row r="1720" ht="15" customHeight="1" spans="1:28" x14ac:dyDescent="0.25">
      <c r="A1720" s="17" t="s">
        <v>5198</v>
      </c>
      <c r="B1720" s="17" t="s">
        <v>70</v>
      </c>
      <c r="C1720" s="17" t="s">
        <v>71</v>
      </c>
      <c r="D1720" t="s">
        <v>3767</v>
      </c>
      <c r="F1720" t="s">
        <v>5199</v>
      </c>
      <c r="J1720" t="s">
        <v>115</v>
      </c>
      <c r="K1720" s="18" t="s">
        <v>5200</v>
      </c>
      <c r="N1720" s="17" t="s">
        <v>77</v>
      </c>
      <c r="O1720" t="s">
        <v>117</v>
      </c>
      <c r="V1720" s="18" t="s">
        <v>5200</v>
      </c>
      <c r="Y1720" t="s">
        <v>515</v>
      </c>
      <c r="AA1720" t="s">
        <v>1614</v>
      </c>
      <c r="AB1720" t="s">
        <v>119</v>
      </c>
    </row>
    <row r="1721" ht="15" customHeight="1" spans="1:22" x14ac:dyDescent="0.25">
      <c r="A1721" s="17" t="s">
        <v>5201</v>
      </c>
      <c r="B1721" s="17" t="s">
        <v>70</v>
      </c>
      <c r="C1721" s="17" t="s">
        <v>71</v>
      </c>
      <c r="D1721" t="s">
        <v>3767</v>
      </c>
      <c r="F1721" t="s">
        <v>5202</v>
      </c>
      <c r="K1721" s="18">
        <f>628111997878</f>
        <v>628111997878</v>
      </c>
      <c r="N1721" s="17" t="s">
        <v>77</v>
      </c>
      <c r="V1721" s="18">
        <f>628111997878</f>
        <v>628111997878</v>
      </c>
    </row>
    <row r="1722" ht="15" customHeight="1" spans="1:22" x14ac:dyDescent="0.25">
      <c r="A1722" s="17" t="s">
        <v>5203</v>
      </c>
      <c r="B1722" s="17" t="s">
        <v>70</v>
      </c>
      <c r="C1722" s="17" t="s">
        <v>71</v>
      </c>
      <c r="D1722" t="s">
        <v>3767</v>
      </c>
      <c r="F1722" t="s">
        <v>2691</v>
      </c>
      <c r="K1722" s="18">
        <f>6281325681466</f>
        <v>6281325681466</v>
      </c>
      <c r="N1722" s="17" t="s">
        <v>77</v>
      </c>
      <c r="V1722" s="18">
        <f>6281325681466</f>
        <v>6281325681466</v>
      </c>
    </row>
    <row r="1723" ht="15" customHeight="1" spans="1:28" x14ac:dyDescent="0.25">
      <c r="A1723" s="17" t="s">
        <v>5204</v>
      </c>
      <c r="B1723" s="17" t="s">
        <v>70</v>
      </c>
      <c r="C1723" s="17" t="s">
        <v>71</v>
      </c>
      <c r="D1723" t="s">
        <v>5205</v>
      </c>
      <c r="F1723" t="s">
        <v>2258</v>
      </c>
      <c r="J1723" t="s">
        <v>115</v>
      </c>
      <c r="K1723" s="18" t="s">
        <v>5206</v>
      </c>
      <c r="N1723" s="17" t="s">
        <v>77</v>
      </c>
      <c r="O1723" t="s">
        <v>261</v>
      </c>
      <c r="V1723" s="18" t="s">
        <v>5206</v>
      </c>
      <c r="Y1723" t="s">
        <v>90</v>
      </c>
      <c r="AA1723" t="s">
        <v>118</v>
      </c>
      <c r="AB1723" t="s">
        <v>119</v>
      </c>
    </row>
    <row r="1724" ht="15" customHeight="1" spans="1:22" x14ac:dyDescent="0.25">
      <c r="A1724" s="17" t="s">
        <v>5207</v>
      </c>
      <c r="B1724" s="17" t="s">
        <v>70</v>
      </c>
      <c r="C1724" s="17" t="s">
        <v>71</v>
      </c>
      <c r="D1724" t="s">
        <v>3767</v>
      </c>
      <c r="F1724" t="s">
        <v>5208</v>
      </c>
      <c r="K1724" s="18">
        <f>628112332186</f>
        <v>628112332186</v>
      </c>
      <c r="N1724" s="17" t="s">
        <v>77</v>
      </c>
      <c r="V1724" s="18">
        <f>628112332186</f>
        <v>628112332186</v>
      </c>
    </row>
    <row r="1725" ht="15" customHeight="1" spans="1:23" x14ac:dyDescent="0.25">
      <c r="A1725" s="17" t="s">
        <v>5209</v>
      </c>
      <c r="B1725" s="17" t="s">
        <v>70</v>
      </c>
      <c r="C1725" s="17" t="s">
        <v>71</v>
      </c>
      <c r="D1725" t="s">
        <v>3767</v>
      </c>
      <c r="F1725" t="s">
        <v>205</v>
      </c>
      <c r="K1725" s="18">
        <f>6281805555105</f>
        <v>6281805555105</v>
      </c>
      <c r="N1725" s="17" t="s">
        <v>77</v>
      </c>
      <c r="U1725" s="17"/>
      <c r="V1725" s="18">
        <f>6281805555105</f>
        <v>6281805555105</v>
      </c>
      <c r="W1725" t="s">
        <v>5210</v>
      </c>
    </row>
    <row r="1726" ht="15" customHeight="1" spans="1:28" x14ac:dyDescent="0.25">
      <c r="A1726" s="17" t="s">
        <v>5211</v>
      </c>
      <c r="B1726" s="17" t="s">
        <v>70</v>
      </c>
      <c r="C1726" s="17" t="s">
        <v>71</v>
      </c>
      <c r="D1726" t="s">
        <v>3767</v>
      </c>
      <c r="F1726" t="s">
        <v>5212</v>
      </c>
      <c r="J1726" s="17" t="s">
        <v>5213</v>
      </c>
      <c r="K1726" s="18" t="s">
        <v>5214</v>
      </c>
      <c r="N1726" s="17" t="s">
        <v>77</v>
      </c>
      <c r="O1726" t="s">
        <v>145</v>
      </c>
      <c r="U1726" s="17"/>
      <c r="V1726" s="18" t="s">
        <v>5214</v>
      </c>
      <c r="W1726" t="s">
        <v>5215</v>
      </c>
      <c r="Y1726" s="17" t="s">
        <v>5216</v>
      </c>
      <c r="AA1726" t="s">
        <v>115</v>
      </c>
      <c r="AB1726" t="s">
        <v>119</v>
      </c>
    </row>
    <row r="1727" ht="15" customHeight="1" spans="1:23" x14ac:dyDescent="0.25">
      <c r="A1727" s="17" t="s">
        <v>5217</v>
      </c>
      <c r="B1727" s="17" t="s">
        <v>70</v>
      </c>
      <c r="C1727" s="17" t="s">
        <v>71</v>
      </c>
      <c r="D1727" t="s">
        <v>3767</v>
      </c>
      <c r="F1727" t="s">
        <v>3121</v>
      </c>
      <c r="K1727" s="18">
        <f>628159637734</f>
        <v>628159637734</v>
      </c>
      <c r="N1727" s="17" t="s">
        <v>81</v>
      </c>
      <c r="U1727" s="17"/>
      <c r="V1727" s="18">
        <f>628159637734</f>
        <v>628159637734</v>
      </c>
      <c r="W1727" t="s">
        <v>5218</v>
      </c>
    </row>
    <row r="1728" ht="15" customHeight="1" spans="1:22" x14ac:dyDescent="0.25">
      <c r="A1728" s="17" t="s">
        <v>5219</v>
      </c>
      <c r="B1728" s="17" t="s">
        <v>70</v>
      </c>
      <c r="C1728" s="17" t="s">
        <v>71</v>
      </c>
      <c r="D1728" t="s">
        <v>3767</v>
      </c>
      <c r="F1728" t="s">
        <v>5220</v>
      </c>
      <c r="J1728" s="17" t="s">
        <v>5221</v>
      </c>
      <c r="K1728" s="18">
        <f>62811851999</f>
        <v>62811851999</v>
      </c>
      <c r="N1728" s="17" t="s">
        <v>81</v>
      </c>
      <c r="V1728" s="18">
        <f>62811851999</f>
        <v>62811851999</v>
      </c>
    </row>
    <row r="1729" ht="15" customHeight="1" spans="1:28" x14ac:dyDescent="0.25">
      <c r="A1729" s="17" t="s">
        <v>5222</v>
      </c>
      <c r="B1729" s="17" t="s">
        <v>70</v>
      </c>
      <c r="C1729" s="17" t="s">
        <v>71</v>
      </c>
      <c r="D1729" t="s">
        <v>3767</v>
      </c>
      <c r="F1729" t="s">
        <v>5223</v>
      </c>
      <c r="J1729" t="s">
        <v>115</v>
      </c>
      <c r="K1729" s="18" t="s">
        <v>5224</v>
      </c>
      <c r="N1729" s="17" t="s">
        <v>77</v>
      </c>
      <c r="O1729" t="s">
        <v>199</v>
      </c>
      <c r="V1729" s="18" t="s">
        <v>5224</v>
      </c>
      <c r="Y1729" t="s">
        <v>115</v>
      </c>
      <c r="AA1729" t="s">
        <v>115</v>
      </c>
      <c r="AB1729" t="s">
        <v>119</v>
      </c>
    </row>
    <row r="1730" ht="15" customHeight="1" spans="1:22" x14ac:dyDescent="0.25">
      <c r="A1730" s="17" t="s">
        <v>5225</v>
      </c>
      <c r="B1730" s="17" t="s">
        <v>70</v>
      </c>
      <c r="C1730" s="17" t="s">
        <v>71</v>
      </c>
      <c r="D1730" t="s">
        <v>3767</v>
      </c>
      <c r="F1730" t="s">
        <v>5226</v>
      </c>
      <c r="K1730" s="18">
        <f>628111661127</f>
        <v>628111661127</v>
      </c>
      <c r="N1730" s="17" t="s">
        <v>77</v>
      </c>
      <c r="V1730" s="18">
        <f>628111661127</f>
        <v>628111661127</v>
      </c>
    </row>
    <row r="1731" ht="15" customHeight="1" spans="1:28" x14ac:dyDescent="0.25">
      <c r="A1731" s="17" t="s">
        <v>5227</v>
      </c>
      <c r="B1731" s="17" t="s">
        <v>70</v>
      </c>
      <c r="C1731" s="17" t="s">
        <v>71</v>
      </c>
      <c r="D1731" t="s">
        <v>3767</v>
      </c>
      <c r="F1731" t="s">
        <v>5228</v>
      </c>
      <c r="J1731" t="s">
        <v>115</v>
      </c>
      <c r="K1731" s="18" t="s">
        <v>5229</v>
      </c>
      <c r="N1731" s="17" t="s">
        <v>81</v>
      </c>
      <c r="O1731" t="s">
        <v>117</v>
      </c>
      <c r="V1731" s="18" t="s">
        <v>5229</v>
      </c>
      <c r="Y1731" t="s">
        <v>190</v>
      </c>
      <c r="AA1731" t="s">
        <v>118</v>
      </c>
      <c r="AB1731" t="s">
        <v>119</v>
      </c>
    </row>
    <row r="1732" ht="15" customHeight="1" spans="1:22" x14ac:dyDescent="0.25">
      <c r="A1732" s="17" t="s">
        <v>5230</v>
      </c>
      <c r="B1732" s="17" t="s">
        <v>70</v>
      </c>
      <c r="C1732" s="17" t="s">
        <v>71</v>
      </c>
      <c r="D1732" t="s">
        <v>3767</v>
      </c>
      <c r="F1732" t="s">
        <v>5231</v>
      </c>
      <c r="K1732" s="18">
        <f>6282261109910</f>
        <v>6282261109910</v>
      </c>
      <c r="N1732" s="17" t="s">
        <v>81</v>
      </c>
      <c r="V1732" s="18">
        <f>6282261109910</f>
        <v>6282261109910</v>
      </c>
    </row>
    <row r="1733" ht="15" customHeight="1" spans="1:28" x14ac:dyDescent="0.25">
      <c r="A1733" s="17" t="s">
        <v>5232</v>
      </c>
      <c r="B1733" s="17" t="s">
        <v>70</v>
      </c>
      <c r="C1733" s="17" t="s">
        <v>71</v>
      </c>
      <c r="D1733" t="s">
        <v>5233</v>
      </c>
      <c r="F1733" t="s">
        <v>5234</v>
      </c>
      <c r="J1733" t="s">
        <v>115</v>
      </c>
      <c r="K1733" s="18" t="s">
        <v>5235</v>
      </c>
      <c r="N1733" s="17" t="s">
        <v>77</v>
      </c>
      <c r="O1733" t="s">
        <v>199</v>
      </c>
      <c r="U1733" s="17"/>
      <c r="V1733" s="18" t="s">
        <v>5235</v>
      </c>
      <c r="W1733" t="s">
        <v>5236</v>
      </c>
      <c r="Y1733" t="s">
        <v>190</v>
      </c>
      <c r="AA1733" t="s">
        <v>118</v>
      </c>
      <c r="AB1733" t="s">
        <v>119</v>
      </c>
    </row>
    <row r="1734" ht="15" customHeight="1" spans="1:28" x14ac:dyDescent="0.25">
      <c r="A1734" s="17" t="s">
        <v>5237</v>
      </c>
      <c r="B1734" s="17" t="s">
        <v>70</v>
      </c>
      <c r="C1734" s="17" t="s">
        <v>71</v>
      </c>
      <c r="D1734" t="s">
        <v>3767</v>
      </c>
      <c r="F1734" t="s">
        <v>5238</v>
      </c>
      <c r="J1734" s="17" t="s">
        <v>5239</v>
      </c>
      <c r="K1734" s="18" t="s">
        <v>5240</v>
      </c>
      <c r="N1734" s="17" t="s">
        <v>74</v>
      </c>
      <c r="O1734" t="s">
        <v>489</v>
      </c>
      <c r="U1734" s="17"/>
      <c r="V1734" s="18" t="s">
        <v>5240</v>
      </c>
      <c r="W1734" t="s">
        <v>5241</v>
      </c>
      <c r="Y1734" s="17" t="s">
        <v>90</v>
      </c>
      <c r="AA1734" t="s">
        <v>118</v>
      </c>
      <c r="AB1734" t="s">
        <v>119</v>
      </c>
    </row>
    <row r="1735" ht="15" customHeight="1" spans="1:22" x14ac:dyDescent="0.25">
      <c r="A1735" s="17" t="s">
        <v>5242</v>
      </c>
      <c r="B1735" s="17" t="s">
        <v>70</v>
      </c>
      <c r="C1735" s="17" t="s">
        <v>71</v>
      </c>
      <c r="D1735" t="s">
        <v>3767</v>
      </c>
      <c r="F1735" t="s">
        <v>2754</v>
      </c>
      <c r="K1735" s="18">
        <f>62817892809</f>
        <v>62817892809</v>
      </c>
      <c r="N1735" s="17" t="s">
        <v>81</v>
      </c>
      <c r="V1735" s="18">
        <f>62817892809</f>
        <v>62817892809</v>
      </c>
    </row>
    <row r="1736" ht="15" customHeight="1" spans="1:28" x14ac:dyDescent="0.25">
      <c r="A1736" s="17" t="s">
        <v>5243</v>
      </c>
      <c r="B1736" s="17" t="s">
        <v>70</v>
      </c>
      <c r="C1736" s="17" t="s">
        <v>71</v>
      </c>
      <c r="D1736" t="s">
        <v>3767</v>
      </c>
      <c r="F1736" t="s">
        <v>5244</v>
      </c>
      <c r="J1736" t="s">
        <v>115</v>
      </c>
      <c r="K1736" s="18" t="s">
        <v>5245</v>
      </c>
      <c r="N1736" s="17" t="s">
        <v>77</v>
      </c>
      <c r="O1736" t="s">
        <v>261</v>
      </c>
      <c r="V1736" s="18" t="s">
        <v>5245</v>
      </c>
      <c r="Y1736" t="s">
        <v>190</v>
      </c>
      <c r="AA1736" t="s">
        <v>118</v>
      </c>
      <c r="AB1736" t="s">
        <v>119</v>
      </c>
    </row>
    <row r="1737" ht="15" customHeight="1" spans="1:28" x14ac:dyDescent="0.25">
      <c r="A1737" s="17" t="s">
        <v>5246</v>
      </c>
      <c r="B1737" s="17" t="s">
        <v>70</v>
      </c>
      <c r="C1737" s="17" t="s">
        <v>71</v>
      </c>
      <c r="D1737" t="s">
        <v>3767</v>
      </c>
      <c r="F1737" t="s">
        <v>3224</v>
      </c>
      <c r="J1737" t="s">
        <v>115</v>
      </c>
      <c r="K1737" s="18" t="s">
        <v>5247</v>
      </c>
      <c r="N1737" s="17" t="s">
        <v>77</v>
      </c>
      <c r="O1737" t="s">
        <v>117</v>
      </c>
      <c r="V1737" s="18" t="s">
        <v>5247</v>
      </c>
      <c r="Y1737" t="s">
        <v>190</v>
      </c>
      <c r="AA1737" t="s">
        <v>118</v>
      </c>
      <c r="AB1737" t="s">
        <v>119</v>
      </c>
    </row>
    <row r="1738" ht="15" customHeight="1" spans="1:25" x14ac:dyDescent="0.25">
      <c r="A1738" s="17" t="s">
        <v>5248</v>
      </c>
      <c r="B1738" s="17" t="s">
        <v>70</v>
      </c>
      <c r="C1738" s="17" t="s">
        <v>71</v>
      </c>
      <c r="D1738" t="s">
        <v>3767</v>
      </c>
      <c r="F1738" t="s">
        <v>5249</v>
      </c>
      <c r="K1738" s="18">
        <f>628161856493</f>
        <v>628161856493</v>
      </c>
      <c r="N1738" s="17" t="s">
        <v>74</v>
      </c>
      <c r="U1738" s="17"/>
      <c r="V1738" s="18">
        <f>628161856493</f>
        <v>628161856493</v>
      </c>
      <c r="W1738" t="s">
        <v>5250</v>
      </c>
      <c r="Y1738" s="17" t="s">
        <v>90</v>
      </c>
    </row>
    <row r="1739" ht="15" customHeight="1" spans="1:22" x14ac:dyDescent="0.25">
      <c r="A1739" s="17" t="s">
        <v>5251</v>
      </c>
      <c r="B1739" s="17" t="s">
        <v>70</v>
      </c>
      <c r="C1739" s="17" t="s">
        <v>71</v>
      </c>
      <c r="D1739" t="s">
        <v>3767</v>
      </c>
      <c r="F1739" t="s">
        <v>4804</v>
      </c>
      <c r="K1739" s="18">
        <f>6281386688888</f>
        <v>6281386688888</v>
      </c>
      <c r="N1739" s="17" t="s">
        <v>77</v>
      </c>
      <c r="V1739" s="18">
        <f>6281386688888</f>
        <v>6281386688888</v>
      </c>
    </row>
    <row r="1740" ht="15" customHeight="1" spans="1:22" x14ac:dyDescent="0.25">
      <c r="A1740" s="17" t="s">
        <v>5252</v>
      </c>
      <c r="B1740" s="17" t="s">
        <v>70</v>
      </c>
      <c r="C1740" s="17" t="s">
        <v>71</v>
      </c>
      <c r="D1740" t="s">
        <v>3767</v>
      </c>
      <c r="F1740" t="s">
        <v>5253</v>
      </c>
      <c r="K1740" s="18">
        <f>6281807022365</f>
        <v>6281807022365</v>
      </c>
      <c r="N1740" s="17" t="s">
        <v>74</v>
      </c>
      <c r="V1740" s="18">
        <f>6281807022365</f>
        <v>6281807022365</v>
      </c>
    </row>
    <row r="1741" ht="15" customHeight="1" spans="1:27" x14ac:dyDescent="0.25">
      <c r="A1741" s="17" t="s">
        <v>5254</v>
      </c>
      <c r="B1741" s="17" t="s">
        <v>70</v>
      </c>
      <c r="C1741" s="17" t="s">
        <v>71</v>
      </c>
      <c r="D1741" t="s">
        <v>5255</v>
      </c>
      <c r="F1741" t="s">
        <v>5256</v>
      </c>
      <c r="K1741" s="18">
        <f>628118003886</f>
        <v>628118003886</v>
      </c>
      <c r="N1741" s="17" t="s">
        <v>81</v>
      </c>
      <c r="U1741" s="17"/>
      <c r="V1741" s="18">
        <f>628118003886</f>
        <v>628118003886</v>
      </c>
      <c r="W1741" t="s">
        <v>5257</v>
      </c>
      <c r="AA1741" s="17">
        <v>80361</v>
      </c>
    </row>
    <row r="1742" ht="15" customHeight="1" spans="1:23" x14ac:dyDescent="0.25">
      <c r="A1742" s="17" t="s">
        <v>5258</v>
      </c>
      <c r="B1742" s="17" t="s">
        <v>70</v>
      </c>
      <c r="C1742" s="17" t="s">
        <v>71</v>
      </c>
      <c r="D1742" t="s">
        <v>5259</v>
      </c>
      <c r="F1742" t="s">
        <v>5260</v>
      </c>
      <c r="K1742" s="18">
        <f>6281367635182</f>
        <v>6281367635182</v>
      </c>
      <c r="N1742" s="17" t="s">
        <v>81</v>
      </c>
      <c r="U1742" s="17"/>
      <c r="V1742" s="18">
        <f>6281367635182</f>
        <v>6281367635182</v>
      </c>
      <c r="W1742" t="s">
        <v>5261</v>
      </c>
    </row>
    <row r="1743" ht="15" customHeight="1" spans="1:22" x14ac:dyDescent="0.25">
      <c r="A1743" s="17" t="s">
        <v>5262</v>
      </c>
      <c r="B1743" s="17" t="s">
        <v>70</v>
      </c>
      <c r="C1743" s="17" t="s">
        <v>71</v>
      </c>
      <c r="D1743" t="s">
        <v>5263</v>
      </c>
      <c r="F1743" t="s">
        <v>5264</v>
      </c>
      <c r="K1743" s="18">
        <f>628111819997</f>
        <v>628111819997</v>
      </c>
      <c r="N1743" s="17" t="s">
        <v>81</v>
      </c>
      <c r="V1743" s="18">
        <f>628111819997</f>
        <v>628111819997</v>
      </c>
    </row>
    <row r="1744" ht="15" customHeight="1" spans="1:28" x14ac:dyDescent="0.25">
      <c r="A1744" s="17" t="s">
        <v>5265</v>
      </c>
      <c r="B1744" s="17" t="s">
        <v>70</v>
      </c>
      <c r="C1744" s="17" t="s">
        <v>71</v>
      </c>
      <c r="D1744" t="s">
        <v>5266</v>
      </c>
      <c r="F1744" t="s">
        <v>5267</v>
      </c>
      <c r="J1744" t="s">
        <v>115</v>
      </c>
      <c r="K1744" s="18" t="s">
        <v>5268</v>
      </c>
      <c r="N1744" s="17" t="s">
        <v>77</v>
      </c>
      <c r="O1744" t="s">
        <v>199</v>
      </c>
      <c r="V1744" s="18" t="s">
        <v>5268</v>
      </c>
      <c r="Y1744" t="s">
        <v>90</v>
      </c>
      <c r="AA1744" t="s">
        <v>118</v>
      </c>
      <c r="AB1744" t="s">
        <v>119</v>
      </c>
    </row>
    <row r="1745" ht="15" customHeight="1" spans="1:22" x14ac:dyDescent="0.25">
      <c r="A1745" s="17" t="s">
        <v>5269</v>
      </c>
      <c r="B1745" s="17" t="s">
        <v>70</v>
      </c>
      <c r="C1745" s="17" t="s">
        <v>71</v>
      </c>
      <c r="D1745" t="s">
        <v>5270</v>
      </c>
      <c r="F1745" t="s">
        <v>5270</v>
      </c>
      <c r="K1745" s="18">
        <f>6285810018888</f>
        <v>6285810018888</v>
      </c>
      <c r="N1745" s="17" t="s">
        <v>77</v>
      </c>
      <c r="V1745" s="18">
        <f>6285810018888</f>
        <v>6285810018888</v>
      </c>
    </row>
    <row r="1746" ht="15" customHeight="1" spans="1:22" x14ac:dyDescent="0.25">
      <c r="A1746" s="17" t="s">
        <v>5271</v>
      </c>
      <c r="B1746" s="17" t="s">
        <v>70</v>
      </c>
      <c r="C1746" s="17" t="s">
        <v>71</v>
      </c>
      <c r="D1746" t="s">
        <v>5270</v>
      </c>
      <c r="F1746" t="s">
        <v>5270</v>
      </c>
      <c r="K1746" s="18">
        <f>62811835989</f>
        <v>62811835989</v>
      </c>
      <c r="N1746" s="17" t="s">
        <v>77</v>
      </c>
      <c r="V1746" s="18">
        <f>62811835989</f>
        <v>62811835989</v>
      </c>
    </row>
    <row r="1747" ht="15" customHeight="1" spans="1:22" x14ac:dyDescent="0.25">
      <c r="A1747" s="17" t="s">
        <v>5272</v>
      </c>
      <c r="B1747" s="17" t="s">
        <v>70</v>
      </c>
      <c r="C1747" s="17" t="s">
        <v>71</v>
      </c>
      <c r="D1747" t="s">
        <v>5273</v>
      </c>
      <c r="F1747" t="s">
        <v>5274</v>
      </c>
      <c r="K1747" s="18">
        <f>628121111203</f>
        <v>628121111203</v>
      </c>
      <c r="N1747" s="17" t="s">
        <v>81</v>
      </c>
      <c r="V1747" s="18">
        <f>628121111203</f>
        <v>628121111203</v>
      </c>
    </row>
    <row r="1748" ht="15" customHeight="1" spans="1:28" x14ac:dyDescent="0.25">
      <c r="A1748" s="17" t="s">
        <v>5275</v>
      </c>
      <c r="B1748" s="17" t="s">
        <v>70</v>
      </c>
      <c r="C1748" s="17" t="s">
        <v>71</v>
      </c>
      <c r="D1748" t="s">
        <v>5276</v>
      </c>
      <c r="F1748" t="s">
        <v>4708</v>
      </c>
      <c r="J1748" s="17" t="s">
        <v>5277</v>
      </c>
      <c r="K1748" s="18" t="s">
        <v>5278</v>
      </c>
      <c r="N1748" s="17" t="s">
        <v>77</v>
      </c>
      <c r="O1748" t="s">
        <v>199</v>
      </c>
      <c r="V1748" s="18" t="s">
        <v>5278</v>
      </c>
      <c r="Y1748" t="s">
        <v>90</v>
      </c>
      <c r="AA1748" t="s">
        <v>118</v>
      </c>
      <c r="AB1748" t="s">
        <v>119</v>
      </c>
    </row>
    <row r="1749" ht="15" customHeight="1" spans="1:23" x14ac:dyDescent="0.25">
      <c r="A1749" s="17" t="s">
        <v>5279</v>
      </c>
      <c r="B1749" s="17" t="s">
        <v>70</v>
      </c>
      <c r="C1749" s="17" t="s">
        <v>71</v>
      </c>
      <c r="D1749" t="s">
        <v>5280</v>
      </c>
      <c r="F1749" t="s">
        <v>5280</v>
      </c>
      <c r="K1749" s="18">
        <f>6285285699218</f>
        <v>6285285699218</v>
      </c>
      <c r="N1749" s="17" t="s">
        <v>81</v>
      </c>
      <c r="U1749" s="17"/>
      <c r="V1749" s="18">
        <f>6285285699218</f>
        <v>6285285699218</v>
      </c>
      <c r="W1749" t="s">
        <v>5281</v>
      </c>
    </row>
    <row r="1750" ht="15" customHeight="1" spans="1:25" x14ac:dyDescent="0.25">
      <c r="A1750" s="17" t="s">
        <v>5282</v>
      </c>
      <c r="B1750" s="17" t="s">
        <v>70</v>
      </c>
      <c r="C1750" s="17" t="s">
        <v>71</v>
      </c>
      <c r="D1750" t="s">
        <v>5283</v>
      </c>
      <c r="F1750" t="s">
        <v>5284</v>
      </c>
      <c r="K1750" s="18">
        <f>6281330657915</f>
        <v>6281330657915</v>
      </c>
      <c r="N1750" s="17" t="s">
        <v>81</v>
      </c>
      <c r="U1750" s="17"/>
      <c r="V1750" s="18">
        <f>6281330657915</f>
        <v>6281330657915</v>
      </c>
      <c r="W1750" t="s">
        <v>5285</v>
      </c>
      <c r="Y1750" s="17" t="s">
        <v>5286</v>
      </c>
    </row>
    <row r="1751" ht="15" customHeight="1" spans="1:22" x14ac:dyDescent="0.25">
      <c r="A1751" s="17" t="s">
        <v>5287</v>
      </c>
      <c r="B1751" s="17" t="s">
        <v>70</v>
      </c>
      <c r="C1751" s="17" t="s">
        <v>71</v>
      </c>
      <c r="D1751" t="s">
        <v>5288</v>
      </c>
      <c r="F1751" t="s">
        <v>5288</v>
      </c>
      <c r="K1751" s="18">
        <f>6281999911018</f>
        <v>6281999911018</v>
      </c>
      <c r="N1751" s="17" t="s">
        <v>81</v>
      </c>
      <c r="V1751" s="18">
        <f>6281999911018</f>
        <v>6281999911018</v>
      </c>
    </row>
    <row r="1752" ht="15" customHeight="1" spans="1:22" x14ac:dyDescent="0.25">
      <c r="A1752" s="17" t="s">
        <v>5289</v>
      </c>
      <c r="B1752" s="17" t="s">
        <v>70</v>
      </c>
      <c r="C1752" s="17" t="s">
        <v>71</v>
      </c>
      <c r="D1752" t="s">
        <v>193</v>
      </c>
      <c r="F1752" t="s">
        <v>193</v>
      </c>
      <c r="K1752" s="18">
        <f>628561167030</f>
        <v>628561167030</v>
      </c>
      <c r="N1752" s="17" t="s">
        <v>81</v>
      </c>
      <c r="V1752" s="18">
        <f>628561167030</f>
        <v>628561167030</v>
      </c>
    </row>
    <row r="1753" ht="15" customHeight="1" spans="1:28" x14ac:dyDescent="0.25">
      <c r="A1753" s="17" t="s">
        <v>5290</v>
      </c>
      <c r="B1753" s="17" t="s">
        <v>70</v>
      </c>
      <c r="C1753" s="17" t="s">
        <v>71</v>
      </c>
      <c r="D1753" t="s">
        <v>5291</v>
      </c>
      <c r="F1753" t="s">
        <v>5292</v>
      </c>
      <c r="J1753" t="s">
        <v>5293</v>
      </c>
      <c r="K1753" s="18" t="s">
        <v>5294</v>
      </c>
      <c r="N1753" s="17" t="s">
        <v>77</v>
      </c>
      <c r="O1753" t="s">
        <v>199</v>
      </c>
      <c r="V1753" s="18" t="s">
        <v>5294</v>
      </c>
      <c r="Y1753" s="17" t="s">
        <v>5295</v>
      </c>
      <c r="AA1753" t="s">
        <v>115</v>
      </c>
      <c r="AB1753" t="s">
        <v>451</v>
      </c>
    </row>
    <row r="1754" ht="15" customHeight="1" spans="1:28" x14ac:dyDescent="0.25">
      <c r="A1754" s="17" t="s">
        <v>5296</v>
      </c>
      <c r="B1754" s="17" t="s">
        <v>70</v>
      </c>
      <c r="C1754" s="17" t="s">
        <v>71</v>
      </c>
      <c r="D1754" t="s">
        <v>5297</v>
      </c>
      <c r="F1754" t="s">
        <v>2730</v>
      </c>
      <c r="J1754" t="s">
        <v>115</v>
      </c>
      <c r="K1754" s="18" t="s">
        <v>5298</v>
      </c>
      <c r="N1754" s="17" t="s">
        <v>81</v>
      </c>
      <c r="O1754" t="s">
        <v>261</v>
      </c>
      <c r="V1754" s="18" t="s">
        <v>5298</v>
      </c>
      <c r="Y1754" t="s">
        <v>410</v>
      </c>
      <c r="AA1754" t="s">
        <v>5299</v>
      </c>
      <c r="AB1754" t="s">
        <v>119</v>
      </c>
    </row>
    <row r="1755" ht="15" customHeight="1" spans="1:22" x14ac:dyDescent="0.25">
      <c r="A1755" s="17" t="s">
        <v>5300</v>
      </c>
      <c r="B1755" s="17" t="s">
        <v>70</v>
      </c>
      <c r="C1755" s="17" t="s">
        <v>71</v>
      </c>
      <c r="D1755" t="s">
        <v>5301</v>
      </c>
      <c r="F1755" t="s">
        <v>5302</v>
      </c>
      <c r="K1755" s="18">
        <f>628159640164</f>
        <v>628159640164</v>
      </c>
      <c r="N1755" s="17" t="s">
        <v>81</v>
      </c>
      <c r="V1755" s="18">
        <f>628159640164</f>
        <v>628159640164</v>
      </c>
    </row>
    <row r="1756" ht="15" customHeight="1" spans="1:23" x14ac:dyDescent="0.25">
      <c r="A1756" s="17" t="s">
        <v>5303</v>
      </c>
      <c r="B1756" s="17" t="s">
        <v>70</v>
      </c>
      <c r="C1756" s="17" t="s">
        <v>71</v>
      </c>
      <c r="D1756" t="s">
        <v>5301</v>
      </c>
      <c r="F1756" t="s">
        <v>5304</v>
      </c>
      <c r="K1756" s="18">
        <f>6281288992000</f>
        <v>6281288992000</v>
      </c>
      <c r="N1756" s="17" t="s">
        <v>77</v>
      </c>
      <c r="U1756" s="17"/>
      <c r="V1756" s="18">
        <f>6281288992000</f>
        <v>6281288992000</v>
      </c>
      <c r="W1756" t="s">
        <v>5305</v>
      </c>
    </row>
    <row r="1757" ht="15" customHeight="1" spans="1:22" x14ac:dyDescent="0.25">
      <c r="A1757" s="17" t="s">
        <v>5306</v>
      </c>
      <c r="B1757" s="17" t="s">
        <v>70</v>
      </c>
      <c r="C1757" s="17" t="s">
        <v>71</v>
      </c>
      <c r="D1757" t="s">
        <v>5307</v>
      </c>
      <c r="F1757" t="s">
        <v>5308</v>
      </c>
      <c r="K1757" s="18">
        <f>6285779821920</f>
        <v>6285779821920</v>
      </c>
      <c r="N1757" s="17" t="s">
        <v>77</v>
      </c>
      <c r="V1757" s="18">
        <f>6285779821920</f>
        <v>6285779821920</v>
      </c>
    </row>
    <row r="1758" ht="15" customHeight="1" spans="1:25" x14ac:dyDescent="0.25">
      <c r="A1758" s="17" t="s">
        <v>5309</v>
      </c>
      <c r="B1758" s="17" t="s">
        <v>70</v>
      </c>
      <c r="C1758" s="17" t="s">
        <v>71</v>
      </c>
      <c r="D1758" t="s">
        <v>5310</v>
      </c>
      <c r="F1758" t="s">
        <v>4375</v>
      </c>
      <c r="J1758" s="17" t="s">
        <v>5311</v>
      </c>
      <c r="K1758" s="18">
        <f>6282225101516</f>
        <v>6282225101516</v>
      </c>
      <c r="N1758" s="17" t="s">
        <v>81</v>
      </c>
      <c r="U1758" s="17"/>
      <c r="V1758" s="18">
        <f>6282225101516</f>
        <v>6282225101516</v>
      </c>
      <c r="W1758" t="s">
        <v>5312</v>
      </c>
      <c r="Y1758" s="17" t="s">
        <v>90</v>
      </c>
    </row>
    <row r="1759" ht="15" customHeight="1" spans="1:22" x14ac:dyDescent="0.25">
      <c r="A1759" s="17" t="s">
        <v>5313</v>
      </c>
      <c r="B1759" s="17" t="s">
        <v>70</v>
      </c>
      <c r="C1759" s="17" t="s">
        <v>71</v>
      </c>
      <c r="D1759" t="s">
        <v>5314</v>
      </c>
      <c r="F1759" t="s">
        <v>5315</v>
      </c>
      <c r="K1759" s="18">
        <f>628121056234</f>
        <v>628121056234</v>
      </c>
      <c r="N1759" s="17" t="s">
        <v>77</v>
      </c>
      <c r="V1759" s="18">
        <f>628121056234</f>
        <v>628121056234</v>
      </c>
    </row>
    <row r="1760" ht="15" customHeight="1" spans="1:22" x14ac:dyDescent="0.25">
      <c r="A1760" s="17" t="s">
        <v>5316</v>
      </c>
      <c r="B1760" s="17" t="s">
        <v>70</v>
      </c>
      <c r="C1760" s="17" t="s">
        <v>71</v>
      </c>
      <c r="D1760" t="s">
        <v>5317</v>
      </c>
      <c r="F1760" t="s">
        <v>5317</v>
      </c>
      <c r="K1760" s="18">
        <f>62811973895</f>
        <v>62811973895</v>
      </c>
      <c r="N1760" s="17" t="s">
        <v>81</v>
      </c>
      <c r="V1760" s="18">
        <f>62811973895</f>
        <v>62811973895</v>
      </c>
    </row>
    <row r="1761" ht="15" customHeight="1" spans="1:25" x14ac:dyDescent="0.25">
      <c r="A1761" s="17" t="s">
        <v>5318</v>
      </c>
      <c r="B1761" s="17" t="s">
        <v>70</v>
      </c>
      <c r="C1761" s="17" t="s">
        <v>71</v>
      </c>
      <c r="D1761" t="s">
        <v>5319</v>
      </c>
      <c r="F1761" t="s">
        <v>5320</v>
      </c>
      <c r="K1761" s="18">
        <f>628161861089</f>
        <v>628161861089</v>
      </c>
      <c r="N1761" s="17" t="s">
        <v>74</v>
      </c>
      <c r="U1761" s="17"/>
      <c r="V1761" s="18">
        <f>628161861089</f>
        <v>628161861089</v>
      </c>
      <c r="W1761" t="s">
        <v>5321</v>
      </c>
      <c r="Y1761" s="17" t="s">
        <v>515</v>
      </c>
    </row>
    <row r="1762" ht="15" customHeight="1" spans="1:22" x14ac:dyDescent="0.25">
      <c r="A1762" s="17" t="s">
        <v>5322</v>
      </c>
      <c r="B1762" s="17" t="s">
        <v>70</v>
      </c>
      <c r="C1762" s="17" t="s">
        <v>71</v>
      </c>
      <c r="D1762" t="s">
        <v>2987</v>
      </c>
      <c r="F1762" t="s">
        <v>4269</v>
      </c>
      <c r="K1762" s="18">
        <f>62811323188</f>
        <v>62811323188</v>
      </c>
      <c r="N1762" s="17" t="s">
        <v>81</v>
      </c>
      <c r="V1762" s="18">
        <f>62811323188</f>
        <v>62811323188</v>
      </c>
    </row>
    <row r="1763" ht="15" customHeight="1" spans="1:22" x14ac:dyDescent="0.25">
      <c r="A1763" s="17" t="s">
        <v>5323</v>
      </c>
      <c r="B1763" s="17" t="s">
        <v>70</v>
      </c>
      <c r="C1763" s="17" t="s">
        <v>71</v>
      </c>
      <c r="D1763" t="s">
        <v>5324</v>
      </c>
      <c r="F1763" t="s">
        <v>5325</v>
      </c>
      <c r="K1763" s="18">
        <f>62816703030</f>
        <v>62816703030</v>
      </c>
      <c r="N1763" s="17" t="s">
        <v>77</v>
      </c>
      <c r="V1763" s="18">
        <f>62816703030</f>
        <v>62816703030</v>
      </c>
    </row>
    <row r="1764" ht="15" customHeight="1" spans="1:22" x14ac:dyDescent="0.25">
      <c r="A1764" s="17" t="s">
        <v>5326</v>
      </c>
      <c r="B1764" s="17" t="s">
        <v>70</v>
      </c>
      <c r="C1764" s="17" t="s">
        <v>71</v>
      </c>
      <c r="D1764" t="s">
        <v>5324</v>
      </c>
      <c r="F1764" t="s">
        <v>5327</v>
      </c>
      <c r="K1764" s="18">
        <f>62811551981</f>
        <v>62811551981</v>
      </c>
      <c r="N1764" s="17" t="s">
        <v>77</v>
      </c>
      <c r="V1764" s="18">
        <f>62811551981</f>
        <v>62811551981</v>
      </c>
    </row>
    <row r="1765" ht="15" customHeight="1" spans="1:25" x14ac:dyDescent="0.25">
      <c r="A1765" s="17" t="s">
        <v>5328</v>
      </c>
      <c r="B1765" s="17" t="s">
        <v>70</v>
      </c>
      <c r="C1765" s="17" t="s">
        <v>71</v>
      </c>
      <c r="D1765" t="s">
        <v>5329</v>
      </c>
      <c r="F1765" t="s">
        <v>5330</v>
      </c>
      <c r="K1765" s="18" t="s">
        <v>5331</v>
      </c>
      <c r="N1765" s="17" t="s">
        <v>77</v>
      </c>
      <c r="U1765" s="17"/>
      <c r="V1765" s="18" t="s">
        <v>5331</v>
      </c>
      <c r="W1765" t="s">
        <v>5332</v>
      </c>
      <c r="Y1765" s="17" t="s">
        <v>96</v>
      </c>
    </row>
    <row r="1766" ht="15" customHeight="1" spans="1:22" x14ac:dyDescent="0.25">
      <c r="A1766" s="17" t="s">
        <v>5333</v>
      </c>
      <c r="B1766" s="17" t="s">
        <v>70</v>
      </c>
      <c r="C1766" s="17" t="s">
        <v>71</v>
      </c>
      <c r="D1766" t="s">
        <v>5334</v>
      </c>
      <c r="F1766" t="s">
        <v>5334</v>
      </c>
      <c r="K1766" s="18">
        <f>6285711170909</f>
        <v>6285711170909</v>
      </c>
      <c r="N1766" s="17" t="s">
        <v>74</v>
      </c>
      <c r="V1766" s="18">
        <f>6285711170909</f>
        <v>6285711170909</v>
      </c>
    </row>
    <row r="1767" ht="15" customHeight="1" spans="1:23" x14ac:dyDescent="0.25">
      <c r="A1767" s="17" t="s">
        <v>5335</v>
      </c>
      <c r="B1767" s="17" t="s">
        <v>70</v>
      </c>
      <c r="C1767" s="17" t="s">
        <v>71</v>
      </c>
      <c r="D1767" t="s">
        <v>5336</v>
      </c>
      <c r="F1767" t="s">
        <v>5337</v>
      </c>
      <c r="K1767" s="18">
        <f>97699116691</f>
        <v>97699116691</v>
      </c>
      <c r="N1767" s="17" t="s">
        <v>77</v>
      </c>
      <c r="U1767" s="17"/>
      <c r="V1767" s="18">
        <f>97699116691</f>
        <v>97699116691</v>
      </c>
      <c r="W1767" t="s">
        <v>5338</v>
      </c>
    </row>
    <row r="1768" ht="15" customHeight="1" spans="1:28" x14ac:dyDescent="0.25">
      <c r="A1768" s="17" t="s">
        <v>5339</v>
      </c>
      <c r="B1768" s="17" t="s">
        <v>70</v>
      </c>
      <c r="C1768" s="17" t="s">
        <v>71</v>
      </c>
      <c r="D1768" t="s">
        <v>5340</v>
      </c>
      <c r="F1768" t="s">
        <v>4778</v>
      </c>
      <c r="J1768" s="17" t="s">
        <v>5341</v>
      </c>
      <c r="K1768" s="18" t="s">
        <v>5342</v>
      </c>
      <c r="N1768" s="17" t="s">
        <v>77</v>
      </c>
      <c r="O1768" t="s">
        <v>145</v>
      </c>
      <c r="V1768" s="18" t="s">
        <v>5342</v>
      </c>
      <c r="Y1768" t="s">
        <v>115</v>
      </c>
      <c r="AA1768" t="s">
        <v>115</v>
      </c>
      <c r="AB1768" t="s">
        <v>2605</v>
      </c>
    </row>
    <row r="1769" ht="15" customHeight="1" spans="1:28" x14ac:dyDescent="0.25">
      <c r="A1769" s="17" t="s">
        <v>5343</v>
      </c>
      <c r="B1769" s="17" t="s">
        <v>70</v>
      </c>
      <c r="C1769" s="17" t="s">
        <v>71</v>
      </c>
      <c r="D1769" t="s">
        <v>3623</v>
      </c>
      <c r="F1769" t="s">
        <v>5344</v>
      </c>
      <c r="J1769" s="17" t="s">
        <v>5345</v>
      </c>
      <c r="K1769" s="18" t="s">
        <v>5346</v>
      </c>
      <c r="N1769" s="17" t="s">
        <v>77</v>
      </c>
      <c r="O1769" t="s">
        <v>489</v>
      </c>
      <c r="V1769" s="18" t="s">
        <v>5346</v>
      </c>
      <c r="Y1769" t="s">
        <v>115</v>
      </c>
      <c r="AA1769" t="s">
        <v>115</v>
      </c>
      <c r="AB1769" t="s">
        <v>451</v>
      </c>
    </row>
    <row r="1770" ht="15" customHeight="1" spans="1:22" x14ac:dyDescent="0.25">
      <c r="A1770" s="17" t="s">
        <v>5347</v>
      </c>
      <c r="B1770" s="17" t="s">
        <v>70</v>
      </c>
      <c r="C1770" s="17" t="s">
        <v>71</v>
      </c>
      <c r="D1770" t="s">
        <v>5348</v>
      </c>
      <c r="F1770" t="s">
        <v>5348</v>
      </c>
      <c r="K1770" s="18">
        <f>628581111818</f>
        <v>628581111818</v>
      </c>
      <c r="N1770" s="17" t="s">
        <v>77</v>
      </c>
      <c r="V1770" s="18">
        <f>628581111818</f>
        <v>628581111818</v>
      </c>
    </row>
    <row r="1771" ht="15" customHeight="1" spans="1:28" x14ac:dyDescent="0.25">
      <c r="A1771" s="17" t="s">
        <v>5349</v>
      </c>
      <c r="B1771" s="17" t="s">
        <v>70</v>
      </c>
      <c r="C1771" s="17" t="s">
        <v>71</v>
      </c>
      <c r="D1771" t="s">
        <v>5350</v>
      </c>
      <c r="F1771" t="s">
        <v>5351</v>
      </c>
      <c r="J1771" t="s">
        <v>115</v>
      </c>
      <c r="K1771" s="18" t="s">
        <v>5352</v>
      </c>
      <c r="N1771" s="17" t="s">
        <v>77</v>
      </c>
      <c r="O1771" t="s">
        <v>489</v>
      </c>
      <c r="V1771" s="18" t="s">
        <v>5352</v>
      </c>
      <c r="Y1771" t="s">
        <v>190</v>
      </c>
      <c r="AA1771" t="s">
        <v>118</v>
      </c>
      <c r="AB1771" t="s">
        <v>119</v>
      </c>
    </row>
    <row r="1772" ht="15" customHeight="1" spans="1:28" x14ac:dyDescent="0.25">
      <c r="A1772" s="17" t="s">
        <v>5353</v>
      </c>
      <c r="B1772" s="17" t="s">
        <v>70</v>
      </c>
      <c r="C1772" s="17" t="s">
        <v>71</v>
      </c>
      <c r="D1772" t="s">
        <v>5354</v>
      </c>
      <c r="F1772" t="s">
        <v>5355</v>
      </c>
      <c r="J1772" s="17" t="s">
        <v>5356</v>
      </c>
      <c r="K1772" s="18" t="s">
        <v>5357</v>
      </c>
      <c r="N1772" s="17" t="s">
        <v>77</v>
      </c>
      <c r="O1772" t="s">
        <v>145</v>
      </c>
      <c r="U1772" s="17"/>
      <c r="V1772" s="18" t="s">
        <v>5357</v>
      </c>
      <c r="W1772" t="s">
        <v>119</v>
      </c>
      <c r="Y1772" t="s">
        <v>5358</v>
      </c>
      <c r="AA1772" t="s">
        <v>115</v>
      </c>
      <c r="AB1772" t="s">
        <v>5358</v>
      </c>
    </row>
    <row r="1773" ht="15" customHeight="1" spans="1:22" x14ac:dyDescent="0.25">
      <c r="A1773" s="17" t="s">
        <v>5359</v>
      </c>
      <c r="B1773" s="17" t="s">
        <v>70</v>
      </c>
      <c r="C1773" s="17" t="s">
        <v>71</v>
      </c>
      <c r="D1773" t="s">
        <v>5360</v>
      </c>
      <c r="F1773" t="s">
        <v>5361</v>
      </c>
      <c r="K1773" s="18">
        <f>628121190232</f>
        <v>628121190232</v>
      </c>
      <c r="N1773" s="17" t="s">
        <v>74</v>
      </c>
      <c r="V1773" s="18">
        <f>628121190232</f>
        <v>628121190232</v>
      </c>
    </row>
    <row r="1774" ht="15" customHeight="1" spans="1:22" x14ac:dyDescent="0.25">
      <c r="A1774" s="17" t="s">
        <v>5362</v>
      </c>
      <c r="B1774" s="17" t="s">
        <v>70</v>
      </c>
      <c r="C1774" s="17" t="s">
        <v>71</v>
      </c>
      <c r="D1774" t="s">
        <v>5363</v>
      </c>
      <c r="F1774" t="s">
        <v>5363</v>
      </c>
      <c r="K1774" s="18">
        <f>6282111116677</f>
        <v>6282111116677</v>
      </c>
      <c r="N1774" s="17" t="s">
        <v>77</v>
      </c>
      <c r="V1774" s="18">
        <f>6282111116677</f>
        <v>6282111116677</v>
      </c>
    </row>
    <row r="1775" ht="15" customHeight="1" spans="1:28" x14ac:dyDescent="0.25">
      <c r="A1775" s="17" t="s">
        <v>5364</v>
      </c>
      <c r="B1775" s="17" t="s">
        <v>70</v>
      </c>
      <c r="C1775" s="17" t="s">
        <v>71</v>
      </c>
      <c r="D1775" t="s">
        <v>5363</v>
      </c>
      <c r="F1775" t="s">
        <v>5365</v>
      </c>
      <c r="J1775" s="17" t="s">
        <v>5366</v>
      </c>
      <c r="K1775" s="18" t="s">
        <v>5367</v>
      </c>
      <c r="N1775" s="17" t="s">
        <v>74</v>
      </c>
      <c r="O1775" t="s">
        <v>261</v>
      </c>
      <c r="U1775" s="17"/>
      <c r="V1775" s="18" t="s">
        <v>5367</v>
      </c>
      <c r="W1775" t="s">
        <v>5368</v>
      </c>
      <c r="Y1775" t="s">
        <v>90</v>
      </c>
      <c r="AA1775" t="s">
        <v>118</v>
      </c>
      <c r="AB1775" t="s">
        <v>119</v>
      </c>
    </row>
    <row r="1776" ht="15" customHeight="1" spans="1:22" x14ac:dyDescent="0.25">
      <c r="A1776" s="17" t="s">
        <v>5369</v>
      </c>
      <c r="B1776" s="17" t="s">
        <v>70</v>
      </c>
      <c r="C1776" s="17" t="s">
        <v>71</v>
      </c>
      <c r="D1776" t="s">
        <v>5370</v>
      </c>
      <c r="F1776" t="s">
        <v>5371</v>
      </c>
      <c r="K1776" s="18">
        <f>6281289799971</f>
        <v>6281289799971</v>
      </c>
      <c r="N1776" s="17" t="s">
        <v>74</v>
      </c>
      <c r="V1776" s="18">
        <f>6281289799971</f>
        <v>6281289799971</v>
      </c>
    </row>
    <row r="1777" ht="15" customHeight="1" spans="1:22" x14ac:dyDescent="0.25">
      <c r="A1777" s="17" t="s">
        <v>5372</v>
      </c>
      <c r="B1777" s="17" t="s">
        <v>70</v>
      </c>
      <c r="C1777" s="17" t="s">
        <v>71</v>
      </c>
      <c r="D1777" t="s">
        <v>5373</v>
      </c>
      <c r="F1777" t="s">
        <v>5373</v>
      </c>
      <c r="K1777" s="18">
        <f>6285215931444</f>
        <v>6285215931444</v>
      </c>
      <c r="N1777" s="17" t="s">
        <v>77</v>
      </c>
      <c r="V1777" s="18">
        <f>6285215931444</f>
        <v>6285215931444</v>
      </c>
    </row>
    <row r="1778" ht="15" customHeight="1" spans="1:28" x14ac:dyDescent="0.25">
      <c r="A1778" s="17" t="s">
        <v>5374</v>
      </c>
      <c r="B1778" s="17" t="s">
        <v>70</v>
      </c>
      <c r="C1778" s="17" t="s">
        <v>71</v>
      </c>
      <c r="D1778" t="s">
        <v>5375</v>
      </c>
      <c r="F1778" t="s">
        <v>5376</v>
      </c>
      <c r="J1778" s="17" t="s">
        <v>5377</v>
      </c>
      <c r="K1778" s="18" t="s">
        <v>5378</v>
      </c>
      <c r="N1778" s="17" t="s">
        <v>77</v>
      </c>
      <c r="O1778" t="s">
        <v>489</v>
      </c>
      <c r="U1778" s="17"/>
      <c r="V1778" s="18" t="s">
        <v>5378</v>
      </c>
      <c r="W1778" t="s">
        <v>5358</v>
      </c>
      <c r="Y1778" t="s">
        <v>5358</v>
      </c>
      <c r="AA1778" t="s">
        <v>115</v>
      </c>
      <c r="AB1778" t="s">
        <v>5358</v>
      </c>
    </row>
    <row r="1779" ht="15" customHeight="1" spans="1:23" x14ac:dyDescent="0.25">
      <c r="A1779" s="17" t="s">
        <v>5379</v>
      </c>
      <c r="B1779" s="17" t="s">
        <v>70</v>
      </c>
      <c r="C1779" s="17" t="s">
        <v>71</v>
      </c>
      <c r="D1779" t="s">
        <v>5380</v>
      </c>
      <c r="F1779" t="s">
        <v>5381</v>
      </c>
      <c r="K1779" s="18">
        <f>96093913622</f>
        <v>96093913622</v>
      </c>
      <c r="N1779" s="17" t="s">
        <v>77</v>
      </c>
      <c r="U1779" s="17"/>
      <c r="V1779" s="18">
        <f>96093913622</f>
        <v>96093913622</v>
      </c>
      <c r="W1779" t="s">
        <v>1908</v>
      </c>
    </row>
    <row r="1780" ht="15" customHeight="1" spans="1:22" x14ac:dyDescent="0.25">
      <c r="A1780" s="17" t="s">
        <v>5382</v>
      </c>
      <c r="B1780" s="17" t="s">
        <v>70</v>
      </c>
      <c r="C1780" s="17" t="s">
        <v>71</v>
      </c>
      <c r="D1780" t="s">
        <v>5383</v>
      </c>
      <c r="F1780" t="s">
        <v>5384</v>
      </c>
      <c r="K1780" s="18">
        <f>628119320902</f>
        <v>628119320902</v>
      </c>
      <c r="N1780" s="17" t="s">
        <v>77</v>
      </c>
      <c r="V1780" s="18">
        <f>628119320902</f>
        <v>628119320902</v>
      </c>
    </row>
    <row r="1781" ht="15" customHeight="1" spans="1:28" x14ac:dyDescent="0.25">
      <c r="A1781" s="17" t="s">
        <v>5385</v>
      </c>
      <c r="B1781" s="17" t="s">
        <v>70</v>
      </c>
      <c r="C1781" s="17" t="s">
        <v>71</v>
      </c>
      <c r="D1781" t="s">
        <v>5386</v>
      </c>
      <c r="F1781" t="s">
        <v>5387</v>
      </c>
      <c r="J1781" s="17" t="s">
        <v>5388</v>
      </c>
      <c r="K1781" s="18" t="s">
        <v>5389</v>
      </c>
      <c r="N1781" s="17" t="s">
        <v>77</v>
      </c>
      <c r="O1781" t="s">
        <v>199</v>
      </c>
      <c r="U1781" s="17"/>
      <c r="V1781" s="18" t="s">
        <v>5389</v>
      </c>
      <c r="W1781" t="s">
        <v>920</v>
      </c>
      <c r="Y1781" t="s">
        <v>920</v>
      </c>
      <c r="AA1781" t="s">
        <v>115</v>
      </c>
      <c r="AB1781" t="s">
        <v>920</v>
      </c>
    </row>
    <row r="1782" ht="15" customHeight="1" spans="1:22" x14ac:dyDescent="0.25">
      <c r="A1782" s="17" t="s">
        <v>5390</v>
      </c>
      <c r="B1782" s="17" t="s">
        <v>70</v>
      </c>
      <c r="C1782" s="17" t="s">
        <v>71</v>
      </c>
      <c r="D1782" t="s">
        <v>5391</v>
      </c>
      <c r="F1782" t="s">
        <v>5391</v>
      </c>
      <c r="K1782" s="18">
        <f>628111112004</f>
        <v>628111112004</v>
      </c>
      <c r="N1782" s="17" t="s">
        <v>81</v>
      </c>
      <c r="V1782" s="18">
        <f>628111112004</f>
        <v>628111112004</v>
      </c>
    </row>
    <row r="1783" ht="15" customHeight="1" spans="1:22" x14ac:dyDescent="0.25">
      <c r="A1783" s="17" t="s">
        <v>5392</v>
      </c>
      <c r="B1783" s="17" t="s">
        <v>70</v>
      </c>
      <c r="C1783" s="17" t="s">
        <v>71</v>
      </c>
      <c r="D1783" t="s">
        <v>5391</v>
      </c>
      <c r="F1783" t="s">
        <v>5393</v>
      </c>
      <c r="K1783" s="18">
        <f>6281382290007</f>
        <v>6281382290007</v>
      </c>
      <c r="N1783" s="17" t="s">
        <v>81</v>
      </c>
      <c r="V1783" s="18">
        <f>6281382290007</f>
        <v>6281382290007</v>
      </c>
    </row>
    <row r="1784" ht="15" customHeight="1" spans="1:22" x14ac:dyDescent="0.25">
      <c r="A1784" s="17" t="s">
        <v>5394</v>
      </c>
      <c r="B1784" s="17" t="s">
        <v>70</v>
      </c>
      <c r="C1784" s="17" t="s">
        <v>71</v>
      </c>
      <c r="D1784" t="s">
        <v>5391</v>
      </c>
      <c r="F1784" t="s">
        <v>5395</v>
      </c>
      <c r="K1784" s="18">
        <f>628118186799</f>
        <v>628118186799</v>
      </c>
      <c r="N1784" s="17" t="s">
        <v>81</v>
      </c>
      <c r="V1784" s="18">
        <f>628118186799</f>
        <v>628118186799</v>
      </c>
    </row>
    <row r="1785" ht="15" customHeight="1" spans="1:22" x14ac:dyDescent="0.25">
      <c r="A1785" s="17" t="s">
        <v>5396</v>
      </c>
      <c r="B1785" s="17" t="s">
        <v>70</v>
      </c>
      <c r="C1785" s="17" t="s">
        <v>71</v>
      </c>
      <c r="D1785" t="s">
        <v>5391</v>
      </c>
      <c r="F1785" t="s">
        <v>5397</v>
      </c>
      <c r="J1785" s="17" t="s">
        <v>5398</v>
      </c>
      <c r="K1785" s="18">
        <f>6281211106767</f>
        <v>6281211106767</v>
      </c>
      <c r="N1785" s="17" t="s">
        <v>77</v>
      </c>
      <c r="V1785" s="18">
        <f>6281211106767</f>
        <v>6281211106767</v>
      </c>
    </row>
    <row r="1786" ht="15" customHeight="1" spans="1:22" x14ac:dyDescent="0.25">
      <c r="A1786" s="17" t="s">
        <v>5399</v>
      </c>
      <c r="B1786" s="17" t="s">
        <v>70</v>
      </c>
      <c r="C1786" s="17" t="s">
        <v>71</v>
      </c>
      <c r="D1786" t="s">
        <v>5391</v>
      </c>
      <c r="F1786" t="s">
        <v>5400</v>
      </c>
      <c r="K1786" s="18">
        <f>6281280828282</f>
        <v>6281280828282</v>
      </c>
      <c r="N1786" s="17" t="s">
        <v>81</v>
      </c>
      <c r="V1786" s="18">
        <f>6281280828282</f>
        <v>6281280828282</v>
      </c>
    </row>
    <row r="1787" ht="15" customHeight="1" spans="1:28" x14ac:dyDescent="0.25">
      <c r="A1787" s="17" t="s">
        <v>5401</v>
      </c>
      <c r="B1787" s="17" t="s">
        <v>70</v>
      </c>
      <c r="C1787" s="17" t="s">
        <v>71</v>
      </c>
      <c r="D1787" t="s">
        <v>5391</v>
      </c>
      <c r="F1787" t="s">
        <v>5402</v>
      </c>
      <c r="J1787" t="s">
        <v>115</v>
      </c>
      <c r="K1787" s="18" t="s">
        <v>5403</v>
      </c>
      <c r="N1787" s="17" t="s">
        <v>77</v>
      </c>
      <c r="O1787" t="s">
        <v>199</v>
      </c>
      <c r="V1787" s="18" t="s">
        <v>5403</v>
      </c>
      <c r="Y1787" t="s">
        <v>115</v>
      </c>
      <c r="AA1787" t="s">
        <v>115</v>
      </c>
      <c r="AB1787" t="s">
        <v>119</v>
      </c>
    </row>
    <row r="1788" ht="15" customHeight="1" spans="1:22" x14ac:dyDescent="0.25">
      <c r="A1788" s="17" t="s">
        <v>5404</v>
      </c>
      <c r="B1788" s="17" t="s">
        <v>70</v>
      </c>
      <c r="C1788" s="17" t="s">
        <v>71</v>
      </c>
      <c r="D1788" t="s">
        <v>5405</v>
      </c>
      <c r="F1788" t="s">
        <v>5406</v>
      </c>
      <c r="K1788" s="18">
        <f>628161495468</f>
        <v>628161495468</v>
      </c>
      <c r="N1788" s="17" t="s">
        <v>81</v>
      </c>
      <c r="V1788" s="18">
        <f>628161495468</f>
        <v>628161495468</v>
      </c>
    </row>
    <row r="1789" ht="15" customHeight="1" spans="1:28" x14ac:dyDescent="0.25">
      <c r="A1789" s="17" t="s">
        <v>5407</v>
      </c>
      <c r="B1789" s="17" t="s">
        <v>70</v>
      </c>
      <c r="C1789" s="17" t="s">
        <v>71</v>
      </c>
      <c r="D1789" t="s">
        <v>5408</v>
      </c>
      <c r="F1789" t="s">
        <v>5409</v>
      </c>
      <c r="J1789" t="s">
        <v>115</v>
      </c>
      <c r="K1789" s="18" t="s">
        <v>5410</v>
      </c>
      <c r="N1789" s="17" t="s">
        <v>77</v>
      </c>
      <c r="O1789" t="s">
        <v>117</v>
      </c>
      <c r="V1789" s="18" t="s">
        <v>5410</v>
      </c>
      <c r="Y1789" t="s">
        <v>190</v>
      </c>
      <c r="AA1789" t="s">
        <v>118</v>
      </c>
      <c r="AB1789" t="s">
        <v>119</v>
      </c>
    </row>
    <row r="1790" ht="15" customHeight="1" spans="1:28" x14ac:dyDescent="0.25">
      <c r="A1790" s="17" t="s">
        <v>5411</v>
      </c>
      <c r="B1790" s="17" t="s">
        <v>70</v>
      </c>
      <c r="C1790" s="17" t="s">
        <v>71</v>
      </c>
      <c r="D1790" t="s">
        <v>5412</v>
      </c>
      <c r="F1790" t="s">
        <v>5413</v>
      </c>
      <c r="J1790" s="17" t="s">
        <v>5414</v>
      </c>
      <c r="K1790" s="18" t="s">
        <v>5415</v>
      </c>
      <c r="N1790" s="17" t="s">
        <v>77</v>
      </c>
      <c r="O1790" t="s">
        <v>261</v>
      </c>
      <c r="U1790" s="17"/>
      <c r="V1790" s="18" t="s">
        <v>5415</v>
      </c>
      <c r="W1790" t="s">
        <v>3140</v>
      </c>
      <c r="Y1790" t="s">
        <v>3140</v>
      </c>
      <c r="AA1790" t="s">
        <v>115</v>
      </c>
      <c r="AB1790" t="s">
        <v>3140</v>
      </c>
    </row>
    <row r="1791" ht="15" customHeight="1" spans="1:23" x14ac:dyDescent="0.25">
      <c r="A1791" s="17" t="s">
        <v>5416</v>
      </c>
      <c r="B1791" s="17" t="s">
        <v>70</v>
      </c>
      <c r="C1791" s="17" t="s">
        <v>71</v>
      </c>
      <c r="D1791" t="s">
        <v>5417</v>
      </c>
      <c r="F1791" t="s">
        <v>5418</v>
      </c>
      <c r="K1791" s="18">
        <f>61401503012</f>
        <v>61401503012</v>
      </c>
      <c r="N1791" s="17" t="s">
        <v>77</v>
      </c>
      <c r="U1791" s="17"/>
      <c r="V1791" s="18">
        <f>61401503012</f>
        <v>61401503012</v>
      </c>
      <c r="W1791" t="s">
        <v>5419</v>
      </c>
    </row>
    <row r="1792" ht="15" customHeight="1" spans="1:22" x14ac:dyDescent="0.25">
      <c r="A1792" s="17" t="s">
        <v>5420</v>
      </c>
      <c r="B1792" s="17" t="s">
        <v>70</v>
      </c>
      <c r="C1792" s="17" t="s">
        <v>71</v>
      </c>
      <c r="D1792" t="s">
        <v>5421</v>
      </c>
      <c r="F1792" t="s">
        <v>370</v>
      </c>
      <c r="K1792" s="18">
        <f>628119232924</f>
        <v>628119232924</v>
      </c>
      <c r="N1792" s="17" t="s">
        <v>77</v>
      </c>
      <c r="V1792" s="18">
        <f>628119232924</f>
        <v>628119232924</v>
      </c>
    </row>
    <row r="1793" ht="15" customHeight="1" spans="1:28" x14ac:dyDescent="0.25">
      <c r="A1793" s="17" t="s">
        <v>5422</v>
      </c>
      <c r="B1793" s="17" t="s">
        <v>70</v>
      </c>
      <c r="C1793" s="17" t="s">
        <v>71</v>
      </c>
      <c r="D1793" t="s">
        <v>5423</v>
      </c>
      <c r="F1793" t="s">
        <v>5424</v>
      </c>
      <c r="J1793" s="17" t="s">
        <v>5425</v>
      </c>
      <c r="K1793" s="18" t="s">
        <v>5426</v>
      </c>
      <c r="N1793" s="17" t="s">
        <v>77</v>
      </c>
      <c r="O1793" t="s">
        <v>199</v>
      </c>
      <c r="U1793" s="17"/>
      <c r="V1793" s="18" t="s">
        <v>5426</v>
      </c>
      <c r="W1793" t="s">
        <v>5427</v>
      </c>
      <c r="Y1793" t="s">
        <v>5427</v>
      </c>
      <c r="AA1793" t="s">
        <v>115</v>
      </c>
      <c r="AB1793" t="s">
        <v>119</v>
      </c>
    </row>
    <row r="1794" ht="15" customHeight="1" spans="1:28" x14ac:dyDescent="0.25">
      <c r="A1794" s="17" t="s">
        <v>5428</v>
      </c>
      <c r="B1794" s="17" t="s">
        <v>70</v>
      </c>
      <c r="C1794" s="17" t="s">
        <v>71</v>
      </c>
      <c r="D1794" t="s">
        <v>5429</v>
      </c>
      <c r="F1794" t="s">
        <v>5430</v>
      </c>
      <c r="J1794" s="17" t="s">
        <v>5431</v>
      </c>
      <c r="K1794" s="18" t="s">
        <v>5432</v>
      </c>
      <c r="N1794" s="17" t="s">
        <v>77</v>
      </c>
      <c r="O1794" t="s">
        <v>117</v>
      </c>
      <c r="V1794" s="18" t="s">
        <v>5432</v>
      </c>
      <c r="Y1794" t="s">
        <v>115</v>
      </c>
      <c r="AA1794" t="s">
        <v>115</v>
      </c>
      <c r="AB1794" t="s">
        <v>2605</v>
      </c>
    </row>
    <row r="1795" ht="15" customHeight="1" spans="1:22" x14ac:dyDescent="0.25">
      <c r="A1795" s="17" t="s">
        <v>5433</v>
      </c>
      <c r="B1795" s="17" t="s">
        <v>70</v>
      </c>
      <c r="C1795" s="17" t="s">
        <v>71</v>
      </c>
      <c r="D1795" t="s">
        <v>4613</v>
      </c>
      <c r="F1795" t="s">
        <v>4607</v>
      </c>
      <c r="K1795" s="18">
        <f>62811994562</f>
        <v>62811994562</v>
      </c>
      <c r="N1795" s="17" t="s">
        <v>81</v>
      </c>
      <c r="V1795" s="18">
        <f>62811994562</f>
        <v>62811994562</v>
      </c>
    </row>
    <row r="1796" ht="15" customHeight="1" spans="1:23" x14ac:dyDescent="0.25">
      <c r="A1796" s="17" t="s">
        <v>5434</v>
      </c>
      <c r="B1796" s="17" t="s">
        <v>70</v>
      </c>
      <c r="C1796" s="17" t="s">
        <v>71</v>
      </c>
      <c r="D1796" t="s">
        <v>5435</v>
      </c>
      <c r="F1796" t="s">
        <v>5436</v>
      </c>
      <c r="K1796" s="18">
        <f>639175876277</f>
        <v>639175876277</v>
      </c>
      <c r="N1796" s="17" t="s">
        <v>77</v>
      </c>
      <c r="U1796" s="17"/>
      <c r="V1796" s="18">
        <f>639175876277</f>
        <v>639175876277</v>
      </c>
      <c r="W1796" t="s">
        <v>5437</v>
      </c>
    </row>
    <row r="1797" ht="15" customHeight="1" spans="1:22" x14ac:dyDescent="0.25">
      <c r="A1797" s="17" t="s">
        <v>5438</v>
      </c>
      <c r="B1797" s="17" t="s">
        <v>70</v>
      </c>
      <c r="C1797" s="17" t="s">
        <v>71</v>
      </c>
      <c r="D1797" t="s">
        <v>5439</v>
      </c>
      <c r="F1797" t="s">
        <v>5440</v>
      </c>
      <c r="K1797" s="18">
        <f>6281319907752</f>
        <v>6281319907752</v>
      </c>
      <c r="N1797" s="17" t="s">
        <v>74</v>
      </c>
      <c r="V1797" s="18">
        <f>6281319907752</f>
        <v>6281319907752</v>
      </c>
    </row>
    <row r="1798" ht="15" customHeight="1" spans="1:28" x14ac:dyDescent="0.25">
      <c r="A1798" s="17" t="s">
        <v>5441</v>
      </c>
      <c r="B1798" s="17" t="s">
        <v>70</v>
      </c>
      <c r="C1798" s="17" t="s">
        <v>71</v>
      </c>
      <c r="D1798" t="s">
        <v>5442</v>
      </c>
      <c r="F1798" t="s">
        <v>5443</v>
      </c>
      <c r="J1798" s="17" t="s">
        <v>5444</v>
      </c>
      <c r="K1798" s="18" t="s">
        <v>5445</v>
      </c>
      <c r="N1798" s="17" t="s">
        <v>77</v>
      </c>
      <c r="O1798" t="s">
        <v>117</v>
      </c>
      <c r="U1798" s="17"/>
      <c r="V1798" s="18" t="s">
        <v>5445</v>
      </c>
      <c r="W1798" t="s">
        <v>251</v>
      </c>
      <c r="Y1798" t="s">
        <v>251</v>
      </c>
      <c r="AA1798" t="s">
        <v>115</v>
      </c>
      <c r="AB1798" t="s">
        <v>251</v>
      </c>
    </row>
    <row r="1799" ht="15" customHeight="1" spans="1:28" x14ac:dyDescent="0.25">
      <c r="A1799" s="17" t="s">
        <v>5446</v>
      </c>
      <c r="B1799" s="17" t="s">
        <v>70</v>
      </c>
      <c r="C1799" s="17" t="s">
        <v>71</v>
      </c>
      <c r="D1799" t="s">
        <v>5447</v>
      </c>
      <c r="F1799" t="s">
        <v>5448</v>
      </c>
      <c r="J1799" s="17" t="s">
        <v>5449</v>
      </c>
      <c r="K1799" s="18" t="s">
        <v>5450</v>
      </c>
      <c r="N1799" s="17" t="s">
        <v>77</v>
      </c>
      <c r="O1799" t="s">
        <v>261</v>
      </c>
      <c r="U1799" s="17"/>
      <c r="V1799" s="18" t="s">
        <v>5450</v>
      </c>
      <c r="W1799" t="s">
        <v>5451</v>
      </c>
      <c r="Y1799" t="s">
        <v>5451</v>
      </c>
      <c r="AA1799" t="s">
        <v>115</v>
      </c>
      <c r="AB1799" t="s">
        <v>119</v>
      </c>
    </row>
    <row r="1800" ht="15" customHeight="1" spans="1:22" x14ac:dyDescent="0.25">
      <c r="A1800" s="17" t="s">
        <v>5452</v>
      </c>
      <c r="B1800" s="17" t="s">
        <v>70</v>
      </c>
      <c r="C1800" s="17" t="s">
        <v>71</v>
      </c>
      <c r="D1800" t="s">
        <v>2293</v>
      </c>
      <c r="F1800" t="s">
        <v>2293</v>
      </c>
      <c r="K1800" s="18">
        <f>62818741667</f>
        <v>62818741667</v>
      </c>
      <c r="N1800" s="17" t="s">
        <v>77</v>
      </c>
      <c r="V1800" s="18">
        <f>62818741667</f>
        <v>62818741667</v>
      </c>
    </row>
    <row r="1801" ht="15" customHeight="1" spans="1:22" x14ac:dyDescent="0.25">
      <c r="A1801" s="17" t="s">
        <v>5453</v>
      </c>
      <c r="B1801" s="17" t="s">
        <v>70</v>
      </c>
      <c r="C1801" s="17" t="s">
        <v>71</v>
      </c>
      <c r="D1801" t="s">
        <v>2293</v>
      </c>
      <c r="F1801" t="s">
        <v>2293</v>
      </c>
      <c r="K1801" s="18">
        <f>6281334347777</f>
        <v>6281334347777</v>
      </c>
      <c r="N1801" s="17" t="s">
        <v>77</v>
      </c>
      <c r="V1801" s="18">
        <f>6281334347777</f>
        <v>6281334347777</v>
      </c>
    </row>
    <row r="1802" ht="15" customHeight="1" spans="1:22" x14ac:dyDescent="0.25">
      <c r="A1802" s="17" t="s">
        <v>5454</v>
      </c>
      <c r="B1802" s="17" t="s">
        <v>70</v>
      </c>
      <c r="C1802" s="17" t="s">
        <v>71</v>
      </c>
      <c r="D1802" t="s">
        <v>2293</v>
      </c>
      <c r="F1802" t="s">
        <v>5455</v>
      </c>
      <c r="K1802" s="18">
        <f>628158006353</f>
        <v>628158006353</v>
      </c>
      <c r="N1802" s="17" t="s">
        <v>74</v>
      </c>
      <c r="V1802" s="18">
        <f>628158006353</f>
        <v>628158006353</v>
      </c>
    </row>
    <row r="1803" ht="15" customHeight="1" spans="1:22" x14ac:dyDescent="0.25">
      <c r="A1803" s="17" t="s">
        <v>5456</v>
      </c>
      <c r="B1803" s="17" t="s">
        <v>70</v>
      </c>
      <c r="C1803" s="17" t="s">
        <v>71</v>
      </c>
      <c r="D1803" t="s">
        <v>2293</v>
      </c>
      <c r="F1803" t="s">
        <v>5457</v>
      </c>
      <c r="K1803" s="18">
        <f>6281681877</f>
        <v>6281681877</v>
      </c>
      <c r="N1803" s="17" t="s">
        <v>81</v>
      </c>
      <c r="V1803" s="18">
        <f>6281681877</f>
        <v>6281681877</v>
      </c>
    </row>
    <row r="1804" ht="15" customHeight="1" spans="1:25" x14ac:dyDescent="0.25">
      <c r="A1804" s="17" t="s">
        <v>5458</v>
      </c>
      <c r="B1804" s="17" t="s">
        <v>70</v>
      </c>
      <c r="C1804" s="17" t="s">
        <v>71</v>
      </c>
      <c r="D1804" t="s">
        <v>2293</v>
      </c>
      <c r="F1804" t="s">
        <v>5459</v>
      </c>
      <c r="K1804" s="18">
        <f>62217395034</f>
        <v>62217395034</v>
      </c>
      <c r="N1804" s="17" t="s">
        <v>81</v>
      </c>
      <c r="U1804" s="17"/>
      <c r="V1804" s="18">
        <f>62217395034</f>
        <v>62217395034</v>
      </c>
      <c r="W1804" t="s">
        <v>5460</v>
      </c>
      <c r="Y1804" s="17" t="s">
        <v>96</v>
      </c>
    </row>
    <row r="1805" ht="15" customHeight="1" spans="1:28" x14ac:dyDescent="0.25">
      <c r="A1805" s="17" t="s">
        <v>5461</v>
      </c>
      <c r="B1805" s="17" t="s">
        <v>70</v>
      </c>
      <c r="C1805" s="17" t="s">
        <v>71</v>
      </c>
      <c r="D1805" t="s">
        <v>2293</v>
      </c>
      <c r="F1805" t="s">
        <v>5462</v>
      </c>
      <c r="J1805" t="s">
        <v>5463</v>
      </c>
      <c r="K1805" s="18" t="s">
        <v>5464</v>
      </c>
      <c r="N1805" s="17" t="s">
        <v>81</v>
      </c>
      <c r="O1805" t="s">
        <v>199</v>
      </c>
      <c r="U1805" s="17"/>
      <c r="V1805" s="18" t="s">
        <v>5464</v>
      </c>
      <c r="W1805" t="s">
        <v>5465</v>
      </c>
      <c r="Y1805" t="s">
        <v>515</v>
      </c>
      <c r="AA1805" t="s">
        <v>1614</v>
      </c>
      <c r="AB1805" t="s">
        <v>119</v>
      </c>
    </row>
    <row r="1806" ht="15" customHeight="1" spans="1:22" x14ac:dyDescent="0.25">
      <c r="A1806" s="17" t="s">
        <v>5466</v>
      </c>
      <c r="B1806" s="17" t="s">
        <v>70</v>
      </c>
      <c r="C1806" s="17" t="s">
        <v>71</v>
      </c>
      <c r="D1806" t="s">
        <v>2293</v>
      </c>
      <c r="F1806" t="s">
        <v>1356</v>
      </c>
      <c r="K1806" s="18">
        <f>62811958099</f>
        <v>62811958099</v>
      </c>
      <c r="N1806" s="17" t="s">
        <v>74</v>
      </c>
      <c r="V1806" s="18">
        <f>62811958099</f>
        <v>62811958099</v>
      </c>
    </row>
    <row r="1807" ht="15" customHeight="1" spans="1:22" x14ac:dyDescent="0.25">
      <c r="A1807" s="17" t="s">
        <v>5467</v>
      </c>
      <c r="B1807" s="17" t="s">
        <v>70</v>
      </c>
      <c r="C1807" s="17" t="s">
        <v>71</v>
      </c>
      <c r="D1807" t="s">
        <v>2293</v>
      </c>
      <c r="F1807" t="s">
        <v>5468</v>
      </c>
      <c r="K1807" s="18">
        <f>6281380668881</f>
        <v>6281380668881</v>
      </c>
      <c r="N1807" s="17" t="s">
        <v>81</v>
      </c>
      <c r="V1807" s="18">
        <f>6281380668881</f>
        <v>6281380668881</v>
      </c>
    </row>
    <row r="1808" ht="15" customHeight="1" spans="1:23" x14ac:dyDescent="0.25">
      <c r="A1808" s="17" t="s">
        <v>5469</v>
      </c>
      <c r="B1808" s="17" t="s">
        <v>70</v>
      </c>
      <c r="C1808" s="17" t="s">
        <v>71</v>
      </c>
      <c r="D1808" t="s">
        <v>2293</v>
      </c>
      <c r="F1808" t="s">
        <v>5470</v>
      </c>
      <c r="K1808" s="18">
        <f>6281111862216</f>
        <v>6281111862216</v>
      </c>
      <c r="N1808" s="17" t="s">
        <v>81</v>
      </c>
      <c r="U1808" s="17"/>
      <c r="V1808" s="18">
        <f>6281111862216</f>
        <v>6281111862216</v>
      </c>
      <c r="W1808" t="s">
        <v>5471</v>
      </c>
    </row>
    <row r="1809" ht="15" customHeight="1" spans="1:28" x14ac:dyDescent="0.25">
      <c r="A1809" s="17" t="s">
        <v>5472</v>
      </c>
      <c r="B1809" s="17" t="s">
        <v>70</v>
      </c>
      <c r="C1809" s="17" t="s">
        <v>71</v>
      </c>
      <c r="D1809" t="s">
        <v>2293</v>
      </c>
      <c r="F1809" t="s">
        <v>618</v>
      </c>
      <c r="J1809" s="17" t="s">
        <v>5473</v>
      </c>
      <c r="K1809" s="18" t="s">
        <v>5474</v>
      </c>
      <c r="N1809" s="17" t="s">
        <v>77</v>
      </c>
      <c r="O1809" t="s">
        <v>145</v>
      </c>
      <c r="V1809" s="18" t="s">
        <v>5474</v>
      </c>
      <c r="Y1809" t="s">
        <v>90</v>
      </c>
      <c r="AA1809" t="s">
        <v>118</v>
      </c>
      <c r="AB1809" t="s">
        <v>119</v>
      </c>
    </row>
    <row r="1810" ht="15" customHeight="1" spans="1:27" x14ac:dyDescent="0.25">
      <c r="A1810" s="17" t="s">
        <v>5475</v>
      </c>
      <c r="B1810" s="17" t="s">
        <v>70</v>
      </c>
      <c r="C1810" s="17" t="s">
        <v>71</v>
      </c>
      <c r="D1810" t="s">
        <v>2293</v>
      </c>
      <c r="F1810" t="s">
        <v>5476</v>
      </c>
      <c r="K1810" s="18">
        <f>628121028331</f>
        <v>628121028331</v>
      </c>
      <c r="N1810" s="17" t="s">
        <v>74</v>
      </c>
      <c r="U1810" s="17"/>
      <c r="V1810" s="18">
        <f>628121028331</f>
        <v>628121028331</v>
      </c>
      <c r="W1810" t="s">
        <v>5477</v>
      </c>
      <c r="Y1810" s="17" t="s">
        <v>626</v>
      </c>
      <c r="AA1810" s="17" t="s">
        <v>5478</v>
      </c>
    </row>
    <row r="1811" ht="15" customHeight="1" spans="1:22" x14ac:dyDescent="0.25">
      <c r="A1811" s="17" t="s">
        <v>5479</v>
      </c>
      <c r="B1811" s="17" t="s">
        <v>70</v>
      </c>
      <c r="C1811" s="17" t="s">
        <v>71</v>
      </c>
      <c r="D1811" t="s">
        <v>2293</v>
      </c>
      <c r="F1811" t="s">
        <v>5480</v>
      </c>
      <c r="K1811" s="18">
        <f>62817149674</f>
        <v>62817149674</v>
      </c>
      <c r="N1811" s="17" t="s">
        <v>77</v>
      </c>
      <c r="V1811" s="18">
        <f>62817149674</f>
        <v>62817149674</v>
      </c>
    </row>
    <row r="1812" ht="15" customHeight="1" spans="1:22" x14ac:dyDescent="0.25">
      <c r="A1812" s="17" t="s">
        <v>5481</v>
      </c>
      <c r="B1812" s="17" t="s">
        <v>70</v>
      </c>
      <c r="C1812" s="17" t="s">
        <v>71</v>
      </c>
      <c r="D1812" t="s">
        <v>2293</v>
      </c>
      <c r="F1812" t="s">
        <v>5482</v>
      </c>
      <c r="K1812" s="18">
        <f>6281288668919</f>
        <v>6281288668919</v>
      </c>
      <c r="N1812" s="17" t="s">
        <v>77</v>
      </c>
      <c r="V1812" s="18">
        <f>6281288668919</f>
        <v>6281288668919</v>
      </c>
    </row>
    <row r="1813" ht="15" customHeight="1" spans="1:25" x14ac:dyDescent="0.25">
      <c r="A1813" s="17" t="s">
        <v>5483</v>
      </c>
      <c r="B1813" s="17" t="s">
        <v>70</v>
      </c>
      <c r="C1813" s="17" t="s">
        <v>71</v>
      </c>
      <c r="D1813" t="s">
        <v>2293</v>
      </c>
      <c r="F1813" t="s">
        <v>2730</v>
      </c>
      <c r="K1813" s="18">
        <f>6282298991960</f>
        <v>6282298991960</v>
      </c>
      <c r="N1813" s="17" t="s">
        <v>77</v>
      </c>
      <c r="V1813" s="18">
        <f>6282298991960</f>
        <v>6282298991960</v>
      </c>
      <c r="Y1813" s="17" t="s">
        <v>515</v>
      </c>
    </row>
    <row r="1814" ht="15" customHeight="1" spans="1:25" x14ac:dyDescent="0.25">
      <c r="A1814" s="17" t="s">
        <v>5484</v>
      </c>
      <c r="B1814" s="17" t="s">
        <v>70</v>
      </c>
      <c r="C1814" s="17" t="s">
        <v>71</v>
      </c>
      <c r="D1814" t="s">
        <v>2293</v>
      </c>
      <c r="F1814" t="s">
        <v>1834</v>
      </c>
      <c r="K1814" s="18">
        <f>622171792745</f>
        <v>622171792745</v>
      </c>
      <c r="N1814" s="17" t="s">
        <v>77</v>
      </c>
      <c r="U1814" s="17"/>
      <c r="V1814" s="18">
        <f>622171792745</f>
        <v>622171792745</v>
      </c>
      <c r="W1814" t="s">
        <v>5485</v>
      </c>
      <c r="Y1814" s="17" t="s">
        <v>90</v>
      </c>
    </row>
    <row r="1815" ht="15" customHeight="1" spans="1:22" x14ac:dyDescent="0.25">
      <c r="A1815" s="17" t="s">
        <v>5486</v>
      </c>
      <c r="B1815" s="17" t="s">
        <v>70</v>
      </c>
      <c r="C1815" s="17" t="s">
        <v>71</v>
      </c>
      <c r="D1815" t="s">
        <v>2293</v>
      </c>
      <c r="F1815" t="s">
        <v>2280</v>
      </c>
      <c r="K1815" s="18">
        <f>6281282788420</f>
        <v>6281282788420</v>
      </c>
      <c r="N1815" s="17" t="s">
        <v>77</v>
      </c>
      <c r="V1815" s="18">
        <f>6281282788420</f>
        <v>6281282788420</v>
      </c>
    </row>
    <row r="1816" ht="15" customHeight="1" spans="1:22" x14ac:dyDescent="0.25">
      <c r="A1816" s="17" t="s">
        <v>5487</v>
      </c>
      <c r="B1816" s="17" t="s">
        <v>70</v>
      </c>
      <c r="C1816" s="17" t="s">
        <v>71</v>
      </c>
      <c r="D1816" t="s">
        <v>2293</v>
      </c>
      <c r="F1816" t="s">
        <v>301</v>
      </c>
      <c r="K1816" s="18">
        <f>6281586055225</f>
        <v>6281586055225</v>
      </c>
      <c r="N1816" s="17" t="s">
        <v>81</v>
      </c>
      <c r="V1816" s="18">
        <f>6281586055225</f>
        <v>6281586055225</v>
      </c>
    </row>
    <row r="1817" ht="15" customHeight="1" spans="1:28" x14ac:dyDescent="0.25">
      <c r="A1817" s="17" t="s">
        <v>5488</v>
      </c>
      <c r="B1817" s="17" t="s">
        <v>70</v>
      </c>
      <c r="C1817" s="17" t="s">
        <v>71</v>
      </c>
      <c r="D1817" t="s">
        <v>5489</v>
      </c>
      <c r="F1817" t="s">
        <v>5490</v>
      </c>
      <c r="J1817" s="17" t="s">
        <v>5491</v>
      </c>
      <c r="K1817" s="18" t="s">
        <v>5492</v>
      </c>
      <c r="N1817" s="17" t="s">
        <v>77</v>
      </c>
      <c r="O1817" t="s">
        <v>145</v>
      </c>
      <c r="V1817" s="18" t="s">
        <v>5492</v>
      </c>
      <c r="Y1817" t="s">
        <v>5493</v>
      </c>
      <c r="AA1817" t="s">
        <v>115</v>
      </c>
      <c r="AB1817" t="s">
        <v>119</v>
      </c>
    </row>
    <row r="1818" ht="15" customHeight="1" spans="1:22" x14ac:dyDescent="0.25">
      <c r="A1818" s="17" t="s">
        <v>5494</v>
      </c>
      <c r="B1818" s="17" t="s">
        <v>70</v>
      </c>
      <c r="C1818" s="17" t="s">
        <v>71</v>
      </c>
      <c r="D1818" t="s">
        <v>5495</v>
      </c>
      <c r="F1818" t="s">
        <v>4378</v>
      </c>
      <c r="K1818" s="18">
        <f>62811786924</f>
        <v>62811786924</v>
      </c>
      <c r="N1818" s="17" t="s">
        <v>77</v>
      </c>
      <c r="V1818" s="18">
        <f>62811786924</f>
        <v>62811786924</v>
      </c>
    </row>
    <row r="1819" ht="15" customHeight="1" spans="1:22" x14ac:dyDescent="0.25">
      <c r="A1819" s="17" t="s">
        <v>5496</v>
      </c>
      <c r="B1819" s="17" t="s">
        <v>70</v>
      </c>
      <c r="C1819" s="17" t="s">
        <v>71</v>
      </c>
      <c r="D1819" t="s">
        <v>5497</v>
      </c>
      <c r="F1819" t="s">
        <v>5498</v>
      </c>
      <c r="K1819" s="18">
        <f>6281380943843</f>
        <v>6281380943843</v>
      </c>
      <c r="N1819" s="17" t="s">
        <v>77</v>
      </c>
      <c r="V1819" s="18">
        <f>6281380943843</f>
        <v>6281380943843</v>
      </c>
    </row>
    <row r="1820" ht="15" customHeight="1" spans="1:22" x14ac:dyDescent="0.25">
      <c r="A1820" s="17" t="s">
        <v>5499</v>
      </c>
      <c r="B1820" s="17" t="s">
        <v>70</v>
      </c>
      <c r="C1820" s="17" t="s">
        <v>71</v>
      </c>
      <c r="D1820" t="s">
        <v>5500</v>
      </c>
      <c r="F1820" t="s">
        <v>5500</v>
      </c>
      <c r="K1820" s="18">
        <f>6281283295899</f>
        <v>6281283295899</v>
      </c>
      <c r="N1820" s="17" t="s">
        <v>81</v>
      </c>
      <c r="V1820" s="18">
        <f>6281283295899</f>
        <v>6281283295899</v>
      </c>
    </row>
    <row r="1821" ht="15" customHeight="1" spans="1:27" x14ac:dyDescent="0.25">
      <c r="A1821" s="17" t="s">
        <v>5501</v>
      </c>
      <c r="B1821" s="17" t="s">
        <v>70</v>
      </c>
      <c r="C1821" s="17" t="s">
        <v>71</v>
      </c>
      <c r="D1821" t="s">
        <v>5500</v>
      </c>
      <c r="F1821" t="s">
        <v>5502</v>
      </c>
      <c r="K1821" s="18">
        <f>628179969985</f>
        <v>628179969985</v>
      </c>
      <c r="N1821" s="17" t="s">
        <v>77</v>
      </c>
      <c r="U1821" s="17"/>
      <c r="V1821" s="18">
        <f>628179969985</f>
        <v>628179969985</v>
      </c>
      <c r="W1821" t="s">
        <v>5503</v>
      </c>
      <c r="Y1821" s="17" t="s">
        <v>378</v>
      </c>
      <c r="AA1821" s="17" t="s">
        <v>5504</v>
      </c>
    </row>
    <row r="1822" ht="15" customHeight="1" spans="1:28" x14ac:dyDescent="0.25">
      <c r="A1822" s="17" t="s">
        <v>5505</v>
      </c>
      <c r="B1822" s="17" t="s">
        <v>70</v>
      </c>
      <c r="C1822" s="17" t="s">
        <v>71</v>
      </c>
      <c r="D1822" t="s">
        <v>5500</v>
      </c>
      <c r="F1822" t="s">
        <v>5506</v>
      </c>
      <c r="J1822" s="17" t="s">
        <v>5507</v>
      </c>
      <c r="K1822" s="18" t="s">
        <v>5508</v>
      </c>
      <c r="N1822" s="17" t="s">
        <v>77</v>
      </c>
      <c r="O1822" t="s">
        <v>117</v>
      </c>
      <c r="V1822" s="18" t="s">
        <v>5508</v>
      </c>
      <c r="Y1822" s="17" t="s">
        <v>3140</v>
      </c>
      <c r="AA1822" t="s">
        <v>115</v>
      </c>
      <c r="AB1822" t="s">
        <v>3140</v>
      </c>
    </row>
    <row r="1823" ht="15" customHeight="1" spans="1:22" x14ac:dyDescent="0.25">
      <c r="A1823" s="17" t="s">
        <v>5509</v>
      </c>
      <c r="B1823" s="17" t="s">
        <v>70</v>
      </c>
      <c r="C1823" s="17" t="s">
        <v>71</v>
      </c>
      <c r="D1823" t="s">
        <v>5510</v>
      </c>
      <c r="F1823" t="s">
        <v>5511</v>
      </c>
      <c r="K1823" s="18">
        <f>62812226421244</f>
        <v>62812226421244</v>
      </c>
      <c r="N1823" s="17" t="s">
        <v>81</v>
      </c>
      <c r="V1823" s="18">
        <f>62812226421244</f>
        <v>62812226421244</v>
      </c>
    </row>
    <row r="1824" ht="15" customHeight="1" spans="1:22" x14ac:dyDescent="0.25">
      <c r="A1824" s="17" t="s">
        <v>5512</v>
      </c>
      <c r="B1824" s="17" t="s">
        <v>70</v>
      </c>
      <c r="C1824" s="17" t="s">
        <v>71</v>
      </c>
      <c r="D1824" t="s">
        <v>5510</v>
      </c>
      <c r="F1824" t="s">
        <v>5513</v>
      </c>
      <c r="K1824" s="18">
        <f>6281226421244</f>
        <v>6281226421244</v>
      </c>
      <c r="N1824" s="17" t="s">
        <v>81</v>
      </c>
      <c r="V1824" s="18">
        <f>6281226421244</f>
        <v>6281226421244</v>
      </c>
    </row>
    <row r="1825" ht="15" customHeight="1" spans="1:22" x14ac:dyDescent="0.25">
      <c r="A1825" s="17" t="s">
        <v>5514</v>
      </c>
      <c r="B1825" s="17" t="s">
        <v>70</v>
      </c>
      <c r="C1825" s="17" t="s">
        <v>71</v>
      </c>
      <c r="D1825" t="s">
        <v>5515</v>
      </c>
      <c r="F1825" t="s">
        <v>5516</v>
      </c>
      <c r="K1825" s="18">
        <f>62818852888</f>
        <v>62818852888</v>
      </c>
      <c r="N1825" s="17" t="s">
        <v>81</v>
      </c>
      <c r="V1825" s="18">
        <f>62818852888</f>
        <v>62818852888</v>
      </c>
    </row>
    <row r="1826" ht="15" customHeight="1" spans="1:22" x14ac:dyDescent="0.25">
      <c r="A1826" s="17" t="s">
        <v>5517</v>
      </c>
      <c r="B1826" s="17" t="s">
        <v>70</v>
      </c>
      <c r="C1826" s="17" t="s">
        <v>71</v>
      </c>
      <c r="D1826" t="s">
        <v>5515</v>
      </c>
      <c r="F1826" t="s">
        <v>5518</v>
      </c>
      <c r="K1826" s="18">
        <f>6281514929000</f>
        <v>6281514929000</v>
      </c>
      <c r="N1826" s="17" t="s">
        <v>81</v>
      </c>
      <c r="V1826" s="18">
        <f>6281514929000</f>
        <v>6281514929000</v>
      </c>
    </row>
    <row r="1827" ht="15" customHeight="1" spans="1:22" x14ac:dyDescent="0.25">
      <c r="A1827" s="17" t="s">
        <v>5519</v>
      </c>
      <c r="B1827" s="17" t="s">
        <v>70</v>
      </c>
      <c r="C1827" s="17" t="s">
        <v>71</v>
      </c>
      <c r="D1827" t="s">
        <v>5515</v>
      </c>
      <c r="F1827" t="s">
        <v>5520</v>
      </c>
      <c r="K1827" s="18">
        <f>628122036576</f>
        <v>628122036576</v>
      </c>
      <c r="N1827" s="17" t="s">
        <v>77</v>
      </c>
      <c r="V1827" s="18">
        <f>628122036576</f>
        <v>628122036576</v>
      </c>
    </row>
    <row r="1828" ht="15" customHeight="1" spans="1:22" x14ac:dyDescent="0.25">
      <c r="A1828" s="17" t="s">
        <v>5521</v>
      </c>
      <c r="B1828" s="17" t="s">
        <v>70</v>
      </c>
      <c r="C1828" s="17" t="s">
        <v>71</v>
      </c>
      <c r="D1828" t="s">
        <v>5522</v>
      </c>
      <c r="F1828" t="s">
        <v>5522</v>
      </c>
      <c r="K1828" s="18">
        <f>628551004227</f>
        <v>628551004227</v>
      </c>
      <c r="N1828" s="17" t="s">
        <v>77</v>
      </c>
      <c r="V1828" s="18">
        <f>628551004227</f>
        <v>628551004227</v>
      </c>
    </row>
    <row r="1829" ht="15" customHeight="1" spans="1:27" x14ac:dyDescent="0.25">
      <c r="A1829" s="17" t="s">
        <v>5523</v>
      </c>
      <c r="B1829" s="17" t="s">
        <v>70</v>
      </c>
      <c r="C1829" s="17" t="s">
        <v>71</v>
      </c>
      <c r="D1829" t="s">
        <v>5522</v>
      </c>
      <c r="F1829" t="s">
        <v>1589</v>
      </c>
      <c r="K1829" s="18">
        <f>6281328666444</f>
        <v>6281328666444</v>
      </c>
      <c r="N1829" s="17" t="s">
        <v>81</v>
      </c>
      <c r="U1829" s="17"/>
      <c r="V1829" s="18">
        <f>6281328666444</f>
        <v>6281328666444</v>
      </c>
      <c r="W1829" t="s">
        <v>5524</v>
      </c>
      <c r="AA1829" s="17">
        <v>70113</v>
      </c>
    </row>
    <row r="1830" ht="15" customHeight="1" spans="1:23" x14ac:dyDescent="0.25">
      <c r="A1830" s="17" t="s">
        <v>5525</v>
      </c>
      <c r="B1830" s="17" t="s">
        <v>70</v>
      </c>
      <c r="C1830" s="17" t="s">
        <v>71</v>
      </c>
      <c r="D1830" t="s">
        <v>5526</v>
      </c>
      <c r="F1830" t="s">
        <v>5527</v>
      </c>
      <c r="K1830" s="18">
        <f>37069916011</f>
        <v>37069916011</v>
      </c>
      <c r="N1830" s="17" t="s">
        <v>77</v>
      </c>
      <c r="U1830" s="17"/>
      <c r="V1830" s="18">
        <f>37069916011</f>
        <v>37069916011</v>
      </c>
      <c r="W1830" t="s">
        <v>5528</v>
      </c>
    </row>
    <row r="1831" ht="15" customHeight="1" spans="1:28" x14ac:dyDescent="0.25">
      <c r="A1831" s="17" t="s">
        <v>5529</v>
      </c>
      <c r="B1831" s="17" t="s">
        <v>70</v>
      </c>
      <c r="C1831" s="17" t="s">
        <v>71</v>
      </c>
      <c r="D1831" t="s">
        <v>5530</v>
      </c>
      <c r="F1831" t="s">
        <v>5531</v>
      </c>
      <c r="J1831" t="s">
        <v>115</v>
      </c>
      <c r="K1831" s="18" t="s">
        <v>5532</v>
      </c>
      <c r="N1831" s="17" t="s">
        <v>77</v>
      </c>
      <c r="O1831" t="s">
        <v>199</v>
      </c>
      <c r="U1831" s="17"/>
      <c r="V1831" s="18" t="s">
        <v>5532</v>
      </c>
      <c r="W1831" t="s">
        <v>5533</v>
      </c>
      <c r="Y1831" s="17" t="s">
        <v>515</v>
      </c>
      <c r="AA1831" t="s">
        <v>1614</v>
      </c>
      <c r="AB1831" t="s">
        <v>119</v>
      </c>
    </row>
    <row r="1832" ht="15" customHeight="1" spans="1:22" x14ac:dyDescent="0.25">
      <c r="A1832" s="17" t="s">
        <v>5534</v>
      </c>
      <c r="B1832" s="17" t="s">
        <v>70</v>
      </c>
      <c r="C1832" s="17" t="s">
        <v>71</v>
      </c>
      <c r="D1832" t="s">
        <v>5535</v>
      </c>
      <c r="F1832" t="s">
        <v>5536</v>
      </c>
      <c r="K1832" s="18">
        <f>62818123341</f>
        <v>62818123341</v>
      </c>
      <c r="N1832" s="17" t="s">
        <v>77</v>
      </c>
      <c r="V1832" s="18">
        <f>62818123341</f>
        <v>62818123341</v>
      </c>
    </row>
    <row r="1833" ht="15" customHeight="1" spans="1:28" x14ac:dyDescent="0.25">
      <c r="A1833" s="17" t="s">
        <v>5537</v>
      </c>
      <c r="B1833" s="17" t="s">
        <v>70</v>
      </c>
      <c r="C1833" s="17" t="s">
        <v>71</v>
      </c>
      <c r="D1833" t="s">
        <v>5538</v>
      </c>
      <c r="F1833" t="s">
        <v>5539</v>
      </c>
      <c r="J1833" s="17" t="s">
        <v>5540</v>
      </c>
      <c r="K1833" s="18" t="s">
        <v>5541</v>
      </c>
      <c r="N1833" s="17" t="s">
        <v>77</v>
      </c>
      <c r="O1833" t="s">
        <v>145</v>
      </c>
      <c r="U1833" s="17"/>
      <c r="V1833" s="18" t="s">
        <v>5541</v>
      </c>
      <c r="W1833" t="s">
        <v>5542</v>
      </c>
      <c r="Y1833" t="s">
        <v>115</v>
      </c>
      <c r="AA1833" t="s">
        <v>115</v>
      </c>
      <c r="AB1833" t="s">
        <v>5542</v>
      </c>
    </row>
    <row r="1834" ht="15" customHeight="1" spans="1:23" x14ac:dyDescent="0.25">
      <c r="A1834" s="17" t="s">
        <v>5543</v>
      </c>
      <c r="B1834" s="17" t="s">
        <v>70</v>
      </c>
      <c r="C1834" s="17" t="s">
        <v>71</v>
      </c>
      <c r="D1834" t="s">
        <v>5544</v>
      </c>
      <c r="F1834" t="s">
        <v>5545</v>
      </c>
      <c r="K1834" s="18">
        <f>6287790001789</f>
        <v>6287790001789</v>
      </c>
      <c r="N1834" s="17" t="s">
        <v>81</v>
      </c>
      <c r="U1834" s="17"/>
      <c r="V1834" s="18">
        <f>6287790001789</f>
        <v>6287790001789</v>
      </c>
      <c r="W1834" t="s">
        <v>5546</v>
      </c>
    </row>
    <row r="1835" ht="15" customHeight="1" spans="1:22" x14ac:dyDescent="0.25">
      <c r="A1835" s="17" t="s">
        <v>5547</v>
      </c>
      <c r="B1835" s="17" t="s">
        <v>70</v>
      </c>
      <c r="C1835" s="17" t="s">
        <v>71</v>
      </c>
      <c r="D1835" t="s">
        <v>5548</v>
      </c>
      <c r="F1835" t="s">
        <v>5549</v>
      </c>
      <c r="K1835" s="18">
        <f>62811511366</f>
        <v>62811511366</v>
      </c>
      <c r="N1835" s="17" t="s">
        <v>77</v>
      </c>
      <c r="V1835" s="18">
        <f>62811511366</f>
        <v>62811511366</v>
      </c>
    </row>
    <row r="1836" ht="15" customHeight="1" spans="1:28" x14ac:dyDescent="0.25">
      <c r="A1836" s="17" t="s">
        <v>5550</v>
      </c>
      <c r="B1836" s="17" t="s">
        <v>70</v>
      </c>
      <c r="C1836" s="17" t="s">
        <v>71</v>
      </c>
      <c r="D1836" t="s">
        <v>5551</v>
      </c>
      <c r="F1836" t="s">
        <v>5551</v>
      </c>
      <c r="J1836" t="s">
        <v>115</v>
      </c>
      <c r="K1836" s="18" t="s">
        <v>5552</v>
      </c>
      <c r="N1836" s="17" t="s">
        <v>74</v>
      </c>
      <c r="O1836" t="s">
        <v>261</v>
      </c>
      <c r="U1836" s="17"/>
      <c r="V1836" s="18" t="s">
        <v>5552</v>
      </c>
      <c r="W1836" t="s">
        <v>5553</v>
      </c>
      <c r="Y1836" t="s">
        <v>5554</v>
      </c>
      <c r="AA1836" t="s">
        <v>115</v>
      </c>
      <c r="AB1836" t="s">
        <v>119</v>
      </c>
    </row>
    <row r="1837" ht="15" customHeight="1" spans="1:27" x14ac:dyDescent="0.25">
      <c r="A1837" s="17" t="s">
        <v>5555</v>
      </c>
      <c r="B1837" s="17" t="s">
        <v>70</v>
      </c>
      <c r="C1837" s="17" t="s">
        <v>71</v>
      </c>
      <c r="D1837" t="s">
        <v>5556</v>
      </c>
      <c r="F1837" t="s">
        <v>5557</v>
      </c>
      <c r="J1837" s="17" t="s">
        <v>5558</v>
      </c>
      <c r="K1837" s="18">
        <f>628128908988</f>
        <v>628128908988</v>
      </c>
      <c r="N1837" s="17" t="s">
        <v>77</v>
      </c>
      <c r="U1837" s="17"/>
      <c r="V1837" s="18">
        <f>628128908988</f>
        <v>628128908988</v>
      </c>
      <c r="W1837" t="s">
        <v>5559</v>
      </c>
      <c r="Y1837" s="17" t="s">
        <v>1084</v>
      </c>
      <c r="AA1837" s="17">
        <v>14450</v>
      </c>
    </row>
    <row r="1838" ht="15" customHeight="1" spans="1:23" x14ac:dyDescent="0.25">
      <c r="A1838" s="17" t="s">
        <v>5560</v>
      </c>
      <c r="B1838" s="17" t="s">
        <v>70</v>
      </c>
      <c r="C1838" s="17" t="s">
        <v>71</v>
      </c>
      <c r="D1838" t="s">
        <v>5556</v>
      </c>
      <c r="F1838" t="s">
        <v>5561</v>
      </c>
      <c r="K1838" s="18">
        <f>628111131468</f>
        <v>628111131468</v>
      </c>
      <c r="N1838" s="17" t="s">
        <v>81</v>
      </c>
      <c r="U1838" s="17"/>
      <c r="V1838" s="18">
        <f>628111131468</f>
        <v>628111131468</v>
      </c>
      <c r="W1838" t="s">
        <v>5562</v>
      </c>
    </row>
    <row r="1839" ht="15" customHeight="1" spans="1:27" x14ac:dyDescent="0.25">
      <c r="A1839" s="17" t="s">
        <v>5563</v>
      </c>
      <c r="B1839" s="17" t="s">
        <v>70</v>
      </c>
      <c r="C1839" s="17" t="s">
        <v>71</v>
      </c>
      <c r="D1839" t="s">
        <v>5556</v>
      </c>
      <c r="F1839" t="s">
        <v>5564</v>
      </c>
      <c r="K1839" s="18">
        <v>55965999</v>
      </c>
      <c r="N1839" s="17" t="s">
        <v>77</v>
      </c>
      <c r="U1839" s="17"/>
      <c r="V1839" s="18">
        <v>55965999</v>
      </c>
      <c r="W1839" t="s">
        <v>5565</v>
      </c>
      <c r="Y1839" s="17" t="s">
        <v>1084</v>
      </c>
      <c r="AA1839" s="17" t="s">
        <v>5566</v>
      </c>
    </row>
    <row r="1840" ht="15" customHeight="1" spans="1:23" x14ac:dyDescent="0.25">
      <c r="A1840" s="17" t="s">
        <v>5567</v>
      </c>
      <c r="B1840" s="17" t="s">
        <v>70</v>
      </c>
      <c r="C1840" s="17" t="s">
        <v>71</v>
      </c>
      <c r="D1840" t="s">
        <v>5556</v>
      </c>
      <c r="F1840" t="s">
        <v>5568</v>
      </c>
      <c r="K1840" s="18">
        <f>6287877154857</f>
        <v>6287877154857</v>
      </c>
      <c r="N1840" s="17" t="s">
        <v>77</v>
      </c>
      <c r="U1840" s="17"/>
      <c r="V1840" s="18">
        <f>6287877154857</f>
        <v>6287877154857</v>
      </c>
      <c r="W1840" t="s">
        <v>5569</v>
      </c>
    </row>
    <row r="1841" ht="15" customHeight="1" spans="1:23" x14ac:dyDescent="0.25">
      <c r="A1841" s="17" t="s">
        <v>5570</v>
      </c>
      <c r="B1841" s="17" t="s">
        <v>70</v>
      </c>
      <c r="C1841" s="17" t="s">
        <v>71</v>
      </c>
      <c r="D1841" t="s">
        <v>5571</v>
      </c>
      <c r="F1841" t="s">
        <v>5572</v>
      </c>
      <c r="K1841" s="18">
        <f>9005337474200</f>
        <v>9005337474200</v>
      </c>
      <c r="N1841" s="17" t="s">
        <v>77</v>
      </c>
      <c r="U1841" s="17"/>
      <c r="V1841" s="18">
        <f>9005337474200</f>
        <v>9005337474200</v>
      </c>
      <c r="W1841" t="s">
        <v>1453</v>
      </c>
    </row>
    <row r="1842" ht="15" customHeight="1" spans="1:23" x14ac:dyDescent="0.25">
      <c r="A1842" s="17" t="s">
        <v>5573</v>
      </c>
      <c r="B1842" s="17" t="s">
        <v>70</v>
      </c>
      <c r="C1842" s="17" t="s">
        <v>71</v>
      </c>
      <c r="D1842" t="s">
        <v>5574</v>
      </c>
      <c r="F1842" t="s">
        <v>5575</v>
      </c>
      <c r="K1842" s="18">
        <f>96593333332</f>
        <v>96593333332</v>
      </c>
      <c r="N1842" s="17" t="s">
        <v>77</v>
      </c>
      <c r="U1842" s="17"/>
      <c r="V1842" s="18">
        <f>96593333332</f>
        <v>96593333332</v>
      </c>
      <c r="W1842" t="s">
        <v>262</v>
      </c>
    </row>
    <row r="1843" ht="15" customHeight="1" spans="1:22" x14ac:dyDescent="0.25">
      <c r="A1843" s="17" t="s">
        <v>5576</v>
      </c>
      <c r="B1843" s="17" t="s">
        <v>70</v>
      </c>
      <c r="C1843" s="17" t="s">
        <v>71</v>
      </c>
      <c r="D1843" t="s">
        <v>5577</v>
      </c>
      <c r="F1843" t="s">
        <v>5578</v>
      </c>
      <c r="J1843" s="17" t="s">
        <v>5579</v>
      </c>
      <c r="K1843" s="18">
        <f>62811861098</f>
        <v>62811861098</v>
      </c>
      <c r="N1843" s="17" t="s">
        <v>77</v>
      </c>
      <c r="V1843" s="18">
        <f>62811861098</f>
        <v>62811861098</v>
      </c>
    </row>
    <row r="1844" ht="15" customHeight="1" spans="1:25" x14ac:dyDescent="0.25">
      <c r="A1844" s="17" t="s">
        <v>5580</v>
      </c>
      <c r="B1844" s="17" t="s">
        <v>70</v>
      </c>
      <c r="C1844" s="17" t="s">
        <v>71</v>
      </c>
      <c r="D1844" t="s">
        <v>5581</v>
      </c>
      <c r="F1844" t="s">
        <v>2517</v>
      </c>
      <c r="K1844" s="18">
        <f>6281217135696</f>
        <v>6281217135696</v>
      </c>
      <c r="N1844" s="17" t="s">
        <v>81</v>
      </c>
      <c r="U1844" s="17"/>
      <c r="V1844" s="18">
        <f>6281217135696</f>
        <v>6281217135696</v>
      </c>
      <c r="W1844" t="s">
        <v>5582</v>
      </c>
      <c r="Y1844" s="17" t="s">
        <v>2953</v>
      </c>
    </row>
    <row r="1845" ht="15" customHeight="1" spans="1:22" x14ac:dyDescent="0.25">
      <c r="A1845" s="17" t="s">
        <v>5583</v>
      </c>
      <c r="B1845" s="17" t="s">
        <v>70</v>
      </c>
      <c r="C1845" s="17" t="s">
        <v>71</v>
      </c>
      <c r="D1845" t="s">
        <v>5581</v>
      </c>
      <c r="F1845" t="s">
        <v>5584</v>
      </c>
      <c r="K1845" s="18">
        <f>62817731336</f>
        <v>62817731336</v>
      </c>
      <c r="N1845" s="17" t="s">
        <v>77</v>
      </c>
      <c r="V1845" s="18">
        <f>62817731336</f>
        <v>62817731336</v>
      </c>
    </row>
    <row r="1846" ht="15" customHeight="1" spans="1:22" x14ac:dyDescent="0.25">
      <c r="A1846" s="17" t="s">
        <v>5585</v>
      </c>
      <c r="B1846" s="17" t="s">
        <v>70</v>
      </c>
      <c r="C1846" s="17" t="s">
        <v>71</v>
      </c>
      <c r="D1846" t="s">
        <v>5586</v>
      </c>
      <c r="F1846" t="s">
        <v>5587</v>
      </c>
      <c r="K1846" s="18">
        <f>628118066866</f>
        <v>628118066866</v>
      </c>
      <c r="N1846" s="17" t="s">
        <v>81</v>
      </c>
      <c r="V1846" s="18">
        <f>628118066866</f>
        <v>628118066866</v>
      </c>
    </row>
    <row r="1847" ht="15" customHeight="1" spans="1:23" x14ac:dyDescent="0.25">
      <c r="A1847" s="17" t="s">
        <v>5588</v>
      </c>
      <c r="B1847" s="17" t="s">
        <v>70</v>
      </c>
      <c r="C1847" s="17" t="s">
        <v>71</v>
      </c>
      <c r="D1847" t="s">
        <v>5586</v>
      </c>
      <c r="F1847" t="s">
        <v>5589</v>
      </c>
      <c r="K1847" s="18">
        <f>6591093941</f>
        <v>6591093941</v>
      </c>
      <c r="N1847" s="17" t="s">
        <v>77</v>
      </c>
      <c r="U1847" s="17"/>
      <c r="V1847" s="18">
        <f>6591093941</f>
        <v>6591093941</v>
      </c>
      <c r="W1847" t="s">
        <v>5590</v>
      </c>
    </row>
    <row r="1848" ht="15" customHeight="1" spans="1:23" x14ac:dyDescent="0.25">
      <c r="A1848" s="17" t="s">
        <v>5591</v>
      </c>
      <c r="B1848" s="17" t="s">
        <v>70</v>
      </c>
      <c r="C1848" s="17" t="s">
        <v>71</v>
      </c>
      <c r="D1848" t="s">
        <v>5592</v>
      </c>
      <c r="F1848" t="s">
        <v>2159</v>
      </c>
      <c r="K1848" s="18">
        <f>6282123335286</f>
        <v>6282123335286</v>
      </c>
      <c r="N1848" s="17" t="s">
        <v>81</v>
      </c>
      <c r="U1848" s="17"/>
      <c r="V1848" s="18">
        <f>6282123335286</f>
        <v>6282123335286</v>
      </c>
      <c r="W1848" t="s">
        <v>5593</v>
      </c>
    </row>
    <row r="1849" ht="15" customHeight="1" spans="1:22" x14ac:dyDescent="0.25">
      <c r="A1849" s="17" t="s">
        <v>5594</v>
      </c>
      <c r="B1849" s="17" t="s">
        <v>70</v>
      </c>
      <c r="C1849" s="17" t="s">
        <v>71</v>
      </c>
      <c r="D1849" t="s">
        <v>5592</v>
      </c>
      <c r="F1849" t="s">
        <v>5595</v>
      </c>
      <c r="K1849" s="18">
        <f>62816797969</f>
        <v>62816797969</v>
      </c>
      <c r="N1849" s="17" t="s">
        <v>77</v>
      </c>
      <c r="V1849" s="18">
        <f>62816797969</f>
        <v>62816797969</v>
      </c>
    </row>
    <row r="1850" ht="15" customHeight="1" spans="1:22" x14ac:dyDescent="0.25">
      <c r="A1850" s="17" t="s">
        <v>5596</v>
      </c>
      <c r="B1850" s="17" t="s">
        <v>70</v>
      </c>
      <c r="C1850" s="17" t="s">
        <v>71</v>
      </c>
      <c r="D1850" t="s">
        <v>5592</v>
      </c>
      <c r="F1850" t="s">
        <v>5597</v>
      </c>
      <c r="K1850" s="18">
        <f>62811929334</f>
        <v>62811929334</v>
      </c>
      <c r="N1850" s="17" t="s">
        <v>81</v>
      </c>
      <c r="V1850" s="18">
        <f>62811929334</f>
        <v>62811929334</v>
      </c>
    </row>
    <row r="1851" ht="15" customHeight="1" spans="1:22" x14ac:dyDescent="0.25">
      <c r="A1851" s="17" t="s">
        <v>5598</v>
      </c>
      <c r="B1851" s="17" t="s">
        <v>70</v>
      </c>
      <c r="C1851" s="17" t="s">
        <v>71</v>
      </c>
      <c r="D1851" t="s">
        <v>5592</v>
      </c>
      <c r="F1851" t="s">
        <v>5599</v>
      </c>
      <c r="K1851" s="18">
        <f>6282223334444</f>
        <v>6282223334444</v>
      </c>
      <c r="N1851" s="17" t="s">
        <v>77</v>
      </c>
      <c r="V1851" s="18">
        <f>6282223334444</f>
        <v>6282223334444</v>
      </c>
    </row>
    <row r="1852" ht="15" customHeight="1" spans="1:23" x14ac:dyDescent="0.25">
      <c r="A1852" s="17" t="s">
        <v>5600</v>
      </c>
      <c r="B1852" s="17" t="s">
        <v>70</v>
      </c>
      <c r="C1852" s="17" t="s">
        <v>71</v>
      </c>
      <c r="D1852" t="s">
        <v>5601</v>
      </c>
      <c r="F1852" t="s">
        <v>5602</v>
      </c>
      <c r="K1852" s="18">
        <f>62811147137</f>
        <v>62811147137</v>
      </c>
      <c r="N1852" s="17" t="s">
        <v>74</v>
      </c>
      <c r="U1852" s="17"/>
      <c r="V1852" s="18">
        <f>62811147137</f>
        <v>62811147137</v>
      </c>
      <c r="W1852" t="s">
        <v>5603</v>
      </c>
    </row>
    <row r="1853" ht="15" customHeight="1" spans="1:23" x14ac:dyDescent="0.25">
      <c r="A1853" s="17" t="s">
        <v>5604</v>
      </c>
      <c r="B1853" s="17" t="s">
        <v>70</v>
      </c>
      <c r="C1853" s="17" t="s">
        <v>71</v>
      </c>
      <c r="D1853" t="s">
        <v>5605</v>
      </c>
      <c r="F1853" t="s">
        <v>5606</v>
      </c>
      <c r="J1853" s="17" t="s">
        <v>5607</v>
      </c>
      <c r="K1853" s="18">
        <f>79992004400</f>
        <v>79992004400</v>
      </c>
      <c r="N1853" s="17" t="s">
        <v>77</v>
      </c>
      <c r="U1853" s="17"/>
      <c r="V1853" s="18">
        <f>79992004400</f>
        <v>79992004400</v>
      </c>
      <c r="W1853" t="s">
        <v>5608</v>
      </c>
    </row>
    <row r="1854" ht="15" customHeight="1" spans="1:23" x14ac:dyDescent="0.25">
      <c r="A1854" s="17" t="s">
        <v>5609</v>
      </c>
      <c r="B1854" s="17" t="s">
        <v>70</v>
      </c>
      <c r="C1854" s="17" t="s">
        <v>71</v>
      </c>
      <c r="D1854" t="s">
        <v>5610</v>
      </c>
      <c r="F1854" t="s">
        <v>5610</v>
      </c>
      <c r="K1854" s="18">
        <f>6281585982116</f>
        <v>6281585982116</v>
      </c>
      <c r="N1854" s="17" t="s">
        <v>77</v>
      </c>
      <c r="U1854" s="17"/>
      <c r="V1854" s="18">
        <f>6281585982116</f>
        <v>6281585982116</v>
      </c>
      <c r="W1854" t="s">
        <v>5611</v>
      </c>
    </row>
    <row r="1855" ht="15" customHeight="1" spans="1:28" x14ac:dyDescent="0.25">
      <c r="A1855" s="17" t="s">
        <v>5612</v>
      </c>
      <c r="B1855" s="17" t="s">
        <v>70</v>
      </c>
      <c r="C1855" s="17" t="s">
        <v>71</v>
      </c>
      <c r="D1855" t="s">
        <v>5610</v>
      </c>
      <c r="F1855" t="s">
        <v>5613</v>
      </c>
      <c r="J1855" t="s">
        <v>5614</v>
      </c>
      <c r="K1855" s="18" t="s">
        <v>5615</v>
      </c>
      <c r="N1855" s="17" t="s">
        <v>77</v>
      </c>
      <c r="O1855" t="s">
        <v>145</v>
      </c>
      <c r="V1855" s="18" t="s">
        <v>5615</v>
      </c>
      <c r="Y1855" t="s">
        <v>115</v>
      </c>
      <c r="AA1855" t="s">
        <v>115</v>
      </c>
      <c r="AB1855" t="s">
        <v>5451</v>
      </c>
    </row>
    <row r="1856" ht="15" customHeight="1" spans="1:22" x14ac:dyDescent="0.25">
      <c r="A1856" s="17" t="s">
        <v>5616</v>
      </c>
      <c r="B1856" s="17" t="s">
        <v>70</v>
      </c>
      <c r="C1856" s="17" t="s">
        <v>71</v>
      </c>
      <c r="D1856" t="s">
        <v>5617</v>
      </c>
      <c r="F1856" t="s">
        <v>5617</v>
      </c>
      <c r="K1856" s="18">
        <f>628111014429</f>
        <v>628111014429</v>
      </c>
      <c r="N1856" s="17" t="s">
        <v>77</v>
      </c>
      <c r="V1856" s="18">
        <f>628111014429</f>
        <v>628111014429</v>
      </c>
    </row>
    <row r="1857" ht="15" customHeight="1" spans="1:28" x14ac:dyDescent="0.25">
      <c r="A1857" s="17" t="s">
        <v>5618</v>
      </c>
      <c r="B1857" s="17" t="s">
        <v>70</v>
      </c>
      <c r="C1857" s="17" t="s">
        <v>71</v>
      </c>
      <c r="D1857" t="s">
        <v>5619</v>
      </c>
      <c r="F1857" t="s">
        <v>1754</v>
      </c>
      <c r="J1857" t="s">
        <v>115</v>
      </c>
      <c r="K1857" s="18" t="s">
        <v>5620</v>
      </c>
      <c r="N1857" s="17" t="s">
        <v>77</v>
      </c>
      <c r="O1857" t="s">
        <v>145</v>
      </c>
      <c r="V1857" s="18" t="s">
        <v>5620</v>
      </c>
      <c r="Y1857" t="s">
        <v>190</v>
      </c>
      <c r="AA1857" t="s">
        <v>118</v>
      </c>
      <c r="AB1857" t="s">
        <v>119</v>
      </c>
    </row>
    <row r="1858" ht="15" customHeight="1" spans="1:22" x14ac:dyDescent="0.25">
      <c r="A1858" s="17" t="s">
        <v>5621</v>
      </c>
      <c r="B1858" s="17" t="s">
        <v>70</v>
      </c>
      <c r="C1858" s="17" t="s">
        <v>71</v>
      </c>
      <c r="D1858" t="s">
        <v>5622</v>
      </c>
      <c r="F1858" t="s">
        <v>5622</v>
      </c>
      <c r="K1858" s="18">
        <f>628118881155</f>
        <v>628118881155</v>
      </c>
      <c r="N1858" s="17" t="s">
        <v>77</v>
      </c>
      <c r="V1858" s="18">
        <f>628118881155</f>
        <v>628118881155</v>
      </c>
    </row>
    <row r="1859" ht="15" customHeight="1" spans="1:22" x14ac:dyDescent="0.25">
      <c r="A1859" s="17" t="s">
        <v>5623</v>
      </c>
      <c r="B1859" s="17" t="s">
        <v>70</v>
      </c>
      <c r="C1859" s="17" t="s">
        <v>71</v>
      </c>
      <c r="D1859" t="s">
        <v>5622</v>
      </c>
      <c r="F1859" t="s">
        <v>5622</v>
      </c>
      <c r="K1859" s="18">
        <f>62816702984</f>
        <v>62816702984</v>
      </c>
      <c r="N1859" s="17" t="s">
        <v>77</v>
      </c>
      <c r="V1859" s="18">
        <f>62816702984</f>
        <v>62816702984</v>
      </c>
    </row>
    <row r="1860" ht="15" customHeight="1" spans="1:28" x14ac:dyDescent="0.25">
      <c r="A1860" s="17" t="s">
        <v>5624</v>
      </c>
      <c r="B1860" s="17" t="s">
        <v>70</v>
      </c>
      <c r="C1860" s="17" t="s">
        <v>71</v>
      </c>
      <c r="D1860" t="s">
        <v>5622</v>
      </c>
      <c r="F1860" t="s">
        <v>5625</v>
      </c>
      <c r="J1860" t="s">
        <v>115</v>
      </c>
      <c r="K1860" s="18" t="s">
        <v>5626</v>
      </c>
      <c r="N1860" s="17" t="s">
        <v>74</v>
      </c>
      <c r="O1860" t="s">
        <v>117</v>
      </c>
      <c r="V1860" s="18" t="s">
        <v>5626</v>
      </c>
      <c r="Y1860" t="s">
        <v>90</v>
      </c>
      <c r="AA1860" t="s">
        <v>118</v>
      </c>
      <c r="AB1860" t="s">
        <v>119</v>
      </c>
    </row>
    <row r="1861" ht="15" customHeight="1" spans="1:22" x14ac:dyDescent="0.25">
      <c r="A1861" s="17" t="s">
        <v>5627</v>
      </c>
      <c r="B1861" s="17" t="s">
        <v>70</v>
      </c>
      <c r="C1861" s="17" t="s">
        <v>71</v>
      </c>
      <c r="D1861" t="s">
        <v>5622</v>
      </c>
      <c r="F1861" t="s">
        <v>5628</v>
      </c>
      <c r="K1861" s="18">
        <f>6281329180007</f>
        <v>6281329180007</v>
      </c>
      <c r="N1861" s="17" t="s">
        <v>77</v>
      </c>
      <c r="V1861" s="18">
        <f>6281329180007</f>
        <v>6281329180007</v>
      </c>
    </row>
    <row r="1862" ht="15" customHeight="1" spans="1:28" x14ac:dyDescent="0.25">
      <c r="A1862" s="17" t="s">
        <v>5629</v>
      </c>
      <c r="B1862" s="17" t="s">
        <v>70</v>
      </c>
      <c r="C1862" s="17" t="s">
        <v>71</v>
      </c>
      <c r="D1862" t="s">
        <v>5622</v>
      </c>
      <c r="F1862" t="s">
        <v>5630</v>
      </c>
      <c r="J1862" t="s">
        <v>115</v>
      </c>
      <c r="K1862" s="18" t="s">
        <v>5631</v>
      </c>
      <c r="N1862" s="17" t="s">
        <v>74</v>
      </c>
      <c r="O1862" t="s">
        <v>199</v>
      </c>
      <c r="U1862" s="17"/>
      <c r="V1862" s="18" t="s">
        <v>5631</v>
      </c>
      <c r="W1862" t="s">
        <v>5632</v>
      </c>
      <c r="Y1862" t="s">
        <v>3536</v>
      </c>
      <c r="AA1862" t="s">
        <v>115</v>
      </c>
      <c r="AB1862" t="s">
        <v>119</v>
      </c>
    </row>
    <row r="1863" ht="15" customHeight="1" spans="1:23" x14ac:dyDescent="0.25">
      <c r="A1863" s="17" t="s">
        <v>5633</v>
      </c>
      <c r="B1863" s="17" t="s">
        <v>70</v>
      </c>
      <c r="C1863" s="17" t="s">
        <v>71</v>
      </c>
      <c r="D1863" t="s">
        <v>5622</v>
      </c>
      <c r="F1863" t="s">
        <v>5634</v>
      </c>
      <c r="K1863" s="18">
        <f>6281314302957</f>
        <v>6281314302957</v>
      </c>
      <c r="N1863" s="17" t="s">
        <v>77</v>
      </c>
      <c r="U1863" s="17"/>
      <c r="V1863" s="18">
        <f>6281314302957</f>
        <v>6281314302957</v>
      </c>
      <c r="W1863" t="s">
        <v>5635</v>
      </c>
    </row>
    <row r="1864" ht="15" customHeight="1" spans="1:22" x14ac:dyDescent="0.25">
      <c r="A1864" s="17" t="s">
        <v>5636</v>
      </c>
      <c r="B1864" s="17" t="s">
        <v>70</v>
      </c>
      <c r="C1864" s="17" t="s">
        <v>71</v>
      </c>
      <c r="D1864" t="s">
        <v>5622</v>
      </c>
      <c r="F1864" t="s">
        <v>5637</v>
      </c>
      <c r="K1864" s="18">
        <f>62812292605</f>
        <v>62812292605</v>
      </c>
      <c r="N1864" s="17" t="s">
        <v>77</v>
      </c>
      <c r="V1864" s="18">
        <f>62812292605</f>
        <v>62812292605</v>
      </c>
    </row>
    <row r="1865" ht="15" customHeight="1" spans="1:22" x14ac:dyDescent="0.25">
      <c r="A1865" s="17" t="s">
        <v>5638</v>
      </c>
      <c r="B1865" s="17" t="s">
        <v>70</v>
      </c>
      <c r="C1865" s="17" t="s">
        <v>71</v>
      </c>
      <c r="D1865" t="s">
        <v>5622</v>
      </c>
      <c r="F1865" t="s">
        <v>5639</v>
      </c>
      <c r="K1865" s="18">
        <f>628161172198</f>
        <v>628161172198</v>
      </c>
      <c r="N1865" s="17" t="s">
        <v>77</v>
      </c>
      <c r="V1865" s="18">
        <f>628161172198</f>
        <v>628161172198</v>
      </c>
    </row>
    <row r="1866" ht="15" customHeight="1" spans="1:25" x14ac:dyDescent="0.25">
      <c r="A1866" s="17" t="s">
        <v>5640</v>
      </c>
      <c r="B1866" s="17" t="s">
        <v>70</v>
      </c>
      <c r="C1866" s="17" t="s">
        <v>71</v>
      </c>
      <c r="D1866" t="s">
        <v>5622</v>
      </c>
      <c r="F1866" t="s">
        <v>5641</v>
      </c>
      <c r="K1866" s="18">
        <f>6281334962006</f>
        <v>6281334962006</v>
      </c>
      <c r="N1866" s="17" t="s">
        <v>74</v>
      </c>
      <c r="V1866" s="18">
        <f>6281334962006</f>
        <v>6281334962006</v>
      </c>
      <c r="Y1866" s="17" t="s">
        <v>5642</v>
      </c>
    </row>
    <row r="1867" ht="15" customHeight="1" spans="1:23" x14ac:dyDescent="0.25">
      <c r="A1867" s="17" t="s">
        <v>5643</v>
      </c>
      <c r="B1867" s="17" t="s">
        <v>70</v>
      </c>
      <c r="C1867" s="17" t="s">
        <v>71</v>
      </c>
      <c r="D1867" t="s">
        <v>5622</v>
      </c>
      <c r="F1867" t="s">
        <v>4291</v>
      </c>
      <c r="K1867" s="18">
        <f>6282111192006</f>
        <v>6282111192006</v>
      </c>
      <c r="N1867" s="17" t="s">
        <v>74</v>
      </c>
      <c r="U1867" s="17"/>
      <c r="V1867" s="18">
        <f>6282111192006</f>
        <v>6282111192006</v>
      </c>
      <c r="W1867" t="s">
        <v>5644</v>
      </c>
    </row>
    <row r="1868" ht="15" customHeight="1" spans="1:28" x14ac:dyDescent="0.25">
      <c r="A1868" s="17" t="s">
        <v>5645</v>
      </c>
      <c r="B1868" s="17" t="s">
        <v>70</v>
      </c>
      <c r="C1868" s="17" t="s">
        <v>71</v>
      </c>
      <c r="D1868" t="s">
        <v>5622</v>
      </c>
      <c r="F1868" t="s">
        <v>2730</v>
      </c>
      <c r="J1868" s="17" t="s">
        <v>5646</v>
      </c>
      <c r="K1868" s="18" t="s">
        <v>5647</v>
      </c>
      <c r="N1868" s="17" t="s">
        <v>77</v>
      </c>
      <c r="O1868" t="s">
        <v>261</v>
      </c>
      <c r="V1868" s="18" t="s">
        <v>5647</v>
      </c>
      <c r="Y1868" s="17" t="s">
        <v>181</v>
      </c>
      <c r="AA1868" t="s">
        <v>1672</v>
      </c>
      <c r="AB1868" t="s">
        <v>119</v>
      </c>
    </row>
    <row r="1869" ht="15" customHeight="1" spans="1:23" x14ac:dyDescent="0.25">
      <c r="A1869" s="17" t="s">
        <v>5648</v>
      </c>
      <c r="B1869" s="17" t="s">
        <v>70</v>
      </c>
      <c r="C1869" s="17" t="s">
        <v>71</v>
      </c>
      <c r="D1869" t="s">
        <v>5649</v>
      </c>
      <c r="F1869" t="s">
        <v>5649</v>
      </c>
      <c r="K1869" s="18">
        <f>6281329077567</f>
        <v>6281329077567</v>
      </c>
      <c r="N1869" s="17" t="s">
        <v>77</v>
      </c>
      <c r="U1869" s="17"/>
      <c r="V1869" s="18">
        <f>6281329077567</f>
        <v>6281329077567</v>
      </c>
      <c r="W1869" t="s">
        <v>5650</v>
      </c>
    </row>
    <row r="1870" ht="15" customHeight="1" spans="1:28" x14ac:dyDescent="0.25">
      <c r="A1870" s="17" t="s">
        <v>5651</v>
      </c>
      <c r="B1870" s="17" t="s">
        <v>70</v>
      </c>
      <c r="C1870" s="17" t="s">
        <v>71</v>
      </c>
      <c r="D1870" t="s">
        <v>5649</v>
      </c>
      <c r="F1870" t="s">
        <v>5652</v>
      </c>
      <c r="J1870" s="17" t="s">
        <v>5653</v>
      </c>
      <c r="K1870" s="18" t="s">
        <v>5654</v>
      </c>
      <c r="N1870" s="17" t="s">
        <v>77</v>
      </c>
      <c r="O1870" t="s">
        <v>117</v>
      </c>
      <c r="U1870" s="17"/>
      <c r="V1870" s="18" t="s">
        <v>5654</v>
      </c>
      <c r="W1870" t="s">
        <v>5655</v>
      </c>
      <c r="Y1870" t="s">
        <v>190</v>
      </c>
      <c r="AA1870" t="s">
        <v>118</v>
      </c>
      <c r="AB1870" t="s">
        <v>119</v>
      </c>
    </row>
    <row r="1871" ht="15" customHeight="1" spans="1:23" x14ac:dyDescent="0.25">
      <c r="A1871" s="17" t="s">
        <v>5656</v>
      </c>
      <c r="B1871" s="17" t="s">
        <v>70</v>
      </c>
      <c r="C1871" s="17" t="s">
        <v>71</v>
      </c>
      <c r="D1871" t="s">
        <v>5649</v>
      </c>
      <c r="F1871" t="s">
        <v>5657</v>
      </c>
      <c r="K1871" s="18">
        <f>6281326632430</f>
        <v>6281326632430</v>
      </c>
      <c r="N1871" s="17" t="s">
        <v>77</v>
      </c>
      <c r="U1871" s="17"/>
      <c r="V1871" s="18">
        <f>6281326632430</f>
        <v>6281326632430</v>
      </c>
      <c r="W1871" t="s">
        <v>5658</v>
      </c>
    </row>
    <row r="1872" ht="15" customHeight="1" spans="1:28" x14ac:dyDescent="0.25">
      <c r="A1872" s="17" t="s">
        <v>5659</v>
      </c>
      <c r="B1872" s="17" t="s">
        <v>70</v>
      </c>
      <c r="C1872" s="17" t="s">
        <v>71</v>
      </c>
      <c r="D1872" t="s">
        <v>5649</v>
      </c>
      <c r="F1872" t="s">
        <v>991</v>
      </c>
      <c r="J1872" t="s">
        <v>115</v>
      </c>
      <c r="K1872" s="18" t="s">
        <v>5660</v>
      </c>
      <c r="N1872" s="17" t="s">
        <v>77</v>
      </c>
      <c r="O1872" t="s">
        <v>145</v>
      </c>
      <c r="V1872" s="18" t="s">
        <v>5660</v>
      </c>
      <c r="Y1872" t="s">
        <v>190</v>
      </c>
      <c r="AA1872" t="s">
        <v>118</v>
      </c>
      <c r="AB1872" t="s">
        <v>119</v>
      </c>
    </row>
    <row r="1873" ht="15" customHeight="1" spans="1:28" x14ac:dyDescent="0.25">
      <c r="A1873" s="17" t="s">
        <v>5661</v>
      </c>
      <c r="B1873" s="17" t="s">
        <v>70</v>
      </c>
      <c r="C1873" s="17" t="s">
        <v>71</v>
      </c>
      <c r="D1873" t="s">
        <v>5662</v>
      </c>
      <c r="F1873" t="s">
        <v>5663</v>
      </c>
      <c r="J1873" s="17" t="s">
        <v>5664</v>
      </c>
      <c r="K1873" s="18" t="s">
        <v>5665</v>
      </c>
      <c r="N1873" s="17" t="s">
        <v>77</v>
      </c>
      <c r="O1873" t="s">
        <v>199</v>
      </c>
      <c r="V1873" s="18" t="s">
        <v>5665</v>
      </c>
      <c r="Y1873" t="s">
        <v>115</v>
      </c>
      <c r="AA1873" t="s">
        <v>115</v>
      </c>
      <c r="AB1873" t="s">
        <v>451</v>
      </c>
    </row>
    <row r="1874" ht="15" customHeight="1" spans="1:22" x14ac:dyDescent="0.25">
      <c r="A1874" s="17" t="s">
        <v>5666</v>
      </c>
      <c r="B1874" s="17" t="s">
        <v>70</v>
      </c>
      <c r="C1874" s="17" t="s">
        <v>71</v>
      </c>
      <c r="D1874" t="s">
        <v>5667</v>
      </c>
      <c r="F1874" t="s">
        <v>5667</v>
      </c>
      <c r="K1874" s="18">
        <f>628163138883</f>
        <v>628163138883</v>
      </c>
      <c r="N1874" s="17" t="s">
        <v>74</v>
      </c>
      <c r="V1874" s="18">
        <f>628163138883</f>
        <v>628163138883</v>
      </c>
    </row>
    <row r="1875" ht="15" customHeight="1" spans="1:22" x14ac:dyDescent="0.25">
      <c r="A1875" s="17" t="s">
        <v>5668</v>
      </c>
      <c r="B1875" s="17" t="s">
        <v>70</v>
      </c>
      <c r="C1875" s="17" t="s">
        <v>71</v>
      </c>
      <c r="D1875" t="s">
        <v>5669</v>
      </c>
      <c r="F1875" t="s">
        <v>3236</v>
      </c>
      <c r="K1875" s="18">
        <f>62811723560</f>
        <v>62811723560</v>
      </c>
      <c r="N1875" s="17" t="s">
        <v>77</v>
      </c>
      <c r="V1875" s="18">
        <f>62811723560</f>
        <v>62811723560</v>
      </c>
    </row>
    <row r="1876" ht="15" customHeight="1" spans="1:25" x14ac:dyDescent="0.25">
      <c r="A1876" s="17" t="s">
        <v>5670</v>
      </c>
      <c r="B1876" s="17" t="s">
        <v>70</v>
      </c>
      <c r="C1876" s="17" t="s">
        <v>71</v>
      </c>
      <c r="D1876" t="s">
        <v>5671</v>
      </c>
      <c r="F1876" t="s">
        <v>5672</v>
      </c>
      <c r="J1876" s="17" t="s">
        <v>5673</v>
      </c>
      <c r="K1876" s="18">
        <f>6287889090639</f>
        <v>6287889090639</v>
      </c>
      <c r="N1876" s="17" t="s">
        <v>77</v>
      </c>
      <c r="U1876" s="17"/>
      <c r="V1876" s="18">
        <f>6287889090639</f>
        <v>6287889090639</v>
      </c>
      <c r="W1876" t="s">
        <v>5674</v>
      </c>
      <c r="Y1876" s="17" t="s">
        <v>96</v>
      </c>
    </row>
    <row r="1877" ht="15" customHeight="1" spans="1:25" x14ac:dyDescent="0.25">
      <c r="A1877" s="17" t="s">
        <v>5675</v>
      </c>
      <c r="B1877" s="17" t="s">
        <v>70</v>
      </c>
      <c r="C1877" s="17" t="s">
        <v>71</v>
      </c>
      <c r="D1877" t="s">
        <v>5676</v>
      </c>
      <c r="F1877" t="s">
        <v>4479</v>
      </c>
      <c r="K1877" s="18">
        <f>6281275349812</f>
        <v>6281275349812</v>
      </c>
      <c r="N1877" s="17" t="s">
        <v>77</v>
      </c>
      <c r="U1877" s="17"/>
      <c r="V1877" s="18">
        <f>6281275349812</f>
        <v>6281275349812</v>
      </c>
      <c r="W1877" t="s">
        <v>5677</v>
      </c>
      <c r="Y1877" s="17" t="s">
        <v>5678</v>
      </c>
    </row>
    <row r="1878" ht="15" customHeight="1" spans="1:28" x14ac:dyDescent="0.25">
      <c r="A1878" s="17" t="s">
        <v>5679</v>
      </c>
      <c r="B1878" s="17" t="s">
        <v>70</v>
      </c>
      <c r="C1878" s="17" t="s">
        <v>71</v>
      </c>
      <c r="D1878" t="s">
        <v>5680</v>
      </c>
      <c r="F1878" t="s">
        <v>5681</v>
      </c>
      <c r="J1878" s="17" t="s">
        <v>5682</v>
      </c>
      <c r="K1878" s="18" t="s">
        <v>5683</v>
      </c>
      <c r="N1878" s="17" t="s">
        <v>77</v>
      </c>
      <c r="O1878" t="s">
        <v>199</v>
      </c>
      <c r="V1878" s="18" t="s">
        <v>5683</v>
      </c>
      <c r="Y1878" t="s">
        <v>190</v>
      </c>
      <c r="AA1878" t="s">
        <v>118</v>
      </c>
      <c r="AB1878" t="s">
        <v>119</v>
      </c>
    </row>
    <row r="1879" ht="15" customHeight="1" spans="1:22" x14ac:dyDescent="0.25">
      <c r="A1879" s="17" t="s">
        <v>5684</v>
      </c>
      <c r="B1879" s="17" t="s">
        <v>70</v>
      </c>
      <c r="C1879" s="17" t="s">
        <v>71</v>
      </c>
      <c r="D1879" t="s">
        <v>5685</v>
      </c>
      <c r="F1879" t="s">
        <v>5686</v>
      </c>
      <c r="K1879" s="18">
        <f>6281219099899</f>
        <v>6281219099899</v>
      </c>
      <c r="N1879" s="17" t="s">
        <v>81</v>
      </c>
      <c r="V1879" s="18">
        <f>6281219099899</f>
        <v>6281219099899</v>
      </c>
    </row>
    <row r="1880" ht="15" customHeight="1" spans="1:22" x14ac:dyDescent="0.25">
      <c r="A1880" s="17" t="s">
        <v>5687</v>
      </c>
      <c r="B1880" s="17" t="s">
        <v>70</v>
      </c>
      <c r="C1880" s="17" t="s">
        <v>71</v>
      </c>
      <c r="D1880" t="s">
        <v>5688</v>
      </c>
      <c r="F1880" t="s">
        <v>5688</v>
      </c>
      <c r="K1880" s="18">
        <f>6282112746779</f>
        <v>6282112746779</v>
      </c>
      <c r="N1880" s="17" t="s">
        <v>77</v>
      </c>
      <c r="V1880" s="18">
        <f>6282112746779</f>
        <v>6282112746779</v>
      </c>
    </row>
    <row r="1881" ht="15" customHeight="1" spans="1:22" x14ac:dyDescent="0.25">
      <c r="A1881" s="17" t="s">
        <v>5689</v>
      </c>
      <c r="B1881" s="17" t="s">
        <v>70</v>
      </c>
      <c r="C1881" s="17" t="s">
        <v>71</v>
      </c>
      <c r="D1881" t="s">
        <v>5690</v>
      </c>
      <c r="F1881" t="s">
        <v>5690</v>
      </c>
      <c r="K1881" s="18">
        <f>6281317672222</f>
        <v>6281317672222</v>
      </c>
      <c r="N1881" s="17" t="s">
        <v>77</v>
      </c>
      <c r="V1881" s="18">
        <f>6281317672222</f>
        <v>6281317672222</v>
      </c>
    </row>
    <row r="1882" ht="15" customHeight="1" spans="1:27" x14ac:dyDescent="0.25">
      <c r="A1882" s="17" t="s">
        <v>5691</v>
      </c>
      <c r="B1882" s="17" t="s">
        <v>70</v>
      </c>
      <c r="C1882" s="17" t="s">
        <v>71</v>
      </c>
      <c r="D1882" t="s">
        <v>5692</v>
      </c>
      <c r="F1882" t="s">
        <v>1070</v>
      </c>
      <c r="K1882" s="18">
        <f>6281353393990</f>
        <v>6281353393990</v>
      </c>
      <c r="N1882" s="17" t="s">
        <v>77</v>
      </c>
      <c r="U1882" s="17"/>
      <c r="V1882" s="18">
        <f>6281353393990</f>
        <v>6281353393990</v>
      </c>
      <c r="W1882" t="s">
        <v>5693</v>
      </c>
      <c r="Y1882" s="17" t="s">
        <v>96</v>
      </c>
      <c r="AA1882" s="17">
        <v>12320</v>
      </c>
    </row>
    <row r="1883" ht="15" customHeight="1" spans="1:22" x14ac:dyDescent="0.25">
      <c r="A1883" s="17" t="s">
        <v>5694</v>
      </c>
      <c r="B1883" s="17" t="s">
        <v>70</v>
      </c>
      <c r="C1883" s="17" t="s">
        <v>71</v>
      </c>
      <c r="D1883" t="s">
        <v>5695</v>
      </c>
      <c r="F1883" t="s">
        <v>5696</v>
      </c>
      <c r="K1883" s="18">
        <f>6281803955588</f>
        <v>6281803955588</v>
      </c>
      <c r="N1883" s="17" t="s">
        <v>77</v>
      </c>
      <c r="V1883" s="18">
        <f>6281803955588</f>
        <v>6281803955588</v>
      </c>
    </row>
    <row r="1884" ht="15" customHeight="1" spans="1:25" x14ac:dyDescent="0.25">
      <c r="A1884" s="17" t="s">
        <v>5697</v>
      </c>
      <c r="B1884" s="17" t="s">
        <v>70</v>
      </c>
      <c r="C1884" s="17" t="s">
        <v>71</v>
      </c>
      <c r="D1884" t="s">
        <v>5698</v>
      </c>
      <c r="F1884" t="s">
        <v>5698</v>
      </c>
      <c r="K1884" s="18">
        <f>62811565689</f>
        <v>62811565689</v>
      </c>
      <c r="N1884" s="17" t="s">
        <v>77</v>
      </c>
      <c r="U1884" s="17"/>
      <c r="V1884" s="18">
        <f>62811565689</f>
        <v>62811565689</v>
      </c>
      <c r="W1884" t="s">
        <v>5699</v>
      </c>
      <c r="Y1884" s="17" t="s">
        <v>5700</v>
      </c>
    </row>
    <row r="1885" ht="15" customHeight="1" spans="1:22" x14ac:dyDescent="0.25">
      <c r="A1885" s="17" t="s">
        <v>5701</v>
      </c>
      <c r="B1885" s="17" t="s">
        <v>70</v>
      </c>
      <c r="C1885" s="17" t="s">
        <v>71</v>
      </c>
      <c r="D1885" t="s">
        <v>5702</v>
      </c>
      <c r="F1885" t="s">
        <v>5703</v>
      </c>
      <c r="K1885" s="18">
        <f>6281280809959</f>
        <v>6281280809959</v>
      </c>
      <c r="N1885" s="17" t="s">
        <v>77</v>
      </c>
      <c r="V1885" s="18">
        <f>6281280809959</f>
        <v>6281280809959</v>
      </c>
    </row>
    <row r="1886" ht="15" customHeight="1" spans="1:23" x14ac:dyDescent="0.25">
      <c r="A1886" s="17" t="s">
        <v>5704</v>
      </c>
      <c r="B1886" s="17" t="s">
        <v>70</v>
      </c>
      <c r="C1886" s="17" t="s">
        <v>71</v>
      </c>
      <c r="D1886" t="s">
        <v>5702</v>
      </c>
      <c r="F1886" t="s">
        <v>5705</v>
      </c>
      <c r="J1886" s="17" t="s">
        <v>5706</v>
      </c>
      <c r="K1886" s="18">
        <f>628989239042</f>
        <v>628989239042</v>
      </c>
      <c r="N1886" s="17" t="s">
        <v>77</v>
      </c>
      <c r="U1886" s="17"/>
      <c r="V1886" s="18">
        <f>628989239042</f>
        <v>628989239042</v>
      </c>
      <c r="W1886" t="s">
        <v>5707</v>
      </c>
    </row>
    <row r="1887" ht="15" customHeight="1" spans="1:25" x14ac:dyDescent="0.25">
      <c r="A1887" s="17" t="s">
        <v>5708</v>
      </c>
      <c r="B1887" s="17" t="s">
        <v>70</v>
      </c>
      <c r="C1887" s="17" t="s">
        <v>71</v>
      </c>
      <c r="D1887" t="s">
        <v>3830</v>
      </c>
      <c r="F1887" t="s">
        <v>5709</v>
      </c>
      <c r="K1887" s="18">
        <f>628151685355</f>
        <v>628151685355</v>
      </c>
      <c r="N1887" s="17" t="s">
        <v>77</v>
      </c>
      <c r="U1887" s="17"/>
      <c r="V1887" s="18">
        <f>628151685355</f>
        <v>628151685355</v>
      </c>
      <c r="W1887" t="s">
        <v>5710</v>
      </c>
      <c r="Y1887" s="17" t="s">
        <v>2953</v>
      </c>
    </row>
    <row r="1888" ht="15" customHeight="1" spans="1:28" x14ac:dyDescent="0.25">
      <c r="A1888" s="17" t="s">
        <v>5711</v>
      </c>
      <c r="B1888" s="17" t="s">
        <v>70</v>
      </c>
      <c r="C1888" s="17" t="s">
        <v>71</v>
      </c>
      <c r="D1888" t="s">
        <v>3830</v>
      </c>
      <c r="F1888" t="s">
        <v>5712</v>
      </c>
      <c r="J1888" t="s">
        <v>115</v>
      </c>
      <c r="K1888" s="18" t="s">
        <v>5713</v>
      </c>
      <c r="N1888" s="17" t="s">
        <v>74</v>
      </c>
      <c r="O1888" t="s">
        <v>1188</v>
      </c>
      <c r="U1888" s="17"/>
      <c r="V1888" s="18" t="s">
        <v>5713</v>
      </c>
      <c r="W1888" t="s">
        <v>5714</v>
      </c>
      <c r="Y1888" s="17" t="s">
        <v>96</v>
      </c>
      <c r="AA1888" s="17" t="s">
        <v>693</v>
      </c>
      <c r="AB1888" t="s">
        <v>119</v>
      </c>
    </row>
    <row r="1889" ht="15" customHeight="1" spans="1:22" x14ac:dyDescent="0.25">
      <c r="A1889" s="17" t="s">
        <v>5715</v>
      </c>
      <c r="B1889" s="17" t="s">
        <v>70</v>
      </c>
      <c r="C1889" s="17" t="s">
        <v>71</v>
      </c>
      <c r="D1889" t="s">
        <v>5716</v>
      </c>
      <c r="F1889" t="s">
        <v>5716</v>
      </c>
      <c r="K1889" s="18">
        <f>62818387151003</f>
        <v>62818387151003</v>
      </c>
      <c r="N1889" s="17" t="s">
        <v>77</v>
      </c>
      <c r="V1889" s="18">
        <f>62818387151003</f>
        <v>62818387151003</v>
      </c>
    </row>
    <row r="1890" ht="15" customHeight="1" spans="1:22" x14ac:dyDescent="0.25">
      <c r="A1890" s="17" t="s">
        <v>5717</v>
      </c>
      <c r="B1890" s="17" t="s">
        <v>70</v>
      </c>
      <c r="C1890" s="17" t="s">
        <v>71</v>
      </c>
      <c r="D1890" t="s">
        <v>5716</v>
      </c>
      <c r="F1890" t="s">
        <v>5716</v>
      </c>
      <c r="K1890" s="18">
        <f>628116301127</f>
        <v>628116301127</v>
      </c>
      <c r="N1890" s="17" t="s">
        <v>74</v>
      </c>
      <c r="V1890" s="18">
        <f>628116301127</f>
        <v>628116301127</v>
      </c>
    </row>
    <row r="1891" ht="15" customHeight="1" spans="1:28" x14ac:dyDescent="0.25">
      <c r="A1891" s="17" t="s">
        <v>5718</v>
      </c>
      <c r="B1891" s="17" t="s">
        <v>70</v>
      </c>
      <c r="C1891" s="17" t="s">
        <v>71</v>
      </c>
      <c r="D1891" t="s">
        <v>5716</v>
      </c>
      <c r="F1891" t="s">
        <v>5716</v>
      </c>
      <c r="J1891" t="s">
        <v>5719</v>
      </c>
      <c r="K1891" s="18" t="s">
        <v>5720</v>
      </c>
      <c r="N1891" s="17" t="s">
        <v>81</v>
      </c>
      <c r="O1891" t="s">
        <v>117</v>
      </c>
      <c r="V1891" s="18" t="s">
        <v>5720</v>
      </c>
      <c r="Y1891" t="s">
        <v>90</v>
      </c>
      <c r="AA1891" t="s">
        <v>118</v>
      </c>
      <c r="AB1891" t="s">
        <v>119</v>
      </c>
    </row>
    <row r="1892" ht="15" customHeight="1" spans="1:27" x14ac:dyDescent="0.25">
      <c r="A1892" s="17" t="s">
        <v>5721</v>
      </c>
      <c r="B1892" s="17" t="s">
        <v>70</v>
      </c>
      <c r="C1892" s="17" t="s">
        <v>71</v>
      </c>
      <c r="D1892" t="s">
        <v>5716</v>
      </c>
      <c r="F1892" t="s">
        <v>5722</v>
      </c>
      <c r="K1892" s="18">
        <f>6281310263395</f>
        <v>6281310263395</v>
      </c>
      <c r="N1892" s="17" t="s">
        <v>77</v>
      </c>
      <c r="U1892" s="17"/>
      <c r="V1892" s="18">
        <f>6281310263395</f>
        <v>6281310263395</v>
      </c>
      <c r="W1892" t="s">
        <v>5723</v>
      </c>
      <c r="Y1892" s="17" t="s">
        <v>3320</v>
      </c>
      <c r="AA1892" s="17">
        <v>12620</v>
      </c>
    </row>
    <row r="1893" ht="15" customHeight="1" spans="1:27" x14ac:dyDescent="0.25">
      <c r="A1893" s="17" t="s">
        <v>5724</v>
      </c>
      <c r="B1893" s="17" t="s">
        <v>70</v>
      </c>
      <c r="C1893" s="17" t="s">
        <v>71</v>
      </c>
      <c r="D1893" t="s">
        <v>5716</v>
      </c>
      <c r="F1893" t="s">
        <v>5725</v>
      </c>
      <c r="J1893" s="17" t="s">
        <v>5726</v>
      </c>
      <c r="K1893" s="18">
        <f>62817888908</f>
        <v>62817888908</v>
      </c>
      <c r="N1893" s="17" t="s">
        <v>77</v>
      </c>
      <c r="U1893" s="17"/>
      <c r="V1893" s="18">
        <f>62817888908</f>
        <v>62817888908</v>
      </c>
      <c r="W1893" t="s">
        <v>5727</v>
      </c>
      <c r="Y1893" s="17" t="s">
        <v>1084</v>
      </c>
      <c r="AA1893" s="17">
        <v>14250</v>
      </c>
    </row>
    <row r="1894" ht="15" customHeight="1" spans="1:28" x14ac:dyDescent="0.25">
      <c r="A1894" s="17" t="s">
        <v>5728</v>
      </c>
      <c r="B1894" s="17" t="s">
        <v>70</v>
      </c>
      <c r="C1894" s="17" t="s">
        <v>71</v>
      </c>
      <c r="D1894" t="s">
        <v>5716</v>
      </c>
      <c r="F1894" t="s">
        <v>5729</v>
      </c>
      <c r="J1894" t="s">
        <v>115</v>
      </c>
      <c r="K1894" s="18" t="s">
        <v>5730</v>
      </c>
      <c r="N1894" s="17" t="s">
        <v>77</v>
      </c>
      <c r="O1894" t="s">
        <v>117</v>
      </c>
      <c r="V1894" s="18" t="s">
        <v>5730</v>
      </c>
      <c r="Y1894" t="s">
        <v>90</v>
      </c>
      <c r="AA1894" t="s">
        <v>118</v>
      </c>
      <c r="AB1894" t="s">
        <v>119</v>
      </c>
    </row>
    <row r="1895" ht="15" customHeight="1" spans="1:22" x14ac:dyDescent="0.25">
      <c r="A1895" s="17" t="s">
        <v>5731</v>
      </c>
      <c r="B1895" s="17" t="s">
        <v>70</v>
      </c>
      <c r="C1895" s="17" t="s">
        <v>71</v>
      </c>
      <c r="D1895" t="s">
        <v>5716</v>
      </c>
      <c r="F1895" t="s">
        <v>5732</v>
      </c>
      <c r="K1895" s="18">
        <f>628125112121</f>
        <v>628125112121</v>
      </c>
      <c r="N1895" s="17" t="s">
        <v>77</v>
      </c>
      <c r="V1895" s="18">
        <f>628125112121</f>
        <v>628125112121</v>
      </c>
    </row>
    <row r="1896" ht="15" customHeight="1" spans="1:22" x14ac:dyDescent="0.25">
      <c r="A1896" s="17" t="s">
        <v>5733</v>
      </c>
      <c r="B1896" s="17" t="s">
        <v>70</v>
      </c>
      <c r="C1896" s="17" t="s">
        <v>71</v>
      </c>
      <c r="D1896" t="s">
        <v>5716</v>
      </c>
      <c r="F1896" t="s">
        <v>5734</v>
      </c>
      <c r="K1896" s="18">
        <f>6281230000025</f>
        <v>6281230000025</v>
      </c>
      <c r="N1896" s="17" t="s">
        <v>81</v>
      </c>
      <c r="V1896" s="18">
        <f>6281230000025</f>
        <v>6281230000025</v>
      </c>
    </row>
    <row r="1897" ht="15" customHeight="1" spans="1:28" x14ac:dyDescent="0.25">
      <c r="A1897" s="17" t="s">
        <v>5735</v>
      </c>
      <c r="B1897" s="17" t="s">
        <v>70</v>
      </c>
      <c r="C1897" s="17" t="s">
        <v>71</v>
      </c>
      <c r="D1897" t="s">
        <v>5716</v>
      </c>
      <c r="F1897" t="s">
        <v>5736</v>
      </c>
      <c r="J1897" t="s">
        <v>5737</v>
      </c>
      <c r="K1897" s="18" t="s">
        <v>5738</v>
      </c>
      <c r="N1897" s="17" t="s">
        <v>77</v>
      </c>
      <c r="O1897" t="s">
        <v>145</v>
      </c>
      <c r="U1897" s="17"/>
      <c r="V1897" s="18" t="s">
        <v>5738</v>
      </c>
      <c r="W1897" t="s">
        <v>5739</v>
      </c>
      <c r="Y1897" t="s">
        <v>217</v>
      </c>
      <c r="AA1897" t="s">
        <v>218</v>
      </c>
      <c r="AB1897" t="s">
        <v>119</v>
      </c>
    </row>
    <row r="1898" ht="15" customHeight="1" spans="1:28" x14ac:dyDescent="0.25">
      <c r="A1898" s="17" t="s">
        <v>5740</v>
      </c>
      <c r="B1898" s="17" t="s">
        <v>70</v>
      </c>
      <c r="C1898" s="17" t="s">
        <v>71</v>
      </c>
      <c r="D1898" t="s">
        <v>5716</v>
      </c>
      <c r="F1898" t="s">
        <v>2586</v>
      </c>
      <c r="J1898" s="17" t="s">
        <v>5741</v>
      </c>
      <c r="K1898" s="18" t="s">
        <v>5742</v>
      </c>
      <c r="N1898" s="17" t="s">
        <v>77</v>
      </c>
      <c r="O1898" t="s">
        <v>117</v>
      </c>
      <c r="V1898" s="18" t="s">
        <v>5742</v>
      </c>
      <c r="Y1898" t="s">
        <v>190</v>
      </c>
      <c r="AA1898" t="s">
        <v>118</v>
      </c>
      <c r="AB1898" t="s">
        <v>119</v>
      </c>
    </row>
    <row r="1899" ht="15" customHeight="1" spans="1:22" x14ac:dyDescent="0.25">
      <c r="A1899" s="17" t="s">
        <v>5743</v>
      </c>
      <c r="B1899" s="17" t="s">
        <v>70</v>
      </c>
      <c r="C1899" s="17" t="s">
        <v>71</v>
      </c>
      <c r="D1899" t="s">
        <v>5716</v>
      </c>
      <c r="F1899" t="s">
        <v>5744</v>
      </c>
      <c r="K1899" s="18">
        <f>6281339707384</f>
        <v>6281339707384</v>
      </c>
      <c r="N1899" s="17" t="s">
        <v>81</v>
      </c>
      <c r="V1899" s="18">
        <f>6281339707384</f>
        <v>6281339707384</v>
      </c>
    </row>
    <row r="1900" ht="15" customHeight="1" spans="1:28" x14ac:dyDescent="0.25">
      <c r="A1900" s="17" t="s">
        <v>5745</v>
      </c>
      <c r="B1900" s="17" t="s">
        <v>70</v>
      </c>
      <c r="C1900" s="17" t="s">
        <v>71</v>
      </c>
      <c r="D1900" t="s">
        <v>5716</v>
      </c>
      <c r="F1900" t="s">
        <v>5746</v>
      </c>
      <c r="J1900" t="s">
        <v>115</v>
      </c>
      <c r="K1900" s="18" t="s">
        <v>5747</v>
      </c>
      <c r="N1900" s="17" t="s">
        <v>77</v>
      </c>
      <c r="O1900" t="s">
        <v>199</v>
      </c>
      <c r="V1900" s="18" t="s">
        <v>5747</v>
      </c>
      <c r="Y1900" t="s">
        <v>2877</v>
      </c>
      <c r="AA1900" t="s">
        <v>115</v>
      </c>
      <c r="AB1900" t="s">
        <v>119</v>
      </c>
    </row>
    <row r="1901" ht="15" customHeight="1" spans="1:23" x14ac:dyDescent="0.25">
      <c r="A1901" s="17" t="s">
        <v>5748</v>
      </c>
      <c r="B1901" s="17" t="s">
        <v>70</v>
      </c>
      <c r="C1901" s="17" t="s">
        <v>71</v>
      </c>
      <c r="D1901" t="s">
        <v>5749</v>
      </c>
      <c r="F1901" t="s">
        <v>3869</v>
      </c>
      <c r="K1901" s="18">
        <f>6281315157531</f>
        <v>6281315157531</v>
      </c>
      <c r="N1901" s="17" t="s">
        <v>74</v>
      </c>
      <c r="U1901" s="17"/>
      <c r="V1901" s="18">
        <f>6281315157531</f>
        <v>6281315157531</v>
      </c>
      <c r="W1901" t="s">
        <v>5750</v>
      </c>
    </row>
    <row r="1902" ht="15" customHeight="1" spans="1:28" x14ac:dyDescent="0.25">
      <c r="A1902" s="17" t="s">
        <v>5751</v>
      </c>
      <c r="B1902" s="17" t="s">
        <v>70</v>
      </c>
      <c r="C1902" s="17" t="s">
        <v>71</v>
      </c>
      <c r="D1902" t="s">
        <v>5752</v>
      </c>
      <c r="F1902" t="s">
        <v>5753</v>
      </c>
      <c r="J1902" t="s">
        <v>5754</v>
      </c>
      <c r="K1902" s="18" t="s">
        <v>5755</v>
      </c>
      <c r="N1902" s="17" t="s">
        <v>77</v>
      </c>
      <c r="O1902" t="s">
        <v>145</v>
      </c>
      <c r="V1902" s="18" t="s">
        <v>5755</v>
      </c>
      <c r="Y1902" t="s">
        <v>90</v>
      </c>
      <c r="AA1902" t="s">
        <v>118</v>
      </c>
      <c r="AB1902" t="s">
        <v>119</v>
      </c>
    </row>
    <row r="1903" ht="15" customHeight="1" spans="1:22" x14ac:dyDescent="0.25">
      <c r="A1903" s="17" t="s">
        <v>5756</v>
      </c>
      <c r="B1903" s="17" t="s">
        <v>70</v>
      </c>
      <c r="C1903" s="17" t="s">
        <v>71</v>
      </c>
      <c r="D1903" t="s">
        <v>5752</v>
      </c>
      <c r="F1903" t="s">
        <v>5757</v>
      </c>
      <c r="K1903" s="18">
        <f>6287876583983</f>
        <v>6287876583983</v>
      </c>
      <c r="N1903" s="17" t="s">
        <v>81</v>
      </c>
      <c r="V1903" s="18">
        <f>6287876583983</f>
        <v>6287876583983</v>
      </c>
    </row>
    <row r="1904" ht="15" customHeight="1" spans="1:28" x14ac:dyDescent="0.25">
      <c r="A1904" s="17" t="s">
        <v>5758</v>
      </c>
      <c r="B1904" s="17" t="s">
        <v>70</v>
      </c>
      <c r="C1904" s="17" t="s">
        <v>71</v>
      </c>
      <c r="D1904" t="s">
        <v>5759</v>
      </c>
      <c r="F1904" t="s">
        <v>5760</v>
      </c>
      <c r="J1904" s="17" t="s">
        <v>5761</v>
      </c>
      <c r="K1904" s="18" t="s">
        <v>5762</v>
      </c>
      <c r="N1904" s="17" t="s">
        <v>77</v>
      </c>
      <c r="O1904" t="s">
        <v>145</v>
      </c>
      <c r="U1904" s="17"/>
      <c r="V1904" s="18" t="s">
        <v>5762</v>
      </c>
      <c r="W1904" t="s">
        <v>1349</v>
      </c>
      <c r="Y1904" t="s">
        <v>1349</v>
      </c>
      <c r="AA1904" t="s">
        <v>115</v>
      </c>
      <c r="AB1904" t="s">
        <v>1349</v>
      </c>
    </row>
    <row r="1905" ht="15" customHeight="1" spans="1:22" x14ac:dyDescent="0.25">
      <c r="A1905" s="17" t="s">
        <v>5763</v>
      </c>
      <c r="B1905" s="17" t="s">
        <v>70</v>
      </c>
      <c r="C1905" s="17" t="s">
        <v>71</v>
      </c>
      <c r="D1905" t="s">
        <v>5764</v>
      </c>
      <c r="F1905" t="s">
        <v>5764</v>
      </c>
      <c r="K1905" s="18">
        <f>628118251555</f>
        <v>628118251555</v>
      </c>
      <c r="N1905" s="17" t="s">
        <v>81</v>
      </c>
      <c r="V1905" s="18">
        <f>628118251555</f>
        <v>628118251555</v>
      </c>
    </row>
    <row r="1906" ht="15" customHeight="1" spans="1:22" x14ac:dyDescent="0.25">
      <c r="A1906" s="17" t="s">
        <v>5765</v>
      </c>
      <c r="B1906" s="17" t="s">
        <v>70</v>
      </c>
      <c r="C1906" s="17" t="s">
        <v>71</v>
      </c>
      <c r="D1906" t="s">
        <v>5764</v>
      </c>
      <c r="F1906" t="s">
        <v>5766</v>
      </c>
      <c r="K1906" s="18">
        <f>62818980467</f>
        <v>62818980467</v>
      </c>
      <c r="N1906" s="17" t="s">
        <v>77</v>
      </c>
      <c r="V1906" s="18">
        <f>62818980467</f>
        <v>62818980467</v>
      </c>
    </row>
    <row r="1907" ht="15" customHeight="1" spans="1:22" x14ac:dyDescent="0.25">
      <c r="A1907" s="17" t="s">
        <v>5767</v>
      </c>
      <c r="B1907" s="17" t="s">
        <v>70</v>
      </c>
      <c r="C1907" s="17" t="s">
        <v>71</v>
      </c>
      <c r="D1907" t="s">
        <v>5764</v>
      </c>
      <c r="F1907" t="s">
        <v>5768</v>
      </c>
      <c r="K1907" s="18">
        <f>628118242647</f>
        <v>628118242647</v>
      </c>
      <c r="N1907" s="17" t="s">
        <v>77</v>
      </c>
      <c r="V1907" s="18">
        <f>628118242647</f>
        <v>628118242647</v>
      </c>
    </row>
    <row r="1908" ht="15" customHeight="1" spans="1:22" x14ac:dyDescent="0.25">
      <c r="A1908" s="17" t="s">
        <v>5769</v>
      </c>
      <c r="B1908" s="17" t="s">
        <v>70</v>
      </c>
      <c r="C1908" s="17" t="s">
        <v>71</v>
      </c>
      <c r="D1908" t="s">
        <v>5770</v>
      </c>
      <c r="F1908" t="s">
        <v>5017</v>
      </c>
      <c r="K1908" s="18">
        <f>628159654404</f>
        <v>628159654404</v>
      </c>
      <c r="N1908" s="17" t="s">
        <v>81</v>
      </c>
      <c r="V1908" s="18">
        <f>628159654404</f>
        <v>628159654404</v>
      </c>
    </row>
    <row r="1909" ht="15" customHeight="1" spans="1:28" x14ac:dyDescent="0.25">
      <c r="A1909" s="17" t="s">
        <v>5771</v>
      </c>
      <c r="B1909" s="17" t="s">
        <v>70</v>
      </c>
      <c r="C1909" s="17" t="s">
        <v>71</v>
      </c>
      <c r="D1909" t="s">
        <v>5772</v>
      </c>
      <c r="F1909" t="s">
        <v>5773</v>
      </c>
      <c r="J1909" t="s">
        <v>115</v>
      </c>
      <c r="K1909" s="18" t="s">
        <v>5774</v>
      </c>
      <c r="N1909" s="17" t="s">
        <v>77</v>
      </c>
      <c r="O1909" t="s">
        <v>117</v>
      </c>
      <c r="V1909" s="18" t="s">
        <v>5774</v>
      </c>
      <c r="Y1909" t="s">
        <v>217</v>
      </c>
      <c r="AA1909" t="s">
        <v>218</v>
      </c>
      <c r="AB1909" t="s">
        <v>119</v>
      </c>
    </row>
    <row r="1910" ht="15" customHeight="1" spans="1:22" x14ac:dyDescent="0.25">
      <c r="A1910" s="17" t="s">
        <v>5775</v>
      </c>
      <c r="B1910" s="17" t="s">
        <v>70</v>
      </c>
      <c r="C1910" s="17" t="s">
        <v>71</v>
      </c>
      <c r="D1910" t="s">
        <v>5776</v>
      </c>
      <c r="F1910" t="s">
        <v>5777</v>
      </c>
      <c r="K1910" s="18">
        <f>628121192200</f>
        <v>628121192200</v>
      </c>
      <c r="N1910" s="17" t="s">
        <v>81</v>
      </c>
      <c r="V1910" s="18">
        <f>628121192200</f>
        <v>628121192200</v>
      </c>
    </row>
    <row r="1911" ht="15" customHeight="1" spans="1:28" x14ac:dyDescent="0.25">
      <c r="A1911" s="17" t="s">
        <v>5778</v>
      </c>
      <c r="B1911" s="17" t="s">
        <v>70</v>
      </c>
      <c r="C1911" s="17" t="s">
        <v>71</v>
      </c>
      <c r="D1911" t="s">
        <v>5776</v>
      </c>
      <c r="F1911" t="s">
        <v>5779</v>
      </c>
      <c r="J1911" t="s">
        <v>115</v>
      </c>
      <c r="K1911" s="18" t="s">
        <v>5780</v>
      </c>
      <c r="N1911" s="17" t="s">
        <v>77</v>
      </c>
      <c r="O1911" t="s">
        <v>261</v>
      </c>
      <c r="V1911" s="18" t="s">
        <v>5780</v>
      </c>
      <c r="Y1911" t="s">
        <v>90</v>
      </c>
      <c r="AA1911" t="s">
        <v>118</v>
      </c>
      <c r="AB1911" t="s">
        <v>119</v>
      </c>
    </row>
    <row r="1912" ht="15" customHeight="1" spans="1:27" x14ac:dyDescent="0.25">
      <c r="A1912" s="17" t="s">
        <v>5781</v>
      </c>
      <c r="B1912" s="17" t="s">
        <v>70</v>
      </c>
      <c r="C1912" s="17" t="s">
        <v>71</v>
      </c>
      <c r="D1912" t="s">
        <v>5782</v>
      </c>
      <c r="F1912" t="s">
        <v>5783</v>
      </c>
      <c r="K1912" s="18">
        <f>6281513600524</f>
        <v>6281513600524</v>
      </c>
      <c r="N1912" s="17" t="s">
        <v>77</v>
      </c>
      <c r="U1912" s="17"/>
      <c r="V1912" s="18">
        <f>6281513600524</f>
        <v>6281513600524</v>
      </c>
      <c r="W1912" t="s">
        <v>5784</v>
      </c>
      <c r="Y1912" s="17" t="s">
        <v>96</v>
      </c>
      <c r="AA1912" s="17" t="s">
        <v>5785</v>
      </c>
    </row>
    <row r="1913" ht="15" customHeight="1" spans="1:28" x14ac:dyDescent="0.25">
      <c r="A1913" s="17" t="s">
        <v>5786</v>
      </c>
      <c r="B1913" s="17" t="s">
        <v>70</v>
      </c>
      <c r="C1913" s="17" t="s">
        <v>71</v>
      </c>
      <c r="D1913" t="s">
        <v>5787</v>
      </c>
      <c r="F1913" t="s">
        <v>5788</v>
      </c>
      <c r="J1913" s="17" t="s">
        <v>5789</v>
      </c>
      <c r="K1913" s="18" t="s">
        <v>5790</v>
      </c>
      <c r="N1913" s="17" t="s">
        <v>77</v>
      </c>
      <c r="O1913" t="s">
        <v>145</v>
      </c>
      <c r="U1913" s="17"/>
      <c r="V1913" s="18" t="s">
        <v>5790</v>
      </c>
      <c r="W1913" t="s">
        <v>5791</v>
      </c>
      <c r="Y1913" t="s">
        <v>90</v>
      </c>
      <c r="AA1913" t="s">
        <v>118</v>
      </c>
      <c r="AB1913" t="s">
        <v>119</v>
      </c>
    </row>
    <row r="1914" ht="15" customHeight="1" spans="1:22" x14ac:dyDescent="0.25">
      <c r="A1914" s="17" t="s">
        <v>5792</v>
      </c>
      <c r="B1914" s="17" t="s">
        <v>70</v>
      </c>
      <c r="C1914" s="17" t="s">
        <v>71</v>
      </c>
      <c r="D1914" t="s">
        <v>5793</v>
      </c>
      <c r="F1914" t="s">
        <v>5793</v>
      </c>
      <c r="K1914" s="18">
        <f>6287877112626</f>
        <v>6287877112626</v>
      </c>
      <c r="N1914" s="17" t="s">
        <v>77</v>
      </c>
      <c r="V1914" s="18">
        <f>6287877112626</f>
        <v>6287877112626</v>
      </c>
    </row>
    <row r="1915" ht="15" customHeight="1" spans="1:22" x14ac:dyDescent="0.25">
      <c r="A1915" s="17" t="s">
        <v>5794</v>
      </c>
      <c r="B1915" s="17" t="s">
        <v>70</v>
      </c>
      <c r="C1915" s="17" t="s">
        <v>71</v>
      </c>
      <c r="D1915" t="s">
        <v>5795</v>
      </c>
      <c r="F1915" t="s">
        <v>5796</v>
      </c>
      <c r="K1915" s="18">
        <f>971585327006</f>
        <v>971585327006</v>
      </c>
      <c r="N1915" s="17" t="s">
        <v>77</v>
      </c>
      <c r="V1915" s="18">
        <f>971585327006</f>
        <v>971585327006</v>
      </c>
    </row>
    <row r="1916" ht="15" customHeight="1" spans="1:22" x14ac:dyDescent="0.25">
      <c r="A1916" s="17" t="s">
        <v>5797</v>
      </c>
      <c r="B1916" s="17" t="s">
        <v>70</v>
      </c>
      <c r="C1916" s="17" t="s">
        <v>71</v>
      </c>
      <c r="D1916" t="s">
        <v>5795</v>
      </c>
      <c r="F1916" t="s">
        <v>3605</v>
      </c>
      <c r="K1916" s="18">
        <f>6281905698899</f>
        <v>6281905698899</v>
      </c>
      <c r="N1916" s="17" t="s">
        <v>74</v>
      </c>
      <c r="V1916" s="18">
        <f>6281905698899</f>
        <v>6281905698899</v>
      </c>
    </row>
    <row r="1917" ht="15" customHeight="1" spans="1:23" x14ac:dyDescent="0.25">
      <c r="A1917" s="17" t="s">
        <v>5798</v>
      </c>
      <c r="B1917" s="17" t="s">
        <v>70</v>
      </c>
      <c r="C1917" s="17" t="s">
        <v>71</v>
      </c>
      <c r="D1917" t="s">
        <v>5795</v>
      </c>
      <c r="F1917" t="s">
        <v>5799</v>
      </c>
      <c r="K1917" s="18">
        <f>61408836632</f>
        <v>61408836632</v>
      </c>
      <c r="N1917" s="17" t="s">
        <v>81</v>
      </c>
      <c r="U1917" s="17"/>
      <c r="V1917" s="18">
        <f>61408836632</f>
        <v>61408836632</v>
      </c>
      <c r="W1917" t="s">
        <v>5800</v>
      </c>
    </row>
    <row r="1918" ht="15" customHeight="1" spans="1:28" x14ac:dyDescent="0.25">
      <c r="A1918" s="17" t="s">
        <v>5801</v>
      </c>
      <c r="B1918" s="17" t="s">
        <v>70</v>
      </c>
      <c r="C1918" s="17" t="s">
        <v>71</v>
      </c>
      <c r="D1918" t="s">
        <v>5795</v>
      </c>
      <c r="F1918" t="s">
        <v>5802</v>
      </c>
      <c r="J1918" s="17" t="s">
        <v>5803</v>
      </c>
      <c r="K1918" s="18" t="s">
        <v>5804</v>
      </c>
      <c r="N1918" s="17" t="s">
        <v>77</v>
      </c>
      <c r="O1918" t="s">
        <v>199</v>
      </c>
      <c r="V1918" s="18" t="s">
        <v>5804</v>
      </c>
      <c r="Y1918" t="s">
        <v>115</v>
      </c>
      <c r="AA1918" t="s">
        <v>115</v>
      </c>
      <c r="AB1918" t="s">
        <v>119</v>
      </c>
    </row>
    <row r="1919" ht="15" customHeight="1" spans="1:22" x14ac:dyDescent="0.25">
      <c r="A1919" s="17" t="s">
        <v>5805</v>
      </c>
      <c r="B1919" s="17" t="s">
        <v>70</v>
      </c>
      <c r="C1919" s="17" t="s">
        <v>71</v>
      </c>
      <c r="D1919" t="s">
        <v>5806</v>
      </c>
      <c r="F1919" t="s">
        <v>5807</v>
      </c>
      <c r="K1919" s="18">
        <f>6281519218605</f>
        <v>6281519218605</v>
      </c>
      <c r="N1919" s="17" t="s">
        <v>77</v>
      </c>
      <c r="V1919" s="18">
        <f>6281519218605</f>
        <v>6281519218605</v>
      </c>
    </row>
    <row r="1920" ht="15" customHeight="1" spans="1:23" x14ac:dyDescent="0.25">
      <c r="A1920" s="17" t="s">
        <v>5808</v>
      </c>
      <c r="B1920" s="17" t="s">
        <v>70</v>
      </c>
      <c r="C1920" s="17" t="s">
        <v>71</v>
      </c>
      <c r="D1920" t="s">
        <v>5809</v>
      </c>
      <c r="F1920" t="s">
        <v>5810</v>
      </c>
      <c r="K1920" s="18">
        <f>62811289005</f>
        <v>62811289005</v>
      </c>
      <c r="N1920" s="17" t="s">
        <v>77</v>
      </c>
      <c r="U1920" s="17"/>
      <c r="V1920" s="18">
        <f>62811289005</f>
        <v>62811289005</v>
      </c>
      <c r="W1920" t="s">
        <v>5811</v>
      </c>
    </row>
    <row r="1921" ht="15" customHeight="1" spans="1:22" x14ac:dyDescent="0.25">
      <c r="A1921" s="17" t="s">
        <v>5812</v>
      </c>
      <c r="B1921" s="17" t="s">
        <v>70</v>
      </c>
      <c r="C1921" s="17" t="s">
        <v>71</v>
      </c>
      <c r="D1921" t="s">
        <v>5813</v>
      </c>
      <c r="F1921" t="s">
        <v>5814</v>
      </c>
      <c r="K1921" s="18">
        <f>6285814823882</f>
        <v>6285814823882</v>
      </c>
      <c r="N1921" s="17" t="s">
        <v>77</v>
      </c>
      <c r="V1921" s="18">
        <f>6285814823882</f>
        <v>6285814823882</v>
      </c>
    </row>
    <row r="1922" ht="15" customHeight="1" spans="1:25" x14ac:dyDescent="0.25">
      <c r="A1922" s="17" t="s">
        <v>5815</v>
      </c>
      <c r="B1922" s="17" t="s">
        <v>70</v>
      </c>
      <c r="C1922" s="17" t="s">
        <v>71</v>
      </c>
      <c r="D1922" t="s">
        <v>5816</v>
      </c>
      <c r="F1922" t="s">
        <v>5816</v>
      </c>
      <c r="K1922" s="18">
        <f>6282198288882</f>
        <v>6282198288882</v>
      </c>
      <c r="N1922" s="17" t="s">
        <v>81</v>
      </c>
      <c r="V1922" s="18">
        <f>6282198288882</f>
        <v>6282198288882</v>
      </c>
      <c r="Y1922" s="17" t="s">
        <v>5817</v>
      </c>
    </row>
    <row r="1923" ht="15" customHeight="1" spans="1:25" x14ac:dyDescent="0.25">
      <c r="A1923" s="17" t="s">
        <v>5818</v>
      </c>
      <c r="B1923" s="17" t="s">
        <v>70</v>
      </c>
      <c r="C1923" s="17" t="s">
        <v>71</v>
      </c>
      <c r="D1923" t="s">
        <v>5816</v>
      </c>
      <c r="F1923" t="s">
        <v>5819</v>
      </c>
      <c r="K1923" s="18">
        <f>62213902789</f>
        <v>62213902789</v>
      </c>
      <c r="N1923" s="17" t="s">
        <v>77</v>
      </c>
      <c r="U1923" s="17"/>
      <c r="V1923" s="18">
        <f>62213902789</f>
        <v>62213902789</v>
      </c>
      <c r="W1923" t="s">
        <v>5820</v>
      </c>
      <c r="Y1923" s="17" t="s">
        <v>5821</v>
      </c>
    </row>
    <row r="1924" ht="15" customHeight="1" spans="1:22" x14ac:dyDescent="0.25">
      <c r="A1924" s="17" t="s">
        <v>5822</v>
      </c>
      <c r="B1924" s="17" t="s">
        <v>70</v>
      </c>
      <c r="C1924" s="17" t="s">
        <v>71</v>
      </c>
      <c r="D1924" t="s">
        <v>5816</v>
      </c>
      <c r="F1924" t="s">
        <v>307</v>
      </c>
      <c r="K1924" s="18">
        <f>62811130769</f>
        <v>62811130769</v>
      </c>
      <c r="N1924" s="17" t="s">
        <v>81</v>
      </c>
      <c r="V1924" s="18">
        <f>62811130769</f>
        <v>62811130769</v>
      </c>
    </row>
    <row r="1925" ht="15" customHeight="1" spans="1:22" x14ac:dyDescent="0.25">
      <c r="A1925" s="17" t="s">
        <v>5823</v>
      </c>
      <c r="B1925" s="17" t="s">
        <v>70</v>
      </c>
      <c r="C1925" s="17" t="s">
        <v>71</v>
      </c>
      <c r="D1925" t="s">
        <v>5816</v>
      </c>
      <c r="F1925" t="s">
        <v>5824</v>
      </c>
      <c r="K1925" s="18">
        <f>628161122379</f>
        <v>628161122379</v>
      </c>
      <c r="N1925" s="17" t="s">
        <v>77</v>
      </c>
      <c r="V1925" s="18">
        <f>628161122379</f>
        <v>628161122379</v>
      </c>
    </row>
    <row r="1926" ht="15" customHeight="1" spans="1:22" x14ac:dyDescent="0.25">
      <c r="A1926" s="17" t="s">
        <v>5825</v>
      </c>
      <c r="B1926" s="17" t="s">
        <v>70</v>
      </c>
      <c r="C1926" s="17" t="s">
        <v>71</v>
      </c>
      <c r="D1926" t="s">
        <v>5816</v>
      </c>
      <c r="F1926" t="s">
        <v>5826</v>
      </c>
      <c r="K1926" s="18">
        <f>6281225682017</f>
        <v>6281225682017</v>
      </c>
      <c r="N1926" s="17" t="s">
        <v>77</v>
      </c>
      <c r="V1926" s="18">
        <f>6281225682017</f>
        <v>6281225682017</v>
      </c>
    </row>
    <row r="1927" ht="15" customHeight="1" spans="1:23" x14ac:dyDescent="0.25">
      <c r="A1927" s="17" t="s">
        <v>5827</v>
      </c>
      <c r="B1927" s="17" t="s">
        <v>70</v>
      </c>
      <c r="C1927" s="17" t="s">
        <v>71</v>
      </c>
      <c r="D1927" t="s">
        <v>5816</v>
      </c>
      <c r="F1927" t="s">
        <v>1024</v>
      </c>
      <c r="K1927" s="18">
        <f>62811117650</f>
        <v>62811117650</v>
      </c>
      <c r="N1927" s="17" t="s">
        <v>77</v>
      </c>
      <c r="U1927" s="17"/>
      <c r="V1927" s="18">
        <f>62811117650</f>
        <v>62811117650</v>
      </c>
      <c r="W1927" t="s">
        <v>5828</v>
      </c>
    </row>
    <row r="1928" ht="15" customHeight="1" spans="1:22" x14ac:dyDescent="0.25">
      <c r="A1928" s="17" t="s">
        <v>5829</v>
      </c>
      <c r="B1928" s="17" t="s">
        <v>70</v>
      </c>
      <c r="C1928" s="17" t="s">
        <v>71</v>
      </c>
      <c r="D1928" t="s">
        <v>5816</v>
      </c>
      <c r="F1928" t="s">
        <v>5830</v>
      </c>
      <c r="K1928" s="18">
        <f>62816806889</f>
        <v>62816806889</v>
      </c>
      <c r="N1928" s="17" t="s">
        <v>77</v>
      </c>
      <c r="V1928" s="18">
        <f>62816806889</f>
        <v>62816806889</v>
      </c>
    </row>
    <row r="1929" ht="15" customHeight="1" spans="1:28" x14ac:dyDescent="0.25">
      <c r="A1929" s="17" t="s">
        <v>5831</v>
      </c>
      <c r="B1929" s="17" t="s">
        <v>70</v>
      </c>
      <c r="C1929" s="17" t="s">
        <v>71</v>
      </c>
      <c r="D1929" t="s">
        <v>5816</v>
      </c>
      <c r="F1929" t="s">
        <v>212</v>
      </c>
      <c r="J1929" t="s">
        <v>115</v>
      </c>
      <c r="K1929" s="18" t="s">
        <v>5832</v>
      </c>
      <c r="N1929" s="17" t="s">
        <v>77</v>
      </c>
      <c r="O1929" t="s">
        <v>117</v>
      </c>
      <c r="V1929" s="18" t="s">
        <v>5832</v>
      </c>
      <c r="Y1929" t="s">
        <v>190</v>
      </c>
      <c r="AA1929" t="s">
        <v>118</v>
      </c>
      <c r="AB1929" t="s">
        <v>119</v>
      </c>
    </row>
    <row r="1930" ht="15" customHeight="1" spans="1:23" x14ac:dyDescent="0.25">
      <c r="A1930" s="17" t="s">
        <v>5833</v>
      </c>
      <c r="B1930" s="17" t="s">
        <v>70</v>
      </c>
      <c r="C1930" s="17" t="s">
        <v>71</v>
      </c>
      <c r="D1930" t="s">
        <v>5816</v>
      </c>
      <c r="F1930" t="s">
        <v>5834</v>
      </c>
      <c r="K1930" s="18">
        <f>62816919098</f>
        <v>62816919098</v>
      </c>
      <c r="N1930" s="17" t="s">
        <v>74</v>
      </c>
      <c r="U1930" s="17"/>
      <c r="V1930" s="18">
        <f>62816919098</f>
        <v>62816919098</v>
      </c>
      <c r="W1930" t="s">
        <v>5835</v>
      </c>
    </row>
    <row r="1931" ht="15" customHeight="1" spans="1:28" x14ac:dyDescent="0.25">
      <c r="A1931" s="17" t="s">
        <v>5836</v>
      </c>
      <c r="B1931" s="17" t="s">
        <v>70</v>
      </c>
      <c r="C1931" s="17" t="s">
        <v>71</v>
      </c>
      <c r="D1931" t="s">
        <v>5837</v>
      </c>
      <c r="F1931" t="s">
        <v>5838</v>
      </c>
      <c r="J1931" t="s">
        <v>115</v>
      </c>
      <c r="K1931" s="18" t="s">
        <v>5839</v>
      </c>
      <c r="N1931" s="17" t="s">
        <v>77</v>
      </c>
      <c r="O1931" t="s">
        <v>117</v>
      </c>
      <c r="V1931" s="18" t="s">
        <v>5839</v>
      </c>
      <c r="Y1931" t="s">
        <v>190</v>
      </c>
      <c r="AA1931" t="s">
        <v>118</v>
      </c>
      <c r="AB1931" t="s">
        <v>119</v>
      </c>
    </row>
    <row r="1932" ht="15" customHeight="1" spans="1:22" x14ac:dyDescent="0.25">
      <c r="A1932" s="17" t="s">
        <v>5840</v>
      </c>
      <c r="B1932" s="17" t="s">
        <v>70</v>
      </c>
      <c r="C1932" s="17" t="s">
        <v>71</v>
      </c>
      <c r="D1932" t="s">
        <v>5816</v>
      </c>
      <c r="F1932" t="s">
        <v>4458</v>
      </c>
      <c r="K1932" s="18">
        <f>62811105354</f>
        <v>62811105354</v>
      </c>
      <c r="N1932" s="17" t="s">
        <v>77</v>
      </c>
      <c r="V1932" s="18">
        <f>62811105354</f>
        <v>62811105354</v>
      </c>
    </row>
    <row r="1933" ht="15" customHeight="1" spans="1:22" x14ac:dyDescent="0.25">
      <c r="A1933" s="17" t="s">
        <v>5841</v>
      </c>
      <c r="B1933" s="17" t="s">
        <v>70</v>
      </c>
      <c r="C1933" s="17" t="s">
        <v>71</v>
      </c>
      <c r="D1933" t="s">
        <v>5816</v>
      </c>
      <c r="F1933" t="s">
        <v>5842</v>
      </c>
      <c r="K1933" s="18">
        <f>6287887929418</f>
        <v>6287887929418</v>
      </c>
      <c r="N1933" s="17" t="s">
        <v>77</v>
      </c>
      <c r="V1933" s="18">
        <f>6287887929418</f>
        <v>6287887929418</v>
      </c>
    </row>
    <row r="1934" ht="15" customHeight="1" spans="1:28" x14ac:dyDescent="0.25">
      <c r="A1934" s="17" t="s">
        <v>5843</v>
      </c>
      <c r="B1934" s="17" t="s">
        <v>70</v>
      </c>
      <c r="C1934" s="17" t="s">
        <v>71</v>
      </c>
      <c r="D1934" t="s">
        <v>5816</v>
      </c>
      <c r="F1934" t="s">
        <v>629</v>
      </c>
      <c r="J1934" s="17" t="s">
        <v>5844</v>
      </c>
      <c r="K1934" s="18" t="s">
        <v>5845</v>
      </c>
      <c r="N1934" s="17" t="s">
        <v>81</v>
      </c>
      <c r="O1934" t="s">
        <v>145</v>
      </c>
      <c r="U1934" s="17"/>
      <c r="V1934" s="18" t="s">
        <v>5845</v>
      </c>
      <c r="W1934" t="s">
        <v>5846</v>
      </c>
      <c r="Y1934" s="17" t="s">
        <v>90</v>
      </c>
      <c r="AA1934" s="17" t="s">
        <v>118</v>
      </c>
      <c r="AB1934" t="s">
        <v>119</v>
      </c>
    </row>
    <row r="1935" ht="15" customHeight="1" spans="1:22" x14ac:dyDescent="0.25">
      <c r="A1935" s="17" t="s">
        <v>5847</v>
      </c>
      <c r="B1935" s="17" t="s">
        <v>70</v>
      </c>
      <c r="C1935" s="17" t="s">
        <v>71</v>
      </c>
      <c r="D1935" t="s">
        <v>5816</v>
      </c>
      <c r="F1935" t="s">
        <v>5848</v>
      </c>
      <c r="K1935" s="18">
        <f>628126085555</f>
        <v>628126085555</v>
      </c>
      <c r="N1935" s="17" t="s">
        <v>77</v>
      </c>
      <c r="V1935" s="18">
        <f>628126085555</f>
        <v>628126085555</v>
      </c>
    </row>
    <row r="1936" ht="15" customHeight="1" spans="1:22" x14ac:dyDescent="0.25">
      <c r="A1936" s="17" t="s">
        <v>5849</v>
      </c>
      <c r="B1936" s="17" t="s">
        <v>70</v>
      </c>
      <c r="C1936" s="17" t="s">
        <v>71</v>
      </c>
      <c r="D1936" t="s">
        <v>5816</v>
      </c>
      <c r="F1936" t="s">
        <v>5850</v>
      </c>
      <c r="K1936" s="18">
        <f>6281219019863</f>
        <v>6281219019863</v>
      </c>
      <c r="N1936" s="17" t="s">
        <v>81</v>
      </c>
      <c r="V1936" s="18">
        <f>6281219019863</f>
        <v>6281219019863</v>
      </c>
    </row>
    <row r="1937" ht="15" customHeight="1" spans="1:25" x14ac:dyDescent="0.25">
      <c r="A1937" s="17" t="s">
        <v>5851</v>
      </c>
      <c r="B1937" s="17" t="s">
        <v>70</v>
      </c>
      <c r="C1937" s="17" t="s">
        <v>71</v>
      </c>
      <c r="D1937" t="s">
        <v>5816</v>
      </c>
      <c r="F1937" t="s">
        <v>5852</v>
      </c>
      <c r="K1937" s="18">
        <f>62816936666</f>
        <v>62816936666</v>
      </c>
      <c r="N1937" s="17" t="s">
        <v>77</v>
      </c>
      <c r="U1937" s="17"/>
      <c r="V1937" s="18">
        <f>62816936666</f>
        <v>62816936666</v>
      </c>
      <c r="W1937" t="s">
        <v>5853</v>
      </c>
      <c r="Y1937" s="17" t="s">
        <v>378</v>
      </c>
    </row>
    <row r="1938" ht="15" customHeight="1" spans="1:27" x14ac:dyDescent="0.25">
      <c r="A1938" s="17" t="s">
        <v>5854</v>
      </c>
      <c r="B1938" s="17" t="s">
        <v>70</v>
      </c>
      <c r="C1938" s="17" t="s">
        <v>71</v>
      </c>
      <c r="D1938" t="s">
        <v>5816</v>
      </c>
      <c r="F1938" t="s">
        <v>5777</v>
      </c>
      <c r="K1938" s="18">
        <f>62899991606</f>
        <v>62899991606</v>
      </c>
      <c r="N1938" s="17" t="s">
        <v>77</v>
      </c>
      <c r="U1938" s="17"/>
      <c r="V1938" s="18">
        <f>62899991606</f>
        <v>62899991606</v>
      </c>
      <c r="W1938" t="s">
        <v>5855</v>
      </c>
      <c r="Y1938" s="17" t="s">
        <v>1084</v>
      </c>
      <c r="AA1938" s="17" t="s">
        <v>5003</v>
      </c>
    </row>
    <row r="1939" ht="15" customHeight="1" spans="1:22" x14ac:dyDescent="0.25">
      <c r="A1939" s="17" t="s">
        <v>5856</v>
      </c>
      <c r="B1939" s="17" t="s">
        <v>70</v>
      </c>
      <c r="C1939" s="17" t="s">
        <v>71</v>
      </c>
      <c r="D1939" t="s">
        <v>5816</v>
      </c>
      <c r="F1939" t="s">
        <v>1079</v>
      </c>
      <c r="K1939" s="18">
        <f>6287882262555</f>
        <v>6287882262555</v>
      </c>
      <c r="N1939" s="17" t="s">
        <v>81</v>
      </c>
      <c r="V1939" s="18">
        <f>6287882262555</f>
        <v>6287882262555</v>
      </c>
    </row>
    <row r="1940" ht="15" customHeight="1" spans="1:28" x14ac:dyDescent="0.25">
      <c r="A1940" s="17" t="s">
        <v>5857</v>
      </c>
      <c r="B1940" s="17" t="s">
        <v>70</v>
      </c>
      <c r="C1940" s="17" t="s">
        <v>71</v>
      </c>
      <c r="D1940" t="s">
        <v>5816</v>
      </c>
      <c r="F1940" t="s">
        <v>153</v>
      </c>
      <c r="J1940" s="17" t="s">
        <v>5858</v>
      </c>
      <c r="K1940" s="18" t="s">
        <v>5859</v>
      </c>
      <c r="N1940" s="17" t="s">
        <v>77</v>
      </c>
      <c r="O1940" t="s">
        <v>1188</v>
      </c>
      <c r="U1940" s="17"/>
      <c r="V1940" s="18" t="s">
        <v>5859</v>
      </c>
      <c r="W1940" t="s">
        <v>5860</v>
      </c>
      <c r="Y1940" s="17" t="s">
        <v>190</v>
      </c>
      <c r="AA1940" t="s">
        <v>118</v>
      </c>
      <c r="AB1940" t="s">
        <v>119</v>
      </c>
    </row>
    <row r="1941" ht="15" customHeight="1" spans="1:28" x14ac:dyDescent="0.25">
      <c r="A1941" s="17" t="s">
        <v>5861</v>
      </c>
      <c r="B1941" s="17" t="s">
        <v>70</v>
      </c>
      <c r="C1941" s="17" t="s">
        <v>71</v>
      </c>
      <c r="D1941" t="s">
        <v>5816</v>
      </c>
      <c r="F1941" t="s">
        <v>5862</v>
      </c>
      <c r="J1941" t="s">
        <v>115</v>
      </c>
      <c r="K1941" s="18" t="s">
        <v>5863</v>
      </c>
      <c r="N1941" s="17" t="s">
        <v>77</v>
      </c>
      <c r="O1941" t="s">
        <v>145</v>
      </c>
      <c r="V1941" s="18" t="s">
        <v>5863</v>
      </c>
      <c r="Y1941" t="s">
        <v>90</v>
      </c>
      <c r="AA1941" t="s">
        <v>118</v>
      </c>
      <c r="AB1941" t="s">
        <v>119</v>
      </c>
    </row>
    <row r="1942" ht="15" customHeight="1" spans="1:22" x14ac:dyDescent="0.25">
      <c r="A1942" s="17" t="s">
        <v>5864</v>
      </c>
      <c r="B1942" s="17" t="s">
        <v>70</v>
      </c>
      <c r="C1942" s="17" t="s">
        <v>71</v>
      </c>
      <c r="D1942" t="s">
        <v>5865</v>
      </c>
      <c r="F1942" t="s">
        <v>5865</v>
      </c>
      <c r="K1942" s="18">
        <f>62811196327</f>
        <v>62811196327</v>
      </c>
      <c r="N1942" s="17" t="s">
        <v>81</v>
      </c>
      <c r="V1942" s="18">
        <f>62811196327</f>
        <v>62811196327</v>
      </c>
    </row>
    <row r="1943" ht="15" customHeight="1" spans="1:28" x14ac:dyDescent="0.25">
      <c r="A1943" s="17" t="s">
        <v>5866</v>
      </c>
      <c r="B1943" s="17" t="s">
        <v>70</v>
      </c>
      <c r="C1943" s="17" t="s">
        <v>71</v>
      </c>
      <c r="D1943" t="s">
        <v>5865</v>
      </c>
      <c r="F1943" t="s">
        <v>1783</v>
      </c>
      <c r="J1943" t="s">
        <v>115</v>
      </c>
      <c r="K1943" s="18" t="s">
        <v>5867</v>
      </c>
      <c r="N1943" s="17" t="s">
        <v>74</v>
      </c>
      <c r="O1943" t="s">
        <v>489</v>
      </c>
      <c r="U1943" s="17"/>
      <c r="V1943" s="18" t="s">
        <v>5867</v>
      </c>
      <c r="W1943" t="s">
        <v>5868</v>
      </c>
      <c r="Y1943" t="s">
        <v>378</v>
      </c>
      <c r="AA1943" t="s">
        <v>118</v>
      </c>
      <c r="AB1943" t="s">
        <v>119</v>
      </c>
    </row>
    <row r="1944" ht="15" customHeight="1" spans="1:25" x14ac:dyDescent="0.25">
      <c r="A1944" s="17" t="s">
        <v>5869</v>
      </c>
      <c r="B1944" s="17" t="s">
        <v>70</v>
      </c>
      <c r="C1944" s="17" t="s">
        <v>71</v>
      </c>
      <c r="D1944" t="s">
        <v>3083</v>
      </c>
      <c r="F1944" t="s">
        <v>3083</v>
      </c>
      <c r="K1944" s="18">
        <f>628161320790</f>
        <v>628161320790</v>
      </c>
      <c r="N1944" s="17" t="s">
        <v>77</v>
      </c>
      <c r="U1944" s="17"/>
      <c r="V1944" s="18">
        <f>628161320790</f>
        <v>628161320790</v>
      </c>
      <c r="W1944" t="s">
        <v>5870</v>
      </c>
      <c r="Y1944" s="17" t="s">
        <v>378</v>
      </c>
    </row>
    <row r="1945" ht="15" customHeight="1" spans="1:28" x14ac:dyDescent="0.25">
      <c r="A1945" s="17" t="s">
        <v>5871</v>
      </c>
      <c r="B1945" s="17" t="s">
        <v>70</v>
      </c>
      <c r="C1945" s="17" t="s">
        <v>71</v>
      </c>
      <c r="D1945" t="s">
        <v>3083</v>
      </c>
      <c r="F1945" t="s">
        <v>5402</v>
      </c>
      <c r="J1945" s="17" t="s">
        <v>5872</v>
      </c>
      <c r="K1945" s="18" t="s">
        <v>5873</v>
      </c>
      <c r="N1945" s="17" t="s">
        <v>77</v>
      </c>
      <c r="O1945" t="s">
        <v>145</v>
      </c>
      <c r="V1945" s="18" t="s">
        <v>5873</v>
      </c>
      <c r="Y1945" t="s">
        <v>90</v>
      </c>
      <c r="AA1945" t="s">
        <v>118</v>
      </c>
      <c r="AB1945" t="s">
        <v>119</v>
      </c>
    </row>
    <row r="1946" ht="15" customHeight="1" spans="1:22" x14ac:dyDescent="0.25">
      <c r="A1946" s="17" t="s">
        <v>5874</v>
      </c>
      <c r="B1946" s="17" t="s">
        <v>70</v>
      </c>
      <c r="C1946" s="17" t="s">
        <v>71</v>
      </c>
      <c r="D1946" t="s">
        <v>5875</v>
      </c>
      <c r="F1946" t="s">
        <v>5777</v>
      </c>
      <c r="K1946" s="18">
        <f>6287781145646</f>
        <v>6287781145646</v>
      </c>
      <c r="N1946" s="17" t="s">
        <v>81</v>
      </c>
      <c r="V1946" s="18">
        <f>6287781145646</f>
        <v>6287781145646</v>
      </c>
    </row>
    <row r="1947" ht="15" customHeight="1" spans="1:22" x14ac:dyDescent="0.25">
      <c r="A1947" s="17" t="s">
        <v>5876</v>
      </c>
      <c r="B1947" s="17" t="s">
        <v>70</v>
      </c>
      <c r="C1947" s="17" t="s">
        <v>71</v>
      </c>
      <c r="D1947" t="s">
        <v>5877</v>
      </c>
      <c r="F1947" t="s">
        <v>5878</v>
      </c>
      <c r="K1947" s="18">
        <f>79214160016</f>
        <v>79214160016</v>
      </c>
      <c r="N1947" s="17" t="s">
        <v>77</v>
      </c>
      <c r="V1947" s="18">
        <f>79214160016</f>
        <v>79214160016</v>
      </c>
    </row>
    <row r="1948" ht="15" customHeight="1" spans="1:25" x14ac:dyDescent="0.25">
      <c r="A1948" s="17" t="s">
        <v>5879</v>
      </c>
      <c r="B1948" s="17" t="s">
        <v>70</v>
      </c>
      <c r="C1948" s="17" t="s">
        <v>71</v>
      </c>
      <c r="D1948" t="s">
        <v>5880</v>
      </c>
      <c r="F1948" t="s">
        <v>5880</v>
      </c>
      <c r="J1948" s="17" t="s">
        <v>5881</v>
      </c>
      <c r="K1948" s="18">
        <v>7478460531</v>
      </c>
      <c r="N1948" s="17" t="s">
        <v>77</v>
      </c>
      <c r="U1948" s="17"/>
      <c r="V1948" s="18">
        <v>7478460531</v>
      </c>
      <c r="W1948" t="s">
        <v>5882</v>
      </c>
      <c r="Y1948" s="17" t="s">
        <v>1084</v>
      </c>
    </row>
    <row r="1949" ht="15" customHeight="1" spans="1:28" x14ac:dyDescent="0.25">
      <c r="A1949" s="17" t="s">
        <v>5883</v>
      </c>
      <c r="B1949" s="17" t="s">
        <v>70</v>
      </c>
      <c r="C1949" s="17" t="s">
        <v>71</v>
      </c>
      <c r="D1949" t="s">
        <v>5884</v>
      </c>
      <c r="F1949" t="s">
        <v>1754</v>
      </c>
      <c r="J1949" t="s">
        <v>5885</v>
      </c>
      <c r="K1949" s="18" t="s">
        <v>5886</v>
      </c>
      <c r="N1949" s="17" t="s">
        <v>74</v>
      </c>
      <c r="O1949" t="s">
        <v>489</v>
      </c>
      <c r="U1949" s="17"/>
      <c r="V1949" s="18" t="s">
        <v>5886</v>
      </c>
      <c r="W1949" t="s">
        <v>5887</v>
      </c>
      <c r="Y1949" t="s">
        <v>1084</v>
      </c>
      <c r="AA1949" t="s">
        <v>3146</v>
      </c>
      <c r="AB1949" t="s">
        <v>119</v>
      </c>
    </row>
    <row r="1950" ht="15" customHeight="1" spans="1:23" x14ac:dyDescent="0.25">
      <c r="A1950" s="17" t="s">
        <v>5888</v>
      </c>
      <c r="B1950" s="17" t="s">
        <v>70</v>
      </c>
      <c r="C1950" s="17" t="s">
        <v>71</v>
      </c>
      <c r="D1950" t="s">
        <v>5889</v>
      </c>
      <c r="F1950" t="s">
        <v>5890</v>
      </c>
      <c r="K1950" s="18">
        <f>61420871688</f>
        <v>61420871688</v>
      </c>
      <c r="N1950" s="17" t="s">
        <v>81</v>
      </c>
      <c r="U1950" s="17"/>
      <c r="V1950" s="18">
        <f>61420871688</f>
        <v>61420871688</v>
      </c>
      <c r="W1950" t="s">
        <v>5891</v>
      </c>
    </row>
    <row r="1951" ht="15" customHeight="1" spans="1:28" x14ac:dyDescent="0.25">
      <c r="A1951" s="17" t="s">
        <v>5892</v>
      </c>
      <c r="B1951" s="17" t="s">
        <v>70</v>
      </c>
      <c r="C1951" s="17" t="s">
        <v>71</v>
      </c>
      <c r="D1951" t="s">
        <v>5893</v>
      </c>
      <c r="F1951" t="s">
        <v>5893</v>
      </c>
      <c r="J1951" t="s">
        <v>115</v>
      </c>
      <c r="K1951" s="18" t="s">
        <v>5894</v>
      </c>
      <c r="N1951" s="17" t="s">
        <v>77</v>
      </c>
      <c r="O1951" t="s">
        <v>117</v>
      </c>
      <c r="V1951" s="18" t="s">
        <v>5894</v>
      </c>
      <c r="Y1951" t="s">
        <v>190</v>
      </c>
      <c r="AA1951" t="s">
        <v>118</v>
      </c>
      <c r="AB1951" t="s">
        <v>119</v>
      </c>
    </row>
    <row r="1952" ht="15" customHeight="1" spans="1:28" x14ac:dyDescent="0.25">
      <c r="A1952" s="17" t="s">
        <v>5895</v>
      </c>
      <c r="B1952" s="17" t="s">
        <v>70</v>
      </c>
      <c r="C1952" s="17" t="s">
        <v>71</v>
      </c>
      <c r="D1952" t="s">
        <v>5896</v>
      </c>
      <c r="F1952" t="s">
        <v>5897</v>
      </c>
      <c r="J1952" t="s">
        <v>115</v>
      </c>
      <c r="K1952" s="18" t="s">
        <v>5898</v>
      </c>
      <c r="N1952" s="17" t="s">
        <v>74</v>
      </c>
      <c r="O1952" t="s">
        <v>489</v>
      </c>
      <c r="V1952" s="18" t="s">
        <v>5898</v>
      </c>
      <c r="Y1952" t="s">
        <v>90</v>
      </c>
      <c r="AA1952" t="s">
        <v>118</v>
      </c>
      <c r="AB1952" t="s">
        <v>119</v>
      </c>
    </row>
    <row r="1953" ht="15" customHeight="1" spans="1:22" x14ac:dyDescent="0.25">
      <c r="A1953" s="17" t="s">
        <v>5899</v>
      </c>
      <c r="B1953" s="17" t="s">
        <v>70</v>
      </c>
      <c r="C1953" s="17" t="s">
        <v>71</v>
      </c>
      <c r="D1953" t="s">
        <v>5893</v>
      </c>
      <c r="F1953" t="s">
        <v>1850</v>
      </c>
      <c r="K1953" s="18">
        <f>628128878000</f>
        <v>628128878000</v>
      </c>
      <c r="N1953" s="17" t="s">
        <v>81</v>
      </c>
      <c r="V1953" s="18">
        <f>628128878000</f>
        <v>628128878000</v>
      </c>
    </row>
    <row r="1954" ht="15" customHeight="1" spans="1:28" x14ac:dyDescent="0.25">
      <c r="A1954" s="17" t="s">
        <v>5900</v>
      </c>
      <c r="B1954" s="17" t="s">
        <v>70</v>
      </c>
      <c r="C1954" s="17" t="s">
        <v>71</v>
      </c>
      <c r="D1954" t="s">
        <v>5901</v>
      </c>
      <c r="F1954" t="s">
        <v>5459</v>
      </c>
      <c r="J1954" s="17" t="s">
        <v>5902</v>
      </c>
      <c r="K1954" s="18" t="s">
        <v>5903</v>
      </c>
      <c r="N1954" s="17" t="s">
        <v>77</v>
      </c>
      <c r="O1954" t="s">
        <v>489</v>
      </c>
      <c r="U1954" s="17"/>
      <c r="V1954" s="18" t="s">
        <v>5903</v>
      </c>
      <c r="W1954" t="s">
        <v>5904</v>
      </c>
      <c r="Y1954" t="s">
        <v>96</v>
      </c>
      <c r="AA1954" s="17" t="s">
        <v>693</v>
      </c>
      <c r="AB1954" t="s">
        <v>119</v>
      </c>
    </row>
    <row r="1955" ht="15" customHeight="1" spans="1:25" x14ac:dyDescent="0.25">
      <c r="A1955" s="17" t="s">
        <v>5905</v>
      </c>
      <c r="B1955" s="17" t="s">
        <v>70</v>
      </c>
      <c r="C1955" s="17" t="s">
        <v>71</v>
      </c>
      <c r="D1955" t="s">
        <v>5906</v>
      </c>
      <c r="F1955" t="s">
        <v>672</v>
      </c>
      <c r="K1955" s="18">
        <f>6281991177145</f>
        <v>6281991177145</v>
      </c>
      <c r="N1955" s="17" t="s">
        <v>81</v>
      </c>
      <c r="V1955" s="18">
        <f>6281991177145</f>
        <v>6281991177145</v>
      </c>
      <c r="Y1955" s="17" t="s">
        <v>96</v>
      </c>
    </row>
    <row r="1956" ht="15" customHeight="1" spans="1:22" x14ac:dyDescent="0.25">
      <c r="A1956" s="17" t="s">
        <v>5907</v>
      </c>
      <c r="B1956" s="17" t="s">
        <v>70</v>
      </c>
      <c r="C1956" s="17" t="s">
        <v>71</v>
      </c>
      <c r="D1956" t="s">
        <v>5908</v>
      </c>
      <c r="F1956" t="s">
        <v>1589</v>
      </c>
      <c r="K1956" s="18">
        <f>628117081993</f>
        <v>628117081993</v>
      </c>
      <c r="N1956" s="17" t="s">
        <v>77</v>
      </c>
      <c r="V1956" s="18">
        <f>628117081993</f>
        <v>628117081993</v>
      </c>
    </row>
    <row r="1957" ht="15" customHeight="1" spans="1:28" x14ac:dyDescent="0.25">
      <c r="A1957" s="17" t="s">
        <v>5909</v>
      </c>
      <c r="B1957" s="17" t="s">
        <v>70</v>
      </c>
      <c r="C1957" s="17" t="s">
        <v>71</v>
      </c>
      <c r="D1957" t="s">
        <v>5910</v>
      </c>
      <c r="F1957" t="s">
        <v>5911</v>
      </c>
      <c r="J1957" t="s">
        <v>115</v>
      </c>
      <c r="K1957" s="18" t="s">
        <v>5912</v>
      </c>
      <c r="N1957" s="17" t="s">
        <v>77</v>
      </c>
      <c r="O1957" t="s">
        <v>117</v>
      </c>
      <c r="V1957" s="18" t="s">
        <v>5912</v>
      </c>
      <c r="Y1957" t="s">
        <v>90</v>
      </c>
      <c r="AA1957" t="s">
        <v>118</v>
      </c>
      <c r="AB1957" t="s">
        <v>119</v>
      </c>
    </row>
    <row r="1958" ht="15" customHeight="1" spans="1:22" x14ac:dyDescent="0.25">
      <c r="A1958" s="17" t="s">
        <v>5913</v>
      </c>
      <c r="B1958" s="17" t="s">
        <v>70</v>
      </c>
      <c r="C1958" s="17" t="s">
        <v>71</v>
      </c>
      <c r="D1958" t="s">
        <v>5910</v>
      </c>
      <c r="F1958" t="s">
        <v>5914</v>
      </c>
      <c r="K1958" s="18">
        <f>33607050145</f>
        <v>33607050145</v>
      </c>
      <c r="N1958" s="17" t="s">
        <v>74</v>
      </c>
      <c r="V1958" s="18">
        <f>33607050145</f>
        <v>33607050145</v>
      </c>
    </row>
    <row r="1959" ht="15" customHeight="1" spans="1:22" x14ac:dyDescent="0.25">
      <c r="A1959" s="17" t="s">
        <v>5915</v>
      </c>
      <c r="B1959" s="17" t="s">
        <v>70</v>
      </c>
      <c r="C1959" s="17" t="s">
        <v>71</v>
      </c>
      <c r="D1959" t="s">
        <v>5910</v>
      </c>
      <c r="F1959" t="s">
        <v>1533</v>
      </c>
      <c r="K1959" s="18">
        <f>62815707726</f>
        <v>62815707726</v>
      </c>
      <c r="N1959" s="17" t="s">
        <v>81</v>
      </c>
      <c r="V1959" s="18">
        <f>62815707726</f>
        <v>62815707726</v>
      </c>
    </row>
    <row r="1960" ht="15" customHeight="1" spans="1:25" x14ac:dyDescent="0.25">
      <c r="A1960" s="17" t="s">
        <v>5916</v>
      </c>
      <c r="B1960" s="17" t="s">
        <v>70</v>
      </c>
      <c r="C1960" s="17" t="s">
        <v>71</v>
      </c>
      <c r="D1960" t="s">
        <v>5910</v>
      </c>
      <c r="F1960" t="s">
        <v>343</v>
      </c>
      <c r="K1960" s="18">
        <f>628121233388</f>
        <v>628121233388</v>
      </c>
      <c r="N1960" s="17" t="s">
        <v>77</v>
      </c>
      <c r="U1960" s="17"/>
      <c r="V1960" s="18">
        <f>628121233388</f>
        <v>628121233388</v>
      </c>
      <c r="W1960" t="s">
        <v>5917</v>
      </c>
      <c r="Y1960" s="17" t="s">
        <v>96</v>
      </c>
    </row>
    <row r="1961" ht="15" customHeight="1" spans="1:23" x14ac:dyDescent="0.25">
      <c r="A1961" s="17" t="s">
        <v>5918</v>
      </c>
      <c r="B1961" s="17" t="s">
        <v>70</v>
      </c>
      <c r="C1961" s="17" t="s">
        <v>71</v>
      </c>
      <c r="D1961" t="s">
        <v>5919</v>
      </c>
      <c r="F1961" t="s">
        <v>2875</v>
      </c>
      <c r="K1961" s="18">
        <f>6282182844375</f>
        <v>6282182844375</v>
      </c>
      <c r="N1961" s="17" t="s">
        <v>77</v>
      </c>
      <c r="U1961" s="17"/>
      <c r="V1961" s="18">
        <f>6282182844375</f>
        <v>6282182844375</v>
      </c>
      <c r="W1961" t="s">
        <v>3028</v>
      </c>
    </row>
    <row r="1962" ht="15" customHeight="1" spans="1:23" x14ac:dyDescent="0.25">
      <c r="A1962" s="17" t="s">
        <v>5920</v>
      </c>
      <c r="B1962" s="17" t="s">
        <v>70</v>
      </c>
      <c r="C1962" s="17" t="s">
        <v>71</v>
      </c>
      <c r="D1962" t="s">
        <v>5921</v>
      </c>
      <c r="F1962" t="s">
        <v>3108</v>
      </c>
      <c r="K1962" s="18">
        <f>62217513565</f>
        <v>62217513565</v>
      </c>
      <c r="N1962" s="17" t="s">
        <v>81</v>
      </c>
      <c r="U1962" s="17"/>
      <c r="V1962" s="18">
        <f>62217513565</f>
        <v>62217513565</v>
      </c>
      <c r="W1962" t="s">
        <v>5922</v>
      </c>
    </row>
    <row r="1963" ht="15" customHeight="1" spans="1:22" x14ac:dyDescent="0.25">
      <c r="A1963" s="17" t="s">
        <v>5923</v>
      </c>
      <c r="B1963" s="17" t="s">
        <v>70</v>
      </c>
      <c r="C1963" s="17" t="s">
        <v>71</v>
      </c>
      <c r="D1963" t="s">
        <v>5921</v>
      </c>
      <c r="F1963" t="s">
        <v>1589</v>
      </c>
      <c r="K1963" s="18">
        <f>6281261694564</f>
        <v>6281261694564</v>
      </c>
      <c r="N1963" s="17" t="s">
        <v>77</v>
      </c>
      <c r="V1963" s="18">
        <f>6281261694564</f>
        <v>6281261694564</v>
      </c>
    </row>
    <row r="1964" ht="15" customHeight="1" spans="1:22" x14ac:dyDescent="0.25">
      <c r="A1964" s="17" t="s">
        <v>5924</v>
      </c>
      <c r="B1964" s="17" t="s">
        <v>70</v>
      </c>
      <c r="C1964" s="17" t="s">
        <v>71</v>
      </c>
      <c r="D1964" t="s">
        <v>5921</v>
      </c>
      <c r="F1964" t="s">
        <v>3605</v>
      </c>
      <c r="K1964" s="18">
        <f>62811637543</f>
        <v>62811637543</v>
      </c>
      <c r="N1964" s="17" t="s">
        <v>74</v>
      </c>
      <c r="V1964" s="18">
        <f>62811637543</f>
        <v>62811637543</v>
      </c>
    </row>
    <row r="1965" ht="15" customHeight="1" spans="1:22" x14ac:dyDescent="0.25">
      <c r="A1965" s="17" t="s">
        <v>5925</v>
      </c>
      <c r="B1965" s="17" t="s">
        <v>70</v>
      </c>
      <c r="C1965" s="17" t="s">
        <v>71</v>
      </c>
      <c r="D1965" t="s">
        <v>5926</v>
      </c>
      <c r="F1965" t="s">
        <v>5927</v>
      </c>
      <c r="K1965" s="18">
        <f>62818805382</f>
        <v>62818805382</v>
      </c>
      <c r="N1965" s="17" t="s">
        <v>77</v>
      </c>
      <c r="V1965" s="18">
        <f>62818805382</f>
        <v>62818805382</v>
      </c>
    </row>
    <row r="1966" ht="15" customHeight="1" spans="1:28" x14ac:dyDescent="0.25">
      <c r="A1966" s="17" t="s">
        <v>5928</v>
      </c>
      <c r="B1966" s="17" t="s">
        <v>70</v>
      </c>
      <c r="C1966" s="17" t="s">
        <v>71</v>
      </c>
      <c r="D1966" t="s">
        <v>5929</v>
      </c>
      <c r="F1966" t="s">
        <v>5930</v>
      </c>
      <c r="J1966" t="s">
        <v>115</v>
      </c>
      <c r="K1966" s="18" t="s">
        <v>5931</v>
      </c>
      <c r="N1966" s="17" t="s">
        <v>77</v>
      </c>
      <c r="O1966" t="s">
        <v>199</v>
      </c>
      <c r="U1966" s="17"/>
      <c r="V1966" s="18" t="s">
        <v>5931</v>
      </c>
      <c r="W1966" t="s">
        <v>5932</v>
      </c>
      <c r="Y1966" t="s">
        <v>762</v>
      </c>
      <c r="AA1966" t="s">
        <v>115</v>
      </c>
      <c r="AB1966" t="s">
        <v>119</v>
      </c>
    </row>
    <row r="1967" ht="15" customHeight="1" spans="1:22" x14ac:dyDescent="0.25">
      <c r="A1967" s="17" t="s">
        <v>5933</v>
      </c>
      <c r="B1967" s="17" t="s">
        <v>70</v>
      </c>
      <c r="C1967" s="17" t="s">
        <v>71</v>
      </c>
      <c r="D1967" t="s">
        <v>5934</v>
      </c>
      <c r="F1967" t="s">
        <v>1873</v>
      </c>
      <c r="K1967" s="18">
        <f>6282110620540</f>
        <v>6282110620540</v>
      </c>
      <c r="N1967" s="17" t="s">
        <v>77</v>
      </c>
      <c r="V1967" s="18">
        <f>6282110620540</f>
        <v>6282110620540</v>
      </c>
    </row>
    <row r="1968" ht="15" customHeight="1" spans="1:22" x14ac:dyDescent="0.25">
      <c r="A1968" s="17" t="s">
        <v>5935</v>
      </c>
      <c r="B1968" s="17" t="s">
        <v>70</v>
      </c>
      <c r="C1968" s="17" t="s">
        <v>71</v>
      </c>
      <c r="D1968" t="s">
        <v>5936</v>
      </c>
      <c r="F1968" t="s">
        <v>5937</v>
      </c>
      <c r="K1968" s="18">
        <f>6281113709654</f>
        <v>6281113709654</v>
      </c>
      <c r="N1968" s="17" t="s">
        <v>77</v>
      </c>
      <c r="V1968" s="18">
        <f>6281113709654</f>
        <v>6281113709654</v>
      </c>
    </row>
    <row r="1969" ht="15" customHeight="1" spans="1:22" x14ac:dyDescent="0.25">
      <c r="A1969" s="17" t="s">
        <v>5938</v>
      </c>
      <c r="B1969" s="17" t="s">
        <v>70</v>
      </c>
      <c r="C1969" s="17" t="s">
        <v>71</v>
      </c>
      <c r="D1969" t="s">
        <v>5939</v>
      </c>
      <c r="F1969" t="s">
        <v>5939</v>
      </c>
      <c r="K1969" s="18">
        <f>6281278715191</f>
        <v>6281278715191</v>
      </c>
      <c r="N1969" s="17" t="s">
        <v>77</v>
      </c>
      <c r="V1969" s="18">
        <f>6281278715191</f>
        <v>6281278715191</v>
      </c>
    </row>
    <row r="1970" ht="15" customHeight="1" spans="1:28" x14ac:dyDescent="0.25">
      <c r="A1970" s="17" t="s">
        <v>5940</v>
      </c>
      <c r="B1970" s="17" t="s">
        <v>70</v>
      </c>
      <c r="C1970" s="17" t="s">
        <v>71</v>
      </c>
      <c r="D1970" t="s">
        <v>5941</v>
      </c>
      <c r="F1970" t="s">
        <v>5942</v>
      </c>
      <c r="J1970" t="s">
        <v>115</v>
      </c>
      <c r="K1970" s="18" t="s">
        <v>5943</v>
      </c>
      <c r="N1970" s="17" t="s">
        <v>77</v>
      </c>
      <c r="O1970" t="s">
        <v>145</v>
      </c>
      <c r="V1970" s="18" t="s">
        <v>5943</v>
      </c>
      <c r="Y1970" t="s">
        <v>190</v>
      </c>
      <c r="AA1970" t="s">
        <v>118</v>
      </c>
      <c r="AB1970" t="s">
        <v>119</v>
      </c>
    </row>
    <row r="1971" ht="15" customHeight="1" spans="1:22" x14ac:dyDescent="0.25">
      <c r="A1971" s="17" t="s">
        <v>5944</v>
      </c>
      <c r="B1971" s="17" t="s">
        <v>70</v>
      </c>
      <c r="C1971" s="17" t="s">
        <v>71</v>
      </c>
      <c r="D1971" t="s">
        <v>5941</v>
      </c>
      <c r="F1971" t="s">
        <v>5942</v>
      </c>
      <c r="K1971" s="18">
        <f>62628121338113</f>
        <v>62628121338113</v>
      </c>
      <c r="N1971" s="17" t="s">
        <v>77</v>
      </c>
      <c r="V1971" s="18">
        <f>62628121338113</f>
        <v>62628121338113</v>
      </c>
    </row>
    <row r="1972" ht="15" customHeight="1" spans="1:22" x14ac:dyDescent="0.25">
      <c r="A1972" s="17" t="s">
        <v>5945</v>
      </c>
      <c r="B1972" s="17" t="s">
        <v>70</v>
      </c>
      <c r="C1972" s="17" t="s">
        <v>71</v>
      </c>
      <c r="D1972" t="s">
        <v>5946</v>
      </c>
      <c r="F1972" t="s">
        <v>5946</v>
      </c>
      <c r="K1972" s="18">
        <f>6285810911446</f>
        <v>6285810911446</v>
      </c>
      <c r="N1972" s="17" t="s">
        <v>81</v>
      </c>
      <c r="V1972" s="18">
        <f>6285810911446</f>
        <v>6285810911446</v>
      </c>
    </row>
    <row r="1973" ht="15" customHeight="1" spans="1:22" x14ac:dyDescent="0.25">
      <c r="A1973" s="17" t="s">
        <v>5947</v>
      </c>
      <c r="B1973" s="17" t="s">
        <v>70</v>
      </c>
      <c r="C1973" s="17" t="s">
        <v>71</v>
      </c>
      <c r="D1973" t="s">
        <v>5946</v>
      </c>
      <c r="F1973" t="s">
        <v>5948</v>
      </c>
      <c r="K1973" s="18">
        <f>628165404178</f>
        <v>628165404178</v>
      </c>
      <c r="N1973" s="17" t="s">
        <v>77</v>
      </c>
      <c r="V1973" s="18">
        <f>628165404178</f>
        <v>628165404178</v>
      </c>
    </row>
    <row r="1974" ht="15" customHeight="1" spans="1:22" x14ac:dyDescent="0.25">
      <c r="A1974" s="17" t="s">
        <v>5949</v>
      </c>
      <c r="B1974" s="17" t="s">
        <v>70</v>
      </c>
      <c r="C1974" s="17" t="s">
        <v>71</v>
      </c>
      <c r="D1974" t="s">
        <v>5946</v>
      </c>
      <c r="F1974" t="s">
        <v>5950</v>
      </c>
      <c r="K1974" s="18">
        <f>62816822238</f>
        <v>62816822238</v>
      </c>
      <c r="N1974" s="17" t="s">
        <v>81</v>
      </c>
      <c r="V1974" s="18">
        <f>62816822238</f>
        <v>62816822238</v>
      </c>
    </row>
    <row r="1975" ht="15" customHeight="1" spans="1:25" x14ac:dyDescent="0.25">
      <c r="A1975" s="17" t="s">
        <v>5951</v>
      </c>
      <c r="B1975" s="17" t="s">
        <v>70</v>
      </c>
      <c r="C1975" s="17" t="s">
        <v>71</v>
      </c>
      <c r="D1975" t="s">
        <v>5946</v>
      </c>
      <c r="F1975" t="s">
        <v>5952</v>
      </c>
      <c r="K1975" s="18">
        <f>62811841111</f>
        <v>62811841111</v>
      </c>
      <c r="N1975" s="17" t="s">
        <v>77</v>
      </c>
      <c r="U1975" s="17"/>
      <c r="V1975" s="18">
        <f>62811841111</f>
        <v>62811841111</v>
      </c>
      <c r="W1975" t="s">
        <v>5953</v>
      </c>
      <c r="Y1975" s="17" t="s">
        <v>5954</v>
      </c>
    </row>
    <row r="1976" ht="15" customHeight="1" spans="1:28" x14ac:dyDescent="0.25">
      <c r="A1976" s="17" t="s">
        <v>5955</v>
      </c>
      <c r="B1976" s="17" t="s">
        <v>70</v>
      </c>
      <c r="C1976" s="17" t="s">
        <v>71</v>
      </c>
      <c r="D1976" t="s">
        <v>5946</v>
      </c>
      <c r="F1976" t="s">
        <v>1169</v>
      </c>
      <c r="J1976" t="s">
        <v>115</v>
      </c>
      <c r="K1976" s="18" t="s">
        <v>5956</v>
      </c>
      <c r="N1976" s="17" t="s">
        <v>81</v>
      </c>
      <c r="O1976" t="s">
        <v>145</v>
      </c>
      <c r="V1976" s="18" t="s">
        <v>5956</v>
      </c>
      <c r="Y1976" t="s">
        <v>1157</v>
      </c>
      <c r="AA1976" t="s">
        <v>5957</v>
      </c>
      <c r="AB1976" t="s">
        <v>119</v>
      </c>
    </row>
    <row r="1977" ht="15" customHeight="1" spans="1:23" x14ac:dyDescent="0.25">
      <c r="A1977" s="17" t="s">
        <v>5958</v>
      </c>
      <c r="B1977" s="17" t="s">
        <v>70</v>
      </c>
      <c r="C1977" s="17" t="s">
        <v>71</v>
      </c>
      <c r="D1977" t="s">
        <v>5959</v>
      </c>
      <c r="F1977" t="s">
        <v>5960</v>
      </c>
      <c r="K1977" s="18">
        <f>628121260343</f>
        <v>628121260343</v>
      </c>
      <c r="N1977" s="17" t="s">
        <v>81</v>
      </c>
      <c r="U1977" s="17"/>
      <c r="V1977" s="18">
        <f>628121260343</f>
        <v>628121260343</v>
      </c>
      <c r="W1977" t="s">
        <v>90</v>
      </c>
    </row>
    <row r="1978" ht="15" customHeight="1" spans="1:23" x14ac:dyDescent="0.25">
      <c r="A1978" s="17" t="s">
        <v>5961</v>
      </c>
      <c r="B1978" s="17" t="s">
        <v>70</v>
      </c>
      <c r="C1978" s="17" t="s">
        <v>71</v>
      </c>
      <c r="D1978" t="s">
        <v>5962</v>
      </c>
      <c r="F1978" t="s">
        <v>5963</v>
      </c>
      <c r="K1978" s="18">
        <f>6282121072818</f>
        <v>6282121072818</v>
      </c>
      <c r="N1978" s="17" t="s">
        <v>77</v>
      </c>
      <c r="U1978" s="17"/>
      <c r="V1978" s="18">
        <f>6282121072818</f>
        <v>6282121072818</v>
      </c>
      <c r="W1978" t="s">
        <v>5964</v>
      </c>
    </row>
    <row r="1979" ht="15" customHeight="1" spans="1:22" x14ac:dyDescent="0.25">
      <c r="A1979" s="17" t="s">
        <v>5965</v>
      </c>
      <c r="B1979" s="17" t="s">
        <v>70</v>
      </c>
      <c r="C1979" s="17" t="s">
        <v>71</v>
      </c>
      <c r="D1979" t="s">
        <v>5966</v>
      </c>
      <c r="F1979" t="s">
        <v>5967</v>
      </c>
      <c r="K1979" s="18">
        <f>6281291828273</f>
        <v>6281291828273</v>
      </c>
      <c r="N1979" s="17" t="s">
        <v>81</v>
      </c>
      <c r="V1979" s="18">
        <f>6281291828273</f>
        <v>6281291828273</v>
      </c>
    </row>
    <row r="1980" ht="15" customHeight="1" spans="1:23" x14ac:dyDescent="0.25">
      <c r="A1980" s="17" t="s">
        <v>5968</v>
      </c>
      <c r="B1980" s="17" t="s">
        <v>70</v>
      </c>
      <c r="C1980" s="17" t="s">
        <v>71</v>
      </c>
      <c r="D1980" t="s">
        <v>5966</v>
      </c>
      <c r="F1980" t="s">
        <v>5969</v>
      </c>
      <c r="K1980" s="18">
        <f>6285772015554</f>
        <v>6285772015554</v>
      </c>
      <c r="N1980" s="17" t="s">
        <v>77</v>
      </c>
      <c r="U1980" s="17"/>
      <c r="V1980" s="18">
        <f>6285772015554</f>
        <v>6285772015554</v>
      </c>
      <c r="W1980" t="s">
        <v>5970</v>
      </c>
    </row>
    <row r="1981" ht="15" customHeight="1" spans="1:22" x14ac:dyDescent="0.25">
      <c r="A1981" s="17" t="s">
        <v>5971</v>
      </c>
      <c r="B1981" s="17" t="s">
        <v>70</v>
      </c>
      <c r="C1981" s="17" t="s">
        <v>71</v>
      </c>
      <c r="D1981" t="s">
        <v>5972</v>
      </c>
      <c r="F1981" t="s">
        <v>5973</v>
      </c>
      <c r="K1981" s="18">
        <f>628118477168</f>
        <v>628118477168</v>
      </c>
      <c r="N1981" s="17" t="s">
        <v>77</v>
      </c>
      <c r="V1981" s="18">
        <f>628118477168</f>
        <v>628118477168</v>
      </c>
    </row>
    <row r="1982" ht="15" customHeight="1" spans="1:28" x14ac:dyDescent="0.25">
      <c r="A1982" s="17" t="s">
        <v>5974</v>
      </c>
      <c r="B1982" s="17" t="s">
        <v>70</v>
      </c>
      <c r="C1982" s="17" t="s">
        <v>71</v>
      </c>
      <c r="D1982" t="s">
        <v>5975</v>
      </c>
      <c r="F1982" t="s">
        <v>5976</v>
      </c>
      <c r="J1982" s="17" t="s">
        <v>5977</v>
      </c>
      <c r="K1982" s="18" t="s">
        <v>5978</v>
      </c>
      <c r="N1982" s="17" t="s">
        <v>77</v>
      </c>
      <c r="O1982" t="s">
        <v>117</v>
      </c>
      <c r="U1982" s="17"/>
      <c r="V1982" s="18" t="s">
        <v>5978</v>
      </c>
      <c r="W1982" t="s">
        <v>5979</v>
      </c>
      <c r="Y1982" t="s">
        <v>115</v>
      </c>
      <c r="AA1982" t="s">
        <v>115</v>
      </c>
      <c r="AB1982" t="s">
        <v>451</v>
      </c>
    </row>
    <row r="1983" ht="15" customHeight="1" spans="1:23" x14ac:dyDescent="0.25">
      <c r="A1983" s="17" t="s">
        <v>5980</v>
      </c>
      <c r="B1983" s="17" t="s">
        <v>70</v>
      </c>
      <c r="C1983" s="17" t="s">
        <v>71</v>
      </c>
      <c r="D1983" t="s">
        <v>5981</v>
      </c>
      <c r="F1983" t="s">
        <v>5982</v>
      </c>
      <c r="K1983" s="18">
        <f>6281213233053</f>
        <v>6281213233053</v>
      </c>
      <c r="N1983" s="17" t="s">
        <v>77</v>
      </c>
      <c r="U1983" s="17"/>
      <c r="V1983" s="18">
        <f>6281213233053</f>
        <v>6281213233053</v>
      </c>
      <c r="W1983" t="s">
        <v>96</v>
      </c>
    </row>
    <row r="1984" ht="15" customHeight="1" spans="1:22" x14ac:dyDescent="0.25">
      <c r="A1984" s="17" t="s">
        <v>5983</v>
      </c>
      <c r="B1984" s="17" t="s">
        <v>70</v>
      </c>
      <c r="C1984" s="17" t="s">
        <v>71</v>
      </c>
      <c r="D1984" t="s">
        <v>5984</v>
      </c>
      <c r="F1984" t="s">
        <v>618</v>
      </c>
      <c r="K1984" s="18">
        <f>628161893100</f>
        <v>628161893100</v>
      </c>
      <c r="N1984" s="17" t="s">
        <v>77</v>
      </c>
      <c r="V1984" s="18">
        <f>628161893100</f>
        <v>628161893100</v>
      </c>
    </row>
    <row r="1985" ht="15" customHeight="1" spans="1:28" x14ac:dyDescent="0.25">
      <c r="A1985" s="17" t="s">
        <v>5985</v>
      </c>
      <c r="B1985" s="17" t="s">
        <v>70</v>
      </c>
      <c r="C1985" s="17" t="s">
        <v>71</v>
      </c>
      <c r="D1985" t="s">
        <v>431</v>
      </c>
      <c r="F1985" t="s">
        <v>5986</v>
      </c>
      <c r="J1985" t="s">
        <v>115</v>
      </c>
      <c r="K1985" s="18" t="s">
        <v>5987</v>
      </c>
      <c r="N1985" s="17" t="s">
        <v>81</v>
      </c>
      <c r="O1985" t="s">
        <v>199</v>
      </c>
      <c r="U1985" s="17"/>
      <c r="V1985" s="18" t="s">
        <v>5987</v>
      </c>
      <c r="W1985" t="s">
        <v>5988</v>
      </c>
      <c r="Y1985" t="s">
        <v>90</v>
      </c>
      <c r="AA1985" t="s">
        <v>118</v>
      </c>
      <c r="AB1985" t="s">
        <v>119</v>
      </c>
    </row>
    <row r="1986" ht="15" customHeight="1" spans="1:22" x14ac:dyDescent="0.25">
      <c r="A1986" s="17" t="s">
        <v>5989</v>
      </c>
      <c r="B1986" s="17" t="s">
        <v>70</v>
      </c>
      <c r="C1986" s="17" t="s">
        <v>71</v>
      </c>
      <c r="D1986" t="s">
        <v>5990</v>
      </c>
      <c r="F1986" t="s">
        <v>5942</v>
      </c>
      <c r="K1986" s="18">
        <f>6281292892228</f>
        <v>6281292892228</v>
      </c>
      <c r="N1986" s="17" t="s">
        <v>81</v>
      </c>
      <c r="V1986" s="18">
        <f>6281292892228</f>
        <v>6281292892228</v>
      </c>
    </row>
    <row r="1987" ht="15" customHeight="1" spans="1:22" x14ac:dyDescent="0.25">
      <c r="A1987" s="17" t="s">
        <v>5991</v>
      </c>
      <c r="B1987" s="17" t="s">
        <v>70</v>
      </c>
      <c r="C1987" s="17" t="s">
        <v>71</v>
      </c>
      <c r="D1987" t="s">
        <v>5990</v>
      </c>
      <c r="F1987" t="s">
        <v>5992</v>
      </c>
      <c r="K1987" s="18">
        <f>13818965658</f>
        <v>13818965658</v>
      </c>
      <c r="N1987" s="17" t="s">
        <v>81</v>
      </c>
      <c r="V1987" s="18">
        <f>13818965658</f>
        <v>13818965658</v>
      </c>
    </row>
    <row r="1988" ht="15" customHeight="1" spans="1:22" x14ac:dyDescent="0.25">
      <c r="A1988" s="17" t="s">
        <v>5993</v>
      </c>
      <c r="B1988" s="17" t="s">
        <v>70</v>
      </c>
      <c r="C1988" s="17" t="s">
        <v>71</v>
      </c>
      <c r="D1988" t="s">
        <v>5990</v>
      </c>
      <c r="F1988" t="s">
        <v>5994</v>
      </c>
      <c r="K1988" s="18">
        <f>6281133340108</f>
        <v>6281133340108</v>
      </c>
      <c r="N1988" s="17" t="s">
        <v>81</v>
      </c>
      <c r="V1988" s="18">
        <f>6281133340108</f>
        <v>6281133340108</v>
      </c>
    </row>
    <row r="1989" ht="15" customHeight="1" spans="1:28" x14ac:dyDescent="0.25">
      <c r="A1989" s="17" t="s">
        <v>5995</v>
      </c>
      <c r="B1989" s="17" t="s">
        <v>70</v>
      </c>
      <c r="C1989" s="17" t="s">
        <v>71</v>
      </c>
      <c r="D1989" t="s">
        <v>5990</v>
      </c>
      <c r="F1989" t="s">
        <v>5996</v>
      </c>
      <c r="J1989" t="s">
        <v>115</v>
      </c>
      <c r="K1989" s="18" t="s">
        <v>5997</v>
      </c>
      <c r="N1989" s="17" t="s">
        <v>77</v>
      </c>
      <c r="O1989" t="s">
        <v>199</v>
      </c>
      <c r="U1989" s="17"/>
      <c r="V1989" s="18" t="s">
        <v>5997</v>
      </c>
      <c r="W1989" t="s">
        <v>3140</v>
      </c>
      <c r="Y1989" t="s">
        <v>5998</v>
      </c>
      <c r="AA1989" t="s">
        <v>115</v>
      </c>
      <c r="AB1989" t="s">
        <v>119</v>
      </c>
    </row>
    <row r="1990" ht="15" customHeight="1" spans="1:23" x14ac:dyDescent="0.25">
      <c r="A1990" s="17" t="s">
        <v>5999</v>
      </c>
      <c r="B1990" s="17" t="s">
        <v>70</v>
      </c>
      <c r="C1990" s="17" t="s">
        <v>71</v>
      </c>
      <c r="D1990" t="s">
        <v>6000</v>
      </c>
      <c r="F1990" t="s">
        <v>6001</v>
      </c>
      <c r="J1990" s="17" t="s">
        <v>6002</v>
      </c>
      <c r="K1990" s="18">
        <f>87878378821</f>
        <v>87878378821</v>
      </c>
      <c r="N1990" s="17" t="s">
        <v>81</v>
      </c>
      <c r="U1990" s="17"/>
      <c r="V1990" s="18">
        <f>87878378821</f>
        <v>87878378821</v>
      </c>
      <c r="W1990" t="s">
        <v>6003</v>
      </c>
    </row>
    <row r="1991" ht="15" customHeight="1" spans="1:28" x14ac:dyDescent="0.25">
      <c r="A1991" s="17" t="s">
        <v>6004</v>
      </c>
      <c r="B1991" s="17" t="s">
        <v>70</v>
      </c>
      <c r="C1991" s="17" t="s">
        <v>71</v>
      </c>
      <c r="D1991" t="s">
        <v>6000</v>
      </c>
      <c r="F1991" t="s">
        <v>6005</v>
      </c>
      <c r="J1991" s="17" t="s">
        <v>6006</v>
      </c>
      <c r="K1991" s="18" t="s">
        <v>6007</v>
      </c>
      <c r="N1991" s="17" t="s">
        <v>77</v>
      </c>
      <c r="O1991" t="s">
        <v>199</v>
      </c>
      <c r="U1991" s="17"/>
      <c r="V1991" s="18" t="s">
        <v>6007</v>
      </c>
      <c r="W1991" t="s">
        <v>6008</v>
      </c>
      <c r="Y1991" s="17" t="s">
        <v>90</v>
      </c>
      <c r="AA1991" t="s">
        <v>118</v>
      </c>
      <c r="AB1991" t="s">
        <v>119</v>
      </c>
    </row>
    <row r="1992" ht="15" customHeight="1" spans="1:28" x14ac:dyDescent="0.25">
      <c r="A1992" s="17" t="s">
        <v>6009</v>
      </c>
      <c r="B1992" s="17" t="s">
        <v>70</v>
      </c>
      <c r="C1992" s="17" t="s">
        <v>71</v>
      </c>
      <c r="D1992" t="s">
        <v>6010</v>
      </c>
      <c r="F1992" t="s">
        <v>1834</v>
      </c>
      <c r="J1992" s="17" t="s">
        <v>6011</v>
      </c>
      <c r="K1992" s="18" t="s">
        <v>6012</v>
      </c>
      <c r="N1992" s="17" t="s">
        <v>77</v>
      </c>
      <c r="O1992" t="s">
        <v>117</v>
      </c>
      <c r="V1992" s="18" t="s">
        <v>6012</v>
      </c>
      <c r="Y1992" t="s">
        <v>4412</v>
      </c>
      <c r="AA1992" t="s">
        <v>115</v>
      </c>
      <c r="AB1992" t="s">
        <v>119</v>
      </c>
    </row>
    <row r="1993" ht="15" customHeight="1" spans="1:22" x14ac:dyDescent="0.25">
      <c r="A1993" s="17" t="s">
        <v>6013</v>
      </c>
      <c r="B1993" s="17" t="s">
        <v>70</v>
      </c>
      <c r="C1993" s="17" t="s">
        <v>71</v>
      </c>
      <c r="D1993" t="s">
        <v>6014</v>
      </c>
      <c r="F1993" t="s">
        <v>6014</v>
      </c>
      <c r="K1993" s="18">
        <f>62816768187</f>
        <v>62816768187</v>
      </c>
      <c r="N1993" s="17" t="s">
        <v>74</v>
      </c>
      <c r="V1993" s="18">
        <f>62816768187</f>
        <v>62816768187</v>
      </c>
    </row>
    <row r="1994" ht="15" customHeight="1" spans="1:22" x14ac:dyDescent="0.25">
      <c r="A1994" s="17" t="s">
        <v>6015</v>
      </c>
      <c r="B1994" s="17" t="s">
        <v>70</v>
      </c>
      <c r="C1994" s="17" t="s">
        <v>71</v>
      </c>
      <c r="D1994" t="s">
        <v>6016</v>
      </c>
      <c r="F1994" t="s">
        <v>6017</v>
      </c>
      <c r="K1994" s="18">
        <f>79638337755</f>
        <v>79638337755</v>
      </c>
      <c r="N1994" s="17" t="s">
        <v>81</v>
      </c>
      <c r="V1994" s="18">
        <f>79638337755</f>
        <v>79638337755</v>
      </c>
    </row>
    <row r="1995" ht="15" customHeight="1" spans="1:28" x14ac:dyDescent="0.25">
      <c r="A1995" s="17" t="s">
        <v>6018</v>
      </c>
      <c r="B1995" s="17" t="s">
        <v>70</v>
      </c>
      <c r="C1995" s="17" t="s">
        <v>71</v>
      </c>
      <c r="D1995" t="s">
        <v>6019</v>
      </c>
      <c r="F1995" t="s">
        <v>6019</v>
      </c>
      <c r="J1995" t="s">
        <v>115</v>
      </c>
      <c r="K1995" s="18" t="s">
        <v>6020</v>
      </c>
      <c r="N1995" s="17" t="s">
        <v>77</v>
      </c>
      <c r="O1995" t="s">
        <v>145</v>
      </c>
      <c r="V1995" s="18" t="s">
        <v>6020</v>
      </c>
      <c r="Y1995" t="s">
        <v>190</v>
      </c>
      <c r="AA1995" t="s">
        <v>118</v>
      </c>
      <c r="AB1995" t="s">
        <v>119</v>
      </c>
    </row>
    <row r="1996" ht="15" customHeight="1" spans="1:22" x14ac:dyDescent="0.25">
      <c r="A1996" s="17" t="s">
        <v>6021</v>
      </c>
      <c r="B1996" s="17" t="s">
        <v>70</v>
      </c>
      <c r="C1996" s="17" t="s">
        <v>71</v>
      </c>
      <c r="D1996" t="s">
        <v>6022</v>
      </c>
      <c r="F1996" t="s">
        <v>6022</v>
      </c>
      <c r="K1996" s="18">
        <f>6282211100233</f>
        <v>6282211100233</v>
      </c>
      <c r="N1996" s="17" t="s">
        <v>81</v>
      </c>
      <c r="V1996" s="18">
        <f>6282211100233</f>
        <v>6282211100233</v>
      </c>
    </row>
    <row r="1997" ht="15" customHeight="1" spans="1:22" x14ac:dyDescent="0.25">
      <c r="A1997" s="17" t="s">
        <v>6023</v>
      </c>
      <c r="B1997" s="17" t="s">
        <v>70</v>
      </c>
      <c r="C1997" s="17" t="s">
        <v>71</v>
      </c>
      <c r="D1997" t="s">
        <v>6024</v>
      </c>
      <c r="F1997" t="s">
        <v>6025</v>
      </c>
      <c r="K1997" s="18">
        <f>628121017592</f>
        <v>628121017592</v>
      </c>
      <c r="N1997" s="17" t="s">
        <v>77</v>
      </c>
      <c r="V1997" s="18">
        <f>628121017592</f>
        <v>628121017592</v>
      </c>
    </row>
    <row r="1998" ht="15" customHeight="1" spans="1:25" x14ac:dyDescent="0.25">
      <c r="A1998" s="17" t="s">
        <v>6026</v>
      </c>
      <c r="B1998" s="17" t="s">
        <v>70</v>
      </c>
      <c r="C1998" s="17" t="s">
        <v>71</v>
      </c>
      <c r="D1998" t="s">
        <v>6027</v>
      </c>
      <c r="F1998" t="s">
        <v>6028</v>
      </c>
      <c r="K1998" s="18">
        <f>6282216857235</f>
        <v>6282216857235</v>
      </c>
      <c r="N1998" s="17" t="s">
        <v>77</v>
      </c>
      <c r="U1998" s="17"/>
      <c r="V1998" s="18">
        <f>6282216857235</f>
        <v>6282216857235</v>
      </c>
      <c r="W1998" t="s">
        <v>6029</v>
      </c>
      <c r="Y1998" s="17" t="s">
        <v>1794</v>
      </c>
    </row>
    <row r="1999" ht="15" customHeight="1" spans="1:28" x14ac:dyDescent="0.25">
      <c r="A1999" s="17" t="s">
        <v>6030</v>
      </c>
      <c r="B1999" s="17" t="s">
        <v>70</v>
      </c>
      <c r="C1999" s="17" t="s">
        <v>71</v>
      </c>
      <c r="D1999" t="s">
        <v>5516</v>
      </c>
      <c r="F1999" t="s">
        <v>6031</v>
      </c>
      <c r="J1999" t="s">
        <v>115</v>
      </c>
      <c r="K1999" s="18" t="s">
        <v>6032</v>
      </c>
      <c r="N1999" s="17" t="s">
        <v>81</v>
      </c>
      <c r="O1999" t="s">
        <v>489</v>
      </c>
      <c r="V1999" s="18" t="s">
        <v>6032</v>
      </c>
      <c r="Y1999" t="s">
        <v>190</v>
      </c>
      <c r="AA1999" t="s">
        <v>118</v>
      </c>
      <c r="AB1999" t="s">
        <v>119</v>
      </c>
    </row>
    <row r="2000" ht="15" customHeight="1" spans="1:25" x14ac:dyDescent="0.25">
      <c r="A2000" s="17" t="s">
        <v>6033</v>
      </c>
      <c r="B2000" s="17" t="s">
        <v>70</v>
      </c>
      <c r="C2000" s="17" t="s">
        <v>71</v>
      </c>
      <c r="D2000" t="s">
        <v>5516</v>
      </c>
      <c r="F2000" t="s">
        <v>3866</v>
      </c>
      <c r="K2000" s="18">
        <f>6287823217242</f>
        <v>6287823217242</v>
      </c>
      <c r="N2000" s="17" t="s">
        <v>81</v>
      </c>
      <c r="U2000" s="17"/>
      <c r="V2000" s="18">
        <f>6287823217242</f>
        <v>6287823217242</v>
      </c>
      <c r="W2000" t="s">
        <v>6034</v>
      </c>
      <c r="Y2000" s="17" t="s">
        <v>500</v>
      </c>
    </row>
    <row r="2001" ht="15" customHeight="1" spans="1:22" x14ac:dyDescent="0.25">
      <c r="A2001" s="17" t="s">
        <v>6035</v>
      </c>
      <c r="B2001" s="17" t="s">
        <v>70</v>
      </c>
      <c r="C2001" s="17" t="s">
        <v>71</v>
      </c>
      <c r="D2001" t="s">
        <v>5516</v>
      </c>
      <c r="F2001" t="s">
        <v>6036</v>
      </c>
      <c r="K2001" s="18">
        <f>628122020188</f>
        <v>628122020188</v>
      </c>
      <c r="N2001" s="17" t="s">
        <v>77</v>
      </c>
      <c r="V2001" s="18">
        <f>628122020188</f>
        <v>628122020188</v>
      </c>
    </row>
    <row r="2002" ht="15" customHeight="1" spans="1:23" x14ac:dyDescent="0.25">
      <c r="A2002" s="17" t="s">
        <v>6037</v>
      </c>
      <c r="B2002" s="17" t="s">
        <v>70</v>
      </c>
      <c r="C2002" s="17" t="s">
        <v>71</v>
      </c>
      <c r="D2002" t="s">
        <v>5516</v>
      </c>
      <c r="F2002" t="s">
        <v>6038</v>
      </c>
      <c r="K2002" s="18">
        <f>6287889601088</f>
        <v>6287889601088</v>
      </c>
      <c r="N2002" s="17" t="s">
        <v>81</v>
      </c>
      <c r="U2002" s="17"/>
      <c r="V2002" s="18">
        <f>6287889601088</f>
        <v>6287889601088</v>
      </c>
      <c r="W2002" t="s">
        <v>6039</v>
      </c>
    </row>
    <row r="2003" ht="15" customHeight="1" spans="1:28" x14ac:dyDescent="0.25">
      <c r="A2003" s="17" t="s">
        <v>6040</v>
      </c>
      <c r="B2003" s="17" t="s">
        <v>70</v>
      </c>
      <c r="C2003" s="17" t="s">
        <v>71</v>
      </c>
      <c r="D2003" t="s">
        <v>5516</v>
      </c>
      <c r="F2003" t="s">
        <v>6041</v>
      </c>
      <c r="J2003" t="s">
        <v>115</v>
      </c>
      <c r="K2003" s="18" t="s">
        <v>6042</v>
      </c>
      <c r="N2003" s="17" t="s">
        <v>81</v>
      </c>
      <c r="O2003" t="s">
        <v>261</v>
      </c>
      <c r="V2003" s="18" t="s">
        <v>6042</v>
      </c>
      <c r="Y2003" t="s">
        <v>190</v>
      </c>
      <c r="AA2003" t="s">
        <v>118</v>
      </c>
      <c r="AB2003" t="s">
        <v>119</v>
      </c>
    </row>
    <row r="2004" ht="15" customHeight="1" spans="1:22" x14ac:dyDescent="0.25">
      <c r="A2004" s="17" t="s">
        <v>6043</v>
      </c>
      <c r="B2004" s="17" t="s">
        <v>70</v>
      </c>
      <c r="C2004" s="17" t="s">
        <v>71</v>
      </c>
      <c r="D2004" t="s">
        <v>5516</v>
      </c>
      <c r="F2004" t="s">
        <v>5736</v>
      </c>
      <c r="K2004" s="18">
        <f>62811110333</f>
        <v>62811110333</v>
      </c>
      <c r="N2004" s="17" t="s">
        <v>81</v>
      </c>
      <c r="V2004" s="18">
        <f>62811110333</f>
        <v>62811110333</v>
      </c>
    </row>
    <row r="2005" ht="15" customHeight="1" spans="1:22" x14ac:dyDescent="0.25">
      <c r="A2005" s="17" t="s">
        <v>6044</v>
      </c>
      <c r="B2005" s="17" t="s">
        <v>70</v>
      </c>
      <c r="C2005" s="17" t="s">
        <v>71</v>
      </c>
      <c r="D2005" t="s">
        <v>6045</v>
      </c>
      <c r="F2005" t="s">
        <v>6045</v>
      </c>
      <c r="K2005" s="18">
        <f>6281977677444</f>
        <v>6281977677444</v>
      </c>
      <c r="N2005" s="17" t="s">
        <v>81</v>
      </c>
      <c r="V2005" s="18">
        <f>6281977677444</f>
        <v>6281977677444</v>
      </c>
    </row>
    <row r="2006" ht="15" customHeight="1" spans="1:22" x14ac:dyDescent="0.25">
      <c r="A2006" s="17" t="s">
        <v>6046</v>
      </c>
      <c r="B2006" s="17" t="s">
        <v>70</v>
      </c>
      <c r="C2006" s="17" t="s">
        <v>71</v>
      </c>
      <c r="D2006" t="s">
        <v>6045</v>
      </c>
      <c r="F2006" t="s">
        <v>6045</v>
      </c>
      <c r="K2006" s="18">
        <f>62811821717</f>
        <v>62811821717</v>
      </c>
      <c r="N2006" s="17" t="s">
        <v>81</v>
      </c>
      <c r="V2006" s="18">
        <f>62811821717</f>
        <v>62811821717</v>
      </c>
    </row>
    <row r="2007" ht="15" customHeight="1" spans="1:28" x14ac:dyDescent="0.25">
      <c r="A2007" s="17" t="s">
        <v>6047</v>
      </c>
      <c r="B2007" s="17" t="s">
        <v>70</v>
      </c>
      <c r="C2007" s="17" t="s">
        <v>71</v>
      </c>
      <c r="D2007" t="s">
        <v>6048</v>
      </c>
      <c r="F2007" t="s">
        <v>6049</v>
      </c>
      <c r="J2007" s="17" t="s">
        <v>6050</v>
      </c>
      <c r="K2007" s="18" t="s">
        <v>6051</v>
      </c>
      <c r="N2007" s="17" t="s">
        <v>77</v>
      </c>
      <c r="O2007" t="s">
        <v>117</v>
      </c>
      <c r="V2007" s="18" t="s">
        <v>6051</v>
      </c>
      <c r="Y2007" s="17" t="s">
        <v>90</v>
      </c>
      <c r="AA2007" t="s">
        <v>118</v>
      </c>
      <c r="AB2007" t="s">
        <v>119</v>
      </c>
    </row>
    <row r="2008" ht="15" customHeight="1" spans="1:28" x14ac:dyDescent="0.25">
      <c r="A2008" s="17" t="s">
        <v>6052</v>
      </c>
      <c r="B2008" s="17" t="s">
        <v>70</v>
      </c>
      <c r="C2008" s="17" t="s">
        <v>71</v>
      </c>
      <c r="D2008" t="s">
        <v>6053</v>
      </c>
      <c r="F2008" t="s">
        <v>6054</v>
      </c>
      <c r="J2008" s="17" t="s">
        <v>6055</v>
      </c>
      <c r="K2008" s="18" t="s">
        <v>6056</v>
      </c>
      <c r="N2008" s="17" t="s">
        <v>77</v>
      </c>
      <c r="O2008" t="s">
        <v>117</v>
      </c>
      <c r="V2008" s="18" t="s">
        <v>6056</v>
      </c>
      <c r="Y2008" s="17" t="s">
        <v>378</v>
      </c>
      <c r="AA2008" s="17" t="s">
        <v>118</v>
      </c>
      <c r="AB2008" t="s">
        <v>119</v>
      </c>
    </row>
    <row r="2009" ht="15" customHeight="1" spans="1:28" x14ac:dyDescent="0.25">
      <c r="A2009" s="17" t="s">
        <v>6057</v>
      </c>
      <c r="B2009" s="17" t="s">
        <v>70</v>
      </c>
      <c r="C2009" s="17" t="s">
        <v>71</v>
      </c>
      <c r="D2009" t="s">
        <v>6058</v>
      </c>
      <c r="F2009" t="s">
        <v>6059</v>
      </c>
      <c r="J2009" t="s">
        <v>115</v>
      </c>
      <c r="K2009" s="18" t="s">
        <v>6060</v>
      </c>
      <c r="N2009" s="17" t="s">
        <v>77</v>
      </c>
      <c r="O2009" t="s">
        <v>117</v>
      </c>
      <c r="V2009" s="18" t="s">
        <v>6060</v>
      </c>
      <c r="Y2009" t="s">
        <v>190</v>
      </c>
      <c r="AA2009" t="s">
        <v>118</v>
      </c>
      <c r="AB2009" t="s">
        <v>119</v>
      </c>
    </row>
    <row r="2010" ht="15" customHeight="1" spans="1:28" x14ac:dyDescent="0.25">
      <c r="A2010" s="17" t="s">
        <v>6061</v>
      </c>
      <c r="B2010" s="17" t="s">
        <v>70</v>
      </c>
      <c r="C2010" s="17" t="s">
        <v>71</v>
      </c>
      <c r="D2010" t="s">
        <v>6045</v>
      </c>
      <c r="F2010" t="s">
        <v>6059</v>
      </c>
      <c r="J2010" s="17" t="s">
        <v>6062</v>
      </c>
      <c r="K2010" s="18" t="s">
        <v>6063</v>
      </c>
      <c r="N2010" s="17" t="s">
        <v>81</v>
      </c>
      <c r="O2010" t="s">
        <v>117</v>
      </c>
      <c r="U2010" s="17"/>
      <c r="V2010" s="18" t="s">
        <v>6063</v>
      </c>
      <c r="W2010" t="s">
        <v>6064</v>
      </c>
      <c r="Y2010" s="17" t="s">
        <v>90</v>
      </c>
      <c r="AA2010" t="s">
        <v>118</v>
      </c>
      <c r="AB2010" t="s">
        <v>119</v>
      </c>
    </row>
    <row r="2011" ht="15" customHeight="1" spans="1:23" x14ac:dyDescent="0.25">
      <c r="A2011" s="17" t="s">
        <v>6065</v>
      </c>
      <c r="B2011" s="17" t="s">
        <v>70</v>
      </c>
      <c r="C2011" s="17" t="s">
        <v>71</v>
      </c>
      <c r="D2011" t="s">
        <v>6045</v>
      </c>
      <c r="F2011" t="s">
        <v>6066</v>
      </c>
      <c r="K2011" s="18">
        <f>62217209664</f>
        <v>62217209664</v>
      </c>
      <c r="N2011" s="17" t="s">
        <v>77</v>
      </c>
      <c r="U2011" s="17"/>
      <c r="V2011" s="18">
        <f>62217209664</f>
        <v>62217209664</v>
      </c>
      <c r="W2011" t="s">
        <v>6067</v>
      </c>
    </row>
    <row r="2012" ht="15" customHeight="1" spans="1:22" x14ac:dyDescent="0.25">
      <c r="A2012" s="17" t="s">
        <v>6068</v>
      </c>
      <c r="B2012" s="17" t="s">
        <v>70</v>
      </c>
      <c r="C2012" s="17" t="s">
        <v>71</v>
      </c>
      <c r="D2012" t="s">
        <v>6045</v>
      </c>
      <c r="F2012" t="s">
        <v>6069</v>
      </c>
      <c r="K2012" s="18">
        <f>6281315882349</f>
        <v>6281315882349</v>
      </c>
      <c r="N2012" s="17" t="s">
        <v>77</v>
      </c>
      <c r="V2012" s="18">
        <f>6281315882349</f>
        <v>6281315882349</v>
      </c>
    </row>
    <row r="2013" ht="15" customHeight="1" spans="1:22" x14ac:dyDescent="0.25">
      <c r="A2013" s="17" t="s">
        <v>6070</v>
      </c>
      <c r="B2013" s="17" t="s">
        <v>70</v>
      </c>
      <c r="C2013" s="17" t="s">
        <v>71</v>
      </c>
      <c r="D2013" t="s">
        <v>6071</v>
      </c>
      <c r="F2013" t="s">
        <v>6071</v>
      </c>
      <c r="K2013" s="18">
        <f>628121041946</f>
        <v>628121041946</v>
      </c>
      <c r="N2013" s="17" t="s">
        <v>81</v>
      </c>
      <c r="V2013" s="18">
        <f>628121041946</f>
        <v>628121041946</v>
      </c>
    </row>
    <row r="2014" ht="15" customHeight="1" spans="1:23" x14ac:dyDescent="0.25">
      <c r="A2014" s="17" t="s">
        <v>6072</v>
      </c>
      <c r="B2014" s="17" t="s">
        <v>70</v>
      </c>
      <c r="C2014" s="17" t="s">
        <v>71</v>
      </c>
      <c r="D2014" t="s">
        <v>6071</v>
      </c>
      <c r="F2014" t="s">
        <v>4197</v>
      </c>
      <c r="K2014" s="18">
        <f>6281214006808</f>
        <v>6281214006808</v>
      </c>
      <c r="N2014" s="17" t="s">
        <v>81</v>
      </c>
      <c r="U2014" s="17"/>
      <c r="V2014" s="18">
        <f>6281214006808</f>
        <v>6281214006808</v>
      </c>
      <c r="W2014" t="s">
        <v>6073</v>
      </c>
    </row>
    <row r="2015" ht="15" customHeight="1" spans="1:22" x14ac:dyDescent="0.25">
      <c r="A2015" s="17" t="s">
        <v>6074</v>
      </c>
      <c r="B2015" s="17" t="s">
        <v>70</v>
      </c>
      <c r="C2015" s="17" t="s">
        <v>71</v>
      </c>
      <c r="D2015" t="s">
        <v>6048</v>
      </c>
      <c r="F2015" t="s">
        <v>6048</v>
      </c>
      <c r="K2015" s="18">
        <f>628161667777</f>
        <v>628161667777</v>
      </c>
      <c r="N2015" s="17" t="s">
        <v>81</v>
      </c>
      <c r="V2015" s="18">
        <f>628161667777</f>
        <v>628161667777</v>
      </c>
    </row>
    <row r="2016" ht="15" customHeight="1" spans="1:22" x14ac:dyDescent="0.25">
      <c r="A2016" s="17" t="s">
        <v>6075</v>
      </c>
      <c r="B2016" s="17" t="s">
        <v>70</v>
      </c>
      <c r="C2016" s="17" t="s">
        <v>71</v>
      </c>
      <c r="D2016" t="s">
        <v>6048</v>
      </c>
      <c r="F2016" t="s">
        <v>6076</v>
      </c>
      <c r="K2016" s="18">
        <f>628121167766</f>
        <v>628121167766</v>
      </c>
      <c r="N2016" s="17" t="s">
        <v>77</v>
      </c>
      <c r="V2016" s="18">
        <f>628121167766</f>
        <v>628121167766</v>
      </c>
    </row>
    <row r="2017" ht="15" customHeight="1" spans="1:22" x14ac:dyDescent="0.25">
      <c r="A2017" s="17" t="s">
        <v>6077</v>
      </c>
      <c r="B2017" s="17" t="s">
        <v>70</v>
      </c>
      <c r="C2017" s="17" t="s">
        <v>71</v>
      </c>
      <c r="D2017" t="s">
        <v>6048</v>
      </c>
      <c r="F2017" t="s">
        <v>282</v>
      </c>
      <c r="K2017" s="18">
        <f>62811883170</f>
        <v>62811883170</v>
      </c>
      <c r="N2017" s="17" t="s">
        <v>81</v>
      </c>
      <c r="V2017" s="18">
        <f>62811883170</f>
        <v>62811883170</v>
      </c>
    </row>
    <row r="2018" ht="15" customHeight="1" spans="1:22" x14ac:dyDescent="0.25">
      <c r="A2018" s="17" t="s">
        <v>6078</v>
      </c>
      <c r="B2018" s="17" t="s">
        <v>70</v>
      </c>
      <c r="C2018" s="17" t="s">
        <v>71</v>
      </c>
      <c r="D2018" t="s">
        <v>6048</v>
      </c>
      <c r="F2018" t="s">
        <v>6079</v>
      </c>
      <c r="K2018" s="18">
        <f>447477117030</f>
        <v>447477117030</v>
      </c>
      <c r="N2018" s="17" t="s">
        <v>77</v>
      </c>
      <c r="V2018" s="18">
        <f>447477117030</f>
        <v>447477117030</v>
      </c>
    </row>
    <row r="2019" ht="15" customHeight="1" spans="1:23" x14ac:dyDescent="0.25">
      <c r="A2019" s="17" t="s">
        <v>6080</v>
      </c>
      <c r="B2019" s="17" t="s">
        <v>70</v>
      </c>
      <c r="C2019" s="17" t="s">
        <v>71</v>
      </c>
      <c r="D2019" t="s">
        <v>3135</v>
      </c>
      <c r="F2019" t="s">
        <v>355</v>
      </c>
      <c r="K2019" s="18">
        <f>966552458564</f>
        <v>966552458564</v>
      </c>
      <c r="N2019" s="17" t="s">
        <v>77</v>
      </c>
      <c r="U2019" s="17"/>
      <c r="V2019" s="18">
        <f>966552458564</f>
        <v>966552458564</v>
      </c>
      <c r="W2019" t="s">
        <v>251</v>
      </c>
    </row>
    <row r="2020" ht="15" customHeight="1" spans="1:23" x14ac:dyDescent="0.25">
      <c r="A2020" s="17" t="s">
        <v>6081</v>
      </c>
      <c r="B2020" s="17" t="s">
        <v>70</v>
      </c>
      <c r="C2020" s="17" t="s">
        <v>71</v>
      </c>
      <c r="D2020" t="s">
        <v>3135</v>
      </c>
      <c r="F2020" t="s">
        <v>6082</v>
      </c>
      <c r="K2020" s="18">
        <v>13632894590</v>
      </c>
      <c r="N2020" s="17" t="s">
        <v>77</v>
      </c>
      <c r="U2020" s="17"/>
      <c r="V2020" s="18">
        <v>13632894590</v>
      </c>
      <c r="W2020" t="s">
        <v>6083</v>
      </c>
    </row>
    <row r="2021" ht="15" customHeight="1" spans="1:25" x14ac:dyDescent="0.25">
      <c r="A2021" s="17" t="s">
        <v>6084</v>
      </c>
      <c r="B2021" s="17" t="s">
        <v>70</v>
      </c>
      <c r="C2021" s="17" t="s">
        <v>71</v>
      </c>
      <c r="D2021" t="s">
        <v>6085</v>
      </c>
      <c r="F2021" t="s">
        <v>6086</v>
      </c>
      <c r="J2021" s="17" t="s">
        <v>6087</v>
      </c>
      <c r="K2021" s="18">
        <f>6287877777268</f>
        <v>6287877777268</v>
      </c>
      <c r="N2021" s="17" t="s">
        <v>77</v>
      </c>
      <c r="U2021" s="17"/>
      <c r="V2021" s="18">
        <f>6287877777268</f>
        <v>6287877777268</v>
      </c>
      <c r="W2021" t="s">
        <v>6088</v>
      </c>
      <c r="Y2021" s="17" t="s">
        <v>378</v>
      </c>
    </row>
    <row r="2022" ht="15" customHeight="1" spans="1:22" x14ac:dyDescent="0.25">
      <c r="A2022" s="17" t="s">
        <v>6089</v>
      </c>
      <c r="B2022" s="17" t="s">
        <v>70</v>
      </c>
      <c r="C2022" s="17" t="s">
        <v>71</v>
      </c>
      <c r="D2022" t="s">
        <v>6090</v>
      </c>
      <c r="F2022" t="s">
        <v>6091</v>
      </c>
      <c r="K2022" s="18">
        <v>272322184</v>
      </c>
      <c r="N2022" s="17" t="s">
        <v>77</v>
      </c>
      <c r="V2022" s="18">
        <v>272322184</v>
      </c>
    </row>
    <row r="2023" ht="15" customHeight="1" spans="1:22" x14ac:dyDescent="0.25">
      <c r="A2023" s="17" t="s">
        <v>6092</v>
      </c>
      <c r="B2023" s="17" t="s">
        <v>70</v>
      </c>
      <c r="C2023" s="17" t="s">
        <v>71</v>
      </c>
      <c r="D2023" t="s">
        <v>6090</v>
      </c>
      <c r="F2023" t="s">
        <v>6093</v>
      </c>
      <c r="K2023" s="18">
        <f>628119528300</f>
        <v>628119528300</v>
      </c>
      <c r="N2023" s="17" t="s">
        <v>77</v>
      </c>
      <c r="V2023" s="18">
        <f>628119528300</f>
        <v>628119528300</v>
      </c>
    </row>
    <row r="2024" ht="15" customHeight="1" spans="1:22" x14ac:dyDescent="0.25">
      <c r="A2024" s="17" t="s">
        <v>6094</v>
      </c>
      <c r="B2024" s="17" t="s">
        <v>70</v>
      </c>
      <c r="C2024" s="17" t="s">
        <v>71</v>
      </c>
      <c r="D2024" t="s">
        <v>6090</v>
      </c>
      <c r="F2024" t="s">
        <v>6095</v>
      </c>
      <c r="K2024" s="18">
        <f>6285215898977</f>
        <v>6285215898977</v>
      </c>
      <c r="N2024" s="17" t="s">
        <v>81</v>
      </c>
      <c r="V2024" s="18">
        <f>6285215898977</f>
        <v>6285215898977</v>
      </c>
    </row>
    <row r="2025" ht="15" customHeight="1" spans="1:28" x14ac:dyDescent="0.25">
      <c r="A2025" s="17" t="s">
        <v>6096</v>
      </c>
      <c r="B2025" s="17" t="s">
        <v>70</v>
      </c>
      <c r="C2025" s="17" t="s">
        <v>71</v>
      </c>
      <c r="D2025" t="s">
        <v>6097</v>
      </c>
      <c r="F2025" t="s">
        <v>6098</v>
      </c>
      <c r="J2025" t="s">
        <v>115</v>
      </c>
      <c r="K2025" s="18" t="s">
        <v>6099</v>
      </c>
      <c r="N2025" s="17" t="s">
        <v>77</v>
      </c>
      <c r="O2025" t="s">
        <v>199</v>
      </c>
      <c r="V2025" s="18" t="s">
        <v>6099</v>
      </c>
      <c r="Y2025" t="s">
        <v>6100</v>
      </c>
      <c r="AA2025" t="s">
        <v>115</v>
      </c>
      <c r="AB2025" t="s">
        <v>119</v>
      </c>
    </row>
    <row r="2026" ht="15" customHeight="1" spans="1:22" x14ac:dyDescent="0.25">
      <c r="A2026" s="17" t="s">
        <v>6101</v>
      </c>
      <c r="B2026" s="17" t="s">
        <v>70</v>
      </c>
      <c r="C2026" s="17" t="s">
        <v>71</v>
      </c>
      <c r="D2026" t="s">
        <v>3988</v>
      </c>
      <c r="F2026" t="s">
        <v>4566</v>
      </c>
      <c r="K2026" s="18">
        <f>62811175225</f>
        <v>62811175225</v>
      </c>
      <c r="N2026" s="17" t="s">
        <v>77</v>
      </c>
      <c r="V2026" s="18">
        <f>62811175225</f>
        <v>62811175225</v>
      </c>
    </row>
    <row r="2027" ht="15" customHeight="1" spans="1:22" x14ac:dyDescent="0.25">
      <c r="A2027" s="17" t="s">
        <v>6102</v>
      </c>
      <c r="B2027" s="17" t="s">
        <v>70</v>
      </c>
      <c r="C2027" s="17" t="s">
        <v>71</v>
      </c>
      <c r="D2027" t="s">
        <v>6103</v>
      </c>
      <c r="F2027" t="s">
        <v>2523</v>
      </c>
      <c r="K2027" s="18">
        <f>628161905676</f>
        <v>628161905676</v>
      </c>
      <c r="N2027" s="17" t="s">
        <v>77</v>
      </c>
      <c r="V2027" s="18">
        <f>628161905676</f>
        <v>628161905676</v>
      </c>
    </row>
    <row r="2028" ht="15" customHeight="1" spans="1:28" x14ac:dyDescent="0.25">
      <c r="A2028" s="17" t="s">
        <v>6104</v>
      </c>
      <c r="B2028" s="17" t="s">
        <v>70</v>
      </c>
      <c r="C2028" s="17" t="s">
        <v>71</v>
      </c>
      <c r="D2028" t="s">
        <v>431</v>
      </c>
      <c r="F2028" t="s">
        <v>6105</v>
      </c>
      <c r="J2028" s="17" t="s">
        <v>6106</v>
      </c>
      <c r="K2028" s="18" t="s">
        <v>6107</v>
      </c>
      <c r="N2028" s="17" t="s">
        <v>77</v>
      </c>
      <c r="O2028" t="s">
        <v>489</v>
      </c>
      <c r="U2028" s="17"/>
      <c r="V2028" s="18" t="s">
        <v>6107</v>
      </c>
      <c r="W2028" t="s">
        <v>6108</v>
      </c>
      <c r="Y2028" s="17" t="s">
        <v>190</v>
      </c>
      <c r="AA2028" t="s">
        <v>118</v>
      </c>
      <c r="AB2028" t="s">
        <v>119</v>
      </c>
    </row>
    <row r="2029" ht="15" customHeight="1" spans="1:28" x14ac:dyDescent="0.25">
      <c r="A2029" s="17" t="s">
        <v>6109</v>
      </c>
      <c r="B2029" s="17" t="s">
        <v>70</v>
      </c>
      <c r="C2029" s="17" t="s">
        <v>71</v>
      </c>
      <c r="D2029" t="s">
        <v>6110</v>
      </c>
      <c r="F2029" t="s">
        <v>6111</v>
      </c>
      <c r="J2029" t="s">
        <v>115</v>
      </c>
      <c r="K2029" s="18" t="s">
        <v>6112</v>
      </c>
      <c r="N2029" s="17" t="s">
        <v>81</v>
      </c>
      <c r="O2029" t="s">
        <v>117</v>
      </c>
      <c r="U2029" s="17"/>
      <c r="V2029" s="18" t="s">
        <v>6112</v>
      </c>
      <c r="W2029" t="s">
        <v>6113</v>
      </c>
      <c r="Y2029" t="s">
        <v>190</v>
      </c>
      <c r="AA2029" t="s">
        <v>118</v>
      </c>
      <c r="AB2029" t="s">
        <v>119</v>
      </c>
    </row>
    <row r="2030" ht="15" customHeight="1" spans="1:22" x14ac:dyDescent="0.25">
      <c r="A2030" s="17" t="s">
        <v>6114</v>
      </c>
      <c r="B2030" s="17" t="s">
        <v>70</v>
      </c>
      <c r="C2030" s="17" t="s">
        <v>71</v>
      </c>
      <c r="D2030" t="s">
        <v>6115</v>
      </c>
      <c r="F2030" t="s">
        <v>2523</v>
      </c>
      <c r="J2030" s="17" t="s">
        <v>6116</v>
      </c>
      <c r="K2030" s="18">
        <f>6287774353398</f>
        <v>6287774353398</v>
      </c>
      <c r="N2030" s="17" t="s">
        <v>74</v>
      </c>
      <c r="V2030" s="18">
        <f>6287774353398</f>
        <v>6287774353398</v>
      </c>
    </row>
    <row r="2031" ht="15" customHeight="1" spans="1:22" x14ac:dyDescent="0.25">
      <c r="A2031" s="17" t="s">
        <v>6117</v>
      </c>
      <c r="B2031" s="17" t="s">
        <v>70</v>
      </c>
      <c r="C2031" s="17" t="s">
        <v>71</v>
      </c>
      <c r="D2031" t="s">
        <v>6118</v>
      </c>
      <c r="F2031" t="s">
        <v>6118</v>
      </c>
      <c r="K2031" s="18">
        <f>6282125531983</f>
        <v>6282125531983</v>
      </c>
      <c r="N2031" s="17" t="s">
        <v>81</v>
      </c>
      <c r="V2031" s="18">
        <f>6282125531983</f>
        <v>6282125531983</v>
      </c>
    </row>
    <row r="2032" ht="15" customHeight="1" spans="1:23" x14ac:dyDescent="0.25">
      <c r="A2032" s="17" t="s">
        <v>6119</v>
      </c>
      <c r="B2032" s="17" t="s">
        <v>70</v>
      </c>
      <c r="C2032" s="17" t="s">
        <v>71</v>
      </c>
      <c r="D2032" t="s">
        <v>6120</v>
      </c>
      <c r="F2032" t="s">
        <v>2513</v>
      </c>
      <c r="K2032" s="18">
        <f>16479299846</f>
        <v>16479299846</v>
      </c>
      <c r="N2032" s="17" t="s">
        <v>77</v>
      </c>
      <c r="U2032" s="17"/>
      <c r="V2032" s="18">
        <f>16479299846</f>
        <v>16479299846</v>
      </c>
      <c r="W2032" t="s">
        <v>5542</v>
      </c>
    </row>
    <row r="2033" ht="15" customHeight="1" spans="1:28" x14ac:dyDescent="0.25">
      <c r="A2033" s="17" t="s">
        <v>6121</v>
      </c>
      <c r="B2033" s="17" t="s">
        <v>70</v>
      </c>
      <c r="C2033" s="17" t="s">
        <v>71</v>
      </c>
      <c r="D2033" t="s">
        <v>6122</v>
      </c>
      <c r="F2033" t="s">
        <v>6123</v>
      </c>
      <c r="J2033" s="17" t="s">
        <v>6124</v>
      </c>
      <c r="K2033" s="18" t="s">
        <v>6125</v>
      </c>
      <c r="N2033" s="17" t="s">
        <v>77</v>
      </c>
      <c r="O2033" t="s">
        <v>199</v>
      </c>
      <c r="U2033" s="17"/>
      <c r="V2033" s="18" t="s">
        <v>6125</v>
      </c>
      <c r="W2033" t="s">
        <v>1903</v>
      </c>
      <c r="Y2033" t="s">
        <v>115</v>
      </c>
      <c r="AA2033" t="s">
        <v>115</v>
      </c>
      <c r="AB2033" t="s">
        <v>119</v>
      </c>
    </row>
    <row r="2034" ht="15" customHeight="1" spans="1:22" x14ac:dyDescent="0.25">
      <c r="A2034" s="17" t="s">
        <v>6126</v>
      </c>
      <c r="B2034" s="17" t="s">
        <v>70</v>
      </c>
      <c r="C2034" s="17" t="s">
        <v>71</v>
      </c>
      <c r="D2034" t="s">
        <v>6127</v>
      </c>
      <c r="F2034" t="s">
        <v>6127</v>
      </c>
      <c r="K2034" s="18">
        <f>81213880376</f>
        <v>81213880376</v>
      </c>
      <c r="N2034" s="17" t="s">
        <v>77</v>
      </c>
      <c r="V2034" s="18">
        <f>81213880376</f>
        <v>81213880376</v>
      </c>
    </row>
    <row r="2035" ht="15" customHeight="1" spans="1:25" x14ac:dyDescent="0.25">
      <c r="A2035" s="17" t="s">
        <v>6128</v>
      </c>
      <c r="B2035" s="17" t="s">
        <v>70</v>
      </c>
      <c r="C2035" s="17" t="s">
        <v>71</v>
      </c>
      <c r="D2035" t="s">
        <v>6129</v>
      </c>
      <c r="F2035" t="s">
        <v>2004</v>
      </c>
      <c r="K2035" s="18" t="s">
        <v>6130</v>
      </c>
      <c r="N2035" s="17" t="s">
        <v>74</v>
      </c>
      <c r="U2035" s="17"/>
      <c r="V2035" s="18" t="s">
        <v>6130</v>
      </c>
      <c r="W2035" t="s">
        <v>6131</v>
      </c>
      <c r="Y2035" s="17" t="s">
        <v>96</v>
      </c>
    </row>
    <row r="2036" ht="15" customHeight="1" spans="1:25" x14ac:dyDescent="0.25">
      <c r="A2036" s="17" t="s">
        <v>6132</v>
      </c>
      <c r="B2036" s="17" t="s">
        <v>70</v>
      </c>
      <c r="C2036" s="17" t="s">
        <v>71</v>
      </c>
      <c r="D2036" t="s">
        <v>6129</v>
      </c>
      <c r="F2036" t="s">
        <v>6133</v>
      </c>
      <c r="K2036" s="18">
        <f>62811846765</f>
        <v>62811846765</v>
      </c>
      <c r="N2036" s="17" t="s">
        <v>74</v>
      </c>
      <c r="U2036" s="17"/>
      <c r="V2036" s="18">
        <f>62811846765</f>
        <v>62811846765</v>
      </c>
      <c r="W2036" t="s">
        <v>6134</v>
      </c>
      <c r="Y2036" s="17" t="s">
        <v>96</v>
      </c>
    </row>
    <row r="2037" ht="15" customHeight="1" spans="1:23" x14ac:dyDescent="0.25">
      <c r="A2037" s="17" t="s">
        <v>6135</v>
      </c>
      <c r="B2037" s="17" t="s">
        <v>70</v>
      </c>
      <c r="C2037" s="17" t="s">
        <v>71</v>
      </c>
      <c r="D2037" t="s">
        <v>6136</v>
      </c>
      <c r="F2037" t="s">
        <v>6137</v>
      </c>
      <c r="K2037" s="18">
        <f>6591864634</f>
        <v>6591864634</v>
      </c>
      <c r="N2037" s="17" t="s">
        <v>81</v>
      </c>
      <c r="U2037" s="17"/>
      <c r="V2037" s="18">
        <f>6591864634</f>
        <v>6591864634</v>
      </c>
      <c r="W2037" t="s">
        <v>6138</v>
      </c>
    </row>
    <row r="2038" ht="15" customHeight="1" spans="1:22" x14ac:dyDescent="0.25">
      <c r="A2038" s="17" t="s">
        <v>6139</v>
      </c>
      <c r="B2038" s="17" t="s">
        <v>70</v>
      </c>
      <c r="C2038" s="17" t="s">
        <v>71</v>
      </c>
      <c r="D2038" t="s">
        <v>6140</v>
      </c>
      <c r="F2038" t="s">
        <v>3605</v>
      </c>
      <c r="K2038" s="18">
        <f>628118118080</f>
        <v>628118118080</v>
      </c>
      <c r="N2038" s="17" t="s">
        <v>74</v>
      </c>
      <c r="V2038" s="18">
        <f>628118118080</f>
        <v>628118118080</v>
      </c>
    </row>
    <row r="2039" ht="15" customHeight="1" spans="1:28" x14ac:dyDescent="0.25">
      <c r="A2039" s="17" t="s">
        <v>6141</v>
      </c>
      <c r="B2039" s="17" t="s">
        <v>70</v>
      </c>
      <c r="C2039" s="17" t="s">
        <v>71</v>
      </c>
      <c r="D2039" t="s">
        <v>6142</v>
      </c>
      <c r="F2039" t="s">
        <v>6143</v>
      </c>
      <c r="J2039" s="17" t="s">
        <v>6144</v>
      </c>
      <c r="K2039" s="18" t="s">
        <v>6145</v>
      </c>
      <c r="N2039" s="17" t="s">
        <v>77</v>
      </c>
      <c r="O2039" t="s">
        <v>199</v>
      </c>
      <c r="U2039" s="17"/>
      <c r="V2039" s="18" t="s">
        <v>6145</v>
      </c>
      <c r="W2039" t="s">
        <v>6146</v>
      </c>
      <c r="Y2039" t="s">
        <v>6146</v>
      </c>
      <c r="AA2039" t="s">
        <v>115</v>
      </c>
      <c r="AB2039" t="s">
        <v>119</v>
      </c>
    </row>
    <row r="2040" ht="15" customHeight="1" spans="1:22" x14ac:dyDescent="0.25">
      <c r="A2040" s="17" t="s">
        <v>6147</v>
      </c>
      <c r="B2040" s="17" t="s">
        <v>70</v>
      </c>
      <c r="C2040" s="17" t="s">
        <v>71</v>
      </c>
      <c r="D2040" t="s">
        <v>6148</v>
      </c>
      <c r="F2040" t="s">
        <v>6149</v>
      </c>
      <c r="K2040" s="18">
        <f>6281511550369</f>
        <v>6281511550369</v>
      </c>
      <c r="N2040" s="17" t="s">
        <v>77</v>
      </c>
      <c r="V2040" s="18">
        <f>6281511550369</f>
        <v>6281511550369</v>
      </c>
    </row>
    <row r="2041" ht="15" customHeight="1" spans="1:22" x14ac:dyDescent="0.25">
      <c r="A2041" s="17" t="s">
        <v>6150</v>
      </c>
      <c r="B2041" s="17" t="s">
        <v>70</v>
      </c>
      <c r="C2041" s="17" t="s">
        <v>71</v>
      </c>
      <c r="D2041" t="s">
        <v>6151</v>
      </c>
      <c r="F2041" t="s">
        <v>6151</v>
      </c>
      <c r="K2041" s="18">
        <f>62217500350</f>
        <v>62217500350</v>
      </c>
      <c r="N2041" s="17" t="s">
        <v>77</v>
      </c>
      <c r="V2041" s="18">
        <f>62217500350</f>
        <v>62217500350</v>
      </c>
    </row>
    <row r="2042" ht="15" customHeight="1" spans="1:28" x14ac:dyDescent="0.25">
      <c r="A2042" s="17" t="s">
        <v>6152</v>
      </c>
      <c r="B2042" s="17" t="s">
        <v>70</v>
      </c>
      <c r="C2042" s="17" t="s">
        <v>71</v>
      </c>
      <c r="D2042" t="s">
        <v>6151</v>
      </c>
      <c r="F2042" t="s">
        <v>6153</v>
      </c>
      <c r="J2042" t="s">
        <v>115</v>
      </c>
      <c r="K2042" s="18" t="s">
        <v>6154</v>
      </c>
      <c r="N2042" s="17" t="s">
        <v>77</v>
      </c>
      <c r="O2042" t="s">
        <v>199</v>
      </c>
      <c r="V2042" s="18" t="s">
        <v>6154</v>
      </c>
      <c r="Y2042" t="s">
        <v>6155</v>
      </c>
      <c r="AA2042" t="s">
        <v>115</v>
      </c>
      <c r="AB2042" t="s">
        <v>119</v>
      </c>
    </row>
    <row r="2043" ht="15" customHeight="1" spans="1:25" x14ac:dyDescent="0.25">
      <c r="A2043" s="17" t="s">
        <v>6156</v>
      </c>
      <c r="B2043" s="17" t="s">
        <v>70</v>
      </c>
      <c r="C2043" s="17" t="s">
        <v>71</v>
      </c>
      <c r="D2043" t="s">
        <v>6157</v>
      </c>
      <c r="F2043" t="s">
        <v>6157</v>
      </c>
      <c r="K2043" s="18">
        <f>62818765234</f>
        <v>62818765234</v>
      </c>
      <c r="N2043" s="17" t="s">
        <v>77</v>
      </c>
      <c r="U2043" s="17"/>
      <c r="V2043" s="18">
        <f>62818765234</f>
        <v>62818765234</v>
      </c>
      <c r="W2043" t="s">
        <v>6158</v>
      </c>
      <c r="Y2043" s="17" t="s">
        <v>6159</v>
      </c>
    </row>
    <row r="2044" ht="15" customHeight="1" spans="1:22" x14ac:dyDescent="0.25">
      <c r="A2044" s="17" t="s">
        <v>6160</v>
      </c>
      <c r="B2044" s="17" t="s">
        <v>70</v>
      </c>
      <c r="C2044" s="17" t="s">
        <v>71</v>
      </c>
      <c r="D2044" t="s">
        <v>6157</v>
      </c>
      <c r="F2044" t="s">
        <v>6161</v>
      </c>
      <c r="K2044" s="18">
        <f>6281318308257</f>
        <v>6281318308257</v>
      </c>
      <c r="N2044" s="17" t="s">
        <v>77</v>
      </c>
      <c r="V2044" s="18">
        <f>6281318308257</f>
        <v>6281318308257</v>
      </c>
    </row>
    <row r="2045" ht="15" customHeight="1" spans="1:22" x14ac:dyDescent="0.25">
      <c r="A2045" s="17" t="s">
        <v>6162</v>
      </c>
      <c r="B2045" s="17" t="s">
        <v>70</v>
      </c>
      <c r="C2045" s="17" t="s">
        <v>71</v>
      </c>
      <c r="D2045" t="s">
        <v>6157</v>
      </c>
      <c r="F2045" t="s">
        <v>6163</v>
      </c>
      <c r="K2045" s="18">
        <f>628121152626</f>
        <v>628121152626</v>
      </c>
      <c r="N2045" s="17" t="s">
        <v>77</v>
      </c>
      <c r="V2045" s="18">
        <f>628121152626</f>
        <v>628121152626</v>
      </c>
    </row>
    <row r="2046" ht="15" customHeight="1" spans="1:25" x14ac:dyDescent="0.25">
      <c r="A2046" s="17" t="s">
        <v>6164</v>
      </c>
      <c r="B2046" s="17" t="s">
        <v>70</v>
      </c>
      <c r="C2046" s="17" t="s">
        <v>71</v>
      </c>
      <c r="D2046" t="s">
        <v>6157</v>
      </c>
      <c r="F2046" t="s">
        <v>6165</v>
      </c>
      <c r="K2046" s="18">
        <f>62811147518</f>
        <v>62811147518</v>
      </c>
      <c r="N2046" s="17" t="s">
        <v>77</v>
      </c>
      <c r="U2046" s="17"/>
      <c r="V2046" s="18">
        <f>62811147518</f>
        <v>62811147518</v>
      </c>
      <c r="W2046" t="s">
        <v>6166</v>
      </c>
      <c r="Y2046" s="17" t="s">
        <v>626</v>
      </c>
    </row>
    <row r="2047" ht="15" customHeight="1" spans="1:22" x14ac:dyDescent="0.25">
      <c r="A2047" s="17" t="s">
        <v>6167</v>
      </c>
      <c r="B2047" s="17" t="s">
        <v>70</v>
      </c>
      <c r="C2047" s="17" t="s">
        <v>71</v>
      </c>
      <c r="D2047" t="s">
        <v>6168</v>
      </c>
      <c r="F2047" t="s">
        <v>6168</v>
      </c>
      <c r="K2047" s="18">
        <f>62811128487</f>
        <v>62811128487</v>
      </c>
      <c r="N2047" s="17" t="s">
        <v>74</v>
      </c>
      <c r="V2047" s="18">
        <f>62811128487</f>
        <v>62811128487</v>
      </c>
    </row>
    <row r="2048" ht="15" customHeight="1" spans="1:22" x14ac:dyDescent="0.25">
      <c r="A2048" s="17" t="s">
        <v>6169</v>
      </c>
      <c r="B2048" s="17" t="s">
        <v>70</v>
      </c>
      <c r="C2048" s="17" t="s">
        <v>71</v>
      </c>
      <c r="D2048" t="s">
        <v>6170</v>
      </c>
      <c r="F2048" t="s">
        <v>5592</v>
      </c>
      <c r="K2048" s="18">
        <f>62818627952</f>
        <v>62818627952</v>
      </c>
      <c r="N2048" s="17" t="s">
        <v>74</v>
      </c>
      <c r="V2048" s="18">
        <f>62818627952</f>
        <v>62818627952</v>
      </c>
    </row>
    <row r="2049" ht="15" customHeight="1" spans="1:25" x14ac:dyDescent="0.25">
      <c r="A2049" s="17" t="s">
        <v>6171</v>
      </c>
      <c r="B2049" s="17" t="s">
        <v>70</v>
      </c>
      <c r="C2049" s="17" t="s">
        <v>71</v>
      </c>
      <c r="D2049" t="s">
        <v>6172</v>
      </c>
      <c r="F2049" t="s">
        <v>6173</v>
      </c>
      <c r="K2049" s="18">
        <f>62816998465</f>
        <v>62816998465</v>
      </c>
      <c r="N2049" s="17" t="s">
        <v>77</v>
      </c>
      <c r="U2049" s="17"/>
      <c r="V2049" s="18">
        <f>62816998465</f>
        <v>62816998465</v>
      </c>
      <c r="W2049" t="s">
        <v>6174</v>
      </c>
      <c r="Y2049" s="17" t="s">
        <v>626</v>
      </c>
    </row>
    <row r="2050" ht="15" customHeight="1" spans="1:27" x14ac:dyDescent="0.25">
      <c r="A2050" s="17" t="s">
        <v>6175</v>
      </c>
      <c r="B2050" s="17" t="s">
        <v>70</v>
      </c>
      <c r="C2050" s="17" t="s">
        <v>71</v>
      </c>
      <c r="D2050" t="s">
        <v>6176</v>
      </c>
      <c r="F2050" t="s">
        <v>6177</v>
      </c>
      <c r="K2050" s="18">
        <f>62216401338</f>
        <v>62216401338</v>
      </c>
      <c r="N2050" s="17" t="s">
        <v>77</v>
      </c>
      <c r="U2050" s="17"/>
      <c r="V2050" s="18">
        <f>62216401338</f>
        <v>62216401338</v>
      </c>
      <c r="W2050" t="s">
        <v>6178</v>
      </c>
      <c r="Y2050" s="17" t="s">
        <v>90</v>
      </c>
      <c r="AA2050" s="17" t="s">
        <v>6179</v>
      </c>
    </row>
    <row r="2051" ht="15" customHeight="1" spans="1:25" x14ac:dyDescent="0.25">
      <c r="A2051" s="17" t="s">
        <v>6180</v>
      </c>
      <c r="B2051" s="17" t="s">
        <v>70</v>
      </c>
      <c r="C2051" s="17" t="s">
        <v>71</v>
      </c>
      <c r="D2051" t="s">
        <v>6181</v>
      </c>
      <c r="F2051" t="s">
        <v>6182</v>
      </c>
      <c r="K2051" s="18">
        <f>62818187518</f>
        <v>62818187518</v>
      </c>
      <c r="N2051" s="17" t="s">
        <v>77</v>
      </c>
      <c r="U2051" s="17"/>
      <c r="V2051" s="18">
        <f>62818187518</f>
        <v>62818187518</v>
      </c>
      <c r="W2051" t="s">
        <v>6183</v>
      </c>
      <c r="Y2051" s="17" t="s">
        <v>378</v>
      </c>
    </row>
    <row r="2052" ht="15" customHeight="1" spans="1:22" x14ac:dyDescent="0.25">
      <c r="A2052" s="17" t="s">
        <v>6184</v>
      </c>
      <c r="B2052" s="17" t="s">
        <v>70</v>
      </c>
      <c r="C2052" s="17" t="s">
        <v>71</v>
      </c>
      <c r="D2052" t="s">
        <v>6185</v>
      </c>
      <c r="F2052" t="s">
        <v>6186</v>
      </c>
      <c r="K2052" s="18">
        <f>971555382629</f>
        <v>971555382629</v>
      </c>
      <c r="N2052" s="17" t="s">
        <v>77</v>
      </c>
      <c r="V2052" s="18">
        <f>971555382629</f>
        <v>971555382629</v>
      </c>
    </row>
    <row r="2053" ht="15" customHeight="1" spans="1:23" x14ac:dyDescent="0.25">
      <c r="A2053" s="17" t="s">
        <v>6187</v>
      </c>
      <c r="B2053" s="17" t="s">
        <v>70</v>
      </c>
      <c r="C2053" s="17" t="s">
        <v>71</v>
      </c>
      <c r="D2053" t="s">
        <v>6188</v>
      </c>
      <c r="F2053" t="s">
        <v>6189</v>
      </c>
      <c r="K2053" s="18">
        <f>35795154103</f>
        <v>35795154103</v>
      </c>
      <c r="N2053" s="17" t="s">
        <v>77</v>
      </c>
      <c r="U2053" s="17"/>
      <c r="V2053" s="18">
        <f>35795154103</f>
        <v>35795154103</v>
      </c>
      <c r="W2053" t="s">
        <v>6190</v>
      </c>
    </row>
    <row r="2054" ht="15" customHeight="1" spans="1:22" x14ac:dyDescent="0.25">
      <c r="A2054" s="17" t="s">
        <v>6191</v>
      </c>
      <c r="B2054" s="17" t="s">
        <v>70</v>
      </c>
      <c r="C2054" s="17" t="s">
        <v>71</v>
      </c>
      <c r="D2054" t="s">
        <v>6192</v>
      </c>
      <c r="F2054" t="s">
        <v>6193</v>
      </c>
      <c r="K2054" s="18">
        <f>6281901013300</f>
        <v>6281901013300</v>
      </c>
      <c r="N2054" s="17" t="s">
        <v>81</v>
      </c>
      <c r="V2054" s="18">
        <f>6281901013300</f>
        <v>6281901013300</v>
      </c>
    </row>
    <row r="2055" ht="15" customHeight="1" spans="1:23" x14ac:dyDescent="0.25">
      <c r="A2055" s="17" t="s">
        <v>6194</v>
      </c>
      <c r="B2055" s="17" t="s">
        <v>70</v>
      </c>
      <c r="C2055" s="17" t="s">
        <v>71</v>
      </c>
      <c r="D2055" t="s">
        <v>6195</v>
      </c>
      <c r="F2055" t="s">
        <v>6196</v>
      </c>
      <c r="K2055" s="18">
        <f>14182229363</f>
        <v>14182229363</v>
      </c>
      <c r="N2055" s="17" t="s">
        <v>77</v>
      </c>
      <c r="U2055" s="17"/>
      <c r="V2055" s="18">
        <f>14182229363</f>
        <v>14182229363</v>
      </c>
      <c r="W2055" t="s">
        <v>5542</v>
      </c>
    </row>
    <row r="2056" ht="15" customHeight="1" spans="1:22" x14ac:dyDescent="0.25">
      <c r="A2056" s="17" t="s">
        <v>6197</v>
      </c>
      <c r="B2056" s="17" t="s">
        <v>70</v>
      </c>
      <c r="C2056" s="17" t="s">
        <v>71</v>
      </c>
      <c r="D2056" t="s">
        <v>6198</v>
      </c>
      <c r="F2056" t="s">
        <v>737</v>
      </c>
      <c r="K2056" s="18">
        <f>62818941935</f>
        <v>62818941935</v>
      </c>
      <c r="N2056" s="17" t="s">
        <v>81</v>
      </c>
      <c r="V2056" s="18">
        <f>62818941935</f>
        <v>62818941935</v>
      </c>
    </row>
    <row r="2057" ht="15" customHeight="1" spans="1:27" x14ac:dyDescent="0.25">
      <c r="A2057" s="17" t="s">
        <v>6199</v>
      </c>
      <c r="B2057" s="17" t="s">
        <v>70</v>
      </c>
      <c r="C2057" s="17" t="s">
        <v>71</v>
      </c>
      <c r="D2057" t="s">
        <v>6198</v>
      </c>
      <c r="F2057" t="s">
        <v>6095</v>
      </c>
      <c r="K2057" s="18">
        <f>628129631688</f>
        <v>628129631688</v>
      </c>
      <c r="N2057" s="17" t="s">
        <v>77</v>
      </c>
      <c r="U2057" s="17"/>
      <c r="V2057" s="18">
        <f>628129631688</f>
        <v>628129631688</v>
      </c>
      <c r="W2057" t="s">
        <v>6200</v>
      </c>
      <c r="Y2057" s="17" t="s">
        <v>90</v>
      </c>
      <c r="AA2057" s="17">
        <v>14450</v>
      </c>
    </row>
    <row r="2058" ht="15" customHeight="1" spans="1:22" x14ac:dyDescent="0.25">
      <c r="A2058" s="17" t="s">
        <v>6201</v>
      </c>
      <c r="B2058" s="17" t="s">
        <v>70</v>
      </c>
      <c r="C2058" s="17" t="s">
        <v>71</v>
      </c>
      <c r="D2058" t="s">
        <v>6202</v>
      </c>
      <c r="F2058" t="s">
        <v>438</v>
      </c>
      <c r="K2058" s="18">
        <f>62811855670</f>
        <v>62811855670</v>
      </c>
      <c r="N2058" s="17" t="s">
        <v>77</v>
      </c>
      <c r="V2058" s="18">
        <f>62811855670</f>
        <v>62811855670</v>
      </c>
    </row>
    <row r="2059" ht="15" customHeight="1" spans="1:28" x14ac:dyDescent="0.25">
      <c r="A2059" s="17" t="s">
        <v>6203</v>
      </c>
      <c r="B2059" s="17" t="s">
        <v>70</v>
      </c>
      <c r="C2059" s="17" t="s">
        <v>71</v>
      </c>
      <c r="D2059" t="s">
        <v>6204</v>
      </c>
      <c r="F2059" t="s">
        <v>6205</v>
      </c>
      <c r="J2059" s="17" t="s">
        <v>6206</v>
      </c>
      <c r="K2059" s="18" t="s">
        <v>6207</v>
      </c>
      <c r="N2059" s="17" t="s">
        <v>77</v>
      </c>
      <c r="O2059" t="s">
        <v>261</v>
      </c>
      <c r="V2059" s="18" t="s">
        <v>6207</v>
      </c>
      <c r="Y2059" t="s">
        <v>515</v>
      </c>
      <c r="AA2059" t="s">
        <v>1614</v>
      </c>
      <c r="AB2059" t="s">
        <v>119</v>
      </c>
    </row>
    <row r="2060" ht="15" customHeight="1" spans="1:28" x14ac:dyDescent="0.25">
      <c r="A2060" s="17" t="s">
        <v>6208</v>
      </c>
      <c r="B2060" s="17" t="s">
        <v>70</v>
      </c>
      <c r="C2060" s="17" t="s">
        <v>71</v>
      </c>
      <c r="D2060" t="s">
        <v>6204</v>
      </c>
      <c r="F2060" t="s">
        <v>2386</v>
      </c>
      <c r="J2060" s="17" t="s">
        <v>6209</v>
      </c>
      <c r="K2060" s="18" t="s">
        <v>6210</v>
      </c>
      <c r="N2060" s="17" t="s">
        <v>77</v>
      </c>
      <c r="O2060" t="s">
        <v>145</v>
      </c>
      <c r="U2060" s="17"/>
      <c r="V2060" s="18" t="s">
        <v>6210</v>
      </c>
      <c r="W2060" t="s">
        <v>6211</v>
      </c>
      <c r="Y2060" s="17" t="s">
        <v>190</v>
      </c>
      <c r="AA2060" t="s">
        <v>118</v>
      </c>
      <c r="AB2060" t="s">
        <v>119</v>
      </c>
    </row>
    <row r="2061" ht="15" customHeight="1" spans="1:23" x14ac:dyDescent="0.25">
      <c r="A2061" s="17" t="s">
        <v>6212</v>
      </c>
      <c r="B2061" s="17" t="s">
        <v>70</v>
      </c>
      <c r="C2061" s="17" t="s">
        <v>71</v>
      </c>
      <c r="D2061" t="s">
        <v>6213</v>
      </c>
      <c r="F2061" t="s">
        <v>6214</v>
      </c>
      <c r="K2061" s="18" t="s">
        <v>6215</v>
      </c>
      <c r="N2061" s="17" t="s">
        <v>77</v>
      </c>
      <c r="U2061" s="17"/>
      <c r="V2061" s="18" t="s">
        <v>6215</v>
      </c>
      <c r="W2061" t="s">
        <v>6216</v>
      </c>
    </row>
    <row r="2062" ht="15" customHeight="1" spans="1:23" x14ac:dyDescent="0.25">
      <c r="A2062" s="17" t="s">
        <v>6217</v>
      </c>
      <c r="B2062" s="17" t="s">
        <v>70</v>
      </c>
      <c r="C2062" s="17" t="s">
        <v>71</v>
      </c>
      <c r="D2062" t="s">
        <v>6218</v>
      </c>
      <c r="F2062" t="s">
        <v>3920</v>
      </c>
      <c r="K2062" s="18">
        <f>447904566602</f>
        <v>447904566602</v>
      </c>
      <c r="N2062" s="17" t="s">
        <v>77</v>
      </c>
      <c r="U2062" s="17"/>
      <c r="V2062" s="18">
        <f>447904566602</f>
        <v>447904566602</v>
      </c>
      <c r="W2062" t="s">
        <v>1908</v>
      </c>
    </row>
    <row r="2063" ht="15" customHeight="1" spans="1:23" x14ac:dyDescent="0.25">
      <c r="A2063" s="17" t="s">
        <v>6219</v>
      </c>
      <c r="B2063" s="17" t="s">
        <v>70</v>
      </c>
      <c r="C2063" s="17" t="s">
        <v>71</v>
      </c>
      <c r="D2063" t="s">
        <v>6220</v>
      </c>
      <c r="F2063" t="s">
        <v>6221</v>
      </c>
      <c r="K2063" s="18">
        <f>81330618405</f>
        <v>81330618405</v>
      </c>
      <c r="N2063" s="17" t="s">
        <v>81</v>
      </c>
      <c r="U2063" s="17"/>
      <c r="V2063" s="18">
        <f>81330618405</f>
        <v>81330618405</v>
      </c>
      <c r="W2063" t="s">
        <v>6222</v>
      </c>
    </row>
    <row r="2064" ht="15" customHeight="1" spans="1:23" x14ac:dyDescent="0.25">
      <c r="A2064" s="17" t="s">
        <v>6223</v>
      </c>
      <c r="B2064" s="17" t="s">
        <v>70</v>
      </c>
      <c r="C2064" s="17" t="s">
        <v>71</v>
      </c>
      <c r="D2064" t="s">
        <v>6224</v>
      </c>
      <c r="F2064" t="s">
        <v>6225</v>
      </c>
      <c r="K2064" s="18">
        <f>610439914309</f>
        <v>610439914309</v>
      </c>
      <c r="N2064" s="17" t="s">
        <v>77</v>
      </c>
      <c r="U2064" s="17"/>
      <c r="V2064" s="18">
        <f>610439914309</f>
        <v>610439914309</v>
      </c>
      <c r="W2064" t="s">
        <v>6226</v>
      </c>
    </row>
    <row r="2065" ht="15" customHeight="1" spans="1:23" x14ac:dyDescent="0.25">
      <c r="A2065" s="17" t="s">
        <v>6227</v>
      </c>
      <c r="B2065" s="17" t="s">
        <v>70</v>
      </c>
      <c r="C2065" s="17" t="s">
        <v>71</v>
      </c>
      <c r="D2065" t="s">
        <v>6228</v>
      </c>
      <c r="F2065" t="s">
        <v>6229</v>
      </c>
      <c r="K2065" s="18">
        <f>971508218877</f>
        <v>971508218877</v>
      </c>
      <c r="N2065" s="17" t="s">
        <v>77</v>
      </c>
      <c r="U2065" s="17"/>
      <c r="V2065" s="18">
        <f>971508218877</f>
        <v>971508218877</v>
      </c>
      <c r="W2065" t="s">
        <v>6230</v>
      </c>
    </row>
    <row r="2066" ht="15" customHeight="1" spans="1:22" x14ac:dyDescent="0.25">
      <c r="A2066" s="17" t="s">
        <v>6231</v>
      </c>
      <c r="B2066" s="17" t="s">
        <v>70</v>
      </c>
      <c r="C2066" s="17" t="s">
        <v>71</v>
      </c>
      <c r="D2066" t="s">
        <v>6232</v>
      </c>
      <c r="F2066" t="s">
        <v>6233</v>
      </c>
      <c r="K2066" s="18">
        <f>6281346379222</f>
        <v>6281346379222</v>
      </c>
      <c r="N2066" s="17" t="s">
        <v>81</v>
      </c>
      <c r="V2066" s="18">
        <f>6281346379222</f>
        <v>6281346379222</v>
      </c>
    </row>
    <row r="2067" ht="15" customHeight="1" spans="1:22" x14ac:dyDescent="0.25">
      <c r="A2067" s="17" t="s">
        <v>6234</v>
      </c>
      <c r="B2067" s="17" t="s">
        <v>70</v>
      </c>
      <c r="C2067" s="17" t="s">
        <v>71</v>
      </c>
      <c r="D2067" t="s">
        <v>6232</v>
      </c>
      <c r="F2067" t="s">
        <v>6235</v>
      </c>
      <c r="J2067" s="17" t="s">
        <v>6236</v>
      </c>
      <c r="K2067" s="18">
        <f>628122122173</f>
        <v>628122122173</v>
      </c>
      <c r="N2067" s="17" t="s">
        <v>74</v>
      </c>
      <c r="V2067" s="18">
        <f>628122122173</f>
        <v>628122122173</v>
      </c>
    </row>
    <row r="2068" ht="15" customHeight="1" spans="1:23" x14ac:dyDescent="0.25">
      <c r="A2068" s="17" t="s">
        <v>6237</v>
      </c>
      <c r="B2068" s="17" t="s">
        <v>70</v>
      </c>
      <c r="C2068" s="17" t="s">
        <v>71</v>
      </c>
      <c r="D2068" t="s">
        <v>6232</v>
      </c>
      <c r="F2068" t="s">
        <v>1608</v>
      </c>
      <c r="K2068" s="18" t="s">
        <v>6238</v>
      </c>
      <c r="N2068" s="17" t="s">
        <v>77</v>
      </c>
      <c r="U2068" s="17"/>
      <c r="V2068" s="18" t="s">
        <v>6238</v>
      </c>
      <c r="W2068" t="s">
        <v>6239</v>
      </c>
    </row>
    <row r="2069" ht="15" customHeight="1" spans="1:22" x14ac:dyDescent="0.25">
      <c r="A2069" s="17" t="s">
        <v>6240</v>
      </c>
      <c r="B2069" s="17" t="s">
        <v>70</v>
      </c>
      <c r="C2069" s="17" t="s">
        <v>71</v>
      </c>
      <c r="D2069" t="s">
        <v>6241</v>
      </c>
      <c r="F2069" t="s">
        <v>6242</v>
      </c>
      <c r="K2069" s="18">
        <f>6281214607443</f>
        <v>6281214607443</v>
      </c>
      <c r="N2069" s="17" t="s">
        <v>77</v>
      </c>
      <c r="V2069" s="18">
        <f>6281214607443</f>
        <v>6281214607443</v>
      </c>
    </row>
    <row r="2070" ht="15" customHeight="1" spans="1:25" x14ac:dyDescent="0.25">
      <c r="A2070" s="17" t="s">
        <v>6243</v>
      </c>
      <c r="B2070" s="17" t="s">
        <v>70</v>
      </c>
      <c r="C2070" s="17" t="s">
        <v>71</v>
      </c>
      <c r="D2070" t="s">
        <v>6241</v>
      </c>
      <c r="F2070" t="s">
        <v>6244</v>
      </c>
      <c r="K2070" s="18">
        <f>6281514156000</f>
        <v>6281514156000</v>
      </c>
      <c r="N2070" s="17" t="s">
        <v>77</v>
      </c>
      <c r="U2070" s="17"/>
      <c r="V2070" s="18">
        <f>6281514156000</f>
        <v>6281514156000</v>
      </c>
      <c r="W2070" t="s">
        <v>6245</v>
      </c>
      <c r="Y2070" s="17" t="s">
        <v>6246</v>
      </c>
    </row>
    <row r="2071" ht="15" customHeight="1" spans="1:28" x14ac:dyDescent="0.25">
      <c r="A2071" s="17" t="s">
        <v>6247</v>
      </c>
      <c r="B2071" s="17" t="s">
        <v>70</v>
      </c>
      <c r="C2071" s="17" t="s">
        <v>71</v>
      </c>
      <c r="D2071" t="s">
        <v>6248</v>
      </c>
      <c r="F2071" t="s">
        <v>6249</v>
      </c>
      <c r="J2071" s="17" t="s">
        <v>6250</v>
      </c>
      <c r="K2071" s="18" t="s">
        <v>6251</v>
      </c>
      <c r="N2071" s="17" t="s">
        <v>77</v>
      </c>
      <c r="O2071" t="s">
        <v>199</v>
      </c>
      <c r="V2071" s="18" t="s">
        <v>6251</v>
      </c>
      <c r="Y2071" s="17" t="s">
        <v>4897</v>
      </c>
      <c r="AA2071" t="s">
        <v>115</v>
      </c>
      <c r="AB2071" t="s">
        <v>119</v>
      </c>
    </row>
    <row r="2072" ht="15" customHeight="1" spans="1:22" x14ac:dyDescent="0.25">
      <c r="A2072" s="17" t="s">
        <v>6252</v>
      </c>
      <c r="B2072" s="17" t="s">
        <v>70</v>
      </c>
      <c r="C2072" s="17" t="s">
        <v>71</v>
      </c>
      <c r="D2072" t="s">
        <v>6253</v>
      </c>
      <c r="F2072" t="s">
        <v>618</v>
      </c>
      <c r="K2072" s="18">
        <f>628161143618</f>
        <v>628161143618</v>
      </c>
      <c r="N2072" s="17" t="s">
        <v>77</v>
      </c>
      <c r="V2072" s="18">
        <f>628161143618</f>
        <v>628161143618</v>
      </c>
    </row>
    <row r="2073" ht="15" customHeight="1" spans="1:22" x14ac:dyDescent="0.25">
      <c r="A2073" s="17" t="s">
        <v>6254</v>
      </c>
      <c r="B2073" s="17" t="s">
        <v>70</v>
      </c>
      <c r="C2073" s="17" t="s">
        <v>71</v>
      </c>
      <c r="D2073" t="s">
        <v>6253</v>
      </c>
      <c r="F2073" t="s">
        <v>6255</v>
      </c>
      <c r="K2073" s="18">
        <v>6281614200</v>
      </c>
      <c r="N2073" s="17" t="s">
        <v>81</v>
      </c>
      <c r="V2073" s="18">
        <v>6281614200</v>
      </c>
    </row>
    <row r="2074" ht="15" customHeight="1" spans="1:22" x14ac:dyDescent="0.25">
      <c r="A2074" s="17" t="s">
        <v>6256</v>
      </c>
      <c r="B2074" s="17" t="s">
        <v>70</v>
      </c>
      <c r="C2074" s="17" t="s">
        <v>71</v>
      </c>
      <c r="D2074" t="s">
        <v>6257</v>
      </c>
      <c r="F2074" t="s">
        <v>1499</v>
      </c>
      <c r="K2074" s="18">
        <f>6281381741113</f>
        <v>6281381741113</v>
      </c>
      <c r="N2074" s="17" t="s">
        <v>81</v>
      </c>
      <c r="V2074" s="18">
        <f>6281381741113</f>
        <v>6281381741113</v>
      </c>
    </row>
    <row r="2075" ht="15" customHeight="1" spans="1:27" x14ac:dyDescent="0.25">
      <c r="A2075" s="17" t="s">
        <v>6258</v>
      </c>
      <c r="B2075" s="17" t="s">
        <v>70</v>
      </c>
      <c r="C2075" s="17" t="s">
        <v>71</v>
      </c>
      <c r="D2075" t="s">
        <v>6259</v>
      </c>
      <c r="F2075" t="s">
        <v>6260</v>
      </c>
      <c r="K2075" s="18">
        <f>62217664788</f>
        <v>62217664788</v>
      </c>
      <c r="N2075" s="17" t="s">
        <v>77</v>
      </c>
      <c r="U2075" s="17"/>
      <c r="V2075" s="18">
        <f>62217664788</f>
        <v>62217664788</v>
      </c>
      <c r="W2075" t="s">
        <v>6261</v>
      </c>
      <c r="Y2075" s="17" t="s">
        <v>96</v>
      </c>
      <c r="AA2075" s="17" t="s">
        <v>6262</v>
      </c>
    </row>
    <row r="2076" ht="15" customHeight="1" spans="1:25" x14ac:dyDescent="0.25">
      <c r="A2076" s="17" t="s">
        <v>6263</v>
      </c>
      <c r="B2076" s="17" t="s">
        <v>70</v>
      </c>
      <c r="C2076" s="17" t="s">
        <v>71</v>
      </c>
      <c r="D2076" t="s">
        <v>6264</v>
      </c>
      <c r="F2076" t="s">
        <v>6264</v>
      </c>
      <c r="K2076" s="18">
        <f>62816138636</f>
        <v>62816138636</v>
      </c>
      <c r="N2076" s="17" t="s">
        <v>77</v>
      </c>
      <c r="U2076" s="17"/>
      <c r="V2076" s="18">
        <f>62816138636</f>
        <v>62816138636</v>
      </c>
      <c r="W2076" t="s">
        <v>6265</v>
      </c>
      <c r="Y2076" s="17" t="s">
        <v>90</v>
      </c>
    </row>
    <row r="2077" ht="15" customHeight="1" spans="1:28" x14ac:dyDescent="0.25">
      <c r="A2077" s="17" t="s">
        <v>6266</v>
      </c>
      <c r="B2077" s="17" t="s">
        <v>70</v>
      </c>
      <c r="C2077" s="17" t="s">
        <v>71</v>
      </c>
      <c r="D2077" t="s">
        <v>6267</v>
      </c>
      <c r="F2077" t="s">
        <v>6267</v>
      </c>
      <c r="J2077" t="s">
        <v>115</v>
      </c>
      <c r="K2077" s="18" t="s">
        <v>6268</v>
      </c>
      <c r="N2077" s="17" t="s">
        <v>77</v>
      </c>
      <c r="O2077" t="s">
        <v>117</v>
      </c>
      <c r="U2077" s="17"/>
      <c r="V2077" s="18" t="s">
        <v>6268</v>
      </c>
      <c r="W2077" t="s">
        <v>6269</v>
      </c>
      <c r="Y2077" s="17" t="s">
        <v>190</v>
      </c>
      <c r="AA2077" t="s">
        <v>118</v>
      </c>
      <c r="AB2077" t="s">
        <v>119</v>
      </c>
    </row>
    <row r="2078" ht="15" customHeight="1" spans="1:22" x14ac:dyDescent="0.25">
      <c r="A2078" s="17" t="s">
        <v>6270</v>
      </c>
      <c r="B2078" s="17" t="s">
        <v>70</v>
      </c>
      <c r="C2078" s="17" t="s">
        <v>71</v>
      </c>
      <c r="D2078" t="s">
        <v>6267</v>
      </c>
      <c r="F2078" t="s">
        <v>6271</v>
      </c>
      <c r="K2078" s="18">
        <f>6281314703529</f>
        <v>6281314703529</v>
      </c>
      <c r="N2078" s="17" t="s">
        <v>81</v>
      </c>
      <c r="V2078" s="18">
        <f>6281314703529</f>
        <v>6281314703529</v>
      </c>
    </row>
    <row r="2079" ht="15" customHeight="1" spans="1:23" x14ac:dyDescent="0.25">
      <c r="A2079" s="17" t="s">
        <v>6272</v>
      </c>
      <c r="B2079" s="17" t="s">
        <v>70</v>
      </c>
      <c r="C2079" s="17" t="s">
        <v>71</v>
      </c>
      <c r="D2079" t="s">
        <v>6267</v>
      </c>
      <c r="F2079" t="s">
        <v>629</v>
      </c>
      <c r="K2079" s="18">
        <f>62817819777</f>
        <v>62817819777</v>
      </c>
      <c r="N2079" s="17" t="s">
        <v>77</v>
      </c>
      <c r="U2079" s="17"/>
      <c r="V2079" s="18">
        <f>62817819777</f>
        <v>62817819777</v>
      </c>
      <c r="W2079" t="s">
        <v>6273</v>
      </c>
    </row>
    <row r="2080" ht="15" customHeight="1" spans="1:25" x14ac:dyDescent="0.25">
      <c r="A2080" s="17" t="s">
        <v>6274</v>
      </c>
      <c r="B2080" s="17" t="s">
        <v>70</v>
      </c>
      <c r="C2080" s="17" t="s">
        <v>71</v>
      </c>
      <c r="D2080" t="s">
        <v>6275</v>
      </c>
      <c r="F2080" t="s">
        <v>6276</v>
      </c>
      <c r="K2080" s="18">
        <f>62811113833</f>
        <v>62811113833</v>
      </c>
      <c r="N2080" s="17" t="s">
        <v>77</v>
      </c>
      <c r="U2080" s="17"/>
      <c r="V2080" s="18">
        <f>62811113833</f>
        <v>62811113833</v>
      </c>
      <c r="W2080" t="s">
        <v>6277</v>
      </c>
      <c r="Y2080" s="17" t="s">
        <v>90</v>
      </c>
    </row>
    <row r="2081" ht="15" customHeight="1" spans="1:23" x14ac:dyDescent="0.25">
      <c r="A2081" s="17" t="s">
        <v>6278</v>
      </c>
      <c r="B2081" s="17" t="s">
        <v>70</v>
      </c>
      <c r="C2081" s="17" t="s">
        <v>71</v>
      </c>
      <c r="D2081" t="s">
        <v>6279</v>
      </c>
      <c r="F2081" t="s">
        <v>1605</v>
      </c>
      <c r="K2081" s="18">
        <f>6281358712538</f>
        <v>6281358712538</v>
      </c>
      <c r="N2081" s="17" t="s">
        <v>77</v>
      </c>
      <c r="U2081" s="17"/>
      <c r="V2081" s="18">
        <f>6281358712538</f>
        <v>6281358712538</v>
      </c>
      <c r="W2081" t="s">
        <v>5286</v>
      </c>
    </row>
    <row r="2082" ht="15" customHeight="1" spans="1:23" x14ac:dyDescent="0.25">
      <c r="A2082" s="17" t="s">
        <v>6280</v>
      </c>
      <c r="B2082" s="17" t="s">
        <v>70</v>
      </c>
      <c r="C2082" s="17" t="s">
        <v>71</v>
      </c>
      <c r="D2082" t="s">
        <v>6281</v>
      </c>
      <c r="F2082" t="s">
        <v>6282</v>
      </c>
      <c r="K2082" s="18">
        <f>6287889342525</f>
        <v>6287889342525</v>
      </c>
      <c r="N2082" s="17" t="s">
        <v>77</v>
      </c>
      <c r="U2082" s="17"/>
      <c r="V2082" s="18">
        <f>6287889342525</f>
        <v>6287889342525</v>
      </c>
      <c r="W2082" t="s">
        <v>6283</v>
      </c>
    </row>
    <row r="2083" ht="15" customHeight="1" spans="1:28" x14ac:dyDescent="0.25">
      <c r="A2083" s="17" t="s">
        <v>6284</v>
      </c>
      <c r="B2083" s="17" t="s">
        <v>70</v>
      </c>
      <c r="C2083" s="17" t="s">
        <v>71</v>
      </c>
      <c r="D2083" t="s">
        <v>6285</v>
      </c>
      <c r="F2083" t="s">
        <v>618</v>
      </c>
      <c r="J2083" t="s">
        <v>6286</v>
      </c>
      <c r="K2083" s="18" t="s">
        <v>6287</v>
      </c>
      <c r="N2083" s="17" t="s">
        <v>77</v>
      </c>
      <c r="O2083" t="s">
        <v>117</v>
      </c>
      <c r="V2083" s="18" t="s">
        <v>6287</v>
      </c>
      <c r="Y2083" t="s">
        <v>626</v>
      </c>
      <c r="AA2083" t="s">
        <v>3090</v>
      </c>
      <c r="AB2083" t="s">
        <v>119</v>
      </c>
    </row>
    <row r="2084" ht="15" customHeight="1" spans="1:28" x14ac:dyDescent="0.25">
      <c r="A2084" s="17" t="s">
        <v>6288</v>
      </c>
      <c r="B2084" s="17" t="s">
        <v>70</v>
      </c>
      <c r="C2084" s="17" t="s">
        <v>71</v>
      </c>
      <c r="D2084" t="s">
        <v>6285</v>
      </c>
      <c r="F2084" t="s">
        <v>6289</v>
      </c>
      <c r="J2084" s="17" t="s">
        <v>6290</v>
      </c>
      <c r="K2084" s="18" t="s">
        <v>6291</v>
      </c>
      <c r="N2084" s="17" t="s">
        <v>77</v>
      </c>
      <c r="O2084" t="s">
        <v>489</v>
      </c>
      <c r="U2084" s="17"/>
      <c r="V2084" s="18" t="s">
        <v>6291</v>
      </c>
      <c r="W2084" t="s">
        <v>6292</v>
      </c>
      <c r="Y2084" s="17" t="s">
        <v>217</v>
      </c>
      <c r="AA2084" t="s">
        <v>218</v>
      </c>
      <c r="AB2084" t="s">
        <v>119</v>
      </c>
    </row>
    <row r="2085" ht="15" customHeight="1" spans="1:25" x14ac:dyDescent="0.25">
      <c r="A2085" s="17" t="s">
        <v>6293</v>
      </c>
      <c r="B2085" s="17" t="s">
        <v>70</v>
      </c>
      <c r="C2085" s="17" t="s">
        <v>71</v>
      </c>
      <c r="D2085" t="s">
        <v>1683</v>
      </c>
      <c r="F2085" t="s">
        <v>1683</v>
      </c>
      <c r="K2085" s="18">
        <f>62811811456</f>
        <v>62811811456</v>
      </c>
      <c r="N2085" s="17" t="s">
        <v>77</v>
      </c>
      <c r="U2085" s="17"/>
      <c r="V2085" s="18">
        <f>62811811456</f>
        <v>62811811456</v>
      </c>
      <c r="W2085" t="s">
        <v>6294</v>
      </c>
      <c r="Y2085" s="17" t="s">
        <v>96</v>
      </c>
    </row>
    <row r="2086" ht="15" customHeight="1" spans="1:22" x14ac:dyDescent="0.25">
      <c r="A2086" s="17" t="s">
        <v>6295</v>
      </c>
      <c r="B2086" s="17" t="s">
        <v>70</v>
      </c>
      <c r="C2086" s="17" t="s">
        <v>71</v>
      </c>
      <c r="D2086" t="s">
        <v>1683</v>
      </c>
      <c r="F2086" t="s">
        <v>6296</v>
      </c>
      <c r="K2086" s="18">
        <f>62816740397</f>
        <v>62816740397</v>
      </c>
      <c r="N2086" s="17" t="s">
        <v>74</v>
      </c>
      <c r="V2086" s="18">
        <f>62816740397</f>
        <v>62816740397</v>
      </c>
    </row>
    <row r="2087" ht="15" customHeight="1" spans="1:23" x14ac:dyDescent="0.25">
      <c r="A2087" s="17" t="s">
        <v>6297</v>
      </c>
      <c r="B2087" s="17" t="s">
        <v>70</v>
      </c>
      <c r="C2087" s="17" t="s">
        <v>71</v>
      </c>
      <c r="D2087" t="s">
        <v>6298</v>
      </c>
      <c r="F2087" t="s">
        <v>6299</v>
      </c>
      <c r="K2087" s="18" t="s">
        <v>6300</v>
      </c>
      <c r="N2087" s="17" t="s">
        <v>77</v>
      </c>
      <c r="U2087" s="17"/>
      <c r="V2087" s="18" t="s">
        <v>6300</v>
      </c>
      <c r="W2087" t="s">
        <v>6301</v>
      </c>
    </row>
    <row r="2088" ht="15" customHeight="1" spans="1:28" x14ac:dyDescent="0.25">
      <c r="A2088" s="17" t="s">
        <v>6302</v>
      </c>
      <c r="B2088" s="17" t="s">
        <v>70</v>
      </c>
      <c r="C2088" s="17" t="s">
        <v>71</v>
      </c>
      <c r="D2088" t="s">
        <v>6303</v>
      </c>
      <c r="F2088" t="s">
        <v>6304</v>
      </c>
      <c r="J2088" t="s">
        <v>115</v>
      </c>
      <c r="K2088" s="18" t="s">
        <v>6305</v>
      </c>
      <c r="N2088" s="17" t="s">
        <v>77</v>
      </c>
      <c r="O2088" t="s">
        <v>199</v>
      </c>
      <c r="V2088" s="18" t="s">
        <v>6305</v>
      </c>
      <c r="Y2088" t="s">
        <v>6306</v>
      </c>
      <c r="AA2088" t="s">
        <v>115</v>
      </c>
      <c r="AB2088" t="s">
        <v>119</v>
      </c>
    </row>
    <row r="2089" ht="15" customHeight="1" spans="1:28" x14ac:dyDescent="0.25">
      <c r="A2089" s="17" t="s">
        <v>6307</v>
      </c>
      <c r="B2089" s="17" t="s">
        <v>70</v>
      </c>
      <c r="C2089" s="17" t="s">
        <v>71</v>
      </c>
      <c r="D2089" t="s">
        <v>6308</v>
      </c>
      <c r="F2089" t="s">
        <v>6309</v>
      </c>
      <c r="J2089" s="17" t="s">
        <v>6310</v>
      </c>
      <c r="K2089" s="18" t="s">
        <v>6311</v>
      </c>
      <c r="N2089" s="17" t="s">
        <v>77</v>
      </c>
      <c r="O2089" t="s">
        <v>117</v>
      </c>
      <c r="U2089" s="17"/>
      <c r="V2089" s="18" t="s">
        <v>6311</v>
      </c>
      <c r="W2089" t="s">
        <v>6312</v>
      </c>
      <c r="Y2089" s="17" t="s">
        <v>190</v>
      </c>
      <c r="AA2089" t="s">
        <v>118</v>
      </c>
      <c r="AB2089" t="s">
        <v>119</v>
      </c>
    </row>
    <row r="2090" ht="15" customHeight="1" spans="1:22" x14ac:dyDescent="0.25">
      <c r="A2090" s="17" t="s">
        <v>6313</v>
      </c>
      <c r="B2090" s="17" t="s">
        <v>70</v>
      </c>
      <c r="C2090" s="17" t="s">
        <v>71</v>
      </c>
      <c r="D2090" t="s">
        <v>6314</v>
      </c>
      <c r="F2090" t="s">
        <v>6315</v>
      </c>
      <c r="K2090" s="18">
        <f>6281242679777</f>
        <v>6281242679777</v>
      </c>
      <c r="N2090" s="17" t="s">
        <v>77</v>
      </c>
      <c r="V2090" s="18">
        <f>6281242679777</f>
        <v>6281242679777</v>
      </c>
    </row>
    <row r="2091" ht="15" customHeight="1" spans="1:28" x14ac:dyDescent="0.25">
      <c r="A2091" s="17" t="s">
        <v>6316</v>
      </c>
      <c r="B2091" s="17" t="s">
        <v>70</v>
      </c>
      <c r="C2091" s="17" t="s">
        <v>71</v>
      </c>
      <c r="D2091" t="s">
        <v>6314</v>
      </c>
      <c r="F2091" t="s">
        <v>153</v>
      </c>
      <c r="J2091" t="s">
        <v>115</v>
      </c>
      <c r="K2091" s="18" t="s">
        <v>6317</v>
      </c>
      <c r="N2091" s="17" t="s">
        <v>81</v>
      </c>
      <c r="O2091" t="s">
        <v>145</v>
      </c>
      <c r="V2091" s="18" t="s">
        <v>6317</v>
      </c>
      <c r="Y2091" t="s">
        <v>90</v>
      </c>
      <c r="AA2091" t="s">
        <v>118</v>
      </c>
      <c r="AB2091" t="s">
        <v>119</v>
      </c>
    </row>
    <row r="2092" ht="15" customHeight="1" spans="1:22" x14ac:dyDescent="0.25">
      <c r="A2092" s="17" t="s">
        <v>6318</v>
      </c>
      <c r="B2092" s="17" t="s">
        <v>70</v>
      </c>
      <c r="C2092" s="17" t="s">
        <v>71</v>
      </c>
      <c r="D2092" t="s">
        <v>6319</v>
      </c>
      <c r="F2092" t="s">
        <v>640</v>
      </c>
      <c r="K2092" s="18">
        <f>628111741373</f>
        <v>628111741373</v>
      </c>
      <c r="N2092" s="17" t="s">
        <v>81</v>
      </c>
      <c r="V2092" s="18">
        <f>628111741373</f>
        <v>628111741373</v>
      </c>
    </row>
    <row r="2093" ht="15" customHeight="1" spans="1:22" x14ac:dyDescent="0.25">
      <c r="A2093" s="17" t="s">
        <v>6320</v>
      </c>
      <c r="B2093" s="17" t="s">
        <v>70</v>
      </c>
      <c r="C2093" s="17" t="s">
        <v>71</v>
      </c>
      <c r="D2093" t="s">
        <v>6319</v>
      </c>
      <c r="F2093" t="s">
        <v>6321</v>
      </c>
      <c r="K2093" s="18">
        <f>628118005777</f>
        <v>628118005777</v>
      </c>
      <c r="N2093" s="17" t="s">
        <v>74</v>
      </c>
      <c r="V2093" s="18">
        <f>628118005777</f>
        <v>628118005777</v>
      </c>
    </row>
    <row r="2094" ht="15" customHeight="1" spans="1:22" x14ac:dyDescent="0.25">
      <c r="A2094" s="17" t="s">
        <v>6322</v>
      </c>
      <c r="B2094" s="17" t="s">
        <v>70</v>
      </c>
      <c r="C2094" s="17" t="s">
        <v>71</v>
      </c>
      <c r="D2094" t="s">
        <v>6323</v>
      </c>
      <c r="F2094" t="s">
        <v>6324</v>
      </c>
      <c r="K2094" s="18">
        <f>628119779771</f>
        <v>628119779771</v>
      </c>
      <c r="N2094" s="17" t="s">
        <v>81</v>
      </c>
      <c r="V2094" s="18">
        <f>628119779771</f>
        <v>628119779771</v>
      </c>
    </row>
    <row r="2095" ht="15" customHeight="1" spans="1:22" x14ac:dyDescent="0.25">
      <c r="A2095" s="17" t="s">
        <v>6325</v>
      </c>
      <c r="B2095" s="17" t="s">
        <v>70</v>
      </c>
      <c r="C2095" s="17" t="s">
        <v>71</v>
      </c>
      <c r="D2095" t="s">
        <v>6326</v>
      </c>
      <c r="F2095" t="s">
        <v>6327</v>
      </c>
      <c r="K2095" s="18">
        <f>628119702317</f>
        <v>628119702317</v>
      </c>
      <c r="N2095" s="17" t="s">
        <v>81</v>
      </c>
      <c r="V2095" s="18">
        <f>628119702317</f>
        <v>628119702317</v>
      </c>
    </row>
    <row r="2096" ht="15" customHeight="1" spans="1:28" x14ac:dyDescent="0.25">
      <c r="A2096" s="17" t="s">
        <v>6328</v>
      </c>
      <c r="B2096" s="17" t="s">
        <v>70</v>
      </c>
      <c r="C2096" s="17" t="s">
        <v>71</v>
      </c>
      <c r="D2096" t="s">
        <v>6329</v>
      </c>
      <c r="F2096" t="s">
        <v>6330</v>
      </c>
      <c r="J2096" s="17" t="s">
        <v>6331</v>
      </c>
      <c r="K2096" s="18" t="s">
        <v>6332</v>
      </c>
      <c r="N2096" s="17" t="s">
        <v>77</v>
      </c>
      <c r="O2096" t="s">
        <v>489</v>
      </c>
      <c r="V2096" s="18" t="s">
        <v>6332</v>
      </c>
      <c r="Y2096" s="17" t="s">
        <v>6333</v>
      </c>
      <c r="AA2096" t="s">
        <v>115</v>
      </c>
      <c r="AB2096" t="s">
        <v>451</v>
      </c>
    </row>
    <row r="2097" ht="15" customHeight="1" spans="1:22" x14ac:dyDescent="0.25">
      <c r="A2097" s="17" t="s">
        <v>6334</v>
      </c>
      <c r="B2097" s="17" t="s">
        <v>70</v>
      </c>
      <c r="C2097" s="17" t="s">
        <v>71</v>
      </c>
      <c r="D2097" t="s">
        <v>6335</v>
      </c>
      <c r="F2097" t="s">
        <v>6235</v>
      </c>
      <c r="J2097" s="17" t="s">
        <v>6336</v>
      </c>
      <c r="K2097" s="18">
        <v>82227773384</v>
      </c>
      <c r="N2097" s="17" t="s">
        <v>77</v>
      </c>
      <c r="V2097" s="18">
        <v>82227773384</v>
      </c>
    </row>
    <row r="2098" ht="15" customHeight="1" spans="1:23" x14ac:dyDescent="0.25">
      <c r="A2098" s="17" t="s">
        <v>6337</v>
      </c>
      <c r="B2098" s="17" t="s">
        <v>70</v>
      </c>
      <c r="C2098" s="17" t="s">
        <v>71</v>
      </c>
      <c r="D2098" t="s">
        <v>6335</v>
      </c>
      <c r="F2098" t="s">
        <v>6338</v>
      </c>
      <c r="K2098" s="18">
        <f>6281338085777</f>
        <v>6281338085777</v>
      </c>
      <c r="N2098" s="17" t="s">
        <v>81</v>
      </c>
      <c r="U2098" s="17"/>
      <c r="V2098" s="18">
        <f>6281338085777</f>
        <v>6281338085777</v>
      </c>
      <c r="W2098" t="s">
        <v>6339</v>
      </c>
    </row>
    <row r="2099" ht="15" customHeight="1" spans="1:27" x14ac:dyDescent="0.25">
      <c r="A2099" s="17" t="s">
        <v>6340</v>
      </c>
      <c r="B2099" s="17" t="s">
        <v>70</v>
      </c>
      <c r="C2099" s="17" t="s">
        <v>71</v>
      </c>
      <c r="D2099" t="s">
        <v>6335</v>
      </c>
      <c r="F2099" t="s">
        <v>1169</v>
      </c>
      <c r="K2099" s="18">
        <f>628111987111</f>
        <v>628111987111</v>
      </c>
      <c r="N2099" s="17" t="s">
        <v>77</v>
      </c>
      <c r="U2099" s="17"/>
      <c r="V2099" s="18">
        <f>628111987111</f>
        <v>628111987111</v>
      </c>
      <c r="W2099" t="s">
        <v>6341</v>
      </c>
      <c r="Y2099" s="17" t="s">
        <v>90</v>
      </c>
      <c r="AA2099" s="17">
        <v>12120</v>
      </c>
    </row>
    <row r="2100" ht="15" customHeight="1" spans="1:27" x14ac:dyDescent="0.25">
      <c r="A2100" s="17" t="s">
        <v>6342</v>
      </c>
      <c r="B2100" s="17" t="s">
        <v>70</v>
      </c>
      <c r="C2100" s="17" t="s">
        <v>71</v>
      </c>
      <c r="D2100" t="s">
        <v>827</v>
      </c>
      <c r="F2100" t="s">
        <v>1169</v>
      </c>
      <c r="J2100" s="17" t="s">
        <v>6343</v>
      </c>
      <c r="K2100" s="18">
        <f>628118778896</f>
        <v>628118778896</v>
      </c>
      <c r="N2100" s="17" t="s">
        <v>81</v>
      </c>
      <c r="U2100" s="17"/>
      <c r="V2100" s="18">
        <f>628118778896</f>
        <v>628118778896</v>
      </c>
      <c r="W2100" t="s">
        <v>6344</v>
      </c>
      <c r="Y2100" s="17" t="s">
        <v>96</v>
      </c>
      <c r="AA2100" s="17">
        <v>12320</v>
      </c>
    </row>
    <row r="2101" ht="15" customHeight="1" spans="1:25" x14ac:dyDescent="0.25">
      <c r="A2101" s="17" t="s">
        <v>6345</v>
      </c>
      <c r="B2101" s="17" t="s">
        <v>70</v>
      </c>
      <c r="C2101" s="17" t="s">
        <v>71</v>
      </c>
      <c r="D2101" t="s">
        <v>6346</v>
      </c>
      <c r="F2101" t="s">
        <v>6347</v>
      </c>
      <c r="K2101" s="18">
        <f>62216910875</f>
        <v>62216910875</v>
      </c>
      <c r="N2101" s="17" t="s">
        <v>77</v>
      </c>
      <c r="U2101" s="17"/>
      <c r="V2101" s="18">
        <f>62216910875</f>
        <v>62216910875</v>
      </c>
      <c r="W2101" t="s">
        <v>6348</v>
      </c>
      <c r="Y2101" s="17" t="s">
        <v>1084</v>
      </c>
    </row>
    <row r="2102" ht="15" customHeight="1" spans="1:22" x14ac:dyDescent="0.25">
      <c r="A2102" s="17" t="s">
        <v>6349</v>
      </c>
      <c r="B2102" s="17" t="s">
        <v>70</v>
      </c>
      <c r="C2102" s="17" t="s">
        <v>71</v>
      </c>
      <c r="D2102" t="s">
        <v>6350</v>
      </c>
      <c r="F2102" t="s">
        <v>355</v>
      </c>
      <c r="K2102" s="18">
        <f>6285867741788</f>
        <v>6285867741788</v>
      </c>
      <c r="N2102" s="17" t="s">
        <v>77</v>
      </c>
      <c r="V2102" s="18">
        <f>6285867741788</f>
        <v>6285867741788</v>
      </c>
    </row>
    <row r="2103" ht="15" customHeight="1" spans="1:28" x14ac:dyDescent="0.25">
      <c r="A2103" s="17" t="s">
        <v>6351</v>
      </c>
      <c r="B2103" s="17" t="s">
        <v>70</v>
      </c>
      <c r="C2103" s="17" t="s">
        <v>71</v>
      </c>
      <c r="D2103" t="s">
        <v>1959</v>
      </c>
      <c r="F2103" t="s">
        <v>6352</v>
      </c>
      <c r="J2103" s="17" t="s">
        <v>6353</v>
      </c>
      <c r="K2103" s="18" t="s">
        <v>6354</v>
      </c>
      <c r="N2103" s="17" t="s">
        <v>77</v>
      </c>
      <c r="O2103" t="s">
        <v>145</v>
      </c>
      <c r="V2103" s="18" t="s">
        <v>6354</v>
      </c>
      <c r="Y2103" t="s">
        <v>115</v>
      </c>
      <c r="AA2103" t="s">
        <v>115</v>
      </c>
      <c r="AB2103" t="s">
        <v>2605</v>
      </c>
    </row>
    <row r="2104" ht="15" customHeight="1" spans="1:23" x14ac:dyDescent="0.25">
      <c r="A2104" s="17" t="s">
        <v>6355</v>
      </c>
      <c r="B2104" s="17" t="s">
        <v>70</v>
      </c>
      <c r="C2104" s="17" t="s">
        <v>71</v>
      </c>
      <c r="D2104" t="s">
        <v>6356</v>
      </c>
      <c r="F2104" t="s">
        <v>6357</v>
      </c>
      <c r="J2104" s="17" t="s">
        <v>6358</v>
      </c>
      <c r="K2104" s="18">
        <f>6281284703303</f>
        <v>6281284703303</v>
      </c>
      <c r="N2104" s="17" t="s">
        <v>77</v>
      </c>
      <c r="U2104" s="17"/>
      <c r="V2104" s="18">
        <f>6281284703303</f>
        <v>6281284703303</v>
      </c>
      <c r="W2104" t="s">
        <v>6359</v>
      </c>
    </row>
    <row r="2105" ht="15" customHeight="1" spans="1:27" x14ac:dyDescent="0.25">
      <c r="A2105" s="17" t="s">
        <v>6360</v>
      </c>
      <c r="B2105" s="17" t="s">
        <v>70</v>
      </c>
      <c r="C2105" s="17" t="s">
        <v>71</v>
      </c>
      <c r="D2105" t="s">
        <v>6361</v>
      </c>
      <c r="F2105" t="s">
        <v>6362</v>
      </c>
      <c r="J2105" s="17" t="s">
        <v>6363</v>
      </c>
      <c r="K2105" s="18">
        <f>16462495477</f>
        <v>16462495477</v>
      </c>
      <c r="N2105" s="17" t="s">
        <v>77</v>
      </c>
      <c r="U2105" s="17"/>
      <c r="V2105" s="18">
        <f>16462495477</f>
        <v>16462495477</v>
      </c>
      <c r="W2105" t="s">
        <v>6364</v>
      </c>
      <c r="Y2105" s="17" t="s">
        <v>6365</v>
      </c>
      <c r="AA2105" s="17">
        <v>94653</v>
      </c>
    </row>
    <row r="2106" ht="15" customHeight="1" spans="1:28" x14ac:dyDescent="0.25">
      <c r="A2106" s="17" t="s">
        <v>6366</v>
      </c>
      <c r="B2106" s="17" t="s">
        <v>70</v>
      </c>
      <c r="C2106" s="17" t="s">
        <v>71</v>
      </c>
      <c r="D2106" t="s">
        <v>6367</v>
      </c>
      <c r="F2106" t="s">
        <v>6368</v>
      </c>
      <c r="J2106" s="17" t="s">
        <v>6369</v>
      </c>
      <c r="K2106" s="18" t="s">
        <v>6370</v>
      </c>
      <c r="N2106" s="17" t="s">
        <v>77</v>
      </c>
      <c r="O2106" t="s">
        <v>199</v>
      </c>
      <c r="V2106" s="18" t="s">
        <v>6370</v>
      </c>
      <c r="Y2106" s="17" t="s">
        <v>930</v>
      </c>
      <c r="AA2106" t="s">
        <v>115</v>
      </c>
      <c r="AB2106" t="s">
        <v>930</v>
      </c>
    </row>
    <row r="2107" ht="15" customHeight="1" spans="1:28" x14ac:dyDescent="0.25">
      <c r="A2107" s="17" t="s">
        <v>6371</v>
      </c>
      <c r="B2107" s="17" t="s">
        <v>70</v>
      </c>
      <c r="C2107" s="17" t="s">
        <v>71</v>
      </c>
      <c r="D2107" t="s">
        <v>6372</v>
      </c>
      <c r="F2107" t="s">
        <v>6373</v>
      </c>
      <c r="J2107" s="17" t="s">
        <v>6374</v>
      </c>
      <c r="K2107" s="18" t="s">
        <v>6375</v>
      </c>
      <c r="N2107" s="17" t="s">
        <v>77</v>
      </c>
      <c r="O2107" t="s">
        <v>145</v>
      </c>
      <c r="V2107" s="18" t="s">
        <v>6375</v>
      </c>
      <c r="Y2107" t="s">
        <v>115</v>
      </c>
      <c r="AA2107" t="s">
        <v>115</v>
      </c>
      <c r="AB2107" t="s">
        <v>1903</v>
      </c>
    </row>
    <row r="2108" ht="15" customHeight="1" spans="1:22" x14ac:dyDescent="0.25">
      <c r="A2108" s="17" t="s">
        <v>6376</v>
      </c>
      <c r="B2108" s="17" t="s">
        <v>70</v>
      </c>
      <c r="C2108" s="17" t="s">
        <v>71</v>
      </c>
      <c r="D2108" t="s">
        <v>6377</v>
      </c>
      <c r="F2108" t="s">
        <v>6378</v>
      </c>
      <c r="K2108" s="18">
        <f>62816624261</f>
        <v>62816624261</v>
      </c>
      <c r="N2108" s="17" t="s">
        <v>77</v>
      </c>
      <c r="V2108" s="18">
        <f>62816624261</f>
        <v>62816624261</v>
      </c>
    </row>
    <row r="2109" ht="15" customHeight="1" spans="1:28" x14ac:dyDescent="0.25">
      <c r="A2109" s="17" t="s">
        <v>6379</v>
      </c>
      <c r="B2109" s="17" t="s">
        <v>70</v>
      </c>
      <c r="C2109" s="17" t="s">
        <v>71</v>
      </c>
      <c r="D2109" t="s">
        <v>6380</v>
      </c>
      <c r="F2109" t="s">
        <v>6381</v>
      </c>
      <c r="J2109" t="s">
        <v>115</v>
      </c>
      <c r="K2109" s="18" t="s">
        <v>6382</v>
      </c>
      <c r="N2109" s="17" t="s">
        <v>74</v>
      </c>
      <c r="O2109" t="s">
        <v>117</v>
      </c>
      <c r="V2109" s="18" t="s">
        <v>6382</v>
      </c>
      <c r="Y2109" t="s">
        <v>78</v>
      </c>
      <c r="AA2109" t="s">
        <v>115</v>
      </c>
      <c r="AB2109" t="s">
        <v>119</v>
      </c>
    </row>
    <row r="2110" ht="15" customHeight="1" spans="1:28" x14ac:dyDescent="0.25">
      <c r="A2110" s="17" t="s">
        <v>6383</v>
      </c>
      <c r="B2110" s="17" t="s">
        <v>70</v>
      </c>
      <c r="C2110" s="17" t="s">
        <v>71</v>
      </c>
      <c r="D2110" t="s">
        <v>6380</v>
      </c>
      <c r="F2110" t="s">
        <v>4228</v>
      </c>
      <c r="J2110" s="17" t="s">
        <v>6384</v>
      </c>
      <c r="K2110" s="18" t="s">
        <v>6385</v>
      </c>
      <c r="N2110" s="17" t="s">
        <v>77</v>
      </c>
      <c r="O2110" t="s">
        <v>199</v>
      </c>
      <c r="U2110" s="17"/>
      <c r="V2110" s="18" t="s">
        <v>6385</v>
      </c>
      <c r="W2110" t="s">
        <v>6386</v>
      </c>
      <c r="Y2110" t="s">
        <v>190</v>
      </c>
      <c r="AA2110" t="s">
        <v>118</v>
      </c>
      <c r="AB2110" t="s">
        <v>119</v>
      </c>
    </row>
    <row r="2111" ht="15" customHeight="1" spans="1:22" x14ac:dyDescent="0.25">
      <c r="A2111" s="17" t="s">
        <v>6387</v>
      </c>
      <c r="B2111" s="17" t="s">
        <v>70</v>
      </c>
      <c r="C2111" s="17" t="s">
        <v>71</v>
      </c>
      <c r="D2111" t="s">
        <v>737</v>
      </c>
      <c r="F2111" t="s">
        <v>737</v>
      </c>
      <c r="K2111" s="18">
        <f>628158636699</f>
        <v>628158636699</v>
      </c>
      <c r="N2111" s="17" t="s">
        <v>77</v>
      </c>
      <c r="V2111" s="18">
        <f>628158636699</f>
        <v>628158636699</v>
      </c>
    </row>
    <row r="2112" ht="15" customHeight="1" spans="1:22" x14ac:dyDescent="0.25">
      <c r="A2112" s="17" t="s">
        <v>6388</v>
      </c>
      <c r="B2112" s="17" t="s">
        <v>70</v>
      </c>
      <c r="C2112" s="17" t="s">
        <v>71</v>
      </c>
      <c r="D2112" t="s">
        <v>737</v>
      </c>
      <c r="F2112" t="s">
        <v>737</v>
      </c>
      <c r="K2112" s="18">
        <f>6281291615106</f>
        <v>6281291615106</v>
      </c>
      <c r="N2112" s="17" t="s">
        <v>81</v>
      </c>
      <c r="V2112" s="18">
        <f>6281291615106</f>
        <v>6281291615106</v>
      </c>
    </row>
    <row r="2113" ht="15" customHeight="1" spans="1:28" x14ac:dyDescent="0.25">
      <c r="A2113" s="17" t="s">
        <v>6389</v>
      </c>
      <c r="B2113" s="17" t="s">
        <v>70</v>
      </c>
      <c r="C2113" s="17" t="s">
        <v>71</v>
      </c>
      <c r="D2113" t="s">
        <v>737</v>
      </c>
      <c r="F2113" t="s">
        <v>737</v>
      </c>
      <c r="J2113" t="s">
        <v>115</v>
      </c>
      <c r="K2113" s="18" t="s">
        <v>6390</v>
      </c>
      <c r="N2113" s="17" t="s">
        <v>77</v>
      </c>
      <c r="O2113" t="s">
        <v>117</v>
      </c>
      <c r="V2113" s="18" t="s">
        <v>6390</v>
      </c>
      <c r="Y2113" t="s">
        <v>1247</v>
      </c>
      <c r="AA2113" t="s">
        <v>115</v>
      </c>
      <c r="AB2113" t="s">
        <v>119</v>
      </c>
    </row>
    <row r="2114" ht="15" customHeight="1" spans="1:22" x14ac:dyDescent="0.25">
      <c r="A2114" s="17" t="s">
        <v>6391</v>
      </c>
      <c r="B2114" s="17" t="s">
        <v>70</v>
      </c>
      <c r="C2114" s="17" t="s">
        <v>71</v>
      </c>
      <c r="D2114" t="s">
        <v>737</v>
      </c>
      <c r="F2114" t="s">
        <v>6392</v>
      </c>
      <c r="K2114" s="18">
        <f>6281373441324</f>
        <v>6281373441324</v>
      </c>
      <c r="N2114" s="17" t="s">
        <v>81</v>
      </c>
      <c r="V2114" s="18">
        <f>6281373441324</f>
        <v>6281373441324</v>
      </c>
    </row>
    <row r="2115" ht="15" customHeight="1" spans="1:22" x14ac:dyDescent="0.25">
      <c r="A2115" s="17" t="s">
        <v>6393</v>
      </c>
      <c r="B2115" s="17" t="s">
        <v>70</v>
      </c>
      <c r="C2115" s="17" t="s">
        <v>71</v>
      </c>
      <c r="D2115" t="s">
        <v>737</v>
      </c>
      <c r="F2115" t="s">
        <v>6394</v>
      </c>
      <c r="K2115" s="18">
        <f>62811100064</f>
        <v>62811100064</v>
      </c>
      <c r="N2115" s="17" t="s">
        <v>77</v>
      </c>
      <c r="V2115" s="18">
        <f>62811100064</f>
        <v>62811100064</v>
      </c>
    </row>
    <row r="2116" ht="15" customHeight="1" spans="1:22" x14ac:dyDescent="0.25">
      <c r="A2116" s="17" t="s">
        <v>6395</v>
      </c>
      <c r="B2116" s="17" t="s">
        <v>70</v>
      </c>
      <c r="C2116" s="17" t="s">
        <v>71</v>
      </c>
      <c r="D2116" t="s">
        <v>737</v>
      </c>
      <c r="F2116" t="s">
        <v>5190</v>
      </c>
      <c r="K2116" s="18">
        <f>628888100301</f>
        <v>628888100301</v>
      </c>
      <c r="N2116" s="17" t="s">
        <v>77</v>
      </c>
      <c r="V2116" s="18">
        <f>628888100301</f>
        <v>628888100301</v>
      </c>
    </row>
    <row r="2117" ht="15" customHeight="1" spans="1:28" x14ac:dyDescent="0.25">
      <c r="A2117" s="17" t="s">
        <v>6396</v>
      </c>
      <c r="B2117" s="17" t="s">
        <v>70</v>
      </c>
      <c r="C2117" s="17" t="s">
        <v>71</v>
      </c>
      <c r="D2117" t="s">
        <v>737</v>
      </c>
      <c r="F2117" t="s">
        <v>1982</v>
      </c>
      <c r="J2117" t="s">
        <v>115</v>
      </c>
      <c r="K2117" s="18" t="s">
        <v>6397</v>
      </c>
      <c r="N2117" s="17" t="s">
        <v>77</v>
      </c>
      <c r="O2117" t="s">
        <v>145</v>
      </c>
      <c r="V2117" s="18" t="s">
        <v>6397</v>
      </c>
      <c r="Y2117" t="s">
        <v>115</v>
      </c>
      <c r="AA2117" t="s">
        <v>115</v>
      </c>
      <c r="AB2117" t="s">
        <v>119</v>
      </c>
    </row>
    <row r="2118" ht="15" customHeight="1" spans="1:22" x14ac:dyDescent="0.25">
      <c r="A2118" s="17" t="s">
        <v>6398</v>
      </c>
      <c r="B2118" s="17" t="s">
        <v>70</v>
      </c>
      <c r="C2118" s="17" t="s">
        <v>71</v>
      </c>
      <c r="D2118" t="s">
        <v>737</v>
      </c>
      <c r="F2118" t="s">
        <v>6381</v>
      </c>
      <c r="K2118" s="18">
        <f>628561268888</f>
        <v>628561268888</v>
      </c>
      <c r="N2118" s="17" t="s">
        <v>77</v>
      </c>
      <c r="V2118" s="18">
        <f>628561268888</f>
        <v>628561268888</v>
      </c>
    </row>
    <row r="2119" ht="15" customHeight="1" spans="1:22" x14ac:dyDescent="0.25">
      <c r="A2119" s="17" t="s">
        <v>6399</v>
      </c>
      <c r="B2119" s="17" t="s">
        <v>70</v>
      </c>
      <c r="C2119" s="17" t="s">
        <v>71</v>
      </c>
      <c r="D2119" t="s">
        <v>737</v>
      </c>
      <c r="F2119" t="s">
        <v>6381</v>
      </c>
      <c r="K2119" s="18">
        <f>628113517676</f>
        <v>628113517676</v>
      </c>
      <c r="N2119" s="17" t="s">
        <v>81</v>
      </c>
      <c r="V2119" s="18">
        <f>628113517676</f>
        <v>628113517676</v>
      </c>
    </row>
    <row r="2120" ht="15" customHeight="1" spans="1:22" x14ac:dyDescent="0.25">
      <c r="A2120" s="17" t="s">
        <v>6400</v>
      </c>
      <c r="B2120" s="17" t="s">
        <v>70</v>
      </c>
      <c r="C2120" s="17" t="s">
        <v>71</v>
      </c>
      <c r="D2120" t="s">
        <v>737</v>
      </c>
      <c r="F2120" t="s">
        <v>4669</v>
      </c>
      <c r="K2120" s="18">
        <f>62811952156</f>
        <v>62811952156</v>
      </c>
      <c r="N2120" s="17" t="s">
        <v>81</v>
      </c>
      <c r="V2120" s="18">
        <f>62811952156</f>
        <v>62811952156</v>
      </c>
    </row>
    <row r="2121" ht="15" customHeight="1" spans="1:22" x14ac:dyDescent="0.25">
      <c r="A2121" s="17" t="s">
        <v>6401</v>
      </c>
      <c r="B2121" s="17" t="s">
        <v>70</v>
      </c>
      <c r="C2121" s="17" t="s">
        <v>71</v>
      </c>
      <c r="D2121" t="s">
        <v>737</v>
      </c>
      <c r="F2121" t="s">
        <v>4669</v>
      </c>
      <c r="J2121" s="17" t="s">
        <v>6402</v>
      </c>
      <c r="K2121" s="18">
        <f>62817159366</f>
        <v>62817159366</v>
      </c>
      <c r="N2121" s="17" t="s">
        <v>81</v>
      </c>
      <c r="V2121" s="18">
        <f>62817159366</f>
        <v>62817159366</v>
      </c>
    </row>
    <row r="2122" ht="15" customHeight="1" spans="1:22" x14ac:dyDescent="0.25">
      <c r="A2122" s="17" t="s">
        <v>6403</v>
      </c>
      <c r="B2122" s="17" t="s">
        <v>70</v>
      </c>
      <c r="C2122" s="17" t="s">
        <v>71</v>
      </c>
      <c r="D2122" t="s">
        <v>737</v>
      </c>
      <c r="F2122" t="s">
        <v>1064</v>
      </c>
      <c r="K2122" s="18">
        <f>6281376660999</f>
        <v>6281376660999</v>
      </c>
      <c r="N2122" s="17" t="s">
        <v>81</v>
      </c>
      <c r="V2122" s="18">
        <f>6281376660999</f>
        <v>6281376660999</v>
      </c>
    </row>
    <row r="2123" ht="15" customHeight="1" spans="1:22" x14ac:dyDescent="0.25">
      <c r="A2123" s="17" t="s">
        <v>6404</v>
      </c>
      <c r="B2123" s="17" t="s">
        <v>70</v>
      </c>
      <c r="C2123" s="17" t="s">
        <v>71</v>
      </c>
      <c r="D2123" t="s">
        <v>737</v>
      </c>
      <c r="F2123" t="s">
        <v>1064</v>
      </c>
      <c r="K2123" s="18">
        <f>628118884499</f>
        <v>628118884499</v>
      </c>
      <c r="N2123" s="17" t="s">
        <v>81</v>
      </c>
      <c r="V2123" s="18">
        <f>628118884499</f>
        <v>628118884499</v>
      </c>
    </row>
    <row r="2124" ht="15" customHeight="1" spans="1:22" x14ac:dyDescent="0.25">
      <c r="A2124" s="17" t="s">
        <v>6405</v>
      </c>
      <c r="B2124" s="17" t="s">
        <v>70</v>
      </c>
      <c r="C2124" s="17" t="s">
        <v>71</v>
      </c>
      <c r="D2124" t="s">
        <v>737</v>
      </c>
      <c r="F2124" t="s">
        <v>6406</v>
      </c>
      <c r="K2124" s="18">
        <f>62811105355</f>
        <v>62811105355</v>
      </c>
      <c r="N2124" s="17" t="s">
        <v>77</v>
      </c>
      <c r="V2124" s="18">
        <f>62811105355</f>
        <v>62811105355</v>
      </c>
    </row>
    <row r="2125" ht="15" customHeight="1" spans="1:22" x14ac:dyDescent="0.25">
      <c r="A2125" s="17" t="s">
        <v>6407</v>
      </c>
      <c r="B2125" s="17" t="s">
        <v>70</v>
      </c>
      <c r="C2125" s="17" t="s">
        <v>71</v>
      </c>
      <c r="D2125" t="s">
        <v>737</v>
      </c>
      <c r="F2125" t="s">
        <v>355</v>
      </c>
      <c r="K2125" s="18">
        <f>628568899959</f>
        <v>628568899959</v>
      </c>
      <c r="N2125" s="17" t="s">
        <v>77</v>
      </c>
      <c r="V2125" s="18">
        <f>628568899959</f>
        <v>628568899959</v>
      </c>
    </row>
    <row r="2126" ht="15" customHeight="1" spans="1:22" x14ac:dyDescent="0.25">
      <c r="A2126" s="17" t="s">
        <v>6408</v>
      </c>
      <c r="B2126" s="17" t="s">
        <v>70</v>
      </c>
      <c r="C2126" s="17" t="s">
        <v>71</v>
      </c>
      <c r="D2126" t="s">
        <v>737</v>
      </c>
      <c r="F2126" t="s">
        <v>6409</v>
      </c>
      <c r="K2126" s="18">
        <f>628998991328</f>
        <v>628998991328</v>
      </c>
      <c r="N2126" s="17" t="s">
        <v>81</v>
      </c>
      <c r="V2126" s="18">
        <f>628998991328</f>
        <v>628998991328</v>
      </c>
    </row>
    <row r="2127" ht="15" customHeight="1" spans="1:25" x14ac:dyDescent="0.25">
      <c r="A2127" s="17" t="s">
        <v>6410</v>
      </c>
      <c r="B2127" s="17" t="s">
        <v>70</v>
      </c>
      <c r="C2127" s="17" t="s">
        <v>71</v>
      </c>
      <c r="D2127" t="s">
        <v>737</v>
      </c>
      <c r="F2127" t="s">
        <v>4378</v>
      </c>
      <c r="K2127" s="18">
        <f>6282111375999</f>
        <v>6282111375999</v>
      </c>
      <c r="N2127" s="17" t="s">
        <v>81</v>
      </c>
      <c r="U2127" s="17"/>
      <c r="V2127" s="18">
        <f>6282111375999</f>
        <v>6282111375999</v>
      </c>
      <c r="W2127" t="s">
        <v>6411</v>
      </c>
      <c r="Y2127" s="17" t="s">
        <v>6412</v>
      </c>
    </row>
    <row r="2128" ht="15" customHeight="1" spans="1:22" x14ac:dyDescent="0.25">
      <c r="A2128" s="17" t="s">
        <v>6413</v>
      </c>
      <c r="B2128" s="17" t="s">
        <v>70</v>
      </c>
      <c r="C2128" s="17" t="s">
        <v>71</v>
      </c>
      <c r="D2128" t="s">
        <v>737</v>
      </c>
      <c r="F2128" t="s">
        <v>3076</v>
      </c>
      <c r="K2128" s="18">
        <f>6281311444431</f>
        <v>6281311444431</v>
      </c>
      <c r="N2128" s="17" t="s">
        <v>81</v>
      </c>
      <c r="V2128" s="18">
        <f>6281311444431</f>
        <v>6281311444431</v>
      </c>
    </row>
    <row r="2129" ht="15" customHeight="1" spans="1:28" x14ac:dyDescent="0.25">
      <c r="A2129" s="17" t="s">
        <v>6414</v>
      </c>
      <c r="B2129" s="17" t="s">
        <v>70</v>
      </c>
      <c r="C2129" s="17" t="s">
        <v>71</v>
      </c>
      <c r="D2129" t="s">
        <v>737</v>
      </c>
      <c r="F2129" t="s">
        <v>6415</v>
      </c>
      <c r="J2129" t="s">
        <v>115</v>
      </c>
      <c r="K2129" s="18" t="s">
        <v>6416</v>
      </c>
      <c r="N2129" s="17" t="s">
        <v>77</v>
      </c>
      <c r="O2129" t="s">
        <v>117</v>
      </c>
      <c r="V2129" s="18" t="s">
        <v>6416</v>
      </c>
      <c r="Y2129" t="s">
        <v>190</v>
      </c>
      <c r="AA2129" t="s">
        <v>118</v>
      </c>
      <c r="AB2129" t="s">
        <v>119</v>
      </c>
    </row>
    <row r="2130" ht="15" customHeight="1" spans="1:28" x14ac:dyDescent="0.25">
      <c r="A2130" s="17" t="s">
        <v>6417</v>
      </c>
      <c r="B2130" s="17" t="s">
        <v>70</v>
      </c>
      <c r="C2130" s="17" t="s">
        <v>71</v>
      </c>
      <c r="D2130" t="s">
        <v>737</v>
      </c>
      <c r="F2130" t="s">
        <v>2957</v>
      </c>
      <c r="J2130" s="17" t="s">
        <v>6418</v>
      </c>
      <c r="K2130" s="18" t="s">
        <v>6419</v>
      </c>
      <c r="N2130" s="17" t="s">
        <v>77</v>
      </c>
      <c r="O2130" t="s">
        <v>145</v>
      </c>
      <c r="V2130" s="18" t="s">
        <v>6419</v>
      </c>
      <c r="Y2130" t="s">
        <v>90</v>
      </c>
      <c r="AA2130" t="s">
        <v>118</v>
      </c>
      <c r="AB2130" t="s">
        <v>119</v>
      </c>
    </row>
    <row r="2131" ht="15" customHeight="1" spans="1:22" x14ac:dyDescent="0.25">
      <c r="A2131" s="17" t="s">
        <v>6420</v>
      </c>
      <c r="B2131" s="17" t="s">
        <v>70</v>
      </c>
      <c r="C2131" s="17" t="s">
        <v>71</v>
      </c>
      <c r="D2131" t="s">
        <v>737</v>
      </c>
      <c r="F2131" t="s">
        <v>871</v>
      </c>
      <c r="K2131" s="18">
        <f>628151888882</f>
        <v>628151888882</v>
      </c>
      <c r="N2131" s="17" t="s">
        <v>81</v>
      </c>
      <c r="V2131" s="18">
        <f>628151888882</f>
        <v>628151888882</v>
      </c>
    </row>
    <row r="2132" ht="15" customHeight="1" spans="1:22" x14ac:dyDescent="0.25">
      <c r="A2132" s="17" t="s">
        <v>6421</v>
      </c>
      <c r="B2132" s="17" t="s">
        <v>70</v>
      </c>
      <c r="C2132" s="17" t="s">
        <v>71</v>
      </c>
      <c r="D2132" t="s">
        <v>737</v>
      </c>
      <c r="F2132" t="s">
        <v>1589</v>
      </c>
      <c r="K2132" s="18">
        <f>6281356703358</f>
        <v>6281356703358</v>
      </c>
      <c r="N2132" s="17" t="s">
        <v>81</v>
      </c>
      <c r="V2132" s="18">
        <f>6281356703358</f>
        <v>6281356703358</v>
      </c>
    </row>
    <row r="2133" ht="15" customHeight="1" spans="1:22" x14ac:dyDescent="0.25">
      <c r="A2133" s="17" t="s">
        <v>6422</v>
      </c>
      <c r="B2133" s="17" t="s">
        <v>70</v>
      </c>
      <c r="C2133" s="17" t="s">
        <v>71</v>
      </c>
      <c r="D2133" t="s">
        <v>737</v>
      </c>
      <c r="F2133" t="s">
        <v>6423</v>
      </c>
      <c r="K2133" s="18">
        <f>6281225777775</f>
        <v>6281225777775</v>
      </c>
      <c r="N2133" s="17" t="s">
        <v>77</v>
      </c>
      <c r="V2133" s="18">
        <f>6281225777775</f>
        <v>6281225777775</v>
      </c>
    </row>
    <row r="2134" ht="15" customHeight="1" spans="1:27" x14ac:dyDescent="0.25">
      <c r="A2134" s="17" t="s">
        <v>6424</v>
      </c>
      <c r="B2134" s="17" t="s">
        <v>70</v>
      </c>
      <c r="C2134" s="17" t="s">
        <v>71</v>
      </c>
      <c r="D2134" t="s">
        <v>737</v>
      </c>
      <c r="F2134" t="s">
        <v>6425</v>
      </c>
      <c r="J2134" s="17" t="s">
        <v>6426</v>
      </c>
      <c r="K2134" s="18">
        <f>628115827503</f>
        <v>628115827503</v>
      </c>
      <c r="N2134" s="17" t="s">
        <v>77</v>
      </c>
      <c r="U2134" s="17"/>
      <c r="V2134" s="18">
        <f>628115827503</f>
        <v>628115827503</v>
      </c>
      <c r="W2134" t="s">
        <v>6427</v>
      </c>
      <c r="AA2134" s="17">
        <v>75123</v>
      </c>
    </row>
    <row r="2135" ht="15" customHeight="1" spans="1:22" x14ac:dyDescent="0.25">
      <c r="A2135" s="17" t="s">
        <v>6428</v>
      </c>
      <c r="B2135" s="17" t="s">
        <v>70</v>
      </c>
      <c r="C2135" s="17" t="s">
        <v>71</v>
      </c>
      <c r="D2135" t="s">
        <v>737</v>
      </c>
      <c r="F2135" t="s">
        <v>1024</v>
      </c>
      <c r="K2135" s="18">
        <f>62217205068</f>
        <v>62217205068</v>
      </c>
      <c r="N2135" s="17" t="s">
        <v>74</v>
      </c>
      <c r="V2135" s="18">
        <f>62217205068</f>
        <v>62217205068</v>
      </c>
    </row>
    <row r="2136" ht="15" customHeight="1" spans="1:27" x14ac:dyDescent="0.25">
      <c r="A2136" s="17" t="s">
        <v>6429</v>
      </c>
      <c r="B2136" s="17" t="s">
        <v>70</v>
      </c>
      <c r="C2136" s="17" t="s">
        <v>71</v>
      </c>
      <c r="D2136" t="s">
        <v>737</v>
      </c>
      <c r="F2136" t="s">
        <v>3991</v>
      </c>
      <c r="K2136" s="18">
        <f>628118168700</f>
        <v>628118168700</v>
      </c>
      <c r="N2136" s="17" t="s">
        <v>77</v>
      </c>
      <c r="U2136" s="17"/>
      <c r="V2136" s="18">
        <f>628118168700</f>
        <v>628118168700</v>
      </c>
      <c r="W2136" t="s">
        <v>6430</v>
      </c>
      <c r="Y2136" s="17" t="s">
        <v>96</v>
      </c>
      <c r="AA2136" s="17">
        <v>12160</v>
      </c>
    </row>
    <row r="2137" ht="15" customHeight="1" spans="1:22" x14ac:dyDescent="0.25">
      <c r="A2137" s="17" t="s">
        <v>6431</v>
      </c>
      <c r="B2137" s="17" t="s">
        <v>70</v>
      </c>
      <c r="C2137" s="17" t="s">
        <v>71</v>
      </c>
      <c r="D2137" t="s">
        <v>737</v>
      </c>
      <c r="F2137" t="s">
        <v>3991</v>
      </c>
      <c r="K2137" s="18">
        <f>628129640405</f>
        <v>628129640405</v>
      </c>
      <c r="N2137" s="17" t="s">
        <v>81</v>
      </c>
      <c r="V2137" s="18">
        <f>628129640405</f>
        <v>628129640405</v>
      </c>
    </row>
    <row r="2138" ht="15" customHeight="1" spans="1:22" x14ac:dyDescent="0.25">
      <c r="A2138" s="17" t="s">
        <v>6432</v>
      </c>
      <c r="B2138" s="17" t="s">
        <v>70</v>
      </c>
      <c r="C2138" s="17" t="s">
        <v>71</v>
      </c>
      <c r="D2138" t="s">
        <v>737</v>
      </c>
      <c r="F2138" t="s">
        <v>4918</v>
      </c>
      <c r="K2138" s="18">
        <f>6285288888387</f>
        <v>6285288888387</v>
      </c>
      <c r="N2138" s="17" t="s">
        <v>77</v>
      </c>
      <c r="V2138" s="18">
        <f>6285288888387</f>
        <v>6285288888387</v>
      </c>
    </row>
    <row r="2139" ht="15" customHeight="1" spans="1:25" x14ac:dyDescent="0.25">
      <c r="A2139" s="17" t="s">
        <v>6433</v>
      </c>
      <c r="B2139" s="17" t="s">
        <v>70</v>
      </c>
      <c r="C2139" s="17" t="s">
        <v>71</v>
      </c>
      <c r="D2139" t="s">
        <v>737</v>
      </c>
      <c r="F2139" t="s">
        <v>2754</v>
      </c>
      <c r="J2139" s="17" t="s">
        <v>6434</v>
      </c>
      <c r="K2139" s="18">
        <f>6282126228676</f>
        <v>6282126228676</v>
      </c>
      <c r="N2139" s="17" t="s">
        <v>77</v>
      </c>
      <c r="U2139" s="17"/>
      <c r="V2139" s="18">
        <f>6282126228676</f>
        <v>6282126228676</v>
      </c>
      <c r="W2139" t="s">
        <v>6435</v>
      </c>
      <c r="Y2139" s="17" t="s">
        <v>500</v>
      </c>
    </row>
    <row r="2140" ht="15" customHeight="1" spans="1:23" x14ac:dyDescent="0.25">
      <c r="A2140" s="17" t="s">
        <v>6436</v>
      </c>
      <c r="B2140" s="17" t="s">
        <v>70</v>
      </c>
      <c r="C2140" s="17" t="s">
        <v>71</v>
      </c>
      <c r="D2140" t="s">
        <v>737</v>
      </c>
      <c r="F2140" t="s">
        <v>308</v>
      </c>
      <c r="K2140" s="18">
        <f>6281213099929</f>
        <v>6281213099929</v>
      </c>
      <c r="N2140" s="17" t="s">
        <v>77</v>
      </c>
      <c r="U2140" s="17"/>
      <c r="V2140" s="18">
        <f>6281213099929</f>
        <v>6281213099929</v>
      </c>
      <c r="W2140" t="s">
        <v>6437</v>
      </c>
    </row>
    <row r="2141" ht="15" customHeight="1" spans="1:22" x14ac:dyDescent="0.25">
      <c r="A2141" s="17" t="s">
        <v>6438</v>
      </c>
      <c r="B2141" s="17" t="s">
        <v>70</v>
      </c>
      <c r="C2141" s="17" t="s">
        <v>71</v>
      </c>
      <c r="D2141" t="s">
        <v>737</v>
      </c>
      <c r="F2141" t="s">
        <v>6439</v>
      </c>
      <c r="K2141" s="18">
        <f>62811980635</f>
        <v>62811980635</v>
      </c>
      <c r="N2141" s="17" t="s">
        <v>77</v>
      </c>
      <c r="V2141" s="18">
        <f>62811980635</f>
        <v>62811980635</v>
      </c>
    </row>
    <row r="2142" ht="15" customHeight="1" spans="1:25" x14ac:dyDescent="0.25">
      <c r="A2142" s="17" t="s">
        <v>6440</v>
      </c>
      <c r="B2142" s="17" t="s">
        <v>70</v>
      </c>
      <c r="C2142" s="17" t="s">
        <v>71</v>
      </c>
      <c r="D2142" t="s">
        <v>6441</v>
      </c>
      <c r="F2142" t="s">
        <v>6442</v>
      </c>
      <c r="K2142" s="18">
        <f>628123499999</f>
        <v>628123499999</v>
      </c>
      <c r="N2142" s="17" t="s">
        <v>77</v>
      </c>
      <c r="V2142" s="18">
        <f>628123499999</f>
        <v>628123499999</v>
      </c>
      <c r="Y2142" s="17" t="s">
        <v>6443</v>
      </c>
    </row>
    <row r="2143" ht="15" customHeight="1" spans="1:22" x14ac:dyDescent="0.25">
      <c r="A2143" s="17" t="s">
        <v>6444</v>
      </c>
      <c r="B2143" s="17" t="s">
        <v>70</v>
      </c>
      <c r="C2143" s="17" t="s">
        <v>71</v>
      </c>
      <c r="D2143" t="s">
        <v>6445</v>
      </c>
      <c r="F2143" t="s">
        <v>4821</v>
      </c>
      <c r="K2143" s="18">
        <f>628119303830</f>
        <v>628119303830</v>
      </c>
      <c r="N2143" s="17" t="s">
        <v>77</v>
      </c>
      <c r="V2143" s="18">
        <f>628119303830</f>
        <v>628119303830</v>
      </c>
    </row>
    <row r="2144" ht="15" customHeight="1" spans="1:22" x14ac:dyDescent="0.25">
      <c r="A2144" s="17" t="s">
        <v>6446</v>
      </c>
      <c r="B2144" s="17" t="s">
        <v>70</v>
      </c>
      <c r="C2144" s="17" t="s">
        <v>71</v>
      </c>
      <c r="D2144" t="s">
        <v>6447</v>
      </c>
      <c r="F2144" t="s">
        <v>6448</v>
      </c>
      <c r="K2144" s="18">
        <f>62816880211</f>
        <v>62816880211</v>
      </c>
      <c r="N2144" s="17" t="s">
        <v>77</v>
      </c>
      <c r="V2144" s="18">
        <f>62816880211</f>
        <v>62816880211</v>
      </c>
    </row>
    <row r="2145" ht="15" customHeight="1" spans="1:22" x14ac:dyDescent="0.25">
      <c r="A2145" s="17" t="s">
        <v>6449</v>
      </c>
      <c r="B2145" s="17" t="s">
        <v>70</v>
      </c>
      <c r="C2145" s="17" t="s">
        <v>71</v>
      </c>
      <c r="D2145" t="s">
        <v>6450</v>
      </c>
      <c r="F2145" t="s">
        <v>6450</v>
      </c>
      <c r="K2145" s="18">
        <f>628161449509</f>
        <v>628161449509</v>
      </c>
      <c r="N2145" s="17" t="s">
        <v>81</v>
      </c>
      <c r="V2145" s="18">
        <f>628161449509</f>
        <v>628161449509</v>
      </c>
    </row>
    <row r="2146" ht="15" customHeight="1" spans="1:28" x14ac:dyDescent="0.25">
      <c r="A2146" s="17" t="s">
        <v>6451</v>
      </c>
      <c r="B2146" s="17" t="s">
        <v>70</v>
      </c>
      <c r="C2146" s="17" t="s">
        <v>71</v>
      </c>
      <c r="D2146" t="s">
        <v>6450</v>
      </c>
      <c r="F2146" t="s">
        <v>6452</v>
      </c>
      <c r="J2146" t="s">
        <v>115</v>
      </c>
      <c r="K2146" s="18" t="s">
        <v>6453</v>
      </c>
      <c r="N2146" s="17" t="s">
        <v>77</v>
      </c>
      <c r="O2146" t="s">
        <v>117</v>
      </c>
      <c r="V2146" s="18" t="s">
        <v>6453</v>
      </c>
      <c r="Y2146" t="s">
        <v>190</v>
      </c>
      <c r="AA2146" t="s">
        <v>118</v>
      </c>
      <c r="AB2146" t="s">
        <v>119</v>
      </c>
    </row>
    <row r="2147" ht="15" customHeight="1" spans="1:22" x14ac:dyDescent="0.25">
      <c r="A2147" s="17" t="s">
        <v>6454</v>
      </c>
      <c r="B2147" s="17" t="s">
        <v>70</v>
      </c>
      <c r="C2147" s="17" t="s">
        <v>71</v>
      </c>
      <c r="D2147" t="s">
        <v>6450</v>
      </c>
      <c r="F2147" t="s">
        <v>6455</v>
      </c>
      <c r="K2147" s="18">
        <f>62816800166</f>
        <v>62816800166</v>
      </c>
      <c r="N2147" s="17" t="s">
        <v>77</v>
      </c>
      <c r="V2147" s="18">
        <f>62816800166</f>
        <v>62816800166</v>
      </c>
    </row>
    <row r="2148" ht="15" customHeight="1" spans="1:23" x14ac:dyDescent="0.25">
      <c r="A2148" s="17" t="s">
        <v>6456</v>
      </c>
      <c r="B2148" s="17" t="s">
        <v>70</v>
      </c>
      <c r="C2148" s="17" t="s">
        <v>71</v>
      </c>
      <c r="D2148" t="s">
        <v>6457</v>
      </c>
      <c r="F2148" t="s">
        <v>6458</v>
      </c>
      <c r="K2148" s="18">
        <f>6281244210478</f>
        <v>6281244210478</v>
      </c>
      <c r="N2148" s="17" t="s">
        <v>77</v>
      </c>
      <c r="U2148" s="17"/>
      <c r="V2148" s="18">
        <f>6281244210478</f>
        <v>6281244210478</v>
      </c>
      <c r="W2148" t="s">
        <v>6459</v>
      </c>
    </row>
    <row r="2149" ht="15" customHeight="1" spans="1:28" x14ac:dyDescent="0.25">
      <c r="A2149" s="17" t="s">
        <v>6460</v>
      </c>
      <c r="B2149" s="17" t="s">
        <v>70</v>
      </c>
      <c r="C2149" s="17" t="s">
        <v>71</v>
      </c>
      <c r="D2149" t="s">
        <v>6461</v>
      </c>
      <c r="F2149" t="s">
        <v>6461</v>
      </c>
      <c r="J2149" t="s">
        <v>115</v>
      </c>
      <c r="K2149" s="18" t="s">
        <v>6462</v>
      </c>
      <c r="N2149" s="17" t="s">
        <v>74</v>
      </c>
      <c r="O2149" t="s">
        <v>489</v>
      </c>
      <c r="V2149" s="18" t="s">
        <v>6462</v>
      </c>
      <c r="Y2149" t="s">
        <v>190</v>
      </c>
      <c r="AA2149" t="s">
        <v>118</v>
      </c>
      <c r="AB2149" t="s">
        <v>119</v>
      </c>
    </row>
    <row r="2150" ht="15" customHeight="1" spans="1:25" x14ac:dyDescent="0.25">
      <c r="A2150" s="17" t="s">
        <v>6463</v>
      </c>
      <c r="B2150" s="17" t="s">
        <v>70</v>
      </c>
      <c r="C2150" s="17" t="s">
        <v>71</v>
      </c>
      <c r="D2150" t="s">
        <v>6464</v>
      </c>
      <c r="F2150" t="s">
        <v>6465</v>
      </c>
      <c r="K2150" s="18">
        <f>6281320939328</f>
        <v>6281320939328</v>
      </c>
      <c r="N2150" s="17" t="s">
        <v>77</v>
      </c>
      <c r="U2150" s="17"/>
      <c r="V2150" s="18">
        <f>6281320939328</f>
        <v>6281320939328</v>
      </c>
      <c r="W2150" t="s">
        <v>6466</v>
      </c>
      <c r="Y2150" s="17" t="s">
        <v>622</v>
      </c>
    </row>
    <row r="2151" ht="15" customHeight="1" spans="1:27" x14ac:dyDescent="0.25">
      <c r="A2151" s="17" t="s">
        <v>6467</v>
      </c>
      <c r="B2151" s="17" t="s">
        <v>70</v>
      </c>
      <c r="C2151" s="17" t="s">
        <v>71</v>
      </c>
      <c r="D2151" t="s">
        <v>6468</v>
      </c>
      <c r="F2151" t="s">
        <v>212</v>
      </c>
      <c r="K2151" s="18">
        <f>62215883955</f>
        <v>62215883955</v>
      </c>
      <c r="N2151" s="17" t="s">
        <v>77</v>
      </c>
      <c r="U2151" s="17"/>
      <c r="V2151" s="18">
        <f>62215883955</f>
        <v>62215883955</v>
      </c>
      <c r="W2151" t="s">
        <v>6469</v>
      </c>
      <c r="AA2151" s="17" t="s">
        <v>6470</v>
      </c>
    </row>
    <row r="2152" ht="15" customHeight="1" spans="1:22" x14ac:dyDescent="0.25">
      <c r="A2152" s="17" t="s">
        <v>6471</v>
      </c>
      <c r="B2152" s="17" t="s">
        <v>70</v>
      </c>
      <c r="C2152" s="17" t="s">
        <v>71</v>
      </c>
      <c r="D2152" t="s">
        <v>6235</v>
      </c>
      <c r="F2152" t="s">
        <v>6235</v>
      </c>
      <c r="K2152" s="18">
        <f>628121067189</f>
        <v>628121067189</v>
      </c>
      <c r="N2152" s="17" t="s">
        <v>74</v>
      </c>
      <c r="V2152" s="18">
        <f>628121067189</f>
        <v>628121067189</v>
      </c>
    </row>
    <row r="2153" ht="15" customHeight="1" spans="1:22" x14ac:dyDescent="0.25">
      <c r="A2153" s="17" t="s">
        <v>6472</v>
      </c>
      <c r="B2153" s="17" t="s">
        <v>70</v>
      </c>
      <c r="C2153" s="17" t="s">
        <v>71</v>
      </c>
      <c r="D2153" t="s">
        <v>6235</v>
      </c>
      <c r="F2153" t="s">
        <v>6235</v>
      </c>
      <c r="K2153" s="18">
        <f>6285210551999</f>
        <v>6285210551999</v>
      </c>
      <c r="N2153" s="17" t="s">
        <v>81</v>
      </c>
      <c r="V2153" s="18">
        <f>6285210551999</f>
        <v>6285210551999</v>
      </c>
    </row>
    <row r="2154" ht="15" customHeight="1" spans="1:28" x14ac:dyDescent="0.25">
      <c r="A2154" s="17" t="s">
        <v>6473</v>
      </c>
      <c r="B2154" s="17" t="s">
        <v>70</v>
      </c>
      <c r="C2154" s="17" t="s">
        <v>71</v>
      </c>
      <c r="D2154" t="s">
        <v>6235</v>
      </c>
      <c r="F2154" t="s">
        <v>205</v>
      </c>
      <c r="J2154" t="s">
        <v>115</v>
      </c>
      <c r="K2154" s="18" t="s">
        <v>6474</v>
      </c>
      <c r="N2154" s="17" t="s">
        <v>77</v>
      </c>
      <c r="O2154" t="s">
        <v>117</v>
      </c>
      <c r="V2154" s="18" t="s">
        <v>6474</v>
      </c>
      <c r="Y2154" t="s">
        <v>90</v>
      </c>
      <c r="AA2154" t="s">
        <v>118</v>
      </c>
      <c r="AB2154" t="s">
        <v>119</v>
      </c>
    </row>
    <row r="2155" ht="15" customHeight="1" spans="1:22" x14ac:dyDescent="0.25">
      <c r="A2155" s="17" t="s">
        <v>6475</v>
      </c>
      <c r="B2155" s="17" t="s">
        <v>70</v>
      </c>
      <c r="C2155" s="17" t="s">
        <v>71</v>
      </c>
      <c r="D2155" t="s">
        <v>6235</v>
      </c>
      <c r="F2155" t="s">
        <v>6476</v>
      </c>
      <c r="K2155" s="18">
        <v>620816827740</v>
      </c>
      <c r="N2155" s="17" t="s">
        <v>77</v>
      </c>
      <c r="V2155" s="18">
        <v>620816827740</v>
      </c>
    </row>
    <row r="2156" ht="15" customHeight="1" spans="1:27" x14ac:dyDescent="0.25">
      <c r="A2156" s="17" t="s">
        <v>6477</v>
      </c>
      <c r="B2156" s="17" t="s">
        <v>70</v>
      </c>
      <c r="C2156" s="17" t="s">
        <v>71</v>
      </c>
      <c r="D2156" t="s">
        <v>6235</v>
      </c>
      <c r="F2156" t="s">
        <v>282</v>
      </c>
      <c r="K2156" s="18">
        <f>6281990990860</f>
        <v>6281990990860</v>
      </c>
      <c r="N2156" s="17" t="s">
        <v>81</v>
      </c>
      <c r="U2156" s="17"/>
      <c r="V2156" s="18">
        <f>6281990990860</f>
        <v>6281990990860</v>
      </c>
      <c r="W2156" t="s">
        <v>6478</v>
      </c>
      <c r="Y2156" s="17" t="s">
        <v>704</v>
      </c>
      <c r="AA2156" s="17">
        <v>60174</v>
      </c>
    </row>
    <row r="2157" ht="15" customHeight="1" spans="1:23" x14ac:dyDescent="0.25">
      <c r="A2157" s="17" t="s">
        <v>6479</v>
      </c>
      <c r="B2157" s="17" t="s">
        <v>70</v>
      </c>
      <c r="C2157" s="17" t="s">
        <v>71</v>
      </c>
      <c r="D2157" t="s">
        <v>6235</v>
      </c>
      <c r="F2157" t="s">
        <v>6480</v>
      </c>
      <c r="K2157" s="18">
        <f>628161146259</f>
        <v>628161146259</v>
      </c>
      <c r="N2157" s="17" t="s">
        <v>81</v>
      </c>
      <c r="U2157" s="17"/>
      <c r="V2157" s="18">
        <f>628161146259</f>
        <v>628161146259</v>
      </c>
      <c r="W2157" t="s">
        <v>6481</v>
      </c>
    </row>
    <row r="2158" ht="15" customHeight="1" spans="1:25" x14ac:dyDescent="0.25">
      <c r="A2158" s="17" t="s">
        <v>6482</v>
      </c>
      <c r="B2158" s="17" t="s">
        <v>70</v>
      </c>
      <c r="C2158" s="17" t="s">
        <v>71</v>
      </c>
      <c r="D2158" t="s">
        <v>1093</v>
      </c>
      <c r="F2158" t="s">
        <v>6483</v>
      </c>
      <c r="K2158" s="18">
        <f>628119770191</f>
        <v>628119770191</v>
      </c>
      <c r="N2158" s="17" t="s">
        <v>74</v>
      </c>
      <c r="U2158" s="17"/>
      <c r="V2158" s="18">
        <f>628119770191</f>
        <v>628119770191</v>
      </c>
      <c r="W2158" t="s">
        <v>6484</v>
      </c>
      <c r="Y2158" s="17" t="s">
        <v>6485</v>
      </c>
    </row>
    <row r="2159" ht="15" customHeight="1" spans="1:22" x14ac:dyDescent="0.25">
      <c r="A2159" s="17" t="s">
        <v>6486</v>
      </c>
      <c r="B2159" s="17" t="s">
        <v>70</v>
      </c>
      <c r="C2159" s="17" t="s">
        <v>71</v>
      </c>
      <c r="D2159" t="s">
        <v>6487</v>
      </c>
      <c r="F2159" t="s">
        <v>6487</v>
      </c>
      <c r="K2159" s="18">
        <f>622165837279</f>
        <v>622165837279</v>
      </c>
      <c r="N2159" s="17" t="s">
        <v>74</v>
      </c>
      <c r="V2159" s="18">
        <f>622165837279</f>
        <v>622165837279</v>
      </c>
    </row>
    <row r="2160" ht="15" customHeight="1" spans="1:22" x14ac:dyDescent="0.25">
      <c r="A2160" s="17" t="s">
        <v>6488</v>
      </c>
      <c r="B2160" s="17" t="s">
        <v>70</v>
      </c>
      <c r="C2160" s="17" t="s">
        <v>71</v>
      </c>
      <c r="D2160" t="s">
        <v>6487</v>
      </c>
      <c r="F2160" t="s">
        <v>2386</v>
      </c>
      <c r="K2160" s="18">
        <f>62811559000</f>
        <v>62811559000</v>
      </c>
      <c r="N2160" s="17" t="s">
        <v>74</v>
      </c>
      <c r="V2160" s="18">
        <f>62811559000</f>
        <v>62811559000</v>
      </c>
    </row>
    <row r="2161" ht="15" customHeight="1" spans="1:22" x14ac:dyDescent="0.25">
      <c r="A2161" s="17" t="s">
        <v>6489</v>
      </c>
      <c r="B2161" s="17" t="s">
        <v>70</v>
      </c>
      <c r="C2161" s="17" t="s">
        <v>71</v>
      </c>
      <c r="D2161" t="s">
        <v>6490</v>
      </c>
      <c r="F2161" t="s">
        <v>6491</v>
      </c>
      <c r="K2161" s="18">
        <f>79219493830</f>
        <v>79219493830</v>
      </c>
      <c r="N2161" s="17" t="s">
        <v>77</v>
      </c>
      <c r="V2161" s="18">
        <f>79219493830</f>
        <v>79219493830</v>
      </c>
    </row>
    <row r="2162" ht="15" customHeight="1" spans="1:22" x14ac:dyDescent="0.25">
      <c r="A2162" s="17" t="s">
        <v>6492</v>
      </c>
      <c r="B2162" s="17" t="s">
        <v>70</v>
      </c>
      <c r="C2162" s="17" t="s">
        <v>71</v>
      </c>
      <c r="D2162" t="s">
        <v>6493</v>
      </c>
      <c r="F2162" t="s">
        <v>6494</v>
      </c>
      <c r="K2162" s="18">
        <f>62811901252</f>
        <v>62811901252</v>
      </c>
      <c r="N2162" s="17" t="s">
        <v>77</v>
      </c>
      <c r="V2162" s="18">
        <f>62811901252</f>
        <v>62811901252</v>
      </c>
    </row>
    <row r="2163" ht="15" customHeight="1" spans="1:22" x14ac:dyDescent="0.25">
      <c r="A2163" s="17" t="s">
        <v>6495</v>
      </c>
      <c r="B2163" s="17" t="s">
        <v>70</v>
      </c>
      <c r="C2163" s="17" t="s">
        <v>71</v>
      </c>
      <c r="D2163" t="s">
        <v>6496</v>
      </c>
      <c r="F2163" t="s">
        <v>6497</v>
      </c>
      <c r="K2163" s="18">
        <f>62811832352</f>
        <v>62811832352</v>
      </c>
      <c r="N2163" s="17" t="s">
        <v>77</v>
      </c>
      <c r="V2163" s="18">
        <f>62811832352</f>
        <v>62811832352</v>
      </c>
    </row>
    <row r="2164" ht="15" customHeight="1" spans="1:28" x14ac:dyDescent="0.25">
      <c r="A2164" s="17" t="s">
        <v>6498</v>
      </c>
      <c r="B2164" s="17" t="s">
        <v>70</v>
      </c>
      <c r="C2164" s="17" t="s">
        <v>71</v>
      </c>
      <c r="D2164" t="s">
        <v>6499</v>
      </c>
      <c r="F2164" t="s">
        <v>6500</v>
      </c>
      <c r="J2164" t="s">
        <v>115</v>
      </c>
      <c r="K2164" s="18" t="s">
        <v>6501</v>
      </c>
      <c r="N2164" s="17" t="s">
        <v>77</v>
      </c>
      <c r="O2164" t="s">
        <v>199</v>
      </c>
      <c r="V2164" s="18" t="s">
        <v>6501</v>
      </c>
      <c r="Y2164" t="s">
        <v>6100</v>
      </c>
      <c r="AA2164" t="s">
        <v>115</v>
      </c>
      <c r="AB2164" t="s">
        <v>119</v>
      </c>
    </row>
    <row r="2165" ht="15" customHeight="1" spans="1:22" x14ac:dyDescent="0.25">
      <c r="A2165" s="17" t="s">
        <v>6502</v>
      </c>
      <c r="B2165" s="17" t="s">
        <v>70</v>
      </c>
      <c r="C2165" s="17" t="s">
        <v>71</v>
      </c>
      <c r="D2165" t="s">
        <v>6503</v>
      </c>
      <c r="F2165" t="s">
        <v>6503</v>
      </c>
      <c r="K2165" s="18">
        <f>62817221501</f>
        <v>62817221501</v>
      </c>
      <c r="N2165" s="17" t="s">
        <v>77</v>
      </c>
      <c r="V2165" s="18">
        <f>62817221501</f>
        <v>62817221501</v>
      </c>
    </row>
    <row r="2166" ht="15" customHeight="1" spans="1:22" x14ac:dyDescent="0.25">
      <c r="A2166" s="17" t="s">
        <v>6504</v>
      </c>
      <c r="B2166" s="17" t="s">
        <v>70</v>
      </c>
      <c r="C2166" s="17" t="s">
        <v>71</v>
      </c>
      <c r="D2166" t="s">
        <v>6503</v>
      </c>
      <c r="F2166" t="s">
        <v>6505</v>
      </c>
      <c r="J2166" s="17" t="s">
        <v>6506</v>
      </c>
      <c r="K2166" s="18">
        <f>6281383161555</f>
        <v>6281383161555</v>
      </c>
      <c r="N2166" s="17" t="s">
        <v>81</v>
      </c>
      <c r="V2166" s="18">
        <f>6281383161555</f>
        <v>6281383161555</v>
      </c>
    </row>
    <row r="2167" ht="15" customHeight="1" spans="1:23" x14ac:dyDescent="0.25">
      <c r="A2167" s="17" t="s">
        <v>6507</v>
      </c>
      <c r="B2167" s="17" t="s">
        <v>70</v>
      </c>
      <c r="C2167" s="17" t="s">
        <v>71</v>
      </c>
      <c r="D2167" t="s">
        <v>6508</v>
      </c>
      <c r="F2167" t="s">
        <v>6509</v>
      </c>
      <c r="J2167" s="17" t="s">
        <v>6510</v>
      </c>
      <c r="K2167" s="18">
        <f>622157973850</f>
        <v>622157973850</v>
      </c>
      <c r="N2167" s="17" t="s">
        <v>77</v>
      </c>
      <c r="U2167" s="17"/>
      <c r="V2167" s="18">
        <f>622157973850</f>
        <v>622157973850</v>
      </c>
      <c r="W2167" t="s">
        <v>6511</v>
      </c>
    </row>
    <row r="2168" ht="15" customHeight="1" spans="1:28" x14ac:dyDescent="0.25">
      <c r="A2168" s="17" t="s">
        <v>6512</v>
      </c>
      <c r="B2168" s="17" t="s">
        <v>70</v>
      </c>
      <c r="C2168" s="17" t="s">
        <v>71</v>
      </c>
      <c r="D2168" t="s">
        <v>6513</v>
      </c>
      <c r="F2168" t="s">
        <v>181</v>
      </c>
      <c r="J2168" s="17" t="s">
        <v>6514</v>
      </c>
      <c r="K2168" s="18" t="s">
        <v>6515</v>
      </c>
      <c r="N2168" s="17" t="s">
        <v>81</v>
      </c>
      <c r="O2168" t="s">
        <v>199</v>
      </c>
      <c r="U2168" s="17"/>
      <c r="V2168" s="18" t="s">
        <v>6515</v>
      </c>
      <c r="W2168" t="s">
        <v>6516</v>
      </c>
      <c r="Y2168" s="17" t="s">
        <v>181</v>
      </c>
      <c r="AA2168" s="17" t="s">
        <v>1672</v>
      </c>
      <c r="AB2168" t="s">
        <v>119</v>
      </c>
    </row>
    <row r="2169" ht="15" customHeight="1" spans="1:23" x14ac:dyDescent="0.25">
      <c r="A2169" s="17" t="s">
        <v>6517</v>
      </c>
      <c r="B2169" s="17" t="s">
        <v>70</v>
      </c>
      <c r="C2169" s="17" t="s">
        <v>71</v>
      </c>
      <c r="D2169" t="s">
        <v>6518</v>
      </c>
      <c r="F2169" t="s">
        <v>6518</v>
      </c>
      <c r="K2169" s="18">
        <f>6282124666677</f>
        <v>6282124666677</v>
      </c>
      <c r="N2169" s="17" t="s">
        <v>77</v>
      </c>
      <c r="U2169" s="17"/>
      <c r="V2169" s="18">
        <f>6282124666677</f>
        <v>6282124666677</v>
      </c>
      <c r="W2169" t="s">
        <v>90</v>
      </c>
    </row>
    <row r="2170" ht="15" customHeight="1" spans="1:23" x14ac:dyDescent="0.25">
      <c r="A2170" s="17" t="s">
        <v>6519</v>
      </c>
      <c r="B2170" s="17" t="s">
        <v>70</v>
      </c>
      <c r="C2170" s="17" t="s">
        <v>71</v>
      </c>
      <c r="D2170" t="s">
        <v>6520</v>
      </c>
      <c r="F2170" t="s">
        <v>6521</v>
      </c>
      <c r="K2170" s="18">
        <f>62811934858</f>
        <v>62811934858</v>
      </c>
      <c r="N2170" s="17" t="s">
        <v>81</v>
      </c>
      <c r="U2170" s="17"/>
      <c r="V2170" s="18">
        <f>62811934858</f>
        <v>62811934858</v>
      </c>
      <c r="W2170" t="s">
        <v>6522</v>
      </c>
    </row>
    <row r="2171" ht="15" customHeight="1" spans="1:23" x14ac:dyDescent="0.25">
      <c r="A2171" s="17" t="s">
        <v>6523</v>
      </c>
      <c r="B2171" s="17" t="s">
        <v>70</v>
      </c>
      <c r="C2171" s="17" t="s">
        <v>71</v>
      </c>
      <c r="D2171" t="s">
        <v>6524</v>
      </c>
      <c r="F2171" t="s">
        <v>6524</v>
      </c>
      <c r="K2171" s="18">
        <f>6287872546393</f>
        <v>6287872546393</v>
      </c>
      <c r="N2171" s="17" t="s">
        <v>81</v>
      </c>
      <c r="U2171" s="17"/>
      <c r="V2171" s="18">
        <f>6287872546393</f>
        <v>6287872546393</v>
      </c>
      <c r="W2171" t="s">
        <v>6525</v>
      </c>
    </row>
    <row r="2172" ht="15" customHeight="1" spans="1:22" x14ac:dyDescent="0.25">
      <c r="A2172" s="17" t="s">
        <v>6526</v>
      </c>
      <c r="B2172" s="17" t="s">
        <v>70</v>
      </c>
      <c r="C2172" s="17" t="s">
        <v>71</v>
      </c>
      <c r="D2172" t="s">
        <v>6527</v>
      </c>
      <c r="F2172" t="s">
        <v>6528</v>
      </c>
      <c r="K2172" s="18">
        <f>6281297952215</f>
        <v>6281297952215</v>
      </c>
      <c r="N2172" s="17" t="s">
        <v>77</v>
      </c>
      <c r="V2172" s="18">
        <f>6281297952215</f>
        <v>6281297952215</v>
      </c>
    </row>
    <row r="2173" ht="15" customHeight="1" spans="1:22" x14ac:dyDescent="0.25">
      <c r="A2173" s="17" t="s">
        <v>6529</v>
      </c>
      <c r="B2173" s="17" t="s">
        <v>70</v>
      </c>
      <c r="C2173" s="17" t="s">
        <v>71</v>
      </c>
      <c r="D2173" t="s">
        <v>6530</v>
      </c>
      <c r="F2173" t="s">
        <v>1208</v>
      </c>
      <c r="K2173" s="18">
        <f>6281294044715</f>
        <v>6281294044715</v>
      </c>
      <c r="N2173" s="17" t="s">
        <v>77</v>
      </c>
      <c r="V2173" s="18">
        <f>6281294044715</f>
        <v>6281294044715</v>
      </c>
    </row>
    <row r="2174" ht="15" customHeight="1" spans="1:23" x14ac:dyDescent="0.25">
      <c r="A2174" s="17" t="s">
        <v>6531</v>
      </c>
      <c r="B2174" s="17" t="s">
        <v>70</v>
      </c>
      <c r="C2174" s="17" t="s">
        <v>71</v>
      </c>
      <c r="D2174" t="s">
        <v>6530</v>
      </c>
      <c r="F2174" t="s">
        <v>6532</v>
      </c>
      <c r="K2174" s="18">
        <f>6283822200023</f>
        <v>6283822200023</v>
      </c>
      <c r="N2174" s="17" t="s">
        <v>77</v>
      </c>
      <c r="U2174" s="17"/>
      <c r="V2174" s="18">
        <f>6283822200023</f>
        <v>6283822200023</v>
      </c>
      <c r="W2174" t="s">
        <v>6533</v>
      </c>
    </row>
    <row r="2175" ht="15" customHeight="1" spans="1:23" x14ac:dyDescent="0.25">
      <c r="A2175" s="17" t="s">
        <v>6534</v>
      </c>
      <c r="B2175" s="17" t="s">
        <v>70</v>
      </c>
      <c r="C2175" s="17" t="s">
        <v>71</v>
      </c>
      <c r="D2175" t="s">
        <v>6530</v>
      </c>
      <c r="F2175" t="s">
        <v>2698</v>
      </c>
      <c r="K2175" s="18">
        <f>6281217707070</f>
        <v>6281217707070</v>
      </c>
      <c r="N2175" s="17" t="s">
        <v>81</v>
      </c>
      <c r="U2175" s="17"/>
      <c r="V2175" s="18">
        <f>6281217707070</f>
        <v>6281217707070</v>
      </c>
      <c r="W2175" t="s">
        <v>6535</v>
      </c>
    </row>
    <row r="2176" ht="15" customHeight="1" spans="1:22" x14ac:dyDescent="0.25">
      <c r="A2176" s="17" t="s">
        <v>6536</v>
      </c>
      <c r="B2176" s="17" t="s">
        <v>70</v>
      </c>
      <c r="C2176" s="17" t="s">
        <v>71</v>
      </c>
      <c r="D2176" t="s">
        <v>6537</v>
      </c>
      <c r="F2176" t="s">
        <v>6537</v>
      </c>
      <c r="K2176" s="18">
        <f>6282154086206</f>
        <v>6282154086206</v>
      </c>
      <c r="N2176" s="17" t="s">
        <v>77</v>
      </c>
      <c r="V2176" s="18">
        <f>6282154086206</f>
        <v>6282154086206</v>
      </c>
    </row>
    <row r="2177" ht="15" customHeight="1" spans="1:22" x14ac:dyDescent="0.25">
      <c r="A2177" s="17" t="s">
        <v>6538</v>
      </c>
      <c r="B2177" s="17" t="s">
        <v>70</v>
      </c>
      <c r="C2177" s="17" t="s">
        <v>71</v>
      </c>
      <c r="D2177" t="s">
        <v>6537</v>
      </c>
      <c r="F2177" t="s">
        <v>6539</v>
      </c>
      <c r="K2177" s="18">
        <f>628788480244</f>
        <v>628788480244</v>
      </c>
      <c r="N2177" s="17" t="s">
        <v>81</v>
      </c>
      <c r="V2177" s="18">
        <f>628788480244</f>
        <v>628788480244</v>
      </c>
    </row>
    <row r="2178" ht="15" customHeight="1" spans="1:28" x14ac:dyDescent="0.25">
      <c r="A2178" s="17" t="s">
        <v>6540</v>
      </c>
      <c r="B2178" s="17" t="s">
        <v>70</v>
      </c>
      <c r="C2178" s="17" t="s">
        <v>71</v>
      </c>
      <c r="D2178" t="s">
        <v>6541</v>
      </c>
      <c r="F2178" t="s">
        <v>2380</v>
      </c>
      <c r="J2178" t="s">
        <v>115</v>
      </c>
      <c r="K2178" s="18" t="s">
        <v>6542</v>
      </c>
      <c r="N2178" s="17" t="s">
        <v>77</v>
      </c>
      <c r="O2178" t="s">
        <v>117</v>
      </c>
      <c r="V2178" s="18" t="s">
        <v>6542</v>
      </c>
      <c r="Y2178" t="s">
        <v>115</v>
      </c>
      <c r="AA2178" t="s">
        <v>115</v>
      </c>
      <c r="AB2178" t="s">
        <v>119</v>
      </c>
    </row>
    <row r="2179" ht="15" customHeight="1" spans="1:23" x14ac:dyDescent="0.25">
      <c r="A2179" s="17" t="s">
        <v>6543</v>
      </c>
      <c r="B2179" s="17" t="s">
        <v>70</v>
      </c>
      <c r="C2179" s="17" t="s">
        <v>71</v>
      </c>
      <c r="D2179" t="s">
        <v>6544</v>
      </c>
      <c r="F2179" t="s">
        <v>6545</v>
      </c>
      <c r="K2179" s="18">
        <f>6596522271</f>
        <v>6596522271</v>
      </c>
      <c r="N2179" s="17" t="s">
        <v>77</v>
      </c>
      <c r="U2179" s="17"/>
      <c r="V2179" s="18">
        <f>6596522271</f>
        <v>6596522271</v>
      </c>
      <c r="W2179" t="s">
        <v>148</v>
      </c>
    </row>
    <row r="2180" ht="15" customHeight="1" spans="1:22" x14ac:dyDescent="0.25">
      <c r="A2180" s="17" t="s">
        <v>6546</v>
      </c>
      <c r="B2180" s="17" t="s">
        <v>70</v>
      </c>
      <c r="C2180" s="17" t="s">
        <v>71</v>
      </c>
      <c r="D2180" t="s">
        <v>6547</v>
      </c>
      <c r="F2180" t="s">
        <v>241</v>
      </c>
      <c r="K2180" s="18">
        <f>6738777248</f>
        <v>6738777248</v>
      </c>
      <c r="N2180" s="17" t="s">
        <v>81</v>
      </c>
      <c r="V2180" s="18">
        <f>6738777248</f>
        <v>6738777248</v>
      </c>
    </row>
    <row r="2181" ht="15" customHeight="1" spans="1:22" x14ac:dyDescent="0.25">
      <c r="A2181" s="17" t="s">
        <v>6548</v>
      </c>
      <c r="B2181" s="17" t="s">
        <v>70</v>
      </c>
      <c r="C2181" s="17" t="s">
        <v>71</v>
      </c>
      <c r="D2181" t="s">
        <v>6549</v>
      </c>
      <c r="F2181" t="s">
        <v>6550</v>
      </c>
      <c r="K2181" s="18">
        <f>6281311156111</f>
        <v>6281311156111</v>
      </c>
      <c r="N2181" s="17" t="s">
        <v>74</v>
      </c>
      <c r="V2181" s="18">
        <f>6281311156111</f>
        <v>6281311156111</v>
      </c>
    </row>
    <row r="2182" ht="15" customHeight="1" spans="1:27" x14ac:dyDescent="0.25">
      <c r="A2182" s="17" t="s">
        <v>6551</v>
      </c>
      <c r="B2182" s="17" t="s">
        <v>70</v>
      </c>
      <c r="C2182" s="17" t="s">
        <v>71</v>
      </c>
      <c r="D2182" t="s">
        <v>6552</v>
      </c>
      <c r="F2182" t="s">
        <v>6553</v>
      </c>
      <c r="J2182" s="17" t="s">
        <v>6554</v>
      </c>
      <c r="K2182" s="18">
        <f>62811248930</f>
        <v>62811248930</v>
      </c>
      <c r="N2182" s="17" t="s">
        <v>81</v>
      </c>
      <c r="U2182" s="17"/>
      <c r="V2182" s="18">
        <f>62811248930</f>
        <v>62811248930</v>
      </c>
      <c r="W2182" t="s">
        <v>6555</v>
      </c>
      <c r="Y2182" s="17" t="s">
        <v>500</v>
      </c>
      <c r="AA2182" s="17">
        <v>40115</v>
      </c>
    </row>
    <row r="2183" ht="15" customHeight="1" spans="1:23" x14ac:dyDescent="0.25">
      <c r="A2183" s="17" t="s">
        <v>6556</v>
      </c>
      <c r="B2183" s="17" t="s">
        <v>70</v>
      </c>
      <c r="C2183" s="17" t="s">
        <v>71</v>
      </c>
      <c r="D2183" t="s">
        <v>6557</v>
      </c>
      <c r="F2183" t="s">
        <v>5363</v>
      </c>
      <c r="K2183" s="18">
        <f>62811902444</f>
        <v>62811902444</v>
      </c>
      <c r="N2183" s="17" t="s">
        <v>81</v>
      </c>
      <c r="U2183" s="17"/>
      <c r="V2183" s="18">
        <f>62811902444</f>
        <v>62811902444</v>
      </c>
      <c r="W2183" t="s">
        <v>6558</v>
      </c>
    </row>
    <row r="2184" ht="15" customHeight="1" spans="1:28" x14ac:dyDescent="0.25">
      <c r="A2184" s="17" t="s">
        <v>6559</v>
      </c>
      <c r="B2184" s="17" t="s">
        <v>70</v>
      </c>
      <c r="C2184" s="17" t="s">
        <v>71</v>
      </c>
      <c r="D2184" t="s">
        <v>6560</v>
      </c>
      <c r="F2184" t="s">
        <v>6561</v>
      </c>
      <c r="J2184" s="17" t="s">
        <v>6562</v>
      </c>
      <c r="K2184" s="18" t="s">
        <v>6563</v>
      </c>
      <c r="N2184" s="17" t="s">
        <v>77</v>
      </c>
      <c r="O2184" t="s">
        <v>145</v>
      </c>
      <c r="V2184" s="18" t="s">
        <v>6563</v>
      </c>
      <c r="Y2184" t="s">
        <v>115</v>
      </c>
      <c r="AA2184" t="s">
        <v>115</v>
      </c>
      <c r="AB2184" t="s">
        <v>2605</v>
      </c>
    </row>
    <row r="2185" ht="15" customHeight="1" spans="1:28" x14ac:dyDescent="0.25">
      <c r="A2185" s="17" t="s">
        <v>6564</v>
      </c>
      <c r="B2185" s="17" t="s">
        <v>70</v>
      </c>
      <c r="C2185" s="17" t="s">
        <v>71</v>
      </c>
      <c r="D2185" t="s">
        <v>6565</v>
      </c>
      <c r="F2185" t="s">
        <v>2108</v>
      </c>
      <c r="J2185" s="17" t="s">
        <v>6566</v>
      </c>
      <c r="K2185" s="18" t="s">
        <v>6567</v>
      </c>
      <c r="N2185" s="17" t="s">
        <v>77</v>
      </c>
      <c r="O2185" t="s">
        <v>199</v>
      </c>
      <c r="U2185" s="17"/>
      <c r="V2185" s="18" t="s">
        <v>6567</v>
      </c>
      <c r="W2185" t="s">
        <v>6568</v>
      </c>
      <c r="Y2185" s="17" t="s">
        <v>190</v>
      </c>
      <c r="AA2185" t="s">
        <v>118</v>
      </c>
      <c r="AB2185" t="s">
        <v>1306</v>
      </c>
    </row>
    <row r="2186" ht="15" customHeight="1" spans="1:27" x14ac:dyDescent="0.25">
      <c r="A2186" s="17" t="s">
        <v>6569</v>
      </c>
      <c r="B2186" s="17" t="s">
        <v>70</v>
      </c>
      <c r="C2186" s="17" t="s">
        <v>71</v>
      </c>
      <c r="D2186" t="s">
        <v>6570</v>
      </c>
      <c r="F2186" t="s">
        <v>3869</v>
      </c>
      <c r="K2186" s="18">
        <f>62811173565</f>
        <v>62811173565</v>
      </c>
      <c r="N2186" s="17" t="s">
        <v>77</v>
      </c>
      <c r="U2186" s="17"/>
      <c r="V2186" s="18">
        <f>62811173565</f>
        <v>62811173565</v>
      </c>
      <c r="W2186" t="s">
        <v>6571</v>
      </c>
      <c r="Y2186" s="17" t="s">
        <v>96</v>
      </c>
      <c r="AA2186" s="17" t="s">
        <v>911</v>
      </c>
    </row>
    <row r="2187" ht="15" customHeight="1" spans="1:23" x14ac:dyDescent="0.25">
      <c r="A2187" s="17" t="s">
        <v>6572</v>
      </c>
      <c r="B2187" s="17" t="s">
        <v>70</v>
      </c>
      <c r="C2187" s="17" t="s">
        <v>71</v>
      </c>
      <c r="D2187" t="s">
        <v>6573</v>
      </c>
      <c r="F2187" t="s">
        <v>6574</v>
      </c>
      <c r="K2187" s="18">
        <f>6281115577060</f>
        <v>6281115577060</v>
      </c>
      <c r="N2187" s="17" t="s">
        <v>81</v>
      </c>
      <c r="U2187" s="17"/>
      <c r="V2187" s="18">
        <f>6281115577060</f>
        <v>6281115577060</v>
      </c>
      <c r="W2187" t="s">
        <v>6575</v>
      </c>
    </row>
    <row r="2188" ht="15" customHeight="1" spans="1:28" x14ac:dyDescent="0.25">
      <c r="A2188" s="17" t="s">
        <v>6576</v>
      </c>
      <c r="B2188" s="17" t="s">
        <v>70</v>
      </c>
      <c r="C2188" s="17" t="s">
        <v>71</v>
      </c>
      <c r="D2188" t="s">
        <v>6577</v>
      </c>
      <c r="F2188" t="s">
        <v>6578</v>
      </c>
      <c r="J2188" t="s">
        <v>115</v>
      </c>
      <c r="K2188" s="18" t="s">
        <v>6579</v>
      </c>
      <c r="N2188" s="17" t="s">
        <v>74</v>
      </c>
      <c r="O2188" t="s">
        <v>261</v>
      </c>
      <c r="U2188" s="17"/>
      <c r="V2188" s="18" t="s">
        <v>6579</v>
      </c>
      <c r="W2188" t="s">
        <v>6580</v>
      </c>
      <c r="Y2188" t="s">
        <v>90</v>
      </c>
      <c r="AA2188" t="s">
        <v>118</v>
      </c>
      <c r="AB2188" t="s">
        <v>119</v>
      </c>
    </row>
    <row r="2189" ht="15" customHeight="1" spans="1:22" x14ac:dyDescent="0.25">
      <c r="A2189" s="17" t="s">
        <v>6581</v>
      </c>
      <c r="B2189" s="17" t="s">
        <v>70</v>
      </c>
      <c r="C2189" s="17" t="s">
        <v>71</v>
      </c>
      <c r="D2189" t="s">
        <v>6582</v>
      </c>
      <c r="F2189" t="s">
        <v>6583</v>
      </c>
      <c r="K2189" s="18">
        <f>628134130359</f>
        <v>628134130359</v>
      </c>
      <c r="N2189" s="17" t="s">
        <v>77</v>
      </c>
      <c r="V2189" s="18">
        <f>628134130359</f>
        <v>628134130359</v>
      </c>
    </row>
    <row r="2190" ht="15" customHeight="1" spans="1:22" x14ac:dyDescent="0.25">
      <c r="A2190" s="17" t="s">
        <v>6584</v>
      </c>
      <c r="B2190" s="17" t="s">
        <v>70</v>
      </c>
      <c r="C2190" s="17" t="s">
        <v>71</v>
      </c>
      <c r="D2190" t="s">
        <v>6585</v>
      </c>
      <c r="F2190" t="s">
        <v>6586</v>
      </c>
      <c r="K2190" s="18">
        <f>6281286259555</f>
        <v>6281286259555</v>
      </c>
      <c r="N2190" s="17" t="s">
        <v>81</v>
      </c>
      <c r="V2190" s="18">
        <f>6281286259555</f>
        <v>6281286259555</v>
      </c>
    </row>
    <row r="2191" ht="15" customHeight="1" spans="1:28" x14ac:dyDescent="0.25">
      <c r="A2191" s="17" t="s">
        <v>6587</v>
      </c>
      <c r="B2191" s="17" t="s">
        <v>70</v>
      </c>
      <c r="C2191" s="17" t="s">
        <v>71</v>
      </c>
      <c r="D2191" t="s">
        <v>6585</v>
      </c>
      <c r="F2191" t="s">
        <v>6588</v>
      </c>
      <c r="J2191" t="s">
        <v>115</v>
      </c>
      <c r="K2191" s="18" t="s">
        <v>6589</v>
      </c>
      <c r="N2191" s="17" t="s">
        <v>74</v>
      </c>
      <c r="O2191" t="s">
        <v>117</v>
      </c>
      <c r="V2191" s="18" t="s">
        <v>6589</v>
      </c>
      <c r="Y2191" t="s">
        <v>90</v>
      </c>
      <c r="AA2191" t="s">
        <v>118</v>
      </c>
      <c r="AB2191" t="s">
        <v>119</v>
      </c>
    </row>
    <row r="2192" ht="15" customHeight="1" spans="1:25" x14ac:dyDescent="0.25">
      <c r="A2192" s="17" t="s">
        <v>6590</v>
      </c>
      <c r="B2192" s="17" t="s">
        <v>70</v>
      </c>
      <c r="C2192" s="17" t="s">
        <v>71</v>
      </c>
      <c r="D2192" t="s">
        <v>6585</v>
      </c>
      <c r="F2192" t="s">
        <v>6591</v>
      </c>
      <c r="K2192" s="18">
        <f>62811108809</f>
        <v>62811108809</v>
      </c>
      <c r="N2192" s="17" t="s">
        <v>77</v>
      </c>
      <c r="U2192" s="17"/>
      <c r="V2192" s="18">
        <f>62811108809</f>
        <v>62811108809</v>
      </c>
      <c r="W2192" t="s">
        <v>6592</v>
      </c>
      <c r="Y2192" s="17" t="s">
        <v>378</v>
      </c>
    </row>
    <row r="2193" ht="15" customHeight="1" spans="1:28" x14ac:dyDescent="0.25">
      <c r="A2193" s="17" t="s">
        <v>6593</v>
      </c>
      <c r="B2193" s="17" t="s">
        <v>70</v>
      </c>
      <c r="C2193" s="17" t="s">
        <v>71</v>
      </c>
      <c r="D2193" t="s">
        <v>6594</v>
      </c>
      <c r="F2193" t="s">
        <v>938</v>
      </c>
      <c r="J2193" t="s">
        <v>115</v>
      </c>
      <c r="K2193" s="18" t="s">
        <v>6595</v>
      </c>
      <c r="N2193" s="17" t="s">
        <v>81</v>
      </c>
      <c r="O2193" t="s">
        <v>117</v>
      </c>
      <c r="V2193" s="18" t="s">
        <v>6595</v>
      </c>
      <c r="Y2193" t="s">
        <v>190</v>
      </c>
      <c r="AA2193" t="s">
        <v>118</v>
      </c>
      <c r="AB2193" t="s">
        <v>119</v>
      </c>
    </row>
    <row r="2194" ht="15" customHeight="1" spans="1:22" x14ac:dyDescent="0.25">
      <c r="A2194" s="17" t="s">
        <v>6596</v>
      </c>
      <c r="B2194" s="17" t="s">
        <v>70</v>
      </c>
      <c r="C2194" s="17" t="s">
        <v>71</v>
      </c>
      <c r="D2194" t="s">
        <v>5826</v>
      </c>
      <c r="F2194" t="s">
        <v>5826</v>
      </c>
      <c r="K2194" s="18">
        <f>628164847353</f>
        <v>628164847353</v>
      </c>
      <c r="N2194" s="17" t="s">
        <v>77</v>
      </c>
      <c r="V2194" s="18">
        <f>628164847353</f>
        <v>628164847353</v>
      </c>
    </row>
    <row r="2195" ht="15" customHeight="1" spans="1:23" x14ac:dyDescent="0.25">
      <c r="A2195" s="17" t="s">
        <v>6597</v>
      </c>
      <c r="B2195" s="17" t="s">
        <v>70</v>
      </c>
      <c r="C2195" s="17" t="s">
        <v>71</v>
      </c>
      <c r="D2195" t="s">
        <v>6598</v>
      </c>
      <c r="F2195" t="s">
        <v>6598</v>
      </c>
      <c r="K2195" s="18">
        <f>6281234163036</f>
        <v>6281234163036</v>
      </c>
      <c r="N2195" s="17" t="s">
        <v>81</v>
      </c>
      <c r="U2195" s="17"/>
      <c r="V2195" s="18">
        <f>6281234163036</f>
        <v>6281234163036</v>
      </c>
      <c r="W2195" t="s">
        <v>6599</v>
      </c>
    </row>
    <row r="2196" ht="15" customHeight="1" spans="1:28" x14ac:dyDescent="0.25">
      <c r="A2196" s="17" t="s">
        <v>6600</v>
      </c>
      <c r="B2196" s="17" t="s">
        <v>70</v>
      </c>
      <c r="C2196" s="17" t="s">
        <v>71</v>
      </c>
      <c r="D2196" t="s">
        <v>6601</v>
      </c>
      <c r="F2196" t="s">
        <v>6602</v>
      </c>
      <c r="J2196" t="s">
        <v>115</v>
      </c>
      <c r="K2196" s="18" t="s">
        <v>6603</v>
      </c>
      <c r="N2196" s="17" t="s">
        <v>77</v>
      </c>
      <c r="O2196" t="s">
        <v>117</v>
      </c>
      <c r="V2196" s="18" t="s">
        <v>6603</v>
      </c>
      <c r="Y2196" t="s">
        <v>3140</v>
      </c>
      <c r="AA2196" t="s">
        <v>115</v>
      </c>
      <c r="AB2196" t="s">
        <v>3140</v>
      </c>
    </row>
    <row r="2197" ht="15" customHeight="1" spans="1:23" x14ac:dyDescent="0.25">
      <c r="A2197" s="17" t="s">
        <v>6604</v>
      </c>
      <c r="B2197" s="17" t="s">
        <v>70</v>
      </c>
      <c r="C2197" s="17" t="s">
        <v>71</v>
      </c>
      <c r="D2197" t="s">
        <v>6601</v>
      </c>
      <c r="F2197" t="s">
        <v>6605</v>
      </c>
      <c r="K2197" s="18">
        <f>6613601961294</f>
        <v>6613601961294</v>
      </c>
      <c r="N2197" s="17" t="s">
        <v>77</v>
      </c>
      <c r="U2197" s="17"/>
      <c r="V2197" s="18">
        <f>6613601961294</f>
        <v>6613601961294</v>
      </c>
      <c r="W2197" t="s">
        <v>3140</v>
      </c>
    </row>
    <row r="2198" ht="15" customHeight="1" spans="1:28" x14ac:dyDescent="0.25">
      <c r="A2198" s="17" t="s">
        <v>6606</v>
      </c>
      <c r="B2198" s="17" t="s">
        <v>70</v>
      </c>
      <c r="C2198" s="17" t="s">
        <v>71</v>
      </c>
      <c r="D2198" t="s">
        <v>6607</v>
      </c>
      <c r="F2198" t="s">
        <v>6608</v>
      </c>
      <c r="J2198" s="17" t="s">
        <v>6609</v>
      </c>
      <c r="K2198" s="18" t="s">
        <v>6610</v>
      </c>
      <c r="N2198" s="17" t="s">
        <v>77</v>
      </c>
      <c r="O2198" t="s">
        <v>117</v>
      </c>
      <c r="U2198" s="17"/>
      <c r="V2198" s="18" t="s">
        <v>6610</v>
      </c>
      <c r="W2198" t="s">
        <v>3140</v>
      </c>
      <c r="Y2198" t="s">
        <v>3140</v>
      </c>
      <c r="AA2198" t="s">
        <v>115</v>
      </c>
      <c r="AB2198" t="s">
        <v>3140</v>
      </c>
    </row>
    <row r="2199" ht="15" customHeight="1" spans="1:28" x14ac:dyDescent="0.25">
      <c r="A2199" s="17" t="s">
        <v>6611</v>
      </c>
      <c r="B2199" s="17" t="s">
        <v>70</v>
      </c>
      <c r="C2199" s="17" t="s">
        <v>71</v>
      </c>
      <c r="D2199" t="s">
        <v>6601</v>
      </c>
      <c r="F2199" t="s">
        <v>6612</v>
      </c>
      <c r="J2199" s="17" t="s">
        <v>6613</v>
      </c>
      <c r="K2199" s="18" t="s">
        <v>6614</v>
      </c>
      <c r="N2199" s="17" t="s">
        <v>77</v>
      </c>
      <c r="O2199" t="s">
        <v>117</v>
      </c>
      <c r="U2199" s="17"/>
      <c r="V2199" s="18" t="s">
        <v>6614</v>
      </c>
      <c r="W2199" t="s">
        <v>3140</v>
      </c>
      <c r="Y2199" t="s">
        <v>3140</v>
      </c>
      <c r="AA2199" t="s">
        <v>115</v>
      </c>
      <c r="AB2199" t="s">
        <v>3140</v>
      </c>
    </row>
    <row r="2200" ht="15" customHeight="1" spans="1:23" x14ac:dyDescent="0.25">
      <c r="A2200" s="17" t="s">
        <v>6615</v>
      </c>
      <c r="B2200" s="17" t="s">
        <v>70</v>
      </c>
      <c r="C2200" s="17" t="s">
        <v>71</v>
      </c>
      <c r="D2200" t="s">
        <v>6616</v>
      </c>
      <c r="F2200" t="s">
        <v>1754</v>
      </c>
      <c r="J2200" s="17" t="s">
        <v>6617</v>
      </c>
      <c r="K2200" s="18">
        <f>6281296771434</f>
        <v>6281296771434</v>
      </c>
      <c r="N2200" s="17" t="s">
        <v>77</v>
      </c>
      <c r="U2200" s="17"/>
      <c r="V2200" s="18">
        <f>6281296771434</f>
        <v>6281296771434</v>
      </c>
      <c r="W2200" t="s">
        <v>6618</v>
      </c>
    </row>
    <row r="2201" ht="15" customHeight="1" spans="1:28" x14ac:dyDescent="0.25">
      <c r="A2201" s="17" t="s">
        <v>6619</v>
      </c>
      <c r="B2201" s="17" t="s">
        <v>70</v>
      </c>
      <c r="C2201" s="17" t="s">
        <v>71</v>
      </c>
      <c r="D2201" t="s">
        <v>6620</v>
      </c>
      <c r="F2201" t="s">
        <v>6621</v>
      </c>
      <c r="J2201" t="s">
        <v>115</v>
      </c>
      <c r="K2201" s="18" t="s">
        <v>6622</v>
      </c>
      <c r="N2201" s="17" t="s">
        <v>77</v>
      </c>
      <c r="O2201" t="s">
        <v>145</v>
      </c>
      <c r="V2201" s="18" t="s">
        <v>6622</v>
      </c>
      <c r="Y2201" t="s">
        <v>115</v>
      </c>
      <c r="AA2201" t="s">
        <v>115</v>
      </c>
      <c r="AB2201" t="s">
        <v>3140</v>
      </c>
    </row>
    <row r="2202" ht="15" customHeight="1" spans="1:27" x14ac:dyDescent="0.25">
      <c r="A2202" s="17" t="s">
        <v>6623</v>
      </c>
      <c r="B2202" s="17" t="s">
        <v>70</v>
      </c>
      <c r="C2202" s="17" t="s">
        <v>71</v>
      </c>
      <c r="D2202" t="s">
        <v>6624</v>
      </c>
      <c r="F2202" t="s">
        <v>6625</v>
      </c>
      <c r="K2202" s="18">
        <f>62213926060</f>
        <v>62213926060</v>
      </c>
      <c r="N2202" s="17" t="s">
        <v>77</v>
      </c>
      <c r="U2202" s="17"/>
      <c r="V2202" s="18">
        <f>62213926060</f>
        <v>62213926060</v>
      </c>
      <c r="W2202" t="s">
        <v>6626</v>
      </c>
      <c r="Y2202" s="17" t="s">
        <v>378</v>
      </c>
      <c r="AA2202" s="17">
        <v>10340</v>
      </c>
    </row>
    <row r="2203" ht="15" customHeight="1" spans="1:23" x14ac:dyDescent="0.25">
      <c r="A2203" s="17" t="s">
        <v>6627</v>
      </c>
      <c r="B2203" s="17" t="s">
        <v>70</v>
      </c>
      <c r="C2203" s="17" t="s">
        <v>71</v>
      </c>
      <c r="D2203" t="s">
        <v>6628</v>
      </c>
      <c r="F2203" t="s">
        <v>6629</v>
      </c>
      <c r="K2203" s="18">
        <f>528341445401</f>
        <v>528341445401</v>
      </c>
      <c r="N2203" s="17" t="s">
        <v>77</v>
      </c>
      <c r="U2203" s="17"/>
      <c r="V2203" s="18">
        <f>528341445401</f>
        <v>528341445401</v>
      </c>
      <c r="W2203" t="s">
        <v>1310</v>
      </c>
    </row>
    <row r="2204" ht="15" customHeight="1" spans="1:28" x14ac:dyDescent="0.25">
      <c r="A2204" s="17" t="s">
        <v>6630</v>
      </c>
      <c r="B2204" s="17" t="s">
        <v>70</v>
      </c>
      <c r="C2204" s="17" t="s">
        <v>71</v>
      </c>
      <c r="D2204" t="s">
        <v>4674</v>
      </c>
      <c r="F2204" t="s">
        <v>6631</v>
      </c>
      <c r="J2204" s="17" t="s">
        <v>6632</v>
      </c>
      <c r="K2204" s="18" t="s">
        <v>6633</v>
      </c>
      <c r="N2204" s="17" t="s">
        <v>77</v>
      </c>
      <c r="O2204" t="s">
        <v>199</v>
      </c>
      <c r="U2204" s="17"/>
      <c r="V2204" s="18" t="s">
        <v>6633</v>
      </c>
      <c r="W2204" t="s">
        <v>6634</v>
      </c>
      <c r="Y2204" s="17" t="s">
        <v>190</v>
      </c>
      <c r="AA2204" t="s">
        <v>118</v>
      </c>
      <c r="AB2204" t="s">
        <v>119</v>
      </c>
    </row>
    <row r="2205" ht="15" customHeight="1" spans="1:22" x14ac:dyDescent="0.25">
      <c r="A2205" s="17" t="s">
        <v>6635</v>
      </c>
      <c r="B2205" s="17" t="s">
        <v>70</v>
      </c>
      <c r="C2205" s="17" t="s">
        <v>71</v>
      </c>
      <c r="D2205" t="s">
        <v>6636</v>
      </c>
      <c r="F2205" t="s">
        <v>6157</v>
      </c>
      <c r="K2205" s="18">
        <f>6281341455543</f>
        <v>6281341455543</v>
      </c>
      <c r="N2205" s="17" t="s">
        <v>74</v>
      </c>
      <c r="V2205" s="18">
        <f>6281341455543</f>
        <v>6281341455543</v>
      </c>
    </row>
    <row r="2206" ht="15" customHeight="1" spans="1:28" x14ac:dyDescent="0.25">
      <c r="A2206" s="17" t="s">
        <v>6637</v>
      </c>
      <c r="B2206" s="17" t="s">
        <v>70</v>
      </c>
      <c r="C2206" s="17" t="s">
        <v>71</v>
      </c>
      <c r="D2206" t="s">
        <v>6638</v>
      </c>
      <c r="F2206" t="s">
        <v>6639</v>
      </c>
      <c r="J2206" t="s">
        <v>115</v>
      </c>
      <c r="K2206" s="18" t="s">
        <v>6640</v>
      </c>
      <c r="N2206" s="17" t="s">
        <v>77</v>
      </c>
      <c r="O2206" t="s">
        <v>145</v>
      </c>
      <c r="V2206" s="18" t="s">
        <v>6640</v>
      </c>
      <c r="Y2206" t="s">
        <v>90</v>
      </c>
      <c r="AA2206" t="s">
        <v>118</v>
      </c>
      <c r="AB2206" t="s">
        <v>119</v>
      </c>
    </row>
    <row r="2207" ht="15" customHeight="1" spans="1:22" x14ac:dyDescent="0.25">
      <c r="A2207" s="17" t="s">
        <v>6641</v>
      </c>
      <c r="B2207" s="17" t="s">
        <v>70</v>
      </c>
      <c r="C2207" s="17" t="s">
        <v>71</v>
      </c>
      <c r="D2207" t="s">
        <v>6642</v>
      </c>
      <c r="F2207" t="s">
        <v>6642</v>
      </c>
      <c r="K2207" s="18">
        <f>6282213879053</f>
        <v>6282213879053</v>
      </c>
      <c r="N2207" s="17" t="s">
        <v>77</v>
      </c>
      <c r="V2207" s="18">
        <f>6282213879053</f>
        <v>6282213879053</v>
      </c>
    </row>
    <row r="2208" ht="15" customHeight="1" spans="1:28" x14ac:dyDescent="0.25">
      <c r="A2208" s="17" t="s">
        <v>6643</v>
      </c>
      <c r="B2208" s="17" t="s">
        <v>70</v>
      </c>
      <c r="C2208" s="17" t="s">
        <v>71</v>
      </c>
      <c r="D2208" t="s">
        <v>6642</v>
      </c>
      <c r="F2208" t="s">
        <v>184</v>
      </c>
      <c r="J2208" t="s">
        <v>6644</v>
      </c>
      <c r="K2208" s="18" t="s">
        <v>6645</v>
      </c>
      <c r="N2208" s="17" t="s">
        <v>77</v>
      </c>
      <c r="O2208" t="s">
        <v>117</v>
      </c>
      <c r="U2208" s="17"/>
      <c r="V2208" s="18" t="s">
        <v>6645</v>
      </c>
      <c r="W2208" t="s">
        <v>6646</v>
      </c>
      <c r="Y2208" t="s">
        <v>6647</v>
      </c>
      <c r="AA2208" t="s">
        <v>115</v>
      </c>
      <c r="AB2208" t="s">
        <v>119</v>
      </c>
    </row>
    <row r="2209" ht="15" customHeight="1" spans="1:28" x14ac:dyDescent="0.25">
      <c r="A2209" s="17" t="s">
        <v>6648</v>
      </c>
      <c r="B2209" s="17" t="s">
        <v>70</v>
      </c>
      <c r="C2209" s="17" t="s">
        <v>71</v>
      </c>
      <c r="D2209" t="s">
        <v>6642</v>
      </c>
      <c r="F2209" t="s">
        <v>6649</v>
      </c>
      <c r="J2209" t="s">
        <v>115</v>
      </c>
      <c r="K2209" s="18" t="s">
        <v>6650</v>
      </c>
      <c r="N2209" s="17" t="s">
        <v>77</v>
      </c>
      <c r="O2209" t="s">
        <v>117</v>
      </c>
      <c r="V2209" s="18" t="s">
        <v>6650</v>
      </c>
      <c r="Y2209" t="s">
        <v>90</v>
      </c>
      <c r="AA2209" t="s">
        <v>118</v>
      </c>
      <c r="AB2209" t="s">
        <v>119</v>
      </c>
    </row>
    <row r="2210" ht="15" customHeight="1" spans="1:22" x14ac:dyDescent="0.25">
      <c r="A2210" s="17" t="s">
        <v>6651</v>
      </c>
      <c r="B2210" s="17" t="s">
        <v>70</v>
      </c>
      <c r="C2210" s="17" t="s">
        <v>71</v>
      </c>
      <c r="D2210" t="s">
        <v>6642</v>
      </c>
      <c r="F2210" t="s">
        <v>6652</v>
      </c>
      <c r="K2210" s="18">
        <f>628111777612</f>
        <v>628111777612</v>
      </c>
      <c r="N2210" s="17" t="s">
        <v>81</v>
      </c>
      <c r="V2210" s="18">
        <f>628111777612</f>
        <v>628111777612</v>
      </c>
    </row>
    <row r="2211" ht="15" customHeight="1" spans="1:23" x14ac:dyDescent="0.25">
      <c r="A2211" s="17" t="s">
        <v>6653</v>
      </c>
      <c r="B2211" s="17" t="s">
        <v>70</v>
      </c>
      <c r="C2211" s="17" t="s">
        <v>71</v>
      </c>
      <c r="D2211" t="s">
        <v>6654</v>
      </c>
      <c r="F2211" t="s">
        <v>6655</v>
      </c>
      <c r="K2211" s="18">
        <f>6281290225050</f>
        <v>6281290225050</v>
      </c>
      <c r="N2211" s="17" t="s">
        <v>81</v>
      </c>
      <c r="U2211" s="17"/>
      <c r="V2211" s="18">
        <f>6281290225050</f>
        <v>6281290225050</v>
      </c>
      <c r="W2211" t="s">
        <v>6656</v>
      </c>
    </row>
    <row r="2212" ht="15" customHeight="1" spans="1:25" x14ac:dyDescent="0.25">
      <c r="A2212" s="17" t="s">
        <v>6657</v>
      </c>
      <c r="B2212" s="17" t="s">
        <v>70</v>
      </c>
      <c r="C2212" s="17" t="s">
        <v>71</v>
      </c>
      <c r="D2212" t="s">
        <v>6658</v>
      </c>
      <c r="F2212" t="s">
        <v>6659</v>
      </c>
      <c r="K2212" s="18">
        <f>6281382326333</f>
        <v>6281382326333</v>
      </c>
      <c r="N2212" s="17" t="s">
        <v>81</v>
      </c>
      <c r="U2212" s="17"/>
      <c r="V2212" s="18">
        <f>6281382326333</f>
        <v>6281382326333</v>
      </c>
      <c r="W2212" t="s">
        <v>6660</v>
      </c>
      <c r="Y2212" s="17" t="s">
        <v>90</v>
      </c>
    </row>
    <row r="2213" ht="15" customHeight="1" spans="1:23" x14ac:dyDescent="0.25">
      <c r="A2213" s="17" t="s">
        <v>6661</v>
      </c>
      <c r="B2213" s="17" t="s">
        <v>70</v>
      </c>
      <c r="C2213" s="17" t="s">
        <v>71</v>
      </c>
      <c r="D2213" t="s">
        <v>6662</v>
      </c>
      <c r="F2213" t="s">
        <v>1754</v>
      </c>
      <c r="K2213" s="18">
        <f>6285770467180</f>
        <v>6285770467180</v>
      </c>
      <c r="N2213" s="17" t="s">
        <v>77</v>
      </c>
      <c r="U2213" s="17"/>
      <c r="V2213" s="18">
        <f>6285770467180</f>
        <v>6285770467180</v>
      </c>
      <c r="W2213" t="s">
        <v>6663</v>
      </c>
    </row>
    <row r="2214" ht="15" customHeight="1" spans="1:23" x14ac:dyDescent="0.25">
      <c r="A2214" s="17" t="s">
        <v>6664</v>
      </c>
      <c r="B2214" s="17" t="s">
        <v>70</v>
      </c>
      <c r="C2214" s="17" t="s">
        <v>71</v>
      </c>
      <c r="D2214" t="s">
        <v>6665</v>
      </c>
      <c r="F2214" t="s">
        <v>6665</v>
      </c>
      <c r="K2214" s="18">
        <f>62810102025</f>
        <v>62810102025</v>
      </c>
      <c r="N2214" s="17" t="s">
        <v>77</v>
      </c>
      <c r="U2214" s="17"/>
      <c r="V2214" s="18">
        <f>62810102025</f>
        <v>62810102025</v>
      </c>
      <c r="W2214" t="s">
        <v>6666</v>
      </c>
    </row>
    <row r="2215" ht="15" customHeight="1" spans="1:28" x14ac:dyDescent="0.25">
      <c r="A2215" s="17" t="s">
        <v>6667</v>
      </c>
      <c r="B2215" s="17" t="s">
        <v>70</v>
      </c>
      <c r="C2215" s="17" t="s">
        <v>71</v>
      </c>
      <c r="D2215" t="s">
        <v>2159</v>
      </c>
      <c r="F2215" t="s">
        <v>6668</v>
      </c>
      <c r="J2215" t="s">
        <v>115</v>
      </c>
      <c r="K2215" s="18" t="s">
        <v>6669</v>
      </c>
      <c r="N2215" s="17" t="s">
        <v>77</v>
      </c>
      <c r="O2215" t="s">
        <v>145</v>
      </c>
      <c r="V2215" s="18" t="s">
        <v>6669</v>
      </c>
      <c r="Y2215" t="s">
        <v>90</v>
      </c>
      <c r="AA2215" s="17" t="s">
        <v>118</v>
      </c>
      <c r="AB2215" t="s">
        <v>119</v>
      </c>
    </row>
    <row r="2216" ht="15" customHeight="1" spans="1:27" x14ac:dyDescent="0.25">
      <c r="A2216" s="17" t="s">
        <v>6670</v>
      </c>
      <c r="B2216" s="17" t="s">
        <v>70</v>
      </c>
      <c r="C2216" s="17" t="s">
        <v>71</v>
      </c>
      <c r="D2216" t="s">
        <v>6668</v>
      </c>
      <c r="F2216" t="s">
        <v>6671</v>
      </c>
      <c r="J2216" s="17" t="s">
        <v>6672</v>
      </c>
      <c r="K2216" s="18">
        <f>6281320222282</f>
        <v>6281320222282</v>
      </c>
      <c r="N2216" s="17" t="s">
        <v>77</v>
      </c>
      <c r="U2216" s="17"/>
      <c r="V2216" s="18">
        <f>6281320222282</f>
        <v>6281320222282</v>
      </c>
      <c r="W2216" t="s">
        <v>6673</v>
      </c>
      <c r="AA2216" s="17">
        <v>80362</v>
      </c>
    </row>
    <row r="2217" ht="15" customHeight="1" spans="1:22" x14ac:dyDescent="0.25">
      <c r="A2217" s="17" t="s">
        <v>6674</v>
      </c>
      <c r="B2217" s="17" t="s">
        <v>70</v>
      </c>
      <c r="C2217" s="17" t="s">
        <v>71</v>
      </c>
      <c r="D2217" t="s">
        <v>6668</v>
      </c>
      <c r="F2217" t="s">
        <v>1385</v>
      </c>
      <c r="K2217" s="18">
        <f>6285217603811</f>
        <v>6285217603811</v>
      </c>
      <c r="N2217" s="17" t="s">
        <v>77</v>
      </c>
      <c r="V2217" s="18">
        <f>6285217603811</f>
        <v>6285217603811</v>
      </c>
    </row>
    <row r="2218" ht="15" customHeight="1" spans="1:28" x14ac:dyDescent="0.25">
      <c r="A2218" s="17" t="s">
        <v>6675</v>
      </c>
      <c r="B2218" s="17" t="s">
        <v>70</v>
      </c>
      <c r="C2218" s="17" t="s">
        <v>71</v>
      </c>
      <c r="D2218" t="s">
        <v>6668</v>
      </c>
      <c r="F2218" t="s">
        <v>6676</v>
      </c>
      <c r="J2218" s="17" t="s">
        <v>6677</v>
      </c>
      <c r="K2218" s="18" t="s">
        <v>6678</v>
      </c>
      <c r="N2218" s="17" t="s">
        <v>77</v>
      </c>
      <c r="O2218" t="s">
        <v>117</v>
      </c>
      <c r="V2218" s="18" t="s">
        <v>6678</v>
      </c>
      <c r="Y2218" s="17" t="s">
        <v>90</v>
      </c>
      <c r="AA2218" t="s">
        <v>115</v>
      </c>
      <c r="AB2218" t="s">
        <v>119</v>
      </c>
    </row>
    <row r="2219" ht="15" customHeight="1" spans="1:22" x14ac:dyDescent="0.25">
      <c r="A2219" s="17" t="s">
        <v>6679</v>
      </c>
      <c r="B2219" s="17" t="s">
        <v>70</v>
      </c>
      <c r="C2219" s="17" t="s">
        <v>71</v>
      </c>
      <c r="D2219" t="s">
        <v>6680</v>
      </c>
      <c r="F2219" t="s">
        <v>6680</v>
      </c>
      <c r="K2219" s="18">
        <f>6281289897772</f>
        <v>6281289897772</v>
      </c>
      <c r="N2219" s="17" t="s">
        <v>81</v>
      </c>
      <c r="V2219" s="18">
        <f>6281289897772</f>
        <v>6281289897772</v>
      </c>
    </row>
    <row r="2220" ht="15" customHeight="1" spans="1:28" x14ac:dyDescent="0.25">
      <c r="A2220" s="17" t="s">
        <v>6681</v>
      </c>
      <c r="B2220" s="17" t="s">
        <v>70</v>
      </c>
      <c r="C2220" s="17" t="s">
        <v>71</v>
      </c>
      <c r="D2220" t="s">
        <v>6680</v>
      </c>
      <c r="F2220" t="s">
        <v>6682</v>
      </c>
      <c r="J2220" t="s">
        <v>115</v>
      </c>
      <c r="K2220" s="18" t="s">
        <v>6683</v>
      </c>
      <c r="N2220" s="17" t="s">
        <v>77</v>
      </c>
      <c r="O2220" t="s">
        <v>489</v>
      </c>
      <c r="V2220" s="18" t="s">
        <v>6683</v>
      </c>
      <c r="Y2220" t="s">
        <v>90</v>
      </c>
      <c r="AA2220" t="s">
        <v>118</v>
      </c>
      <c r="AB2220" t="s">
        <v>119</v>
      </c>
    </row>
    <row r="2221" ht="15" customHeight="1" spans="1:25" x14ac:dyDescent="0.25">
      <c r="A2221" s="17" t="s">
        <v>6684</v>
      </c>
      <c r="B2221" s="17" t="s">
        <v>70</v>
      </c>
      <c r="C2221" s="17" t="s">
        <v>71</v>
      </c>
      <c r="D2221" t="s">
        <v>6685</v>
      </c>
      <c r="F2221" t="s">
        <v>6685</v>
      </c>
      <c r="K2221" s="18">
        <f>62811172567</f>
        <v>62811172567</v>
      </c>
      <c r="N2221" s="17" t="s">
        <v>77</v>
      </c>
      <c r="U2221" s="17"/>
      <c r="V2221" s="18">
        <f>62811172567</f>
        <v>62811172567</v>
      </c>
      <c r="W2221" t="s">
        <v>6686</v>
      </c>
      <c r="Y2221" s="17" t="s">
        <v>96</v>
      </c>
    </row>
    <row r="2222" ht="15" customHeight="1" spans="1:25" x14ac:dyDescent="0.25">
      <c r="A2222" s="17" t="s">
        <v>6687</v>
      </c>
      <c r="B2222" s="17" t="s">
        <v>70</v>
      </c>
      <c r="C2222" s="17" t="s">
        <v>71</v>
      </c>
      <c r="D2222" t="s">
        <v>6688</v>
      </c>
      <c r="F2222" t="s">
        <v>1269</v>
      </c>
      <c r="K2222" s="18">
        <f>6282190796183</f>
        <v>6282190796183</v>
      </c>
      <c r="N2222" s="17" t="s">
        <v>77</v>
      </c>
      <c r="U2222" s="17"/>
      <c r="V2222" s="18">
        <f>6282190796183</f>
        <v>6282190796183</v>
      </c>
      <c r="W2222" t="s">
        <v>6689</v>
      </c>
      <c r="Y2222" s="17" t="s">
        <v>6690</v>
      </c>
    </row>
    <row r="2223" ht="15" customHeight="1" spans="1:22" x14ac:dyDescent="0.25">
      <c r="A2223" s="17" t="s">
        <v>6691</v>
      </c>
      <c r="B2223" s="17" t="s">
        <v>70</v>
      </c>
      <c r="C2223" s="17" t="s">
        <v>71</v>
      </c>
      <c r="D2223" t="s">
        <v>6692</v>
      </c>
      <c r="F2223" t="s">
        <v>6693</v>
      </c>
      <c r="K2223" s="18">
        <f>13700020075</f>
        <v>13700020075</v>
      </c>
      <c r="N2223" s="17" t="s">
        <v>81</v>
      </c>
      <c r="V2223" s="18">
        <f>13700020075</f>
        <v>13700020075</v>
      </c>
    </row>
    <row r="2224" ht="15" customHeight="1" spans="1:22" x14ac:dyDescent="0.25">
      <c r="A2224" s="17" t="s">
        <v>6694</v>
      </c>
      <c r="B2224" s="17" t="s">
        <v>70</v>
      </c>
      <c r="C2224" s="17" t="s">
        <v>71</v>
      </c>
      <c r="D2224" t="s">
        <v>6692</v>
      </c>
      <c r="F2224" t="s">
        <v>5890</v>
      </c>
      <c r="K2224" s="18">
        <f>861811582277</f>
        <v>861811582277</v>
      </c>
      <c r="N2224" s="17" t="s">
        <v>77</v>
      </c>
      <c r="V2224" s="18">
        <f>861811582277</f>
        <v>861811582277</v>
      </c>
    </row>
    <row r="2225" ht="15" customHeight="1" spans="1:23" x14ac:dyDescent="0.25">
      <c r="A2225" s="17" t="s">
        <v>6695</v>
      </c>
      <c r="B2225" s="17" t="s">
        <v>70</v>
      </c>
      <c r="C2225" s="17" t="s">
        <v>71</v>
      </c>
      <c r="D2225" t="s">
        <v>6696</v>
      </c>
      <c r="F2225" t="s">
        <v>6697</v>
      </c>
      <c r="K2225" s="18">
        <f>6113514255999</f>
        <v>6113514255999</v>
      </c>
      <c r="N2225" s="17" t="s">
        <v>77</v>
      </c>
      <c r="U2225" s="17"/>
      <c r="V2225" s="18">
        <f>6113514255999</f>
        <v>6113514255999</v>
      </c>
      <c r="W2225" t="s">
        <v>3140</v>
      </c>
    </row>
    <row r="2226" ht="15" customHeight="1" spans="1:28" x14ac:dyDescent="0.25">
      <c r="A2226" s="17" t="s">
        <v>6698</v>
      </c>
      <c r="B2226" s="17" t="s">
        <v>70</v>
      </c>
      <c r="C2226" s="17" t="s">
        <v>71</v>
      </c>
      <c r="D2226" t="s">
        <v>6699</v>
      </c>
      <c r="F2226" t="s">
        <v>6700</v>
      </c>
      <c r="J2226" t="s">
        <v>115</v>
      </c>
      <c r="K2226" s="18" t="s">
        <v>6701</v>
      </c>
      <c r="N2226" s="17" t="s">
        <v>77</v>
      </c>
      <c r="O2226" t="s">
        <v>199</v>
      </c>
      <c r="V2226" s="18" t="s">
        <v>6701</v>
      </c>
      <c r="Y2226" t="s">
        <v>90</v>
      </c>
      <c r="AA2226" t="s">
        <v>118</v>
      </c>
      <c r="AB2226" t="s">
        <v>119</v>
      </c>
    </row>
    <row r="2227" ht="15" customHeight="1" spans="1:22" x14ac:dyDescent="0.25">
      <c r="A2227" s="17" t="s">
        <v>6702</v>
      </c>
      <c r="B2227" s="17" t="s">
        <v>70</v>
      </c>
      <c r="C2227" s="17" t="s">
        <v>71</v>
      </c>
      <c r="D2227" t="s">
        <v>6703</v>
      </c>
      <c r="F2227" t="s">
        <v>301</v>
      </c>
      <c r="K2227" s="18">
        <f>62811983284</f>
        <v>62811983284</v>
      </c>
      <c r="N2227" s="17" t="s">
        <v>77</v>
      </c>
      <c r="V2227" s="18">
        <f>62811983284</f>
        <v>62811983284</v>
      </c>
    </row>
    <row r="2228" ht="15" customHeight="1" spans="1:22" x14ac:dyDescent="0.25">
      <c r="A2228" s="17" t="s">
        <v>6704</v>
      </c>
      <c r="B2228" s="17" t="s">
        <v>70</v>
      </c>
      <c r="C2228" s="17" t="s">
        <v>71</v>
      </c>
      <c r="D2228" t="s">
        <v>6705</v>
      </c>
      <c r="F2228" t="s">
        <v>6705</v>
      </c>
      <c r="K2228" s="18">
        <f>628114711990</f>
        <v>628114711990</v>
      </c>
      <c r="N2228" s="17" t="s">
        <v>77</v>
      </c>
      <c r="V2228" s="18">
        <f>628114711990</f>
        <v>628114711990</v>
      </c>
    </row>
    <row r="2229" ht="15" customHeight="1" spans="1:25" x14ac:dyDescent="0.25">
      <c r="A2229" s="17" t="s">
        <v>6706</v>
      </c>
      <c r="B2229" s="17" t="s">
        <v>70</v>
      </c>
      <c r="C2229" s="17" t="s">
        <v>71</v>
      </c>
      <c r="D2229" t="s">
        <v>6707</v>
      </c>
      <c r="F2229" t="s">
        <v>6708</v>
      </c>
      <c r="J2229" s="17" t="s">
        <v>6709</v>
      </c>
      <c r="K2229" s="18">
        <f>62811978914</f>
        <v>62811978914</v>
      </c>
      <c r="N2229" s="17" t="s">
        <v>77</v>
      </c>
      <c r="U2229" s="17"/>
      <c r="V2229" s="18">
        <f>62811978914</f>
        <v>62811978914</v>
      </c>
      <c r="W2229" t="s">
        <v>6710</v>
      </c>
      <c r="Y2229" s="17" t="s">
        <v>6711</v>
      </c>
    </row>
    <row r="2230" ht="15" customHeight="1" spans="1:28" x14ac:dyDescent="0.25">
      <c r="A2230" s="17" t="s">
        <v>6712</v>
      </c>
      <c r="B2230" s="17" t="s">
        <v>70</v>
      </c>
      <c r="C2230" s="17" t="s">
        <v>71</v>
      </c>
      <c r="D2230" t="s">
        <v>6713</v>
      </c>
      <c r="F2230" t="s">
        <v>6714</v>
      </c>
      <c r="J2230" t="s">
        <v>115</v>
      </c>
      <c r="K2230" s="18" t="s">
        <v>6715</v>
      </c>
      <c r="N2230" s="17" t="s">
        <v>77</v>
      </c>
      <c r="O2230" t="s">
        <v>117</v>
      </c>
      <c r="V2230" s="18" t="s">
        <v>6715</v>
      </c>
      <c r="Y2230" t="s">
        <v>90</v>
      </c>
      <c r="AA2230" t="s">
        <v>118</v>
      </c>
      <c r="AB2230" t="s">
        <v>119</v>
      </c>
    </row>
    <row r="2231" ht="15" customHeight="1" spans="1:22" x14ac:dyDescent="0.25">
      <c r="A2231" s="17" t="s">
        <v>6716</v>
      </c>
      <c r="B2231" s="17" t="s">
        <v>70</v>
      </c>
      <c r="C2231" s="17" t="s">
        <v>71</v>
      </c>
      <c r="D2231" t="s">
        <v>6717</v>
      </c>
      <c r="F2231" t="s">
        <v>6717</v>
      </c>
      <c r="K2231" s="18">
        <f>628111635825</f>
        <v>628111635825</v>
      </c>
      <c r="N2231" s="17" t="s">
        <v>77</v>
      </c>
      <c r="V2231" s="18">
        <f>628111635825</f>
        <v>628111635825</v>
      </c>
    </row>
    <row r="2232" ht="15" customHeight="1" spans="1:28" x14ac:dyDescent="0.25">
      <c r="A2232" s="17" t="s">
        <v>6718</v>
      </c>
      <c r="B2232" s="17" t="s">
        <v>70</v>
      </c>
      <c r="C2232" s="17" t="s">
        <v>71</v>
      </c>
      <c r="D2232" t="s">
        <v>6717</v>
      </c>
      <c r="F2232" t="s">
        <v>6719</v>
      </c>
      <c r="J2232" t="s">
        <v>115</v>
      </c>
      <c r="K2232" s="18" t="s">
        <v>6720</v>
      </c>
      <c r="N2232" s="17" t="s">
        <v>77</v>
      </c>
      <c r="O2232" t="s">
        <v>117</v>
      </c>
      <c r="V2232" s="18" t="s">
        <v>6720</v>
      </c>
      <c r="Y2232" t="s">
        <v>190</v>
      </c>
      <c r="AA2232" t="s">
        <v>118</v>
      </c>
      <c r="AB2232" t="s">
        <v>119</v>
      </c>
    </row>
    <row r="2233" ht="15" customHeight="1" spans="1:22" x14ac:dyDescent="0.25">
      <c r="A2233" s="17" t="s">
        <v>6721</v>
      </c>
      <c r="B2233" s="17" t="s">
        <v>70</v>
      </c>
      <c r="C2233" s="17" t="s">
        <v>71</v>
      </c>
      <c r="D2233" t="s">
        <v>6722</v>
      </c>
      <c r="F2233" t="s">
        <v>6723</v>
      </c>
      <c r="K2233" s="18">
        <f>628119772886</f>
        <v>628119772886</v>
      </c>
      <c r="N2233" s="17" t="s">
        <v>81</v>
      </c>
      <c r="V2233" s="18">
        <f>628119772886</f>
        <v>628119772886</v>
      </c>
    </row>
    <row r="2234" ht="15" customHeight="1" spans="1:23" x14ac:dyDescent="0.25">
      <c r="A2234" s="17" t="s">
        <v>6724</v>
      </c>
      <c r="B2234" s="17" t="s">
        <v>70</v>
      </c>
      <c r="C2234" s="17" t="s">
        <v>71</v>
      </c>
      <c r="D2234" t="s">
        <v>6722</v>
      </c>
      <c r="F2234" t="s">
        <v>6725</v>
      </c>
      <c r="K2234" s="18">
        <f>628111580333</f>
        <v>628111580333</v>
      </c>
      <c r="N2234" s="17" t="s">
        <v>77</v>
      </c>
      <c r="U2234" s="17"/>
      <c r="V2234" s="18">
        <f>628111580333</f>
        <v>628111580333</v>
      </c>
      <c r="W2234" t="s">
        <v>6726</v>
      </c>
    </row>
    <row r="2235" ht="15" customHeight="1" spans="1:23" x14ac:dyDescent="0.25">
      <c r="A2235" s="17" t="s">
        <v>6727</v>
      </c>
      <c r="B2235" s="17" t="s">
        <v>70</v>
      </c>
      <c r="C2235" s="17" t="s">
        <v>71</v>
      </c>
      <c r="D2235" t="s">
        <v>6728</v>
      </c>
      <c r="F2235" t="s">
        <v>6450</v>
      </c>
      <c r="K2235" s="18">
        <f>6281919106222</f>
        <v>6281919106222</v>
      </c>
      <c r="N2235" s="17" t="s">
        <v>77</v>
      </c>
      <c r="U2235" s="17"/>
      <c r="V2235" s="18">
        <f>6281919106222</f>
        <v>6281919106222</v>
      </c>
      <c r="W2235" t="s">
        <v>762</v>
      </c>
    </row>
    <row r="2236" ht="15" customHeight="1" spans="1:28" x14ac:dyDescent="0.25">
      <c r="A2236" s="17" t="s">
        <v>6729</v>
      </c>
      <c r="B2236" s="17" t="s">
        <v>70</v>
      </c>
      <c r="C2236" s="17" t="s">
        <v>71</v>
      </c>
      <c r="D2236" t="s">
        <v>6730</v>
      </c>
      <c r="F2236" t="s">
        <v>6731</v>
      </c>
      <c r="J2236" s="17" t="s">
        <v>6732</v>
      </c>
      <c r="K2236" s="18" t="s">
        <v>6733</v>
      </c>
      <c r="N2236" s="17" t="s">
        <v>77</v>
      </c>
      <c r="O2236" t="s">
        <v>199</v>
      </c>
      <c r="V2236" s="18" t="s">
        <v>6733</v>
      </c>
      <c r="Y2236" t="s">
        <v>181</v>
      </c>
      <c r="AA2236" t="s">
        <v>1672</v>
      </c>
      <c r="AB2236" t="s">
        <v>119</v>
      </c>
    </row>
    <row r="2237" ht="15" customHeight="1" spans="1:28" x14ac:dyDescent="0.25">
      <c r="A2237" s="17" t="s">
        <v>6734</v>
      </c>
      <c r="B2237" s="17" t="s">
        <v>70</v>
      </c>
      <c r="C2237" s="17" t="s">
        <v>71</v>
      </c>
      <c r="D2237" t="s">
        <v>6730</v>
      </c>
      <c r="F2237" t="s">
        <v>6735</v>
      </c>
      <c r="J2237" t="s">
        <v>115</v>
      </c>
      <c r="K2237" s="18" t="s">
        <v>6736</v>
      </c>
      <c r="N2237" s="17" t="s">
        <v>77</v>
      </c>
      <c r="O2237" t="s">
        <v>199</v>
      </c>
      <c r="V2237" s="18" t="s">
        <v>6736</v>
      </c>
      <c r="Y2237" t="s">
        <v>115</v>
      </c>
      <c r="AA2237" t="s">
        <v>115</v>
      </c>
      <c r="AB2237" t="s">
        <v>6737</v>
      </c>
    </row>
    <row r="2238" ht="15" customHeight="1" spans="1:23" x14ac:dyDescent="0.25">
      <c r="A2238" s="17" t="s">
        <v>6738</v>
      </c>
      <c r="B2238" s="17" t="s">
        <v>70</v>
      </c>
      <c r="C2238" s="17" t="s">
        <v>71</v>
      </c>
      <c r="D2238" t="s">
        <v>6739</v>
      </c>
      <c r="F2238" t="s">
        <v>6740</v>
      </c>
      <c r="K2238" s="18">
        <f>5521981046363</f>
        <v>5521981046363</v>
      </c>
      <c r="N2238" s="17" t="s">
        <v>77</v>
      </c>
      <c r="U2238" s="17"/>
      <c r="V2238" s="18">
        <f>5521981046363</f>
        <v>5521981046363</v>
      </c>
      <c r="W2238" t="s">
        <v>6741</v>
      </c>
    </row>
    <row r="2239" ht="15" customHeight="1" spans="1:22" x14ac:dyDescent="0.25">
      <c r="A2239" s="17" t="s">
        <v>6742</v>
      </c>
      <c r="B2239" s="17" t="s">
        <v>70</v>
      </c>
      <c r="C2239" s="17" t="s">
        <v>71</v>
      </c>
      <c r="D2239" t="s">
        <v>6739</v>
      </c>
      <c r="F2239" t="s">
        <v>6573</v>
      </c>
      <c r="K2239" s="18">
        <f>6281316646257</f>
        <v>6281316646257</v>
      </c>
      <c r="N2239" s="17" t="s">
        <v>77</v>
      </c>
      <c r="V2239" s="18">
        <f>6281316646257</f>
        <v>6281316646257</v>
      </c>
    </row>
    <row r="2240" ht="15" customHeight="1" spans="1:22" x14ac:dyDescent="0.25">
      <c r="A2240" s="17" t="s">
        <v>6743</v>
      </c>
      <c r="B2240" s="17" t="s">
        <v>70</v>
      </c>
      <c r="C2240" s="17" t="s">
        <v>71</v>
      </c>
      <c r="D2240" t="s">
        <v>6739</v>
      </c>
      <c r="F2240" t="s">
        <v>6744</v>
      </c>
      <c r="K2240" s="18">
        <f>628161699479</f>
        <v>628161699479</v>
      </c>
      <c r="N2240" s="17" t="s">
        <v>81</v>
      </c>
      <c r="V2240" s="18">
        <f>628161699479</f>
        <v>628161699479</v>
      </c>
    </row>
    <row r="2241" ht="15" customHeight="1" spans="1:25" x14ac:dyDescent="0.25">
      <c r="A2241" s="17" t="s">
        <v>6745</v>
      </c>
      <c r="B2241" s="17" t="s">
        <v>70</v>
      </c>
      <c r="C2241" s="17" t="s">
        <v>71</v>
      </c>
      <c r="D2241" t="s">
        <v>6746</v>
      </c>
      <c r="F2241" t="s">
        <v>6747</v>
      </c>
      <c r="K2241" s="18">
        <f>62815227221</f>
        <v>62815227221</v>
      </c>
      <c r="N2241" s="17" t="s">
        <v>77</v>
      </c>
      <c r="U2241" s="17"/>
      <c r="V2241" s="18">
        <f>62815227221</f>
        <v>62815227221</v>
      </c>
      <c r="W2241" t="s">
        <v>6748</v>
      </c>
      <c r="Y2241" s="17" t="s">
        <v>90</v>
      </c>
    </row>
    <row r="2242" ht="15" customHeight="1" spans="1:25" x14ac:dyDescent="0.25">
      <c r="A2242" s="17" t="s">
        <v>6749</v>
      </c>
      <c r="B2242" s="17" t="s">
        <v>70</v>
      </c>
      <c r="C2242" s="17" t="s">
        <v>71</v>
      </c>
      <c r="D2242" t="s">
        <v>6750</v>
      </c>
      <c r="F2242" t="s">
        <v>3248</v>
      </c>
      <c r="K2242" s="18">
        <f>628179992979</f>
        <v>628179992979</v>
      </c>
      <c r="N2242" s="17" t="s">
        <v>77</v>
      </c>
      <c r="U2242" s="17"/>
      <c r="V2242" s="18">
        <f>628179992979</f>
        <v>628179992979</v>
      </c>
      <c r="W2242" t="s">
        <v>6751</v>
      </c>
      <c r="Y2242" s="17" t="s">
        <v>90</v>
      </c>
    </row>
    <row r="2243" ht="15" customHeight="1" spans="1:22" x14ac:dyDescent="0.25">
      <c r="A2243" s="17" t="s">
        <v>6752</v>
      </c>
      <c r="B2243" s="17" t="s">
        <v>70</v>
      </c>
      <c r="C2243" s="17" t="s">
        <v>71</v>
      </c>
      <c r="D2243" t="s">
        <v>6753</v>
      </c>
      <c r="F2243" t="s">
        <v>6753</v>
      </c>
      <c r="K2243" s="18">
        <f>628159402818</f>
        <v>628159402818</v>
      </c>
      <c r="N2243" s="17" t="s">
        <v>77</v>
      </c>
      <c r="V2243" s="18">
        <f>628159402818</f>
        <v>628159402818</v>
      </c>
    </row>
    <row r="2244" ht="15" customHeight="1" spans="1:28" x14ac:dyDescent="0.25">
      <c r="A2244" s="17" t="s">
        <v>6754</v>
      </c>
      <c r="B2244" s="17" t="s">
        <v>70</v>
      </c>
      <c r="C2244" s="17" t="s">
        <v>71</v>
      </c>
      <c r="D2244" t="s">
        <v>6753</v>
      </c>
      <c r="F2244" t="s">
        <v>6755</v>
      </c>
      <c r="J2244" t="s">
        <v>115</v>
      </c>
      <c r="K2244" s="18" t="s">
        <v>6756</v>
      </c>
      <c r="N2244" s="17" t="s">
        <v>77</v>
      </c>
      <c r="O2244" t="s">
        <v>145</v>
      </c>
      <c r="V2244" s="18" t="s">
        <v>6756</v>
      </c>
      <c r="Y2244" t="s">
        <v>90</v>
      </c>
      <c r="AA2244" t="s">
        <v>118</v>
      </c>
      <c r="AB2244" t="s">
        <v>119</v>
      </c>
    </row>
    <row r="2245" ht="15" customHeight="1" spans="1:22" x14ac:dyDescent="0.25">
      <c r="A2245" s="17" t="s">
        <v>6757</v>
      </c>
      <c r="B2245" s="17" t="s">
        <v>70</v>
      </c>
      <c r="C2245" s="17" t="s">
        <v>71</v>
      </c>
      <c r="D2245" t="s">
        <v>6753</v>
      </c>
      <c r="F2245" t="s">
        <v>6758</v>
      </c>
      <c r="K2245" s="18">
        <f>6281891141</f>
        <v>6281891141</v>
      </c>
      <c r="N2245" s="17" t="s">
        <v>81</v>
      </c>
      <c r="V2245" s="18">
        <f>6281891141</f>
        <v>6281891141</v>
      </c>
    </row>
    <row r="2246" ht="15" customHeight="1" spans="1:22" x14ac:dyDescent="0.25">
      <c r="A2246" s="17" t="s">
        <v>6759</v>
      </c>
      <c r="B2246" s="17" t="s">
        <v>70</v>
      </c>
      <c r="C2246" s="17" t="s">
        <v>71</v>
      </c>
      <c r="D2246" t="s">
        <v>6753</v>
      </c>
      <c r="F2246" t="s">
        <v>6760</v>
      </c>
      <c r="K2246" s="18">
        <f>628119830333</f>
        <v>628119830333</v>
      </c>
      <c r="N2246" s="17" t="s">
        <v>77</v>
      </c>
      <c r="V2246" s="18">
        <f>628119830333</f>
        <v>628119830333</v>
      </c>
    </row>
    <row r="2247" ht="15" customHeight="1" spans="1:27" x14ac:dyDescent="0.25">
      <c r="A2247" s="17" t="s">
        <v>6761</v>
      </c>
      <c r="B2247" s="17" t="s">
        <v>70</v>
      </c>
      <c r="C2247" s="17" t="s">
        <v>71</v>
      </c>
      <c r="D2247" t="s">
        <v>3546</v>
      </c>
      <c r="F2247" t="s">
        <v>3546</v>
      </c>
      <c r="K2247" s="18">
        <f>62816839603</f>
        <v>62816839603</v>
      </c>
      <c r="N2247" s="17" t="s">
        <v>81</v>
      </c>
      <c r="U2247" s="17"/>
      <c r="V2247" s="18">
        <f>62816839603</f>
        <v>62816839603</v>
      </c>
      <c r="W2247" t="s">
        <v>6762</v>
      </c>
      <c r="Y2247" s="17" t="s">
        <v>626</v>
      </c>
      <c r="AA2247" s="17">
        <v>11640</v>
      </c>
    </row>
    <row r="2248" ht="15" customHeight="1" spans="1:25" x14ac:dyDescent="0.25">
      <c r="A2248" s="17" t="s">
        <v>6763</v>
      </c>
      <c r="B2248" s="17" t="s">
        <v>70</v>
      </c>
      <c r="C2248" s="17" t="s">
        <v>71</v>
      </c>
      <c r="D2248" t="s">
        <v>3546</v>
      </c>
      <c r="F2248" t="s">
        <v>3546</v>
      </c>
      <c r="K2248" s="18">
        <f>62811189268</f>
        <v>62811189268</v>
      </c>
      <c r="N2248" s="17" t="s">
        <v>74</v>
      </c>
      <c r="U2248" s="17"/>
      <c r="V2248" s="18">
        <f>62811189268</f>
        <v>62811189268</v>
      </c>
      <c r="W2248" t="s">
        <v>6764</v>
      </c>
      <c r="Y2248" s="17" t="s">
        <v>96</v>
      </c>
    </row>
    <row r="2249" ht="15" customHeight="1" spans="1:28" x14ac:dyDescent="0.25">
      <c r="A2249" s="17" t="s">
        <v>6765</v>
      </c>
      <c r="B2249" s="17" t="s">
        <v>70</v>
      </c>
      <c r="C2249" s="17" t="s">
        <v>71</v>
      </c>
      <c r="D2249" t="s">
        <v>3546</v>
      </c>
      <c r="F2249" t="s">
        <v>1169</v>
      </c>
      <c r="J2249" t="s">
        <v>115</v>
      </c>
      <c r="K2249" s="18" t="s">
        <v>6766</v>
      </c>
      <c r="N2249" s="17" t="s">
        <v>77</v>
      </c>
      <c r="O2249" t="s">
        <v>117</v>
      </c>
      <c r="V2249" s="18" t="s">
        <v>6766</v>
      </c>
      <c r="Y2249" t="s">
        <v>626</v>
      </c>
      <c r="AA2249" t="s">
        <v>3090</v>
      </c>
      <c r="AB2249" t="s">
        <v>119</v>
      </c>
    </row>
    <row r="2250" ht="15" customHeight="1" spans="1:22" x14ac:dyDescent="0.25">
      <c r="A2250" s="17" t="s">
        <v>6767</v>
      </c>
      <c r="B2250" s="17" t="s">
        <v>70</v>
      </c>
      <c r="C2250" s="17" t="s">
        <v>71</v>
      </c>
      <c r="D2250" t="s">
        <v>3546</v>
      </c>
      <c r="F2250" t="s">
        <v>5327</v>
      </c>
      <c r="K2250" s="18">
        <f>6281380777070</f>
        <v>6281380777070</v>
      </c>
      <c r="N2250" s="17" t="s">
        <v>81</v>
      </c>
      <c r="V2250" s="18">
        <f>6281380777070</f>
        <v>6281380777070</v>
      </c>
    </row>
    <row r="2251" ht="15" customHeight="1" spans="1:22" x14ac:dyDescent="0.25">
      <c r="A2251" s="17" t="s">
        <v>6768</v>
      </c>
      <c r="B2251" s="17" t="s">
        <v>70</v>
      </c>
      <c r="C2251" s="17" t="s">
        <v>71</v>
      </c>
      <c r="D2251" t="s">
        <v>3546</v>
      </c>
      <c r="F2251" t="s">
        <v>6769</v>
      </c>
      <c r="K2251" s="18">
        <f>628158112262</f>
        <v>628158112262</v>
      </c>
      <c r="N2251" s="17" t="s">
        <v>74</v>
      </c>
      <c r="V2251" s="18">
        <f>628158112262</f>
        <v>628158112262</v>
      </c>
    </row>
    <row r="2252" ht="15" customHeight="1" spans="1:28" x14ac:dyDescent="0.25">
      <c r="A2252" s="17" t="s">
        <v>6770</v>
      </c>
      <c r="B2252" s="17" t="s">
        <v>70</v>
      </c>
      <c r="C2252" s="17" t="s">
        <v>71</v>
      </c>
      <c r="D2252" t="s">
        <v>3546</v>
      </c>
      <c r="F2252" t="s">
        <v>6771</v>
      </c>
      <c r="J2252" t="s">
        <v>115</v>
      </c>
      <c r="K2252" s="18" t="s">
        <v>6772</v>
      </c>
      <c r="N2252" s="17" t="s">
        <v>77</v>
      </c>
      <c r="O2252" t="s">
        <v>117</v>
      </c>
      <c r="V2252" s="18" t="s">
        <v>6772</v>
      </c>
      <c r="Y2252" t="s">
        <v>90</v>
      </c>
      <c r="AA2252" t="s">
        <v>118</v>
      </c>
      <c r="AB2252" t="s">
        <v>119</v>
      </c>
    </row>
    <row r="2253" ht="15" customHeight="1" spans="1:22" x14ac:dyDescent="0.25">
      <c r="A2253" s="17" t="s">
        <v>6773</v>
      </c>
      <c r="B2253" s="17" t="s">
        <v>70</v>
      </c>
      <c r="C2253" s="17" t="s">
        <v>71</v>
      </c>
      <c r="D2253" t="s">
        <v>3546</v>
      </c>
      <c r="F2253" t="s">
        <v>6774</v>
      </c>
      <c r="K2253" s="18">
        <f>6282113193391</f>
        <v>6282113193391</v>
      </c>
      <c r="N2253" s="17" t="s">
        <v>77</v>
      </c>
      <c r="V2253" s="18">
        <f>6282113193391</f>
        <v>6282113193391</v>
      </c>
    </row>
    <row r="2254" ht="15" customHeight="1" spans="1:25" x14ac:dyDescent="0.25">
      <c r="A2254" s="17" t="s">
        <v>6775</v>
      </c>
      <c r="B2254" s="17" t="s">
        <v>70</v>
      </c>
      <c r="C2254" s="17" t="s">
        <v>71</v>
      </c>
      <c r="D2254" t="s">
        <v>3546</v>
      </c>
      <c r="F2254" t="s">
        <v>6776</v>
      </c>
      <c r="J2254" s="17" t="s">
        <v>6777</v>
      </c>
      <c r="K2254" s="18">
        <f>6281905512556</f>
        <v>6281905512556</v>
      </c>
      <c r="N2254" s="17" t="s">
        <v>77</v>
      </c>
      <c r="U2254" s="17"/>
      <c r="V2254" s="18">
        <f>6281905512556</f>
        <v>6281905512556</v>
      </c>
      <c r="W2254" t="s">
        <v>6778</v>
      </c>
      <c r="Y2254" s="17" t="s">
        <v>626</v>
      </c>
    </row>
    <row r="2255" ht="15" customHeight="1" spans="1:27" x14ac:dyDescent="0.25">
      <c r="A2255" s="17" t="s">
        <v>6779</v>
      </c>
      <c r="B2255" s="17" t="s">
        <v>70</v>
      </c>
      <c r="C2255" s="17" t="s">
        <v>71</v>
      </c>
      <c r="D2255" t="s">
        <v>3546</v>
      </c>
      <c r="F2255" t="s">
        <v>6780</v>
      </c>
      <c r="K2255" s="18">
        <f>628139030690</f>
        <v>628139030690</v>
      </c>
      <c r="N2255" s="17" t="s">
        <v>81</v>
      </c>
      <c r="U2255" s="17"/>
      <c r="V2255" s="18">
        <f>628139030690</f>
        <v>628139030690</v>
      </c>
      <c r="W2255" t="s">
        <v>6781</v>
      </c>
      <c r="Y2255" s="17" t="s">
        <v>1084</v>
      </c>
      <c r="AA2255" s="17">
        <v>14450</v>
      </c>
    </row>
    <row r="2256" ht="15" customHeight="1" spans="1:28" x14ac:dyDescent="0.25">
      <c r="A2256" s="17" t="s">
        <v>6782</v>
      </c>
      <c r="B2256" s="17" t="s">
        <v>70</v>
      </c>
      <c r="C2256" s="17" t="s">
        <v>71</v>
      </c>
      <c r="D2256" t="s">
        <v>3546</v>
      </c>
      <c r="F2256" t="s">
        <v>6783</v>
      </c>
      <c r="J2256" t="s">
        <v>6784</v>
      </c>
      <c r="K2256" s="18" t="s">
        <v>6785</v>
      </c>
      <c r="N2256" s="17" t="s">
        <v>77</v>
      </c>
      <c r="O2256" t="s">
        <v>117</v>
      </c>
      <c r="V2256" s="18" t="s">
        <v>6785</v>
      </c>
      <c r="Y2256" t="s">
        <v>115</v>
      </c>
      <c r="AA2256" t="s">
        <v>115</v>
      </c>
      <c r="AB2256" t="s">
        <v>119</v>
      </c>
    </row>
    <row r="2257" ht="15" customHeight="1" spans="1:22" x14ac:dyDescent="0.25">
      <c r="A2257" s="17" t="s">
        <v>6786</v>
      </c>
      <c r="B2257" s="17" t="s">
        <v>70</v>
      </c>
      <c r="C2257" s="17" t="s">
        <v>71</v>
      </c>
      <c r="D2257" t="s">
        <v>3546</v>
      </c>
      <c r="F2257" t="s">
        <v>3991</v>
      </c>
      <c r="K2257" s="18">
        <f>6281807782799</f>
        <v>6281807782799</v>
      </c>
      <c r="N2257" s="17" t="s">
        <v>77</v>
      </c>
      <c r="V2257" s="18">
        <f>6281807782799</f>
        <v>6281807782799</v>
      </c>
    </row>
    <row r="2258" ht="15" customHeight="1" spans="1:28" x14ac:dyDescent="0.25">
      <c r="A2258" s="17" t="s">
        <v>6787</v>
      </c>
      <c r="B2258" s="17" t="s">
        <v>70</v>
      </c>
      <c r="C2258" s="17" t="s">
        <v>71</v>
      </c>
      <c r="D2258" t="s">
        <v>3546</v>
      </c>
      <c r="F2258" t="s">
        <v>153</v>
      </c>
      <c r="J2258" t="s">
        <v>115</v>
      </c>
      <c r="K2258" s="18" t="s">
        <v>6788</v>
      </c>
      <c r="N2258" s="17" t="s">
        <v>77</v>
      </c>
      <c r="O2258" t="s">
        <v>199</v>
      </c>
      <c r="V2258" s="18" t="s">
        <v>6788</v>
      </c>
      <c r="Y2258" t="s">
        <v>115</v>
      </c>
      <c r="AA2258" t="s">
        <v>115</v>
      </c>
      <c r="AB2258" t="s">
        <v>119</v>
      </c>
    </row>
    <row r="2259" ht="15" customHeight="1" spans="1:28" x14ac:dyDescent="0.25">
      <c r="A2259" s="17" t="s">
        <v>6789</v>
      </c>
      <c r="B2259" s="17" t="s">
        <v>70</v>
      </c>
      <c r="C2259" s="17" t="s">
        <v>71</v>
      </c>
      <c r="D2259" t="s">
        <v>3546</v>
      </c>
      <c r="F2259" t="s">
        <v>6790</v>
      </c>
      <c r="J2259" s="17" t="s">
        <v>6791</v>
      </c>
      <c r="K2259" s="18" t="s">
        <v>6792</v>
      </c>
      <c r="N2259" s="17" t="s">
        <v>77</v>
      </c>
      <c r="O2259" t="s">
        <v>199</v>
      </c>
      <c r="V2259" s="18" t="s">
        <v>6792</v>
      </c>
      <c r="Y2259" t="s">
        <v>90</v>
      </c>
      <c r="AA2259" t="s">
        <v>118</v>
      </c>
      <c r="AB2259" t="s">
        <v>119</v>
      </c>
    </row>
    <row r="2260" ht="15" customHeight="1" spans="1:25" x14ac:dyDescent="0.25">
      <c r="A2260" s="17" t="s">
        <v>6793</v>
      </c>
      <c r="B2260" s="17" t="s">
        <v>70</v>
      </c>
      <c r="C2260" s="17" t="s">
        <v>71</v>
      </c>
      <c r="D2260" t="s">
        <v>3546</v>
      </c>
      <c r="F2260" t="s">
        <v>4424</v>
      </c>
      <c r="K2260" s="18">
        <f>62811330633</f>
        <v>62811330633</v>
      </c>
      <c r="N2260" s="17" t="s">
        <v>81</v>
      </c>
      <c r="U2260" s="17"/>
      <c r="V2260" s="18">
        <f>62811330633</f>
        <v>62811330633</v>
      </c>
      <c r="W2260" t="s">
        <v>6794</v>
      </c>
      <c r="Y2260" s="17" t="s">
        <v>704</v>
      </c>
    </row>
    <row r="2261" ht="15" customHeight="1" spans="1:28" x14ac:dyDescent="0.25">
      <c r="A2261" s="17" t="s">
        <v>6795</v>
      </c>
      <c r="B2261" s="17" t="s">
        <v>70</v>
      </c>
      <c r="C2261" s="17" t="s">
        <v>71</v>
      </c>
      <c r="D2261" t="s">
        <v>6796</v>
      </c>
      <c r="F2261" t="s">
        <v>1138</v>
      </c>
      <c r="J2261" s="17" t="s">
        <v>6797</v>
      </c>
      <c r="K2261" s="18" t="s">
        <v>6798</v>
      </c>
      <c r="N2261" s="17" t="s">
        <v>77</v>
      </c>
      <c r="O2261" t="s">
        <v>199</v>
      </c>
      <c r="U2261" s="17"/>
      <c r="V2261" s="18" t="s">
        <v>6798</v>
      </c>
      <c r="W2261" t="s">
        <v>6799</v>
      </c>
      <c r="Y2261" t="s">
        <v>115</v>
      </c>
      <c r="AA2261" t="s">
        <v>115</v>
      </c>
      <c r="AB2261" t="s">
        <v>119</v>
      </c>
    </row>
    <row r="2262" ht="15" customHeight="1" spans="1:22" x14ac:dyDescent="0.25">
      <c r="A2262" s="17" t="s">
        <v>6800</v>
      </c>
      <c r="B2262" s="17" t="s">
        <v>70</v>
      </c>
      <c r="C2262" s="17" t="s">
        <v>71</v>
      </c>
      <c r="D2262" t="s">
        <v>6801</v>
      </c>
      <c r="F2262" t="s">
        <v>6802</v>
      </c>
      <c r="K2262" s="18">
        <f>6287809891977</f>
        <v>6287809891977</v>
      </c>
      <c r="N2262" s="17" t="s">
        <v>77</v>
      </c>
      <c r="V2262" s="18">
        <f>6287809891977</f>
        <v>6287809891977</v>
      </c>
    </row>
    <row r="2263" ht="15" customHeight="1" spans="1:22" x14ac:dyDescent="0.25">
      <c r="A2263" s="17" t="s">
        <v>6803</v>
      </c>
      <c r="B2263" s="17" t="s">
        <v>70</v>
      </c>
      <c r="C2263" s="17" t="s">
        <v>71</v>
      </c>
      <c r="D2263" t="s">
        <v>6801</v>
      </c>
      <c r="F2263" t="s">
        <v>6804</v>
      </c>
      <c r="K2263" s="18">
        <f>628126098000</f>
        <v>628126098000</v>
      </c>
      <c r="N2263" s="17" t="s">
        <v>81</v>
      </c>
      <c r="V2263" s="18">
        <f>628126098000</f>
        <v>628126098000</v>
      </c>
    </row>
    <row r="2264" ht="15" customHeight="1" spans="1:28" x14ac:dyDescent="0.25">
      <c r="A2264" s="17" t="s">
        <v>6805</v>
      </c>
      <c r="B2264" s="17" t="s">
        <v>70</v>
      </c>
      <c r="C2264" s="17" t="s">
        <v>71</v>
      </c>
      <c r="D2264" t="s">
        <v>6801</v>
      </c>
      <c r="F2264" t="s">
        <v>6806</v>
      </c>
      <c r="J2264" s="17" t="s">
        <v>6807</v>
      </c>
      <c r="K2264" s="18" t="s">
        <v>6808</v>
      </c>
      <c r="N2264" s="17" t="s">
        <v>77</v>
      </c>
      <c r="O2264" t="s">
        <v>261</v>
      </c>
      <c r="U2264" s="17"/>
      <c r="V2264" s="18" t="s">
        <v>6808</v>
      </c>
      <c r="W2264" t="s">
        <v>6809</v>
      </c>
      <c r="Y2264" t="s">
        <v>1084</v>
      </c>
      <c r="AA2264" t="s">
        <v>3146</v>
      </c>
      <c r="AB2264" t="s">
        <v>119</v>
      </c>
    </row>
    <row r="2265" ht="15" customHeight="1" spans="1:22" x14ac:dyDescent="0.25">
      <c r="A2265" s="17" t="s">
        <v>6810</v>
      </c>
      <c r="B2265" s="17" t="s">
        <v>70</v>
      </c>
      <c r="C2265" s="17" t="s">
        <v>71</v>
      </c>
      <c r="D2265" t="s">
        <v>6811</v>
      </c>
      <c r="F2265" t="s">
        <v>6725</v>
      </c>
      <c r="K2265" s="18">
        <f>628119428886</f>
        <v>628119428886</v>
      </c>
      <c r="N2265" s="17" t="s">
        <v>77</v>
      </c>
      <c r="V2265" s="18">
        <f>628119428886</f>
        <v>628119428886</v>
      </c>
    </row>
    <row r="2266" ht="15" customHeight="1" spans="1:22" x14ac:dyDescent="0.25">
      <c r="A2266" s="17" t="s">
        <v>6812</v>
      </c>
      <c r="B2266" s="17" t="s">
        <v>70</v>
      </c>
      <c r="C2266" s="17" t="s">
        <v>71</v>
      </c>
      <c r="D2266" t="s">
        <v>6813</v>
      </c>
      <c r="F2266" t="s">
        <v>6813</v>
      </c>
      <c r="K2266" s="18">
        <f>628179999593</f>
        <v>628179999593</v>
      </c>
      <c r="N2266" s="17" t="s">
        <v>81</v>
      </c>
      <c r="V2266" s="18">
        <f>628179999593</f>
        <v>628179999593</v>
      </c>
    </row>
    <row r="2267" ht="15" customHeight="1" spans="1:28" x14ac:dyDescent="0.25">
      <c r="A2267" s="17" t="s">
        <v>6814</v>
      </c>
      <c r="B2267" s="17" t="s">
        <v>70</v>
      </c>
      <c r="C2267" s="17" t="s">
        <v>71</v>
      </c>
      <c r="D2267" t="s">
        <v>6815</v>
      </c>
      <c r="F2267" t="s">
        <v>6816</v>
      </c>
      <c r="J2267" t="s">
        <v>115</v>
      </c>
      <c r="K2267" s="18" t="s">
        <v>6817</v>
      </c>
      <c r="N2267" s="17" t="s">
        <v>77</v>
      </c>
      <c r="O2267" t="s">
        <v>145</v>
      </c>
      <c r="U2267" s="17"/>
      <c r="V2267" s="18" t="s">
        <v>6817</v>
      </c>
      <c r="W2267" t="s">
        <v>6818</v>
      </c>
      <c r="Y2267" t="s">
        <v>930</v>
      </c>
      <c r="AA2267" t="s">
        <v>115</v>
      </c>
      <c r="AB2267" t="s">
        <v>930</v>
      </c>
    </row>
    <row r="2268" ht="15" customHeight="1" spans="1:28" x14ac:dyDescent="0.25">
      <c r="A2268" s="17" t="s">
        <v>6819</v>
      </c>
      <c r="B2268" s="17" t="s">
        <v>70</v>
      </c>
      <c r="C2268" s="17" t="s">
        <v>71</v>
      </c>
      <c r="D2268" t="s">
        <v>6820</v>
      </c>
      <c r="F2268" t="s">
        <v>6821</v>
      </c>
      <c r="J2268" s="17" t="s">
        <v>6822</v>
      </c>
      <c r="K2268" s="18" t="s">
        <v>6823</v>
      </c>
      <c r="N2268" s="17" t="s">
        <v>77</v>
      </c>
      <c r="O2268" t="s">
        <v>117</v>
      </c>
      <c r="V2268" s="18" t="s">
        <v>6823</v>
      </c>
      <c r="Y2268" t="s">
        <v>190</v>
      </c>
      <c r="AA2268" t="s">
        <v>118</v>
      </c>
      <c r="AB2268" t="s">
        <v>119</v>
      </c>
    </row>
    <row r="2269" ht="15" customHeight="1" spans="1:22" x14ac:dyDescent="0.25">
      <c r="A2269" s="17" t="s">
        <v>6824</v>
      </c>
      <c r="B2269" s="17" t="s">
        <v>70</v>
      </c>
      <c r="C2269" s="17" t="s">
        <v>71</v>
      </c>
      <c r="D2269" t="s">
        <v>6825</v>
      </c>
      <c r="F2269" t="s">
        <v>6825</v>
      </c>
      <c r="K2269" s="18">
        <f>6285218246888</f>
        <v>6285218246888</v>
      </c>
      <c r="N2269" s="17" t="s">
        <v>81</v>
      </c>
      <c r="V2269" s="18">
        <f>6285218246888</f>
        <v>6285218246888</v>
      </c>
    </row>
    <row r="2270" ht="15" customHeight="1" spans="1:23" x14ac:dyDescent="0.25">
      <c r="A2270" s="17" t="s">
        <v>6826</v>
      </c>
      <c r="B2270" s="17" t="s">
        <v>70</v>
      </c>
      <c r="C2270" s="17" t="s">
        <v>71</v>
      </c>
      <c r="D2270" t="s">
        <v>6827</v>
      </c>
      <c r="F2270" t="s">
        <v>6828</v>
      </c>
      <c r="K2270" s="18">
        <f>14692581775</f>
        <v>14692581775</v>
      </c>
      <c r="N2270" s="17" t="s">
        <v>77</v>
      </c>
      <c r="U2270" s="17"/>
      <c r="V2270" s="18">
        <f>14692581775</f>
        <v>14692581775</v>
      </c>
      <c r="W2270" t="s">
        <v>6829</v>
      </c>
    </row>
    <row r="2271" ht="15" customHeight="1" spans="1:27" x14ac:dyDescent="0.25">
      <c r="A2271" s="17" t="s">
        <v>6830</v>
      </c>
      <c r="B2271" s="17" t="s">
        <v>70</v>
      </c>
      <c r="C2271" s="17" t="s">
        <v>71</v>
      </c>
      <c r="D2271" t="s">
        <v>6831</v>
      </c>
      <c r="F2271" t="s">
        <v>6832</v>
      </c>
      <c r="K2271" s="18">
        <f>6281280417939</f>
        <v>6281280417939</v>
      </c>
      <c r="N2271" s="17" t="s">
        <v>77</v>
      </c>
      <c r="U2271" s="17"/>
      <c r="V2271" s="18">
        <f>6281280417939</f>
        <v>6281280417939</v>
      </c>
      <c r="W2271" t="s">
        <v>6833</v>
      </c>
      <c r="Y2271" s="17" t="s">
        <v>6246</v>
      </c>
      <c r="AA2271" s="17">
        <v>12730</v>
      </c>
    </row>
    <row r="2272" ht="15" customHeight="1" spans="1:28" x14ac:dyDescent="0.25">
      <c r="A2272" s="17" t="s">
        <v>6834</v>
      </c>
      <c r="B2272" s="17" t="s">
        <v>70</v>
      </c>
      <c r="C2272" s="17" t="s">
        <v>71</v>
      </c>
      <c r="D2272" t="s">
        <v>6835</v>
      </c>
      <c r="F2272" t="s">
        <v>6836</v>
      </c>
      <c r="J2272" t="s">
        <v>115</v>
      </c>
      <c r="K2272" s="18" t="s">
        <v>6837</v>
      </c>
      <c r="N2272" s="17" t="s">
        <v>77</v>
      </c>
      <c r="O2272" t="s">
        <v>117</v>
      </c>
      <c r="V2272" s="18" t="s">
        <v>6837</v>
      </c>
      <c r="Y2272" t="s">
        <v>90</v>
      </c>
      <c r="AA2272" t="s">
        <v>118</v>
      </c>
      <c r="AB2272" t="s">
        <v>119</v>
      </c>
    </row>
    <row r="2273" ht="15" customHeight="1" spans="1:25" x14ac:dyDescent="0.25">
      <c r="A2273" s="17" t="s">
        <v>6838</v>
      </c>
      <c r="B2273" s="17" t="s">
        <v>70</v>
      </c>
      <c r="C2273" s="17" t="s">
        <v>71</v>
      </c>
      <c r="D2273" t="s">
        <v>6839</v>
      </c>
      <c r="F2273" t="s">
        <v>1690</v>
      </c>
      <c r="K2273" s="18">
        <f>628238522119</f>
        <v>628238522119</v>
      </c>
      <c r="N2273" s="17" t="s">
        <v>77</v>
      </c>
      <c r="V2273" s="18">
        <f>628238522119</f>
        <v>628238522119</v>
      </c>
      <c r="Y2273" s="17" t="s">
        <v>6840</v>
      </c>
    </row>
    <row r="2274" ht="15" customHeight="1" spans="1:22" x14ac:dyDescent="0.25">
      <c r="A2274" s="17" t="s">
        <v>6841</v>
      </c>
      <c r="B2274" s="17" t="s">
        <v>70</v>
      </c>
      <c r="C2274" s="17" t="s">
        <v>71</v>
      </c>
      <c r="D2274" t="s">
        <v>6842</v>
      </c>
      <c r="F2274" t="s">
        <v>6843</v>
      </c>
      <c r="K2274" s="18">
        <f>16028091728</f>
        <v>16028091728</v>
      </c>
      <c r="N2274" s="17" t="s">
        <v>77</v>
      </c>
      <c r="V2274" s="18">
        <f>16028091728</f>
        <v>16028091728</v>
      </c>
    </row>
    <row r="2275" ht="15" customHeight="1" spans="1:22" x14ac:dyDescent="0.25">
      <c r="A2275" s="17" t="s">
        <v>6844</v>
      </c>
      <c r="B2275" s="17" t="s">
        <v>70</v>
      </c>
      <c r="C2275" s="17" t="s">
        <v>71</v>
      </c>
      <c r="D2275" t="s">
        <v>6845</v>
      </c>
      <c r="F2275" t="s">
        <v>153</v>
      </c>
      <c r="K2275" s="18">
        <f>6594245393</f>
        <v>6594245393</v>
      </c>
      <c r="N2275" s="17" t="s">
        <v>77</v>
      </c>
      <c r="V2275" s="18">
        <f>6594245393</f>
        <v>6594245393</v>
      </c>
    </row>
    <row r="2276" ht="15" customHeight="1" spans="1:22" x14ac:dyDescent="0.25">
      <c r="A2276" s="17" t="s">
        <v>6846</v>
      </c>
      <c r="B2276" s="17" t="s">
        <v>70</v>
      </c>
      <c r="C2276" s="17" t="s">
        <v>71</v>
      </c>
      <c r="D2276" t="s">
        <v>6847</v>
      </c>
      <c r="F2276" t="s">
        <v>6848</v>
      </c>
      <c r="K2276" s="18">
        <f>628121034507</f>
        <v>628121034507</v>
      </c>
      <c r="N2276" s="17" t="s">
        <v>77</v>
      </c>
      <c r="V2276" s="18">
        <f>628121034507</f>
        <v>628121034507</v>
      </c>
    </row>
    <row r="2277" ht="15" customHeight="1" spans="1:23" x14ac:dyDescent="0.25">
      <c r="A2277" s="17" t="s">
        <v>6849</v>
      </c>
      <c r="B2277" s="17" t="s">
        <v>70</v>
      </c>
      <c r="C2277" s="17" t="s">
        <v>71</v>
      </c>
      <c r="D2277" t="s">
        <v>6850</v>
      </c>
      <c r="F2277" t="s">
        <v>6851</v>
      </c>
      <c r="K2277" s="18">
        <f>6287788996774</f>
        <v>6287788996774</v>
      </c>
      <c r="N2277" s="17" t="s">
        <v>81</v>
      </c>
      <c r="U2277" s="17"/>
      <c r="V2277" s="18">
        <f>6287788996774</f>
        <v>6287788996774</v>
      </c>
      <c r="W2277" t="s">
        <v>6852</v>
      </c>
    </row>
    <row r="2278" ht="15" customHeight="1" spans="1:25" x14ac:dyDescent="0.25">
      <c r="A2278" s="17" t="s">
        <v>6853</v>
      </c>
      <c r="B2278" s="17" t="s">
        <v>70</v>
      </c>
      <c r="C2278" s="17" t="s">
        <v>71</v>
      </c>
      <c r="D2278" t="s">
        <v>6854</v>
      </c>
      <c r="F2278" t="s">
        <v>6855</v>
      </c>
      <c r="K2278" s="18">
        <f>6281991111818</f>
        <v>6281991111818</v>
      </c>
      <c r="N2278" s="17" t="s">
        <v>77</v>
      </c>
      <c r="U2278" s="17"/>
      <c r="V2278" s="18">
        <f>6281991111818</f>
        <v>6281991111818</v>
      </c>
      <c r="W2278" t="s">
        <v>6856</v>
      </c>
      <c r="Y2278" s="17" t="s">
        <v>6857</v>
      </c>
    </row>
    <row r="2279" ht="15" customHeight="1" spans="1:22" x14ac:dyDescent="0.25">
      <c r="A2279" s="17" t="s">
        <v>6858</v>
      </c>
      <c r="B2279" s="17" t="s">
        <v>70</v>
      </c>
      <c r="C2279" s="17" t="s">
        <v>71</v>
      </c>
      <c r="D2279" t="s">
        <v>6859</v>
      </c>
      <c r="F2279" t="s">
        <v>6859</v>
      </c>
      <c r="K2279" s="18">
        <f>628170818001</f>
        <v>628170818001</v>
      </c>
      <c r="N2279" s="17" t="s">
        <v>81</v>
      </c>
      <c r="V2279" s="18">
        <f>628170818001</f>
        <v>628170818001</v>
      </c>
    </row>
    <row r="2280" ht="15" customHeight="1" spans="1:22" x14ac:dyDescent="0.25">
      <c r="A2280" s="17" t="s">
        <v>6860</v>
      </c>
      <c r="B2280" s="17" t="s">
        <v>70</v>
      </c>
      <c r="C2280" s="17" t="s">
        <v>71</v>
      </c>
      <c r="D2280" t="s">
        <v>6861</v>
      </c>
      <c r="F2280" t="s">
        <v>6861</v>
      </c>
      <c r="K2280" s="18">
        <f>6282111133934</f>
        <v>6282111133934</v>
      </c>
      <c r="N2280" s="17" t="s">
        <v>74</v>
      </c>
      <c r="V2280" s="18">
        <f>6282111133934</f>
        <v>6282111133934</v>
      </c>
    </row>
    <row r="2281" ht="15" customHeight="1" spans="1:22" x14ac:dyDescent="0.25">
      <c r="A2281" s="17" t="s">
        <v>6862</v>
      </c>
      <c r="B2281" s="17" t="s">
        <v>70</v>
      </c>
      <c r="C2281" s="17" t="s">
        <v>71</v>
      </c>
      <c r="D2281" t="s">
        <v>6863</v>
      </c>
      <c r="F2281" t="s">
        <v>6864</v>
      </c>
      <c r="K2281" s="18">
        <f>6281831999</f>
        <v>6281831999</v>
      </c>
      <c r="N2281" s="17" t="s">
        <v>74</v>
      </c>
      <c r="V2281" s="18">
        <f>6281831999</f>
        <v>6281831999</v>
      </c>
    </row>
    <row r="2282" ht="15" customHeight="1" spans="1:22" x14ac:dyDescent="0.25">
      <c r="A2282" s="17" t="s">
        <v>6865</v>
      </c>
      <c r="B2282" s="17" t="s">
        <v>70</v>
      </c>
      <c r="C2282" s="17" t="s">
        <v>71</v>
      </c>
      <c r="D2282" t="s">
        <v>6866</v>
      </c>
      <c r="F2282" t="s">
        <v>6866</v>
      </c>
      <c r="K2282" s="18">
        <f>6281222085324</f>
        <v>6281222085324</v>
      </c>
      <c r="N2282" s="17" t="s">
        <v>81</v>
      </c>
      <c r="V2282" s="18">
        <f>6281222085324</f>
        <v>6281222085324</v>
      </c>
    </row>
    <row r="2283" ht="15" customHeight="1" spans="1:22" x14ac:dyDescent="0.25">
      <c r="A2283" s="17" t="s">
        <v>6867</v>
      </c>
      <c r="B2283" s="17" t="s">
        <v>70</v>
      </c>
      <c r="C2283" s="17" t="s">
        <v>71</v>
      </c>
      <c r="D2283" t="s">
        <v>6866</v>
      </c>
      <c r="F2283" t="s">
        <v>6868</v>
      </c>
      <c r="K2283" s="18">
        <f>6281290928839</f>
        <v>6281290928839</v>
      </c>
      <c r="N2283" s="17" t="s">
        <v>81</v>
      </c>
      <c r="V2283" s="18">
        <f>6281290928839</f>
        <v>6281290928839</v>
      </c>
    </row>
    <row r="2284" ht="15" customHeight="1" spans="1:22" x14ac:dyDescent="0.25">
      <c r="A2284" s="17" t="s">
        <v>6869</v>
      </c>
      <c r="B2284" s="17" t="s">
        <v>70</v>
      </c>
      <c r="C2284" s="17" t="s">
        <v>71</v>
      </c>
      <c r="D2284" t="s">
        <v>6866</v>
      </c>
      <c r="F2284" t="s">
        <v>6870</v>
      </c>
      <c r="K2284" s="18">
        <f>6281363030859</f>
        <v>6281363030859</v>
      </c>
      <c r="N2284" s="17" t="s">
        <v>81</v>
      </c>
      <c r="V2284" s="18">
        <f>6281363030859</f>
        <v>6281363030859</v>
      </c>
    </row>
    <row r="2285" ht="15" customHeight="1" spans="1:22" x14ac:dyDescent="0.25">
      <c r="A2285" s="17" t="s">
        <v>6871</v>
      </c>
      <c r="B2285" s="17" t="s">
        <v>70</v>
      </c>
      <c r="C2285" s="17" t="s">
        <v>71</v>
      </c>
      <c r="D2285" t="s">
        <v>6866</v>
      </c>
      <c r="F2285" t="s">
        <v>6872</v>
      </c>
      <c r="K2285" s="18">
        <f>62818804800</f>
        <v>62818804800</v>
      </c>
      <c r="N2285" s="17" t="s">
        <v>81</v>
      </c>
      <c r="V2285" s="18">
        <f>62818804800</f>
        <v>62818804800</v>
      </c>
    </row>
    <row r="2286" ht="15" customHeight="1" spans="1:28" x14ac:dyDescent="0.25">
      <c r="A2286" s="17" t="s">
        <v>6873</v>
      </c>
      <c r="B2286" s="17" t="s">
        <v>70</v>
      </c>
      <c r="C2286" s="17" t="s">
        <v>71</v>
      </c>
      <c r="D2286" t="s">
        <v>6866</v>
      </c>
      <c r="F2286" t="s">
        <v>6874</v>
      </c>
      <c r="J2286" t="s">
        <v>115</v>
      </c>
      <c r="K2286" s="18" t="s">
        <v>6875</v>
      </c>
      <c r="N2286" s="17" t="s">
        <v>77</v>
      </c>
      <c r="O2286" t="s">
        <v>489</v>
      </c>
      <c r="U2286" s="17"/>
      <c r="V2286" s="18" t="s">
        <v>6875</v>
      </c>
      <c r="W2286" t="s">
        <v>6876</v>
      </c>
      <c r="Y2286" t="s">
        <v>190</v>
      </c>
      <c r="AA2286" t="s">
        <v>118</v>
      </c>
      <c r="AB2286" t="s">
        <v>119</v>
      </c>
    </row>
    <row r="2287" ht="15" customHeight="1" spans="1:28" x14ac:dyDescent="0.25">
      <c r="A2287" s="17" t="s">
        <v>6877</v>
      </c>
      <c r="B2287" s="17" t="s">
        <v>70</v>
      </c>
      <c r="C2287" s="17" t="s">
        <v>71</v>
      </c>
      <c r="D2287" t="s">
        <v>6866</v>
      </c>
      <c r="F2287" t="s">
        <v>6878</v>
      </c>
      <c r="J2287" t="s">
        <v>115</v>
      </c>
      <c r="K2287" s="18" t="s">
        <v>6879</v>
      </c>
      <c r="N2287" s="17" t="s">
        <v>77</v>
      </c>
      <c r="O2287" t="s">
        <v>117</v>
      </c>
      <c r="V2287" s="18" t="s">
        <v>6879</v>
      </c>
      <c r="Y2287" t="s">
        <v>90</v>
      </c>
      <c r="AA2287" t="s">
        <v>118</v>
      </c>
      <c r="AB2287" t="s">
        <v>119</v>
      </c>
    </row>
    <row r="2288" ht="15" customHeight="1" spans="1:28" x14ac:dyDescent="0.25">
      <c r="A2288" s="17" t="s">
        <v>6880</v>
      </c>
      <c r="B2288" s="17" t="s">
        <v>70</v>
      </c>
      <c r="C2288" s="17" t="s">
        <v>71</v>
      </c>
      <c r="D2288" t="s">
        <v>6866</v>
      </c>
      <c r="F2288" t="s">
        <v>2258</v>
      </c>
      <c r="J2288" t="s">
        <v>115</v>
      </c>
      <c r="K2288" s="18" t="s">
        <v>6881</v>
      </c>
      <c r="N2288" s="17" t="s">
        <v>81</v>
      </c>
      <c r="O2288" t="s">
        <v>261</v>
      </c>
      <c r="V2288" s="18" t="s">
        <v>6881</v>
      </c>
      <c r="Y2288" t="s">
        <v>90</v>
      </c>
      <c r="AA2288" t="s">
        <v>118</v>
      </c>
      <c r="AB2288" t="s">
        <v>119</v>
      </c>
    </row>
    <row r="2289" ht="15" customHeight="1" spans="1:28" x14ac:dyDescent="0.25">
      <c r="A2289" s="17" t="s">
        <v>6882</v>
      </c>
      <c r="B2289" s="17" t="s">
        <v>70</v>
      </c>
      <c r="C2289" s="17" t="s">
        <v>71</v>
      </c>
      <c r="D2289" t="s">
        <v>6883</v>
      </c>
      <c r="F2289" t="s">
        <v>6884</v>
      </c>
      <c r="J2289" t="s">
        <v>115</v>
      </c>
      <c r="K2289" s="18" t="s">
        <v>6885</v>
      </c>
      <c r="N2289" s="17" t="s">
        <v>77</v>
      </c>
      <c r="O2289" t="s">
        <v>199</v>
      </c>
      <c r="V2289" s="18" t="s">
        <v>6885</v>
      </c>
      <c r="Y2289" t="s">
        <v>500</v>
      </c>
      <c r="AA2289" t="s">
        <v>501</v>
      </c>
      <c r="AB2289" t="s">
        <v>119</v>
      </c>
    </row>
    <row r="2290" ht="15" customHeight="1" spans="1:22" x14ac:dyDescent="0.25">
      <c r="A2290" s="17" t="s">
        <v>6886</v>
      </c>
      <c r="B2290" s="17" t="s">
        <v>70</v>
      </c>
      <c r="C2290" s="17" t="s">
        <v>71</v>
      </c>
      <c r="D2290" t="s">
        <v>6883</v>
      </c>
      <c r="F2290" t="s">
        <v>6887</v>
      </c>
      <c r="K2290" s="18">
        <f>62818159030</f>
        <v>62818159030</v>
      </c>
      <c r="N2290" s="17" t="s">
        <v>77</v>
      </c>
      <c r="V2290" s="18">
        <f>62818159030</f>
        <v>62818159030</v>
      </c>
    </row>
    <row r="2291" ht="15" customHeight="1" spans="1:22" x14ac:dyDescent="0.25">
      <c r="A2291" s="17" t="s">
        <v>6888</v>
      </c>
      <c r="B2291" s="17" t="s">
        <v>70</v>
      </c>
      <c r="C2291" s="17" t="s">
        <v>71</v>
      </c>
      <c r="D2291" t="s">
        <v>6883</v>
      </c>
      <c r="F2291" t="s">
        <v>6887</v>
      </c>
      <c r="K2291" s="18">
        <f>6281198032</f>
        <v>6281198032</v>
      </c>
      <c r="N2291" s="17" t="s">
        <v>77</v>
      </c>
      <c r="V2291" s="18">
        <f>6281198032</f>
        <v>6281198032</v>
      </c>
    </row>
    <row r="2292" ht="15" customHeight="1" spans="1:23" x14ac:dyDescent="0.25">
      <c r="A2292" s="17" t="s">
        <v>6889</v>
      </c>
      <c r="B2292" s="17" t="s">
        <v>70</v>
      </c>
      <c r="C2292" s="17" t="s">
        <v>71</v>
      </c>
      <c r="D2292" t="s">
        <v>6883</v>
      </c>
      <c r="F2292" t="s">
        <v>6890</v>
      </c>
      <c r="K2292" s="18">
        <f>62812105599999</f>
        <v>62812105599999</v>
      </c>
      <c r="N2292" s="17" t="s">
        <v>77</v>
      </c>
      <c r="U2292" s="17"/>
      <c r="V2292" s="18">
        <f>62812105599999</f>
        <v>62812105599999</v>
      </c>
      <c r="W2292" t="s">
        <v>6891</v>
      </c>
    </row>
    <row r="2293" ht="15" customHeight="1" spans="1:23" x14ac:dyDescent="0.25">
      <c r="A2293" s="17" t="s">
        <v>6892</v>
      </c>
      <c r="B2293" s="17" t="s">
        <v>70</v>
      </c>
      <c r="C2293" s="17" t="s">
        <v>71</v>
      </c>
      <c r="D2293" t="s">
        <v>6893</v>
      </c>
      <c r="F2293" t="s">
        <v>6894</v>
      </c>
      <c r="K2293" s="18">
        <f>62878830041110</f>
        <v>62878830041110</v>
      </c>
      <c r="N2293" s="17" t="s">
        <v>77</v>
      </c>
      <c r="U2293" s="17"/>
      <c r="V2293" s="18">
        <f>62878830041110</f>
        <v>62878830041110</v>
      </c>
      <c r="W2293" t="s">
        <v>6895</v>
      </c>
    </row>
    <row r="2294" ht="15" customHeight="1" spans="1:22" x14ac:dyDescent="0.25">
      <c r="A2294" s="17" t="s">
        <v>6896</v>
      </c>
      <c r="B2294" s="17" t="s">
        <v>70</v>
      </c>
      <c r="C2294" s="17" t="s">
        <v>71</v>
      </c>
      <c r="D2294" t="s">
        <v>6897</v>
      </c>
      <c r="F2294" t="s">
        <v>6898</v>
      </c>
      <c r="K2294" s="18">
        <f>6281216171716</f>
        <v>6281216171716</v>
      </c>
      <c r="N2294" s="17" t="s">
        <v>77</v>
      </c>
      <c r="V2294" s="18">
        <f>6281216171716</f>
        <v>6281216171716</v>
      </c>
    </row>
    <row r="2295" ht="15" customHeight="1" spans="1:22" x14ac:dyDescent="0.25">
      <c r="A2295" s="17" t="s">
        <v>6899</v>
      </c>
      <c r="B2295" s="17" t="s">
        <v>70</v>
      </c>
      <c r="C2295" s="17" t="s">
        <v>71</v>
      </c>
      <c r="D2295" t="s">
        <v>6900</v>
      </c>
      <c r="F2295" t="s">
        <v>6901</v>
      </c>
      <c r="K2295" s="18">
        <f>6281124884000</f>
        <v>6281124884000</v>
      </c>
      <c r="N2295" s="17" t="s">
        <v>81</v>
      </c>
      <c r="V2295" s="18">
        <f>6281124884000</f>
        <v>6281124884000</v>
      </c>
    </row>
    <row r="2296" ht="15" customHeight="1" spans="1:22" x14ac:dyDescent="0.25">
      <c r="A2296" s="17" t="s">
        <v>6902</v>
      </c>
      <c r="B2296" s="17" t="s">
        <v>70</v>
      </c>
      <c r="C2296" s="17" t="s">
        <v>71</v>
      </c>
      <c r="D2296" t="s">
        <v>6903</v>
      </c>
      <c r="F2296" t="s">
        <v>6903</v>
      </c>
      <c r="K2296" s="18">
        <f>6281310955703</f>
        <v>6281310955703</v>
      </c>
      <c r="N2296" s="17" t="s">
        <v>77</v>
      </c>
      <c r="V2296" s="18">
        <f>6281310955703</f>
        <v>6281310955703</v>
      </c>
    </row>
    <row r="2297" ht="15" customHeight="1" spans="1:27" x14ac:dyDescent="0.25">
      <c r="A2297" s="17" t="s">
        <v>6904</v>
      </c>
      <c r="B2297" s="17" t="s">
        <v>70</v>
      </c>
      <c r="C2297" s="17" t="s">
        <v>71</v>
      </c>
      <c r="D2297" t="s">
        <v>6905</v>
      </c>
      <c r="F2297" t="s">
        <v>6906</v>
      </c>
      <c r="K2297" s="18">
        <f>62817193800</f>
        <v>62817193800</v>
      </c>
      <c r="N2297" s="17" t="s">
        <v>77</v>
      </c>
      <c r="U2297" s="17"/>
      <c r="V2297" s="18">
        <f>62817193800</f>
        <v>62817193800</v>
      </c>
      <c r="W2297" t="s">
        <v>6907</v>
      </c>
      <c r="Y2297" s="17" t="s">
        <v>90</v>
      </c>
      <c r="AA2297" s="17" t="s">
        <v>6908</v>
      </c>
    </row>
    <row r="2298" ht="15" customHeight="1" spans="1:22" x14ac:dyDescent="0.25">
      <c r="A2298" s="17" t="s">
        <v>6909</v>
      </c>
      <c r="B2298" s="17" t="s">
        <v>70</v>
      </c>
      <c r="C2298" s="17" t="s">
        <v>71</v>
      </c>
      <c r="D2298" t="s">
        <v>6910</v>
      </c>
      <c r="F2298" t="s">
        <v>6910</v>
      </c>
      <c r="K2298" s="18">
        <f>62815711461828</f>
        <v>62815711461828</v>
      </c>
      <c r="N2298" s="17" t="s">
        <v>81</v>
      </c>
      <c r="V2298" s="18">
        <f>62815711461828</f>
        <v>62815711461828</v>
      </c>
    </row>
    <row r="2299" ht="15" customHeight="1" spans="1:23" x14ac:dyDescent="0.25">
      <c r="A2299" s="17" t="s">
        <v>6911</v>
      </c>
      <c r="B2299" s="17" t="s">
        <v>70</v>
      </c>
      <c r="C2299" s="17" t="s">
        <v>71</v>
      </c>
      <c r="D2299" t="s">
        <v>6912</v>
      </c>
      <c r="F2299" t="s">
        <v>6913</v>
      </c>
      <c r="K2299" s="18">
        <f>628111967702</f>
        <v>628111967702</v>
      </c>
      <c r="N2299" s="17" t="s">
        <v>77</v>
      </c>
      <c r="U2299" s="17"/>
      <c r="V2299" s="18">
        <f>628111967702</f>
        <v>628111967702</v>
      </c>
      <c r="W2299" t="s">
        <v>6914</v>
      </c>
    </row>
    <row r="2300" ht="15" customHeight="1" spans="1:23" x14ac:dyDescent="0.25">
      <c r="A2300" s="17" t="s">
        <v>6915</v>
      </c>
      <c r="B2300" s="17" t="s">
        <v>70</v>
      </c>
      <c r="C2300" s="17" t="s">
        <v>71</v>
      </c>
      <c r="D2300" t="s">
        <v>6916</v>
      </c>
      <c r="F2300" t="s">
        <v>6916</v>
      </c>
      <c r="K2300" s="18">
        <f>6281992808787</f>
        <v>6281992808787</v>
      </c>
      <c r="N2300" s="17" t="s">
        <v>81</v>
      </c>
      <c r="U2300" s="17"/>
      <c r="V2300" s="18">
        <f>6281992808787</f>
        <v>6281992808787</v>
      </c>
      <c r="W2300" t="s">
        <v>6917</v>
      </c>
    </row>
    <row r="2301" ht="15" customHeight="1" spans="1:27" x14ac:dyDescent="0.25">
      <c r="A2301" s="17" t="s">
        <v>6918</v>
      </c>
      <c r="B2301" s="17" t="s">
        <v>70</v>
      </c>
      <c r="C2301" s="17" t="s">
        <v>71</v>
      </c>
      <c r="D2301" t="s">
        <v>6916</v>
      </c>
      <c r="F2301" t="s">
        <v>6919</v>
      </c>
      <c r="K2301" s="18">
        <v>83791404</v>
      </c>
      <c r="N2301" s="17" t="s">
        <v>77</v>
      </c>
      <c r="U2301" s="17"/>
      <c r="V2301" s="18">
        <v>83791404</v>
      </c>
      <c r="W2301" t="s">
        <v>6920</v>
      </c>
      <c r="Y2301" s="17" t="s">
        <v>1119</v>
      </c>
      <c r="AA2301" s="17" t="s">
        <v>6921</v>
      </c>
    </row>
    <row r="2302" ht="15" customHeight="1" spans="1:23" x14ac:dyDescent="0.25">
      <c r="A2302" s="17" t="s">
        <v>6922</v>
      </c>
      <c r="B2302" s="17" t="s">
        <v>70</v>
      </c>
      <c r="C2302" s="17" t="s">
        <v>71</v>
      </c>
      <c r="D2302" t="s">
        <v>6916</v>
      </c>
      <c r="F2302" t="s">
        <v>6923</v>
      </c>
      <c r="K2302" s="18">
        <f>6281299007808</f>
        <v>6281299007808</v>
      </c>
      <c r="N2302" s="17" t="s">
        <v>81</v>
      </c>
      <c r="U2302" s="17"/>
      <c r="V2302" s="18">
        <f>6281299007808</f>
        <v>6281299007808</v>
      </c>
      <c r="W2302" t="s">
        <v>6924</v>
      </c>
    </row>
    <row r="2303" ht="15" customHeight="1" spans="1:22" x14ac:dyDescent="0.25">
      <c r="A2303" s="17" t="s">
        <v>6925</v>
      </c>
      <c r="B2303" s="17" t="s">
        <v>70</v>
      </c>
      <c r="C2303" s="17" t="s">
        <v>71</v>
      </c>
      <c r="D2303" t="s">
        <v>6916</v>
      </c>
      <c r="F2303" t="s">
        <v>282</v>
      </c>
      <c r="K2303" s="18">
        <f>62816999266</f>
        <v>62816999266</v>
      </c>
      <c r="N2303" s="17" t="s">
        <v>77</v>
      </c>
      <c r="V2303" s="18">
        <f>62816999266</f>
        <v>62816999266</v>
      </c>
    </row>
    <row r="2304" ht="15" customHeight="1" spans="1:28" x14ac:dyDescent="0.25">
      <c r="A2304" s="17" t="s">
        <v>6926</v>
      </c>
      <c r="B2304" s="17" t="s">
        <v>70</v>
      </c>
      <c r="C2304" s="17" t="s">
        <v>71</v>
      </c>
      <c r="D2304" t="s">
        <v>6916</v>
      </c>
      <c r="F2304" t="s">
        <v>6927</v>
      </c>
      <c r="J2304" t="s">
        <v>115</v>
      </c>
      <c r="K2304" s="18" t="s">
        <v>6928</v>
      </c>
      <c r="N2304" s="17" t="s">
        <v>81</v>
      </c>
      <c r="O2304" t="s">
        <v>117</v>
      </c>
      <c r="U2304" s="17"/>
      <c r="V2304" s="18" t="s">
        <v>6928</v>
      </c>
      <c r="W2304" t="s">
        <v>6929</v>
      </c>
      <c r="Y2304" t="s">
        <v>90</v>
      </c>
      <c r="AA2304" t="s">
        <v>118</v>
      </c>
      <c r="AB2304" t="s">
        <v>119</v>
      </c>
    </row>
    <row r="2305" ht="15" customHeight="1" spans="1:22" x14ac:dyDescent="0.25">
      <c r="A2305" s="17" t="s">
        <v>6930</v>
      </c>
      <c r="B2305" s="17" t="s">
        <v>70</v>
      </c>
      <c r="C2305" s="17" t="s">
        <v>71</v>
      </c>
      <c r="D2305" t="s">
        <v>6916</v>
      </c>
      <c r="F2305" t="s">
        <v>4059</v>
      </c>
      <c r="K2305" s="18">
        <f>6287785190769</f>
        <v>6287785190769</v>
      </c>
      <c r="N2305" s="17" t="s">
        <v>81</v>
      </c>
      <c r="V2305" s="18">
        <f>6287785190769</f>
        <v>6287785190769</v>
      </c>
    </row>
    <row r="2306" ht="15" customHeight="1" spans="1:22" x14ac:dyDescent="0.25">
      <c r="A2306" s="17" t="s">
        <v>6931</v>
      </c>
      <c r="B2306" s="17" t="s">
        <v>70</v>
      </c>
      <c r="C2306" s="17" t="s">
        <v>71</v>
      </c>
      <c r="D2306" t="s">
        <v>6932</v>
      </c>
      <c r="F2306" t="s">
        <v>6932</v>
      </c>
      <c r="K2306" s="18">
        <f>628161189229</f>
        <v>628161189229</v>
      </c>
      <c r="N2306" s="17" t="s">
        <v>77</v>
      </c>
      <c r="V2306" s="18">
        <f>628161189229</f>
        <v>628161189229</v>
      </c>
    </row>
    <row r="2307" ht="15" customHeight="1" spans="1:28" x14ac:dyDescent="0.25">
      <c r="A2307" s="17" t="s">
        <v>6933</v>
      </c>
      <c r="B2307" s="17" t="s">
        <v>70</v>
      </c>
      <c r="C2307" s="17" t="s">
        <v>71</v>
      </c>
      <c r="D2307" t="s">
        <v>6934</v>
      </c>
      <c r="F2307" t="s">
        <v>6935</v>
      </c>
      <c r="J2307" t="s">
        <v>115</v>
      </c>
      <c r="K2307" s="18" t="s">
        <v>6936</v>
      </c>
      <c r="N2307" s="17" t="s">
        <v>81</v>
      </c>
      <c r="O2307" t="s">
        <v>261</v>
      </c>
      <c r="V2307" s="18" t="s">
        <v>6936</v>
      </c>
      <c r="Y2307" t="s">
        <v>6937</v>
      </c>
      <c r="AA2307" t="s">
        <v>115</v>
      </c>
      <c r="AB2307" t="s">
        <v>6937</v>
      </c>
    </row>
    <row r="2308" ht="15" customHeight="1" spans="1:22" x14ac:dyDescent="0.25">
      <c r="A2308" s="17" t="s">
        <v>6938</v>
      </c>
      <c r="B2308" s="17" t="s">
        <v>70</v>
      </c>
      <c r="C2308" s="17" t="s">
        <v>71</v>
      </c>
      <c r="D2308" t="s">
        <v>6934</v>
      </c>
      <c r="F2308" t="s">
        <v>1169</v>
      </c>
      <c r="K2308" s="18">
        <f>6285223271877</f>
        <v>6285223271877</v>
      </c>
      <c r="N2308" s="17" t="s">
        <v>77</v>
      </c>
      <c r="V2308" s="18">
        <f>6285223271877</f>
        <v>6285223271877</v>
      </c>
    </row>
    <row r="2309" ht="15" customHeight="1" spans="1:28" x14ac:dyDescent="0.25">
      <c r="A2309" s="17" t="s">
        <v>6939</v>
      </c>
      <c r="B2309" s="17" t="s">
        <v>70</v>
      </c>
      <c r="C2309" s="17" t="s">
        <v>71</v>
      </c>
      <c r="D2309" t="s">
        <v>6940</v>
      </c>
      <c r="F2309" t="s">
        <v>6719</v>
      </c>
      <c r="J2309" t="s">
        <v>115</v>
      </c>
      <c r="K2309" s="18" t="s">
        <v>6941</v>
      </c>
      <c r="N2309" s="17" t="s">
        <v>77</v>
      </c>
      <c r="O2309" t="s">
        <v>199</v>
      </c>
      <c r="V2309" s="18" t="s">
        <v>6941</v>
      </c>
      <c r="Y2309" t="s">
        <v>6942</v>
      </c>
      <c r="AA2309" t="s">
        <v>115</v>
      </c>
      <c r="AB2309" t="s">
        <v>119</v>
      </c>
    </row>
    <row r="2310" ht="15" customHeight="1" spans="1:28" x14ac:dyDescent="0.25">
      <c r="A2310" s="17" t="s">
        <v>6943</v>
      </c>
      <c r="B2310" s="17" t="s">
        <v>70</v>
      </c>
      <c r="C2310" s="17" t="s">
        <v>71</v>
      </c>
      <c r="D2310" t="s">
        <v>6944</v>
      </c>
      <c r="F2310" t="s">
        <v>1738</v>
      </c>
      <c r="J2310" t="s">
        <v>115</v>
      </c>
      <c r="K2310" s="18" t="s">
        <v>6945</v>
      </c>
      <c r="N2310" s="17" t="s">
        <v>77</v>
      </c>
      <c r="O2310" t="s">
        <v>145</v>
      </c>
      <c r="V2310" s="18" t="s">
        <v>6945</v>
      </c>
      <c r="Y2310" t="s">
        <v>90</v>
      </c>
      <c r="AA2310" t="s">
        <v>118</v>
      </c>
      <c r="AB2310" t="s">
        <v>119</v>
      </c>
    </row>
    <row r="2311" ht="15" customHeight="1" spans="1:23" x14ac:dyDescent="0.25">
      <c r="A2311" s="17" t="s">
        <v>6946</v>
      </c>
      <c r="B2311" s="17" t="s">
        <v>70</v>
      </c>
      <c r="C2311" s="17" t="s">
        <v>71</v>
      </c>
      <c r="D2311" t="s">
        <v>6944</v>
      </c>
      <c r="F2311" t="s">
        <v>6947</v>
      </c>
      <c r="K2311" s="18">
        <f>6287710209191</f>
        <v>6287710209191</v>
      </c>
      <c r="N2311" s="17" t="s">
        <v>81</v>
      </c>
      <c r="U2311" s="17"/>
      <c r="V2311" s="18">
        <f>6287710209191</f>
        <v>6287710209191</v>
      </c>
      <c r="W2311" t="s">
        <v>6948</v>
      </c>
    </row>
    <row r="2312" ht="15" customHeight="1" spans="1:28" x14ac:dyDescent="0.25">
      <c r="A2312" s="17" t="s">
        <v>6949</v>
      </c>
      <c r="B2312" s="17" t="s">
        <v>70</v>
      </c>
      <c r="C2312" s="17" t="s">
        <v>71</v>
      </c>
      <c r="D2312" t="s">
        <v>6950</v>
      </c>
      <c r="F2312" t="s">
        <v>6951</v>
      </c>
      <c r="J2312" s="17" t="s">
        <v>6952</v>
      </c>
      <c r="K2312" s="18" t="s">
        <v>6953</v>
      </c>
      <c r="N2312" s="17" t="s">
        <v>77</v>
      </c>
      <c r="O2312" t="s">
        <v>117</v>
      </c>
      <c r="U2312" s="17"/>
      <c r="V2312" s="18" t="s">
        <v>6953</v>
      </c>
      <c r="W2312" t="s">
        <v>6954</v>
      </c>
      <c r="Y2312" s="17" t="s">
        <v>90</v>
      </c>
      <c r="AA2312" s="17" t="s">
        <v>118</v>
      </c>
      <c r="AB2312" t="s">
        <v>119</v>
      </c>
    </row>
    <row r="2313" ht="15" customHeight="1" spans="1:22" x14ac:dyDescent="0.25">
      <c r="A2313" s="17" t="s">
        <v>6955</v>
      </c>
      <c r="B2313" s="17" t="s">
        <v>70</v>
      </c>
      <c r="C2313" s="17" t="s">
        <v>71</v>
      </c>
      <c r="D2313" t="s">
        <v>6950</v>
      </c>
      <c r="F2313" t="s">
        <v>3086</v>
      </c>
      <c r="K2313" s="18">
        <f>628117887062</f>
        <v>628117887062</v>
      </c>
      <c r="N2313" s="17" t="s">
        <v>81</v>
      </c>
      <c r="V2313" s="18">
        <f>628117887062</f>
        <v>628117887062</v>
      </c>
    </row>
    <row r="2314" ht="15" customHeight="1" spans="1:23" x14ac:dyDescent="0.25">
      <c r="A2314" s="17" t="s">
        <v>6956</v>
      </c>
      <c r="B2314" s="17" t="s">
        <v>70</v>
      </c>
      <c r="C2314" s="17" t="s">
        <v>71</v>
      </c>
      <c r="D2314" t="s">
        <v>6950</v>
      </c>
      <c r="F2314" t="s">
        <v>150</v>
      </c>
      <c r="J2314" s="17" t="s">
        <v>6957</v>
      </c>
      <c r="K2314" s="18">
        <f>6281337751400</f>
        <v>6281337751400</v>
      </c>
      <c r="N2314" s="17" t="s">
        <v>81</v>
      </c>
      <c r="U2314" s="17"/>
      <c r="V2314" s="18">
        <f>6281337751400</f>
        <v>6281337751400</v>
      </c>
      <c r="W2314" t="s">
        <v>6958</v>
      </c>
    </row>
    <row r="2315" ht="15" customHeight="1" spans="1:22" x14ac:dyDescent="0.25">
      <c r="A2315" s="17" t="s">
        <v>6959</v>
      </c>
      <c r="B2315" s="17" t="s">
        <v>70</v>
      </c>
      <c r="C2315" s="17" t="s">
        <v>71</v>
      </c>
      <c r="D2315" t="s">
        <v>6950</v>
      </c>
      <c r="F2315" t="s">
        <v>6960</v>
      </c>
      <c r="J2315" s="17" t="s">
        <v>6961</v>
      </c>
      <c r="K2315" s="18">
        <f>62811604349</f>
        <v>62811604349</v>
      </c>
      <c r="N2315" s="17" t="s">
        <v>81</v>
      </c>
      <c r="V2315" s="18">
        <f>62811604349</f>
        <v>62811604349</v>
      </c>
    </row>
    <row r="2316" ht="15" customHeight="1" spans="1:22" x14ac:dyDescent="0.25">
      <c r="A2316" s="17" t="s">
        <v>6962</v>
      </c>
      <c r="B2316" s="17" t="s">
        <v>70</v>
      </c>
      <c r="C2316" s="17" t="s">
        <v>71</v>
      </c>
      <c r="D2316" t="s">
        <v>6963</v>
      </c>
      <c r="F2316" t="s">
        <v>6964</v>
      </c>
      <c r="J2316" s="17" t="s">
        <v>6965</v>
      </c>
      <c r="K2316" s="18">
        <f>6281213236510</f>
        <v>6281213236510</v>
      </c>
      <c r="N2316" s="17" t="s">
        <v>81</v>
      </c>
      <c r="V2316" s="18">
        <f>6281213236510</f>
        <v>6281213236510</v>
      </c>
    </row>
    <row r="2317" ht="15" customHeight="1" spans="1:23" x14ac:dyDescent="0.25">
      <c r="A2317" s="17" t="s">
        <v>6966</v>
      </c>
      <c r="B2317" s="17" t="s">
        <v>70</v>
      </c>
      <c r="C2317" s="17" t="s">
        <v>71</v>
      </c>
      <c r="D2317" t="s">
        <v>6967</v>
      </c>
      <c r="F2317" t="s">
        <v>6503</v>
      </c>
      <c r="K2317" s="18">
        <f>622186901818</f>
        <v>622186901818</v>
      </c>
      <c r="N2317" s="17" t="s">
        <v>74</v>
      </c>
      <c r="U2317" s="17"/>
      <c r="V2317" s="18">
        <f>622186901818</f>
        <v>622186901818</v>
      </c>
      <c r="W2317" t="s">
        <v>6968</v>
      </c>
    </row>
    <row r="2318" ht="15" customHeight="1" spans="1:22" x14ac:dyDescent="0.25">
      <c r="A2318" s="17" t="s">
        <v>6969</v>
      </c>
      <c r="B2318" s="17" t="s">
        <v>70</v>
      </c>
      <c r="C2318" s="17" t="s">
        <v>71</v>
      </c>
      <c r="D2318" t="s">
        <v>6970</v>
      </c>
      <c r="F2318" t="s">
        <v>6971</v>
      </c>
      <c r="K2318" s="18">
        <f>628111681684</f>
        <v>628111681684</v>
      </c>
      <c r="N2318" s="17" t="s">
        <v>77</v>
      </c>
      <c r="V2318" s="18">
        <f>628111681684</f>
        <v>628111681684</v>
      </c>
    </row>
    <row r="2319" ht="15" customHeight="1" spans="1:25" x14ac:dyDescent="0.25">
      <c r="A2319" s="17" t="s">
        <v>6972</v>
      </c>
      <c r="B2319" s="17" t="s">
        <v>70</v>
      </c>
      <c r="C2319" s="17" t="s">
        <v>71</v>
      </c>
      <c r="D2319" t="s">
        <v>6973</v>
      </c>
      <c r="F2319" t="s">
        <v>6974</v>
      </c>
      <c r="J2319" s="17" t="s">
        <v>6975</v>
      </c>
      <c r="K2319" s="18">
        <f>6281331516898</f>
        <v>6281331516898</v>
      </c>
      <c r="N2319" s="17" t="s">
        <v>81</v>
      </c>
      <c r="U2319" s="17"/>
      <c r="V2319" s="18">
        <f>6281331516898</f>
        <v>6281331516898</v>
      </c>
      <c r="W2319" t="s">
        <v>6976</v>
      </c>
      <c r="Y2319" s="17" t="s">
        <v>90</v>
      </c>
    </row>
    <row r="2320" ht="15" customHeight="1" spans="1:25" x14ac:dyDescent="0.25">
      <c r="A2320" s="17" t="s">
        <v>6977</v>
      </c>
      <c r="B2320" s="17" t="s">
        <v>70</v>
      </c>
      <c r="C2320" s="17" t="s">
        <v>71</v>
      </c>
      <c r="D2320" t="s">
        <v>6978</v>
      </c>
      <c r="F2320" t="s">
        <v>6979</v>
      </c>
      <c r="K2320" s="18">
        <f>62813795298524</f>
        <v>62813795298524</v>
      </c>
      <c r="N2320" s="17" t="s">
        <v>77</v>
      </c>
      <c r="U2320" s="17"/>
      <c r="V2320" s="18">
        <f>62813795298524</f>
        <v>62813795298524</v>
      </c>
      <c r="W2320" t="s">
        <v>6980</v>
      </c>
      <c r="Y2320" s="17" t="s">
        <v>3140</v>
      </c>
    </row>
    <row r="2321" ht="15" customHeight="1" spans="1:22" x14ac:dyDescent="0.25">
      <c r="A2321" s="17" t="s">
        <v>6981</v>
      </c>
      <c r="B2321" s="17" t="s">
        <v>70</v>
      </c>
      <c r="C2321" s="17" t="s">
        <v>71</v>
      </c>
      <c r="D2321" t="s">
        <v>6982</v>
      </c>
      <c r="F2321" t="s">
        <v>6982</v>
      </c>
      <c r="K2321" s="18">
        <f>628128388376</f>
        <v>628128388376</v>
      </c>
      <c r="N2321" s="17" t="s">
        <v>77</v>
      </c>
      <c r="V2321" s="18">
        <f>628128388376</f>
        <v>628128388376</v>
      </c>
    </row>
    <row r="2322" ht="15" customHeight="1" spans="1:23" x14ac:dyDescent="0.25">
      <c r="A2322" s="17" t="s">
        <v>6983</v>
      </c>
      <c r="B2322" s="17" t="s">
        <v>70</v>
      </c>
      <c r="C2322" s="17" t="s">
        <v>71</v>
      </c>
      <c r="D2322" t="s">
        <v>6984</v>
      </c>
      <c r="F2322" t="s">
        <v>6984</v>
      </c>
      <c r="K2322" s="18">
        <f>62811380967</f>
        <v>62811380967</v>
      </c>
      <c r="N2322" s="17" t="s">
        <v>77</v>
      </c>
      <c r="U2322" s="17"/>
      <c r="V2322" s="18">
        <f>62811380967</f>
        <v>62811380967</v>
      </c>
      <c r="W2322" t="s">
        <v>181</v>
      </c>
    </row>
    <row r="2323" ht="15" customHeight="1" spans="1:22" x14ac:dyDescent="0.25">
      <c r="A2323" s="17" t="s">
        <v>6985</v>
      </c>
      <c r="B2323" s="17" t="s">
        <v>70</v>
      </c>
      <c r="C2323" s="17" t="s">
        <v>71</v>
      </c>
      <c r="D2323" t="s">
        <v>6986</v>
      </c>
      <c r="F2323" t="s">
        <v>6986</v>
      </c>
      <c r="K2323" s="18">
        <f>62818120333</f>
        <v>62818120333</v>
      </c>
      <c r="N2323" s="17" t="s">
        <v>77</v>
      </c>
      <c r="V2323" s="18">
        <f>62818120333</f>
        <v>62818120333</v>
      </c>
    </row>
    <row r="2324" ht="15" customHeight="1" spans="1:22" x14ac:dyDescent="0.25">
      <c r="A2324" s="17" t="s">
        <v>6987</v>
      </c>
      <c r="B2324" s="17" t="s">
        <v>70</v>
      </c>
      <c r="C2324" s="17" t="s">
        <v>71</v>
      </c>
      <c r="D2324" t="s">
        <v>6988</v>
      </c>
      <c r="F2324" t="s">
        <v>6979</v>
      </c>
      <c r="J2324" s="17" t="s">
        <v>6989</v>
      </c>
      <c r="K2324" s="18">
        <v>166905083</v>
      </c>
      <c r="N2324" s="17" t="s">
        <v>77</v>
      </c>
      <c r="V2324" s="18">
        <v>166905083</v>
      </c>
    </row>
    <row r="2325" ht="15" customHeight="1" spans="1:25" x14ac:dyDescent="0.25">
      <c r="A2325" s="17" t="s">
        <v>6990</v>
      </c>
      <c r="B2325" s="17" t="s">
        <v>70</v>
      </c>
      <c r="C2325" s="17" t="s">
        <v>71</v>
      </c>
      <c r="D2325" t="s">
        <v>6991</v>
      </c>
      <c r="F2325" t="s">
        <v>2108</v>
      </c>
      <c r="J2325" s="17" t="s">
        <v>6992</v>
      </c>
      <c r="K2325" s="18">
        <f>6281311828163</f>
        <v>6281311828163</v>
      </c>
      <c r="N2325" s="17" t="s">
        <v>81</v>
      </c>
      <c r="U2325" s="17"/>
      <c r="V2325" s="18">
        <f>6281311828163</f>
        <v>6281311828163</v>
      </c>
      <c r="W2325" t="s">
        <v>6993</v>
      </c>
      <c r="Y2325" s="17" t="s">
        <v>217</v>
      </c>
    </row>
    <row r="2326" ht="15" customHeight="1" spans="1:23" x14ac:dyDescent="0.25">
      <c r="A2326" s="17" t="s">
        <v>6994</v>
      </c>
      <c r="B2326" s="17" t="s">
        <v>70</v>
      </c>
      <c r="C2326" s="17" t="s">
        <v>71</v>
      </c>
      <c r="D2326" t="s">
        <v>6995</v>
      </c>
      <c r="F2326" t="s">
        <v>6996</v>
      </c>
      <c r="K2326" s="18">
        <f>6281280358899</f>
        <v>6281280358899</v>
      </c>
      <c r="N2326" s="17" t="s">
        <v>81</v>
      </c>
      <c r="U2326" s="17"/>
      <c r="V2326" s="18">
        <f>6281280358899</f>
        <v>6281280358899</v>
      </c>
      <c r="W2326" t="s">
        <v>6997</v>
      </c>
    </row>
    <row r="2327" ht="15" customHeight="1" spans="1:22" x14ac:dyDescent="0.25">
      <c r="A2327" s="17" t="s">
        <v>6998</v>
      </c>
      <c r="B2327" s="17" t="s">
        <v>70</v>
      </c>
      <c r="C2327" s="17" t="s">
        <v>71</v>
      </c>
      <c r="D2327" t="s">
        <v>6999</v>
      </c>
      <c r="F2327" t="s">
        <v>7000</v>
      </c>
      <c r="K2327" s="18">
        <f>821029158880</f>
        <v>821029158880</v>
      </c>
      <c r="N2327" s="17" t="s">
        <v>81</v>
      </c>
      <c r="V2327" s="18">
        <f>821029158880</f>
        <v>821029158880</v>
      </c>
    </row>
    <row r="2328" ht="15" customHeight="1" spans="1:22" x14ac:dyDescent="0.25">
      <c r="A2328" s="17" t="s">
        <v>7001</v>
      </c>
      <c r="B2328" s="17" t="s">
        <v>70</v>
      </c>
      <c r="C2328" s="17" t="s">
        <v>71</v>
      </c>
      <c r="D2328" t="s">
        <v>6999</v>
      </c>
      <c r="F2328" t="s">
        <v>7002</v>
      </c>
      <c r="K2328" s="18">
        <f>6281386215850</f>
        <v>6281386215850</v>
      </c>
      <c r="N2328" s="17" t="s">
        <v>81</v>
      </c>
      <c r="V2328" s="18">
        <f>6281386215850</f>
        <v>6281386215850</v>
      </c>
    </row>
    <row r="2329" ht="15" customHeight="1" spans="1:28" x14ac:dyDescent="0.25">
      <c r="A2329" s="17" t="s">
        <v>7003</v>
      </c>
      <c r="B2329" s="17" t="s">
        <v>70</v>
      </c>
      <c r="C2329" s="17" t="s">
        <v>71</v>
      </c>
      <c r="D2329" t="s">
        <v>6999</v>
      </c>
      <c r="F2329" t="s">
        <v>7004</v>
      </c>
      <c r="J2329" s="17" t="s">
        <v>7005</v>
      </c>
      <c r="K2329" s="18" t="s">
        <v>7006</v>
      </c>
      <c r="N2329" s="17" t="s">
        <v>77</v>
      </c>
      <c r="O2329" t="s">
        <v>199</v>
      </c>
      <c r="V2329" s="18" t="s">
        <v>7006</v>
      </c>
      <c r="Y2329" t="s">
        <v>7007</v>
      </c>
      <c r="AA2329" t="s">
        <v>115</v>
      </c>
      <c r="AB2329" t="s">
        <v>119</v>
      </c>
    </row>
    <row r="2330" ht="15" customHeight="1" spans="1:28" x14ac:dyDescent="0.25">
      <c r="A2330" s="17" t="s">
        <v>7008</v>
      </c>
      <c r="B2330" s="17" t="s">
        <v>70</v>
      </c>
      <c r="C2330" s="17" t="s">
        <v>71</v>
      </c>
      <c r="D2330" t="s">
        <v>7009</v>
      </c>
      <c r="F2330" t="s">
        <v>1208</v>
      </c>
      <c r="J2330" t="s">
        <v>115</v>
      </c>
      <c r="K2330" s="18" t="s">
        <v>7010</v>
      </c>
      <c r="N2330" s="17" t="s">
        <v>81</v>
      </c>
      <c r="O2330" t="s">
        <v>117</v>
      </c>
      <c r="V2330" s="18" t="s">
        <v>7010</v>
      </c>
      <c r="Y2330" t="s">
        <v>90</v>
      </c>
      <c r="AA2330" t="s">
        <v>118</v>
      </c>
      <c r="AB2330" t="s">
        <v>119</v>
      </c>
    </row>
    <row r="2331" ht="15" customHeight="1" spans="1:28" x14ac:dyDescent="0.25">
      <c r="A2331" s="17" t="s">
        <v>7011</v>
      </c>
      <c r="B2331" s="17" t="s">
        <v>70</v>
      </c>
      <c r="C2331" s="17" t="s">
        <v>71</v>
      </c>
      <c r="D2331" t="s">
        <v>7012</v>
      </c>
      <c r="F2331" t="s">
        <v>7013</v>
      </c>
      <c r="J2331" t="s">
        <v>115</v>
      </c>
      <c r="K2331" s="18" t="s">
        <v>7014</v>
      </c>
      <c r="N2331" s="17" t="s">
        <v>77</v>
      </c>
      <c r="O2331" t="s">
        <v>117</v>
      </c>
      <c r="V2331" s="18" t="s">
        <v>7014</v>
      </c>
      <c r="Y2331" t="s">
        <v>190</v>
      </c>
      <c r="AA2331" t="s">
        <v>118</v>
      </c>
      <c r="AB2331" t="s">
        <v>119</v>
      </c>
    </row>
    <row r="2332" ht="15" customHeight="1" spans="1:27" x14ac:dyDescent="0.25">
      <c r="A2332" s="17" t="s">
        <v>7015</v>
      </c>
      <c r="B2332" s="17" t="s">
        <v>70</v>
      </c>
      <c r="C2332" s="17" t="s">
        <v>71</v>
      </c>
      <c r="D2332" t="s">
        <v>7012</v>
      </c>
      <c r="F2332" t="s">
        <v>7016</v>
      </c>
      <c r="K2332" s="18" t="s">
        <v>7017</v>
      </c>
      <c r="N2332" s="17" t="s">
        <v>74</v>
      </c>
      <c r="U2332" s="17"/>
      <c r="V2332" s="18" t="s">
        <v>7017</v>
      </c>
      <c r="W2332" t="s">
        <v>7018</v>
      </c>
      <c r="Y2332" s="17" t="s">
        <v>96</v>
      </c>
      <c r="AA2332" s="17" t="s">
        <v>7019</v>
      </c>
    </row>
    <row r="2333" ht="15" customHeight="1" spans="1:22" x14ac:dyDescent="0.25">
      <c r="A2333" s="17" t="s">
        <v>7020</v>
      </c>
      <c r="B2333" s="17" t="s">
        <v>70</v>
      </c>
      <c r="C2333" s="17" t="s">
        <v>71</v>
      </c>
      <c r="D2333" t="s">
        <v>7021</v>
      </c>
      <c r="F2333" t="s">
        <v>7022</v>
      </c>
      <c r="K2333" s="18">
        <f>6281218881522</f>
        <v>6281218881522</v>
      </c>
      <c r="N2333" s="17" t="s">
        <v>74</v>
      </c>
      <c r="V2333" s="18">
        <f>6281218881522</f>
        <v>6281218881522</v>
      </c>
    </row>
    <row r="2334" ht="15" customHeight="1" spans="1:23" x14ac:dyDescent="0.25">
      <c r="A2334" s="17" t="s">
        <v>7023</v>
      </c>
      <c r="B2334" s="17" t="s">
        <v>70</v>
      </c>
      <c r="C2334" s="17" t="s">
        <v>71</v>
      </c>
      <c r="D2334" t="s">
        <v>7024</v>
      </c>
      <c r="F2334" t="s">
        <v>6605</v>
      </c>
      <c r="K2334" s="18">
        <f>8613601961294</f>
        <v>8613601961294</v>
      </c>
      <c r="N2334" s="17" t="s">
        <v>77</v>
      </c>
      <c r="U2334" s="17"/>
      <c r="V2334" s="18">
        <f>8613601961294</f>
        <v>8613601961294</v>
      </c>
      <c r="W2334" t="s">
        <v>6666</v>
      </c>
    </row>
    <row r="2335" ht="15" customHeight="1" spans="1:22" x14ac:dyDescent="0.25">
      <c r="A2335" s="17" t="s">
        <v>7025</v>
      </c>
      <c r="B2335" s="17" t="s">
        <v>70</v>
      </c>
      <c r="C2335" s="17" t="s">
        <v>71</v>
      </c>
      <c r="D2335" t="s">
        <v>7026</v>
      </c>
      <c r="F2335" t="s">
        <v>7027</v>
      </c>
      <c r="K2335" s="18">
        <f>62811960486</f>
        <v>62811960486</v>
      </c>
      <c r="N2335" s="17" t="s">
        <v>81</v>
      </c>
      <c r="V2335" s="18">
        <f>62811960486</f>
        <v>62811960486</v>
      </c>
    </row>
    <row r="2336" ht="15" customHeight="1" spans="1:22" x14ac:dyDescent="0.25">
      <c r="A2336" s="17" t="s">
        <v>7028</v>
      </c>
      <c r="B2336" s="17" t="s">
        <v>70</v>
      </c>
      <c r="C2336" s="17" t="s">
        <v>71</v>
      </c>
      <c r="D2336" t="s">
        <v>7026</v>
      </c>
      <c r="F2336" t="s">
        <v>7029</v>
      </c>
      <c r="K2336" s="18">
        <f>628119933397</f>
        <v>628119933397</v>
      </c>
      <c r="N2336" s="17" t="s">
        <v>77</v>
      </c>
      <c r="V2336" s="18">
        <f>628119933397</f>
        <v>628119933397</v>
      </c>
    </row>
    <row r="2337" ht="15" customHeight="1" spans="1:22" x14ac:dyDescent="0.25">
      <c r="A2337" s="17" t="s">
        <v>7030</v>
      </c>
      <c r="B2337" s="17" t="s">
        <v>70</v>
      </c>
      <c r="C2337" s="17" t="s">
        <v>71</v>
      </c>
      <c r="D2337" t="s">
        <v>7026</v>
      </c>
      <c r="F2337" t="s">
        <v>7031</v>
      </c>
      <c r="K2337" s="18">
        <f>6281387820087</f>
        <v>6281387820087</v>
      </c>
      <c r="N2337" s="17" t="s">
        <v>77</v>
      </c>
      <c r="V2337" s="18">
        <f>6281387820087</f>
        <v>6281387820087</v>
      </c>
    </row>
    <row r="2338" ht="15" customHeight="1" spans="1:22" x14ac:dyDescent="0.25">
      <c r="A2338" s="17" t="s">
        <v>7032</v>
      </c>
      <c r="B2338" s="17" t="s">
        <v>70</v>
      </c>
      <c r="C2338" s="17" t="s">
        <v>71</v>
      </c>
      <c r="D2338" t="s">
        <v>7033</v>
      </c>
      <c r="F2338" t="s">
        <v>7033</v>
      </c>
      <c r="K2338" s="18">
        <f>628121366161</f>
        <v>628121366161</v>
      </c>
      <c r="N2338" s="17" t="s">
        <v>77</v>
      </c>
      <c r="V2338" s="18">
        <f>628121366161</f>
        <v>628121366161</v>
      </c>
    </row>
    <row r="2339" ht="15" customHeight="1" spans="1:23" x14ac:dyDescent="0.25">
      <c r="A2339" s="17" t="s">
        <v>7034</v>
      </c>
      <c r="B2339" s="17" t="s">
        <v>70</v>
      </c>
      <c r="C2339" s="17" t="s">
        <v>71</v>
      </c>
      <c r="D2339" t="s">
        <v>4395</v>
      </c>
      <c r="F2339" t="s">
        <v>6573</v>
      </c>
      <c r="K2339" s="18">
        <f>6285880152416</f>
        <v>6285880152416</v>
      </c>
      <c r="N2339" s="17" t="s">
        <v>81</v>
      </c>
      <c r="U2339" s="17"/>
      <c r="V2339" s="18">
        <f>6285880152416</f>
        <v>6285880152416</v>
      </c>
      <c r="W2339" t="s">
        <v>7035</v>
      </c>
    </row>
    <row r="2340" ht="15" customHeight="1" spans="1:22" x14ac:dyDescent="0.25">
      <c r="A2340" s="17" t="s">
        <v>7036</v>
      </c>
      <c r="B2340" s="17" t="s">
        <v>70</v>
      </c>
      <c r="C2340" s="17" t="s">
        <v>71</v>
      </c>
      <c r="D2340" t="s">
        <v>4395</v>
      </c>
      <c r="F2340" t="s">
        <v>7037</v>
      </c>
      <c r="K2340" s="18">
        <f>6281320452709</f>
        <v>6281320452709</v>
      </c>
      <c r="N2340" s="17" t="s">
        <v>81</v>
      </c>
      <c r="V2340" s="18">
        <f>6281320452709</f>
        <v>6281320452709</v>
      </c>
    </row>
    <row r="2341" ht="15" customHeight="1" spans="1:28" x14ac:dyDescent="0.25">
      <c r="A2341" s="17" t="s">
        <v>7038</v>
      </c>
      <c r="B2341" s="17" t="s">
        <v>70</v>
      </c>
      <c r="C2341" s="17" t="s">
        <v>71</v>
      </c>
      <c r="D2341" t="s">
        <v>4395</v>
      </c>
      <c r="F2341" t="s">
        <v>494</v>
      </c>
      <c r="J2341" t="s">
        <v>115</v>
      </c>
      <c r="K2341" s="18" t="s">
        <v>7039</v>
      </c>
      <c r="N2341" s="17" t="s">
        <v>81</v>
      </c>
      <c r="O2341" t="s">
        <v>117</v>
      </c>
      <c r="V2341" s="18" t="s">
        <v>7039</v>
      </c>
      <c r="Y2341" t="s">
        <v>190</v>
      </c>
      <c r="AA2341" t="s">
        <v>118</v>
      </c>
      <c r="AB2341" t="s">
        <v>119</v>
      </c>
    </row>
    <row r="2342" ht="15" customHeight="1" spans="1:22" x14ac:dyDescent="0.25">
      <c r="A2342" s="17" t="s">
        <v>7040</v>
      </c>
      <c r="B2342" s="17" t="s">
        <v>70</v>
      </c>
      <c r="C2342" s="17" t="s">
        <v>71</v>
      </c>
      <c r="D2342" t="s">
        <v>3199</v>
      </c>
      <c r="F2342" t="s">
        <v>7041</v>
      </c>
      <c r="K2342" s="18">
        <f>62811182869</f>
        <v>62811182869</v>
      </c>
      <c r="N2342" s="17" t="s">
        <v>74</v>
      </c>
      <c r="V2342" s="18">
        <f>62811182869</f>
        <v>62811182869</v>
      </c>
    </row>
    <row r="2343" ht="15" customHeight="1" spans="1:23" x14ac:dyDescent="0.25">
      <c r="A2343" s="17" t="s">
        <v>7042</v>
      </c>
      <c r="B2343" s="17" t="s">
        <v>70</v>
      </c>
      <c r="C2343" s="17" t="s">
        <v>71</v>
      </c>
      <c r="D2343" t="s">
        <v>3199</v>
      </c>
      <c r="F2343" t="s">
        <v>7043</v>
      </c>
      <c r="K2343" s="18">
        <f>628121091318</f>
        <v>628121091318</v>
      </c>
      <c r="N2343" s="17" t="s">
        <v>77</v>
      </c>
      <c r="U2343" s="17"/>
      <c r="V2343" s="18">
        <f>628121091318</f>
        <v>628121091318</v>
      </c>
      <c r="W2343" t="s">
        <v>7044</v>
      </c>
    </row>
    <row r="2344" ht="15" customHeight="1" spans="1:28" x14ac:dyDescent="0.25">
      <c r="A2344" s="17" t="s">
        <v>7045</v>
      </c>
      <c r="B2344" s="17" t="s">
        <v>70</v>
      </c>
      <c r="C2344" s="17" t="s">
        <v>71</v>
      </c>
      <c r="D2344" t="s">
        <v>3199</v>
      </c>
      <c r="F2344" t="s">
        <v>7046</v>
      </c>
      <c r="J2344" t="s">
        <v>115</v>
      </c>
      <c r="K2344" s="18" t="s">
        <v>7047</v>
      </c>
      <c r="N2344" s="17" t="s">
        <v>77</v>
      </c>
      <c r="O2344" t="s">
        <v>489</v>
      </c>
      <c r="V2344" s="18" t="s">
        <v>7047</v>
      </c>
      <c r="Y2344" t="s">
        <v>190</v>
      </c>
      <c r="AA2344" t="s">
        <v>118</v>
      </c>
      <c r="AB2344" t="s">
        <v>119</v>
      </c>
    </row>
    <row r="2345" ht="15" customHeight="1" spans="1:22" x14ac:dyDescent="0.25">
      <c r="A2345" s="17" t="s">
        <v>7048</v>
      </c>
      <c r="B2345" s="17" t="s">
        <v>70</v>
      </c>
      <c r="C2345" s="17" t="s">
        <v>71</v>
      </c>
      <c r="D2345" t="s">
        <v>2073</v>
      </c>
      <c r="F2345" t="s">
        <v>7049</v>
      </c>
      <c r="K2345" s="18">
        <f>62816981988</f>
        <v>62816981988</v>
      </c>
      <c r="N2345" s="17" t="s">
        <v>77</v>
      </c>
      <c r="V2345" s="18">
        <f>62816981988</f>
        <v>62816981988</v>
      </c>
    </row>
    <row r="2346" ht="15" customHeight="1" spans="1:22" x14ac:dyDescent="0.25">
      <c r="A2346" s="17" t="s">
        <v>7050</v>
      </c>
      <c r="B2346" s="17" t="s">
        <v>70</v>
      </c>
      <c r="C2346" s="17" t="s">
        <v>71</v>
      </c>
      <c r="D2346" t="s">
        <v>7051</v>
      </c>
      <c r="F2346" t="s">
        <v>7052</v>
      </c>
      <c r="K2346" s="18">
        <f>62816743390</f>
        <v>62816743390</v>
      </c>
      <c r="N2346" s="17" t="s">
        <v>81</v>
      </c>
      <c r="V2346" s="18">
        <f>62816743390</f>
        <v>62816743390</v>
      </c>
    </row>
    <row r="2347" ht="15" customHeight="1" spans="1:28" x14ac:dyDescent="0.25">
      <c r="A2347" s="17" t="s">
        <v>7053</v>
      </c>
      <c r="B2347" s="17" t="s">
        <v>70</v>
      </c>
      <c r="C2347" s="17" t="s">
        <v>71</v>
      </c>
      <c r="D2347" t="s">
        <v>7054</v>
      </c>
      <c r="F2347" t="s">
        <v>922</v>
      </c>
      <c r="J2347" t="s">
        <v>115</v>
      </c>
      <c r="K2347" s="18" t="s">
        <v>7055</v>
      </c>
      <c r="N2347" s="17" t="s">
        <v>77</v>
      </c>
      <c r="O2347" t="s">
        <v>199</v>
      </c>
      <c r="V2347" s="18" t="s">
        <v>7055</v>
      </c>
      <c r="Y2347" t="s">
        <v>190</v>
      </c>
      <c r="AA2347" t="s">
        <v>118</v>
      </c>
      <c r="AB2347" t="s">
        <v>119</v>
      </c>
    </row>
    <row r="2348" ht="15" customHeight="1" spans="1:22" x14ac:dyDescent="0.25">
      <c r="A2348" s="17" t="s">
        <v>7056</v>
      </c>
      <c r="B2348" s="17" t="s">
        <v>70</v>
      </c>
      <c r="C2348" s="17" t="s">
        <v>71</v>
      </c>
      <c r="D2348" t="s">
        <v>7057</v>
      </c>
      <c r="F2348" t="s">
        <v>7058</v>
      </c>
      <c r="K2348" s="18">
        <f>62816812264</f>
        <v>62816812264</v>
      </c>
      <c r="N2348" s="17" t="s">
        <v>81</v>
      </c>
      <c r="V2348" s="18">
        <f>62816812264</f>
        <v>62816812264</v>
      </c>
    </row>
    <row r="2349" ht="15" customHeight="1" spans="1:22" x14ac:dyDescent="0.25">
      <c r="A2349" s="17" t="s">
        <v>7059</v>
      </c>
      <c r="B2349" s="17" t="s">
        <v>70</v>
      </c>
      <c r="C2349" s="17" t="s">
        <v>71</v>
      </c>
      <c r="D2349" t="s">
        <v>2159</v>
      </c>
      <c r="F2349" t="s">
        <v>2159</v>
      </c>
      <c r="K2349" s="18">
        <f>6281296777765</f>
        <v>6281296777765</v>
      </c>
      <c r="N2349" s="17" t="s">
        <v>81</v>
      </c>
      <c r="V2349" s="18">
        <f>6281296777765</f>
        <v>6281296777765</v>
      </c>
    </row>
    <row r="2350" ht="15" customHeight="1" spans="1:22" x14ac:dyDescent="0.25">
      <c r="A2350" s="17" t="s">
        <v>7060</v>
      </c>
      <c r="B2350" s="17" t="s">
        <v>70</v>
      </c>
      <c r="C2350" s="17" t="s">
        <v>71</v>
      </c>
      <c r="D2350" t="s">
        <v>2159</v>
      </c>
      <c r="F2350" t="s">
        <v>7061</v>
      </c>
      <c r="K2350" s="18">
        <f>628568228555</f>
        <v>628568228555</v>
      </c>
      <c r="N2350" s="17" t="s">
        <v>77</v>
      </c>
      <c r="V2350" s="18">
        <f>628568228555</f>
        <v>628568228555</v>
      </c>
    </row>
    <row r="2351" ht="15" customHeight="1" spans="1:22" x14ac:dyDescent="0.25">
      <c r="A2351" s="17" t="s">
        <v>7062</v>
      </c>
      <c r="B2351" s="17" t="s">
        <v>70</v>
      </c>
      <c r="C2351" s="17" t="s">
        <v>71</v>
      </c>
      <c r="D2351" t="s">
        <v>2159</v>
      </c>
      <c r="F2351" t="s">
        <v>7063</v>
      </c>
      <c r="K2351" s="18">
        <f>6281338282828</f>
        <v>6281338282828</v>
      </c>
      <c r="N2351" s="17" t="s">
        <v>77</v>
      </c>
      <c r="V2351" s="18">
        <f>6281338282828</f>
        <v>6281338282828</v>
      </c>
    </row>
    <row r="2352" ht="15" customHeight="1" spans="1:28" x14ac:dyDescent="0.25">
      <c r="A2352" s="17" t="s">
        <v>7064</v>
      </c>
      <c r="B2352" s="17" t="s">
        <v>70</v>
      </c>
      <c r="C2352" s="17" t="s">
        <v>71</v>
      </c>
      <c r="D2352" t="s">
        <v>2159</v>
      </c>
      <c r="F2352" t="s">
        <v>7065</v>
      </c>
      <c r="J2352" t="s">
        <v>115</v>
      </c>
      <c r="K2352" s="18" t="s">
        <v>7066</v>
      </c>
      <c r="N2352" s="17" t="s">
        <v>74</v>
      </c>
      <c r="O2352" t="s">
        <v>117</v>
      </c>
      <c r="V2352" s="18" t="s">
        <v>7066</v>
      </c>
      <c r="Y2352" t="s">
        <v>90</v>
      </c>
      <c r="AA2352" t="s">
        <v>118</v>
      </c>
      <c r="AB2352" t="s">
        <v>119</v>
      </c>
    </row>
    <row r="2353" ht="15" customHeight="1" spans="1:23" x14ac:dyDescent="0.25">
      <c r="A2353" s="17" t="s">
        <v>7067</v>
      </c>
      <c r="B2353" s="17" t="s">
        <v>70</v>
      </c>
      <c r="C2353" s="17" t="s">
        <v>71</v>
      </c>
      <c r="D2353" t="s">
        <v>2159</v>
      </c>
      <c r="F2353" t="s">
        <v>7068</v>
      </c>
      <c r="J2353" s="17" t="s">
        <v>7069</v>
      </c>
      <c r="K2353" s="18">
        <f>6287727222718</f>
        <v>6287727222718</v>
      </c>
      <c r="N2353" s="17" t="s">
        <v>77</v>
      </c>
      <c r="U2353" s="17"/>
      <c r="V2353" s="18">
        <f>6287727222718</f>
        <v>6287727222718</v>
      </c>
      <c r="W2353" t="s">
        <v>90</v>
      </c>
    </row>
    <row r="2354" ht="15" customHeight="1" spans="1:28" x14ac:dyDescent="0.25">
      <c r="A2354" s="17" t="s">
        <v>7070</v>
      </c>
      <c r="B2354" s="17" t="s">
        <v>70</v>
      </c>
      <c r="C2354" s="17" t="s">
        <v>71</v>
      </c>
      <c r="D2354" t="s">
        <v>2159</v>
      </c>
      <c r="F2354" t="s">
        <v>7071</v>
      </c>
      <c r="J2354" s="17" t="s">
        <v>7072</v>
      </c>
      <c r="K2354" s="18" t="s">
        <v>7073</v>
      </c>
      <c r="N2354" s="17" t="s">
        <v>77</v>
      </c>
      <c r="O2354" t="s">
        <v>117</v>
      </c>
      <c r="U2354" s="17"/>
      <c r="V2354" s="18" t="s">
        <v>7073</v>
      </c>
      <c r="W2354" t="s">
        <v>7074</v>
      </c>
      <c r="Y2354" s="17" t="s">
        <v>190</v>
      </c>
      <c r="AA2354" t="s">
        <v>118</v>
      </c>
      <c r="AB2354" t="s">
        <v>119</v>
      </c>
    </row>
    <row r="2355" ht="15" customHeight="1" spans="1:22" x14ac:dyDescent="0.25">
      <c r="A2355" s="17" t="s">
        <v>7075</v>
      </c>
      <c r="B2355" s="17" t="s">
        <v>70</v>
      </c>
      <c r="C2355" s="17" t="s">
        <v>71</v>
      </c>
      <c r="D2355" t="s">
        <v>2159</v>
      </c>
      <c r="F2355" t="s">
        <v>618</v>
      </c>
      <c r="K2355" s="18">
        <f>62816915213</f>
        <v>62816915213</v>
      </c>
      <c r="N2355" s="17" t="s">
        <v>74</v>
      </c>
      <c r="V2355" s="18">
        <f>62816915213</f>
        <v>62816915213</v>
      </c>
    </row>
    <row r="2356" ht="15" customHeight="1" spans="1:28" x14ac:dyDescent="0.25">
      <c r="A2356" s="17" t="s">
        <v>7076</v>
      </c>
      <c r="B2356" s="17" t="s">
        <v>70</v>
      </c>
      <c r="C2356" s="17" t="s">
        <v>71</v>
      </c>
      <c r="D2356" t="s">
        <v>2159</v>
      </c>
      <c r="F2356" t="s">
        <v>7077</v>
      </c>
      <c r="J2356" t="s">
        <v>115</v>
      </c>
      <c r="K2356" s="18" t="s">
        <v>7078</v>
      </c>
      <c r="N2356" s="17" t="s">
        <v>77</v>
      </c>
      <c r="O2356" t="s">
        <v>117</v>
      </c>
      <c r="V2356" s="18" t="s">
        <v>7078</v>
      </c>
      <c r="Y2356" t="s">
        <v>190</v>
      </c>
      <c r="AA2356" t="s">
        <v>118</v>
      </c>
      <c r="AB2356" t="s">
        <v>119</v>
      </c>
    </row>
    <row r="2357" ht="15" customHeight="1" spans="1:22" x14ac:dyDescent="0.25">
      <c r="A2357" s="17" t="s">
        <v>7079</v>
      </c>
      <c r="B2357" s="17" t="s">
        <v>70</v>
      </c>
      <c r="C2357" s="17" t="s">
        <v>71</v>
      </c>
      <c r="D2357" t="s">
        <v>2159</v>
      </c>
      <c r="F2357" t="s">
        <v>7080</v>
      </c>
      <c r="K2357" s="18">
        <f>62816377747</f>
        <v>62816377747</v>
      </c>
      <c r="N2357" s="17" t="s">
        <v>81</v>
      </c>
      <c r="V2357" s="18">
        <f>62816377747</f>
        <v>62816377747</v>
      </c>
    </row>
    <row r="2358" ht="15" customHeight="1" spans="1:28" x14ac:dyDescent="0.25">
      <c r="A2358" s="17" t="s">
        <v>7081</v>
      </c>
      <c r="B2358" s="17" t="s">
        <v>70</v>
      </c>
      <c r="C2358" s="17" t="s">
        <v>71</v>
      </c>
      <c r="D2358" t="s">
        <v>6668</v>
      </c>
      <c r="F2358" t="s">
        <v>6668</v>
      </c>
      <c r="J2358" t="s">
        <v>115</v>
      </c>
      <c r="K2358" s="18" t="s">
        <v>7082</v>
      </c>
      <c r="N2358" s="17" t="s">
        <v>81</v>
      </c>
      <c r="O2358" t="s">
        <v>199</v>
      </c>
      <c r="V2358" s="18" t="s">
        <v>7082</v>
      </c>
      <c r="Y2358" t="s">
        <v>115</v>
      </c>
      <c r="AA2358" t="s">
        <v>115</v>
      </c>
      <c r="AB2358" t="s">
        <v>119</v>
      </c>
    </row>
    <row r="2359" ht="15" customHeight="1" spans="1:28" x14ac:dyDescent="0.25">
      <c r="A2359" s="17" t="s">
        <v>7083</v>
      </c>
      <c r="B2359" s="17" t="s">
        <v>70</v>
      </c>
      <c r="C2359" s="17" t="s">
        <v>71</v>
      </c>
      <c r="D2359" t="s">
        <v>2159</v>
      </c>
      <c r="F2359" t="s">
        <v>1169</v>
      </c>
      <c r="J2359" t="s">
        <v>115</v>
      </c>
      <c r="K2359" s="18" t="s">
        <v>7084</v>
      </c>
      <c r="N2359" s="17" t="s">
        <v>81</v>
      </c>
      <c r="O2359" t="s">
        <v>199</v>
      </c>
      <c r="V2359" s="18" t="s">
        <v>7084</v>
      </c>
      <c r="Y2359" t="s">
        <v>90</v>
      </c>
      <c r="AA2359" t="s">
        <v>118</v>
      </c>
      <c r="AB2359" t="s">
        <v>119</v>
      </c>
    </row>
    <row r="2360" ht="15" customHeight="1" spans="1:22" x14ac:dyDescent="0.25">
      <c r="A2360" s="17" t="s">
        <v>7085</v>
      </c>
      <c r="B2360" s="17" t="s">
        <v>70</v>
      </c>
      <c r="C2360" s="17" t="s">
        <v>71</v>
      </c>
      <c r="D2360" t="s">
        <v>7086</v>
      </c>
      <c r="F2360" t="s">
        <v>7087</v>
      </c>
      <c r="K2360" s="18">
        <f>62811114545</f>
        <v>62811114545</v>
      </c>
      <c r="N2360" s="17" t="s">
        <v>77</v>
      </c>
      <c r="V2360" s="18">
        <f>62811114545</f>
        <v>62811114545</v>
      </c>
    </row>
    <row r="2361" ht="15" customHeight="1" spans="1:27" x14ac:dyDescent="0.25">
      <c r="A2361" s="17" t="s">
        <v>7088</v>
      </c>
      <c r="B2361" s="17" t="s">
        <v>70</v>
      </c>
      <c r="C2361" s="17" t="s">
        <v>71</v>
      </c>
      <c r="D2361" t="s">
        <v>7089</v>
      </c>
      <c r="F2361" t="s">
        <v>7089</v>
      </c>
      <c r="K2361" s="18">
        <v>27505605</v>
      </c>
      <c r="N2361" s="17" t="s">
        <v>74</v>
      </c>
      <c r="U2361" s="17"/>
      <c r="V2361" s="18">
        <v>27505605</v>
      </c>
      <c r="W2361" t="s">
        <v>7090</v>
      </c>
      <c r="Y2361" s="17" t="s">
        <v>96</v>
      </c>
      <c r="AA2361" s="17" t="s">
        <v>7091</v>
      </c>
    </row>
    <row r="2362" ht="15" customHeight="1" spans="1:22" x14ac:dyDescent="0.25">
      <c r="A2362" s="17" t="s">
        <v>7092</v>
      </c>
      <c r="B2362" s="17" t="s">
        <v>70</v>
      </c>
      <c r="C2362" s="17" t="s">
        <v>71</v>
      </c>
      <c r="D2362" t="s">
        <v>7089</v>
      </c>
      <c r="F2362" t="s">
        <v>7093</v>
      </c>
      <c r="K2362" s="18">
        <f>628111220045</f>
        <v>628111220045</v>
      </c>
      <c r="N2362" s="17" t="s">
        <v>81</v>
      </c>
      <c r="V2362" s="18">
        <f>628111220045</f>
        <v>628111220045</v>
      </c>
    </row>
    <row r="2363" ht="15" customHeight="1" spans="1:28" x14ac:dyDescent="0.25">
      <c r="A2363" s="17" t="s">
        <v>7094</v>
      </c>
      <c r="B2363" s="17" t="s">
        <v>70</v>
      </c>
      <c r="C2363" s="17" t="s">
        <v>71</v>
      </c>
      <c r="D2363" t="s">
        <v>7095</v>
      </c>
      <c r="F2363" t="s">
        <v>3866</v>
      </c>
      <c r="J2363" s="17" t="s">
        <v>7096</v>
      </c>
      <c r="K2363" s="18" t="s">
        <v>7097</v>
      </c>
      <c r="N2363" s="17" t="s">
        <v>77</v>
      </c>
      <c r="O2363" t="s">
        <v>199</v>
      </c>
      <c r="U2363" s="17"/>
      <c r="V2363" s="18" t="s">
        <v>7097</v>
      </c>
      <c r="W2363" t="s">
        <v>5566</v>
      </c>
      <c r="Y2363" t="s">
        <v>626</v>
      </c>
      <c r="AA2363" t="s">
        <v>3090</v>
      </c>
      <c r="AB2363" t="s">
        <v>119</v>
      </c>
    </row>
    <row r="2364" ht="15" customHeight="1" spans="1:22" x14ac:dyDescent="0.25">
      <c r="A2364" s="17" t="s">
        <v>7098</v>
      </c>
      <c r="B2364" s="17" t="s">
        <v>70</v>
      </c>
      <c r="C2364" s="17" t="s">
        <v>71</v>
      </c>
      <c r="D2364" t="s">
        <v>7089</v>
      </c>
      <c r="F2364" t="s">
        <v>7099</v>
      </c>
      <c r="K2364" s="18">
        <f>628118776775</f>
        <v>628118776775</v>
      </c>
      <c r="N2364" s="17" t="s">
        <v>77</v>
      </c>
      <c r="V2364" s="18">
        <f>628118776775</f>
        <v>628118776775</v>
      </c>
    </row>
    <row r="2365" ht="15" customHeight="1" spans="1:23" x14ac:dyDescent="0.25">
      <c r="A2365" s="17" t="s">
        <v>7100</v>
      </c>
      <c r="B2365" s="17" t="s">
        <v>70</v>
      </c>
      <c r="C2365" s="17" t="s">
        <v>71</v>
      </c>
      <c r="D2365" t="s">
        <v>7089</v>
      </c>
      <c r="F2365" t="s">
        <v>7101</v>
      </c>
      <c r="K2365" s="18">
        <f>821052688198</f>
        <v>821052688198</v>
      </c>
      <c r="N2365" s="17" t="s">
        <v>81</v>
      </c>
      <c r="U2365" s="17"/>
      <c r="V2365" s="18">
        <f>821052688198</f>
        <v>821052688198</v>
      </c>
      <c r="W2365" t="s">
        <v>7102</v>
      </c>
    </row>
    <row r="2366" ht="15" customHeight="1" spans="1:28" x14ac:dyDescent="0.25">
      <c r="A2366" s="17" t="s">
        <v>7103</v>
      </c>
      <c r="B2366" s="17" t="s">
        <v>70</v>
      </c>
      <c r="C2366" s="17" t="s">
        <v>71</v>
      </c>
      <c r="D2366" t="s">
        <v>7089</v>
      </c>
      <c r="F2366" t="s">
        <v>7104</v>
      </c>
      <c r="J2366" s="17" t="s">
        <v>7105</v>
      </c>
      <c r="K2366" s="18" t="s">
        <v>7106</v>
      </c>
      <c r="N2366" s="17" t="s">
        <v>77</v>
      </c>
      <c r="O2366" t="s">
        <v>117</v>
      </c>
      <c r="U2366" s="17"/>
      <c r="V2366" s="18" t="s">
        <v>7106</v>
      </c>
      <c r="W2366" t="s">
        <v>7107</v>
      </c>
      <c r="Y2366" t="s">
        <v>7108</v>
      </c>
      <c r="AA2366" t="s">
        <v>115</v>
      </c>
      <c r="AB2366" t="s">
        <v>7108</v>
      </c>
    </row>
    <row r="2367" ht="15" customHeight="1" spans="1:23" x14ac:dyDescent="0.25">
      <c r="A2367" s="17" t="s">
        <v>7109</v>
      </c>
      <c r="B2367" s="17" t="s">
        <v>70</v>
      </c>
      <c r="C2367" s="17" t="s">
        <v>71</v>
      </c>
      <c r="D2367" t="s">
        <v>7110</v>
      </c>
      <c r="F2367" t="s">
        <v>7111</v>
      </c>
      <c r="J2367" s="17" t="s">
        <v>7112</v>
      </c>
      <c r="K2367" s="18">
        <f>886935360329</f>
        <v>886935360329</v>
      </c>
      <c r="N2367" s="17" t="s">
        <v>77</v>
      </c>
      <c r="U2367" s="17"/>
      <c r="V2367" s="18">
        <f>886935360329</f>
        <v>886935360329</v>
      </c>
      <c r="W2367" t="s">
        <v>7107</v>
      </c>
    </row>
    <row r="2368" ht="15" customHeight="1" spans="1:28" x14ac:dyDescent="0.25">
      <c r="A2368" s="17" t="s">
        <v>7113</v>
      </c>
      <c r="B2368" s="17" t="s">
        <v>70</v>
      </c>
      <c r="C2368" s="17" t="s">
        <v>71</v>
      </c>
      <c r="D2368" t="s">
        <v>7089</v>
      </c>
      <c r="F2368" t="s">
        <v>7114</v>
      </c>
      <c r="J2368" s="17" t="s">
        <v>7115</v>
      </c>
      <c r="K2368" s="18" t="s">
        <v>7116</v>
      </c>
      <c r="N2368" s="17" t="s">
        <v>77</v>
      </c>
      <c r="O2368" t="s">
        <v>117</v>
      </c>
      <c r="U2368" s="17"/>
      <c r="V2368" s="18" t="s">
        <v>7116</v>
      </c>
      <c r="W2368" t="s">
        <v>3140</v>
      </c>
      <c r="Y2368" t="s">
        <v>3140</v>
      </c>
      <c r="AA2368" t="s">
        <v>115</v>
      </c>
      <c r="AB2368" t="s">
        <v>3140</v>
      </c>
    </row>
    <row r="2369" ht="15" customHeight="1" spans="1:22" x14ac:dyDescent="0.25">
      <c r="A2369" s="17" t="s">
        <v>7117</v>
      </c>
      <c r="B2369" s="17" t="s">
        <v>70</v>
      </c>
      <c r="C2369" s="17" t="s">
        <v>71</v>
      </c>
      <c r="D2369" t="s">
        <v>7118</v>
      </c>
      <c r="F2369" t="s">
        <v>2108</v>
      </c>
      <c r="K2369" s="18">
        <f>6282261653915</f>
        <v>6282261653915</v>
      </c>
      <c r="N2369" s="17" t="s">
        <v>81</v>
      </c>
      <c r="V2369" s="18">
        <f>6282261653915</f>
        <v>6282261653915</v>
      </c>
    </row>
    <row r="2370" ht="15" customHeight="1" spans="1:22" x14ac:dyDescent="0.25">
      <c r="A2370" s="17" t="s">
        <v>7119</v>
      </c>
      <c r="B2370" s="17" t="s">
        <v>70</v>
      </c>
      <c r="C2370" s="17" t="s">
        <v>71</v>
      </c>
      <c r="D2370" t="s">
        <v>7120</v>
      </c>
      <c r="F2370" t="s">
        <v>7121</v>
      </c>
      <c r="K2370" s="18">
        <f>6287869454499</f>
        <v>6287869454499</v>
      </c>
      <c r="N2370" s="17" t="s">
        <v>81</v>
      </c>
      <c r="V2370" s="18">
        <f>6287869454499</f>
        <v>6287869454499</v>
      </c>
    </row>
    <row r="2371" ht="15" customHeight="1" spans="1:23" x14ac:dyDescent="0.25">
      <c r="A2371" s="17" t="s">
        <v>7122</v>
      </c>
      <c r="B2371" s="17" t="s">
        <v>70</v>
      </c>
      <c r="C2371" s="17" t="s">
        <v>71</v>
      </c>
      <c r="D2371" t="s">
        <v>7123</v>
      </c>
      <c r="F2371" t="s">
        <v>7124</v>
      </c>
      <c r="K2371" s="18">
        <f>886911481102</f>
        <v>886911481102</v>
      </c>
      <c r="N2371" s="17" t="s">
        <v>77</v>
      </c>
      <c r="U2371" s="17"/>
      <c r="V2371" s="18">
        <f>886911481102</f>
        <v>886911481102</v>
      </c>
      <c r="W2371" t="s">
        <v>7107</v>
      </c>
    </row>
    <row r="2372" ht="15" customHeight="1" spans="1:25" x14ac:dyDescent="0.25">
      <c r="A2372" s="17" t="s">
        <v>7125</v>
      </c>
      <c r="B2372" s="17" t="s">
        <v>70</v>
      </c>
      <c r="C2372" s="17" t="s">
        <v>71</v>
      </c>
      <c r="D2372" t="s">
        <v>7126</v>
      </c>
      <c r="F2372" t="s">
        <v>7126</v>
      </c>
      <c r="J2372" s="17" t="s">
        <v>7127</v>
      </c>
      <c r="K2372" s="18">
        <f>62811196220</f>
        <v>62811196220</v>
      </c>
      <c r="N2372" s="17" t="s">
        <v>81</v>
      </c>
      <c r="U2372" s="17"/>
      <c r="V2372" s="18">
        <f>62811196220</f>
        <v>62811196220</v>
      </c>
      <c r="W2372" t="s">
        <v>7128</v>
      </c>
      <c r="Y2372" s="17" t="s">
        <v>96</v>
      </c>
    </row>
    <row r="2373" ht="15" customHeight="1" spans="1:23" x14ac:dyDescent="0.25">
      <c r="A2373" s="17" t="s">
        <v>7129</v>
      </c>
      <c r="B2373" s="17" t="s">
        <v>70</v>
      </c>
      <c r="C2373" s="17" t="s">
        <v>71</v>
      </c>
      <c r="D2373" t="s">
        <v>7130</v>
      </c>
      <c r="F2373" t="s">
        <v>899</v>
      </c>
      <c r="K2373" s="18">
        <f>62217196514</f>
        <v>62217196514</v>
      </c>
      <c r="N2373" s="17" t="s">
        <v>77</v>
      </c>
      <c r="U2373" s="17"/>
      <c r="V2373" s="18">
        <f>62217196514</f>
        <v>62217196514</v>
      </c>
      <c r="W2373" t="s">
        <v>7131</v>
      </c>
    </row>
    <row r="2374" ht="15" customHeight="1" spans="1:23" x14ac:dyDescent="0.25">
      <c r="A2374" s="17" t="s">
        <v>7132</v>
      </c>
      <c r="B2374" s="17" t="s">
        <v>70</v>
      </c>
      <c r="C2374" s="17" t="s">
        <v>71</v>
      </c>
      <c r="D2374" t="s">
        <v>7133</v>
      </c>
      <c r="F2374" t="s">
        <v>7134</v>
      </c>
      <c r="K2374" s="18">
        <f>62812316100000</f>
        <v>62812316100000</v>
      </c>
      <c r="N2374" s="17" t="s">
        <v>77</v>
      </c>
      <c r="U2374" s="17"/>
      <c r="V2374" s="18">
        <f>62812316100000</f>
        <v>62812316100000</v>
      </c>
      <c r="W2374" t="s">
        <v>7135</v>
      </c>
    </row>
    <row r="2375" ht="15" customHeight="1" spans="1:28" x14ac:dyDescent="0.25">
      <c r="A2375" s="17" t="s">
        <v>7136</v>
      </c>
      <c r="B2375" s="17" t="s">
        <v>70</v>
      </c>
      <c r="C2375" s="17" t="s">
        <v>71</v>
      </c>
      <c r="D2375" t="s">
        <v>7137</v>
      </c>
      <c r="F2375" t="s">
        <v>7138</v>
      </c>
      <c r="J2375" t="s">
        <v>7139</v>
      </c>
      <c r="K2375" s="18" t="s">
        <v>7140</v>
      </c>
      <c r="N2375" s="17" t="s">
        <v>74</v>
      </c>
      <c r="O2375" t="s">
        <v>117</v>
      </c>
      <c r="V2375" s="18" t="s">
        <v>7140</v>
      </c>
      <c r="Y2375" t="s">
        <v>190</v>
      </c>
      <c r="AA2375" t="s">
        <v>118</v>
      </c>
      <c r="AB2375" t="s">
        <v>119</v>
      </c>
    </row>
    <row r="2376" ht="15" customHeight="1" spans="1:23" x14ac:dyDescent="0.25">
      <c r="A2376" s="17" t="s">
        <v>7141</v>
      </c>
      <c r="B2376" s="17" t="s">
        <v>70</v>
      </c>
      <c r="C2376" s="17" t="s">
        <v>71</v>
      </c>
      <c r="D2376" t="s">
        <v>7137</v>
      </c>
      <c r="F2376" t="s">
        <v>7142</v>
      </c>
      <c r="K2376" s="18">
        <f>6281293408229</f>
        <v>6281293408229</v>
      </c>
      <c r="N2376" s="17" t="s">
        <v>77</v>
      </c>
      <c r="U2376" s="17"/>
      <c r="V2376" s="18">
        <f>6281293408229</f>
        <v>6281293408229</v>
      </c>
      <c r="W2376" t="s">
        <v>7143</v>
      </c>
    </row>
    <row r="2377" ht="15" customHeight="1" spans="1:22" x14ac:dyDescent="0.25">
      <c r="A2377" s="17" t="s">
        <v>7144</v>
      </c>
      <c r="B2377" s="17" t="s">
        <v>70</v>
      </c>
      <c r="C2377" s="17" t="s">
        <v>71</v>
      </c>
      <c r="D2377" t="s">
        <v>7145</v>
      </c>
      <c r="F2377" t="s">
        <v>7145</v>
      </c>
      <c r="K2377" s="18">
        <f>6281335500777</f>
        <v>6281335500777</v>
      </c>
      <c r="N2377" s="17" t="s">
        <v>77</v>
      </c>
      <c r="V2377" s="18">
        <f>6281335500777</f>
        <v>6281335500777</v>
      </c>
    </row>
    <row r="2378" ht="15" customHeight="1" spans="1:22" x14ac:dyDescent="0.25">
      <c r="A2378" s="17" t="s">
        <v>7146</v>
      </c>
      <c r="B2378" s="17" t="s">
        <v>70</v>
      </c>
      <c r="C2378" s="17" t="s">
        <v>71</v>
      </c>
      <c r="D2378" t="s">
        <v>7145</v>
      </c>
      <c r="F2378" t="s">
        <v>7145</v>
      </c>
      <c r="K2378" s="18">
        <f>62811632188</f>
        <v>62811632188</v>
      </c>
      <c r="N2378" s="17" t="s">
        <v>74</v>
      </c>
      <c r="V2378" s="18">
        <f>62811632188</f>
        <v>62811632188</v>
      </c>
    </row>
    <row r="2379" ht="15" customHeight="1" spans="1:28" x14ac:dyDescent="0.25">
      <c r="A2379" s="17" t="s">
        <v>7147</v>
      </c>
      <c r="B2379" s="17" t="s">
        <v>70</v>
      </c>
      <c r="C2379" s="17" t="s">
        <v>71</v>
      </c>
      <c r="D2379" t="s">
        <v>7145</v>
      </c>
      <c r="F2379" t="s">
        <v>7148</v>
      </c>
      <c r="J2379" s="17" t="s">
        <v>7149</v>
      </c>
      <c r="K2379" s="18" t="s">
        <v>7150</v>
      </c>
      <c r="N2379" s="17" t="s">
        <v>77</v>
      </c>
      <c r="O2379" t="s">
        <v>145</v>
      </c>
      <c r="V2379" s="18" t="s">
        <v>7150</v>
      </c>
      <c r="Y2379" t="s">
        <v>7151</v>
      </c>
      <c r="AA2379" t="s">
        <v>115</v>
      </c>
      <c r="AB2379" t="s">
        <v>119</v>
      </c>
    </row>
    <row r="2380" ht="15" customHeight="1" spans="1:23" x14ac:dyDescent="0.25">
      <c r="A2380" s="17" t="s">
        <v>7152</v>
      </c>
      <c r="B2380" s="17" t="s">
        <v>70</v>
      </c>
      <c r="C2380" s="17" t="s">
        <v>71</v>
      </c>
      <c r="D2380" t="s">
        <v>7145</v>
      </c>
      <c r="F2380" t="s">
        <v>7153</v>
      </c>
      <c r="K2380" s="18">
        <v>613162885237</v>
      </c>
      <c r="N2380" s="17" t="s">
        <v>81</v>
      </c>
      <c r="U2380" s="17"/>
      <c r="V2380" s="18">
        <v>613162885237</v>
      </c>
      <c r="W2380" t="s">
        <v>7154</v>
      </c>
    </row>
    <row r="2381" ht="15" customHeight="1" spans="1:25" x14ac:dyDescent="0.25">
      <c r="A2381" s="17" t="s">
        <v>7155</v>
      </c>
      <c r="B2381" s="17" t="s">
        <v>70</v>
      </c>
      <c r="C2381" s="17" t="s">
        <v>71</v>
      </c>
      <c r="D2381" t="s">
        <v>7145</v>
      </c>
      <c r="F2381" t="s">
        <v>1892</v>
      </c>
      <c r="K2381" s="18">
        <f>62818398008</f>
        <v>62818398008</v>
      </c>
      <c r="N2381" s="17" t="s">
        <v>77</v>
      </c>
      <c r="U2381" s="17"/>
      <c r="V2381" s="18">
        <f>62818398008</f>
        <v>62818398008</v>
      </c>
      <c r="W2381" t="s">
        <v>7156</v>
      </c>
      <c r="Y2381" s="17" t="s">
        <v>704</v>
      </c>
    </row>
    <row r="2382" ht="15" customHeight="1" spans="1:28" x14ac:dyDescent="0.25">
      <c r="A2382" s="17" t="s">
        <v>7157</v>
      </c>
      <c r="B2382" s="17" t="s">
        <v>70</v>
      </c>
      <c r="C2382" s="17" t="s">
        <v>71</v>
      </c>
      <c r="D2382" t="s">
        <v>7145</v>
      </c>
      <c r="F2382" t="s">
        <v>7158</v>
      </c>
      <c r="J2382" s="17" t="s">
        <v>7159</v>
      </c>
      <c r="K2382" s="18" t="s">
        <v>7160</v>
      </c>
      <c r="N2382" s="17" t="s">
        <v>77</v>
      </c>
      <c r="O2382" t="s">
        <v>199</v>
      </c>
      <c r="U2382" s="17"/>
      <c r="V2382" s="18" t="s">
        <v>7160</v>
      </c>
      <c r="W2382" t="s">
        <v>7161</v>
      </c>
      <c r="Y2382" t="s">
        <v>181</v>
      </c>
      <c r="AA2382" t="s">
        <v>1672</v>
      </c>
      <c r="AB2382" t="s">
        <v>119</v>
      </c>
    </row>
    <row r="2383" ht="15" customHeight="1" spans="1:28" x14ac:dyDescent="0.25">
      <c r="A2383" s="17" t="s">
        <v>7162</v>
      </c>
      <c r="B2383" s="17" t="s">
        <v>70</v>
      </c>
      <c r="C2383" s="17" t="s">
        <v>71</v>
      </c>
      <c r="D2383" t="s">
        <v>7163</v>
      </c>
      <c r="F2383" t="s">
        <v>7164</v>
      </c>
      <c r="J2383" s="17" t="s">
        <v>7165</v>
      </c>
      <c r="K2383" s="18" t="s">
        <v>7166</v>
      </c>
      <c r="N2383" s="17" t="s">
        <v>77</v>
      </c>
      <c r="O2383" t="s">
        <v>145</v>
      </c>
      <c r="U2383" s="17"/>
      <c r="V2383" s="18" t="s">
        <v>7166</v>
      </c>
      <c r="W2383" t="s">
        <v>7167</v>
      </c>
      <c r="Y2383" s="17" t="s">
        <v>451</v>
      </c>
      <c r="AA2383" t="s">
        <v>115</v>
      </c>
      <c r="AB2383" t="s">
        <v>451</v>
      </c>
    </row>
    <row r="2384" ht="15" customHeight="1" spans="1:22" x14ac:dyDescent="0.25">
      <c r="A2384" s="17" t="s">
        <v>7168</v>
      </c>
      <c r="B2384" s="17" t="s">
        <v>70</v>
      </c>
      <c r="C2384" s="17" t="s">
        <v>71</v>
      </c>
      <c r="D2384" t="s">
        <v>7145</v>
      </c>
      <c r="F2384" t="s">
        <v>7169</v>
      </c>
      <c r="K2384" s="18">
        <f>6281212123838</f>
        <v>6281212123838</v>
      </c>
      <c r="N2384" s="17" t="s">
        <v>81</v>
      </c>
      <c r="V2384" s="18">
        <f>6281212123838</f>
        <v>6281212123838</v>
      </c>
    </row>
    <row r="2385" ht="15" customHeight="1" spans="1:22" x14ac:dyDescent="0.25">
      <c r="A2385" s="17" t="s">
        <v>7170</v>
      </c>
      <c r="B2385" s="17" t="s">
        <v>70</v>
      </c>
      <c r="C2385" s="17" t="s">
        <v>71</v>
      </c>
      <c r="D2385" t="s">
        <v>7145</v>
      </c>
      <c r="F2385" t="s">
        <v>301</v>
      </c>
      <c r="K2385" s="18">
        <f>628111040904</f>
        <v>628111040904</v>
      </c>
      <c r="N2385" s="17" t="s">
        <v>77</v>
      </c>
      <c r="V2385" s="18">
        <f>628111040904</f>
        <v>628111040904</v>
      </c>
    </row>
    <row r="2386" ht="15" customHeight="1" spans="1:27" x14ac:dyDescent="0.25">
      <c r="A2386" s="17" t="s">
        <v>7171</v>
      </c>
      <c r="B2386" s="17" t="s">
        <v>70</v>
      </c>
      <c r="C2386" s="17" t="s">
        <v>71</v>
      </c>
      <c r="D2386" t="s">
        <v>7145</v>
      </c>
      <c r="F2386" t="s">
        <v>7172</v>
      </c>
      <c r="K2386" s="18">
        <f>6287861416898</f>
        <v>6287861416898</v>
      </c>
      <c r="N2386" s="17" t="s">
        <v>81</v>
      </c>
      <c r="U2386" s="17"/>
      <c r="V2386" s="18">
        <f>6287861416898</f>
        <v>6287861416898</v>
      </c>
      <c r="W2386" t="s">
        <v>7173</v>
      </c>
      <c r="AA2386" s="17">
        <v>11470</v>
      </c>
    </row>
    <row r="2387" ht="15" customHeight="1" spans="1:22" x14ac:dyDescent="0.25">
      <c r="A2387" s="17" t="s">
        <v>7174</v>
      </c>
      <c r="B2387" s="17" t="s">
        <v>70</v>
      </c>
      <c r="C2387" s="17" t="s">
        <v>71</v>
      </c>
      <c r="D2387" t="s">
        <v>7175</v>
      </c>
      <c r="F2387" t="s">
        <v>7176</v>
      </c>
      <c r="K2387" s="18">
        <f>62811809987</f>
        <v>62811809987</v>
      </c>
      <c r="N2387" s="17" t="s">
        <v>81</v>
      </c>
      <c r="V2387" s="18">
        <f>62811809987</f>
        <v>62811809987</v>
      </c>
    </row>
    <row r="2388" ht="15" customHeight="1" spans="1:28" x14ac:dyDescent="0.25">
      <c r="A2388" s="17" t="s">
        <v>7177</v>
      </c>
      <c r="B2388" s="17" t="s">
        <v>70</v>
      </c>
      <c r="C2388" s="17" t="s">
        <v>71</v>
      </c>
      <c r="D2388" t="s">
        <v>7175</v>
      </c>
      <c r="F2388" t="s">
        <v>7178</v>
      </c>
      <c r="J2388" s="17" t="s">
        <v>7179</v>
      </c>
      <c r="K2388" s="18" t="s">
        <v>7180</v>
      </c>
      <c r="N2388" s="17" t="s">
        <v>77</v>
      </c>
      <c r="O2388" t="s">
        <v>145</v>
      </c>
      <c r="U2388" s="17"/>
      <c r="V2388" s="18" t="s">
        <v>7180</v>
      </c>
      <c r="W2388" t="s">
        <v>7181</v>
      </c>
      <c r="Y2388" t="s">
        <v>90</v>
      </c>
      <c r="AA2388" t="s">
        <v>118</v>
      </c>
      <c r="AB2388" t="s">
        <v>119</v>
      </c>
    </row>
    <row r="2389" ht="15" customHeight="1" spans="1:28" x14ac:dyDescent="0.25">
      <c r="A2389" s="17" t="s">
        <v>7182</v>
      </c>
      <c r="B2389" s="17" t="s">
        <v>70</v>
      </c>
      <c r="C2389" s="17" t="s">
        <v>71</v>
      </c>
      <c r="D2389" t="s">
        <v>7183</v>
      </c>
      <c r="F2389" t="s">
        <v>7183</v>
      </c>
      <c r="J2389" t="s">
        <v>115</v>
      </c>
      <c r="K2389" s="18" t="s">
        <v>7184</v>
      </c>
      <c r="N2389" s="17" t="s">
        <v>74</v>
      </c>
      <c r="O2389" t="s">
        <v>117</v>
      </c>
      <c r="V2389" s="18" t="s">
        <v>7184</v>
      </c>
      <c r="Y2389" t="s">
        <v>190</v>
      </c>
      <c r="AA2389" t="s">
        <v>118</v>
      </c>
      <c r="AB2389" t="s">
        <v>3140</v>
      </c>
    </row>
    <row r="2390" ht="15" customHeight="1" spans="1:25" x14ac:dyDescent="0.25">
      <c r="A2390" s="17" t="s">
        <v>7185</v>
      </c>
      <c r="B2390" s="17" t="s">
        <v>70</v>
      </c>
      <c r="C2390" s="17" t="s">
        <v>71</v>
      </c>
      <c r="D2390" t="s">
        <v>7183</v>
      </c>
      <c r="F2390" t="s">
        <v>3866</v>
      </c>
      <c r="J2390" s="17" t="s">
        <v>7186</v>
      </c>
      <c r="K2390" s="18">
        <f>6281291989888</f>
        <v>6281291989888</v>
      </c>
      <c r="N2390" s="17" t="s">
        <v>81</v>
      </c>
      <c r="U2390" s="17"/>
      <c r="V2390" s="18">
        <f>6281291989888</f>
        <v>6281291989888</v>
      </c>
      <c r="W2390" t="s">
        <v>7187</v>
      </c>
      <c r="Y2390" s="17" t="s">
        <v>1084</v>
      </c>
    </row>
    <row r="2391" ht="15" customHeight="1" spans="1:28" x14ac:dyDescent="0.25">
      <c r="A2391" s="17" t="s">
        <v>7188</v>
      </c>
      <c r="B2391" s="17" t="s">
        <v>70</v>
      </c>
      <c r="C2391" s="17" t="s">
        <v>71</v>
      </c>
      <c r="D2391" t="s">
        <v>7183</v>
      </c>
      <c r="F2391" t="s">
        <v>3585</v>
      </c>
      <c r="J2391" t="s">
        <v>115</v>
      </c>
      <c r="K2391" s="18" t="s">
        <v>7189</v>
      </c>
      <c r="N2391" s="17" t="s">
        <v>77</v>
      </c>
      <c r="O2391" t="s">
        <v>117</v>
      </c>
      <c r="U2391" s="17"/>
      <c r="V2391" s="18" t="s">
        <v>7189</v>
      </c>
      <c r="W2391" t="s">
        <v>7190</v>
      </c>
      <c r="Y2391" s="17" t="s">
        <v>515</v>
      </c>
      <c r="AA2391" t="s">
        <v>1614</v>
      </c>
      <c r="AB2391" t="s">
        <v>119</v>
      </c>
    </row>
    <row r="2392" ht="15" customHeight="1" spans="1:22" x14ac:dyDescent="0.25">
      <c r="A2392" s="17" t="s">
        <v>7191</v>
      </c>
      <c r="B2392" s="17" t="s">
        <v>70</v>
      </c>
      <c r="C2392" s="17" t="s">
        <v>71</v>
      </c>
      <c r="D2392" t="s">
        <v>7192</v>
      </c>
      <c r="F2392" t="s">
        <v>2478</v>
      </c>
      <c r="K2392" s="18">
        <f>6282260307979</f>
        <v>6282260307979</v>
      </c>
      <c r="N2392" s="17" t="s">
        <v>74</v>
      </c>
      <c r="V2392" s="18">
        <f>6282260307979</f>
        <v>6282260307979</v>
      </c>
    </row>
    <row r="2393" ht="15" customHeight="1" spans="1:22" x14ac:dyDescent="0.25">
      <c r="A2393" s="17" t="s">
        <v>7193</v>
      </c>
      <c r="B2393" s="17" t="s">
        <v>70</v>
      </c>
      <c r="C2393" s="17" t="s">
        <v>71</v>
      </c>
      <c r="D2393" t="s">
        <v>7194</v>
      </c>
      <c r="F2393" t="s">
        <v>7195</v>
      </c>
      <c r="K2393" s="18">
        <f>6281291888818</f>
        <v>6281291888818</v>
      </c>
      <c r="N2393" s="17" t="s">
        <v>81</v>
      </c>
      <c r="V2393" s="18">
        <f>6281291888818</f>
        <v>6281291888818</v>
      </c>
    </row>
    <row r="2394" ht="15" customHeight="1" spans="1:22" x14ac:dyDescent="0.25">
      <c r="A2394" s="17" t="s">
        <v>7196</v>
      </c>
      <c r="B2394" s="17" t="s">
        <v>70</v>
      </c>
      <c r="C2394" s="17" t="s">
        <v>71</v>
      </c>
      <c r="D2394" t="s">
        <v>7197</v>
      </c>
      <c r="F2394" t="s">
        <v>7198</v>
      </c>
      <c r="K2394" s="18">
        <f>6281284856000</f>
        <v>6281284856000</v>
      </c>
      <c r="N2394" s="17" t="s">
        <v>77</v>
      </c>
      <c r="V2394" s="18">
        <f>6281284856000</f>
        <v>6281284856000</v>
      </c>
    </row>
    <row r="2395" ht="15" customHeight="1" spans="1:22" x14ac:dyDescent="0.25">
      <c r="A2395" s="17" t="s">
        <v>7199</v>
      </c>
      <c r="B2395" s="17" t="s">
        <v>70</v>
      </c>
      <c r="C2395" s="17" t="s">
        <v>71</v>
      </c>
      <c r="D2395" t="s">
        <v>7200</v>
      </c>
      <c r="F2395" t="s">
        <v>7201</v>
      </c>
      <c r="K2395" s="18">
        <f>6287888666186</f>
        <v>6287888666186</v>
      </c>
      <c r="N2395" s="17" t="s">
        <v>77</v>
      </c>
      <c r="V2395" s="18">
        <f>6287888666186</f>
        <v>6287888666186</v>
      </c>
    </row>
    <row r="2396" ht="15" customHeight="1" spans="1:22" x14ac:dyDescent="0.25">
      <c r="A2396" s="17" t="s">
        <v>7202</v>
      </c>
      <c r="B2396" s="17" t="s">
        <v>70</v>
      </c>
      <c r="C2396" s="17" t="s">
        <v>71</v>
      </c>
      <c r="D2396" t="s">
        <v>7203</v>
      </c>
      <c r="F2396" t="s">
        <v>7203</v>
      </c>
      <c r="K2396" s="18">
        <f>62811864352</f>
        <v>62811864352</v>
      </c>
      <c r="N2396" s="17" t="s">
        <v>77</v>
      </c>
      <c r="V2396" s="18">
        <f>62811864352</f>
        <v>62811864352</v>
      </c>
    </row>
    <row r="2397" ht="15" customHeight="1" spans="1:23" x14ac:dyDescent="0.25">
      <c r="A2397" s="17" t="s">
        <v>7204</v>
      </c>
      <c r="B2397" s="17" t="s">
        <v>70</v>
      </c>
      <c r="C2397" s="17" t="s">
        <v>71</v>
      </c>
      <c r="D2397" t="s">
        <v>7203</v>
      </c>
      <c r="F2397" t="s">
        <v>7203</v>
      </c>
      <c r="K2397" s="18">
        <f>62811884352</f>
        <v>62811884352</v>
      </c>
      <c r="N2397" s="17" t="s">
        <v>77</v>
      </c>
      <c r="U2397" s="17"/>
      <c r="V2397" s="18">
        <f>62811884352</f>
        <v>62811884352</v>
      </c>
      <c r="W2397" t="s">
        <v>7205</v>
      </c>
    </row>
    <row r="2398" ht="15" customHeight="1" spans="1:22" x14ac:dyDescent="0.25">
      <c r="A2398" s="17" t="s">
        <v>7206</v>
      </c>
      <c r="B2398" s="17" t="s">
        <v>70</v>
      </c>
      <c r="C2398" s="17" t="s">
        <v>71</v>
      </c>
      <c r="D2398" t="s">
        <v>7207</v>
      </c>
      <c r="F2398" t="s">
        <v>2803</v>
      </c>
      <c r="K2398" s="18">
        <f>62811836037</f>
        <v>62811836037</v>
      </c>
      <c r="N2398" s="17" t="s">
        <v>77</v>
      </c>
      <c r="V2398" s="18">
        <f>62811836037</f>
        <v>62811836037</v>
      </c>
    </row>
    <row r="2399" ht="15" customHeight="1" spans="1:28" x14ac:dyDescent="0.25">
      <c r="A2399" s="17" t="s">
        <v>7208</v>
      </c>
      <c r="B2399" s="17" t="s">
        <v>70</v>
      </c>
      <c r="C2399" s="17" t="s">
        <v>71</v>
      </c>
      <c r="D2399" t="s">
        <v>7209</v>
      </c>
      <c r="F2399" t="s">
        <v>7210</v>
      </c>
      <c r="J2399" t="s">
        <v>115</v>
      </c>
      <c r="K2399" s="18" t="s">
        <v>7211</v>
      </c>
      <c r="N2399" s="17" t="s">
        <v>74</v>
      </c>
      <c r="O2399" t="s">
        <v>489</v>
      </c>
      <c r="U2399" s="17"/>
      <c r="V2399" s="18" t="s">
        <v>7211</v>
      </c>
      <c r="W2399" t="s">
        <v>7212</v>
      </c>
      <c r="Y2399" t="s">
        <v>90</v>
      </c>
      <c r="AA2399" t="s">
        <v>118</v>
      </c>
      <c r="AB2399" t="s">
        <v>119</v>
      </c>
    </row>
    <row r="2400" ht="15" customHeight="1" spans="1:22" x14ac:dyDescent="0.25">
      <c r="A2400" s="17" t="s">
        <v>7213</v>
      </c>
      <c r="B2400" s="17" t="s">
        <v>70</v>
      </c>
      <c r="C2400" s="17" t="s">
        <v>71</v>
      </c>
      <c r="D2400" t="s">
        <v>7214</v>
      </c>
      <c r="F2400" t="s">
        <v>1564</v>
      </c>
      <c r="K2400" s="18">
        <f>62811155900</f>
        <v>62811155900</v>
      </c>
      <c r="N2400" s="17" t="s">
        <v>77</v>
      </c>
      <c r="V2400" s="18">
        <f>62811155900</f>
        <v>62811155900</v>
      </c>
    </row>
    <row r="2401" ht="15" customHeight="1" spans="1:22" x14ac:dyDescent="0.25">
      <c r="A2401" s="17" t="s">
        <v>7215</v>
      </c>
      <c r="B2401" s="17" t="s">
        <v>70</v>
      </c>
      <c r="C2401" s="17" t="s">
        <v>71</v>
      </c>
      <c r="D2401" t="s">
        <v>7216</v>
      </c>
      <c r="F2401" t="s">
        <v>1564</v>
      </c>
      <c r="K2401" s="18">
        <f>62811155300</f>
        <v>62811155300</v>
      </c>
      <c r="N2401" s="17" t="s">
        <v>81</v>
      </c>
      <c r="V2401" s="18">
        <f>62811155300</f>
        <v>62811155300</v>
      </c>
    </row>
    <row r="2402" ht="15" customHeight="1" spans="1:28" x14ac:dyDescent="0.25">
      <c r="A2402" s="17" t="s">
        <v>7217</v>
      </c>
      <c r="B2402" s="17" t="s">
        <v>70</v>
      </c>
      <c r="C2402" s="17" t="s">
        <v>71</v>
      </c>
      <c r="D2402" t="s">
        <v>7218</v>
      </c>
      <c r="F2402" t="s">
        <v>7219</v>
      </c>
      <c r="J2402" t="s">
        <v>115</v>
      </c>
      <c r="K2402" s="18" t="s">
        <v>7220</v>
      </c>
      <c r="N2402" s="17" t="s">
        <v>77</v>
      </c>
      <c r="O2402" t="s">
        <v>199</v>
      </c>
      <c r="U2402" s="17"/>
      <c r="V2402" s="18" t="s">
        <v>7220</v>
      </c>
      <c r="W2402" t="s">
        <v>7221</v>
      </c>
      <c r="Y2402" s="17" t="s">
        <v>90</v>
      </c>
      <c r="AA2402" t="s">
        <v>118</v>
      </c>
      <c r="AB2402" t="s">
        <v>119</v>
      </c>
    </row>
    <row r="2403" ht="15" customHeight="1" spans="1:23" x14ac:dyDescent="0.25">
      <c r="A2403" s="17" t="s">
        <v>7222</v>
      </c>
      <c r="B2403" s="17" t="s">
        <v>70</v>
      </c>
      <c r="C2403" s="17" t="s">
        <v>71</v>
      </c>
      <c r="D2403" t="s">
        <v>7223</v>
      </c>
      <c r="F2403" t="s">
        <v>7224</v>
      </c>
      <c r="K2403" s="18">
        <f>61408767787</f>
        <v>61408767787</v>
      </c>
      <c r="N2403" s="17" t="s">
        <v>77</v>
      </c>
      <c r="U2403" s="17"/>
      <c r="V2403" s="18">
        <f>61408767787</f>
        <v>61408767787</v>
      </c>
      <c r="W2403" t="s">
        <v>1903</v>
      </c>
    </row>
    <row r="2404" ht="15" customHeight="1" spans="1:23" x14ac:dyDescent="0.25">
      <c r="A2404" s="17" t="s">
        <v>7225</v>
      </c>
      <c r="B2404" s="17" t="s">
        <v>70</v>
      </c>
      <c r="C2404" s="17" t="s">
        <v>71</v>
      </c>
      <c r="D2404" t="s">
        <v>7226</v>
      </c>
      <c r="F2404" t="s">
        <v>7227</v>
      </c>
      <c r="J2404" s="17" t="s">
        <v>7228</v>
      </c>
      <c r="K2404" s="18">
        <f>60122719183</f>
        <v>60122719183</v>
      </c>
      <c r="N2404" s="17" t="s">
        <v>77</v>
      </c>
      <c r="U2404" s="17"/>
      <c r="V2404" s="18">
        <f>60122719183</f>
        <v>60122719183</v>
      </c>
      <c r="W2404" t="s">
        <v>7229</v>
      </c>
    </row>
    <row r="2405" ht="15" customHeight="1" spans="1:22" x14ac:dyDescent="0.25">
      <c r="A2405" s="17" t="s">
        <v>7230</v>
      </c>
      <c r="B2405" s="17" t="s">
        <v>70</v>
      </c>
      <c r="C2405" s="17" t="s">
        <v>71</v>
      </c>
      <c r="D2405" t="s">
        <v>7231</v>
      </c>
      <c r="F2405" t="s">
        <v>1382</v>
      </c>
      <c r="J2405" s="17" t="s">
        <v>7232</v>
      </c>
      <c r="K2405" s="18">
        <f>85290117466</f>
        <v>85290117466</v>
      </c>
      <c r="N2405" s="17" t="s">
        <v>77</v>
      </c>
      <c r="V2405" s="18">
        <f>85290117466</f>
        <v>85290117466</v>
      </c>
    </row>
    <row r="2406" ht="15" customHeight="1" spans="1:28" x14ac:dyDescent="0.25">
      <c r="A2406" s="17" t="s">
        <v>7233</v>
      </c>
      <c r="B2406" s="17" t="s">
        <v>70</v>
      </c>
      <c r="C2406" s="17" t="s">
        <v>71</v>
      </c>
      <c r="D2406" t="s">
        <v>7234</v>
      </c>
      <c r="F2406" t="s">
        <v>7235</v>
      </c>
      <c r="J2406" s="17" t="s">
        <v>7236</v>
      </c>
      <c r="K2406" s="18" t="s">
        <v>7237</v>
      </c>
      <c r="N2406" s="17" t="s">
        <v>77</v>
      </c>
      <c r="O2406" t="s">
        <v>145</v>
      </c>
      <c r="U2406" s="17"/>
      <c r="V2406" s="18" t="s">
        <v>7237</v>
      </c>
      <c r="W2406" t="s">
        <v>7229</v>
      </c>
      <c r="Y2406" t="s">
        <v>7238</v>
      </c>
      <c r="AA2406" t="s">
        <v>115</v>
      </c>
      <c r="AB2406" t="s">
        <v>7238</v>
      </c>
    </row>
    <row r="2407" ht="15" customHeight="1" spans="1:28" x14ac:dyDescent="0.25">
      <c r="A2407" s="17" t="s">
        <v>7239</v>
      </c>
      <c r="B2407" s="17" t="s">
        <v>70</v>
      </c>
      <c r="C2407" s="17" t="s">
        <v>71</v>
      </c>
      <c r="D2407" t="s">
        <v>7240</v>
      </c>
      <c r="F2407" t="s">
        <v>7241</v>
      </c>
      <c r="J2407" t="s">
        <v>115</v>
      </c>
      <c r="K2407" s="18" t="s">
        <v>7242</v>
      </c>
      <c r="N2407" s="17" t="s">
        <v>77</v>
      </c>
      <c r="O2407" t="s">
        <v>117</v>
      </c>
      <c r="V2407" s="18" t="s">
        <v>7242</v>
      </c>
      <c r="Y2407" t="s">
        <v>190</v>
      </c>
      <c r="AA2407" t="s">
        <v>118</v>
      </c>
      <c r="AB2407" t="s">
        <v>119</v>
      </c>
    </row>
    <row r="2408" ht="15" customHeight="1" spans="1:22" x14ac:dyDescent="0.25">
      <c r="A2408" s="17" t="s">
        <v>7243</v>
      </c>
      <c r="B2408" s="17" t="s">
        <v>70</v>
      </c>
      <c r="C2408" s="17" t="s">
        <v>71</v>
      </c>
      <c r="D2408" t="s">
        <v>7244</v>
      </c>
      <c r="F2408" t="s">
        <v>7245</v>
      </c>
      <c r="K2408" s="18">
        <f>62811850111</f>
        <v>62811850111</v>
      </c>
      <c r="N2408" s="17" t="s">
        <v>77</v>
      </c>
      <c r="V2408" s="18">
        <f>62811850111</f>
        <v>62811850111</v>
      </c>
    </row>
    <row r="2409" ht="15" customHeight="1" spans="1:27" x14ac:dyDescent="0.25">
      <c r="A2409" s="17" t="s">
        <v>7246</v>
      </c>
      <c r="B2409" s="17" t="s">
        <v>70</v>
      </c>
      <c r="C2409" s="17" t="s">
        <v>71</v>
      </c>
      <c r="D2409" t="s">
        <v>7247</v>
      </c>
      <c r="F2409" t="s">
        <v>7248</v>
      </c>
      <c r="K2409" s="18">
        <f>628159797997</f>
        <v>628159797997</v>
      </c>
      <c r="N2409" s="17" t="s">
        <v>77</v>
      </c>
      <c r="U2409" s="17"/>
      <c r="V2409" s="18">
        <f>628159797997</f>
        <v>628159797997</v>
      </c>
      <c r="W2409" t="s">
        <v>7249</v>
      </c>
      <c r="Y2409" s="17" t="s">
        <v>1119</v>
      </c>
      <c r="AA2409" s="17" t="s">
        <v>7250</v>
      </c>
    </row>
    <row r="2410" ht="15" customHeight="1" spans="1:28" x14ac:dyDescent="0.25">
      <c r="A2410" s="17" t="s">
        <v>7251</v>
      </c>
      <c r="B2410" s="17" t="s">
        <v>70</v>
      </c>
      <c r="C2410" s="17" t="s">
        <v>71</v>
      </c>
      <c r="D2410" t="s">
        <v>7252</v>
      </c>
      <c r="F2410" t="s">
        <v>6988</v>
      </c>
      <c r="J2410" t="s">
        <v>115</v>
      </c>
      <c r="K2410" s="18" t="s">
        <v>7253</v>
      </c>
      <c r="N2410" s="17" t="s">
        <v>77</v>
      </c>
      <c r="O2410" t="s">
        <v>145</v>
      </c>
      <c r="V2410" s="18" t="s">
        <v>7253</v>
      </c>
      <c r="Y2410" t="s">
        <v>90</v>
      </c>
      <c r="AA2410" t="s">
        <v>118</v>
      </c>
      <c r="AB2410" t="s">
        <v>119</v>
      </c>
    </row>
    <row r="2411" ht="15" customHeight="1" spans="1:27" x14ac:dyDescent="0.25">
      <c r="A2411" s="17" t="s">
        <v>7254</v>
      </c>
      <c r="B2411" s="17" t="s">
        <v>70</v>
      </c>
      <c r="C2411" s="17" t="s">
        <v>71</v>
      </c>
      <c r="D2411" t="s">
        <v>7252</v>
      </c>
      <c r="F2411" t="s">
        <v>879</v>
      </c>
      <c r="J2411" s="17" t="s">
        <v>7255</v>
      </c>
      <c r="K2411" s="18">
        <f>62818616545</f>
        <v>62818616545</v>
      </c>
      <c r="N2411" s="17" t="s">
        <v>81</v>
      </c>
      <c r="U2411" s="17"/>
      <c r="V2411" s="18">
        <f>62818616545</f>
        <v>62818616545</v>
      </c>
      <c r="W2411" t="s">
        <v>7256</v>
      </c>
      <c r="Y2411" s="17" t="s">
        <v>96</v>
      </c>
      <c r="AA2411" s="17">
        <v>12440</v>
      </c>
    </row>
    <row r="2412" ht="15" customHeight="1" spans="1:28" x14ac:dyDescent="0.25">
      <c r="A2412" s="17" t="s">
        <v>7257</v>
      </c>
      <c r="B2412" s="17" t="s">
        <v>70</v>
      </c>
      <c r="C2412" s="17" t="s">
        <v>71</v>
      </c>
      <c r="D2412" t="s">
        <v>7252</v>
      </c>
      <c r="F2412" t="s">
        <v>7258</v>
      </c>
      <c r="J2412" s="17" t="s">
        <v>7259</v>
      </c>
      <c r="K2412" s="18" t="s">
        <v>7260</v>
      </c>
      <c r="N2412" s="17" t="s">
        <v>77</v>
      </c>
      <c r="O2412" t="s">
        <v>199</v>
      </c>
      <c r="U2412" s="17"/>
      <c r="V2412" s="18" t="s">
        <v>7260</v>
      </c>
      <c r="W2412" t="s">
        <v>7261</v>
      </c>
      <c r="Y2412" s="17" t="s">
        <v>90</v>
      </c>
      <c r="AA2412" t="s">
        <v>118</v>
      </c>
      <c r="AB2412" t="s">
        <v>119</v>
      </c>
    </row>
    <row r="2413" ht="15" customHeight="1" spans="1:28" x14ac:dyDescent="0.25">
      <c r="A2413" s="17" t="s">
        <v>7262</v>
      </c>
      <c r="B2413" s="17" t="s">
        <v>70</v>
      </c>
      <c r="C2413" s="17" t="s">
        <v>71</v>
      </c>
      <c r="D2413" t="s">
        <v>7263</v>
      </c>
      <c r="F2413" t="s">
        <v>7264</v>
      </c>
      <c r="J2413" t="s">
        <v>7265</v>
      </c>
      <c r="K2413" s="18" t="s">
        <v>7266</v>
      </c>
      <c r="N2413" s="17" t="s">
        <v>77</v>
      </c>
      <c r="O2413" t="s">
        <v>145</v>
      </c>
      <c r="V2413" s="18" t="s">
        <v>7266</v>
      </c>
      <c r="Y2413" t="s">
        <v>190</v>
      </c>
      <c r="AA2413" t="s">
        <v>118</v>
      </c>
      <c r="AB2413" t="s">
        <v>119</v>
      </c>
    </row>
    <row r="2414" ht="15" customHeight="1" spans="1:22" x14ac:dyDescent="0.25">
      <c r="A2414" s="17" t="s">
        <v>7267</v>
      </c>
      <c r="B2414" s="17" t="s">
        <v>70</v>
      </c>
      <c r="C2414" s="17" t="s">
        <v>71</v>
      </c>
      <c r="D2414" t="s">
        <v>3866</v>
      </c>
      <c r="F2414" t="s">
        <v>3866</v>
      </c>
      <c r="K2414" s="18">
        <f>6281383879798</f>
        <v>6281383879798</v>
      </c>
      <c r="N2414" s="17" t="s">
        <v>77</v>
      </c>
      <c r="V2414" s="18">
        <f>6281383879798</f>
        <v>6281383879798</v>
      </c>
    </row>
    <row r="2415" ht="15" customHeight="1" spans="1:25" x14ac:dyDescent="0.25">
      <c r="A2415" s="17" t="s">
        <v>7268</v>
      </c>
      <c r="B2415" s="17" t="s">
        <v>70</v>
      </c>
      <c r="C2415" s="17" t="s">
        <v>71</v>
      </c>
      <c r="D2415" t="s">
        <v>3866</v>
      </c>
      <c r="F2415" t="s">
        <v>3866</v>
      </c>
      <c r="K2415" s="18">
        <v>81218222142</v>
      </c>
      <c r="N2415" s="17" t="s">
        <v>77</v>
      </c>
      <c r="V2415" s="18">
        <v>81218222142</v>
      </c>
      <c r="Y2415" s="17" t="s">
        <v>7269</v>
      </c>
    </row>
    <row r="2416" ht="15" customHeight="1" spans="1:28" x14ac:dyDescent="0.25">
      <c r="A2416" s="17" t="s">
        <v>7270</v>
      </c>
      <c r="B2416" s="17" t="s">
        <v>70</v>
      </c>
      <c r="C2416" s="17" t="s">
        <v>71</v>
      </c>
      <c r="D2416" t="s">
        <v>7271</v>
      </c>
      <c r="F2416" t="s">
        <v>7272</v>
      </c>
      <c r="J2416" s="17" t="s">
        <v>7273</v>
      </c>
      <c r="K2416" s="18" t="s">
        <v>7274</v>
      </c>
      <c r="N2416" s="17" t="s">
        <v>77</v>
      </c>
      <c r="O2416" t="s">
        <v>145</v>
      </c>
      <c r="V2416" s="18" t="s">
        <v>7274</v>
      </c>
      <c r="Y2416" t="s">
        <v>115</v>
      </c>
      <c r="AA2416" t="s">
        <v>115</v>
      </c>
      <c r="AB2416" t="s">
        <v>451</v>
      </c>
    </row>
    <row r="2417" ht="15" customHeight="1" spans="1:28" x14ac:dyDescent="0.25">
      <c r="A2417" s="17" t="s">
        <v>7275</v>
      </c>
      <c r="B2417" s="17" t="s">
        <v>70</v>
      </c>
      <c r="C2417" s="17" t="s">
        <v>71</v>
      </c>
      <c r="D2417" t="s">
        <v>7276</v>
      </c>
      <c r="F2417" t="s">
        <v>1184</v>
      </c>
      <c r="J2417" t="s">
        <v>115</v>
      </c>
      <c r="K2417" s="18" t="s">
        <v>7277</v>
      </c>
      <c r="N2417" s="17" t="s">
        <v>81</v>
      </c>
      <c r="O2417" t="s">
        <v>117</v>
      </c>
      <c r="V2417" s="18" t="s">
        <v>7277</v>
      </c>
      <c r="Y2417" t="s">
        <v>90</v>
      </c>
      <c r="AA2417" t="s">
        <v>118</v>
      </c>
      <c r="AB2417" t="s">
        <v>119</v>
      </c>
    </row>
    <row r="2418" ht="15" customHeight="1" spans="1:23" x14ac:dyDescent="0.25">
      <c r="A2418" s="17" t="s">
        <v>7278</v>
      </c>
      <c r="B2418" s="17" t="s">
        <v>70</v>
      </c>
      <c r="C2418" s="17" t="s">
        <v>71</v>
      </c>
      <c r="D2418" t="s">
        <v>3866</v>
      </c>
      <c r="F2418" t="s">
        <v>7279</v>
      </c>
      <c r="K2418" s="18">
        <f>886912218788</f>
        <v>886912218788</v>
      </c>
      <c r="N2418" s="17" t="s">
        <v>77</v>
      </c>
      <c r="U2418" s="17"/>
      <c r="V2418" s="18">
        <f>886912218788</f>
        <v>886912218788</v>
      </c>
      <c r="W2418" t="s">
        <v>7107</v>
      </c>
    </row>
    <row r="2419" ht="15" customHeight="1" spans="1:22" x14ac:dyDescent="0.25">
      <c r="A2419" s="17" t="s">
        <v>7280</v>
      </c>
      <c r="B2419" s="17" t="s">
        <v>70</v>
      </c>
      <c r="C2419" s="17" t="s">
        <v>71</v>
      </c>
      <c r="D2419" t="s">
        <v>3866</v>
      </c>
      <c r="F2419" t="s">
        <v>7281</v>
      </c>
      <c r="K2419" s="18">
        <f>6282198990606</f>
        <v>6282198990606</v>
      </c>
      <c r="N2419" s="17" t="s">
        <v>81</v>
      </c>
      <c r="V2419" s="18">
        <f>6282198990606</f>
        <v>6282198990606</v>
      </c>
    </row>
    <row r="2420" ht="15" customHeight="1" spans="1:22" x14ac:dyDescent="0.25">
      <c r="A2420" s="17" t="s">
        <v>7282</v>
      </c>
      <c r="B2420" s="17" t="s">
        <v>70</v>
      </c>
      <c r="C2420" s="17" t="s">
        <v>71</v>
      </c>
      <c r="D2420" t="s">
        <v>3866</v>
      </c>
      <c r="F2420" t="s">
        <v>7283</v>
      </c>
      <c r="K2420" s="18">
        <f>6213616717818</f>
        <v>6213616717818</v>
      </c>
      <c r="N2420" s="17" t="s">
        <v>81</v>
      </c>
      <c r="V2420" s="18">
        <f>6213616717818</f>
        <v>6213616717818</v>
      </c>
    </row>
    <row r="2421" ht="15" customHeight="1" spans="1:23" x14ac:dyDescent="0.25">
      <c r="A2421" s="17" t="s">
        <v>7284</v>
      </c>
      <c r="B2421" s="17" t="s">
        <v>70</v>
      </c>
      <c r="C2421" s="17" t="s">
        <v>71</v>
      </c>
      <c r="D2421" t="s">
        <v>3866</v>
      </c>
      <c r="F2421" t="s">
        <v>7285</v>
      </c>
      <c r="K2421" s="18">
        <f>6590825483</f>
        <v>6590825483</v>
      </c>
      <c r="N2421" s="17" t="s">
        <v>77</v>
      </c>
      <c r="U2421" s="17"/>
      <c r="V2421" s="18">
        <f>6590825483</f>
        <v>6590825483</v>
      </c>
      <c r="W2421" t="s">
        <v>3140</v>
      </c>
    </row>
    <row r="2422" ht="15" customHeight="1" spans="1:23" x14ac:dyDescent="0.25">
      <c r="A2422" s="17" t="s">
        <v>7286</v>
      </c>
      <c r="B2422" s="17" t="s">
        <v>70</v>
      </c>
      <c r="C2422" s="17" t="s">
        <v>71</v>
      </c>
      <c r="D2422" t="s">
        <v>3866</v>
      </c>
      <c r="F2422" t="s">
        <v>5942</v>
      </c>
      <c r="K2422" s="18">
        <f>6281511000369</f>
        <v>6281511000369</v>
      </c>
      <c r="N2422" s="17" t="s">
        <v>77</v>
      </c>
      <c r="U2422" s="17"/>
      <c r="V2422" s="18">
        <f>6281511000369</f>
        <v>6281511000369</v>
      </c>
      <c r="W2422" t="s">
        <v>7287</v>
      </c>
    </row>
    <row r="2423" ht="15" customHeight="1" spans="1:23" x14ac:dyDescent="0.25">
      <c r="A2423" s="17" t="s">
        <v>7288</v>
      </c>
      <c r="B2423" s="17" t="s">
        <v>70</v>
      </c>
      <c r="C2423" s="17" t="s">
        <v>71</v>
      </c>
      <c r="D2423" t="s">
        <v>3866</v>
      </c>
      <c r="F2423" t="s">
        <v>7289</v>
      </c>
      <c r="K2423" s="18">
        <f>889793089658</f>
        <v>889793089658</v>
      </c>
      <c r="N2423" s="17" t="s">
        <v>77</v>
      </c>
      <c r="U2423" s="17"/>
      <c r="V2423" s="18">
        <f>889793089658</f>
        <v>889793089658</v>
      </c>
      <c r="W2423" t="s">
        <v>7107</v>
      </c>
    </row>
    <row r="2424" ht="15" customHeight="1" spans="1:22" x14ac:dyDescent="0.25">
      <c r="A2424" s="17" t="s">
        <v>7290</v>
      </c>
      <c r="B2424" s="17" t="s">
        <v>70</v>
      </c>
      <c r="C2424" s="17" t="s">
        <v>71</v>
      </c>
      <c r="D2424" t="s">
        <v>3866</v>
      </c>
      <c r="F2424" t="s">
        <v>7291</v>
      </c>
      <c r="K2424" s="18">
        <f>6587578888</f>
        <v>6587578888</v>
      </c>
      <c r="N2424" s="17" t="s">
        <v>4266</v>
      </c>
      <c r="V2424" s="18">
        <f>6587578888</f>
        <v>6587578888</v>
      </c>
    </row>
    <row r="2425" ht="15" customHeight="1" spans="1:23" x14ac:dyDescent="0.25">
      <c r="A2425" s="17" t="s">
        <v>7292</v>
      </c>
      <c r="B2425" s="17" t="s">
        <v>70</v>
      </c>
      <c r="C2425" s="17" t="s">
        <v>71</v>
      </c>
      <c r="D2425" t="s">
        <v>3866</v>
      </c>
      <c r="F2425" t="s">
        <v>7293</v>
      </c>
      <c r="K2425" s="18">
        <f>6597381666</f>
        <v>6597381666</v>
      </c>
      <c r="N2425" s="17" t="s">
        <v>77</v>
      </c>
      <c r="U2425" s="17"/>
      <c r="V2425" s="18">
        <f>6597381666</f>
        <v>6597381666</v>
      </c>
      <c r="W2425" t="s">
        <v>3140</v>
      </c>
    </row>
    <row r="2426" ht="15" customHeight="1" spans="1:22" x14ac:dyDescent="0.25">
      <c r="A2426" s="17" t="s">
        <v>7294</v>
      </c>
      <c r="B2426" s="17" t="s">
        <v>70</v>
      </c>
      <c r="C2426" s="17" t="s">
        <v>71</v>
      </c>
      <c r="D2426" t="s">
        <v>3866</v>
      </c>
      <c r="F2426" t="s">
        <v>7295</v>
      </c>
      <c r="K2426" s="18">
        <f>6281219522019</f>
        <v>6281219522019</v>
      </c>
      <c r="N2426" s="17" t="s">
        <v>77</v>
      </c>
      <c r="V2426" s="18">
        <f>6281219522019</f>
        <v>6281219522019</v>
      </c>
    </row>
    <row r="2427" ht="15" customHeight="1" spans="1:23" x14ac:dyDescent="0.25">
      <c r="A2427" s="17" t="s">
        <v>7296</v>
      </c>
      <c r="B2427" s="17" t="s">
        <v>70</v>
      </c>
      <c r="C2427" s="17" t="s">
        <v>71</v>
      </c>
      <c r="D2427" t="s">
        <v>3866</v>
      </c>
      <c r="F2427" t="s">
        <v>7297</v>
      </c>
      <c r="K2427" s="18">
        <f>8109066598668</f>
        <v>8109066598668</v>
      </c>
      <c r="N2427" s="17" t="s">
        <v>77</v>
      </c>
      <c r="U2427" s="17"/>
      <c r="V2427" s="18">
        <f>8109066598668</f>
        <v>8109066598668</v>
      </c>
      <c r="W2427" t="s">
        <v>3140</v>
      </c>
    </row>
    <row r="2428" ht="15" customHeight="1" spans="1:22" x14ac:dyDescent="0.25">
      <c r="A2428" s="17" t="s">
        <v>7298</v>
      </c>
      <c r="B2428" s="17" t="s">
        <v>70</v>
      </c>
      <c r="C2428" s="17" t="s">
        <v>71</v>
      </c>
      <c r="D2428" t="s">
        <v>3866</v>
      </c>
      <c r="F2428" t="s">
        <v>7299</v>
      </c>
      <c r="K2428" s="18">
        <f>6281703103333</f>
        <v>6281703103333</v>
      </c>
      <c r="N2428" s="17" t="s">
        <v>81</v>
      </c>
      <c r="V2428" s="18">
        <f>6281703103333</f>
        <v>6281703103333</v>
      </c>
    </row>
    <row r="2429" ht="15" customHeight="1" spans="1:22" x14ac:dyDescent="0.25">
      <c r="A2429" s="17" t="s">
        <v>7300</v>
      </c>
      <c r="B2429" s="17" t="s">
        <v>70</v>
      </c>
      <c r="C2429" s="17" t="s">
        <v>71</v>
      </c>
      <c r="D2429" t="s">
        <v>3866</v>
      </c>
      <c r="F2429" t="s">
        <v>7301</v>
      </c>
      <c r="K2429" s="18">
        <f>6281298888799</f>
        <v>6281298888799</v>
      </c>
      <c r="N2429" s="17" t="s">
        <v>81</v>
      </c>
      <c r="V2429" s="18">
        <f>6281298888799</f>
        <v>6281298888799</v>
      </c>
    </row>
    <row r="2430" ht="15" customHeight="1" spans="1:22" x14ac:dyDescent="0.25">
      <c r="A2430" s="17" t="s">
        <v>7302</v>
      </c>
      <c r="B2430" s="17" t="s">
        <v>70</v>
      </c>
      <c r="C2430" s="17" t="s">
        <v>71</v>
      </c>
      <c r="D2430" t="s">
        <v>3866</v>
      </c>
      <c r="F2430" t="s">
        <v>6621</v>
      </c>
      <c r="K2430" s="18">
        <f>6281294139999</f>
        <v>6281294139999</v>
      </c>
      <c r="N2430" s="17" t="s">
        <v>77</v>
      </c>
      <c r="V2430" s="18">
        <f>6281294139999</f>
        <v>6281294139999</v>
      </c>
    </row>
    <row r="2431" ht="15" customHeight="1" spans="1:23" x14ac:dyDescent="0.25">
      <c r="A2431" s="17" t="s">
        <v>7303</v>
      </c>
      <c r="B2431" s="17" t="s">
        <v>70</v>
      </c>
      <c r="C2431" s="17" t="s">
        <v>71</v>
      </c>
      <c r="D2431" t="s">
        <v>3866</v>
      </c>
      <c r="F2431" t="s">
        <v>7304</v>
      </c>
      <c r="K2431" s="18">
        <f>6281219094688</f>
        <v>6281219094688</v>
      </c>
      <c r="N2431" s="17" t="s">
        <v>81</v>
      </c>
      <c r="U2431" s="17"/>
      <c r="V2431" s="18">
        <f>6281219094688</f>
        <v>6281219094688</v>
      </c>
      <c r="W2431" t="s">
        <v>7305</v>
      </c>
    </row>
    <row r="2432" ht="15" customHeight="1" spans="1:28" x14ac:dyDescent="0.25">
      <c r="A2432" s="17" t="s">
        <v>7306</v>
      </c>
      <c r="B2432" s="17" t="s">
        <v>70</v>
      </c>
      <c r="C2432" s="17" t="s">
        <v>71</v>
      </c>
      <c r="D2432" t="s">
        <v>3866</v>
      </c>
      <c r="F2432" t="s">
        <v>7307</v>
      </c>
      <c r="J2432" t="s">
        <v>115</v>
      </c>
      <c r="K2432" s="18" t="s">
        <v>7308</v>
      </c>
      <c r="N2432" s="17" t="s">
        <v>77</v>
      </c>
      <c r="O2432" t="s">
        <v>199</v>
      </c>
      <c r="V2432" s="18" t="s">
        <v>7308</v>
      </c>
      <c r="Y2432" t="s">
        <v>90</v>
      </c>
      <c r="AA2432" t="s">
        <v>118</v>
      </c>
      <c r="AB2432" t="s">
        <v>119</v>
      </c>
    </row>
    <row r="2433" ht="15" customHeight="1" spans="1:28" x14ac:dyDescent="0.25">
      <c r="A2433" s="17" t="s">
        <v>7309</v>
      </c>
      <c r="B2433" s="17" t="s">
        <v>70</v>
      </c>
      <c r="C2433" s="17" t="s">
        <v>71</v>
      </c>
      <c r="D2433" t="s">
        <v>3866</v>
      </c>
      <c r="F2433" t="s">
        <v>7310</v>
      </c>
      <c r="J2433" t="s">
        <v>115</v>
      </c>
      <c r="K2433" s="18" t="s">
        <v>7311</v>
      </c>
      <c r="N2433" s="17" t="s">
        <v>81</v>
      </c>
      <c r="O2433" t="s">
        <v>261</v>
      </c>
      <c r="V2433" s="18" t="s">
        <v>7311</v>
      </c>
      <c r="Y2433" t="s">
        <v>3140</v>
      </c>
      <c r="AA2433" t="s">
        <v>115</v>
      </c>
      <c r="AB2433" t="s">
        <v>3140</v>
      </c>
    </row>
    <row r="2434" ht="15" customHeight="1" spans="1:22" x14ac:dyDescent="0.25">
      <c r="A2434" s="17" t="s">
        <v>7312</v>
      </c>
      <c r="B2434" s="17" t="s">
        <v>70</v>
      </c>
      <c r="C2434" s="17" t="s">
        <v>71</v>
      </c>
      <c r="D2434" t="s">
        <v>3866</v>
      </c>
      <c r="F2434" t="s">
        <v>7313</v>
      </c>
      <c r="K2434" s="18">
        <f>8615868355282</f>
        <v>8615868355282</v>
      </c>
      <c r="N2434" s="17" t="s">
        <v>81</v>
      </c>
      <c r="V2434" s="18">
        <f>8615868355282</f>
        <v>8615868355282</v>
      </c>
    </row>
    <row r="2435" ht="15" customHeight="1" spans="1:25" x14ac:dyDescent="0.25">
      <c r="A2435" s="17" t="s">
        <v>7314</v>
      </c>
      <c r="B2435" s="17" t="s">
        <v>70</v>
      </c>
      <c r="C2435" s="17" t="s">
        <v>71</v>
      </c>
      <c r="D2435" t="s">
        <v>3866</v>
      </c>
      <c r="F2435" t="s">
        <v>7315</v>
      </c>
      <c r="J2435" s="17" t="s">
        <v>7316</v>
      </c>
      <c r="K2435" s="18">
        <v>886980858389</v>
      </c>
      <c r="N2435" s="17" t="s">
        <v>77</v>
      </c>
      <c r="V2435" s="18">
        <v>886980858389</v>
      </c>
      <c r="Y2435" s="17" t="s">
        <v>7107</v>
      </c>
    </row>
    <row r="2436" ht="15" customHeight="1" spans="1:23" x14ac:dyDescent="0.25">
      <c r="A2436" s="17" t="s">
        <v>7317</v>
      </c>
      <c r="B2436" s="17" t="s">
        <v>70</v>
      </c>
      <c r="C2436" s="17" t="s">
        <v>71</v>
      </c>
      <c r="D2436" t="s">
        <v>3866</v>
      </c>
      <c r="F2436" t="s">
        <v>7318</v>
      </c>
      <c r="K2436" s="18">
        <f>614310069138</f>
        <v>614310069138</v>
      </c>
      <c r="N2436" s="17" t="s">
        <v>77</v>
      </c>
      <c r="U2436" s="17"/>
      <c r="V2436" s="18">
        <f>614310069138</f>
        <v>614310069138</v>
      </c>
      <c r="W2436" t="s">
        <v>3140</v>
      </c>
    </row>
    <row r="2437" ht="15" customHeight="1" spans="1:25" x14ac:dyDescent="0.25">
      <c r="A2437" s="17" t="s">
        <v>7319</v>
      </c>
      <c r="B2437" s="17" t="s">
        <v>70</v>
      </c>
      <c r="C2437" s="17" t="s">
        <v>71</v>
      </c>
      <c r="D2437" t="s">
        <v>3866</v>
      </c>
      <c r="F2437" t="s">
        <v>7320</v>
      </c>
      <c r="K2437" s="18">
        <v>13916315555</v>
      </c>
      <c r="N2437" s="17" t="s">
        <v>77</v>
      </c>
      <c r="U2437" s="17"/>
      <c r="V2437" s="18">
        <v>13916315555</v>
      </c>
      <c r="W2437" t="s">
        <v>7321</v>
      </c>
      <c r="Y2437" s="17" t="s">
        <v>6980</v>
      </c>
    </row>
    <row r="2438" ht="15" customHeight="1" spans="1:28" x14ac:dyDescent="0.25">
      <c r="A2438" s="17" t="s">
        <v>7322</v>
      </c>
      <c r="B2438" s="17" t="s">
        <v>70</v>
      </c>
      <c r="C2438" s="17" t="s">
        <v>71</v>
      </c>
      <c r="D2438" t="s">
        <v>3866</v>
      </c>
      <c r="F2438" t="s">
        <v>7323</v>
      </c>
      <c r="J2438" t="s">
        <v>115</v>
      </c>
      <c r="K2438" s="18" t="s">
        <v>7324</v>
      </c>
      <c r="N2438" s="17" t="s">
        <v>74</v>
      </c>
      <c r="O2438" t="s">
        <v>199</v>
      </c>
      <c r="U2438" s="17"/>
      <c r="V2438" s="18" t="s">
        <v>7324</v>
      </c>
      <c r="W2438" t="s">
        <v>7325</v>
      </c>
      <c r="Y2438" t="s">
        <v>115</v>
      </c>
      <c r="AA2438" t="s">
        <v>115</v>
      </c>
      <c r="AB2438" t="s">
        <v>119</v>
      </c>
    </row>
    <row r="2439" ht="15" customHeight="1" spans="1:28" x14ac:dyDescent="0.25">
      <c r="A2439" s="17" t="s">
        <v>7326</v>
      </c>
      <c r="B2439" s="17" t="s">
        <v>70</v>
      </c>
      <c r="C2439" s="17" t="s">
        <v>71</v>
      </c>
      <c r="D2439" t="s">
        <v>3866</v>
      </c>
      <c r="F2439" t="s">
        <v>7327</v>
      </c>
      <c r="J2439" t="s">
        <v>115</v>
      </c>
      <c r="K2439" s="18" t="s">
        <v>7328</v>
      </c>
      <c r="N2439" s="17" t="s">
        <v>81</v>
      </c>
      <c r="O2439" t="s">
        <v>489</v>
      </c>
      <c r="V2439" s="18" t="s">
        <v>7328</v>
      </c>
      <c r="Y2439" t="s">
        <v>7108</v>
      </c>
      <c r="AA2439" t="s">
        <v>115</v>
      </c>
      <c r="AB2439" t="s">
        <v>7108</v>
      </c>
    </row>
    <row r="2440" ht="15" customHeight="1" spans="1:22" x14ac:dyDescent="0.25">
      <c r="A2440" s="17" t="s">
        <v>7329</v>
      </c>
      <c r="B2440" s="17" t="s">
        <v>70</v>
      </c>
      <c r="C2440" s="17" t="s">
        <v>71</v>
      </c>
      <c r="D2440" t="s">
        <v>3866</v>
      </c>
      <c r="F2440" t="s">
        <v>7330</v>
      </c>
      <c r="K2440" s="18">
        <f>84093919192268</f>
        <v>84093919192268</v>
      </c>
      <c r="N2440" s="17" t="s">
        <v>77</v>
      </c>
      <c r="V2440" s="18">
        <f>84093919192268</f>
        <v>84093919192268</v>
      </c>
    </row>
    <row r="2441" ht="15" customHeight="1" spans="1:28" x14ac:dyDescent="0.25">
      <c r="A2441" s="17" t="s">
        <v>7331</v>
      </c>
      <c r="B2441" s="17" t="s">
        <v>70</v>
      </c>
      <c r="C2441" s="17" t="s">
        <v>71</v>
      </c>
      <c r="D2441" t="s">
        <v>3866</v>
      </c>
      <c r="F2441" t="s">
        <v>7332</v>
      </c>
      <c r="J2441" t="s">
        <v>115</v>
      </c>
      <c r="K2441" s="18" t="s">
        <v>7333</v>
      </c>
      <c r="N2441" s="17" t="s">
        <v>77</v>
      </c>
      <c r="O2441" t="s">
        <v>199</v>
      </c>
      <c r="V2441" s="18" t="s">
        <v>7333</v>
      </c>
      <c r="Y2441" t="s">
        <v>3140</v>
      </c>
      <c r="AA2441" t="s">
        <v>115</v>
      </c>
      <c r="AB2441" t="s">
        <v>3140</v>
      </c>
    </row>
    <row r="2442" ht="15" customHeight="1" spans="1:23" x14ac:dyDescent="0.25">
      <c r="A2442" s="17" t="s">
        <v>7334</v>
      </c>
      <c r="B2442" s="17" t="s">
        <v>70</v>
      </c>
      <c r="C2442" s="17" t="s">
        <v>71</v>
      </c>
      <c r="D2442" t="s">
        <v>3866</v>
      </c>
      <c r="F2442" t="s">
        <v>7335</v>
      </c>
      <c r="K2442" s="18">
        <f>8618514066638</f>
        <v>8618514066638</v>
      </c>
      <c r="N2442" s="17" t="s">
        <v>77</v>
      </c>
      <c r="U2442" s="17"/>
      <c r="V2442" s="18">
        <f>8618514066638</f>
        <v>8618514066638</v>
      </c>
      <c r="W2442" t="s">
        <v>5998</v>
      </c>
    </row>
    <row r="2443" ht="15" customHeight="1" spans="1:28" x14ac:dyDescent="0.25">
      <c r="A2443" s="17" t="s">
        <v>7336</v>
      </c>
      <c r="B2443" s="17" t="s">
        <v>70</v>
      </c>
      <c r="C2443" s="17" t="s">
        <v>71</v>
      </c>
      <c r="D2443" t="s">
        <v>7337</v>
      </c>
      <c r="F2443" t="s">
        <v>3962</v>
      </c>
      <c r="J2443" t="s">
        <v>115</v>
      </c>
      <c r="K2443" s="18" t="s">
        <v>7338</v>
      </c>
      <c r="N2443" s="17" t="s">
        <v>74</v>
      </c>
      <c r="O2443" t="s">
        <v>117</v>
      </c>
      <c r="V2443" s="18" t="s">
        <v>7338</v>
      </c>
      <c r="Y2443" t="s">
        <v>3140</v>
      </c>
      <c r="AA2443" t="s">
        <v>115</v>
      </c>
      <c r="AB2443" t="s">
        <v>3140</v>
      </c>
    </row>
    <row r="2444" ht="15" customHeight="1" spans="1:28" x14ac:dyDescent="0.25">
      <c r="A2444" s="17" t="s">
        <v>7339</v>
      </c>
      <c r="B2444" s="17" t="s">
        <v>70</v>
      </c>
      <c r="C2444" s="17" t="s">
        <v>71</v>
      </c>
      <c r="D2444" t="s">
        <v>7340</v>
      </c>
      <c r="F2444" t="s">
        <v>7341</v>
      </c>
      <c r="J2444" s="17" t="s">
        <v>7342</v>
      </c>
      <c r="K2444" s="18" t="s">
        <v>7343</v>
      </c>
      <c r="N2444" s="17" t="s">
        <v>77</v>
      </c>
      <c r="O2444" t="s">
        <v>199</v>
      </c>
      <c r="V2444" s="18" t="s">
        <v>7343</v>
      </c>
      <c r="Y2444" t="s">
        <v>190</v>
      </c>
      <c r="AA2444" t="s">
        <v>118</v>
      </c>
      <c r="AB2444" t="s">
        <v>3140</v>
      </c>
    </row>
    <row r="2445" ht="15" customHeight="1" spans="1:22" x14ac:dyDescent="0.25">
      <c r="A2445" s="17" t="s">
        <v>7344</v>
      </c>
      <c r="B2445" s="17" t="s">
        <v>70</v>
      </c>
      <c r="C2445" s="17" t="s">
        <v>71</v>
      </c>
      <c r="D2445" t="s">
        <v>3866</v>
      </c>
      <c r="F2445" t="s">
        <v>7345</v>
      </c>
      <c r="K2445" s="18">
        <f>6281617119588</f>
        <v>6281617119588</v>
      </c>
      <c r="N2445" s="17" t="s">
        <v>81</v>
      </c>
      <c r="V2445" s="18">
        <f>6281617119588</f>
        <v>6281617119588</v>
      </c>
    </row>
    <row r="2446" ht="15" customHeight="1" spans="1:28" x14ac:dyDescent="0.25">
      <c r="A2446" s="17" t="s">
        <v>7346</v>
      </c>
      <c r="B2446" s="17" t="s">
        <v>70</v>
      </c>
      <c r="C2446" s="17" t="s">
        <v>71</v>
      </c>
      <c r="D2446" t="s">
        <v>3866</v>
      </c>
      <c r="F2446" t="s">
        <v>7347</v>
      </c>
      <c r="J2446" s="17" t="s">
        <v>7348</v>
      </c>
      <c r="K2446" s="18" t="s">
        <v>7349</v>
      </c>
      <c r="N2446" s="17" t="s">
        <v>77</v>
      </c>
      <c r="O2446" t="s">
        <v>117</v>
      </c>
      <c r="V2446" s="18" t="s">
        <v>7349</v>
      </c>
      <c r="Y2446" t="s">
        <v>115</v>
      </c>
      <c r="AA2446" t="s">
        <v>115</v>
      </c>
      <c r="AB2446" t="s">
        <v>3140</v>
      </c>
    </row>
    <row r="2447" ht="15" customHeight="1" spans="1:28" x14ac:dyDescent="0.25">
      <c r="A2447" s="17" t="s">
        <v>7350</v>
      </c>
      <c r="B2447" s="17" t="s">
        <v>70</v>
      </c>
      <c r="C2447" s="17" t="s">
        <v>71</v>
      </c>
      <c r="D2447" t="s">
        <v>3866</v>
      </c>
      <c r="F2447" t="s">
        <v>7351</v>
      </c>
      <c r="J2447" s="17" t="s">
        <v>7352</v>
      </c>
      <c r="K2447" s="18" t="s">
        <v>7353</v>
      </c>
      <c r="N2447" s="17" t="s">
        <v>77</v>
      </c>
      <c r="O2447" t="s">
        <v>117</v>
      </c>
      <c r="U2447" s="17"/>
      <c r="V2447" s="18" t="s">
        <v>7353</v>
      </c>
      <c r="W2447" t="s">
        <v>3140</v>
      </c>
      <c r="Y2447" t="s">
        <v>930</v>
      </c>
      <c r="AA2447" t="s">
        <v>115</v>
      </c>
      <c r="AB2447" t="s">
        <v>930</v>
      </c>
    </row>
    <row r="2448" ht="15" customHeight="1" spans="1:22" x14ac:dyDescent="0.25">
      <c r="A2448" s="17" t="s">
        <v>7354</v>
      </c>
      <c r="B2448" s="17" t="s">
        <v>70</v>
      </c>
      <c r="C2448" s="17" t="s">
        <v>71</v>
      </c>
      <c r="D2448" t="s">
        <v>3866</v>
      </c>
      <c r="F2448" t="s">
        <v>7355</v>
      </c>
      <c r="K2448" s="18">
        <f>861013710104731</f>
        <v>861013710104731</v>
      </c>
      <c r="N2448" s="17" t="s">
        <v>81</v>
      </c>
      <c r="V2448" s="18">
        <f>861013710104731</f>
        <v>861013710104731</v>
      </c>
    </row>
    <row r="2449" ht="15" customHeight="1" spans="1:28" x14ac:dyDescent="0.25">
      <c r="A2449" s="17" t="s">
        <v>7356</v>
      </c>
      <c r="B2449" s="17" t="s">
        <v>70</v>
      </c>
      <c r="C2449" s="17" t="s">
        <v>71</v>
      </c>
      <c r="D2449" t="s">
        <v>3866</v>
      </c>
      <c r="F2449" t="s">
        <v>7357</v>
      </c>
      <c r="J2449" s="17" t="s">
        <v>7358</v>
      </c>
      <c r="K2449" s="18" t="s">
        <v>7359</v>
      </c>
      <c r="N2449" s="17" t="s">
        <v>77</v>
      </c>
      <c r="O2449" t="s">
        <v>117</v>
      </c>
      <c r="U2449" s="17"/>
      <c r="V2449" s="18" t="s">
        <v>7359</v>
      </c>
      <c r="W2449" t="s">
        <v>3140</v>
      </c>
      <c r="Y2449" t="s">
        <v>115</v>
      </c>
      <c r="AA2449" t="s">
        <v>115</v>
      </c>
      <c r="AB2449" t="s">
        <v>3140</v>
      </c>
    </row>
    <row r="2450" ht="15" customHeight="1" spans="1:28" x14ac:dyDescent="0.25">
      <c r="A2450" s="17" t="s">
        <v>7360</v>
      </c>
      <c r="B2450" s="17" t="s">
        <v>70</v>
      </c>
      <c r="C2450" s="17" t="s">
        <v>71</v>
      </c>
      <c r="D2450" t="s">
        <v>7361</v>
      </c>
      <c r="F2450" t="s">
        <v>7362</v>
      </c>
      <c r="J2450" s="17" t="s">
        <v>7363</v>
      </c>
      <c r="K2450" s="18" t="s">
        <v>7364</v>
      </c>
      <c r="N2450" s="17" t="s">
        <v>77</v>
      </c>
      <c r="O2450" t="s">
        <v>117</v>
      </c>
      <c r="V2450" s="18" t="s">
        <v>7364</v>
      </c>
      <c r="Y2450" t="s">
        <v>115</v>
      </c>
      <c r="AA2450" t="s">
        <v>115</v>
      </c>
      <c r="AB2450" t="s">
        <v>3140</v>
      </c>
    </row>
    <row r="2451" ht="15" customHeight="1" spans="1:28" x14ac:dyDescent="0.25">
      <c r="A2451" s="17" t="s">
        <v>7365</v>
      </c>
      <c r="B2451" s="17" t="s">
        <v>70</v>
      </c>
      <c r="C2451" s="17" t="s">
        <v>71</v>
      </c>
      <c r="D2451" t="s">
        <v>7361</v>
      </c>
      <c r="F2451" t="s">
        <v>7293</v>
      </c>
      <c r="J2451" s="17" t="s">
        <v>7366</v>
      </c>
      <c r="K2451" s="18" t="s">
        <v>7367</v>
      </c>
      <c r="N2451" s="17" t="s">
        <v>77</v>
      </c>
      <c r="O2451" t="s">
        <v>117</v>
      </c>
      <c r="U2451" s="17"/>
      <c r="V2451" s="18" t="s">
        <v>7367</v>
      </c>
      <c r="W2451" t="s">
        <v>3140</v>
      </c>
      <c r="Y2451" t="s">
        <v>3140</v>
      </c>
      <c r="AA2451" t="s">
        <v>115</v>
      </c>
      <c r="AB2451" t="s">
        <v>3140</v>
      </c>
    </row>
    <row r="2452" ht="15" customHeight="1" spans="1:23" x14ac:dyDescent="0.25">
      <c r="A2452" s="17" t="s">
        <v>7368</v>
      </c>
      <c r="B2452" s="17" t="s">
        <v>70</v>
      </c>
      <c r="C2452" s="17" t="s">
        <v>71</v>
      </c>
      <c r="D2452" t="s">
        <v>7361</v>
      </c>
      <c r="F2452" t="s">
        <v>7369</v>
      </c>
      <c r="J2452" s="17" t="s">
        <v>7370</v>
      </c>
      <c r="K2452" s="18">
        <f>8613073456386</f>
        <v>8613073456386</v>
      </c>
      <c r="N2452" s="17" t="s">
        <v>77</v>
      </c>
      <c r="U2452" s="17"/>
      <c r="V2452" s="18">
        <f>8613073456386</f>
        <v>8613073456386</v>
      </c>
      <c r="W2452" t="s">
        <v>3140</v>
      </c>
    </row>
    <row r="2453" ht="15" customHeight="1" spans="1:23" x14ac:dyDescent="0.25">
      <c r="A2453" s="17" t="s">
        <v>7371</v>
      </c>
      <c r="B2453" s="17" t="s">
        <v>70</v>
      </c>
      <c r="C2453" s="17" t="s">
        <v>71</v>
      </c>
      <c r="D2453" t="s">
        <v>7361</v>
      </c>
      <c r="F2453" t="s">
        <v>7372</v>
      </c>
      <c r="J2453" s="17" t="s">
        <v>7373</v>
      </c>
      <c r="K2453" s="18">
        <f>8613585622311</f>
        <v>8613585622311</v>
      </c>
      <c r="N2453" s="17" t="s">
        <v>77</v>
      </c>
      <c r="U2453" s="17"/>
      <c r="V2453" s="18">
        <f>8613585622311</f>
        <v>8613585622311</v>
      </c>
      <c r="W2453" t="s">
        <v>7374</v>
      </c>
    </row>
    <row r="2454" ht="15" customHeight="1" spans="1:23" x14ac:dyDescent="0.25">
      <c r="A2454" s="17" t="s">
        <v>7375</v>
      </c>
      <c r="B2454" s="17" t="s">
        <v>70</v>
      </c>
      <c r="C2454" s="17" t="s">
        <v>71</v>
      </c>
      <c r="D2454" t="s">
        <v>7361</v>
      </c>
      <c r="F2454" t="s">
        <v>7304</v>
      </c>
      <c r="K2454" s="18">
        <f>8613636373900</f>
        <v>8613636373900</v>
      </c>
      <c r="N2454" s="17" t="s">
        <v>77</v>
      </c>
      <c r="U2454" s="17"/>
      <c r="V2454" s="18">
        <f>8613636373900</f>
        <v>8613636373900</v>
      </c>
      <c r="W2454" t="s">
        <v>7376</v>
      </c>
    </row>
    <row r="2455" ht="15" customHeight="1" spans="1:28" x14ac:dyDescent="0.25">
      <c r="A2455" s="17" t="s">
        <v>7377</v>
      </c>
      <c r="B2455" s="17" t="s">
        <v>70</v>
      </c>
      <c r="C2455" s="17" t="s">
        <v>71</v>
      </c>
      <c r="D2455" t="s">
        <v>3866</v>
      </c>
      <c r="F2455" t="s">
        <v>7378</v>
      </c>
      <c r="J2455" t="s">
        <v>115</v>
      </c>
      <c r="K2455" s="18" t="s">
        <v>7379</v>
      </c>
      <c r="N2455" s="17" t="s">
        <v>77</v>
      </c>
      <c r="O2455" t="s">
        <v>117</v>
      </c>
      <c r="U2455" s="17"/>
      <c r="V2455" s="18" t="s">
        <v>7379</v>
      </c>
      <c r="W2455" t="s">
        <v>3140</v>
      </c>
      <c r="Y2455" t="s">
        <v>3140</v>
      </c>
      <c r="AA2455" t="s">
        <v>115</v>
      </c>
      <c r="AB2455" t="s">
        <v>3140</v>
      </c>
    </row>
    <row r="2456" ht="15" customHeight="1" spans="1:28" x14ac:dyDescent="0.25">
      <c r="A2456" s="17" t="s">
        <v>7380</v>
      </c>
      <c r="B2456" s="17" t="s">
        <v>70</v>
      </c>
      <c r="C2456" s="17" t="s">
        <v>71</v>
      </c>
      <c r="D2456" t="s">
        <v>3866</v>
      </c>
      <c r="F2456" t="s">
        <v>7381</v>
      </c>
      <c r="J2456" s="17" t="s">
        <v>7382</v>
      </c>
      <c r="K2456" s="18" t="s">
        <v>7383</v>
      </c>
      <c r="N2456" s="17" t="s">
        <v>77</v>
      </c>
      <c r="O2456" t="s">
        <v>117</v>
      </c>
      <c r="U2456" s="17"/>
      <c r="V2456" s="18" t="s">
        <v>7383</v>
      </c>
      <c r="W2456" t="s">
        <v>7384</v>
      </c>
      <c r="Y2456" t="s">
        <v>6100</v>
      </c>
      <c r="AA2456" t="s">
        <v>115</v>
      </c>
      <c r="AB2456" t="s">
        <v>119</v>
      </c>
    </row>
    <row r="2457" ht="15" customHeight="1" spans="1:23" x14ac:dyDescent="0.25">
      <c r="A2457" s="17" t="s">
        <v>7385</v>
      </c>
      <c r="B2457" s="17" t="s">
        <v>70</v>
      </c>
      <c r="C2457" s="17" t="s">
        <v>71</v>
      </c>
      <c r="D2457" t="s">
        <v>7361</v>
      </c>
      <c r="F2457" t="s">
        <v>7386</v>
      </c>
      <c r="J2457" s="17" t="s">
        <v>7387</v>
      </c>
      <c r="K2457" s="18">
        <f>886908173188</f>
        <v>886908173188</v>
      </c>
      <c r="N2457" s="17" t="s">
        <v>77</v>
      </c>
      <c r="U2457" s="17"/>
      <c r="V2457" s="18">
        <f>886908173188</f>
        <v>886908173188</v>
      </c>
      <c r="W2457" t="s">
        <v>7388</v>
      </c>
    </row>
    <row r="2458" ht="15" customHeight="1" spans="1:28" x14ac:dyDescent="0.25">
      <c r="A2458" s="17" t="s">
        <v>7389</v>
      </c>
      <c r="B2458" s="17" t="s">
        <v>70</v>
      </c>
      <c r="C2458" s="17" t="s">
        <v>71</v>
      </c>
      <c r="D2458" t="s">
        <v>7361</v>
      </c>
      <c r="F2458" t="s">
        <v>7390</v>
      </c>
      <c r="J2458" s="17" t="s">
        <v>7391</v>
      </c>
      <c r="K2458" s="18" t="s">
        <v>7392</v>
      </c>
      <c r="N2458" s="17" t="s">
        <v>77</v>
      </c>
      <c r="O2458" t="s">
        <v>117</v>
      </c>
      <c r="V2458" s="18" t="s">
        <v>7392</v>
      </c>
      <c r="Y2458" s="17" t="s">
        <v>3140</v>
      </c>
      <c r="AA2458" t="s">
        <v>115</v>
      </c>
      <c r="AB2458" t="s">
        <v>3140</v>
      </c>
    </row>
    <row r="2459" ht="15" customHeight="1" spans="1:23" x14ac:dyDescent="0.25">
      <c r="A2459" s="17" t="s">
        <v>7393</v>
      </c>
      <c r="B2459" s="17" t="s">
        <v>70</v>
      </c>
      <c r="C2459" s="17" t="s">
        <v>71</v>
      </c>
      <c r="D2459" t="s">
        <v>7361</v>
      </c>
      <c r="F2459" t="s">
        <v>7394</v>
      </c>
      <c r="K2459" s="18">
        <f>886933079527</f>
        <v>886933079527</v>
      </c>
      <c r="N2459" s="17" t="s">
        <v>77</v>
      </c>
      <c r="U2459" s="17"/>
      <c r="V2459" s="18">
        <f>886933079527</f>
        <v>886933079527</v>
      </c>
      <c r="W2459" t="s">
        <v>7107</v>
      </c>
    </row>
    <row r="2460" ht="15" customHeight="1" spans="1:23" x14ac:dyDescent="0.25">
      <c r="A2460" s="17" t="s">
        <v>7395</v>
      </c>
      <c r="B2460" s="17" t="s">
        <v>70</v>
      </c>
      <c r="C2460" s="17" t="s">
        <v>71</v>
      </c>
      <c r="D2460" t="s">
        <v>7396</v>
      </c>
      <c r="F2460" t="s">
        <v>7397</v>
      </c>
      <c r="K2460" s="18">
        <f>6282289895555</f>
        <v>6282289895555</v>
      </c>
      <c r="N2460" s="17" t="s">
        <v>81</v>
      </c>
      <c r="U2460" s="17"/>
      <c r="V2460" s="18">
        <f>6282289895555</f>
        <v>6282289895555</v>
      </c>
      <c r="W2460" t="s">
        <v>7398</v>
      </c>
    </row>
    <row r="2461" ht="15" customHeight="1" spans="1:28" x14ac:dyDescent="0.25">
      <c r="A2461" s="17" t="s">
        <v>7399</v>
      </c>
      <c r="B2461" s="17" t="s">
        <v>70</v>
      </c>
      <c r="C2461" s="17" t="s">
        <v>71</v>
      </c>
      <c r="D2461" t="s">
        <v>3866</v>
      </c>
      <c r="F2461" t="s">
        <v>7400</v>
      </c>
      <c r="J2461" s="17" t="s">
        <v>7401</v>
      </c>
      <c r="K2461" s="18" t="s">
        <v>7402</v>
      </c>
      <c r="N2461" s="17" t="s">
        <v>77</v>
      </c>
      <c r="O2461" t="s">
        <v>117</v>
      </c>
      <c r="U2461" s="17"/>
      <c r="V2461" s="18" t="s">
        <v>7402</v>
      </c>
      <c r="W2461" t="s">
        <v>3140</v>
      </c>
      <c r="Y2461" t="s">
        <v>3140</v>
      </c>
      <c r="AA2461" t="s">
        <v>115</v>
      </c>
      <c r="AB2461" t="s">
        <v>3140</v>
      </c>
    </row>
    <row r="2462" ht="15" customHeight="1" spans="1:22" x14ac:dyDescent="0.25">
      <c r="A2462" s="17" t="s">
        <v>7403</v>
      </c>
      <c r="B2462" s="17" t="s">
        <v>70</v>
      </c>
      <c r="C2462" s="17" t="s">
        <v>71</v>
      </c>
      <c r="D2462" t="s">
        <v>7361</v>
      </c>
      <c r="F2462" t="s">
        <v>7330</v>
      </c>
      <c r="K2462" s="18">
        <v>8119520411</v>
      </c>
      <c r="N2462" s="17" t="s">
        <v>81</v>
      </c>
      <c r="V2462" s="18">
        <v>8119520411</v>
      </c>
    </row>
    <row r="2463" ht="15" customHeight="1" spans="1:28" x14ac:dyDescent="0.25">
      <c r="A2463" s="17" t="s">
        <v>7404</v>
      </c>
      <c r="B2463" s="17" t="s">
        <v>70</v>
      </c>
      <c r="C2463" s="17" t="s">
        <v>71</v>
      </c>
      <c r="D2463" t="s">
        <v>7361</v>
      </c>
      <c r="F2463" t="s">
        <v>7405</v>
      </c>
      <c r="J2463" s="17" t="s">
        <v>7406</v>
      </c>
      <c r="K2463" s="18" t="s">
        <v>7407</v>
      </c>
      <c r="N2463" s="17" t="s">
        <v>77</v>
      </c>
      <c r="O2463" t="s">
        <v>117</v>
      </c>
      <c r="V2463" s="18" t="s">
        <v>7407</v>
      </c>
      <c r="Y2463" t="s">
        <v>115</v>
      </c>
      <c r="AA2463" t="s">
        <v>115</v>
      </c>
      <c r="AB2463" t="s">
        <v>3140</v>
      </c>
    </row>
    <row r="2464" ht="15" customHeight="1" spans="1:28" x14ac:dyDescent="0.25">
      <c r="A2464" s="17" t="s">
        <v>7408</v>
      </c>
      <c r="B2464" s="17" t="s">
        <v>70</v>
      </c>
      <c r="C2464" s="17" t="s">
        <v>71</v>
      </c>
      <c r="D2464" t="s">
        <v>3866</v>
      </c>
      <c r="F2464" t="s">
        <v>7409</v>
      </c>
      <c r="J2464" s="17" t="s">
        <v>7410</v>
      </c>
      <c r="K2464" s="18" t="s">
        <v>7411</v>
      </c>
      <c r="N2464" s="17" t="s">
        <v>77</v>
      </c>
      <c r="O2464" t="s">
        <v>117</v>
      </c>
      <c r="U2464" s="17"/>
      <c r="V2464" s="18" t="s">
        <v>7411</v>
      </c>
      <c r="W2464" t="s">
        <v>7107</v>
      </c>
      <c r="Y2464" t="s">
        <v>115</v>
      </c>
      <c r="AA2464" t="s">
        <v>115</v>
      </c>
      <c r="AB2464" t="s">
        <v>7412</v>
      </c>
    </row>
    <row r="2465" ht="15" customHeight="1" spans="1:28" x14ac:dyDescent="0.25">
      <c r="A2465" s="17" t="s">
        <v>7413</v>
      </c>
      <c r="B2465" s="17" t="s">
        <v>70</v>
      </c>
      <c r="C2465" s="17" t="s">
        <v>71</v>
      </c>
      <c r="D2465" t="s">
        <v>7361</v>
      </c>
      <c r="F2465" t="s">
        <v>7414</v>
      </c>
      <c r="J2465" s="17" t="s">
        <v>7415</v>
      </c>
      <c r="K2465" s="18" t="s">
        <v>7416</v>
      </c>
      <c r="N2465" s="17" t="s">
        <v>77</v>
      </c>
      <c r="O2465" t="s">
        <v>117</v>
      </c>
      <c r="U2465" s="17"/>
      <c r="V2465" s="18" t="s">
        <v>7416</v>
      </c>
      <c r="W2465" t="s">
        <v>7417</v>
      </c>
      <c r="Y2465" t="s">
        <v>6937</v>
      </c>
      <c r="AA2465" t="s">
        <v>115</v>
      </c>
      <c r="AB2465" t="s">
        <v>6937</v>
      </c>
    </row>
    <row r="2466" ht="15" customHeight="1" spans="1:25" x14ac:dyDescent="0.25">
      <c r="A2466" s="17" t="s">
        <v>7418</v>
      </c>
      <c r="B2466" s="17" t="s">
        <v>70</v>
      </c>
      <c r="C2466" s="17" t="s">
        <v>71</v>
      </c>
      <c r="D2466" t="s">
        <v>7396</v>
      </c>
      <c r="F2466" t="s">
        <v>7419</v>
      </c>
      <c r="K2466" s="18">
        <f>8613918161890</f>
        <v>8613918161890</v>
      </c>
      <c r="N2466" s="17" t="s">
        <v>77</v>
      </c>
      <c r="V2466" s="18">
        <f>8613918161890</f>
        <v>8613918161890</v>
      </c>
      <c r="Y2466" s="17" t="s">
        <v>6980</v>
      </c>
    </row>
    <row r="2467" ht="15" customHeight="1" spans="1:28" x14ac:dyDescent="0.25">
      <c r="A2467" s="17" t="s">
        <v>7420</v>
      </c>
      <c r="B2467" s="17" t="s">
        <v>70</v>
      </c>
      <c r="C2467" s="17" t="s">
        <v>71</v>
      </c>
      <c r="D2467" t="s">
        <v>3866</v>
      </c>
      <c r="F2467" t="s">
        <v>7421</v>
      </c>
      <c r="J2467" s="17" t="s">
        <v>7422</v>
      </c>
      <c r="K2467" s="18" t="s">
        <v>7423</v>
      </c>
      <c r="N2467" s="17" t="s">
        <v>77</v>
      </c>
      <c r="O2467" t="s">
        <v>117</v>
      </c>
      <c r="V2467" s="18" t="s">
        <v>7423</v>
      </c>
      <c r="Y2467" s="17" t="s">
        <v>3140</v>
      </c>
      <c r="AA2467" t="s">
        <v>115</v>
      </c>
      <c r="AB2467" t="s">
        <v>3140</v>
      </c>
    </row>
    <row r="2468" ht="15" customHeight="1" spans="1:28" x14ac:dyDescent="0.25">
      <c r="A2468" s="17" t="s">
        <v>7424</v>
      </c>
      <c r="B2468" s="17" t="s">
        <v>70</v>
      </c>
      <c r="C2468" s="17" t="s">
        <v>71</v>
      </c>
      <c r="D2468" t="s">
        <v>3866</v>
      </c>
      <c r="F2468" t="s">
        <v>7425</v>
      </c>
      <c r="J2468" s="17" t="s">
        <v>7426</v>
      </c>
      <c r="K2468" s="18" t="s">
        <v>7427</v>
      </c>
      <c r="N2468" s="17" t="s">
        <v>77</v>
      </c>
      <c r="O2468" t="s">
        <v>117</v>
      </c>
      <c r="U2468" s="17"/>
      <c r="V2468" s="18" t="s">
        <v>7427</v>
      </c>
      <c r="W2468" t="s">
        <v>3140</v>
      </c>
      <c r="Y2468" s="17" t="s">
        <v>3140</v>
      </c>
      <c r="AA2468" t="s">
        <v>115</v>
      </c>
      <c r="AB2468" t="s">
        <v>3140</v>
      </c>
    </row>
    <row r="2469" ht="15" customHeight="1" spans="1:28" x14ac:dyDescent="0.25">
      <c r="A2469" s="17" t="s">
        <v>7428</v>
      </c>
      <c r="B2469" s="17" t="s">
        <v>70</v>
      </c>
      <c r="C2469" s="17" t="s">
        <v>71</v>
      </c>
      <c r="D2469" t="s">
        <v>3866</v>
      </c>
      <c r="F2469" t="s">
        <v>7429</v>
      </c>
      <c r="J2469" s="17" t="s">
        <v>7430</v>
      </c>
      <c r="K2469" s="18" t="s">
        <v>7431</v>
      </c>
      <c r="N2469" s="17" t="s">
        <v>77</v>
      </c>
      <c r="O2469" t="s">
        <v>117</v>
      </c>
      <c r="V2469" s="18" t="s">
        <v>7431</v>
      </c>
      <c r="Y2469" s="17" t="s">
        <v>6980</v>
      </c>
      <c r="AA2469" t="s">
        <v>115</v>
      </c>
      <c r="AB2469" t="s">
        <v>3140</v>
      </c>
    </row>
    <row r="2470" ht="15" customHeight="1" spans="1:28" x14ac:dyDescent="0.25">
      <c r="A2470" s="17" t="s">
        <v>7432</v>
      </c>
      <c r="B2470" s="17" t="s">
        <v>70</v>
      </c>
      <c r="C2470" s="17" t="s">
        <v>71</v>
      </c>
      <c r="D2470" t="s">
        <v>7361</v>
      </c>
      <c r="F2470" t="s">
        <v>7315</v>
      </c>
      <c r="J2470" s="17" t="s">
        <v>7433</v>
      </c>
      <c r="K2470" s="18" t="s">
        <v>7434</v>
      </c>
      <c r="N2470" s="17" t="s">
        <v>77</v>
      </c>
      <c r="O2470" t="s">
        <v>117</v>
      </c>
      <c r="V2470" s="18" t="s">
        <v>7434</v>
      </c>
      <c r="Y2470" t="s">
        <v>3140</v>
      </c>
      <c r="AA2470" t="s">
        <v>115</v>
      </c>
      <c r="AB2470" t="s">
        <v>3140</v>
      </c>
    </row>
    <row r="2471" ht="15" customHeight="1" spans="1:28" x14ac:dyDescent="0.25">
      <c r="A2471" s="17" t="s">
        <v>7435</v>
      </c>
      <c r="B2471" s="17" t="s">
        <v>70</v>
      </c>
      <c r="C2471" s="17" t="s">
        <v>71</v>
      </c>
      <c r="D2471" t="s">
        <v>3866</v>
      </c>
      <c r="F2471" t="s">
        <v>7436</v>
      </c>
      <c r="J2471" s="17" t="s">
        <v>7437</v>
      </c>
      <c r="K2471" s="18" t="s">
        <v>7438</v>
      </c>
      <c r="N2471" s="17" t="s">
        <v>77</v>
      </c>
      <c r="O2471" t="s">
        <v>117</v>
      </c>
      <c r="U2471" s="17"/>
      <c r="V2471" s="18" t="s">
        <v>7438</v>
      </c>
      <c r="W2471" t="s">
        <v>3140</v>
      </c>
      <c r="Y2471" t="s">
        <v>115</v>
      </c>
      <c r="AA2471" t="s">
        <v>115</v>
      </c>
      <c r="AB2471" t="s">
        <v>3140</v>
      </c>
    </row>
    <row r="2472" ht="15" customHeight="1" spans="1:28" x14ac:dyDescent="0.25">
      <c r="A2472" s="17" t="s">
        <v>7439</v>
      </c>
      <c r="B2472" s="17" t="s">
        <v>70</v>
      </c>
      <c r="C2472" s="17" t="s">
        <v>71</v>
      </c>
      <c r="D2472" t="s">
        <v>3866</v>
      </c>
      <c r="F2472" t="s">
        <v>7440</v>
      </c>
      <c r="J2472" s="17" t="s">
        <v>7441</v>
      </c>
      <c r="K2472" s="18" t="s">
        <v>7442</v>
      </c>
      <c r="N2472" s="17" t="s">
        <v>77</v>
      </c>
      <c r="O2472" t="s">
        <v>117</v>
      </c>
      <c r="V2472" s="18" t="s">
        <v>7442</v>
      </c>
      <c r="Y2472" t="s">
        <v>5542</v>
      </c>
      <c r="AA2472" t="s">
        <v>115</v>
      </c>
      <c r="AB2472" t="s">
        <v>119</v>
      </c>
    </row>
    <row r="2473" ht="15" customHeight="1" spans="1:28" x14ac:dyDescent="0.25">
      <c r="A2473" s="17" t="s">
        <v>7443</v>
      </c>
      <c r="B2473" s="17" t="s">
        <v>70</v>
      </c>
      <c r="C2473" s="17" t="s">
        <v>71</v>
      </c>
      <c r="D2473" t="s">
        <v>3866</v>
      </c>
      <c r="F2473" t="s">
        <v>7444</v>
      </c>
      <c r="J2473" s="17" t="s">
        <v>7445</v>
      </c>
      <c r="K2473" s="18" t="s">
        <v>7446</v>
      </c>
      <c r="N2473" s="17" t="s">
        <v>77</v>
      </c>
      <c r="O2473" t="s">
        <v>117</v>
      </c>
      <c r="U2473" s="17"/>
      <c r="V2473" s="18" t="s">
        <v>7446</v>
      </c>
      <c r="W2473" t="s">
        <v>3140</v>
      </c>
      <c r="Y2473" t="s">
        <v>115</v>
      </c>
      <c r="AA2473" t="s">
        <v>115</v>
      </c>
      <c r="AB2473" t="s">
        <v>3140</v>
      </c>
    </row>
    <row r="2474" ht="15" customHeight="1" spans="1:28" x14ac:dyDescent="0.25">
      <c r="A2474" s="17" t="s">
        <v>7447</v>
      </c>
      <c r="B2474" s="17" t="s">
        <v>70</v>
      </c>
      <c r="C2474" s="17" t="s">
        <v>71</v>
      </c>
      <c r="D2474" t="s">
        <v>7448</v>
      </c>
      <c r="F2474" t="s">
        <v>7449</v>
      </c>
      <c r="J2474" t="s">
        <v>115</v>
      </c>
      <c r="K2474" s="18" t="s">
        <v>7450</v>
      </c>
      <c r="N2474" s="17" t="s">
        <v>81</v>
      </c>
      <c r="O2474" t="s">
        <v>117</v>
      </c>
      <c r="V2474" s="18" t="s">
        <v>7450</v>
      </c>
      <c r="Y2474" t="s">
        <v>115</v>
      </c>
      <c r="AA2474" t="s">
        <v>115</v>
      </c>
      <c r="AB2474" t="s">
        <v>3140</v>
      </c>
    </row>
    <row r="2475" ht="15" customHeight="1" spans="1:28" x14ac:dyDescent="0.25">
      <c r="A2475" s="17" t="s">
        <v>7451</v>
      </c>
      <c r="B2475" s="17" t="s">
        <v>70</v>
      </c>
      <c r="C2475" s="17" t="s">
        <v>71</v>
      </c>
      <c r="D2475" t="s">
        <v>7448</v>
      </c>
      <c r="F2475" t="s">
        <v>7452</v>
      </c>
      <c r="J2475" t="s">
        <v>115</v>
      </c>
      <c r="K2475" s="18" t="s">
        <v>7453</v>
      </c>
      <c r="N2475" s="17" t="s">
        <v>77</v>
      </c>
      <c r="O2475" t="s">
        <v>145</v>
      </c>
      <c r="V2475" s="18" t="s">
        <v>7453</v>
      </c>
      <c r="Y2475" t="s">
        <v>115</v>
      </c>
      <c r="AA2475" t="s">
        <v>115</v>
      </c>
      <c r="AB2475" t="s">
        <v>119</v>
      </c>
    </row>
    <row r="2476" ht="15" customHeight="1" spans="1:28" x14ac:dyDescent="0.25">
      <c r="A2476" s="17" t="s">
        <v>7454</v>
      </c>
      <c r="B2476" s="17" t="s">
        <v>70</v>
      </c>
      <c r="C2476" s="17" t="s">
        <v>71</v>
      </c>
      <c r="D2476" t="s">
        <v>7448</v>
      </c>
      <c r="F2476" t="s">
        <v>7455</v>
      </c>
      <c r="J2476" s="17" t="s">
        <v>7456</v>
      </c>
      <c r="K2476" s="18" t="s">
        <v>7457</v>
      </c>
      <c r="N2476" s="17" t="s">
        <v>77</v>
      </c>
      <c r="O2476" t="s">
        <v>117</v>
      </c>
      <c r="U2476" s="17"/>
      <c r="V2476" s="18" t="s">
        <v>7457</v>
      </c>
      <c r="W2476" t="s">
        <v>6980</v>
      </c>
      <c r="Y2476" t="s">
        <v>3140</v>
      </c>
      <c r="AA2476" t="s">
        <v>115</v>
      </c>
      <c r="AB2476" t="s">
        <v>3140</v>
      </c>
    </row>
    <row r="2477" ht="15" customHeight="1" spans="1:25" x14ac:dyDescent="0.25">
      <c r="A2477" s="17" t="s">
        <v>7458</v>
      </c>
      <c r="B2477" s="17" t="s">
        <v>70</v>
      </c>
      <c r="C2477" s="17" t="s">
        <v>71</v>
      </c>
      <c r="D2477" t="s">
        <v>7459</v>
      </c>
      <c r="F2477" t="s">
        <v>7449</v>
      </c>
      <c r="J2477" s="17" t="s">
        <v>7460</v>
      </c>
      <c r="K2477" s="18">
        <f>85251393290</f>
        <v>85251393290</v>
      </c>
      <c r="N2477" s="17" t="s">
        <v>77</v>
      </c>
      <c r="U2477" s="17"/>
      <c r="V2477" s="18">
        <f>85251393290</f>
        <v>85251393290</v>
      </c>
      <c r="W2477" t="s">
        <v>5998</v>
      </c>
      <c r="Y2477" s="17" t="s">
        <v>3140</v>
      </c>
    </row>
    <row r="2478" ht="15" customHeight="1" spans="1:23" x14ac:dyDescent="0.25">
      <c r="A2478" s="17" t="s">
        <v>7461</v>
      </c>
      <c r="B2478" s="17" t="s">
        <v>70</v>
      </c>
      <c r="C2478" s="17" t="s">
        <v>71</v>
      </c>
      <c r="D2478" t="s">
        <v>7462</v>
      </c>
      <c r="F2478" t="s">
        <v>6082</v>
      </c>
      <c r="K2478" s="18">
        <f>628111893118</f>
        <v>628111893118</v>
      </c>
      <c r="N2478" s="17" t="s">
        <v>81</v>
      </c>
      <c r="U2478" s="17"/>
      <c r="V2478" s="18">
        <f>628111893118</f>
        <v>628111893118</v>
      </c>
      <c r="W2478" t="s">
        <v>7463</v>
      </c>
    </row>
    <row r="2479" ht="15" customHeight="1" spans="1:25" x14ac:dyDescent="0.25">
      <c r="A2479" s="17" t="s">
        <v>7464</v>
      </c>
      <c r="B2479" s="17" t="s">
        <v>70</v>
      </c>
      <c r="C2479" s="17" t="s">
        <v>71</v>
      </c>
      <c r="D2479" t="s">
        <v>7465</v>
      </c>
      <c r="F2479" t="s">
        <v>7466</v>
      </c>
      <c r="K2479" s="18">
        <v>8121073248</v>
      </c>
      <c r="N2479" s="17" t="s">
        <v>81</v>
      </c>
      <c r="U2479" s="17"/>
      <c r="V2479" s="18">
        <v>8121073248</v>
      </c>
      <c r="W2479" t="s">
        <v>7467</v>
      </c>
      <c r="Y2479" s="17" t="s">
        <v>90</v>
      </c>
    </row>
    <row r="2480" ht="15" customHeight="1" spans="1:22" x14ac:dyDescent="0.25">
      <c r="A2480" s="17" t="s">
        <v>7468</v>
      </c>
      <c r="B2480" s="17" t="s">
        <v>70</v>
      </c>
      <c r="C2480" s="17" t="s">
        <v>71</v>
      </c>
      <c r="D2480" t="s">
        <v>7469</v>
      </c>
      <c r="F2480" t="s">
        <v>7469</v>
      </c>
      <c r="K2480" s="18">
        <f>628119785588</f>
        <v>628119785588</v>
      </c>
      <c r="N2480" s="17" t="s">
        <v>81</v>
      </c>
      <c r="V2480" s="18">
        <f>628119785588</f>
        <v>628119785588</v>
      </c>
    </row>
    <row r="2481" ht="15" customHeight="1" spans="1:22" x14ac:dyDescent="0.25">
      <c r="A2481" s="17" t="s">
        <v>7470</v>
      </c>
      <c r="B2481" s="17" t="s">
        <v>70</v>
      </c>
      <c r="C2481" s="17" t="s">
        <v>71</v>
      </c>
      <c r="D2481" t="s">
        <v>7471</v>
      </c>
      <c r="F2481" t="s">
        <v>7304</v>
      </c>
      <c r="K2481" s="18">
        <v>8613681629885</v>
      </c>
      <c r="N2481" s="17" t="s">
        <v>81</v>
      </c>
      <c r="V2481" s="18">
        <v>8613681629885</v>
      </c>
    </row>
    <row r="2482" ht="15" customHeight="1" spans="1:28" x14ac:dyDescent="0.25">
      <c r="A2482" s="17" t="s">
        <v>7472</v>
      </c>
      <c r="B2482" s="17" t="s">
        <v>70</v>
      </c>
      <c r="C2482" s="17" t="s">
        <v>71</v>
      </c>
      <c r="D2482" t="s">
        <v>7473</v>
      </c>
      <c r="F2482" t="s">
        <v>7474</v>
      </c>
      <c r="J2482" t="s">
        <v>115</v>
      </c>
      <c r="K2482" s="18" t="s">
        <v>7475</v>
      </c>
      <c r="N2482" s="17" t="s">
        <v>81</v>
      </c>
      <c r="O2482" t="s">
        <v>489</v>
      </c>
      <c r="U2482" s="17"/>
      <c r="V2482" s="18" t="s">
        <v>7475</v>
      </c>
      <c r="W2482" t="s">
        <v>1908</v>
      </c>
      <c r="Y2482" t="s">
        <v>115</v>
      </c>
      <c r="AA2482" t="s">
        <v>115</v>
      </c>
      <c r="AB2482" t="s">
        <v>2605</v>
      </c>
    </row>
    <row r="2483" ht="15" customHeight="1" spans="1:28" x14ac:dyDescent="0.25">
      <c r="A2483" s="17" t="s">
        <v>7476</v>
      </c>
      <c r="B2483" s="17" t="s">
        <v>70</v>
      </c>
      <c r="C2483" s="17" t="s">
        <v>71</v>
      </c>
      <c r="D2483" t="s">
        <v>7477</v>
      </c>
      <c r="F2483" t="s">
        <v>7478</v>
      </c>
      <c r="J2483" t="s">
        <v>115</v>
      </c>
      <c r="K2483" s="18" t="s">
        <v>7479</v>
      </c>
      <c r="N2483" s="17" t="s">
        <v>77</v>
      </c>
      <c r="O2483" t="s">
        <v>199</v>
      </c>
      <c r="V2483" s="18" t="s">
        <v>7479</v>
      </c>
      <c r="Y2483" t="s">
        <v>90</v>
      </c>
      <c r="AA2483" t="s">
        <v>118</v>
      </c>
      <c r="AB2483" t="s">
        <v>119</v>
      </c>
    </row>
    <row r="2484" ht="15" customHeight="1" spans="1:23" x14ac:dyDescent="0.25">
      <c r="A2484" s="17" t="s">
        <v>7480</v>
      </c>
      <c r="B2484" s="17" t="s">
        <v>70</v>
      </c>
      <c r="C2484" s="17" t="s">
        <v>71</v>
      </c>
      <c r="D2484" t="s">
        <v>7481</v>
      </c>
      <c r="F2484" t="s">
        <v>7473</v>
      </c>
      <c r="K2484" s="18">
        <f>79851870187</f>
        <v>79851870187</v>
      </c>
      <c r="N2484" s="17" t="s">
        <v>77</v>
      </c>
      <c r="U2484" s="17"/>
      <c r="V2484" s="18">
        <f>79851870187</f>
        <v>79851870187</v>
      </c>
      <c r="W2484" t="s">
        <v>1909</v>
      </c>
    </row>
    <row r="2485" ht="15" customHeight="1" spans="1:28" x14ac:dyDescent="0.25">
      <c r="A2485" s="17" t="s">
        <v>7482</v>
      </c>
      <c r="B2485" s="17" t="s">
        <v>70</v>
      </c>
      <c r="C2485" s="17" t="s">
        <v>71</v>
      </c>
      <c r="D2485" t="s">
        <v>7483</v>
      </c>
      <c r="F2485" t="s">
        <v>7484</v>
      </c>
      <c r="J2485" s="17" t="s">
        <v>7485</v>
      </c>
      <c r="K2485" s="18" t="s">
        <v>7486</v>
      </c>
      <c r="N2485" s="17" t="s">
        <v>77</v>
      </c>
      <c r="O2485" t="s">
        <v>489</v>
      </c>
      <c r="U2485" s="17"/>
      <c r="V2485" s="18" t="s">
        <v>7486</v>
      </c>
      <c r="W2485" t="s">
        <v>7487</v>
      </c>
      <c r="Y2485" t="s">
        <v>1247</v>
      </c>
      <c r="AA2485" t="s">
        <v>115</v>
      </c>
      <c r="AB2485" t="s">
        <v>119</v>
      </c>
    </row>
    <row r="2486" ht="15" customHeight="1" spans="1:22" x14ac:dyDescent="0.25">
      <c r="A2486" s="17" t="s">
        <v>7488</v>
      </c>
      <c r="B2486" s="17" t="s">
        <v>70</v>
      </c>
      <c r="C2486" s="17" t="s">
        <v>71</v>
      </c>
      <c r="D2486" t="s">
        <v>7489</v>
      </c>
      <c r="F2486" t="s">
        <v>7490</v>
      </c>
      <c r="K2486" s="18">
        <f>628112440822</f>
        <v>628112440822</v>
      </c>
      <c r="N2486" s="17" t="s">
        <v>77</v>
      </c>
      <c r="V2486" s="18">
        <f>628112440822</f>
        <v>628112440822</v>
      </c>
    </row>
    <row r="2487" ht="15" customHeight="1" spans="1:22" x14ac:dyDescent="0.25">
      <c r="A2487" s="17" t="s">
        <v>7491</v>
      </c>
      <c r="B2487" s="17" t="s">
        <v>70</v>
      </c>
      <c r="C2487" s="17" t="s">
        <v>71</v>
      </c>
      <c r="D2487" t="s">
        <v>7489</v>
      </c>
      <c r="F2487" t="s">
        <v>7492</v>
      </c>
      <c r="K2487" s="18">
        <f>6281347829998</f>
        <v>6281347829998</v>
      </c>
      <c r="N2487" s="17" t="s">
        <v>77</v>
      </c>
      <c r="V2487" s="18">
        <f>6281347829998</f>
        <v>6281347829998</v>
      </c>
    </row>
    <row r="2488" ht="15" customHeight="1" spans="1:25" x14ac:dyDescent="0.25">
      <c r="A2488" s="17" t="s">
        <v>7493</v>
      </c>
      <c r="B2488" s="17" t="s">
        <v>70</v>
      </c>
      <c r="C2488" s="17" t="s">
        <v>71</v>
      </c>
      <c r="D2488" t="s">
        <v>7494</v>
      </c>
      <c r="F2488" t="s">
        <v>7495</v>
      </c>
      <c r="K2488" s="18">
        <f>6287888999533</f>
        <v>6287888999533</v>
      </c>
      <c r="N2488" s="17" t="s">
        <v>81</v>
      </c>
      <c r="U2488" s="17"/>
      <c r="V2488" s="18">
        <f>6287888999533</f>
        <v>6287888999533</v>
      </c>
      <c r="W2488" t="s">
        <v>7496</v>
      </c>
      <c r="Y2488" s="17" t="s">
        <v>378</v>
      </c>
    </row>
    <row r="2489" ht="15" customHeight="1" spans="1:23" x14ac:dyDescent="0.25">
      <c r="A2489" s="17" t="s">
        <v>7497</v>
      </c>
      <c r="B2489" s="17" t="s">
        <v>70</v>
      </c>
      <c r="C2489" s="17" t="s">
        <v>71</v>
      </c>
      <c r="D2489" t="s">
        <v>7498</v>
      </c>
      <c r="F2489" t="s">
        <v>7499</v>
      </c>
      <c r="K2489" s="18">
        <f>61408752956</f>
        <v>61408752956</v>
      </c>
      <c r="N2489" s="17" t="s">
        <v>77</v>
      </c>
      <c r="U2489" s="17"/>
      <c r="V2489" s="18">
        <f>61408752956</f>
        <v>61408752956</v>
      </c>
      <c r="W2489" t="s">
        <v>1903</v>
      </c>
    </row>
    <row r="2490" ht="15" customHeight="1" spans="1:23" x14ac:dyDescent="0.25">
      <c r="A2490" s="17" t="s">
        <v>7500</v>
      </c>
      <c r="B2490" s="17" t="s">
        <v>70</v>
      </c>
      <c r="C2490" s="17" t="s">
        <v>71</v>
      </c>
      <c r="D2490" t="s">
        <v>7498</v>
      </c>
      <c r="F2490" t="s">
        <v>7501</v>
      </c>
      <c r="K2490" s="18">
        <f>61418381282</f>
        <v>61418381282</v>
      </c>
      <c r="N2490" s="17" t="s">
        <v>77</v>
      </c>
      <c r="U2490" s="17"/>
      <c r="V2490" s="18">
        <f>61418381282</f>
        <v>61418381282</v>
      </c>
      <c r="W2490" t="s">
        <v>1903</v>
      </c>
    </row>
    <row r="2491" ht="15" customHeight="1" spans="1:22" x14ac:dyDescent="0.25">
      <c r="A2491" s="17" t="s">
        <v>7502</v>
      </c>
      <c r="B2491" s="17" t="s">
        <v>70</v>
      </c>
      <c r="C2491" s="17" t="s">
        <v>71</v>
      </c>
      <c r="D2491" t="s">
        <v>7503</v>
      </c>
      <c r="F2491" t="s">
        <v>2153</v>
      </c>
      <c r="K2491" s="18">
        <f>6281289880211</f>
        <v>6281289880211</v>
      </c>
      <c r="N2491" s="17" t="s">
        <v>77</v>
      </c>
      <c r="V2491" s="18">
        <f>6281289880211</f>
        <v>6281289880211</v>
      </c>
    </row>
    <row r="2492" ht="15" customHeight="1" spans="1:22" x14ac:dyDescent="0.25">
      <c r="A2492" s="17" t="s">
        <v>7504</v>
      </c>
      <c r="B2492" s="17" t="s">
        <v>70</v>
      </c>
      <c r="C2492" s="17" t="s">
        <v>71</v>
      </c>
      <c r="D2492" t="s">
        <v>7505</v>
      </c>
      <c r="F2492" t="s">
        <v>7506</v>
      </c>
      <c r="K2492" s="18">
        <f>19083271648</f>
        <v>19083271648</v>
      </c>
      <c r="N2492" s="17" t="s">
        <v>81</v>
      </c>
      <c r="V2492" s="18">
        <f>19083271648</f>
        <v>19083271648</v>
      </c>
    </row>
    <row r="2493" ht="15" customHeight="1" spans="1:22" x14ac:dyDescent="0.25">
      <c r="A2493" s="17" t="s">
        <v>7507</v>
      </c>
      <c r="B2493" s="17" t="s">
        <v>70</v>
      </c>
      <c r="C2493" s="17" t="s">
        <v>71</v>
      </c>
      <c r="D2493" t="s">
        <v>7351</v>
      </c>
      <c r="F2493" t="s">
        <v>7508</v>
      </c>
      <c r="J2493" s="17" t="s">
        <v>7509</v>
      </c>
      <c r="K2493" s="18">
        <f>628119106516</f>
        <v>628119106516</v>
      </c>
      <c r="N2493" s="17" t="s">
        <v>77</v>
      </c>
      <c r="V2493" s="18">
        <f>628119106516</f>
        <v>628119106516</v>
      </c>
    </row>
    <row r="2494" ht="15" customHeight="1" spans="1:28" x14ac:dyDescent="0.25">
      <c r="A2494" s="17" t="s">
        <v>7510</v>
      </c>
      <c r="B2494" s="17" t="s">
        <v>70</v>
      </c>
      <c r="C2494" s="17" t="s">
        <v>71</v>
      </c>
      <c r="D2494" t="s">
        <v>7511</v>
      </c>
      <c r="F2494" t="s">
        <v>7512</v>
      </c>
      <c r="J2494" s="17" t="s">
        <v>7513</v>
      </c>
      <c r="K2494" s="18" t="s">
        <v>7514</v>
      </c>
      <c r="N2494" s="17" t="s">
        <v>77</v>
      </c>
      <c r="O2494" t="s">
        <v>117</v>
      </c>
      <c r="V2494" s="18" t="s">
        <v>7514</v>
      </c>
      <c r="Y2494" t="s">
        <v>115</v>
      </c>
      <c r="AA2494" t="s">
        <v>115</v>
      </c>
      <c r="AB2494" t="s">
        <v>3140</v>
      </c>
    </row>
    <row r="2495" ht="15" customHeight="1" spans="1:25" x14ac:dyDescent="0.25">
      <c r="A2495" s="17" t="s">
        <v>7515</v>
      </c>
      <c r="B2495" s="17" t="s">
        <v>70</v>
      </c>
      <c r="C2495" s="17" t="s">
        <v>71</v>
      </c>
      <c r="D2495" t="s">
        <v>7516</v>
      </c>
      <c r="F2495" t="s">
        <v>7517</v>
      </c>
      <c r="J2495" s="17" t="s">
        <v>7518</v>
      </c>
      <c r="K2495" s="18">
        <f>8613811386077</f>
        <v>8613811386077</v>
      </c>
      <c r="N2495" s="17" t="s">
        <v>77</v>
      </c>
      <c r="V2495" s="18">
        <f>8613811386077</f>
        <v>8613811386077</v>
      </c>
      <c r="Y2495" s="17" t="s">
        <v>7519</v>
      </c>
    </row>
    <row r="2496" ht="15" customHeight="1" spans="1:23" x14ac:dyDescent="0.25">
      <c r="A2496" s="17" t="s">
        <v>7520</v>
      </c>
      <c r="B2496" s="17" t="s">
        <v>70</v>
      </c>
      <c r="C2496" s="17" t="s">
        <v>71</v>
      </c>
      <c r="D2496" t="s">
        <v>7521</v>
      </c>
      <c r="F2496" t="s">
        <v>7521</v>
      </c>
      <c r="J2496" s="17" t="s">
        <v>7522</v>
      </c>
      <c r="K2496" s="18">
        <f>6285240976777</f>
        <v>6285240976777</v>
      </c>
      <c r="N2496" s="17" t="s">
        <v>74</v>
      </c>
      <c r="U2496" s="17"/>
      <c r="V2496" s="18">
        <f>6285240976777</f>
        <v>6285240976777</v>
      </c>
      <c r="W2496" t="s">
        <v>7523</v>
      </c>
    </row>
    <row r="2497" ht="15" customHeight="1" spans="1:28" x14ac:dyDescent="0.25">
      <c r="A2497" s="17" t="s">
        <v>7524</v>
      </c>
      <c r="B2497" s="17" t="s">
        <v>70</v>
      </c>
      <c r="C2497" s="17" t="s">
        <v>71</v>
      </c>
      <c r="D2497" t="s">
        <v>7525</v>
      </c>
      <c r="F2497" t="s">
        <v>1376</v>
      </c>
      <c r="J2497" t="s">
        <v>115</v>
      </c>
      <c r="K2497" s="18" t="s">
        <v>7526</v>
      </c>
      <c r="N2497" s="17" t="s">
        <v>74</v>
      </c>
      <c r="O2497" t="s">
        <v>145</v>
      </c>
      <c r="U2497" s="17"/>
      <c r="V2497" s="18" t="s">
        <v>7526</v>
      </c>
      <c r="W2497" t="s">
        <v>7527</v>
      </c>
      <c r="Y2497" s="17" t="s">
        <v>397</v>
      </c>
      <c r="AA2497" t="s">
        <v>115</v>
      </c>
      <c r="AB2497" t="s">
        <v>119</v>
      </c>
    </row>
    <row r="2498" ht="15" customHeight="1" spans="1:23" x14ac:dyDescent="0.25">
      <c r="A2498" s="17" t="s">
        <v>7528</v>
      </c>
      <c r="B2498" s="17" t="s">
        <v>70</v>
      </c>
      <c r="C2498" s="17" t="s">
        <v>71</v>
      </c>
      <c r="D2498" t="s">
        <v>7529</v>
      </c>
      <c r="F2498" t="s">
        <v>7530</v>
      </c>
      <c r="K2498" s="18">
        <f>6281808146748</f>
        <v>6281808146748</v>
      </c>
      <c r="N2498" s="17" t="s">
        <v>77</v>
      </c>
      <c r="U2498" s="17"/>
      <c r="V2498" s="18">
        <f>6281808146748</f>
        <v>6281808146748</v>
      </c>
      <c r="W2498" t="s">
        <v>7531</v>
      </c>
    </row>
    <row r="2499" ht="15" customHeight="1" spans="1:22" x14ac:dyDescent="0.25">
      <c r="A2499" s="17" t="s">
        <v>7532</v>
      </c>
      <c r="B2499" s="17" t="s">
        <v>70</v>
      </c>
      <c r="C2499" s="17" t="s">
        <v>71</v>
      </c>
      <c r="D2499" t="s">
        <v>7533</v>
      </c>
      <c r="F2499" t="s">
        <v>7533</v>
      </c>
      <c r="K2499" s="18">
        <f>62811116175</f>
        <v>62811116175</v>
      </c>
      <c r="N2499" s="17" t="s">
        <v>81</v>
      </c>
      <c r="V2499" s="18">
        <f>62811116175</f>
        <v>62811116175</v>
      </c>
    </row>
    <row r="2500" ht="15" customHeight="1" spans="1:22" x14ac:dyDescent="0.25">
      <c r="A2500" s="17" t="s">
        <v>7534</v>
      </c>
      <c r="B2500" s="17" t="s">
        <v>70</v>
      </c>
      <c r="C2500" s="17" t="s">
        <v>71</v>
      </c>
      <c r="D2500" t="s">
        <v>7535</v>
      </c>
      <c r="F2500" t="s">
        <v>7535</v>
      </c>
      <c r="K2500" s="18">
        <f>6281287778484</f>
        <v>6281287778484</v>
      </c>
      <c r="N2500" s="17" t="s">
        <v>77</v>
      </c>
      <c r="V2500" s="18">
        <f>6281287778484</f>
        <v>6281287778484</v>
      </c>
    </row>
    <row r="2501" ht="15" customHeight="1" spans="1:25" x14ac:dyDescent="0.25">
      <c r="A2501" s="17" t="s">
        <v>7536</v>
      </c>
      <c r="B2501" s="17" t="s">
        <v>70</v>
      </c>
      <c r="C2501" s="17" t="s">
        <v>71</v>
      </c>
      <c r="D2501" t="s">
        <v>7535</v>
      </c>
      <c r="F2501" t="s">
        <v>740</v>
      </c>
      <c r="J2501" s="17" t="s">
        <v>7537</v>
      </c>
      <c r="K2501" s="18">
        <f>628111113898</f>
        <v>628111113898</v>
      </c>
      <c r="N2501" s="17" t="s">
        <v>77</v>
      </c>
      <c r="U2501" s="17"/>
      <c r="V2501" s="18">
        <f>628111113898</f>
        <v>628111113898</v>
      </c>
      <c r="W2501" t="s">
        <v>7538</v>
      </c>
      <c r="Y2501" s="17" t="s">
        <v>622</v>
      </c>
    </row>
    <row r="2502" ht="15" customHeight="1" spans="1:28" x14ac:dyDescent="0.25">
      <c r="A2502" s="17" t="s">
        <v>7539</v>
      </c>
      <c r="B2502" s="17" t="s">
        <v>70</v>
      </c>
      <c r="C2502" s="17" t="s">
        <v>71</v>
      </c>
      <c r="D2502" t="s">
        <v>7535</v>
      </c>
      <c r="F2502" t="s">
        <v>7540</v>
      </c>
      <c r="J2502" s="17" t="s">
        <v>7541</v>
      </c>
      <c r="K2502" s="18" t="s">
        <v>7542</v>
      </c>
      <c r="N2502" s="17" t="s">
        <v>77</v>
      </c>
      <c r="O2502" t="s">
        <v>199</v>
      </c>
      <c r="U2502" s="17"/>
      <c r="V2502" s="18" t="s">
        <v>7542</v>
      </c>
      <c r="W2502" t="s">
        <v>7543</v>
      </c>
      <c r="Y2502" t="s">
        <v>90</v>
      </c>
      <c r="AA2502" t="s">
        <v>118</v>
      </c>
      <c r="AB2502" t="s">
        <v>119</v>
      </c>
    </row>
    <row r="2503" ht="15" customHeight="1" spans="1:22" x14ac:dyDescent="0.25">
      <c r="A2503" s="17" t="s">
        <v>7544</v>
      </c>
      <c r="B2503" s="17" t="s">
        <v>70</v>
      </c>
      <c r="C2503" s="17" t="s">
        <v>71</v>
      </c>
      <c r="D2503" t="s">
        <v>7545</v>
      </c>
      <c r="F2503" t="s">
        <v>7545</v>
      </c>
      <c r="K2503" s="18">
        <f>628122279000</f>
        <v>628122279000</v>
      </c>
      <c r="N2503" s="17" t="s">
        <v>77</v>
      </c>
      <c r="V2503" s="18">
        <f>628122279000</f>
        <v>628122279000</v>
      </c>
    </row>
    <row r="2504" ht="15" customHeight="1" spans="1:22" x14ac:dyDescent="0.25">
      <c r="A2504" s="17" t="s">
        <v>7546</v>
      </c>
      <c r="B2504" s="17" t="s">
        <v>70</v>
      </c>
      <c r="C2504" s="17" t="s">
        <v>71</v>
      </c>
      <c r="D2504" t="s">
        <v>7545</v>
      </c>
      <c r="F2504" t="s">
        <v>7547</v>
      </c>
      <c r="K2504" s="18">
        <f>62811169362</f>
        <v>62811169362</v>
      </c>
      <c r="N2504" s="17" t="s">
        <v>77</v>
      </c>
      <c r="V2504" s="18">
        <f>62811169362</f>
        <v>62811169362</v>
      </c>
    </row>
    <row r="2505" ht="15" customHeight="1" spans="1:23" x14ac:dyDescent="0.25">
      <c r="A2505" s="17" t="s">
        <v>7548</v>
      </c>
      <c r="B2505" s="17" t="s">
        <v>70</v>
      </c>
      <c r="C2505" s="17" t="s">
        <v>71</v>
      </c>
      <c r="D2505" t="s">
        <v>7549</v>
      </c>
      <c r="F2505" t="s">
        <v>7550</v>
      </c>
      <c r="K2505" s="18">
        <f>62811315000</f>
        <v>62811315000</v>
      </c>
      <c r="N2505" s="17" t="s">
        <v>81</v>
      </c>
      <c r="U2505" s="17"/>
      <c r="V2505" s="18">
        <f>62811315000</f>
        <v>62811315000</v>
      </c>
      <c r="W2505" t="s">
        <v>7551</v>
      </c>
    </row>
    <row r="2506" ht="15" customHeight="1" spans="1:22" x14ac:dyDescent="0.25">
      <c r="A2506" s="17" t="s">
        <v>7552</v>
      </c>
      <c r="B2506" s="17" t="s">
        <v>70</v>
      </c>
      <c r="C2506" s="17" t="s">
        <v>71</v>
      </c>
      <c r="D2506" t="s">
        <v>7553</v>
      </c>
      <c r="F2506" t="s">
        <v>7554</v>
      </c>
      <c r="K2506" s="18">
        <f>62811919106</f>
        <v>62811919106</v>
      </c>
      <c r="N2506" s="17" t="s">
        <v>77</v>
      </c>
      <c r="V2506" s="18">
        <f>62811919106</f>
        <v>62811919106</v>
      </c>
    </row>
    <row r="2507" ht="15" customHeight="1" spans="1:28" x14ac:dyDescent="0.25">
      <c r="A2507" s="17" t="s">
        <v>7555</v>
      </c>
      <c r="B2507" s="17" t="s">
        <v>70</v>
      </c>
      <c r="C2507" s="17" t="s">
        <v>71</v>
      </c>
      <c r="D2507" t="s">
        <v>7556</v>
      </c>
      <c r="F2507" t="s">
        <v>7556</v>
      </c>
      <c r="J2507" t="s">
        <v>115</v>
      </c>
      <c r="K2507" s="18" t="s">
        <v>7557</v>
      </c>
      <c r="N2507" s="17" t="s">
        <v>77</v>
      </c>
      <c r="O2507" t="s">
        <v>145</v>
      </c>
      <c r="U2507" s="17"/>
      <c r="V2507" s="18" t="s">
        <v>7557</v>
      </c>
      <c r="W2507" t="s">
        <v>7558</v>
      </c>
      <c r="Y2507" t="s">
        <v>1702</v>
      </c>
      <c r="AA2507" t="s">
        <v>115</v>
      </c>
      <c r="AB2507" t="s">
        <v>119</v>
      </c>
    </row>
    <row r="2508" ht="15" customHeight="1" spans="1:22" x14ac:dyDescent="0.25">
      <c r="A2508" s="17" t="s">
        <v>7559</v>
      </c>
      <c r="B2508" s="17" t="s">
        <v>70</v>
      </c>
      <c r="C2508" s="17" t="s">
        <v>71</v>
      </c>
      <c r="D2508" t="s">
        <v>7556</v>
      </c>
      <c r="F2508" t="s">
        <v>7560</v>
      </c>
      <c r="K2508" s="18">
        <f>886918866011</f>
        <v>886918866011</v>
      </c>
      <c r="N2508" s="17" t="s">
        <v>77</v>
      </c>
      <c r="V2508" s="18">
        <f>886918866011</f>
        <v>886918866011</v>
      </c>
    </row>
    <row r="2509" ht="15" customHeight="1" spans="1:27" x14ac:dyDescent="0.25">
      <c r="A2509" s="17" t="s">
        <v>7561</v>
      </c>
      <c r="B2509" s="17" t="s">
        <v>70</v>
      </c>
      <c r="C2509" s="17" t="s">
        <v>71</v>
      </c>
      <c r="D2509" t="s">
        <v>7562</v>
      </c>
      <c r="F2509" t="s">
        <v>7563</v>
      </c>
      <c r="K2509" s="18">
        <f>62816863303</f>
        <v>62816863303</v>
      </c>
      <c r="N2509" s="17" t="s">
        <v>77</v>
      </c>
      <c r="U2509" s="17"/>
      <c r="V2509" s="18">
        <f>62816863303</f>
        <v>62816863303</v>
      </c>
      <c r="W2509" t="s">
        <v>7564</v>
      </c>
      <c r="Y2509" s="17" t="s">
        <v>378</v>
      </c>
      <c r="AA2509" s="17" t="s">
        <v>7565</v>
      </c>
    </row>
    <row r="2510" ht="15" customHeight="1" spans="1:22" x14ac:dyDescent="0.25">
      <c r="A2510" s="17" t="s">
        <v>7566</v>
      </c>
      <c r="B2510" s="17" t="s">
        <v>70</v>
      </c>
      <c r="C2510" s="17" t="s">
        <v>71</v>
      </c>
      <c r="D2510" t="s">
        <v>7567</v>
      </c>
      <c r="F2510" t="s">
        <v>7568</v>
      </c>
      <c r="K2510" s="18">
        <f>6281281346005</f>
        <v>6281281346005</v>
      </c>
      <c r="N2510" s="17" t="s">
        <v>77</v>
      </c>
      <c r="V2510" s="18">
        <f>6281281346005</f>
        <v>6281281346005</v>
      </c>
    </row>
    <row r="2511" ht="15" customHeight="1" spans="1:22" x14ac:dyDescent="0.25">
      <c r="A2511" s="17" t="s">
        <v>7569</v>
      </c>
      <c r="B2511" s="17" t="s">
        <v>70</v>
      </c>
      <c r="C2511" s="17" t="s">
        <v>71</v>
      </c>
      <c r="D2511" t="s">
        <v>7570</v>
      </c>
      <c r="F2511" t="s">
        <v>7571</v>
      </c>
      <c r="K2511" s="18">
        <f>6281808862239</f>
        <v>6281808862239</v>
      </c>
      <c r="N2511" s="17" t="s">
        <v>81</v>
      </c>
      <c r="V2511" s="18">
        <f>6281808862239</f>
        <v>6281808862239</v>
      </c>
    </row>
    <row r="2512" ht="15" customHeight="1" spans="1:23" x14ac:dyDescent="0.25">
      <c r="A2512" s="17" t="s">
        <v>7572</v>
      </c>
      <c r="B2512" s="17" t="s">
        <v>70</v>
      </c>
      <c r="C2512" s="17" t="s">
        <v>71</v>
      </c>
      <c r="D2512" t="s">
        <v>7573</v>
      </c>
      <c r="F2512" t="s">
        <v>7574</v>
      </c>
      <c r="K2512" s="18">
        <f>6281361480480</f>
        <v>6281361480480</v>
      </c>
      <c r="N2512" s="17" t="s">
        <v>77</v>
      </c>
      <c r="U2512" s="17"/>
      <c r="V2512" s="18">
        <f>6281361480480</f>
        <v>6281361480480</v>
      </c>
      <c r="W2512" t="s">
        <v>7575</v>
      </c>
    </row>
    <row r="2513" ht="15" customHeight="1" spans="1:23" x14ac:dyDescent="0.25">
      <c r="A2513" s="17" t="s">
        <v>7576</v>
      </c>
      <c r="B2513" s="17" t="s">
        <v>70</v>
      </c>
      <c r="C2513" s="17" t="s">
        <v>71</v>
      </c>
      <c r="D2513" t="s">
        <v>7577</v>
      </c>
      <c r="F2513" t="s">
        <v>7577</v>
      </c>
      <c r="J2513" s="17" t="s">
        <v>7578</v>
      </c>
      <c r="K2513" s="18">
        <f>6281286100252</f>
        <v>6281286100252</v>
      </c>
      <c r="N2513" s="17" t="s">
        <v>77</v>
      </c>
      <c r="U2513" s="17"/>
      <c r="V2513" s="18">
        <f>6281286100252</f>
        <v>6281286100252</v>
      </c>
      <c r="W2513" t="s">
        <v>7579</v>
      </c>
    </row>
    <row r="2514" ht="15" customHeight="1" spans="1:28" x14ac:dyDescent="0.25">
      <c r="A2514" s="17" t="s">
        <v>7580</v>
      </c>
      <c r="B2514" s="17" t="s">
        <v>70</v>
      </c>
      <c r="C2514" s="17" t="s">
        <v>71</v>
      </c>
      <c r="D2514" t="s">
        <v>7581</v>
      </c>
      <c r="F2514" t="s">
        <v>7582</v>
      </c>
      <c r="J2514" s="17" t="s">
        <v>7583</v>
      </c>
      <c r="K2514" s="18" t="s">
        <v>7584</v>
      </c>
      <c r="N2514" s="17" t="s">
        <v>77</v>
      </c>
      <c r="O2514" t="s">
        <v>489</v>
      </c>
      <c r="U2514" s="17"/>
      <c r="V2514" s="18" t="s">
        <v>7584</v>
      </c>
      <c r="W2514" t="s">
        <v>7585</v>
      </c>
      <c r="Y2514" t="s">
        <v>190</v>
      </c>
      <c r="AA2514" t="s">
        <v>118</v>
      </c>
      <c r="AB2514" t="s">
        <v>119</v>
      </c>
    </row>
    <row r="2515" ht="15" customHeight="1" spans="1:28" x14ac:dyDescent="0.25">
      <c r="A2515" s="17" t="s">
        <v>7586</v>
      </c>
      <c r="B2515" s="17" t="s">
        <v>70</v>
      </c>
      <c r="C2515" s="17" t="s">
        <v>71</v>
      </c>
      <c r="D2515" t="s">
        <v>7587</v>
      </c>
      <c r="F2515" t="s">
        <v>7588</v>
      </c>
      <c r="J2515" t="s">
        <v>115</v>
      </c>
      <c r="K2515" s="18" t="s">
        <v>7589</v>
      </c>
      <c r="N2515" s="17" t="s">
        <v>81</v>
      </c>
      <c r="O2515" t="s">
        <v>261</v>
      </c>
      <c r="V2515" s="18" t="s">
        <v>7589</v>
      </c>
      <c r="Y2515" t="s">
        <v>90</v>
      </c>
      <c r="AA2515" t="s">
        <v>118</v>
      </c>
      <c r="AB2515" t="s">
        <v>119</v>
      </c>
    </row>
    <row r="2516" ht="15" customHeight="1" spans="1:22" x14ac:dyDescent="0.25">
      <c r="A2516" s="17" t="s">
        <v>7590</v>
      </c>
      <c r="B2516" s="17" t="s">
        <v>70</v>
      </c>
      <c r="C2516" s="17" t="s">
        <v>71</v>
      </c>
      <c r="D2516" t="s">
        <v>7591</v>
      </c>
      <c r="F2516" t="s">
        <v>7592</v>
      </c>
      <c r="K2516" s="18">
        <f>628118501083</f>
        <v>628118501083</v>
      </c>
      <c r="N2516" s="17" t="s">
        <v>81</v>
      </c>
      <c r="V2516" s="18">
        <f>628118501083</f>
        <v>628118501083</v>
      </c>
    </row>
    <row r="2517" ht="15" customHeight="1" spans="1:22" x14ac:dyDescent="0.25">
      <c r="A2517" s="17" t="s">
        <v>7593</v>
      </c>
      <c r="B2517" s="17" t="s">
        <v>70</v>
      </c>
      <c r="C2517" s="17" t="s">
        <v>71</v>
      </c>
      <c r="D2517" t="s">
        <v>7591</v>
      </c>
      <c r="F2517" t="s">
        <v>7594</v>
      </c>
      <c r="K2517" s="18">
        <f>6282120071991</f>
        <v>6282120071991</v>
      </c>
      <c r="N2517" s="17" t="s">
        <v>81</v>
      </c>
      <c r="V2517" s="18">
        <f>6282120071991</f>
        <v>6282120071991</v>
      </c>
    </row>
    <row r="2518" ht="15" customHeight="1" spans="1:22" x14ac:dyDescent="0.25">
      <c r="A2518" s="17" t="s">
        <v>7595</v>
      </c>
      <c r="B2518" s="17" t="s">
        <v>70</v>
      </c>
      <c r="C2518" s="17" t="s">
        <v>71</v>
      </c>
      <c r="D2518" t="s">
        <v>7591</v>
      </c>
      <c r="F2518" t="s">
        <v>7596</v>
      </c>
      <c r="K2518" s="18">
        <f>6285959125599</f>
        <v>6285959125599</v>
      </c>
      <c r="N2518" s="17" t="s">
        <v>77</v>
      </c>
      <c r="V2518" s="18">
        <f>6285959125599</f>
        <v>6285959125599</v>
      </c>
    </row>
    <row r="2519" ht="15" customHeight="1" spans="1:28" x14ac:dyDescent="0.25">
      <c r="A2519" s="17" t="s">
        <v>7597</v>
      </c>
      <c r="B2519" s="17" t="s">
        <v>70</v>
      </c>
      <c r="C2519" s="17" t="s">
        <v>71</v>
      </c>
      <c r="D2519" t="s">
        <v>7598</v>
      </c>
      <c r="F2519" t="s">
        <v>7599</v>
      </c>
      <c r="J2519" s="17" t="s">
        <v>7600</v>
      </c>
      <c r="K2519" s="18" t="s">
        <v>7601</v>
      </c>
      <c r="N2519" s="17" t="s">
        <v>77</v>
      </c>
      <c r="O2519" t="s">
        <v>145</v>
      </c>
      <c r="V2519" s="18" t="s">
        <v>7601</v>
      </c>
      <c r="Y2519" t="s">
        <v>115</v>
      </c>
      <c r="AA2519" t="s">
        <v>115</v>
      </c>
      <c r="AB2519" t="s">
        <v>7602</v>
      </c>
    </row>
    <row r="2520" ht="15" customHeight="1" spans="1:22" x14ac:dyDescent="0.25">
      <c r="A2520" s="17" t="s">
        <v>7603</v>
      </c>
      <c r="B2520" s="17" t="s">
        <v>70</v>
      </c>
      <c r="C2520" s="17" t="s">
        <v>71</v>
      </c>
      <c r="D2520" t="s">
        <v>7604</v>
      </c>
      <c r="F2520" t="s">
        <v>3869</v>
      </c>
      <c r="K2520" s="18" t="s">
        <v>7605</v>
      </c>
      <c r="N2520" s="17" t="s">
        <v>81</v>
      </c>
      <c r="V2520" s="18" t="s">
        <v>7605</v>
      </c>
    </row>
    <row r="2521" ht="15" customHeight="1" spans="1:22" x14ac:dyDescent="0.25">
      <c r="A2521" s="17" t="s">
        <v>7606</v>
      </c>
      <c r="B2521" s="17" t="s">
        <v>70</v>
      </c>
      <c r="C2521" s="17" t="s">
        <v>71</v>
      </c>
      <c r="D2521" t="s">
        <v>2494</v>
      </c>
      <c r="F2521" t="s">
        <v>7607</v>
      </c>
      <c r="K2521" s="18">
        <f>6281385701943</f>
        <v>6281385701943</v>
      </c>
      <c r="N2521" s="17" t="s">
        <v>77</v>
      </c>
      <c r="V2521" s="18">
        <f>6281385701943</f>
        <v>6281385701943</v>
      </c>
    </row>
    <row r="2522" ht="15" customHeight="1" spans="1:22" x14ac:dyDescent="0.25">
      <c r="A2522" s="17" t="s">
        <v>7608</v>
      </c>
      <c r="B2522" s="17" t="s">
        <v>70</v>
      </c>
      <c r="C2522" s="17" t="s">
        <v>71</v>
      </c>
      <c r="D2522" t="s">
        <v>2494</v>
      </c>
      <c r="F2522" t="s">
        <v>7609</v>
      </c>
      <c r="K2522" s="18">
        <f>6281510603333</f>
        <v>6281510603333</v>
      </c>
      <c r="N2522" s="17" t="s">
        <v>81</v>
      </c>
      <c r="V2522" s="18">
        <f>6281510603333</f>
        <v>6281510603333</v>
      </c>
    </row>
    <row r="2523" ht="15" customHeight="1" spans="1:28" x14ac:dyDescent="0.25">
      <c r="A2523" s="17" t="s">
        <v>7610</v>
      </c>
      <c r="B2523" s="17" t="s">
        <v>70</v>
      </c>
      <c r="C2523" s="17" t="s">
        <v>71</v>
      </c>
      <c r="D2523" t="s">
        <v>7093</v>
      </c>
      <c r="F2523" t="s">
        <v>7093</v>
      </c>
      <c r="J2523" t="s">
        <v>115</v>
      </c>
      <c r="K2523" s="18" t="s">
        <v>7611</v>
      </c>
      <c r="N2523" s="17" t="s">
        <v>77</v>
      </c>
      <c r="O2523" t="s">
        <v>117</v>
      </c>
      <c r="V2523" s="18" t="s">
        <v>7611</v>
      </c>
      <c r="Y2523" t="s">
        <v>90</v>
      </c>
      <c r="AA2523" t="s">
        <v>118</v>
      </c>
      <c r="AB2523" t="s">
        <v>119</v>
      </c>
    </row>
    <row r="2524" ht="15" customHeight="1" spans="1:23" x14ac:dyDescent="0.25">
      <c r="A2524" s="17" t="s">
        <v>7612</v>
      </c>
      <c r="B2524" s="17" t="s">
        <v>70</v>
      </c>
      <c r="C2524" s="17" t="s">
        <v>71</v>
      </c>
      <c r="D2524" t="s">
        <v>7093</v>
      </c>
      <c r="F2524" t="s">
        <v>7613</v>
      </c>
      <c r="K2524" s="18">
        <f>8201075277452</f>
        <v>8201075277452</v>
      </c>
      <c r="N2524" s="17" t="s">
        <v>77</v>
      </c>
      <c r="U2524" s="17"/>
      <c r="V2524" s="18">
        <f>8201075277452</f>
        <v>8201075277452</v>
      </c>
      <c r="W2524" t="s">
        <v>7614</v>
      </c>
    </row>
    <row r="2525" ht="15" customHeight="1" spans="1:28" x14ac:dyDescent="0.25">
      <c r="A2525" s="17" t="s">
        <v>7615</v>
      </c>
      <c r="B2525" s="17" t="s">
        <v>70</v>
      </c>
      <c r="C2525" s="17" t="s">
        <v>71</v>
      </c>
      <c r="D2525" t="s">
        <v>7093</v>
      </c>
      <c r="F2525" t="s">
        <v>7616</v>
      </c>
      <c r="J2525" t="s">
        <v>115</v>
      </c>
      <c r="K2525" s="18" t="s">
        <v>7617</v>
      </c>
      <c r="N2525" s="17" t="s">
        <v>77</v>
      </c>
      <c r="O2525" t="s">
        <v>199</v>
      </c>
      <c r="V2525" s="18" t="s">
        <v>7617</v>
      </c>
      <c r="Y2525" t="s">
        <v>490</v>
      </c>
      <c r="AA2525" t="s">
        <v>115</v>
      </c>
      <c r="AB2525" t="s">
        <v>1306</v>
      </c>
    </row>
    <row r="2526" ht="15" customHeight="1" spans="1:22" x14ac:dyDescent="0.25">
      <c r="A2526" s="17" t="s">
        <v>7618</v>
      </c>
      <c r="B2526" s="17" t="s">
        <v>70</v>
      </c>
      <c r="C2526" s="17" t="s">
        <v>71</v>
      </c>
      <c r="D2526" t="s">
        <v>7093</v>
      </c>
      <c r="F2526" t="s">
        <v>7619</v>
      </c>
      <c r="K2526" s="18">
        <f>6281286958979</f>
        <v>6281286958979</v>
      </c>
      <c r="N2526" s="17" t="s">
        <v>77</v>
      </c>
      <c r="V2526" s="18">
        <f>6281286958979</f>
        <v>6281286958979</v>
      </c>
    </row>
    <row r="2527" ht="15" customHeight="1" spans="1:25" x14ac:dyDescent="0.25">
      <c r="A2527" s="17" t="s">
        <v>7620</v>
      </c>
      <c r="B2527" s="17" t="s">
        <v>70</v>
      </c>
      <c r="C2527" s="17" t="s">
        <v>71</v>
      </c>
      <c r="D2527" t="s">
        <v>7093</v>
      </c>
      <c r="F2527" t="s">
        <v>7621</v>
      </c>
      <c r="J2527" s="17" t="s">
        <v>7622</v>
      </c>
      <c r="K2527" s="18">
        <f>6281316388671</f>
        <v>6281316388671</v>
      </c>
      <c r="N2527" s="17" t="s">
        <v>77</v>
      </c>
      <c r="U2527" s="17"/>
      <c r="V2527" s="18">
        <f>6281316388671</f>
        <v>6281316388671</v>
      </c>
      <c r="W2527" t="s">
        <v>7623</v>
      </c>
      <c r="Y2527" s="17" t="s">
        <v>96</v>
      </c>
    </row>
    <row r="2528" ht="15" customHeight="1" spans="1:22" x14ac:dyDescent="0.25">
      <c r="A2528" s="17" t="s">
        <v>7624</v>
      </c>
      <c r="B2528" s="17" t="s">
        <v>70</v>
      </c>
      <c r="C2528" s="17" t="s">
        <v>71</v>
      </c>
      <c r="D2528" t="s">
        <v>7625</v>
      </c>
      <c r="F2528" t="s">
        <v>7626</v>
      </c>
      <c r="K2528" s="18">
        <v>739221605</v>
      </c>
      <c r="N2528" s="17" t="s">
        <v>77</v>
      </c>
      <c r="V2528" s="18">
        <v>739221605</v>
      </c>
    </row>
    <row r="2529" ht="15" customHeight="1" spans="1:22" x14ac:dyDescent="0.25">
      <c r="A2529" s="17" t="s">
        <v>7627</v>
      </c>
      <c r="B2529" s="17" t="s">
        <v>70</v>
      </c>
      <c r="C2529" s="17" t="s">
        <v>71</v>
      </c>
      <c r="D2529" t="s">
        <v>7628</v>
      </c>
      <c r="F2529" t="s">
        <v>7629</v>
      </c>
      <c r="K2529" s="18">
        <f>62816968404</f>
        <v>62816968404</v>
      </c>
      <c r="N2529" s="17" t="s">
        <v>81</v>
      </c>
      <c r="V2529" s="18">
        <f>62816968404</f>
        <v>62816968404</v>
      </c>
    </row>
    <row r="2530" ht="15" customHeight="1" spans="1:28" x14ac:dyDescent="0.25">
      <c r="A2530" s="17" t="s">
        <v>7630</v>
      </c>
      <c r="B2530" s="17" t="s">
        <v>70</v>
      </c>
      <c r="C2530" s="17" t="s">
        <v>71</v>
      </c>
      <c r="D2530" t="s">
        <v>7631</v>
      </c>
      <c r="F2530" t="s">
        <v>7632</v>
      </c>
      <c r="J2530" s="17" t="s">
        <v>7633</v>
      </c>
      <c r="K2530" s="18" t="s">
        <v>7634</v>
      </c>
      <c r="N2530" s="17" t="s">
        <v>77</v>
      </c>
      <c r="O2530" t="s">
        <v>261</v>
      </c>
      <c r="U2530" s="17"/>
      <c r="V2530" s="18" t="s">
        <v>7634</v>
      </c>
      <c r="W2530" t="s">
        <v>7635</v>
      </c>
      <c r="Y2530" t="s">
        <v>7636</v>
      </c>
      <c r="AA2530" t="s">
        <v>115</v>
      </c>
      <c r="AB2530" t="s">
        <v>119</v>
      </c>
    </row>
    <row r="2531" ht="15" customHeight="1" spans="1:22" x14ac:dyDescent="0.25">
      <c r="A2531" s="17" t="s">
        <v>7637</v>
      </c>
      <c r="B2531" s="17" t="s">
        <v>70</v>
      </c>
      <c r="C2531" s="17" t="s">
        <v>71</v>
      </c>
      <c r="D2531" t="s">
        <v>7638</v>
      </c>
      <c r="F2531" t="s">
        <v>7638</v>
      </c>
      <c r="K2531" s="18">
        <f>62811809719</f>
        <v>62811809719</v>
      </c>
      <c r="N2531" s="17" t="s">
        <v>81</v>
      </c>
      <c r="V2531" s="18">
        <f>62811809719</f>
        <v>62811809719</v>
      </c>
    </row>
    <row r="2532" ht="15" customHeight="1" spans="1:22" x14ac:dyDescent="0.25">
      <c r="A2532" s="17" t="s">
        <v>7639</v>
      </c>
      <c r="B2532" s="17" t="s">
        <v>70</v>
      </c>
      <c r="C2532" s="17" t="s">
        <v>71</v>
      </c>
      <c r="D2532" t="s">
        <v>7640</v>
      </c>
      <c r="F2532" t="s">
        <v>7641</v>
      </c>
      <c r="K2532" s="18">
        <f>62817702278</f>
        <v>62817702278</v>
      </c>
      <c r="N2532" s="17" t="s">
        <v>77</v>
      </c>
      <c r="V2532" s="18">
        <f>62817702278</f>
        <v>62817702278</v>
      </c>
    </row>
    <row r="2533" ht="15" customHeight="1" spans="1:22" x14ac:dyDescent="0.25">
      <c r="A2533" s="17" t="s">
        <v>7642</v>
      </c>
      <c r="B2533" s="17" t="s">
        <v>70</v>
      </c>
      <c r="C2533" s="17" t="s">
        <v>71</v>
      </c>
      <c r="D2533" t="s">
        <v>7643</v>
      </c>
      <c r="F2533" t="s">
        <v>7448</v>
      </c>
      <c r="K2533" s="18">
        <f>6585871449</f>
        <v>6585871449</v>
      </c>
      <c r="N2533" s="17" t="s">
        <v>77</v>
      </c>
      <c r="V2533" s="18">
        <f>6585871449</f>
        <v>6585871449</v>
      </c>
    </row>
    <row r="2534" ht="15" customHeight="1" spans="1:22" x14ac:dyDescent="0.25">
      <c r="A2534" s="17" t="s">
        <v>7644</v>
      </c>
      <c r="B2534" s="17" t="s">
        <v>70</v>
      </c>
      <c r="C2534" s="17" t="s">
        <v>71</v>
      </c>
      <c r="D2534" t="s">
        <v>7645</v>
      </c>
      <c r="F2534" t="s">
        <v>7646</v>
      </c>
      <c r="K2534" s="18">
        <f>6281318245952</f>
        <v>6281318245952</v>
      </c>
      <c r="N2534" s="17" t="s">
        <v>77</v>
      </c>
      <c r="V2534" s="18">
        <f>6281318245952</f>
        <v>6281318245952</v>
      </c>
    </row>
    <row r="2535" ht="15" customHeight="1" spans="1:28" x14ac:dyDescent="0.25">
      <c r="A2535" s="17" t="s">
        <v>7647</v>
      </c>
      <c r="B2535" s="17" t="s">
        <v>70</v>
      </c>
      <c r="C2535" s="17" t="s">
        <v>71</v>
      </c>
      <c r="D2535" t="s">
        <v>7648</v>
      </c>
      <c r="F2535" t="s">
        <v>7649</v>
      </c>
      <c r="J2535" t="s">
        <v>7650</v>
      </c>
      <c r="K2535" s="18" t="s">
        <v>7651</v>
      </c>
      <c r="N2535" s="17" t="s">
        <v>77</v>
      </c>
      <c r="O2535" t="s">
        <v>145</v>
      </c>
      <c r="U2535" s="17"/>
      <c r="V2535" s="18" t="s">
        <v>7651</v>
      </c>
      <c r="W2535" t="s">
        <v>7652</v>
      </c>
      <c r="Y2535" s="17" t="s">
        <v>90</v>
      </c>
      <c r="AA2535" t="s">
        <v>118</v>
      </c>
      <c r="AB2535" t="s">
        <v>119</v>
      </c>
    </row>
    <row r="2536" ht="15" customHeight="1" spans="1:22" x14ac:dyDescent="0.25">
      <c r="A2536" s="17" t="s">
        <v>7653</v>
      </c>
      <c r="B2536" s="17" t="s">
        <v>70</v>
      </c>
      <c r="C2536" s="17" t="s">
        <v>71</v>
      </c>
      <c r="D2536" t="s">
        <v>7654</v>
      </c>
      <c r="F2536" t="s">
        <v>7655</v>
      </c>
      <c r="K2536" s="18">
        <f>62816876964</f>
        <v>62816876964</v>
      </c>
      <c r="N2536" s="17" t="s">
        <v>74</v>
      </c>
      <c r="V2536" s="18">
        <f>62816876964</f>
        <v>62816876964</v>
      </c>
    </row>
    <row r="2537" ht="15" customHeight="1" spans="1:28" x14ac:dyDescent="0.25">
      <c r="A2537" s="17" t="s">
        <v>7656</v>
      </c>
      <c r="B2537" s="17" t="s">
        <v>70</v>
      </c>
      <c r="C2537" s="17" t="s">
        <v>71</v>
      </c>
      <c r="D2537" t="s">
        <v>7654</v>
      </c>
      <c r="F2537" t="s">
        <v>7657</v>
      </c>
      <c r="J2537" t="s">
        <v>115</v>
      </c>
      <c r="K2537" s="18" t="s">
        <v>7658</v>
      </c>
      <c r="N2537" s="17" t="s">
        <v>81</v>
      </c>
      <c r="O2537" t="s">
        <v>261</v>
      </c>
      <c r="U2537" s="17"/>
      <c r="V2537" s="18" t="s">
        <v>7658</v>
      </c>
      <c r="W2537" t="s">
        <v>7659</v>
      </c>
      <c r="Y2537" s="17" t="s">
        <v>90</v>
      </c>
      <c r="AA2537" t="s">
        <v>118</v>
      </c>
      <c r="AB2537" t="s">
        <v>119</v>
      </c>
    </row>
    <row r="2538" ht="15" customHeight="1" spans="1:22" x14ac:dyDescent="0.25">
      <c r="A2538" s="17" t="s">
        <v>7660</v>
      </c>
      <c r="B2538" s="17" t="s">
        <v>70</v>
      </c>
      <c r="C2538" s="17" t="s">
        <v>71</v>
      </c>
      <c r="D2538" t="s">
        <v>7661</v>
      </c>
      <c r="F2538" t="s">
        <v>7662</v>
      </c>
      <c r="J2538" s="17" t="s">
        <v>7663</v>
      </c>
      <c r="K2538" s="18">
        <f>6282110702822</f>
        <v>6282110702822</v>
      </c>
      <c r="N2538" s="17" t="s">
        <v>77</v>
      </c>
      <c r="V2538" s="18">
        <f>6282110702822</f>
        <v>6282110702822</v>
      </c>
    </row>
    <row r="2539" ht="15" customHeight="1" spans="1:22" x14ac:dyDescent="0.25">
      <c r="A2539" s="17" t="s">
        <v>7664</v>
      </c>
      <c r="B2539" s="17" t="s">
        <v>70</v>
      </c>
      <c r="C2539" s="17" t="s">
        <v>71</v>
      </c>
      <c r="D2539" t="s">
        <v>7661</v>
      </c>
      <c r="F2539" t="s">
        <v>7662</v>
      </c>
      <c r="K2539" s="18">
        <f>6281314800458</f>
        <v>6281314800458</v>
      </c>
      <c r="N2539" s="17" t="s">
        <v>77</v>
      </c>
      <c r="V2539" s="18">
        <f>6281314800458</f>
        <v>6281314800458</v>
      </c>
    </row>
    <row r="2540" ht="15" customHeight="1" spans="1:28" x14ac:dyDescent="0.25">
      <c r="A2540" s="17" t="s">
        <v>7665</v>
      </c>
      <c r="B2540" s="17" t="s">
        <v>70</v>
      </c>
      <c r="C2540" s="17" t="s">
        <v>71</v>
      </c>
      <c r="D2540" t="s">
        <v>7661</v>
      </c>
      <c r="F2540" t="s">
        <v>7666</v>
      </c>
      <c r="J2540" s="17" t="s">
        <v>7667</v>
      </c>
      <c r="K2540" s="18" t="s">
        <v>7668</v>
      </c>
      <c r="N2540" s="17" t="s">
        <v>77</v>
      </c>
      <c r="O2540" t="s">
        <v>145</v>
      </c>
      <c r="U2540" s="17"/>
      <c r="V2540" s="18" t="s">
        <v>7668</v>
      </c>
      <c r="W2540" t="s">
        <v>5542</v>
      </c>
      <c r="Y2540" t="s">
        <v>3140</v>
      </c>
      <c r="AA2540" t="s">
        <v>115</v>
      </c>
      <c r="AB2540" t="s">
        <v>3140</v>
      </c>
    </row>
    <row r="2541" ht="15" customHeight="1" spans="1:25" x14ac:dyDescent="0.25">
      <c r="A2541" s="17" t="s">
        <v>7669</v>
      </c>
      <c r="B2541" s="17" t="s">
        <v>70</v>
      </c>
      <c r="C2541" s="17" t="s">
        <v>71</v>
      </c>
      <c r="D2541" t="s">
        <v>7670</v>
      </c>
      <c r="F2541" t="s">
        <v>7671</v>
      </c>
      <c r="K2541" s="18">
        <f>8618666226866</f>
        <v>8618666226866</v>
      </c>
      <c r="N2541" s="17" t="s">
        <v>81</v>
      </c>
      <c r="V2541" s="18">
        <f>8618666226866</f>
        <v>8618666226866</v>
      </c>
      <c r="Y2541" s="17" t="s">
        <v>7269</v>
      </c>
    </row>
    <row r="2542" ht="15" customHeight="1" spans="1:27" x14ac:dyDescent="0.25">
      <c r="A2542" s="17" t="s">
        <v>7672</v>
      </c>
      <c r="B2542" s="17" t="s">
        <v>70</v>
      </c>
      <c r="C2542" s="17" t="s">
        <v>71</v>
      </c>
      <c r="D2542" t="s">
        <v>7673</v>
      </c>
      <c r="F2542" t="s">
        <v>7674</v>
      </c>
      <c r="K2542" s="18">
        <f>62811949240</f>
        <v>62811949240</v>
      </c>
      <c r="N2542" s="17" t="s">
        <v>77</v>
      </c>
      <c r="U2542" s="17"/>
      <c r="V2542" s="18">
        <f>62811949240</f>
        <v>62811949240</v>
      </c>
      <c r="W2542" t="s">
        <v>7675</v>
      </c>
      <c r="Y2542" s="17" t="s">
        <v>96</v>
      </c>
      <c r="AA2542" s="17" t="s">
        <v>7676</v>
      </c>
    </row>
    <row r="2543" ht="15" customHeight="1" spans="1:22" x14ac:dyDescent="0.25">
      <c r="A2543" s="17" t="s">
        <v>7677</v>
      </c>
      <c r="B2543" s="17" t="s">
        <v>70</v>
      </c>
      <c r="C2543" s="17" t="s">
        <v>71</v>
      </c>
      <c r="D2543" t="s">
        <v>7673</v>
      </c>
      <c r="F2543" t="s">
        <v>7678</v>
      </c>
      <c r="K2543" s="18">
        <f>62818116570</f>
        <v>62818116570</v>
      </c>
      <c r="N2543" s="17" t="s">
        <v>77</v>
      </c>
      <c r="V2543" s="18">
        <f>62818116570</f>
        <v>62818116570</v>
      </c>
    </row>
    <row r="2544" ht="15" customHeight="1" spans="1:22" x14ac:dyDescent="0.25">
      <c r="A2544" s="17" t="s">
        <v>7679</v>
      </c>
      <c r="B2544" s="17" t="s">
        <v>70</v>
      </c>
      <c r="C2544" s="17" t="s">
        <v>71</v>
      </c>
      <c r="D2544" t="s">
        <v>7673</v>
      </c>
      <c r="F2544" t="s">
        <v>7680</v>
      </c>
      <c r="J2544" s="17" t="s">
        <v>7681</v>
      </c>
      <c r="K2544" s="18">
        <f>628112716970</f>
        <v>628112716970</v>
      </c>
      <c r="N2544" s="17" t="s">
        <v>77</v>
      </c>
      <c r="V2544" s="18">
        <f>628112716970</f>
        <v>628112716970</v>
      </c>
    </row>
    <row r="2545" ht="15" customHeight="1" spans="1:28" x14ac:dyDescent="0.25">
      <c r="A2545" s="17" t="s">
        <v>7682</v>
      </c>
      <c r="B2545" s="17" t="s">
        <v>70</v>
      </c>
      <c r="C2545" s="17" t="s">
        <v>71</v>
      </c>
      <c r="D2545" t="s">
        <v>7673</v>
      </c>
      <c r="F2545" t="s">
        <v>509</v>
      </c>
      <c r="J2545" t="s">
        <v>115</v>
      </c>
      <c r="K2545" s="18" t="s">
        <v>7683</v>
      </c>
      <c r="N2545" s="17" t="s">
        <v>77</v>
      </c>
      <c r="O2545" t="s">
        <v>117</v>
      </c>
      <c r="U2545" s="17"/>
      <c r="V2545" s="18" t="s">
        <v>7683</v>
      </c>
      <c r="W2545" t="s">
        <v>7684</v>
      </c>
      <c r="Y2545" t="s">
        <v>96</v>
      </c>
      <c r="AA2545" t="s">
        <v>693</v>
      </c>
      <c r="AB2545" t="s">
        <v>119</v>
      </c>
    </row>
    <row r="2546" ht="15" customHeight="1" spans="1:22" x14ac:dyDescent="0.25">
      <c r="A2546" s="17" t="s">
        <v>7685</v>
      </c>
      <c r="B2546" s="17" t="s">
        <v>70</v>
      </c>
      <c r="C2546" s="17" t="s">
        <v>71</v>
      </c>
      <c r="D2546" t="s">
        <v>7673</v>
      </c>
      <c r="F2546" t="s">
        <v>7686</v>
      </c>
      <c r="K2546" s="18">
        <f>62816986810</f>
        <v>62816986810</v>
      </c>
      <c r="N2546" s="17" t="s">
        <v>81</v>
      </c>
      <c r="V2546" s="18">
        <f>62816986810</f>
        <v>62816986810</v>
      </c>
    </row>
    <row r="2547" ht="15" customHeight="1" spans="1:22" x14ac:dyDescent="0.25">
      <c r="A2547" s="17" t="s">
        <v>7687</v>
      </c>
      <c r="B2547" s="17" t="s">
        <v>70</v>
      </c>
      <c r="C2547" s="17" t="s">
        <v>71</v>
      </c>
      <c r="D2547" t="s">
        <v>7673</v>
      </c>
      <c r="F2547" t="s">
        <v>672</v>
      </c>
      <c r="K2547" s="18">
        <f>62816833332</f>
        <v>62816833332</v>
      </c>
      <c r="N2547" s="17" t="s">
        <v>77</v>
      </c>
      <c r="V2547" s="18">
        <f>62816833332</f>
        <v>62816833332</v>
      </c>
    </row>
    <row r="2548" ht="15" customHeight="1" spans="1:22" x14ac:dyDescent="0.25">
      <c r="A2548" s="17" t="s">
        <v>7688</v>
      </c>
      <c r="B2548" s="17" t="s">
        <v>70</v>
      </c>
      <c r="C2548" s="17" t="s">
        <v>71</v>
      </c>
      <c r="D2548" t="s">
        <v>7689</v>
      </c>
      <c r="F2548" t="s">
        <v>7689</v>
      </c>
      <c r="K2548" s="18">
        <f>6281905059739</f>
        <v>6281905059739</v>
      </c>
      <c r="N2548" s="17" t="s">
        <v>77</v>
      </c>
      <c r="V2548" s="18">
        <f>6281905059739</f>
        <v>6281905059739</v>
      </c>
    </row>
    <row r="2549" ht="15" customHeight="1" spans="1:22" x14ac:dyDescent="0.25">
      <c r="A2549" s="17" t="s">
        <v>7690</v>
      </c>
      <c r="B2549" s="17" t="s">
        <v>70</v>
      </c>
      <c r="C2549" s="17" t="s">
        <v>71</v>
      </c>
      <c r="D2549" t="s">
        <v>7691</v>
      </c>
      <c r="F2549" t="s">
        <v>7692</v>
      </c>
      <c r="K2549" s="18">
        <f>628128120003</f>
        <v>628128120003</v>
      </c>
      <c r="N2549" s="17" t="s">
        <v>77</v>
      </c>
      <c r="V2549" s="18">
        <f>628128120003</f>
        <v>628128120003</v>
      </c>
    </row>
    <row r="2550" ht="15" customHeight="1" spans="1:22" x14ac:dyDescent="0.25">
      <c r="A2550" s="17" t="s">
        <v>7693</v>
      </c>
      <c r="B2550" s="17" t="s">
        <v>70</v>
      </c>
      <c r="C2550" s="17" t="s">
        <v>71</v>
      </c>
      <c r="D2550" t="s">
        <v>7694</v>
      </c>
      <c r="F2550" t="s">
        <v>7657</v>
      </c>
      <c r="K2550" s="18">
        <f>6283869674481</f>
        <v>6283869674481</v>
      </c>
      <c r="N2550" s="17" t="s">
        <v>81</v>
      </c>
      <c r="V2550" s="18">
        <f>6283869674481</f>
        <v>6283869674481</v>
      </c>
    </row>
    <row r="2551" ht="15" customHeight="1" spans="1:22" x14ac:dyDescent="0.25">
      <c r="A2551" s="17" t="s">
        <v>7695</v>
      </c>
      <c r="B2551" s="17" t="s">
        <v>70</v>
      </c>
      <c r="C2551" s="17" t="s">
        <v>71</v>
      </c>
      <c r="D2551" t="s">
        <v>7696</v>
      </c>
      <c r="F2551" t="s">
        <v>84</v>
      </c>
      <c r="K2551" s="18">
        <v>222007383</v>
      </c>
      <c r="N2551" s="17" t="s">
        <v>77</v>
      </c>
      <c r="V2551" s="18">
        <v>222007383</v>
      </c>
    </row>
    <row r="2552" ht="15" customHeight="1" spans="1:28" x14ac:dyDescent="0.25">
      <c r="A2552" s="17" t="s">
        <v>7697</v>
      </c>
      <c r="B2552" s="17" t="s">
        <v>70</v>
      </c>
      <c r="C2552" s="17" t="s">
        <v>71</v>
      </c>
      <c r="D2552" t="s">
        <v>7698</v>
      </c>
      <c r="F2552" t="s">
        <v>546</v>
      </c>
      <c r="J2552" t="s">
        <v>115</v>
      </c>
      <c r="K2552" s="18" t="s">
        <v>7699</v>
      </c>
      <c r="N2552" s="17" t="s">
        <v>77</v>
      </c>
      <c r="O2552" t="s">
        <v>489</v>
      </c>
      <c r="U2552" s="17"/>
      <c r="V2552" s="18" t="s">
        <v>7699</v>
      </c>
      <c r="W2552" t="s">
        <v>7700</v>
      </c>
      <c r="Y2552" t="s">
        <v>397</v>
      </c>
      <c r="AA2552" t="s">
        <v>1199</v>
      </c>
      <c r="AB2552" t="s">
        <v>119</v>
      </c>
    </row>
    <row r="2553" ht="15" customHeight="1" spans="1:27" x14ac:dyDescent="0.25">
      <c r="A2553" s="17" t="s">
        <v>7701</v>
      </c>
      <c r="B2553" s="17" t="s">
        <v>70</v>
      </c>
      <c r="C2553" s="17" t="s">
        <v>71</v>
      </c>
      <c r="D2553" t="s">
        <v>7702</v>
      </c>
      <c r="F2553" t="s">
        <v>7703</v>
      </c>
      <c r="J2553" s="17" t="s">
        <v>7704</v>
      </c>
      <c r="K2553" s="18">
        <f>6282119553298</f>
        <v>6282119553298</v>
      </c>
      <c r="N2553" s="17" t="s">
        <v>77</v>
      </c>
      <c r="U2553" s="17"/>
      <c r="V2553" s="18">
        <f>6282119553298</f>
        <v>6282119553298</v>
      </c>
      <c r="W2553" t="s">
        <v>7705</v>
      </c>
      <c r="Y2553" s="17" t="s">
        <v>1794</v>
      </c>
      <c r="AA2553" s="17">
        <v>46123</v>
      </c>
    </row>
    <row r="2554" ht="15" customHeight="1" spans="1:25" x14ac:dyDescent="0.25">
      <c r="A2554" s="17" t="s">
        <v>7706</v>
      </c>
      <c r="B2554" s="17" t="s">
        <v>70</v>
      </c>
      <c r="C2554" s="17" t="s">
        <v>71</v>
      </c>
      <c r="D2554" t="s">
        <v>7707</v>
      </c>
      <c r="F2554" t="s">
        <v>546</v>
      </c>
      <c r="K2554" s="18">
        <f>6281287179585</f>
        <v>6281287179585</v>
      </c>
      <c r="N2554" s="17" t="s">
        <v>81</v>
      </c>
      <c r="V2554" s="18">
        <f>6281287179585</f>
        <v>6281287179585</v>
      </c>
      <c r="Y2554" s="17" t="s">
        <v>96</v>
      </c>
    </row>
    <row r="2555" ht="15" customHeight="1" spans="1:25" x14ac:dyDescent="0.25">
      <c r="A2555" s="17" t="s">
        <v>7708</v>
      </c>
      <c r="B2555" s="17" t="s">
        <v>70</v>
      </c>
      <c r="C2555" s="17" t="s">
        <v>71</v>
      </c>
      <c r="D2555" t="s">
        <v>7707</v>
      </c>
      <c r="F2555" t="s">
        <v>7709</v>
      </c>
      <c r="K2555" s="18">
        <f>6281214111126</f>
        <v>6281214111126</v>
      </c>
      <c r="N2555" s="17" t="s">
        <v>77</v>
      </c>
      <c r="U2555" s="17"/>
      <c r="V2555" s="18">
        <f>6281214111126</f>
        <v>6281214111126</v>
      </c>
      <c r="W2555" t="s">
        <v>7710</v>
      </c>
      <c r="Y2555" s="17" t="s">
        <v>90</v>
      </c>
    </row>
    <row r="2556" ht="15" customHeight="1" spans="1:23" x14ac:dyDescent="0.25">
      <c r="A2556" s="17" t="s">
        <v>7711</v>
      </c>
      <c r="B2556" s="17" t="s">
        <v>70</v>
      </c>
      <c r="C2556" s="17" t="s">
        <v>71</v>
      </c>
      <c r="D2556" t="s">
        <v>7712</v>
      </c>
      <c r="F2556" t="s">
        <v>7713</v>
      </c>
      <c r="K2556" s="18">
        <f>29062022</f>
        <v>29062022</v>
      </c>
      <c r="N2556" s="17" t="s">
        <v>77</v>
      </c>
      <c r="U2556" s="17"/>
      <c r="V2556" s="18">
        <f>29062022</f>
        <v>29062022</v>
      </c>
      <c r="W2556" t="s">
        <v>90</v>
      </c>
    </row>
    <row r="2557" ht="15" customHeight="1" spans="1:23" x14ac:dyDescent="0.25">
      <c r="A2557" s="17" t="s">
        <v>7714</v>
      </c>
      <c r="B2557" s="17" t="s">
        <v>70</v>
      </c>
      <c r="C2557" s="17" t="s">
        <v>71</v>
      </c>
      <c r="D2557" t="s">
        <v>7712</v>
      </c>
      <c r="F2557" t="s">
        <v>7715</v>
      </c>
      <c r="K2557" s="18">
        <f>6281280019897</f>
        <v>6281280019897</v>
      </c>
      <c r="N2557" s="17" t="s">
        <v>81</v>
      </c>
      <c r="U2557" s="17"/>
      <c r="V2557" s="18">
        <f>6281280019897</f>
        <v>6281280019897</v>
      </c>
      <c r="W2557" t="s">
        <v>7716</v>
      </c>
    </row>
    <row r="2558" ht="15" customHeight="1" spans="1:23" x14ac:dyDescent="0.25">
      <c r="A2558" s="17" t="s">
        <v>7717</v>
      </c>
      <c r="B2558" s="17" t="s">
        <v>70</v>
      </c>
      <c r="C2558" s="17" t="s">
        <v>71</v>
      </c>
      <c r="D2558" t="s">
        <v>7718</v>
      </c>
      <c r="F2558" t="s">
        <v>7719</v>
      </c>
      <c r="K2558" s="18">
        <f>6281934165901</f>
        <v>6281934165901</v>
      </c>
      <c r="N2558" s="17" t="s">
        <v>77</v>
      </c>
      <c r="U2558" s="17"/>
      <c r="V2558" s="18">
        <f>6281934165901</f>
        <v>6281934165901</v>
      </c>
      <c r="W2558" t="s">
        <v>7720</v>
      </c>
    </row>
    <row r="2559" ht="15" customHeight="1" spans="1:22" x14ac:dyDescent="0.25">
      <c r="A2559" s="17" t="s">
        <v>7721</v>
      </c>
      <c r="B2559" s="17" t="s">
        <v>70</v>
      </c>
      <c r="C2559" s="17" t="s">
        <v>71</v>
      </c>
      <c r="D2559" t="s">
        <v>7722</v>
      </c>
      <c r="F2559" t="s">
        <v>7722</v>
      </c>
      <c r="K2559" s="18">
        <f>6281317775311</f>
        <v>6281317775311</v>
      </c>
      <c r="N2559" s="17" t="s">
        <v>81</v>
      </c>
      <c r="V2559" s="18">
        <f>6281317775311</f>
        <v>6281317775311</v>
      </c>
    </row>
    <row r="2560" ht="15" customHeight="1" spans="1:22" x14ac:dyDescent="0.25">
      <c r="A2560" s="17" t="s">
        <v>7723</v>
      </c>
      <c r="B2560" s="17" t="s">
        <v>70</v>
      </c>
      <c r="C2560" s="17" t="s">
        <v>71</v>
      </c>
      <c r="D2560" t="s">
        <v>7724</v>
      </c>
      <c r="F2560" t="s">
        <v>7725</v>
      </c>
      <c r="K2560" s="18">
        <f>6285294440001</f>
        <v>6285294440001</v>
      </c>
      <c r="N2560" s="17" t="s">
        <v>81</v>
      </c>
      <c r="V2560" s="18">
        <f>6285294440001</f>
        <v>6285294440001</v>
      </c>
    </row>
    <row r="2561" ht="15" customHeight="1" spans="1:23" x14ac:dyDescent="0.25">
      <c r="A2561" s="17" t="s">
        <v>7726</v>
      </c>
      <c r="B2561" s="17" t="s">
        <v>70</v>
      </c>
      <c r="C2561" s="17" t="s">
        <v>71</v>
      </c>
      <c r="D2561" t="s">
        <v>2989</v>
      </c>
      <c r="F2561" t="s">
        <v>2989</v>
      </c>
      <c r="K2561" s="18">
        <f>6281519079537</f>
        <v>6281519079537</v>
      </c>
      <c r="N2561" s="17" t="s">
        <v>77</v>
      </c>
      <c r="U2561" s="17"/>
      <c r="V2561" s="18">
        <f>6281519079537</f>
        <v>6281519079537</v>
      </c>
      <c r="W2561" t="s">
        <v>7727</v>
      </c>
    </row>
    <row r="2562" ht="15" customHeight="1" spans="1:22" x14ac:dyDescent="0.25">
      <c r="A2562" s="17" t="s">
        <v>7728</v>
      </c>
      <c r="B2562" s="17" t="s">
        <v>70</v>
      </c>
      <c r="C2562" s="17" t="s">
        <v>71</v>
      </c>
      <c r="D2562" t="s">
        <v>2989</v>
      </c>
      <c r="F2562" t="s">
        <v>2989</v>
      </c>
      <c r="K2562" s="18">
        <f>628113636111</f>
        <v>628113636111</v>
      </c>
      <c r="N2562" s="17" t="s">
        <v>77</v>
      </c>
      <c r="V2562" s="18">
        <f>628113636111</f>
        <v>628113636111</v>
      </c>
    </row>
    <row r="2563" ht="15" customHeight="1" spans="1:22" x14ac:dyDescent="0.25">
      <c r="A2563" s="17" t="s">
        <v>7729</v>
      </c>
      <c r="B2563" s="17" t="s">
        <v>70</v>
      </c>
      <c r="C2563" s="17" t="s">
        <v>71</v>
      </c>
      <c r="D2563" t="s">
        <v>2989</v>
      </c>
      <c r="F2563" t="s">
        <v>669</v>
      </c>
      <c r="K2563" s="18">
        <f>6287778360260</f>
        <v>6287778360260</v>
      </c>
      <c r="N2563" s="17" t="s">
        <v>81</v>
      </c>
      <c r="V2563" s="18">
        <f>6287778360260</f>
        <v>6287778360260</v>
      </c>
    </row>
    <row r="2564" ht="15" customHeight="1" spans="1:23" x14ac:dyDescent="0.25">
      <c r="A2564" s="17" t="s">
        <v>7730</v>
      </c>
      <c r="B2564" s="17" t="s">
        <v>70</v>
      </c>
      <c r="C2564" s="17" t="s">
        <v>71</v>
      </c>
      <c r="D2564" t="s">
        <v>2989</v>
      </c>
      <c r="F2564" t="s">
        <v>7731</v>
      </c>
      <c r="K2564" s="18">
        <f>6282113261027</f>
        <v>6282113261027</v>
      </c>
      <c r="N2564" s="17" t="s">
        <v>77</v>
      </c>
      <c r="U2564" s="17"/>
      <c r="V2564" s="18">
        <f>6282113261027</f>
        <v>6282113261027</v>
      </c>
      <c r="W2564" t="s">
        <v>7732</v>
      </c>
    </row>
    <row r="2565" ht="15" customHeight="1" spans="1:27" x14ac:dyDescent="0.25">
      <c r="A2565" s="17" t="s">
        <v>7733</v>
      </c>
      <c r="B2565" s="17" t="s">
        <v>70</v>
      </c>
      <c r="C2565" s="17" t="s">
        <v>71</v>
      </c>
      <c r="D2565" t="s">
        <v>2989</v>
      </c>
      <c r="F2565" t="s">
        <v>2159</v>
      </c>
      <c r="K2565" s="18">
        <f>6281286666737</f>
        <v>6281286666737</v>
      </c>
      <c r="N2565" s="17" t="s">
        <v>81</v>
      </c>
      <c r="U2565" s="17"/>
      <c r="V2565" s="18">
        <f>6281286666737</f>
        <v>6281286666737</v>
      </c>
      <c r="W2565" t="s">
        <v>7734</v>
      </c>
      <c r="Y2565" s="17" t="s">
        <v>4993</v>
      </c>
      <c r="AA2565" s="17">
        <v>15345</v>
      </c>
    </row>
    <row r="2566" ht="15" customHeight="1" spans="1:28" x14ac:dyDescent="0.25">
      <c r="A2566" s="17" t="s">
        <v>7735</v>
      </c>
      <c r="B2566" s="17" t="s">
        <v>70</v>
      </c>
      <c r="C2566" s="17" t="s">
        <v>71</v>
      </c>
      <c r="D2566" t="s">
        <v>2989</v>
      </c>
      <c r="F2566" t="s">
        <v>548</v>
      </c>
      <c r="J2566" t="s">
        <v>115</v>
      </c>
      <c r="K2566" s="18" t="s">
        <v>7736</v>
      </c>
      <c r="N2566" s="17" t="s">
        <v>77</v>
      </c>
      <c r="O2566" t="s">
        <v>489</v>
      </c>
      <c r="V2566" s="18" t="s">
        <v>7736</v>
      </c>
      <c r="Y2566" t="s">
        <v>1091</v>
      </c>
      <c r="AA2566" t="s">
        <v>115</v>
      </c>
      <c r="AB2566" t="s">
        <v>119</v>
      </c>
    </row>
    <row r="2567" ht="15" customHeight="1" spans="1:25" x14ac:dyDescent="0.25">
      <c r="A2567" s="17" t="s">
        <v>7737</v>
      </c>
      <c r="B2567" s="17" t="s">
        <v>70</v>
      </c>
      <c r="C2567" s="17" t="s">
        <v>71</v>
      </c>
      <c r="D2567" t="s">
        <v>2989</v>
      </c>
      <c r="F2567" t="s">
        <v>4458</v>
      </c>
      <c r="K2567" s="18">
        <f>62811140307</f>
        <v>62811140307</v>
      </c>
      <c r="N2567" s="17" t="s">
        <v>81</v>
      </c>
      <c r="U2567" s="17"/>
      <c r="V2567" s="18">
        <f>62811140307</f>
        <v>62811140307</v>
      </c>
      <c r="W2567" t="s">
        <v>7738</v>
      </c>
      <c r="Y2567" s="17" t="s">
        <v>626</v>
      </c>
    </row>
    <row r="2568" ht="15" customHeight="1" spans="1:28" x14ac:dyDescent="0.25">
      <c r="A2568" s="17" t="s">
        <v>7739</v>
      </c>
      <c r="B2568" s="17" t="s">
        <v>70</v>
      </c>
      <c r="C2568" s="17" t="s">
        <v>71</v>
      </c>
      <c r="D2568" t="s">
        <v>2989</v>
      </c>
      <c r="F2568" t="s">
        <v>4458</v>
      </c>
      <c r="J2568" t="s">
        <v>115</v>
      </c>
      <c r="K2568" s="18" t="s">
        <v>7740</v>
      </c>
      <c r="N2568" s="17" t="s">
        <v>81</v>
      </c>
      <c r="O2568" t="s">
        <v>117</v>
      </c>
      <c r="V2568" s="18" t="s">
        <v>7740</v>
      </c>
      <c r="Y2568" t="s">
        <v>90</v>
      </c>
      <c r="AA2568" t="s">
        <v>118</v>
      </c>
      <c r="AB2568" t="s">
        <v>119</v>
      </c>
    </row>
    <row r="2569" ht="15" customHeight="1" spans="1:22" x14ac:dyDescent="0.25">
      <c r="A2569" s="17" t="s">
        <v>7741</v>
      </c>
      <c r="B2569" s="17" t="s">
        <v>70</v>
      </c>
      <c r="C2569" s="17" t="s">
        <v>71</v>
      </c>
      <c r="D2569" t="s">
        <v>2989</v>
      </c>
      <c r="F2569" t="s">
        <v>7742</v>
      </c>
      <c r="K2569" s="18">
        <f>6281808868855</f>
        <v>6281808868855</v>
      </c>
      <c r="N2569" s="17" t="s">
        <v>77</v>
      </c>
      <c r="V2569" s="18">
        <f>6281808868855</f>
        <v>6281808868855</v>
      </c>
    </row>
    <row r="2570" ht="15" customHeight="1" spans="1:22" x14ac:dyDescent="0.25">
      <c r="A2570" s="17" t="s">
        <v>7743</v>
      </c>
      <c r="B2570" s="17" t="s">
        <v>70</v>
      </c>
      <c r="C2570" s="17" t="s">
        <v>71</v>
      </c>
      <c r="D2570" t="s">
        <v>2989</v>
      </c>
      <c r="F2570" t="s">
        <v>2313</v>
      </c>
      <c r="K2570" s="18">
        <f>628176326602</f>
        <v>628176326602</v>
      </c>
      <c r="N2570" s="17" t="s">
        <v>77</v>
      </c>
      <c r="V2570" s="18">
        <f>628176326602</f>
        <v>628176326602</v>
      </c>
    </row>
    <row r="2571" ht="15" customHeight="1" spans="1:28" x14ac:dyDescent="0.25">
      <c r="A2571" s="17" t="s">
        <v>7744</v>
      </c>
      <c r="B2571" s="17" t="s">
        <v>70</v>
      </c>
      <c r="C2571" s="17" t="s">
        <v>71</v>
      </c>
      <c r="D2571" t="s">
        <v>2989</v>
      </c>
      <c r="F2571" t="s">
        <v>6285</v>
      </c>
      <c r="J2571" t="s">
        <v>115</v>
      </c>
      <c r="K2571" s="18" t="s">
        <v>7745</v>
      </c>
      <c r="N2571" s="17" t="s">
        <v>77</v>
      </c>
      <c r="O2571" t="s">
        <v>145</v>
      </c>
      <c r="V2571" s="18" t="s">
        <v>7745</v>
      </c>
      <c r="Y2571" t="s">
        <v>190</v>
      </c>
      <c r="AA2571" t="s">
        <v>118</v>
      </c>
      <c r="AB2571" t="s">
        <v>119</v>
      </c>
    </row>
    <row r="2572" ht="15" customHeight="1" spans="1:28" x14ac:dyDescent="0.25">
      <c r="A2572" s="17" t="s">
        <v>7746</v>
      </c>
      <c r="B2572" s="17" t="s">
        <v>70</v>
      </c>
      <c r="C2572" s="17" t="s">
        <v>71</v>
      </c>
      <c r="D2572" t="s">
        <v>2989</v>
      </c>
      <c r="F2572" t="s">
        <v>7747</v>
      </c>
      <c r="J2572" t="s">
        <v>115</v>
      </c>
      <c r="K2572" s="18" t="s">
        <v>7748</v>
      </c>
      <c r="N2572" s="17" t="s">
        <v>77</v>
      </c>
      <c r="O2572" t="s">
        <v>117</v>
      </c>
      <c r="U2572" s="17"/>
      <c r="V2572" s="18" t="s">
        <v>7748</v>
      </c>
      <c r="W2572" t="s">
        <v>7749</v>
      </c>
      <c r="Y2572" s="17" t="s">
        <v>90</v>
      </c>
      <c r="AA2572" s="17" t="s">
        <v>118</v>
      </c>
      <c r="AB2572" t="s">
        <v>119</v>
      </c>
    </row>
    <row r="2573" ht="15" customHeight="1" spans="1:22" x14ac:dyDescent="0.25">
      <c r="A2573" s="17" t="s">
        <v>7750</v>
      </c>
      <c r="B2573" s="17" t="s">
        <v>70</v>
      </c>
      <c r="C2573" s="17" t="s">
        <v>71</v>
      </c>
      <c r="D2573" t="s">
        <v>2989</v>
      </c>
      <c r="F2573" t="s">
        <v>7751</v>
      </c>
      <c r="K2573" s="18">
        <f>62818221622</f>
        <v>62818221622</v>
      </c>
      <c r="N2573" s="17" t="s">
        <v>77</v>
      </c>
      <c r="V2573" s="18">
        <f>62818221622</f>
        <v>62818221622</v>
      </c>
    </row>
    <row r="2574" ht="15" customHeight="1" spans="1:25" x14ac:dyDescent="0.25">
      <c r="A2574" s="17" t="s">
        <v>7752</v>
      </c>
      <c r="B2574" s="17" t="s">
        <v>70</v>
      </c>
      <c r="C2574" s="17" t="s">
        <v>71</v>
      </c>
      <c r="D2574" t="s">
        <v>2989</v>
      </c>
      <c r="F2574" t="s">
        <v>7753</v>
      </c>
      <c r="J2574" s="17" t="s">
        <v>7754</v>
      </c>
      <c r="K2574" s="18">
        <f>628112287990</f>
        <v>628112287990</v>
      </c>
      <c r="N2574" s="17" t="s">
        <v>77</v>
      </c>
      <c r="U2574" s="17"/>
      <c r="V2574" s="18">
        <f>628112287990</f>
        <v>628112287990</v>
      </c>
      <c r="W2574" t="s">
        <v>7755</v>
      </c>
      <c r="Y2574" s="17" t="s">
        <v>500</v>
      </c>
    </row>
    <row r="2575" ht="15" customHeight="1" spans="1:22" x14ac:dyDescent="0.25">
      <c r="A2575" s="17" t="s">
        <v>7756</v>
      </c>
      <c r="B2575" s="17" t="s">
        <v>70</v>
      </c>
      <c r="C2575" s="17" t="s">
        <v>71</v>
      </c>
      <c r="D2575" t="s">
        <v>7757</v>
      </c>
      <c r="F2575" t="s">
        <v>871</v>
      </c>
      <c r="K2575" s="18">
        <f>628161854400</f>
        <v>628161854400</v>
      </c>
      <c r="N2575" s="17" t="s">
        <v>81</v>
      </c>
      <c r="V2575" s="18">
        <f>628161854400</f>
        <v>628161854400</v>
      </c>
    </row>
    <row r="2576" ht="15" customHeight="1" spans="1:23" x14ac:dyDescent="0.25">
      <c r="A2576" s="17" t="s">
        <v>7758</v>
      </c>
      <c r="B2576" s="17" t="s">
        <v>70</v>
      </c>
      <c r="C2576" s="17" t="s">
        <v>71</v>
      </c>
      <c r="D2576" t="s">
        <v>7759</v>
      </c>
      <c r="F2576" t="s">
        <v>1646</v>
      </c>
      <c r="J2576" s="17" t="s">
        <v>7760</v>
      </c>
      <c r="K2576" s="18">
        <f>62811182111</f>
        <v>62811182111</v>
      </c>
      <c r="N2576" s="17" t="s">
        <v>81</v>
      </c>
      <c r="U2576" s="17"/>
      <c r="V2576" s="18">
        <f>62811182111</f>
        <v>62811182111</v>
      </c>
      <c r="W2576" t="s">
        <v>7761</v>
      </c>
    </row>
    <row r="2577" ht="15" customHeight="1" spans="1:22" x14ac:dyDescent="0.25">
      <c r="A2577" s="17" t="s">
        <v>7762</v>
      </c>
      <c r="B2577" s="17" t="s">
        <v>70</v>
      </c>
      <c r="C2577" s="17" t="s">
        <v>71</v>
      </c>
      <c r="D2577" t="s">
        <v>7763</v>
      </c>
      <c r="F2577" t="s">
        <v>7763</v>
      </c>
      <c r="K2577" s="18">
        <f>628129097733</f>
        <v>628129097733</v>
      </c>
      <c r="N2577" s="17" t="s">
        <v>81</v>
      </c>
      <c r="V2577" s="18">
        <f>628129097733</f>
        <v>628129097733</v>
      </c>
    </row>
    <row r="2578" ht="15" customHeight="1" spans="1:23" x14ac:dyDescent="0.25">
      <c r="A2578" s="17" t="s">
        <v>7764</v>
      </c>
      <c r="B2578" s="17" t="s">
        <v>70</v>
      </c>
      <c r="C2578" s="17" t="s">
        <v>71</v>
      </c>
      <c r="D2578" t="s">
        <v>2161</v>
      </c>
      <c r="F2578" t="s">
        <v>2161</v>
      </c>
      <c r="K2578" s="18">
        <f>6281212552348</f>
        <v>6281212552348</v>
      </c>
      <c r="N2578" s="17" t="s">
        <v>77</v>
      </c>
      <c r="U2578" s="17"/>
      <c r="V2578" s="18">
        <f>6281212552348</f>
        <v>6281212552348</v>
      </c>
      <c r="W2578" t="s">
        <v>7765</v>
      </c>
    </row>
    <row r="2579" ht="15" customHeight="1" spans="1:22" x14ac:dyDescent="0.25">
      <c r="A2579" s="17" t="s">
        <v>7766</v>
      </c>
      <c r="B2579" s="17" t="s">
        <v>70</v>
      </c>
      <c r="C2579" s="17" t="s">
        <v>71</v>
      </c>
      <c r="D2579" t="s">
        <v>2161</v>
      </c>
      <c r="F2579" t="s">
        <v>2161</v>
      </c>
      <c r="K2579" s="18">
        <f>6281370758857</f>
        <v>6281370758857</v>
      </c>
      <c r="N2579" s="17" t="s">
        <v>77</v>
      </c>
      <c r="V2579" s="18">
        <f>6281370758857</f>
        <v>6281370758857</v>
      </c>
    </row>
    <row r="2580" ht="15" customHeight="1" spans="1:22" x14ac:dyDescent="0.25">
      <c r="A2580" s="17" t="s">
        <v>7767</v>
      </c>
      <c r="B2580" s="17" t="s">
        <v>70</v>
      </c>
      <c r="C2580" s="17" t="s">
        <v>71</v>
      </c>
      <c r="D2580" t="s">
        <v>2161</v>
      </c>
      <c r="F2580" t="s">
        <v>7768</v>
      </c>
      <c r="K2580" s="18">
        <f>6287885551150</f>
        <v>6287885551150</v>
      </c>
      <c r="N2580" s="17" t="s">
        <v>77</v>
      </c>
      <c r="V2580" s="18">
        <f>6287885551150</f>
        <v>6287885551150</v>
      </c>
    </row>
    <row r="2581" ht="15" customHeight="1" spans="1:28" x14ac:dyDescent="0.25">
      <c r="A2581" s="17" t="s">
        <v>7769</v>
      </c>
      <c r="B2581" s="17" t="s">
        <v>70</v>
      </c>
      <c r="C2581" s="17" t="s">
        <v>71</v>
      </c>
      <c r="D2581" t="s">
        <v>7770</v>
      </c>
      <c r="F2581" t="s">
        <v>7771</v>
      </c>
      <c r="J2581" t="s">
        <v>115</v>
      </c>
      <c r="K2581" s="18" t="s">
        <v>7772</v>
      </c>
      <c r="N2581" s="17" t="s">
        <v>77</v>
      </c>
      <c r="O2581" t="s">
        <v>199</v>
      </c>
      <c r="V2581" s="18" t="s">
        <v>7772</v>
      </c>
      <c r="Y2581" t="s">
        <v>891</v>
      </c>
      <c r="AA2581" t="s">
        <v>623</v>
      </c>
      <c r="AB2581" t="s">
        <v>119</v>
      </c>
    </row>
    <row r="2582" ht="15" customHeight="1" spans="1:27" x14ac:dyDescent="0.25">
      <c r="A2582" s="17" t="s">
        <v>7773</v>
      </c>
      <c r="B2582" s="17" t="s">
        <v>70</v>
      </c>
      <c r="C2582" s="17" t="s">
        <v>71</v>
      </c>
      <c r="D2582" t="s">
        <v>7770</v>
      </c>
      <c r="F2582" t="s">
        <v>7774</v>
      </c>
      <c r="K2582" s="18">
        <f>62817337200</f>
        <v>62817337200</v>
      </c>
      <c r="N2582" s="17" t="s">
        <v>77</v>
      </c>
      <c r="U2582" s="17"/>
      <c r="V2582" s="18">
        <f>62817337200</f>
        <v>62817337200</v>
      </c>
      <c r="W2582" t="s">
        <v>7775</v>
      </c>
      <c r="AA2582" s="17">
        <v>60285</v>
      </c>
    </row>
    <row r="2583" ht="15" customHeight="1" spans="1:22" x14ac:dyDescent="0.25">
      <c r="A2583" s="17" t="s">
        <v>7776</v>
      </c>
      <c r="B2583" s="17" t="s">
        <v>70</v>
      </c>
      <c r="C2583" s="17" t="s">
        <v>71</v>
      </c>
      <c r="D2583" t="s">
        <v>7770</v>
      </c>
      <c r="F2583" t="s">
        <v>2785</v>
      </c>
      <c r="K2583" s="18">
        <f>6281219253540</f>
        <v>6281219253540</v>
      </c>
      <c r="N2583" s="17" t="s">
        <v>77</v>
      </c>
      <c r="V2583" s="18">
        <f>6281219253540</f>
        <v>6281219253540</v>
      </c>
    </row>
    <row r="2584" ht="15" customHeight="1" spans="1:28" x14ac:dyDescent="0.25">
      <c r="A2584" s="17" t="s">
        <v>7777</v>
      </c>
      <c r="B2584" s="17" t="s">
        <v>70</v>
      </c>
      <c r="C2584" s="17" t="s">
        <v>71</v>
      </c>
      <c r="D2584" t="s">
        <v>7778</v>
      </c>
      <c r="F2584" t="s">
        <v>5402</v>
      </c>
      <c r="J2584" t="s">
        <v>115</v>
      </c>
      <c r="K2584" s="18" t="s">
        <v>7779</v>
      </c>
      <c r="N2584" s="17" t="s">
        <v>77</v>
      </c>
      <c r="O2584" t="s">
        <v>117</v>
      </c>
      <c r="V2584" s="18" t="s">
        <v>7779</v>
      </c>
      <c r="Y2584" t="s">
        <v>90</v>
      </c>
      <c r="AA2584" t="s">
        <v>118</v>
      </c>
      <c r="AB2584" t="s">
        <v>119</v>
      </c>
    </row>
    <row r="2585" ht="15" customHeight="1" spans="1:22" x14ac:dyDescent="0.25">
      <c r="A2585" s="17" t="s">
        <v>7780</v>
      </c>
      <c r="B2585" s="17" t="s">
        <v>70</v>
      </c>
      <c r="C2585" s="17" t="s">
        <v>71</v>
      </c>
      <c r="D2585" t="s">
        <v>1401</v>
      </c>
      <c r="F2585" t="s">
        <v>1401</v>
      </c>
      <c r="K2585" s="18">
        <f>628176778900</f>
        <v>628176778900</v>
      </c>
      <c r="N2585" s="17" t="s">
        <v>77</v>
      </c>
      <c r="V2585" s="18">
        <f>628176778900</f>
        <v>628176778900</v>
      </c>
    </row>
    <row r="2586" ht="15" customHeight="1" spans="1:25" x14ac:dyDescent="0.25">
      <c r="A2586" s="17" t="s">
        <v>7781</v>
      </c>
      <c r="B2586" s="17" t="s">
        <v>70</v>
      </c>
      <c r="C2586" s="17" t="s">
        <v>71</v>
      </c>
      <c r="D2586" t="s">
        <v>1401</v>
      </c>
      <c r="F2586" t="s">
        <v>7782</v>
      </c>
      <c r="K2586" s="18">
        <f>628126019892</f>
        <v>628126019892</v>
      </c>
      <c r="N2586" s="17" t="s">
        <v>77</v>
      </c>
      <c r="U2586" s="17"/>
      <c r="V2586" s="18">
        <f>628126019892</f>
        <v>628126019892</v>
      </c>
      <c r="W2586" t="s">
        <v>1157</v>
      </c>
      <c r="Y2586" s="17" t="s">
        <v>1157</v>
      </c>
    </row>
    <row r="2587" ht="15" customHeight="1" spans="1:28" x14ac:dyDescent="0.25">
      <c r="A2587" s="17" t="s">
        <v>7783</v>
      </c>
      <c r="B2587" s="17" t="s">
        <v>70</v>
      </c>
      <c r="C2587" s="17" t="s">
        <v>71</v>
      </c>
      <c r="D2587" t="s">
        <v>1401</v>
      </c>
      <c r="F2587" t="s">
        <v>2736</v>
      </c>
      <c r="J2587" t="s">
        <v>115</v>
      </c>
      <c r="K2587" s="18" t="s">
        <v>7784</v>
      </c>
      <c r="N2587" s="17" t="s">
        <v>77</v>
      </c>
      <c r="O2587" t="s">
        <v>117</v>
      </c>
      <c r="V2587" s="18" t="s">
        <v>7784</v>
      </c>
      <c r="Y2587" t="s">
        <v>90</v>
      </c>
      <c r="AA2587" t="s">
        <v>118</v>
      </c>
      <c r="AB2587" t="s">
        <v>119</v>
      </c>
    </row>
    <row r="2588" ht="15" customHeight="1" spans="1:28" x14ac:dyDescent="0.25">
      <c r="A2588" s="17" t="s">
        <v>7785</v>
      </c>
      <c r="B2588" s="17" t="s">
        <v>70</v>
      </c>
      <c r="C2588" s="17" t="s">
        <v>71</v>
      </c>
      <c r="D2588" t="s">
        <v>1401</v>
      </c>
      <c r="F2588" t="s">
        <v>6758</v>
      </c>
      <c r="J2588" t="s">
        <v>115</v>
      </c>
      <c r="K2588" s="18" t="s">
        <v>7786</v>
      </c>
      <c r="N2588" s="17" t="s">
        <v>81</v>
      </c>
      <c r="O2588" t="s">
        <v>117</v>
      </c>
      <c r="V2588" s="18" t="s">
        <v>7786</v>
      </c>
      <c r="Y2588" t="s">
        <v>190</v>
      </c>
      <c r="AA2588" t="s">
        <v>118</v>
      </c>
      <c r="AB2588" t="s">
        <v>119</v>
      </c>
    </row>
    <row r="2589" ht="15" customHeight="1" spans="1:27" x14ac:dyDescent="0.25">
      <c r="A2589" s="17" t="s">
        <v>7787</v>
      </c>
      <c r="B2589" s="17" t="s">
        <v>70</v>
      </c>
      <c r="C2589" s="17" t="s">
        <v>71</v>
      </c>
      <c r="D2589" t="s">
        <v>1401</v>
      </c>
      <c r="F2589" t="s">
        <v>212</v>
      </c>
      <c r="K2589" s="18">
        <f>62816883887</f>
        <v>62816883887</v>
      </c>
      <c r="N2589" s="17" t="s">
        <v>77</v>
      </c>
      <c r="U2589" s="17"/>
      <c r="V2589" s="18">
        <f>62816883887</f>
        <v>62816883887</v>
      </c>
      <c r="W2589" t="s">
        <v>7788</v>
      </c>
      <c r="Y2589" s="17" t="s">
        <v>90</v>
      </c>
      <c r="AA2589" s="17">
        <v>10740</v>
      </c>
    </row>
    <row r="2590" ht="15" customHeight="1" spans="1:28" x14ac:dyDescent="0.25">
      <c r="A2590" s="17" t="s">
        <v>7789</v>
      </c>
      <c r="B2590" s="17" t="s">
        <v>70</v>
      </c>
      <c r="C2590" s="17" t="s">
        <v>71</v>
      </c>
      <c r="D2590" t="s">
        <v>1401</v>
      </c>
      <c r="F2590" t="s">
        <v>7790</v>
      </c>
      <c r="J2590" t="s">
        <v>115</v>
      </c>
      <c r="K2590" s="18" t="s">
        <v>7791</v>
      </c>
      <c r="N2590" s="17" t="s">
        <v>74</v>
      </c>
      <c r="O2590" t="s">
        <v>117</v>
      </c>
      <c r="V2590" s="18" t="s">
        <v>7791</v>
      </c>
      <c r="Y2590" t="s">
        <v>90</v>
      </c>
      <c r="AA2590" t="s">
        <v>118</v>
      </c>
      <c r="AB2590" t="s">
        <v>119</v>
      </c>
    </row>
    <row r="2591" ht="15" customHeight="1" spans="1:22" x14ac:dyDescent="0.25">
      <c r="A2591" s="17" t="s">
        <v>7792</v>
      </c>
      <c r="B2591" s="17" t="s">
        <v>70</v>
      </c>
      <c r="C2591" s="17" t="s">
        <v>71</v>
      </c>
      <c r="D2591" t="s">
        <v>1401</v>
      </c>
      <c r="F2591" t="s">
        <v>1064</v>
      </c>
      <c r="K2591" s="18">
        <f>6281218480089</f>
        <v>6281218480089</v>
      </c>
      <c r="N2591" s="17" t="s">
        <v>81</v>
      </c>
      <c r="V2591" s="18">
        <f>6281218480089</f>
        <v>6281218480089</v>
      </c>
    </row>
    <row r="2592" ht="15" customHeight="1" spans="1:27" x14ac:dyDescent="0.25">
      <c r="A2592" s="17" t="s">
        <v>7793</v>
      </c>
      <c r="B2592" s="17" t="s">
        <v>70</v>
      </c>
      <c r="C2592" s="17" t="s">
        <v>71</v>
      </c>
      <c r="D2592" t="s">
        <v>1401</v>
      </c>
      <c r="F2592" t="s">
        <v>150</v>
      </c>
      <c r="J2592" s="17" t="s">
        <v>7794</v>
      </c>
      <c r="K2592" s="18">
        <f>62818118877</f>
        <v>62818118877</v>
      </c>
      <c r="N2592" s="17" t="s">
        <v>77</v>
      </c>
      <c r="U2592" s="17"/>
      <c r="V2592" s="18">
        <f>62818118877</f>
        <v>62818118877</v>
      </c>
      <c r="W2592" t="s">
        <v>7795</v>
      </c>
      <c r="AA2592" s="17">
        <v>12120</v>
      </c>
    </row>
    <row r="2593" ht="15" customHeight="1" spans="1:25" x14ac:dyDescent="0.25">
      <c r="A2593" s="17" t="s">
        <v>7796</v>
      </c>
      <c r="B2593" s="17" t="s">
        <v>70</v>
      </c>
      <c r="C2593" s="17" t="s">
        <v>71</v>
      </c>
      <c r="D2593" t="s">
        <v>1401</v>
      </c>
      <c r="F2593" t="s">
        <v>7797</v>
      </c>
      <c r="K2593" s="18">
        <f>6281385671977</f>
        <v>6281385671977</v>
      </c>
      <c r="N2593" s="17" t="s">
        <v>77</v>
      </c>
      <c r="U2593" s="17"/>
      <c r="V2593" s="18">
        <f>6281385671977</f>
        <v>6281385671977</v>
      </c>
      <c r="W2593" t="s">
        <v>7798</v>
      </c>
      <c r="Y2593" s="17" t="s">
        <v>96</v>
      </c>
    </row>
    <row r="2594" ht="15" customHeight="1" spans="1:23" x14ac:dyDescent="0.25">
      <c r="A2594" s="17" t="s">
        <v>7799</v>
      </c>
      <c r="B2594" s="17" t="s">
        <v>70</v>
      </c>
      <c r="C2594" s="17" t="s">
        <v>71</v>
      </c>
      <c r="D2594" t="s">
        <v>1401</v>
      </c>
      <c r="F2594" t="s">
        <v>7800</v>
      </c>
      <c r="K2594" s="18">
        <f>16082022/1</f>
        <v>16082022</v>
      </c>
      <c r="N2594" s="17" t="s">
        <v>77</v>
      </c>
      <c r="U2594" s="17"/>
      <c r="V2594" s="18">
        <f>16082022/1</f>
        <v>16082022</v>
      </c>
      <c r="W2594" t="s">
        <v>7801</v>
      </c>
    </row>
    <row r="2595" ht="15" customHeight="1" spans="1:22" x14ac:dyDescent="0.25">
      <c r="A2595" s="17" t="s">
        <v>7802</v>
      </c>
      <c r="B2595" s="17" t="s">
        <v>70</v>
      </c>
      <c r="C2595" s="17" t="s">
        <v>71</v>
      </c>
      <c r="D2595" t="s">
        <v>1401</v>
      </c>
      <c r="F2595" t="s">
        <v>7803</v>
      </c>
      <c r="J2595" s="17" t="s">
        <v>7804</v>
      </c>
      <c r="K2595" s="18">
        <f>62818123618</f>
        <v>62818123618</v>
      </c>
      <c r="N2595" s="17" t="s">
        <v>81</v>
      </c>
      <c r="V2595" s="18">
        <f>62818123618</f>
        <v>62818123618</v>
      </c>
    </row>
    <row r="2596" ht="15" customHeight="1" spans="1:23" x14ac:dyDescent="0.25">
      <c r="A2596" s="17" t="s">
        <v>7805</v>
      </c>
      <c r="B2596" s="17" t="s">
        <v>70</v>
      </c>
      <c r="C2596" s="17" t="s">
        <v>71</v>
      </c>
      <c r="D2596" t="s">
        <v>1401</v>
      </c>
      <c r="F2596" t="s">
        <v>3176</v>
      </c>
      <c r="K2596" s="18">
        <f>6281319401637</f>
        <v>6281319401637</v>
      </c>
      <c r="N2596" s="17" t="s">
        <v>77</v>
      </c>
      <c r="U2596" s="17"/>
      <c r="V2596" s="18">
        <f>6281319401637</f>
        <v>6281319401637</v>
      </c>
      <c r="W2596" t="s">
        <v>7806</v>
      </c>
    </row>
    <row r="2597" ht="15" customHeight="1" spans="1:25" x14ac:dyDescent="0.25">
      <c r="A2597" s="17" t="s">
        <v>7807</v>
      </c>
      <c r="B2597" s="17" t="s">
        <v>70</v>
      </c>
      <c r="C2597" s="17" t="s">
        <v>71</v>
      </c>
      <c r="D2597" t="s">
        <v>1401</v>
      </c>
      <c r="F2597" t="s">
        <v>7808</v>
      </c>
      <c r="K2597" s="18">
        <f>628111637911</f>
        <v>628111637911</v>
      </c>
      <c r="N2597" s="17" t="s">
        <v>81</v>
      </c>
      <c r="U2597" s="17"/>
      <c r="V2597" s="18">
        <f>628111637911</f>
        <v>628111637911</v>
      </c>
      <c r="W2597" t="s">
        <v>7809</v>
      </c>
      <c r="Y2597" s="17" t="s">
        <v>626</v>
      </c>
    </row>
    <row r="2598" ht="15" customHeight="1" spans="1:22" x14ac:dyDescent="0.25">
      <c r="A2598" s="17" t="s">
        <v>7810</v>
      </c>
      <c r="B2598" s="17" t="s">
        <v>70</v>
      </c>
      <c r="C2598" s="17" t="s">
        <v>71</v>
      </c>
      <c r="D2598" t="s">
        <v>7811</v>
      </c>
      <c r="F2598" t="s">
        <v>7811</v>
      </c>
      <c r="K2598" s="18">
        <f>628129991609</f>
        <v>628129991609</v>
      </c>
      <c r="N2598" s="17" t="s">
        <v>77</v>
      </c>
      <c r="V2598" s="18">
        <f>628129991609</f>
        <v>628129991609</v>
      </c>
    </row>
    <row r="2599" ht="15" customHeight="1" spans="1:22" x14ac:dyDescent="0.25">
      <c r="A2599" s="17" t="s">
        <v>7812</v>
      </c>
      <c r="B2599" s="17" t="s">
        <v>70</v>
      </c>
      <c r="C2599" s="17" t="s">
        <v>71</v>
      </c>
      <c r="D2599" t="s">
        <v>7811</v>
      </c>
      <c r="F2599" t="s">
        <v>7811</v>
      </c>
      <c r="K2599" s="18">
        <f>6287776005099</f>
        <v>6287776005099</v>
      </c>
      <c r="N2599" s="17" t="s">
        <v>81</v>
      </c>
      <c r="V2599" s="18">
        <f>6287776005099</f>
        <v>6287776005099</v>
      </c>
    </row>
    <row r="2600" ht="15" customHeight="1" spans="1:22" x14ac:dyDescent="0.25">
      <c r="A2600" s="17" t="s">
        <v>7813</v>
      </c>
      <c r="B2600" s="17" t="s">
        <v>70</v>
      </c>
      <c r="C2600" s="17" t="s">
        <v>71</v>
      </c>
      <c r="D2600" t="s">
        <v>7811</v>
      </c>
      <c r="F2600" t="s">
        <v>7811</v>
      </c>
      <c r="K2600" s="18">
        <f>6287878765533</f>
        <v>6287878765533</v>
      </c>
      <c r="N2600" s="17" t="s">
        <v>81</v>
      </c>
      <c r="V2600" s="18">
        <f>6287878765533</f>
        <v>6287878765533</v>
      </c>
    </row>
    <row r="2601" ht="15" customHeight="1" spans="1:28" x14ac:dyDescent="0.25">
      <c r="A2601" s="17" t="s">
        <v>7814</v>
      </c>
      <c r="B2601" s="17" t="s">
        <v>70</v>
      </c>
      <c r="C2601" s="17" t="s">
        <v>71</v>
      </c>
      <c r="D2601" t="s">
        <v>7811</v>
      </c>
      <c r="F2601" t="s">
        <v>3546</v>
      </c>
      <c r="J2601" s="17" t="s">
        <v>7815</v>
      </c>
      <c r="K2601" s="18" t="s">
        <v>7816</v>
      </c>
      <c r="N2601" s="17" t="s">
        <v>77</v>
      </c>
      <c r="O2601" t="s">
        <v>199</v>
      </c>
      <c r="U2601" s="17"/>
      <c r="V2601" s="18" t="s">
        <v>7816</v>
      </c>
      <c r="W2601" t="s">
        <v>7817</v>
      </c>
      <c r="Y2601" t="s">
        <v>190</v>
      </c>
      <c r="AA2601" s="17" t="s">
        <v>118</v>
      </c>
      <c r="AB2601" t="s">
        <v>119</v>
      </c>
    </row>
    <row r="2602" ht="15" customHeight="1" spans="1:27" x14ac:dyDescent="0.25">
      <c r="A2602" s="17" t="s">
        <v>7818</v>
      </c>
      <c r="B2602" s="17" t="s">
        <v>70</v>
      </c>
      <c r="C2602" s="17" t="s">
        <v>71</v>
      </c>
      <c r="D2602" t="s">
        <v>7811</v>
      </c>
      <c r="F2602" t="s">
        <v>6671</v>
      </c>
      <c r="K2602" s="18">
        <f>628179708099</f>
        <v>628179708099</v>
      </c>
      <c r="N2602" s="17" t="s">
        <v>81</v>
      </c>
      <c r="U2602" s="17"/>
      <c r="V2602" s="18">
        <f>628179708099</f>
        <v>628179708099</v>
      </c>
      <c r="W2602" t="s">
        <v>7819</v>
      </c>
      <c r="AA2602" s="17">
        <v>12190</v>
      </c>
    </row>
    <row r="2603" ht="15" customHeight="1" spans="1:22" x14ac:dyDescent="0.25">
      <c r="A2603" s="17" t="s">
        <v>7820</v>
      </c>
      <c r="B2603" s="17" t="s">
        <v>70</v>
      </c>
      <c r="C2603" s="17" t="s">
        <v>71</v>
      </c>
      <c r="D2603" t="s">
        <v>7811</v>
      </c>
      <c r="F2603" t="s">
        <v>7821</v>
      </c>
      <c r="K2603" s="18">
        <f>6281318894040</f>
        <v>6281318894040</v>
      </c>
      <c r="N2603" s="17" t="s">
        <v>81</v>
      </c>
      <c r="V2603" s="18">
        <f>6281318894040</f>
        <v>6281318894040</v>
      </c>
    </row>
    <row r="2604" ht="15" customHeight="1" spans="1:22" x14ac:dyDescent="0.25">
      <c r="A2604" s="17" t="s">
        <v>7822</v>
      </c>
      <c r="B2604" s="17" t="s">
        <v>70</v>
      </c>
      <c r="C2604" s="17" t="s">
        <v>71</v>
      </c>
      <c r="D2604" t="s">
        <v>7811</v>
      </c>
      <c r="F2604" t="s">
        <v>186</v>
      </c>
      <c r="K2604" s="18">
        <f>628111280280</f>
        <v>628111280280</v>
      </c>
      <c r="N2604" s="17" t="s">
        <v>81</v>
      </c>
      <c r="V2604" s="18">
        <f>628111280280</f>
        <v>628111280280</v>
      </c>
    </row>
    <row r="2605" ht="15" customHeight="1" spans="1:22" x14ac:dyDescent="0.25">
      <c r="A2605" s="17" t="s">
        <v>7823</v>
      </c>
      <c r="B2605" s="17" t="s">
        <v>70</v>
      </c>
      <c r="C2605" s="17" t="s">
        <v>71</v>
      </c>
      <c r="D2605" t="s">
        <v>7811</v>
      </c>
      <c r="F2605" t="s">
        <v>7824</v>
      </c>
      <c r="K2605" s="18">
        <f>62811191930</f>
        <v>62811191930</v>
      </c>
      <c r="N2605" s="17" t="s">
        <v>81</v>
      </c>
      <c r="V2605" s="18">
        <f>62811191930</f>
        <v>62811191930</v>
      </c>
    </row>
    <row r="2606" ht="15" customHeight="1" spans="1:22" x14ac:dyDescent="0.25">
      <c r="A2606" s="17" t="s">
        <v>7825</v>
      </c>
      <c r="B2606" s="17" t="s">
        <v>70</v>
      </c>
      <c r="C2606" s="17" t="s">
        <v>71</v>
      </c>
      <c r="D2606" t="s">
        <v>7811</v>
      </c>
      <c r="F2606" t="s">
        <v>1596</v>
      </c>
      <c r="K2606" s="18">
        <f>628161822558</f>
        <v>628161822558</v>
      </c>
      <c r="N2606" s="17" t="s">
        <v>77</v>
      </c>
      <c r="V2606" s="18">
        <f>628161822558</f>
        <v>628161822558</v>
      </c>
    </row>
    <row r="2607" ht="15" customHeight="1" spans="1:22" x14ac:dyDescent="0.25">
      <c r="A2607" s="17" t="s">
        <v>7826</v>
      </c>
      <c r="B2607" s="17" t="s">
        <v>70</v>
      </c>
      <c r="C2607" s="17" t="s">
        <v>71</v>
      </c>
      <c r="D2607" t="s">
        <v>7811</v>
      </c>
      <c r="F2607" t="s">
        <v>879</v>
      </c>
      <c r="K2607" s="18">
        <f>628161862594</f>
        <v>628161862594</v>
      </c>
      <c r="N2607" s="17" t="s">
        <v>74</v>
      </c>
      <c r="V2607" s="18">
        <f>628161862594</f>
        <v>628161862594</v>
      </c>
    </row>
    <row r="2608" ht="15" customHeight="1" spans="1:22" x14ac:dyDescent="0.25">
      <c r="A2608" s="17" t="s">
        <v>7827</v>
      </c>
      <c r="B2608" s="17" t="s">
        <v>70</v>
      </c>
      <c r="C2608" s="17" t="s">
        <v>71</v>
      </c>
      <c r="D2608" t="s">
        <v>7811</v>
      </c>
      <c r="F2608" t="s">
        <v>3176</v>
      </c>
      <c r="K2608" s="18">
        <f>628170170909</f>
        <v>628170170909</v>
      </c>
      <c r="N2608" s="17" t="s">
        <v>77</v>
      </c>
      <c r="V2608" s="18">
        <f>628170170909</f>
        <v>628170170909</v>
      </c>
    </row>
    <row r="2609" ht="15" customHeight="1" spans="1:22" x14ac:dyDescent="0.25">
      <c r="A2609" s="17" t="s">
        <v>7828</v>
      </c>
      <c r="B2609" s="17" t="s">
        <v>70</v>
      </c>
      <c r="C2609" s="17" t="s">
        <v>71</v>
      </c>
      <c r="D2609" t="s">
        <v>7811</v>
      </c>
      <c r="F2609" t="s">
        <v>7829</v>
      </c>
      <c r="K2609" s="18">
        <f>6281905030227</f>
        <v>6281905030227</v>
      </c>
      <c r="N2609" s="17" t="s">
        <v>74</v>
      </c>
      <c r="V2609" s="18">
        <f>6281905030227</f>
        <v>6281905030227</v>
      </c>
    </row>
    <row r="2610" ht="15" customHeight="1" spans="1:27" x14ac:dyDescent="0.25">
      <c r="A2610" s="17" t="s">
        <v>7830</v>
      </c>
      <c r="B2610" s="17" t="s">
        <v>70</v>
      </c>
      <c r="C2610" s="17" t="s">
        <v>71</v>
      </c>
      <c r="D2610" t="s">
        <v>7811</v>
      </c>
      <c r="F2610" t="s">
        <v>7831</v>
      </c>
      <c r="K2610" s="18">
        <f>628161139750</f>
        <v>628161139750</v>
      </c>
      <c r="N2610" s="17" t="s">
        <v>77</v>
      </c>
      <c r="U2610" s="17"/>
      <c r="V2610" s="18">
        <f>628161139750</f>
        <v>628161139750</v>
      </c>
      <c r="W2610" t="s">
        <v>7832</v>
      </c>
      <c r="Y2610" s="17" t="s">
        <v>1084</v>
      </c>
      <c r="AA2610" s="17" t="s">
        <v>5566</v>
      </c>
    </row>
    <row r="2611" ht="15" customHeight="1" spans="1:23" x14ac:dyDescent="0.25">
      <c r="A2611" s="17" t="s">
        <v>7833</v>
      </c>
      <c r="B2611" s="17" t="s">
        <v>70</v>
      </c>
      <c r="C2611" s="17" t="s">
        <v>71</v>
      </c>
      <c r="D2611" t="s">
        <v>7811</v>
      </c>
      <c r="F2611" t="s">
        <v>1208</v>
      </c>
      <c r="K2611" s="18">
        <f>6281218880593</f>
        <v>6281218880593</v>
      </c>
      <c r="N2611" s="17" t="s">
        <v>77</v>
      </c>
      <c r="U2611" s="17"/>
      <c r="V2611" s="18">
        <f>6281218880593</f>
        <v>6281218880593</v>
      </c>
      <c r="W2611" t="s">
        <v>7834</v>
      </c>
    </row>
    <row r="2612" ht="15" customHeight="1" spans="1:23" x14ac:dyDescent="0.25">
      <c r="A2612" s="17" t="s">
        <v>7835</v>
      </c>
      <c r="B2612" s="17" t="s">
        <v>70</v>
      </c>
      <c r="C2612" s="17" t="s">
        <v>71</v>
      </c>
      <c r="D2612" t="s">
        <v>7811</v>
      </c>
      <c r="F2612" t="s">
        <v>6321</v>
      </c>
      <c r="K2612" s="18">
        <f>628113006899</f>
        <v>628113006899</v>
      </c>
      <c r="N2612" s="17" t="s">
        <v>77</v>
      </c>
      <c r="U2612" s="17"/>
      <c r="V2612" s="18">
        <f>628113006899</f>
        <v>628113006899</v>
      </c>
      <c r="W2612" t="s">
        <v>704</v>
      </c>
    </row>
    <row r="2613" ht="15" customHeight="1" spans="1:22" x14ac:dyDescent="0.25">
      <c r="A2613" s="17" t="s">
        <v>7836</v>
      </c>
      <c r="B2613" s="17" t="s">
        <v>70</v>
      </c>
      <c r="C2613" s="17" t="s">
        <v>71</v>
      </c>
      <c r="D2613" t="s">
        <v>7811</v>
      </c>
      <c r="F2613" t="s">
        <v>7837</v>
      </c>
      <c r="K2613" s="18">
        <f>6281299068247</f>
        <v>6281299068247</v>
      </c>
      <c r="N2613" s="17" t="s">
        <v>81</v>
      </c>
      <c r="V2613" s="18">
        <f>6281299068247</f>
        <v>6281299068247</v>
      </c>
    </row>
    <row r="2614" ht="15" customHeight="1" spans="1:28" x14ac:dyDescent="0.25">
      <c r="A2614" s="17" t="s">
        <v>7838</v>
      </c>
      <c r="B2614" s="17" t="s">
        <v>70</v>
      </c>
      <c r="C2614" s="17" t="s">
        <v>71</v>
      </c>
      <c r="D2614" t="s">
        <v>7811</v>
      </c>
      <c r="F2614" t="s">
        <v>7839</v>
      </c>
      <c r="J2614" t="s">
        <v>115</v>
      </c>
      <c r="K2614" s="18" t="s">
        <v>7840</v>
      </c>
      <c r="N2614" s="17" t="s">
        <v>77</v>
      </c>
      <c r="O2614" t="s">
        <v>145</v>
      </c>
      <c r="V2614" s="18" t="s">
        <v>7840</v>
      </c>
      <c r="Y2614" t="s">
        <v>190</v>
      </c>
      <c r="AA2614" t="s">
        <v>118</v>
      </c>
      <c r="AB2614" t="s">
        <v>119</v>
      </c>
    </row>
    <row r="2615" ht="15" customHeight="1" spans="1:27" x14ac:dyDescent="0.25">
      <c r="A2615" s="17" t="s">
        <v>7841</v>
      </c>
      <c r="B2615" s="17" t="s">
        <v>70</v>
      </c>
      <c r="C2615" s="17" t="s">
        <v>71</v>
      </c>
      <c r="D2615" t="s">
        <v>7811</v>
      </c>
      <c r="F2615" t="s">
        <v>7842</v>
      </c>
      <c r="J2615" s="17" t="s">
        <v>7843</v>
      </c>
      <c r="K2615" s="18">
        <f>6281217217205</f>
        <v>6281217217205</v>
      </c>
      <c r="N2615" s="17" t="s">
        <v>77</v>
      </c>
      <c r="U2615" s="17"/>
      <c r="V2615" s="18">
        <f>6281217217205</f>
        <v>6281217217205</v>
      </c>
      <c r="W2615" t="s">
        <v>7844</v>
      </c>
      <c r="Y2615" s="17" t="s">
        <v>704</v>
      </c>
      <c r="AA2615" s="17">
        <v>60116</v>
      </c>
    </row>
    <row r="2616" ht="15" customHeight="1" spans="1:23" x14ac:dyDescent="0.25">
      <c r="A2616" s="17" t="s">
        <v>7845</v>
      </c>
      <c r="B2616" s="17" t="s">
        <v>70</v>
      </c>
      <c r="C2616" s="17" t="s">
        <v>71</v>
      </c>
      <c r="D2616" t="s">
        <v>7811</v>
      </c>
      <c r="F2616" t="s">
        <v>7846</v>
      </c>
      <c r="K2616" s="18">
        <f>6281118186688</f>
        <v>6281118186688</v>
      </c>
      <c r="N2616" s="17" t="s">
        <v>77</v>
      </c>
      <c r="U2616" s="17"/>
      <c r="V2616" s="18">
        <f>6281118186688</f>
        <v>6281118186688</v>
      </c>
      <c r="W2616" t="s">
        <v>7847</v>
      </c>
    </row>
    <row r="2617" ht="15" customHeight="1" spans="1:22" x14ac:dyDescent="0.25">
      <c r="A2617" s="17" t="s">
        <v>7848</v>
      </c>
      <c r="B2617" s="17" t="s">
        <v>70</v>
      </c>
      <c r="C2617" s="17" t="s">
        <v>71</v>
      </c>
      <c r="D2617" t="s">
        <v>7811</v>
      </c>
      <c r="F2617" t="s">
        <v>7849</v>
      </c>
      <c r="K2617" s="18">
        <f>62816947747</f>
        <v>62816947747</v>
      </c>
      <c r="N2617" s="17" t="s">
        <v>81</v>
      </c>
      <c r="V2617" s="18">
        <f>62816947747</f>
        <v>62816947747</v>
      </c>
    </row>
    <row r="2618" ht="15" customHeight="1" spans="1:22" x14ac:dyDescent="0.25">
      <c r="A2618" s="17" t="s">
        <v>7850</v>
      </c>
      <c r="B2618" s="17" t="s">
        <v>70</v>
      </c>
      <c r="C2618" s="17" t="s">
        <v>71</v>
      </c>
      <c r="D2618" t="s">
        <v>7851</v>
      </c>
      <c r="F2618" t="s">
        <v>7852</v>
      </c>
      <c r="K2618" s="18">
        <f>628118776843</f>
        <v>628118776843</v>
      </c>
      <c r="N2618" s="17" t="s">
        <v>81</v>
      </c>
      <c r="V2618" s="18">
        <f>628118776843</f>
        <v>628118776843</v>
      </c>
    </row>
    <row r="2619" ht="15" customHeight="1" spans="1:23" x14ac:dyDescent="0.25">
      <c r="A2619" s="17" t="s">
        <v>7853</v>
      </c>
      <c r="B2619" s="17" t="s">
        <v>70</v>
      </c>
      <c r="C2619" s="17" t="s">
        <v>71</v>
      </c>
      <c r="D2619" t="s">
        <v>7854</v>
      </c>
      <c r="F2619" t="s">
        <v>7855</v>
      </c>
      <c r="K2619" s="18">
        <f>62817868932</f>
        <v>62817868932</v>
      </c>
      <c r="N2619" s="17" t="s">
        <v>77</v>
      </c>
      <c r="U2619" s="17"/>
      <c r="V2619" s="18">
        <f>62817868932</f>
        <v>62817868932</v>
      </c>
      <c r="W2619" t="s">
        <v>7856</v>
      </c>
    </row>
    <row r="2620" ht="15" customHeight="1" spans="1:22" x14ac:dyDescent="0.25">
      <c r="A2620" s="17" t="s">
        <v>7857</v>
      </c>
      <c r="B2620" s="17" t="s">
        <v>70</v>
      </c>
      <c r="C2620" s="17" t="s">
        <v>71</v>
      </c>
      <c r="D2620" t="s">
        <v>7858</v>
      </c>
      <c r="F2620" t="s">
        <v>6335</v>
      </c>
      <c r="K2620" s="18">
        <f>6281318404294</f>
        <v>6281318404294</v>
      </c>
      <c r="N2620" s="17" t="s">
        <v>77</v>
      </c>
      <c r="V2620" s="18">
        <f>6281318404294</f>
        <v>6281318404294</v>
      </c>
    </row>
    <row r="2621" ht="15" customHeight="1" spans="1:28" x14ac:dyDescent="0.25">
      <c r="A2621" s="17" t="s">
        <v>7859</v>
      </c>
      <c r="B2621" s="17" t="s">
        <v>70</v>
      </c>
      <c r="C2621" s="17" t="s">
        <v>71</v>
      </c>
      <c r="D2621" t="s">
        <v>7858</v>
      </c>
      <c r="F2621" t="s">
        <v>7860</v>
      </c>
      <c r="J2621" t="s">
        <v>115</v>
      </c>
      <c r="K2621" s="18" t="s">
        <v>7861</v>
      </c>
      <c r="N2621" s="17" t="s">
        <v>81</v>
      </c>
      <c r="O2621" t="s">
        <v>117</v>
      </c>
      <c r="V2621" s="18" t="s">
        <v>7861</v>
      </c>
      <c r="Y2621" t="s">
        <v>930</v>
      </c>
      <c r="AA2621" t="s">
        <v>115</v>
      </c>
      <c r="AB2621" t="s">
        <v>930</v>
      </c>
    </row>
    <row r="2622" ht="15" customHeight="1" spans="1:27" x14ac:dyDescent="0.25">
      <c r="A2622" s="17" t="s">
        <v>7862</v>
      </c>
      <c r="B2622" s="17" t="s">
        <v>70</v>
      </c>
      <c r="C2622" s="17" t="s">
        <v>71</v>
      </c>
      <c r="D2622" t="s">
        <v>7863</v>
      </c>
      <c r="F2622" t="s">
        <v>7863</v>
      </c>
      <c r="J2622" s="17" t="s">
        <v>7864</v>
      </c>
      <c r="K2622" s="18">
        <f>6281389389500</f>
        <v>6281389389500</v>
      </c>
      <c r="N2622" s="17" t="s">
        <v>77</v>
      </c>
      <c r="U2622" s="17"/>
      <c r="V2622" s="18">
        <f>6281389389500</f>
        <v>6281389389500</v>
      </c>
      <c r="W2622" t="s">
        <v>7865</v>
      </c>
      <c r="Y2622" s="17" t="s">
        <v>96</v>
      </c>
      <c r="AA2622" s="17">
        <v>12410</v>
      </c>
    </row>
    <row r="2623" ht="15" customHeight="1" spans="1:22" x14ac:dyDescent="0.25">
      <c r="A2623" s="17" t="s">
        <v>7866</v>
      </c>
      <c r="B2623" s="17" t="s">
        <v>70</v>
      </c>
      <c r="C2623" s="17" t="s">
        <v>71</v>
      </c>
      <c r="D2623" t="s">
        <v>2927</v>
      </c>
      <c r="F2623" t="s">
        <v>7867</v>
      </c>
      <c r="K2623" s="18">
        <f>61410063800</f>
        <v>61410063800</v>
      </c>
      <c r="N2623" s="17" t="s">
        <v>77</v>
      </c>
      <c r="V2623" s="18">
        <f>61410063800</f>
        <v>61410063800</v>
      </c>
    </row>
    <row r="2624" ht="15" customHeight="1" spans="1:23" x14ac:dyDescent="0.25">
      <c r="A2624" s="17" t="s">
        <v>7868</v>
      </c>
      <c r="B2624" s="17" t="s">
        <v>70</v>
      </c>
      <c r="C2624" s="17" t="s">
        <v>71</v>
      </c>
      <c r="D2624" t="s">
        <v>2927</v>
      </c>
      <c r="F2624" t="s">
        <v>7869</v>
      </c>
      <c r="K2624" s="18">
        <f>62818486800</f>
        <v>62818486800</v>
      </c>
      <c r="N2624" s="17" t="s">
        <v>77</v>
      </c>
      <c r="U2624" s="17"/>
      <c r="V2624" s="18">
        <f>62818486800</f>
        <v>62818486800</v>
      </c>
      <c r="W2624" t="s">
        <v>2356</v>
      </c>
    </row>
    <row r="2625" ht="15" customHeight="1" spans="1:28" x14ac:dyDescent="0.25">
      <c r="A2625" s="17" t="s">
        <v>7870</v>
      </c>
      <c r="B2625" s="17" t="s">
        <v>70</v>
      </c>
      <c r="C2625" s="17" t="s">
        <v>71</v>
      </c>
      <c r="D2625" t="s">
        <v>2927</v>
      </c>
      <c r="F2625" t="s">
        <v>7871</v>
      </c>
      <c r="J2625" t="s">
        <v>115</v>
      </c>
      <c r="K2625" s="18" t="s">
        <v>7872</v>
      </c>
      <c r="N2625" s="17" t="s">
        <v>81</v>
      </c>
      <c r="O2625" t="s">
        <v>261</v>
      </c>
      <c r="U2625" s="17"/>
      <c r="V2625" s="18" t="s">
        <v>7872</v>
      </c>
      <c r="W2625" t="s">
        <v>7873</v>
      </c>
      <c r="Y2625" s="17" t="s">
        <v>90</v>
      </c>
      <c r="AA2625" s="17" t="s">
        <v>118</v>
      </c>
      <c r="AB2625" t="s">
        <v>119</v>
      </c>
    </row>
    <row r="2626" ht="15" customHeight="1" spans="1:28" x14ac:dyDescent="0.25">
      <c r="A2626" s="17" t="s">
        <v>7874</v>
      </c>
      <c r="B2626" s="17" t="s">
        <v>70</v>
      </c>
      <c r="C2626" s="17" t="s">
        <v>71</v>
      </c>
      <c r="D2626" t="s">
        <v>7875</v>
      </c>
      <c r="F2626" t="s">
        <v>3587</v>
      </c>
      <c r="J2626" s="17" t="s">
        <v>7876</v>
      </c>
      <c r="K2626" s="18" t="s">
        <v>7877</v>
      </c>
      <c r="N2626" s="17" t="s">
        <v>77</v>
      </c>
      <c r="O2626" t="s">
        <v>145</v>
      </c>
      <c r="U2626" s="17"/>
      <c r="V2626" s="18" t="s">
        <v>7877</v>
      </c>
      <c r="W2626" t="s">
        <v>7878</v>
      </c>
      <c r="Y2626" t="s">
        <v>96</v>
      </c>
      <c r="AA2626" s="17" t="s">
        <v>693</v>
      </c>
      <c r="AB2626" t="s">
        <v>119</v>
      </c>
    </row>
    <row r="2627" ht="15" customHeight="1" spans="1:28" x14ac:dyDescent="0.25">
      <c r="A2627" s="17" t="s">
        <v>7879</v>
      </c>
      <c r="B2627" s="17" t="s">
        <v>70</v>
      </c>
      <c r="C2627" s="17" t="s">
        <v>71</v>
      </c>
      <c r="D2627" t="s">
        <v>6868</v>
      </c>
      <c r="F2627" t="s">
        <v>6868</v>
      </c>
      <c r="J2627" t="s">
        <v>7880</v>
      </c>
      <c r="K2627" s="18" t="s">
        <v>7881</v>
      </c>
      <c r="N2627" s="17" t="s">
        <v>77</v>
      </c>
      <c r="O2627" t="s">
        <v>489</v>
      </c>
      <c r="U2627" s="17"/>
      <c r="V2627" s="18" t="s">
        <v>7881</v>
      </c>
      <c r="W2627" t="s">
        <v>7882</v>
      </c>
      <c r="Y2627" t="s">
        <v>190</v>
      </c>
      <c r="AA2627" t="s">
        <v>118</v>
      </c>
      <c r="AB2627" t="s">
        <v>119</v>
      </c>
    </row>
    <row r="2628" ht="15" customHeight="1" spans="1:28" x14ac:dyDescent="0.25">
      <c r="A2628" s="17" t="s">
        <v>7883</v>
      </c>
      <c r="B2628" s="17" t="s">
        <v>70</v>
      </c>
      <c r="C2628" s="17" t="s">
        <v>71</v>
      </c>
      <c r="D2628" t="s">
        <v>6868</v>
      </c>
      <c r="F2628" t="s">
        <v>7884</v>
      </c>
      <c r="J2628" s="17" t="s">
        <v>7885</v>
      </c>
      <c r="K2628" s="18" t="s">
        <v>7886</v>
      </c>
      <c r="N2628" s="17" t="s">
        <v>77</v>
      </c>
      <c r="O2628" t="s">
        <v>489</v>
      </c>
      <c r="V2628" s="18" t="s">
        <v>7886</v>
      </c>
      <c r="Y2628" t="s">
        <v>190</v>
      </c>
      <c r="AA2628" t="s">
        <v>118</v>
      </c>
      <c r="AB2628" t="s">
        <v>119</v>
      </c>
    </row>
    <row r="2629" ht="15" customHeight="1" spans="1:28" x14ac:dyDescent="0.25">
      <c r="A2629" s="17" t="s">
        <v>7887</v>
      </c>
      <c r="B2629" s="17" t="s">
        <v>70</v>
      </c>
      <c r="C2629" s="17" t="s">
        <v>71</v>
      </c>
      <c r="D2629" t="s">
        <v>6868</v>
      </c>
      <c r="F2629" t="s">
        <v>150</v>
      </c>
      <c r="J2629" s="17" t="s">
        <v>7888</v>
      </c>
      <c r="K2629" s="18" t="s">
        <v>7889</v>
      </c>
      <c r="N2629" s="17" t="s">
        <v>81</v>
      </c>
      <c r="O2629" t="s">
        <v>261</v>
      </c>
      <c r="U2629" s="17"/>
      <c r="V2629" s="18" t="s">
        <v>7889</v>
      </c>
      <c r="W2629" t="s">
        <v>7890</v>
      </c>
      <c r="Y2629" t="s">
        <v>1084</v>
      </c>
      <c r="AA2629" s="17" t="s">
        <v>3146</v>
      </c>
      <c r="AB2629" t="s">
        <v>119</v>
      </c>
    </row>
    <row r="2630" ht="15" customHeight="1" spans="1:22" x14ac:dyDescent="0.25">
      <c r="A2630" s="17" t="s">
        <v>7891</v>
      </c>
      <c r="B2630" s="17" t="s">
        <v>70</v>
      </c>
      <c r="C2630" s="17" t="s">
        <v>71</v>
      </c>
      <c r="D2630" t="s">
        <v>6868</v>
      </c>
      <c r="F2630" t="s">
        <v>7892</v>
      </c>
      <c r="K2630" s="18">
        <f>6287877090080</f>
        <v>6287877090080</v>
      </c>
      <c r="N2630" s="17" t="s">
        <v>81</v>
      </c>
      <c r="V2630" s="18">
        <f>6287877090080</f>
        <v>6287877090080</v>
      </c>
    </row>
    <row r="2631" ht="15" customHeight="1" spans="1:28" x14ac:dyDescent="0.25">
      <c r="A2631" s="17" t="s">
        <v>7893</v>
      </c>
      <c r="B2631" s="17" t="s">
        <v>70</v>
      </c>
      <c r="C2631" s="17" t="s">
        <v>71</v>
      </c>
      <c r="D2631" t="s">
        <v>7894</v>
      </c>
      <c r="F2631" t="s">
        <v>7895</v>
      </c>
      <c r="J2631" t="s">
        <v>7896</v>
      </c>
      <c r="K2631" s="18" t="s">
        <v>7897</v>
      </c>
      <c r="N2631" s="17" t="s">
        <v>74</v>
      </c>
      <c r="O2631" t="s">
        <v>489</v>
      </c>
      <c r="U2631" s="17"/>
      <c r="V2631" s="18" t="s">
        <v>7897</v>
      </c>
      <c r="W2631" t="s">
        <v>7898</v>
      </c>
      <c r="Y2631" t="s">
        <v>217</v>
      </c>
      <c r="AA2631" t="s">
        <v>218</v>
      </c>
      <c r="AB2631" t="s">
        <v>119</v>
      </c>
    </row>
    <row r="2632" ht="15" customHeight="1" spans="1:25" x14ac:dyDescent="0.25">
      <c r="A2632" s="17" t="s">
        <v>7899</v>
      </c>
      <c r="B2632" s="17" t="s">
        <v>70</v>
      </c>
      <c r="C2632" s="17" t="s">
        <v>71</v>
      </c>
      <c r="D2632" t="s">
        <v>6868</v>
      </c>
      <c r="F2632" t="s">
        <v>7900</v>
      </c>
      <c r="K2632" s="18">
        <f>6288210771376</f>
        <v>6288210771376</v>
      </c>
      <c r="N2632" s="17" t="s">
        <v>81</v>
      </c>
      <c r="U2632" s="17"/>
      <c r="V2632" s="18">
        <f>6288210771376</f>
        <v>6288210771376</v>
      </c>
      <c r="W2632" t="s">
        <v>7901</v>
      </c>
      <c r="Y2632" s="17" t="s">
        <v>2596</v>
      </c>
    </row>
    <row r="2633" ht="15" customHeight="1" spans="1:22" x14ac:dyDescent="0.25">
      <c r="A2633" s="17" t="s">
        <v>7902</v>
      </c>
      <c r="B2633" s="17" t="s">
        <v>70</v>
      </c>
      <c r="C2633" s="17" t="s">
        <v>71</v>
      </c>
      <c r="D2633" t="s">
        <v>7903</v>
      </c>
      <c r="F2633" t="s">
        <v>7904</v>
      </c>
      <c r="K2633" s="18">
        <f>62811140480</f>
        <v>62811140480</v>
      </c>
      <c r="N2633" s="17" t="s">
        <v>81</v>
      </c>
      <c r="V2633" s="18">
        <f>62811140480</f>
        <v>62811140480</v>
      </c>
    </row>
    <row r="2634" ht="15" customHeight="1" spans="1:23" x14ac:dyDescent="0.25">
      <c r="A2634" s="17" t="s">
        <v>7905</v>
      </c>
      <c r="B2634" s="17" t="s">
        <v>70</v>
      </c>
      <c r="C2634" s="17" t="s">
        <v>71</v>
      </c>
      <c r="D2634" t="s">
        <v>7906</v>
      </c>
      <c r="F2634" t="s">
        <v>2159</v>
      </c>
      <c r="K2634" s="18">
        <f>6281345219404</f>
        <v>6281345219404</v>
      </c>
      <c r="N2634" s="17" t="s">
        <v>81</v>
      </c>
      <c r="U2634" s="17"/>
      <c r="V2634" s="18">
        <f>6281345219404</f>
        <v>6281345219404</v>
      </c>
      <c r="W2634" t="s">
        <v>7907</v>
      </c>
    </row>
    <row r="2635" ht="15" customHeight="1" spans="1:22" x14ac:dyDescent="0.25">
      <c r="A2635" s="17" t="s">
        <v>7908</v>
      </c>
      <c r="B2635" s="17" t="s">
        <v>70</v>
      </c>
      <c r="C2635" s="17" t="s">
        <v>71</v>
      </c>
      <c r="D2635" t="s">
        <v>7909</v>
      </c>
      <c r="F2635" t="s">
        <v>7910</v>
      </c>
      <c r="J2635" s="17" t="s">
        <v>7911</v>
      </c>
      <c r="K2635" s="18">
        <f>628129499618</f>
        <v>628129499618</v>
      </c>
      <c r="N2635" s="17" t="s">
        <v>81</v>
      </c>
      <c r="V2635" s="18">
        <f>628129499618</f>
        <v>628129499618</v>
      </c>
    </row>
    <row r="2636" ht="15" customHeight="1" spans="1:28" x14ac:dyDescent="0.25">
      <c r="A2636" s="17" t="s">
        <v>7912</v>
      </c>
      <c r="B2636" s="17" t="s">
        <v>70</v>
      </c>
      <c r="C2636" s="17" t="s">
        <v>71</v>
      </c>
      <c r="D2636" t="s">
        <v>7913</v>
      </c>
      <c r="F2636" t="s">
        <v>7914</v>
      </c>
      <c r="J2636" t="s">
        <v>115</v>
      </c>
      <c r="K2636" s="18" t="s">
        <v>7915</v>
      </c>
      <c r="N2636" s="17" t="s">
        <v>77</v>
      </c>
      <c r="O2636" t="s">
        <v>199</v>
      </c>
      <c r="V2636" s="18" t="s">
        <v>7915</v>
      </c>
      <c r="Y2636" t="s">
        <v>90</v>
      </c>
      <c r="AA2636" t="s">
        <v>118</v>
      </c>
      <c r="AB2636" t="s">
        <v>119</v>
      </c>
    </row>
    <row r="2637" ht="15" customHeight="1" spans="1:23" x14ac:dyDescent="0.25">
      <c r="A2637" s="17" t="s">
        <v>7916</v>
      </c>
      <c r="B2637" s="17" t="s">
        <v>70</v>
      </c>
      <c r="C2637" s="17" t="s">
        <v>71</v>
      </c>
      <c r="D2637" t="s">
        <v>7909</v>
      </c>
      <c r="F2637" t="s">
        <v>7315</v>
      </c>
      <c r="K2637" s="18">
        <f>85296828005</f>
        <v>85296828005</v>
      </c>
      <c r="N2637" s="17" t="s">
        <v>77</v>
      </c>
      <c r="U2637" s="17"/>
      <c r="V2637" s="18">
        <f>85296828005</f>
        <v>85296828005</v>
      </c>
      <c r="W2637" t="s">
        <v>3140</v>
      </c>
    </row>
    <row r="2638" ht="15" customHeight="1" spans="1:23" x14ac:dyDescent="0.25">
      <c r="A2638" s="17" t="s">
        <v>7917</v>
      </c>
      <c r="B2638" s="17" t="s">
        <v>70</v>
      </c>
      <c r="C2638" s="17" t="s">
        <v>71</v>
      </c>
      <c r="D2638" t="s">
        <v>7909</v>
      </c>
      <c r="F2638" t="s">
        <v>7918</v>
      </c>
      <c r="J2638" s="17" t="s">
        <v>7919</v>
      </c>
      <c r="K2638" s="18">
        <f>860813501733733</f>
        <v>860813501733733</v>
      </c>
      <c r="N2638" s="17" t="s">
        <v>81</v>
      </c>
      <c r="U2638" s="17"/>
      <c r="V2638" s="18">
        <f>860813501733733</f>
        <v>860813501733733</v>
      </c>
      <c r="W2638" t="s">
        <v>7920</v>
      </c>
    </row>
    <row r="2639" ht="15" customHeight="1" spans="1:23" x14ac:dyDescent="0.25">
      <c r="A2639" s="17" t="s">
        <v>7921</v>
      </c>
      <c r="B2639" s="17" t="s">
        <v>70</v>
      </c>
      <c r="C2639" s="17" t="s">
        <v>71</v>
      </c>
      <c r="D2639" t="s">
        <v>7922</v>
      </c>
      <c r="F2639" t="s">
        <v>7297</v>
      </c>
      <c r="K2639" s="18">
        <f>60108855565</f>
        <v>60108855565</v>
      </c>
      <c r="N2639" s="17" t="s">
        <v>77</v>
      </c>
      <c r="U2639" s="17"/>
      <c r="V2639" s="18">
        <f>60108855565</f>
        <v>60108855565</v>
      </c>
      <c r="W2639" t="s">
        <v>7229</v>
      </c>
    </row>
    <row r="2640" ht="15" customHeight="1" spans="1:28" x14ac:dyDescent="0.25">
      <c r="A2640" s="17" t="s">
        <v>7923</v>
      </c>
      <c r="B2640" s="17" t="s">
        <v>70</v>
      </c>
      <c r="C2640" s="17" t="s">
        <v>71</v>
      </c>
      <c r="D2640" t="s">
        <v>7922</v>
      </c>
      <c r="F2640" t="s">
        <v>7924</v>
      </c>
      <c r="J2640" t="s">
        <v>115</v>
      </c>
      <c r="K2640" s="18" t="s">
        <v>7925</v>
      </c>
      <c r="N2640" s="17" t="s">
        <v>77</v>
      </c>
      <c r="O2640" t="s">
        <v>145</v>
      </c>
      <c r="V2640" s="18" t="s">
        <v>7925</v>
      </c>
      <c r="Y2640" t="s">
        <v>115</v>
      </c>
      <c r="AA2640" t="s">
        <v>115</v>
      </c>
      <c r="AB2640" t="s">
        <v>7229</v>
      </c>
    </row>
    <row r="2641" ht="15" customHeight="1" spans="1:28" x14ac:dyDescent="0.25">
      <c r="A2641" s="17" t="s">
        <v>7926</v>
      </c>
      <c r="B2641" s="17" t="s">
        <v>70</v>
      </c>
      <c r="C2641" s="17" t="s">
        <v>71</v>
      </c>
      <c r="D2641" t="s">
        <v>7517</v>
      </c>
      <c r="F2641" t="s">
        <v>7927</v>
      </c>
      <c r="J2641" s="17" t="s">
        <v>7928</v>
      </c>
      <c r="K2641" s="18" t="s">
        <v>7929</v>
      </c>
      <c r="N2641" s="17" t="s">
        <v>77</v>
      </c>
      <c r="O2641" t="s">
        <v>117</v>
      </c>
      <c r="U2641" s="17"/>
      <c r="V2641" s="18" t="s">
        <v>7929</v>
      </c>
      <c r="W2641" t="s">
        <v>7107</v>
      </c>
      <c r="Y2641" t="s">
        <v>115</v>
      </c>
      <c r="AA2641" t="s">
        <v>115</v>
      </c>
      <c r="AB2641" t="s">
        <v>7412</v>
      </c>
    </row>
    <row r="2642" ht="15" customHeight="1" spans="1:22" x14ac:dyDescent="0.25">
      <c r="A2642" s="17" t="s">
        <v>7930</v>
      </c>
      <c r="B2642" s="17" t="s">
        <v>70</v>
      </c>
      <c r="C2642" s="17" t="s">
        <v>71</v>
      </c>
      <c r="D2642" t="s">
        <v>7337</v>
      </c>
      <c r="F2642" t="s">
        <v>7931</v>
      </c>
      <c r="K2642" s="18">
        <f>821096151810</f>
        <v>821096151810</v>
      </c>
      <c r="N2642" s="17" t="s">
        <v>81</v>
      </c>
      <c r="V2642" s="18">
        <f>821096151810</f>
        <v>821096151810</v>
      </c>
    </row>
    <row r="2643" ht="15" customHeight="1" spans="1:22" x14ac:dyDescent="0.25">
      <c r="A2643" s="17" t="s">
        <v>7932</v>
      </c>
      <c r="B2643" s="17" t="s">
        <v>70</v>
      </c>
      <c r="C2643" s="17" t="s">
        <v>71</v>
      </c>
      <c r="D2643" t="s">
        <v>7933</v>
      </c>
      <c r="F2643" t="s">
        <v>7934</v>
      </c>
      <c r="K2643" s="18">
        <f>6281511527017</f>
        <v>6281511527017</v>
      </c>
      <c r="N2643" s="17" t="s">
        <v>81</v>
      </c>
      <c r="V2643" s="18">
        <f>6281511527017</f>
        <v>6281511527017</v>
      </c>
    </row>
    <row r="2644" ht="15" customHeight="1" spans="1:28" x14ac:dyDescent="0.25">
      <c r="A2644" s="17" t="s">
        <v>7935</v>
      </c>
      <c r="B2644" s="17" t="s">
        <v>70</v>
      </c>
      <c r="C2644" s="17" t="s">
        <v>71</v>
      </c>
      <c r="D2644" t="s">
        <v>7933</v>
      </c>
      <c r="F2644" t="s">
        <v>7936</v>
      </c>
      <c r="J2644" s="17" t="s">
        <v>7937</v>
      </c>
      <c r="K2644" s="18" t="s">
        <v>7938</v>
      </c>
      <c r="N2644" s="17" t="s">
        <v>77</v>
      </c>
      <c r="O2644" t="s">
        <v>199</v>
      </c>
      <c r="U2644" s="17"/>
      <c r="V2644" s="18" t="s">
        <v>7938</v>
      </c>
      <c r="W2644" t="s">
        <v>7007</v>
      </c>
      <c r="Y2644" t="s">
        <v>7939</v>
      </c>
      <c r="AA2644" t="s">
        <v>115</v>
      </c>
      <c r="AB2644" t="s">
        <v>119</v>
      </c>
    </row>
    <row r="2645" ht="15" customHeight="1" spans="1:22" x14ac:dyDescent="0.25">
      <c r="A2645" s="17" t="s">
        <v>7940</v>
      </c>
      <c r="B2645" s="17" t="s">
        <v>70</v>
      </c>
      <c r="C2645" s="17" t="s">
        <v>71</v>
      </c>
      <c r="D2645" t="s">
        <v>7933</v>
      </c>
      <c r="F2645" t="s">
        <v>7941</v>
      </c>
      <c r="K2645" s="18">
        <f>62816884966</f>
        <v>62816884966</v>
      </c>
      <c r="N2645" s="17" t="s">
        <v>77</v>
      </c>
      <c r="V2645" s="18">
        <f>62816884966</f>
        <v>62816884966</v>
      </c>
    </row>
    <row r="2646" ht="15" customHeight="1" spans="1:28" x14ac:dyDescent="0.25">
      <c r="A2646" s="17" t="s">
        <v>7942</v>
      </c>
      <c r="B2646" s="17" t="s">
        <v>70</v>
      </c>
      <c r="C2646" s="17" t="s">
        <v>71</v>
      </c>
      <c r="D2646" t="s">
        <v>7943</v>
      </c>
      <c r="F2646" t="s">
        <v>7944</v>
      </c>
      <c r="J2646" t="s">
        <v>115</v>
      </c>
      <c r="K2646" s="18" t="s">
        <v>7945</v>
      </c>
      <c r="N2646" s="17" t="s">
        <v>77</v>
      </c>
      <c r="O2646" t="s">
        <v>145</v>
      </c>
      <c r="V2646" s="18" t="s">
        <v>7945</v>
      </c>
      <c r="Y2646" t="s">
        <v>90</v>
      </c>
      <c r="AA2646" t="s">
        <v>118</v>
      </c>
      <c r="AB2646" t="s">
        <v>119</v>
      </c>
    </row>
    <row r="2647" ht="15" customHeight="1" spans="1:22" x14ac:dyDescent="0.25">
      <c r="A2647" s="17" t="s">
        <v>7946</v>
      </c>
      <c r="B2647" s="17" t="s">
        <v>70</v>
      </c>
      <c r="C2647" s="17" t="s">
        <v>71</v>
      </c>
      <c r="D2647" t="s">
        <v>7947</v>
      </c>
      <c r="F2647" t="s">
        <v>1521</v>
      </c>
      <c r="K2647" s="18">
        <f>6281932198102</f>
        <v>6281932198102</v>
      </c>
      <c r="N2647" s="17" t="s">
        <v>77</v>
      </c>
      <c r="V2647" s="18">
        <f>6281932198102</f>
        <v>6281932198102</v>
      </c>
    </row>
    <row r="2648" ht="15" customHeight="1" spans="1:22" x14ac:dyDescent="0.25">
      <c r="A2648" s="17" t="s">
        <v>7948</v>
      </c>
      <c r="B2648" s="17" t="s">
        <v>70</v>
      </c>
      <c r="C2648" s="17" t="s">
        <v>71</v>
      </c>
      <c r="D2648" t="s">
        <v>7949</v>
      </c>
      <c r="F2648" t="s">
        <v>7950</v>
      </c>
      <c r="K2648" s="18">
        <f>628112060042</f>
        <v>628112060042</v>
      </c>
      <c r="N2648" s="17" t="s">
        <v>77</v>
      </c>
      <c r="V2648" s="18">
        <f>628112060042</f>
        <v>628112060042</v>
      </c>
    </row>
    <row r="2649" ht="15" customHeight="1" spans="1:28" x14ac:dyDescent="0.25">
      <c r="A2649" s="17" t="s">
        <v>7951</v>
      </c>
      <c r="B2649" s="17" t="s">
        <v>70</v>
      </c>
      <c r="C2649" s="17" t="s">
        <v>71</v>
      </c>
      <c r="D2649" t="s">
        <v>7952</v>
      </c>
      <c r="F2649" t="s">
        <v>7953</v>
      </c>
      <c r="J2649" t="s">
        <v>7954</v>
      </c>
      <c r="K2649" s="18" t="s">
        <v>7955</v>
      </c>
      <c r="N2649" s="17" t="s">
        <v>74</v>
      </c>
      <c r="O2649" t="s">
        <v>1188</v>
      </c>
      <c r="U2649" s="17"/>
      <c r="V2649" s="18" t="s">
        <v>7955</v>
      </c>
      <c r="W2649" t="s">
        <v>7956</v>
      </c>
      <c r="Y2649" t="s">
        <v>1084</v>
      </c>
      <c r="AA2649" t="s">
        <v>3146</v>
      </c>
      <c r="AB2649" t="s">
        <v>119</v>
      </c>
    </row>
    <row r="2650" ht="15" customHeight="1" spans="1:22" x14ac:dyDescent="0.25">
      <c r="A2650" s="17" t="s">
        <v>7957</v>
      </c>
      <c r="B2650" s="17" t="s">
        <v>70</v>
      </c>
      <c r="C2650" s="17" t="s">
        <v>71</v>
      </c>
      <c r="D2650" t="s">
        <v>7958</v>
      </c>
      <c r="F2650" t="s">
        <v>7959</v>
      </c>
      <c r="J2650" s="17" t="s">
        <v>7960</v>
      </c>
      <c r="K2650" s="18">
        <f>6281934183109</f>
        <v>6281934183109</v>
      </c>
      <c r="N2650" s="17" t="s">
        <v>77</v>
      </c>
      <c r="V2650" s="18">
        <f>6281934183109</f>
        <v>6281934183109</v>
      </c>
    </row>
    <row r="2651" ht="15" customHeight="1" spans="1:23" x14ac:dyDescent="0.25">
      <c r="A2651" s="17" t="s">
        <v>7961</v>
      </c>
      <c r="B2651" s="17" t="s">
        <v>70</v>
      </c>
      <c r="C2651" s="17" t="s">
        <v>71</v>
      </c>
      <c r="D2651" t="s">
        <v>7962</v>
      </c>
      <c r="F2651" t="s">
        <v>7962</v>
      </c>
      <c r="K2651" s="18">
        <f>628126011005</f>
        <v>628126011005</v>
      </c>
      <c r="N2651" s="17" t="s">
        <v>77</v>
      </c>
      <c r="U2651" s="17"/>
      <c r="V2651" s="18">
        <f>628126011005</f>
        <v>628126011005</v>
      </c>
      <c r="W2651" t="s">
        <v>7963</v>
      </c>
    </row>
    <row r="2652" ht="15" customHeight="1" spans="1:28" x14ac:dyDescent="0.25">
      <c r="A2652" s="17" t="s">
        <v>7964</v>
      </c>
      <c r="B2652" s="17" t="s">
        <v>70</v>
      </c>
      <c r="C2652" s="17" t="s">
        <v>71</v>
      </c>
      <c r="D2652" t="s">
        <v>7962</v>
      </c>
      <c r="F2652" t="s">
        <v>7965</v>
      </c>
      <c r="J2652" t="s">
        <v>115</v>
      </c>
      <c r="K2652" s="18" t="s">
        <v>7966</v>
      </c>
      <c r="N2652" s="17" t="s">
        <v>74</v>
      </c>
      <c r="O2652" t="s">
        <v>489</v>
      </c>
      <c r="U2652" s="17"/>
      <c r="V2652" s="18" t="s">
        <v>7966</v>
      </c>
      <c r="W2652" t="s">
        <v>7967</v>
      </c>
      <c r="Y2652" t="s">
        <v>96</v>
      </c>
      <c r="AA2652" t="s">
        <v>693</v>
      </c>
      <c r="AB2652" t="s">
        <v>119</v>
      </c>
    </row>
    <row r="2653" ht="15" customHeight="1" spans="1:22" x14ac:dyDescent="0.25">
      <c r="A2653" s="17" t="s">
        <v>7968</v>
      </c>
      <c r="B2653" s="17" t="s">
        <v>70</v>
      </c>
      <c r="C2653" s="17" t="s">
        <v>71</v>
      </c>
      <c r="D2653" t="s">
        <v>7969</v>
      </c>
      <c r="F2653" t="s">
        <v>7969</v>
      </c>
      <c r="K2653" s="18">
        <f>62816888897</f>
        <v>62816888897</v>
      </c>
      <c r="N2653" s="17" t="s">
        <v>81</v>
      </c>
      <c r="V2653" s="18">
        <f>62816888897</f>
        <v>62816888897</v>
      </c>
    </row>
    <row r="2654" ht="15" customHeight="1" spans="1:22" x14ac:dyDescent="0.25">
      <c r="A2654" s="17" t="s">
        <v>7970</v>
      </c>
      <c r="B2654" s="17" t="s">
        <v>70</v>
      </c>
      <c r="C2654" s="17" t="s">
        <v>71</v>
      </c>
      <c r="D2654" t="s">
        <v>7969</v>
      </c>
      <c r="F2654" t="s">
        <v>7969</v>
      </c>
      <c r="K2654" s="18">
        <f>62816102845</f>
        <v>62816102845</v>
      </c>
      <c r="N2654" s="17" t="s">
        <v>77</v>
      </c>
      <c r="V2654" s="18">
        <f>62816102845</f>
        <v>62816102845</v>
      </c>
    </row>
    <row r="2655" ht="15" customHeight="1" spans="1:22" x14ac:dyDescent="0.25">
      <c r="A2655" s="17" t="s">
        <v>7971</v>
      </c>
      <c r="B2655" s="17" t="s">
        <v>70</v>
      </c>
      <c r="C2655" s="17" t="s">
        <v>71</v>
      </c>
      <c r="D2655" t="s">
        <v>7969</v>
      </c>
      <c r="F2655" t="s">
        <v>7972</v>
      </c>
      <c r="K2655" s="18">
        <f>628119227715</f>
        <v>628119227715</v>
      </c>
      <c r="N2655" s="17" t="s">
        <v>77</v>
      </c>
      <c r="V2655" s="18">
        <f>628119227715</f>
        <v>628119227715</v>
      </c>
    </row>
    <row r="2656" ht="15" customHeight="1" spans="1:28" x14ac:dyDescent="0.25">
      <c r="A2656" s="17" t="s">
        <v>7973</v>
      </c>
      <c r="B2656" s="17" t="s">
        <v>70</v>
      </c>
      <c r="C2656" s="17" t="s">
        <v>71</v>
      </c>
      <c r="D2656" t="s">
        <v>7969</v>
      </c>
      <c r="F2656" t="s">
        <v>1217</v>
      </c>
      <c r="J2656" t="s">
        <v>115</v>
      </c>
      <c r="K2656" s="18" t="s">
        <v>7974</v>
      </c>
      <c r="N2656" s="17" t="s">
        <v>77</v>
      </c>
      <c r="O2656" t="s">
        <v>117</v>
      </c>
      <c r="V2656" s="18" t="s">
        <v>7974</v>
      </c>
      <c r="Y2656" s="17" t="s">
        <v>96</v>
      </c>
      <c r="AA2656" t="s">
        <v>693</v>
      </c>
      <c r="AB2656" t="s">
        <v>119</v>
      </c>
    </row>
    <row r="2657" ht="15" customHeight="1" spans="1:23" x14ac:dyDescent="0.25">
      <c r="A2657" s="17" t="s">
        <v>7975</v>
      </c>
      <c r="B2657" s="17" t="s">
        <v>70</v>
      </c>
      <c r="C2657" s="17" t="s">
        <v>71</v>
      </c>
      <c r="D2657" t="s">
        <v>7969</v>
      </c>
      <c r="F2657" t="s">
        <v>282</v>
      </c>
      <c r="K2657" s="18">
        <f>62811995249</f>
        <v>62811995249</v>
      </c>
      <c r="N2657" s="17" t="s">
        <v>77</v>
      </c>
      <c r="U2657" s="17"/>
      <c r="V2657" s="18">
        <f>62811995249</f>
        <v>62811995249</v>
      </c>
      <c r="W2657" t="s">
        <v>7976</v>
      </c>
    </row>
    <row r="2658" ht="15" customHeight="1" spans="1:28" x14ac:dyDescent="0.25">
      <c r="A2658" s="17" t="s">
        <v>7977</v>
      </c>
      <c r="B2658" s="17" t="s">
        <v>70</v>
      </c>
      <c r="C2658" s="17" t="s">
        <v>71</v>
      </c>
      <c r="D2658" t="s">
        <v>7969</v>
      </c>
      <c r="F2658" t="s">
        <v>282</v>
      </c>
      <c r="J2658" t="s">
        <v>115</v>
      </c>
      <c r="K2658" s="18" t="s">
        <v>7978</v>
      </c>
      <c r="N2658" s="17" t="s">
        <v>77</v>
      </c>
      <c r="O2658" t="s">
        <v>117</v>
      </c>
      <c r="V2658" s="18" t="s">
        <v>7978</v>
      </c>
      <c r="Y2658" t="s">
        <v>90</v>
      </c>
      <c r="AA2658" t="s">
        <v>118</v>
      </c>
      <c r="AB2658" t="s">
        <v>119</v>
      </c>
    </row>
    <row r="2659" ht="15" customHeight="1" spans="1:22" x14ac:dyDescent="0.25">
      <c r="A2659" s="17" t="s">
        <v>7979</v>
      </c>
      <c r="B2659" s="17" t="s">
        <v>70</v>
      </c>
      <c r="C2659" s="17" t="s">
        <v>71</v>
      </c>
      <c r="D2659" t="s">
        <v>7980</v>
      </c>
      <c r="F2659" t="s">
        <v>7980</v>
      </c>
      <c r="K2659" s="18">
        <f>6281316523838</f>
        <v>6281316523838</v>
      </c>
      <c r="N2659" s="17" t="s">
        <v>77</v>
      </c>
      <c r="V2659" s="18">
        <f>6281316523838</f>
        <v>6281316523838</v>
      </c>
    </row>
    <row r="2660" ht="15" customHeight="1" spans="1:23" x14ac:dyDescent="0.25">
      <c r="A2660" s="17" t="s">
        <v>7981</v>
      </c>
      <c r="B2660" s="17" t="s">
        <v>70</v>
      </c>
      <c r="C2660" s="17" t="s">
        <v>71</v>
      </c>
      <c r="D2660" t="s">
        <v>7982</v>
      </c>
      <c r="F2660" t="s">
        <v>7983</v>
      </c>
      <c r="K2660" s="18">
        <f>6282254118833</f>
        <v>6282254118833</v>
      </c>
      <c r="N2660" s="17" t="s">
        <v>81</v>
      </c>
      <c r="U2660" s="17"/>
      <c r="V2660" s="18">
        <f>6282254118833</f>
        <v>6282254118833</v>
      </c>
      <c r="W2660" t="s">
        <v>7984</v>
      </c>
    </row>
    <row r="2661" ht="15" customHeight="1" spans="1:22" x14ac:dyDescent="0.25">
      <c r="A2661" s="17" t="s">
        <v>7985</v>
      </c>
      <c r="B2661" s="17" t="s">
        <v>70</v>
      </c>
      <c r="C2661" s="17" t="s">
        <v>71</v>
      </c>
      <c r="D2661" t="s">
        <v>7986</v>
      </c>
      <c r="F2661" t="s">
        <v>2029</v>
      </c>
      <c r="K2661" s="18">
        <f>6281317253444</f>
        <v>6281317253444</v>
      </c>
      <c r="N2661" s="17" t="s">
        <v>77</v>
      </c>
      <c r="V2661" s="18">
        <f>6281317253444</f>
        <v>6281317253444</v>
      </c>
    </row>
    <row r="2662" ht="15" customHeight="1" spans="1:22" x14ac:dyDescent="0.25">
      <c r="A2662" s="17" t="s">
        <v>7987</v>
      </c>
      <c r="B2662" s="17" t="s">
        <v>70</v>
      </c>
      <c r="C2662" s="17" t="s">
        <v>71</v>
      </c>
      <c r="D2662" t="s">
        <v>7988</v>
      </c>
      <c r="F2662" t="s">
        <v>7988</v>
      </c>
      <c r="K2662" s="18">
        <f>62818186777</f>
        <v>62818186777</v>
      </c>
      <c r="N2662" s="17" t="s">
        <v>81</v>
      </c>
      <c r="V2662" s="18">
        <f>62818186777</f>
        <v>62818186777</v>
      </c>
    </row>
    <row r="2663" ht="15" customHeight="1" spans="1:23" x14ac:dyDescent="0.25">
      <c r="A2663" s="17" t="s">
        <v>7989</v>
      </c>
      <c r="B2663" s="17" t="s">
        <v>70</v>
      </c>
      <c r="C2663" s="17" t="s">
        <v>71</v>
      </c>
      <c r="D2663" t="s">
        <v>7990</v>
      </c>
      <c r="F2663" t="s">
        <v>7990</v>
      </c>
      <c r="K2663" s="18">
        <f>628128001437</f>
        <v>628128001437</v>
      </c>
      <c r="N2663" s="17" t="s">
        <v>74</v>
      </c>
      <c r="U2663" s="17"/>
      <c r="V2663" s="18">
        <f>628128001437</f>
        <v>628128001437</v>
      </c>
      <c r="W2663" t="s">
        <v>7991</v>
      </c>
    </row>
    <row r="2664" ht="15" customHeight="1" spans="1:22" x14ac:dyDescent="0.25">
      <c r="A2664" s="17" t="s">
        <v>7992</v>
      </c>
      <c r="B2664" s="17" t="s">
        <v>70</v>
      </c>
      <c r="C2664" s="17" t="s">
        <v>71</v>
      </c>
      <c r="D2664" t="s">
        <v>7993</v>
      </c>
      <c r="F2664" t="s">
        <v>7993</v>
      </c>
      <c r="K2664" s="18">
        <f>62811649819</f>
        <v>62811649819</v>
      </c>
      <c r="N2664" s="17" t="s">
        <v>77</v>
      </c>
      <c r="V2664" s="18">
        <f>62811649819</f>
        <v>62811649819</v>
      </c>
    </row>
    <row r="2665" ht="15" customHeight="1" spans="1:22" x14ac:dyDescent="0.25">
      <c r="A2665" s="17" t="s">
        <v>7994</v>
      </c>
      <c r="B2665" s="17" t="s">
        <v>70</v>
      </c>
      <c r="C2665" s="17" t="s">
        <v>71</v>
      </c>
      <c r="D2665" t="s">
        <v>7995</v>
      </c>
      <c r="F2665" t="s">
        <v>7995</v>
      </c>
      <c r="K2665" s="18">
        <f>628176888146</f>
        <v>628176888146</v>
      </c>
      <c r="N2665" s="17" t="s">
        <v>74</v>
      </c>
      <c r="V2665" s="18">
        <f>628176888146</f>
        <v>628176888146</v>
      </c>
    </row>
    <row r="2666" ht="15" customHeight="1" spans="1:27" x14ac:dyDescent="0.25">
      <c r="A2666" s="17" t="s">
        <v>7996</v>
      </c>
      <c r="B2666" s="17" t="s">
        <v>70</v>
      </c>
      <c r="C2666" s="17" t="s">
        <v>71</v>
      </c>
      <c r="D2666" t="s">
        <v>7997</v>
      </c>
      <c r="F2666" t="s">
        <v>7998</v>
      </c>
      <c r="K2666" s="18">
        <f>62217225961</f>
        <v>62217225961</v>
      </c>
      <c r="N2666" s="17" t="s">
        <v>77</v>
      </c>
      <c r="U2666" s="17"/>
      <c r="V2666" s="18">
        <f>62217225961</f>
        <v>62217225961</v>
      </c>
      <c r="W2666" t="s">
        <v>7999</v>
      </c>
      <c r="Y2666" s="17" t="s">
        <v>96</v>
      </c>
      <c r="AA2666" s="17">
        <v>12170</v>
      </c>
    </row>
    <row r="2667" ht="15" customHeight="1" spans="1:23" x14ac:dyDescent="0.25">
      <c r="A2667" s="17" t="s">
        <v>8000</v>
      </c>
      <c r="B2667" s="17" t="s">
        <v>70</v>
      </c>
      <c r="C2667" s="17" t="s">
        <v>71</v>
      </c>
      <c r="D2667" t="s">
        <v>8001</v>
      </c>
      <c r="F2667" t="s">
        <v>8001</v>
      </c>
      <c r="K2667" s="18">
        <f>6287782588898</f>
        <v>6287782588898</v>
      </c>
      <c r="N2667" s="17" t="s">
        <v>77</v>
      </c>
      <c r="U2667" s="17"/>
      <c r="V2667" s="18">
        <f>6287782588898</f>
        <v>6287782588898</v>
      </c>
      <c r="W2667" t="s">
        <v>8002</v>
      </c>
    </row>
    <row r="2668" ht="15" customHeight="1" spans="1:23" x14ac:dyDescent="0.25">
      <c r="A2668" s="17" t="s">
        <v>8003</v>
      </c>
      <c r="B2668" s="17" t="s">
        <v>70</v>
      </c>
      <c r="C2668" s="17" t="s">
        <v>71</v>
      </c>
      <c r="D2668" t="s">
        <v>8001</v>
      </c>
      <c r="F2668" t="s">
        <v>8001</v>
      </c>
      <c r="K2668" s="18">
        <f>6281388357635</f>
        <v>6281388357635</v>
      </c>
      <c r="N2668" s="17" t="s">
        <v>81</v>
      </c>
      <c r="U2668" s="17"/>
      <c r="V2668" s="18">
        <f>6281388357635</f>
        <v>6281388357635</v>
      </c>
      <c r="W2668" t="s">
        <v>8004</v>
      </c>
    </row>
    <row r="2669" ht="15" customHeight="1" spans="1:22" x14ac:dyDescent="0.25">
      <c r="A2669" s="17" t="s">
        <v>8005</v>
      </c>
      <c r="B2669" s="17" t="s">
        <v>70</v>
      </c>
      <c r="C2669" s="17" t="s">
        <v>71</v>
      </c>
      <c r="D2669" t="s">
        <v>8001</v>
      </c>
      <c r="F2669" t="s">
        <v>8001</v>
      </c>
      <c r="K2669" s="18">
        <f>628111219299</f>
        <v>628111219299</v>
      </c>
      <c r="N2669" s="17" t="s">
        <v>77</v>
      </c>
      <c r="V2669" s="18">
        <f>628111219299</f>
        <v>628111219299</v>
      </c>
    </row>
    <row r="2670" ht="15" customHeight="1" spans="1:22" x14ac:dyDescent="0.25">
      <c r="A2670" s="17" t="s">
        <v>8006</v>
      </c>
      <c r="B2670" s="17" t="s">
        <v>70</v>
      </c>
      <c r="C2670" s="17" t="s">
        <v>71</v>
      </c>
      <c r="D2670" t="s">
        <v>8001</v>
      </c>
      <c r="F2670" t="s">
        <v>8007</v>
      </c>
      <c r="K2670" s="18">
        <f>6281573471986</f>
        <v>6281573471986</v>
      </c>
      <c r="N2670" s="17" t="s">
        <v>81</v>
      </c>
      <c r="V2670" s="18">
        <f>6281573471986</f>
        <v>6281573471986</v>
      </c>
    </row>
    <row r="2671" ht="15" customHeight="1" spans="1:25" x14ac:dyDescent="0.25">
      <c r="A2671" s="17" t="s">
        <v>8008</v>
      </c>
      <c r="B2671" s="17" t="s">
        <v>70</v>
      </c>
      <c r="C2671" s="17" t="s">
        <v>71</v>
      </c>
      <c r="D2671" t="s">
        <v>8001</v>
      </c>
      <c r="F2671" t="s">
        <v>3086</v>
      </c>
      <c r="J2671" s="17" t="s">
        <v>8009</v>
      </c>
      <c r="K2671" s="18">
        <f>6282184183331</f>
        <v>6282184183331</v>
      </c>
      <c r="N2671" s="17" t="s">
        <v>74</v>
      </c>
      <c r="U2671" s="17"/>
      <c r="V2671" s="18">
        <f>6282184183331</f>
        <v>6282184183331</v>
      </c>
      <c r="W2671" t="s">
        <v>8010</v>
      </c>
      <c r="Y2671" s="17" t="s">
        <v>8011</v>
      </c>
    </row>
    <row r="2672" ht="15" customHeight="1" spans="1:28" x14ac:dyDescent="0.25">
      <c r="A2672" s="17" t="s">
        <v>8012</v>
      </c>
      <c r="B2672" s="17" t="s">
        <v>70</v>
      </c>
      <c r="C2672" s="17" t="s">
        <v>71</v>
      </c>
      <c r="D2672" t="s">
        <v>8001</v>
      </c>
      <c r="F2672" t="s">
        <v>3252</v>
      </c>
      <c r="J2672" t="s">
        <v>115</v>
      </c>
      <c r="K2672" s="18" t="s">
        <v>8013</v>
      </c>
      <c r="N2672" s="17" t="s">
        <v>77</v>
      </c>
      <c r="O2672" t="s">
        <v>145</v>
      </c>
      <c r="V2672" s="18" t="s">
        <v>8013</v>
      </c>
      <c r="Y2672" t="s">
        <v>90</v>
      </c>
      <c r="AA2672" t="s">
        <v>118</v>
      </c>
      <c r="AB2672" t="s">
        <v>119</v>
      </c>
    </row>
    <row r="2673" ht="15" customHeight="1" spans="1:22" x14ac:dyDescent="0.25">
      <c r="A2673" s="17" t="s">
        <v>8014</v>
      </c>
      <c r="B2673" s="17" t="s">
        <v>70</v>
      </c>
      <c r="C2673" s="17" t="s">
        <v>71</v>
      </c>
      <c r="D2673" t="s">
        <v>8001</v>
      </c>
      <c r="F2673" t="s">
        <v>8015</v>
      </c>
      <c r="K2673" s="18">
        <f>6281287301159</f>
        <v>6281287301159</v>
      </c>
      <c r="N2673" s="17" t="s">
        <v>77</v>
      </c>
      <c r="V2673" s="18">
        <f>6281287301159</f>
        <v>6281287301159</v>
      </c>
    </row>
    <row r="2674" ht="15" customHeight="1" spans="1:22" x14ac:dyDescent="0.25">
      <c r="A2674" s="17" t="s">
        <v>8016</v>
      </c>
      <c r="B2674" s="17" t="s">
        <v>70</v>
      </c>
      <c r="C2674" s="17" t="s">
        <v>71</v>
      </c>
      <c r="D2674" t="s">
        <v>8001</v>
      </c>
      <c r="F2674" t="s">
        <v>8017</v>
      </c>
      <c r="K2674" s="18">
        <f>6291281009252</f>
        <v>6291281009252</v>
      </c>
      <c r="N2674" s="17" t="s">
        <v>77</v>
      </c>
      <c r="V2674" s="18">
        <f>6291281009252</f>
        <v>6291281009252</v>
      </c>
    </row>
    <row r="2675" ht="15" customHeight="1" spans="1:23" x14ac:dyDescent="0.25">
      <c r="A2675" s="17" t="s">
        <v>8018</v>
      </c>
      <c r="B2675" s="17" t="s">
        <v>70</v>
      </c>
      <c r="C2675" s="17" t="s">
        <v>71</v>
      </c>
      <c r="D2675" t="s">
        <v>8001</v>
      </c>
      <c r="F2675" t="s">
        <v>2267</v>
      </c>
      <c r="J2675" s="17" t="s">
        <v>8019</v>
      </c>
      <c r="K2675" s="18">
        <f>6281337707219</f>
        <v>6281337707219</v>
      </c>
      <c r="N2675" s="17" t="s">
        <v>77</v>
      </c>
      <c r="U2675" s="17"/>
      <c r="V2675" s="18">
        <f>6281337707219</f>
        <v>6281337707219</v>
      </c>
      <c r="W2675" t="s">
        <v>8020</v>
      </c>
    </row>
    <row r="2676" ht="15" customHeight="1" spans="1:22" x14ac:dyDescent="0.25">
      <c r="A2676" s="17" t="s">
        <v>8021</v>
      </c>
      <c r="B2676" s="17" t="s">
        <v>70</v>
      </c>
      <c r="C2676" s="17" t="s">
        <v>71</v>
      </c>
      <c r="D2676" t="s">
        <v>8001</v>
      </c>
      <c r="F2676" t="s">
        <v>8022</v>
      </c>
      <c r="K2676" s="18">
        <f>628129404466</f>
        <v>628129404466</v>
      </c>
      <c r="N2676" s="17" t="s">
        <v>81</v>
      </c>
      <c r="V2676" s="18">
        <f>628129404466</f>
        <v>628129404466</v>
      </c>
    </row>
    <row r="2677" ht="15" customHeight="1" spans="1:22" x14ac:dyDescent="0.25">
      <c r="A2677" s="17" t="s">
        <v>8023</v>
      </c>
      <c r="B2677" s="17" t="s">
        <v>70</v>
      </c>
      <c r="C2677" s="17" t="s">
        <v>71</v>
      </c>
      <c r="D2677" t="s">
        <v>8001</v>
      </c>
      <c r="F2677" t="s">
        <v>6573</v>
      </c>
      <c r="K2677" s="18">
        <f>6281748553561</f>
        <v>6281748553561</v>
      </c>
      <c r="N2677" s="17" t="s">
        <v>81</v>
      </c>
      <c r="V2677" s="18">
        <f>6281748553561</f>
        <v>6281748553561</v>
      </c>
    </row>
    <row r="2678" ht="15" customHeight="1" spans="1:23" x14ac:dyDescent="0.25">
      <c r="A2678" s="17" t="s">
        <v>8024</v>
      </c>
      <c r="B2678" s="17" t="s">
        <v>70</v>
      </c>
      <c r="C2678" s="17" t="s">
        <v>71</v>
      </c>
      <c r="D2678" t="s">
        <v>8001</v>
      </c>
      <c r="F2678" t="s">
        <v>3546</v>
      </c>
      <c r="K2678" s="18">
        <f>6287881503293</f>
        <v>6287881503293</v>
      </c>
      <c r="N2678" s="17" t="s">
        <v>77</v>
      </c>
      <c r="U2678" s="17"/>
      <c r="V2678" s="18">
        <f>6287881503293</f>
        <v>6287881503293</v>
      </c>
      <c r="W2678" t="s">
        <v>8025</v>
      </c>
    </row>
    <row r="2679" ht="15" customHeight="1" spans="1:28" x14ac:dyDescent="0.25">
      <c r="A2679" s="17" t="s">
        <v>8026</v>
      </c>
      <c r="B2679" s="17" t="s">
        <v>70</v>
      </c>
      <c r="C2679" s="17" t="s">
        <v>71</v>
      </c>
      <c r="D2679" t="s">
        <v>8001</v>
      </c>
      <c r="F2679" t="s">
        <v>8001</v>
      </c>
      <c r="J2679" s="17" t="s">
        <v>8027</v>
      </c>
      <c r="K2679" s="18" t="s">
        <v>8028</v>
      </c>
      <c r="N2679" s="17" t="s">
        <v>77</v>
      </c>
      <c r="O2679" t="s">
        <v>117</v>
      </c>
      <c r="V2679" s="18" t="s">
        <v>8028</v>
      </c>
      <c r="Y2679" t="s">
        <v>8029</v>
      </c>
      <c r="AA2679" t="s">
        <v>115</v>
      </c>
      <c r="AB2679" t="s">
        <v>119</v>
      </c>
    </row>
    <row r="2680" ht="15" customHeight="1" spans="1:28" x14ac:dyDescent="0.25">
      <c r="A2680" s="17" t="s">
        <v>8030</v>
      </c>
      <c r="B2680" s="17" t="s">
        <v>70</v>
      </c>
      <c r="C2680" s="17" t="s">
        <v>71</v>
      </c>
      <c r="D2680" t="s">
        <v>8001</v>
      </c>
      <c r="F2680" t="s">
        <v>8031</v>
      </c>
      <c r="J2680" t="s">
        <v>115</v>
      </c>
      <c r="K2680" s="18" t="s">
        <v>8032</v>
      </c>
      <c r="N2680" s="17" t="s">
        <v>77</v>
      </c>
      <c r="O2680" t="s">
        <v>117</v>
      </c>
      <c r="V2680" s="18" t="s">
        <v>8032</v>
      </c>
      <c r="Y2680" t="s">
        <v>90</v>
      </c>
      <c r="AA2680" t="s">
        <v>118</v>
      </c>
      <c r="AB2680" t="s">
        <v>119</v>
      </c>
    </row>
    <row r="2681" ht="15" customHeight="1" spans="1:22" x14ac:dyDescent="0.25">
      <c r="A2681" s="17" t="s">
        <v>8033</v>
      </c>
      <c r="B2681" s="17" t="s">
        <v>70</v>
      </c>
      <c r="C2681" s="17" t="s">
        <v>71</v>
      </c>
      <c r="D2681" t="s">
        <v>8001</v>
      </c>
      <c r="F2681" t="s">
        <v>8034</v>
      </c>
      <c r="K2681" s="18">
        <f>628787621616</f>
        <v>628787621616</v>
      </c>
      <c r="N2681" s="17" t="s">
        <v>74</v>
      </c>
      <c r="V2681" s="18">
        <f>628787621616</f>
        <v>628787621616</v>
      </c>
    </row>
    <row r="2682" ht="15" customHeight="1" spans="1:23" x14ac:dyDescent="0.25">
      <c r="A2682" s="17" t="s">
        <v>8035</v>
      </c>
      <c r="B2682" s="17" t="s">
        <v>70</v>
      </c>
      <c r="C2682" s="17" t="s">
        <v>71</v>
      </c>
      <c r="D2682" t="s">
        <v>8001</v>
      </c>
      <c r="F2682" t="s">
        <v>8036</v>
      </c>
      <c r="K2682" s="18">
        <f>6281317778888</f>
        <v>6281317778888</v>
      </c>
      <c r="N2682" s="17" t="s">
        <v>81</v>
      </c>
      <c r="U2682" s="17"/>
      <c r="V2682" s="18">
        <f>6281317778888</f>
        <v>6281317778888</v>
      </c>
      <c r="W2682" t="s">
        <v>8037</v>
      </c>
    </row>
    <row r="2683" ht="15" customHeight="1" spans="1:22" x14ac:dyDescent="0.25">
      <c r="A2683" s="17" t="s">
        <v>8038</v>
      </c>
      <c r="B2683" s="17" t="s">
        <v>70</v>
      </c>
      <c r="C2683" s="17" t="s">
        <v>71</v>
      </c>
      <c r="D2683" t="s">
        <v>8001</v>
      </c>
      <c r="F2683" t="s">
        <v>8039</v>
      </c>
      <c r="K2683" s="18">
        <f>628121034667</f>
        <v>628121034667</v>
      </c>
      <c r="N2683" s="17" t="s">
        <v>77</v>
      </c>
      <c r="V2683" s="18">
        <f>628121034667</f>
        <v>628121034667</v>
      </c>
    </row>
    <row r="2684" ht="15" customHeight="1" spans="1:22" x14ac:dyDescent="0.25">
      <c r="A2684" s="17" t="s">
        <v>8040</v>
      </c>
      <c r="B2684" s="17" t="s">
        <v>70</v>
      </c>
      <c r="C2684" s="17" t="s">
        <v>71</v>
      </c>
      <c r="D2684" t="s">
        <v>8001</v>
      </c>
      <c r="F2684" t="s">
        <v>8041</v>
      </c>
      <c r="K2684" s="18">
        <f>628128899800</f>
        <v>628128899800</v>
      </c>
      <c r="N2684" s="17" t="s">
        <v>81</v>
      </c>
      <c r="V2684" s="18">
        <f>628128899800</f>
        <v>628128899800</v>
      </c>
    </row>
    <row r="2685" ht="15" customHeight="1" spans="1:22" x14ac:dyDescent="0.25">
      <c r="A2685" s="17" t="s">
        <v>8042</v>
      </c>
      <c r="B2685" s="17" t="s">
        <v>70</v>
      </c>
      <c r="C2685" s="17" t="s">
        <v>71</v>
      </c>
      <c r="D2685" t="s">
        <v>8001</v>
      </c>
      <c r="F2685" t="s">
        <v>8043</v>
      </c>
      <c r="K2685" s="18">
        <f>628164808737</f>
        <v>628164808737</v>
      </c>
      <c r="N2685" s="17" t="s">
        <v>74</v>
      </c>
      <c r="V2685" s="18">
        <f>628164808737</f>
        <v>628164808737</v>
      </c>
    </row>
    <row r="2686" ht="15" customHeight="1" spans="1:23" x14ac:dyDescent="0.25">
      <c r="A2686" s="17" t="s">
        <v>8044</v>
      </c>
      <c r="B2686" s="17" t="s">
        <v>70</v>
      </c>
      <c r="C2686" s="17" t="s">
        <v>71</v>
      </c>
      <c r="D2686" t="s">
        <v>8001</v>
      </c>
      <c r="F2686" t="s">
        <v>388</v>
      </c>
      <c r="J2686" s="17" t="s">
        <v>8045</v>
      </c>
      <c r="K2686" s="18">
        <f>6282114713730</f>
        <v>6282114713730</v>
      </c>
      <c r="N2686" s="17" t="s">
        <v>77</v>
      </c>
      <c r="U2686" s="17"/>
      <c r="V2686" s="18">
        <f>6282114713730</f>
        <v>6282114713730</v>
      </c>
      <c r="W2686" t="s">
        <v>627</v>
      </c>
    </row>
    <row r="2687" ht="15" customHeight="1" spans="1:28" x14ac:dyDescent="0.25">
      <c r="A2687" s="17" t="s">
        <v>8046</v>
      </c>
      <c r="B2687" s="17" t="s">
        <v>70</v>
      </c>
      <c r="C2687" s="17" t="s">
        <v>71</v>
      </c>
      <c r="D2687" t="s">
        <v>8001</v>
      </c>
      <c r="F2687" t="s">
        <v>6655</v>
      </c>
      <c r="J2687" t="s">
        <v>115</v>
      </c>
      <c r="K2687" s="18" t="s">
        <v>8047</v>
      </c>
      <c r="N2687" s="17" t="s">
        <v>81</v>
      </c>
      <c r="O2687" t="s">
        <v>261</v>
      </c>
      <c r="U2687" s="17"/>
      <c r="V2687" s="18" t="s">
        <v>8047</v>
      </c>
      <c r="W2687" t="s">
        <v>8048</v>
      </c>
      <c r="Y2687" t="s">
        <v>190</v>
      </c>
      <c r="AA2687" t="s">
        <v>118</v>
      </c>
      <c r="AB2687" t="s">
        <v>119</v>
      </c>
    </row>
    <row r="2688" ht="15" customHeight="1" spans="1:28" x14ac:dyDescent="0.25">
      <c r="A2688" s="17" t="s">
        <v>8049</v>
      </c>
      <c r="B2688" s="17" t="s">
        <v>70</v>
      </c>
      <c r="C2688" s="17" t="s">
        <v>71</v>
      </c>
      <c r="D2688" t="s">
        <v>8001</v>
      </c>
      <c r="F2688" t="s">
        <v>6870</v>
      </c>
      <c r="J2688" t="s">
        <v>115</v>
      </c>
      <c r="K2688" s="18" t="s">
        <v>8050</v>
      </c>
      <c r="N2688" s="17" t="s">
        <v>77</v>
      </c>
      <c r="O2688" t="s">
        <v>117</v>
      </c>
      <c r="V2688" s="18" t="s">
        <v>8050</v>
      </c>
      <c r="Y2688" t="s">
        <v>90</v>
      </c>
      <c r="AA2688" t="s">
        <v>118</v>
      </c>
      <c r="AB2688" t="s">
        <v>119</v>
      </c>
    </row>
    <row r="2689" ht="15" customHeight="1" spans="1:27" x14ac:dyDescent="0.25">
      <c r="A2689" s="17" t="s">
        <v>8051</v>
      </c>
      <c r="B2689" s="17" t="s">
        <v>70</v>
      </c>
      <c r="C2689" s="17" t="s">
        <v>71</v>
      </c>
      <c r="D2689" t="s">
        <v>8001</v>
      </c>
      <c r="F2689" t="s">
        <v>8052</v>
      </c>
      <c r="K2689" s="18">
        <f>6281513723033</f>
        <v>6281513723033</v>
      </c>
      <c r="N2689" s="17" t="s">
        <v>81</v>
      </c>
      <c r="U2689" s="17"/>
      <c r="V2689" s="18">
        <f>6281513723033</f>
        <v>6281513723033</v>
      </c>
      <c r="W2689" t="s">
        <v>8053</v>
      </c>
      <c r="AA2689" s="17">
        <v>11140</v>
      </c>
    </row>
    <row r="2690" ht="15" customHeight="1" spans="1:28" x14ac:dyDescent="0.25">
      <c r="A2690" s="17" t="s">
        <v>8054</v>
      </c>
      <c r="B2690" s="17" t="s">
        <v>70</v>
      </c>
      <c r="C2690" s="17" t="s">
        <v>71</v>
      </c>
      <c r="D2690" t="s">
        <v>8001</v>
      </c>
      <c r="F2690" t="s">
        <v>8055</v>
      </c>
      <c r="J2690" s="17" t="s">
        <v>8056</v>
      </c>
      <c r="K2690" s="18" t="s">
        <v>8057</v>
      </c>
      <c r="N2690" s="17" t="s">
        <v>77</v>
      </c>
      <c r="O2690" t="s">
        <v>117</v>
      </c>
      <c r="U2690" s="17"/>
      <c r="V2690" s="18" t="s">
        <v>8057</v>
      </c>
      <c r="W2690" t="s">
        <v>8058</v>
      </c>
      <c r="Y2690" s="17" t="s">
        <v>190</v>
      </c>
      <c r="AA2690" t="s">
        <v>118</v>
      </c>
      <c r="AB2690" t="s">
        <v>119</v>
      </c>
    </row>
    <row r="2691" ht="15" customHeight="1" spans="1:23" x14ac:dyDescent="0.25">
      <c r="A2691" s="17" t="s">
        <v>8059</v>
      </c>
      <c r="B2691" s="17" t="s">
        <v>70</v>
      </c>
      <c r="C2691" s="17" t="s">
        <v>71</v>
      </c>
      <c r="D2691" t="s">
        <v>8001</v>
      </c>
      <c r="F2691" t="s">
        <v>868</v>
      </c>
      <c r="K2691" s="18">
        <f>6287878010772</f>
        <v>6287878010772</v>
      </c>
      <c r="N2691" s="17" t="s">
        <v>77</v>
      </c>
      <c r="U2691" s="17"/>
      <c r="V2691" s="18">
        <f>6287878010772</f>
        <v>6287878010772</v>
      </c>
      <c r="W2691" t="s">
        <v>8060</v>
      </c>
    </row>
    <row r="2692" ht="15" customHeight="1" spans="1:28" x14ac:dyDescent="0.25">
      <c r="A2692" s="17" t="s">
        <v>8061</v>
      </c>
      <c r="B2692" s="17" t="s">
        <v>70</v>
      </c>
      <c r="C2692" s="17" t="s">
        <v>71</v>
      </c>
      <c r="D2692" t="s">
        <v>8001</v>
      </c>
      <c r="F2692" t="s">
        <v>3176</v>
      </c>
      <c r="J2692" s="17" t="s">
        <v>8062</v>
      </c>
      <c r="K2692" s="18" t="s">
        <v>8063</v>
      </c>
      <c r="N2692" s="17" t="s">
        <v>77</v>
      </c>
      <c r="O2692" t="s">
        <v>145</v>
      </c>
      <c r="U2692" s="17"/>
      <c r="V2692" s="18" t="s">
        <v>8063</v>
      </c>
      <c r="W2692" t="s">
        <v>8064</v>
      </c>
      <c r="Y2692" s="17" t="s">
        <v>90</v>
      </c>
      <c r="AA2692" t="s">
        <v>118</v>
      </c>
      <c r="AB2692" t="s">
        <v>119</v>
      </c>
    </row>
    <row r="2693" ht="15" customHeight="1" spans="1:22" x14ac:dyDescent="0.25">
      <c r="A2693" s="17" t="s">
        <v>8065</v>
      </c>
      <c r="B2693" s="17" t="s">
        <v>70</v>
      </c>
      <c r="C2693" s="17" t="s">
        <v>71</v>
      </c>
      <c r="D2693" t="s">
        <v>8001</v>
      </c>
      <c r="F2693" t="s">
        <v>5545</v>
      </c>
      <c r="K2693" s="18">
        <f>62811988028</f>
        <v>62811988028</v>
      </c>
      <c r="N2693" s="17" t="s">
        <v>74</v>
      </c>
      <c r="V2693" s="18">
        <f>62811988028</f>
        <v>62811988028</v>
      </c>
    </row>
    <row r="2694" ht="15" customHeight="1" spans="1:23" x14ac:dyDescent="0.25">
      <c r="A2694" s="17" t="s">
        <v>8066</v>
      </c>
      <c r="B2694" s="17" t="s">
        <v>70</v>
      </c>
      <c r="C2694" s="17" t="s">
        <v>71</v>
      </c>
      <c r="D2694" t="s">
        <v>8001</v>
      </c>
      <c r="F2694" t="s">
        <v>8067</v>
      </c>
      <c r="K2694" s="18">
        <f>6281310054090</f>
        <v>6281310054090</v>
      </c>
      <c r="N2694" s="17" t="s">
        <v>77</v>
      </c>
      <c r="U2694" s="17"/>
      <c r="V2694" s="18">
        <f>6281310054090</f>
        <v>6281310054090</v>
      </c>
      <c r="W2694" t="s">
        <v>8068</v>
      </c>
    </row>
    <row r="2695" ht="15" customHeight="1" spans="1:28" x14ac:dyDescent="0.25">
      <c r="A2695" s="17" t="s">
        <v>8069</v>
      </c>
      <c r="B2695" s="17" t="s">
        <v>70</v>
      </c>
      <c r="C2695" s="17" t="s">
        <v>71</v>
      </c>
      <c r="D2695" t="s">
        <v>8001</v>
      </c>
      <c r="F2695" t="s">
        <v>8070</v>
      </c>
      <c r="J2695" t="s">
        <v>115</v>
      </c>
      <c r="K2695" s="18" t="s">
        <v>8071</v>
      </c>
      <c r="N2695" s="17" t="s">
        <v>81</v>
      </c>
      <c r="O2695" t="s">
        <v>117</v>
      </c>
      <c r="V2695" s="18" t="s">
        <v>8071</v>
      </c>
      <c r="Y2695" t="s">
        <v>515</v>
      </c>
      <c r="AA2695" t="s">
        <v>1614</v>
      </c>
      <c r="AB2695" t="s">
        <v>119</v>
      </c>
    </row>
    <row r="2696" ht="15" customHeight="1" spans="1:28" x14ac:dyDescent="0.25">
      <c r="A2696" s="17" t="s">
        <v>8072</v>
      </c>
      <c r="B2696" s="17" t="s">
        <v>70</v>
      </c>
      <c r="C2696" s="17" t="s">
        <v>71</v>
      </c>
      <c r="D2696" t="s">
        <v>8001</v>
      </c>
      <c r="F2696" t="s">
        <v>8073</v>
      </c>
      <c r="J2696" t="s">
        <v>115</v>
      </c>
      <c r="K2696" s="18" t="s">
        <v>8074</v>
      </c>
      <c r="N2696" s="17" t="s">
        <v>77</v>
      </c>
      <c r="O2696" t="s">
        <v>489</v>
      </c>
      <c r="U2696" s="17"/>
      <c r="V2696" s="18" t="s">
        <v>8074</v>
      </c>
      <c r="W2696" t="s">
        <v>8075</v>
      </c>
      <c r="Y2696" t="s">
        <v>4993</v>
      </c>
      <c r="AA2696" t="s">
        <v>115</v>
      </c>
      <c r="AB2696" t="s">
        <v>119</v>
      </c>
    </row>
    <row r="2697" ht="15" customHeight="1" spans="1:28" x14ac:dyDescent="0.25">
      <c r="A2697" s="17" t="s">
        <v>8076</v>
      </c>
      <c r="B2697" s="17" t="s">
        <v>70</v>
      </c>
      <c r="C2697" s="17" t="s">
        <v>71</v>
      </c>
      <c r="D2697" t="s">
        <v>8001</v>
      </c>
      <c r="F2697" t="s">
        <v>2262</v>
      </c>
      <c r="J2697" t="s">
        <v>8077</v>
      </c>
      <c r="K2697" s="18" t="s">
        <v>8078</v>
      </c>
      <c r="N2697" s="17" t="s">
        <v>81</v>
      </c>
      <c r="O2697" t="s">
        <v>489</v>
      </c>
      <c r="V2697" s="18" t="s">
        <v>8078</v>
      </c>
      <c r="Y2697" t="s">
        <v>90</v>
      </c>
      <c r="AA2697" t="s">
        <v>118</v>
      </c>
      <c r="AB2697" t="s">
        <v>119</v>
      </c>
    </row>
    <row r="2698" ht="15" customHeight="1" spans="1:25" x14ac:dyDescent="0.25">
      <c r="A2698" s="17" t="s">
        <v>8079</v>
      </c>
      <c r="B2698" s="17" t="s">
        <v>70</v>
      </c>
      <c r="C2698" s="17" t="s">
        <v>71</v>
      </c>
      <c r="D2698" t="s">
        <v>8001</v>
      </c>
      <c r="F2698" t="s">
        <v>8080</v>
      </c>
      <c r="J2698" s="17" t="s">
        <v>8081</v>
      </c>
      <c r="K2698" s="18">
        <f>6281380021340</f>
        <v>6281380021340</v>
      </c>
      <c r="N2698" s="17" t="s">
        <v>77</v>
      </c>
      <c r="U2698" s="17"/>
      <c r="V2698" s="18">
        <f>6281380021340</f>
        <v>6281380021340</v>
      </c>
      <c r="W2698" t="s">
        <v>8082</v>
      </c>
      <c r="Y2698" s="17" t="s">
        <v>90</v>
      </c>
    </row>
    <row r="2699" ht="15" customHeight="1" spans="1:23" x14ac:dyDescent="0.25">
      <c r="A2699" s="17" t="s">
        <v>8083</v>
      </c>
      <c r="B2699" s="17" t="s">
        <v>70</v>
      </c>
      <c r="C2699" s="17" t="s">
        <v>71</v>
      </c>
      <c r="D2699" t="s">
        <v>8001</v>
      </c>
      <c r="F2699" t="s">
        <v>8084</v>
      </c>
      <c r="K2699" s="18">
        <v>6281380021340</v>
      </c>
      <c r="N2699" s="17" t="s">
        <v>81</v>
      </c>
      <c r="U2699" s="17"/>
      <c r="V2699" s="18">
        <v>6281380021340</v>
      </c>
      <c r="W2699" t="s">
        <v>8085</v>
      </c>
    </row>
    <row r="2700" ht="15" customHeight="1" spans="1:28" x14ac:dyDescent="0.25">
      <c r="A2700" s="17" t="s">
        <v>8086</v>
      </c>
      <c r="B2700" s="17" t="s">
        <v>70</v>
      </c>
      <c r="C2700" s="17" t="s">
        <v>71</v>
      </c>
      <c r="D2700" t="s">
        <v>8001</v>
      </c>
      <c r="F2700" t="s">
        <v>1130</v>
      </c>
      <c r="J2700" t="s">
        <v>8087</v>
      </c>
      <c r="K2700" s="18" t="s">
        <v>8088</v>
      </c>
      <c r="N2700" s="17" t="s">
        <v>77</v>
      </c>
      <c r="O2700" t="s">
        <v>199</v>
      </c>
      <c r="V2700" s="18" t="s">
        <v>8088</v>
      </c>
      <c r="Y2700" t="s">
        <v>90</v>
      </c>
      <c r="AA2700" t="s">
        <v>118</v>
      </c>
      <c r="AB2700" t="s">
        <v>119</v>
      </c>
    </row>
    <row r="2701" ht="15" customHeight="1" spans="1:25" x14ac:dyDescent="0.25">
      <c r="A2701" s="17" t="s">
        <v>8089</v>
      </c>
      <c r="B2701" s="17" t="s">
        <v>70</v>
      </c>
      <c r="C2701" s="17" t="s">
        <v>71</v>
      </c>
      <c r="D2701" t="s">
        <v>8001</v>
      </c>
      <c r="F2701" t="s">
        <v>1130</v>
      </c>
      <c r="J2701" s="17" t="s">
        <v>8090</v>
      </c>
      <c r="K2701" s="18">
        <f>62811915886</f>
        <v>62811915886</v>
      </c>
      <c r="N2701" s="17" t="s">
        <v>77</v>
      </c>
      <c r="U2701" s="17"/>
      <c r="V2701" s="18">
        <f>62811915886</f>
        <v>62811915886</v>
      </c>
      <c r="W2701" t="s">
        <v>8091</v>
      </c>
      <c r="Y2701" s="17" t="s">
        <v>90</v>
      </c>
    </row>
    <row r="2702" ht="15" customHeight="1" spans="1:22" x14ac:dyDescent="0.25">
      <c r="A2702" s="17" t="s">
        <v>8092</v>
      </c>
      <c r="B2702" s="17" t="s">
        <v>70</v>
      </c>
      <c r="C2702" s="17" t="s">
        <v>71</v>
      </c>
      <c r="D2702" t="s">
        <v>8001</v>
      </c>
      <c r="F2702" t="s">
        <v>8093</v>
      </c>
      <c r="K2702" s="18">
        <f>6287877044467</f>
        <v>6287877044467</v>
      </c>
      <c r="N2702" s="17" t="s">
        <v>81</v>
      </c>
      <c r="V2702" s="18">
        <f>6287877044467</f>
        <v>6287877044467</v>
      </c>
    </row>
    <row r="2703" ht="15" customHeight="1" spans="1:28" x14ac:dyDescent="0.25">
      <c r="A2703" s="17" t="s">
        <v>8094</v>
      </c>
      <c r="B2703" s="17" t="s">
        <v>70</v>
      </c>
      <c r="C2703" s="17" t="s">
        <v>71</v>
      </c>
      <c r="D2703" t="s">
        <v>8001</v>
      </c>
      <c r="F2703" t="s">
        <v>8095</v>
      </c>
      <c r="J2703" s="17" t="s">
        <v>8096</v>
      </c>
      <c r="K2703" s="18" t="s">
        <v>8097</v>
      </c>
      <c r="N2703" s="17" t="s">
        <v>77</v>
      </c>
      <c r="O2703" t="s">
        <v>117</v>
      </c>
      <c r="V2703" s="18" t="s">
        <v>8097</v>
      </c>
      <c r="Y2703" t="s">
        <v>190</v>
      </c>
      <c r="AA2703" t="s">
        <v>118</v>
      </c>
      <c r="AB2703" t="s">
        <v>119</v>
      </c>
    </row>
    <row r="2704" ht="15" customHeight="1" spans="1:23" x14ac:dyDescent="0.25">
      <c r="A2704" s="17" t="s">
        <v>8098</v>
      </c>
      <c r="B2704" s="17" t="s">
        <v>70</v>
      </c>
      <c r="C2704" s="17" t="s">
        <v>71</v>
      </c>
      <c r="D2704" t="s">
        <v>8001</v>
      </c>
      <c r="F2704" t="s">
        <v>8099</v>
      </c>
      <c r="K2704" s="18">
        <f>628111091608</f>
        <v>628111091608</v>
      </c>
      <c r="N2704" s="17" t="s">
        <v>81</v>
      </c>
      <c r="U2704" s="17"/>
      <c r="V2704" s="18">
        <f>628111091608</f>
        <v>628111091608</v>
      </c>
      <c r="W2704" t="s">
        <v>8100</v>
      </c>
    </row>
    <row r="2705" ht="15" customHeight="1" spans="1:22" x14ac:dyDescent="0.25">
      <c r="A2705" s="17" t="s">
        <v>8101</v>
      </c>
      <c r="B2705" s="17" t="s">
        <v>70</v>
      </c>
      <c r="C2705" s="17" t="s">
        <v>71</v>
      </c>
      <c r="D2705" t="s">
        <v>8102</v>
      </c>
      <c r="F2705" t="s">
        <v>8103</v>
      </c>
      <c r="K2705" s="18">
        <f>6281234154749</f>
        <v>6281234154749</v>
      </c>
      <c r="N2705" s="17" t="s">
        <v>81</v>
      </c>
      <c r="V2705" s="18">
        <f>6281234154749</f>
        <v>6281234154749</v>
      </c>
    </row>
    <row r="2706" ht="15" customHeight="1" spans="1:28" x14ac:dyDescent="0.25">
      <c r="A2706" s="17" t="s">
        <v>8104</v>
      </c>
      <c r="B2706" s="17" t="s">
        <v>70</v>
      </c>
      <c r="C2706" s="17" t="s">
        <v>71</v>
      </c>
      <c r="D2706" t="s">
        <v>8105</v>
      </c>
      <c r="F2706" t="s">
        <v>8106</v>
      </c>
      <c r="J2706" t="s">
        <v>115</v>
      </c>
      <c r="K2706" s="18" t="s">
        <v>8107</v>
      </c>
      <c r="N2706" s="17" t="s">
        <v>77</v>
      </c>
      <c r="O2706" t="s">
        <v>145</v>
      </c>
      <c r="V2706" s="18" t="s">
        <v>8107</v>
      </c>
      <c r="Y2706" t="s">
        <v>190</v>
      </c>
      <c r="AA2706" t="s">
        <v>118</v>
      </c>
      <c r="AB2706" t="s">
        <v>119</v>
      </c>
    </row>
    <row r="2707" ht="15" customHeight="1" spans="1:27" x14ac:dyDescent="0.25">
      <c r="A2707" s="17" t="s">
        <v>8108</v>
      </c>
      <c r="B2707" s="17" t="s">
        <v>70</v>
      </c>
      <c r="C2707" s="17" t="s">
        <v>71</v>
      </c>
      <c r="D2707" t="s">
        <v>8109</v>
      </c>
      <c r="F2707" t="s">
        <v>8110</v>
      </c>
      <c r="K2707" s="18">
        <f>62218299006</f>
        <v>62218299006</v>
      </c>
      <c r="N2707" s="17" t="s">
        <v>74</v>
      </c>
      <c r="U2707" s="17"/>
      <c r="V2707" s="18">
        <f>62218299006</f>
        <v>62218299006</v>
      </c>
      <c r="W2707" t="s">
        <v>8111</v>
      </c>
      <c r="Y2707" s="17" t="s">
        <v>96</v>
      </c>
      <c r="AA2707" s="17">
        <v>12810</v>
      </c>
    </row>
    <row r="2708" ht="15" customHeight="1" spans="1:25" x14ac:dyDescent="0.25">
      <c r="A2708" s="17" t="s">
        <v>8112</v>
      </c>
      <c r="B2708" s="17" t="s">
        <v>70</v>
      </c>
      <c r="C2708" s="17" t="s">
        <v>71</v>
      </c>
      <c r="D2708" t="s">
        <v>8113</v>
      </c>
      <c r="F2708" t="s">
        <v>618</v>
      </c>
      <c r="K2708" s="18">
        <f>6281380988433</f>
        <v>6281380988433</v>
      </c>
      <c r="N2708" s="17" t="s">
        <v>81</v>
      </c>
      <c r="U2708" s="17"/>
      <c r="V2708" s="18">
        <f>6281380988433</f>
        <v>6281380988433</v>
      </c>
      <c r="W2708" t="s">
        <v>8114</v>
      </c>
      <c r="Y2708" s="17" t="s">
        <v>378</v>
      </c>
    </row>
    <row r="2709" ht="15" customHeight="1" spans="1:22" x14ac:dyDescent="0.25">
      <c r="A2709" s="17" t="s">
        <v>8115</v>
      </c>
      <c r="B2709" s="17" t="s">
        <v>70</v>
      </c>
      <c r="C2709" s="17" t="s">
        <v>71</v>
      </c>
      <c r="D2709" t="s">
        <v>8116</v>
      </c>
      <c r="F2709" t="s">
        <v>8116</v>
      </c>
      <c r="K2709" s="18">
        <f>6281270918211</f>
        <v>6281270918211</v>
      </c>
      <c r="N2709" s="17" t="s">
        <v>77</v>
      </c>
      <c r="V2709" s="18">
        <f>6281270918211</f>
        <v>6281270918211</v>
      </c>
    </row>
    <row r="2710" ht="15" customHeight="1" spans="1:23" x14ac:dyDescent="0.25">
      <c r="A2710" s="17" t="s">
        <v>8117</v>
      </c>
      <c r="B2710" s="17" t="s">
        <v>70</v>
      </c>
      <c r="C2710" s="17" t="s">
        <v>71</v>
      </c>
      <c r="D2710" t="s">
        <v>8118</v>
      </c>
      <c r="F2710" t="s">
        <v>8119</v>
      </c>
      <c r="K2710" s="18">
        <f>62818170893</f>
        <v>62818170893</v>
      </c>
      <c r="N2710" s="17" t="s">
        <v>77</v>
      </c>
      <c r="U2710" s="17"/>
      <c r="V2710" s="18">
        <f>62818170893</f>
        <v>62818170893</v>
      </c>
      <c r="W2710" t="s">
        <v>8120</v>
      </c>
    </row>
    <row r="2711" ht="15" customHeight="1" spans="1:22" x14ac:dyDescent="0.25">
      <c r="A2711" s="17" t="s">
        <v>8121</v>
      </c>
      <c r="B2711" s="17" t="s">
        <v>70</v>
      </c>
      <c r="C2711" s="17" t="s">
        <v>71</v>
      </c>
      <c r="D2711" t="s">
        <v>8118</v>
      </c>
      <c r="F2711" t="s">
        <v>8122</v>
      </c>
      <c r="K2711" s="18">
        <f>62816922022</f>
        <v>62816922022</v>
      </c>
      <c r="N2711" s="17" t="s">
        <v>77</v>
      </c>
      <c r="V2711" s="18">
        <f>62816922022</f>
        <v>62816922022</v>
      </c>
    </row>
    <row r="2712" ht="15" customHeight="1" spans="1:22" x14ac:dyDescent="0.25">
      <c r="A2712" s="17" t="s">
        <v>8123</v>
      </c>
      <c r="B2712" s="17" t="s">
        <v>70</v>
      </c>
      <c r="C2712" s="17" t="s">
        <v>71</v>
      </c>
      <c r="D2712" t="s">
        <v>8118</v>
      </c>
      <c r="F2712" t="s">
        <v>8124</v>
      </c>
      <c r="K2712" s="18">
        <f>628111104713</f>
        <v>628111104713</v>
      </c>
      <c r="N2712" s="17" t="s">
        <v>81</v>
      </c>
      <c r="V2712" s="18">
        <f>628111104713</f>
        <v>628111104713</v>
      </c>
    </row>
    <row r="2713" ht="15" customHeight="1" spans="1:22" x14ac:dyDescent="0.25">
      <c r="A2713" s="17" t="s">
        <v>8125</v>
      </c>
      <c r="B2713" s="17" t="s">
        <v>70</v>
      </c>
      <c r="C2713" s="17" t="s">
        <v>71</v>
      </c>
      <c r="D2713" t="s">
        <v>8126</v>
      </c>
      <c r="F2713" t="s">
        <v>8126</v>
      </c>
      <c r="K2713" s="18">
        <f>6281357072006</f>
        <v>6281357072006</v>
      </c>
      <c r="N2713" s="17" t="s">
        <v>77</v>
      </c>
      <c r="V2713" s="18">
        <f>6281357072006</f>
        <v>6281357072006</v>
      </c>
    </row>
    <row r="2714" ht="15" customHeight="1" spans="1:22" x14ac:dyDescent="0.25">
      <c r="A2714" s="17" t="s">
        <v>8127</v>
      </c>
      <c r="B2714" s="17" t="s">
        <v>70</v>
      </c>
      <c r="C2714" s="17" t="s">
        <v>71</v>
      </c>
      <c r="D2714" t="s">
        <v>8128</v>
      </c>
      <c r="F2714" t="s">
        <v>8128</v>
      </c>
      <c r="K2714" s="18">
        <f>628170666676</f>
        <v>628170666676</v>
      </c>
      <c r="N2714" s="17" t="s">
        <v>77</v>
      </c>
      <c r="V2714" s="18">
        <f>628170666676</f>
        <v>628170666676</v>
      </c>
    </row>
    <row r="2715" ht="15" customHeight="1" spans="1:22" x14ac:dyDescent="0.25">
      <c r="A2715" s="17" t="s">
        <v>8129</v>
      </c>
      <c r="B2715" s="17" t="s">
        <v>70</v>
      </c>
      <c r="C2715" s="17" t="s">
        <v>71</v>
      </c>
      <c r="D2715" t="s">
        <v>8128</v>
      </c>
      <c r="F2715" t="s">
        <v>8130</v>
      </c>
      <c r="K2715" s="18">
        <f>62817324252</f>
        <v>62817324252</v>
      </c>
      <c r="N2715" s="17" t="s">
        <v>81</v>
      </c>
      <c r="V2715" s="18">
        <f>62817324252</f>
        <v>62817324252</v>
      </c>
    </row>
    <row r="2716" ht="15" customHeight="1" spans="1:22" x14ac:dyDescent="0.25">
      <c r="A2716" s="17" t="s">
        <v>8131</v>
      </c>
      <c r="B2716" s="17" t="s">
        <v>70</v>
      </c>
      <c r="C2716" s="17" t="s">
        <v>71</v>
      </c>
      <c r="D2716" t="s">
        <v>8132</v>
      </c>
      <c r="F2716" t="s">
        <v>8132</v>
      </c>
      <c r="K2716" s="18">
        <f>6287731000011</f>
        <v>6287731000011</v>
      </c>
      <c r="N2716" s="17" t="s">
        <v>81</v>
      </c>
      <c r="V2716" s="18">
        <f>6287731000011</f>
        <v>6287731000011</v>
      </c>
    </row>
    <row r="2717" ht="15" customHeight="1" spans="1:22" x14ac:dyDescent="0.25">
      <c r="A2717" s="17" t="s">
        <v>8133</v>
      </c>
      <c r="B2717" s="17" t="s">
        <v>70</v>
      </c>
      <c r="C2717" s="17" t="s">
        <v>71</v>
      </c>
      <c r="D2717" t="s">
        <v>8134</v>
      </c>
      <c r="F2717" t="s">
        <v>8135</v>
      </c>
      <c r="K2717" s="18">
        <f>6281222000268</f>
        <v>6281222000268</v>
      </c>
      <c r="N2717" s="17" t="s">
        <v>81</v>
      </c>
      <c r="V2717" s="18">
        <f>6281222000268</f>
        <v>6281222000268</v>
      </c>
    </row>
    <row r="2718" ht="15" customHeight="1" spans="1:27" x14ac:dyDescent="0.25">
      <c r="A2718" s="17" t="s">
        <v>8136</v>
      </c>
      <c r="B2718" s="17" t="s">
        <v>70</v>
      </c>
      <c r="C2718" s="17" t="s">
        <v>71</v>
      </c>
      <c r="D2718" t="s">
        <v>8137</v>
      </c>
      <c r="F2718" t="s">
        <v>2159</v>
      </c>
      <c r="J2718" s="17" t="s">
        <v>8138</v>
      </c>
      <c r="K2718" s="18">
        <f>6281932991265</f>
        <v>6281932991265</v>
      </c>
      <c r="N2718" s="17" t="s">
        <v>77</v>
      </c>
      <c r="U2718" s="17"/>
      <c r="V2718" s="18">
        <f>6281932991265</f>
        <v>6281932991265</v>
      </c>
      <c r="W2718" t="s">
        <v>8139</v>
      </c>
      <c r="Y2718" s="17" t="s">
        <v>90</v>
      </c>
      <c r="AA2718" s="17">
        <v>11150</v>
      </c>
    </row>
    <row r="2719" ht="15" customHeight="1" spans="1:22" x14ac:dyDescent="0.25">
      <c r="A2719" s="17" t="s">
        <v>8140</v>
      </c>
      <c r="B2719" s="17" t="s">
        <v>70</v>
      </c>
      <c r="C2719" s="17" t="s">
        <v>71</v>
      </c>
      <c r="D2719" t="s">
        <v>8137</v>
      </c>
      <c r="F2719" t="s">
        <v>548</v>
      </c>
      <c r="K2719" s="18">
        <f>62811261216</f>
        <v>62811261216</v>
      </c>
      <c r="N2719" s="17" t="s">
        <v>77</v>
      </c>
      <c r="V2719" s="18">
        <f>62811261216</f>
        <v>62811261216</v>
      </c>
    </row>
    <row r="2720" ht="15" customHeight="1" spans="1:22" x14ac:dyDescent="0.25">
      <c r="A2720" s="17" t="s">
        <v>8141</v>
      </c>
      <c r="B2720" s="17" t="s">
        <v>70</v>
      </c>
      <c r="C2720" s="17" t="s">
        <v>71</v>
      </c>
      <c r="D2720" t="s">
        <v>8142</v>
      </c>
      <c r="F2720" t="s">
        <v>2381</v>
      </c>
      <c r="K2720" s="18">
        <f>6282188750593</f>
        <v>6282188750593</v>
      </c>
      <c r="N2720" s="17" t="s">
        <v>81</v>
      </c>
      <c r="V2720" s="18">
        <f>6282188750593</f>
        <v>6282188750593</v>
      </c>
    </row>
    <row r="2721" ht="15" customHeight="1" spans="1:27" x14ac:dyDescent="0.25">
      <c r="A2721" s="17" t="s">
        <v>8143</v>
      </c>
      <c r="B2721" s="17" t="s">
        <v>70</v>
      </c>
      <c r="C2721" s="17" t="s">
        <v>71</v>
      </c>
      <c r="D2721" t="s">
        <v>8144</v>
      </c>
      <c r="F2721" t="s">
        <v>3906</v>
      </c>
      <c r="K2721" s="18">
        <f>62318446185</f>
        <v>62318446185</v>
      </c>
      <c r="N2721" s="17" t="s">
        <v>77</v>
      </c>
      <c r="U2721" s="17"/>
      <c r="V2721" s="18">
        <f>62318446185</f>
        <v>62318446185</v>
      </c>
      <c r="W2721" t="s">
        <v>8145</v>
      </c>
      <c r="Y2721" s="17" t="s">
        <v>181</v>
      </c>
      <c r="AA2721" s="17" t="s">
        <v>8146</v>
      </c>
    </row>
    <row r="2722" ht="15" customHeight="1" spans="1:22" x14ac:dyDescent="0.25">
      <c r="A2722" s="17" t="s">
        <v>8147</v>
      </c>
      <c r="B2722" s="17" t="s">
        <v>70</v>
      </c>
      <c r="C2722" s="17" t="s">
        <v>71</v>
      </c>
      <c r="D2722" t="s">
        <v>8148</v>
      </c>
      <c r="F2722" t="s">
        <v>8149</v>
      </c>
      <c r="K2722" s="18">
        <f>62818161111</f>
        <v>62818161111</v>
      </c>
      <c r="N2722" s="17" t="s">
        <v>81</v>
      </c>
      <c r="V2722" s="18">
        <f>62818161111</f>
        <v>62818161111</v>
      </c>
    </row>
    <row r="2723" ht="15" customHeight="1" spans="1:23" x14ac:dyDescent="0.25">
      <c r="A2723" s="17" t="s">
        <v>8150</v>
      </c>
      <c r="B2723" s="17" t="s">
        <v>70</v>
      </c>
      <c r="C2723" s="17" t="s">
        <v>71</v>
      </c>
      <c r="D2723" t="s">
        <v>8151</v>
      </c>
      <c r="F2723" t="s">
        <v>8151</v>
      </c>
      <c r="J2723" s="17" t="s">
        <v>8152</v>
      </c>
      <c r="K2723" s="18">
        <f>628568788661</f>
        <v>628568788661</v>
      </c>
      <c r="N2723" s="17" t="s">
        <v>77</v>
      </c>
      <c r="U2723" s="17"/>
      <c r="V2723" s="18">
        <f>628568788661</f>
        <v>628568788661</v>
      </c>
      <c r="W2723" t="s">
        <v>8153</v>
      </c>
    </row>
    <row r="2724" ht="15" customHeight="1" spans="1:28" x14ac:dyDescent="0.25">
      <c r="A2724" s="17" t="s">
        <v>8154</v>
      </c>
      <c r="B2724" s="17" t="s">
        <v>70</v>
      </c>
      <c r="C2724" s="17" t="s">
        <v>71</v>
      </c>
      <c r="D2724" t="s">
        <v>8155</v>
      </c>
      <c r="F2724" t="s">
        <v>4409</v>
      </c>
      <c r="J2724" t="s">
        <v>115</v>
      </c>
      <c r="K2724" s="18" t="s">
        <v>8156</v>
      </c>
      <c r="N2724" s="17" t="s">
        <v>77</v>
      </c>
      <c r="O2724" t="s">
        <v>117</v>
      </c>
      <c r="V2724" s="18" t="s">
        <v>8156</v>
      </c>
      <c r="Y2724" t="s">
        <v>90</v>
      </c>
      <c r="AA2724" t="s">
        <v>118</v>
      </c>
      <c r="AB2724" t="s">
        <v>119</v>
      </c>
    </row>
    <row r="2725" ht="15" customHeight="1" spans="1:22" x14ac:dyDescent="0.25">
      <c r="A2725" s="17" t="s">
        <v>8157</v>
      </c>
      <c r="B2725" s="17" t="s">
        <v>70</v>
      </c>
      <c r="C2725" s="17" t="s">
        <v>71</v>
      </c>
      <c r="D2725" t="s">
        <v>8155</v>
      </c>
      <c r="F2725" t="s">
        <v>4708</v>
      </c>
      <c r="J2725" s="17" t="s">
        <v>8158</v>
      </c>
      <c r="K2725" s="18">
        <f>6281280583385</f>
        <v>6281280583385</v>
      </c>
      <c r="N2725" s="17" t="s">
        <v>81</v>
      </c>
      <c r="V2725" s="18">
        <f>6281280583385</f>
        <v>6281280583385</v>
      </c>
    </row>
    <row r="2726" ht="15" customHeight="1" spans="1:23" x14ac:dyDescent="0.25">
      <c r="A2726" s="17" t="s">
        <v>8159</v>
      </c>
      <c r="B2726" s="17" t="s">
        <v>70</v>
      </c>
      <c r="C2726" s="17" t="s">
        <v>71</v>
      </c>
      <c r="D2726" t="s">
        <v>8160</v>
      </c>
      <c r="F2726" t="s">
        <v>8160</v>
      </c>
      <c r="K2726" s="18">
        <f>6281584205383</f>
        <v>6281584205383</v>
      </c>
      <c r="N2726" s="17" t="s">
        <v>77</v>
      </c>
      <c r="U2726" s="17"/>
      <c r="V2726" s="18">
        <f>6281584205383</f>
        <v>6281584205383</v>
      </c>
      <c r="W2726" t="s">
        <v>8161</v>
      </c>
    </row>
    <row r="2727" ht="15" customHeight="1" spans="1:23" x14ac:dyDescent="0.25">
      <c r="A2727" s="17" t="s">
        <v>8162</v>
      </c>
      <c r="B2727" s="17" t="s">
        <v>70</v>
      </c>
      <c r="C2727" s="17" t="s">
        <v>71</v>
      </c>
      <c r="D2727" t="s">
        <v>8160</v>
      </c>
      <c r="F2727" t="s">
        <v>8163</v>
      </c>
      <c r="K2727" s="18">
        <f>6285361994743</f>
        <v>6285361994743</v>
      </c>
      <c r="N2727" s="17" t="s">
        <v>77</v>
      </c>
      <c r="U2727" s="17"/>
      <c r="V2727" s="18">
        <f>6285361994743</f>
        <v>6285361994743</v>
      </c>
      <c r="W2727" t="s">
        <v>8164</v>
      </c>
    </row>
    <row r="2728" ht="15" customHeight="1" spans="1:25" x14ac:dyDescent="0.25">
      <c r="A2728" s="17" t="s">
        <v>8165</v>
      </c>
      <c r="B2728" s="17" t="s">
        <v>70</v>
      </c>
      <c r="C2728" s="17" t="s">
        <v>71</v>
      </c>
      <c r="D2728" t="s">
        <v>8160</v>
      </c>
      <c r="F2728" t="s">
        <v>8166</v>
      </c>
      <c r="K2728" s="18">
        <f>62811198583</f>
        <v>62811198583</v>
      </c>
      <c r="N2728" s="17" t="s">
        <v>77</v>
      </c>
      <c r="U2728" s="17"/>
      <c r="V2728" s="18">
        <f>62811198583</f>
        <v>62811198583</v>
      </c>
      <c r="W2728" t="s">
        <v>8167</v>
      </c>
      <c r="Y2728" s="17" t="s">
        <v>378</v>
      </c>
    </row>
    <row r="2729" ht="15" customHeight="1" spans="1:28" x14ac:dyDescent="0.25">
      <c r="A2729" s="17" t="s">
        <v>8168</v>
      </c>
      <c r="B2729" s="17" t="s">
        <v>70</v>
      </c>
      <c r="C2729" s="17" t="s">
        <v>71</v>
      </c>
      <c r="D2729" t="s">
        <v>8169</v>
      </c>
      <c r="F2729" t="s">
        <v>2445</v>
      </c>
      <c r="J2729" t="s">
        <v>115</v>
      </c>
      <c r="K2729" s="18" t="s">
        <v>8170</v>
      </c>
      <c r="N2729" s="17" t="s">
        <v>77</v>
      </c>
      <c r="O2729" t="s">
        <v>145</v>
      </c>
      <c r="V2729" s="18" t="s">
        <v>8170</v>
      </c>
      <c r="Y2729" t="s">
        <v>190</v>
      </c>
      <c r="AA2729" t="s">
        <v>118</v>
      </c>
      <c r="AB2729" t="s">
        <v>1306</v>
      </c>
    </row>
    <row r="2730" ht="15" customHeight="1" spans="1:23" x14ac:dyDescent="0.25">
      <c r="A2730" s="17" t="s">
        <v>8171</v>
      </c>
      <c r="B2730" s="17" t="s">
        <v>70</v>
      </c>
      <c r="C2730" s="17" t="s">
        <v>71</v>
      </c>
      <c r="D2730" t="s">
        <v>8160</v>
      </c>
      <c r="F2730" t="s">
        <v>8172</v>
      </c>
      <c r="K2730" s="18">
        <f>6281398784227</f>
        <v>6281398784227</v>
      </c>
      <c r="N2730" s="17" t="s">
        <v>81</v>
      </c>
      <c r="U2730" s="17"/>
      <c r="V2730" s="18">
        <f>6281398784227</f>
        <v>6281398784227</v>
      </c>
      <c r="W2730" t="s">
        <v>8173</v>
      </c>
    </row>
    <row r="2731" ht="15" customHeight="1" spans="1:23" x14ac:dyDescent="0.25">
      <c r="A2731" s="17" t="s">
        <v>8174</v>
      </c>
      <c r="B2731" s="17" t="s">
        <v>70</v>
      </c>
      <c r="C2731" s="17" t="s">
        <v>71</v>
      </c>
      <c r="D2731" t="s">
        <v>8160</v>
      </c>
      <c r="F2731" t="s">
        <v>8175</v>
      </c>
      <c r="K2731" s="18">
        <f>6282113486455</f>
        <v>6282113486455</v>
      </c>
      <c r="N2731" s="17" t="s">
        <v>77</v>
      </c>
      <c r="U2731" s="17"/>
      <c r="V2731" s="18">
        <f>6282113486455</f>
        <v>6282113486455</v>
      </c>
      <c r="W2731" t="s">
        <v>8176</v>
      </c>
    </row>
    <row r="2732" ht="15" customHeight="1" spans="1:23" x14ac:dyDescent="0.25">
      <c r="A2732" s="17" t="s">
        <v>8177</v>
      </c>
      <c r="B2732" s="17" t="s">
        <v>70</v>
      </c>
      <c r="C2732" s="17" t="s">
        <v>71</v>
      </c>
      <c r="D2732" t="s">
        <v>8160</v>
      </c>
      <c r="F2732" t="s">
        <v>8178</v>
      </c>
      <c r="J2732" s="17" t="s">
        <v>8179</v>
      </c>
      <c r="K2732" s="18">
        <f>6281317897757</f>
        <v>6281317897757</v>
      </c>
      <c r="N2732" s="17" t="s">
        <v>81</v>
      </c>
      <c r="U2732" s="17"/>
      <c r="V2732" s="18">
        <f>6281317897757</f>
        <v>6281317897757</v>
      </c>
      <c r="W2732" t="s">
        <v>8180</v>
      </c>
    </row>
    <row r="2733" ht="15" customHeight="1" spans="1:22" x14ac:dyDescent="0.25">
      <c r="A2733" s="17" t="s">
        <v>8181</v>
      </c>
      <c r="B2733" s="17" t="s">
        <v>70</v>
      </c>
      <c r="C2733" s="17" t="s">
        <v>71</v>
      </c>
      <c r="D2733" t="s">
        <v>8160</v>
      </c>
      <c r="F2733" t="s">
        <v>8182</v>
      </c>
      <c r="K2733" s="18">
        <f>6281288444624</f>
        <v>6281288444624</v>
      </c>
      <c r="N2733" s="17" t="s">
        <v>77</v>
      </c>
      <c r="V2733" s="18">
        <f>6281288444624</f>
        <v>6281288444624</v>
      </c>
    </row>
    <row r="2734" ht="15" customHeight="1" spans="1:22" x14ac:dyDescent="0.25">
      <c r="A2734" s="17" t="s">
        <v>8183</v>
      </c>
      <c r="B2734" s="17" t="s">
        <v>70</v>
      </c>
      <c r="C2734" s="17" t="s">
        <v>71</v>
      </c>
      <c r="D2734" t="s">
        <v>8184</v>
      </c>
      <c r="F2734" t="s">
        <v>8184</v>
      </c>
      <c r="K2734" s="18">
        <f>628111295119</f>
        <v>628111295119</v>
      </c>
      <c r="N2734" s="17" t="s">
        <v>77</v>
      </c>
      <c r="V2734" s="18">
        <f>628111295119</f>
        <v>628111295119</v>
      </c>
    </row>
    <row r="2735" ht="15" customHeight="1" spans="1:22" x14ac:dyDescent="0.25">
      <c r="A2735" s="17" t="s">
        <v>8185</v>
      </c>
      <c r="B2735" s="17" t="s">
        <v>70</v>
      </c>
      <c r="C2735" s="17" t="s">
        <v>71</v>
      </c>
      <c r="D2735" t="s">
        <v>8184</v>
      </c>
      <c r="F2735" t="s">
        <v>8186</v>
      </c>
      <c r="K2735" s="18">
        <f>6281313433472</f>
        <v>6281313433472</v>
      </c>
      <c r="N2735" s="17" t="s">
        <v>81</v>
      </c>
      <c r="V2735" s="18">
        <f>6281313433472</f>
        <v>6281313433472</v>
      </c>
    </row>
    <row r="2736" ht="15" customHeight="1" spans="1:28" x14ac:dyDescent="0.25">
      <c r="A2736" s="17" t="s">
        <v>8187</v>
      </c>
      <c r="B2736" s="17" t="s">
        <v>70</v>
      </c>
      <c r="C2736" s="17" t="s">
        <v>71</v>
      </c>
      <c r="D2736" t="s">
        <v>8188</v>
      </c>
      <c r="F2736" t="s">
        <v>6082</v>
      </c>
      <c r="J2736" t="s">
        <v>8189</v>
      </c>
      <c r="K2736" s="18" t="s">
        <v>8190</v>
      </c>
      <c r="N2736" s="17" t="s">
        <v>77</v>
      </c>
      <c r="O2736" t="s">
        <v>199</v>
      </c>
      <c r="V2736" s="18" t="s">
        <v>8190</v>
      </c>
      <c r="Y2736" t="s">
        <v>500</v>
      </c>
      <c r="AA2736" t="s">
        <v>501</v>
      </c>
      <c r="AB2736" t="s">
        <v>119</v>
      </c>
    </row>
    <row r="2737" ht="15" customHeight="1" spans="1:28" x14ac:dyDescent="0.25">
      <c r="A2737" s="17" t="s">
        <v>8191</v>
      </c>
      <c r="B2737" s="17" t="s">
        <v>70</v>
      </c>
      <c r="C2737" s="17" t="s">
        <v>71</v>
      </c>
      <c r="D2737" t="s">
        <v>8192</v>
      </c>
      <c r="F2737" t="s">
        <v>8192</v>
      </c>
      <c r="J2737" t="s">
        <v>115</v>
      </c>
      <c r="K2737" s="18" t="s">
        <v>8193</v>
      </c>
      <c r="N2737" s="17" t="s">
        <v>77</v>
      </c>
      <c r="O2737" t="s">
        <v>117</v>
      </c>
      <c r="V2737" s="18" t="s">
        <v>8193</v>
      </c>
      <c r="Y2737" t="s">
        <v>115</v>
      </c>
      <c r="AA2737" t="s">
        <v>115</v>
      </c>
      <c r="AB2737" t="s">
        <v>119</v>
      </c>
    </row>
    <row r="2738" ht="15" customHeight="1" spans="1:27" x14ac:dyDescent="0.25">
      <c r="A2738" s="17" t="s">
        <v>8194</v>
      </c>
      <c r="B2738" s="17" t="s">
        <v>70</v>
      </c>
      <c r="C2738" s="17" t="s">
        <v>71</v>
      </c>
      <c r="D2738" t="s">
        <v>8192</v>
      </c>
      <c r="F2738" t="s">
        <v>932</v>
      </c>
      <c r="J2738" s="17" t="s">
        <v>8195</v>
      </c>
      <c r="K2738" s="18">
        <f>6281319461138</f>
        <v>6281319461138</v>
      </c>
      <c r="N2738" s="17" t="s">
        <v>81</v>
      </c>
      <c r="U2738" s="17"/>
      <c r="V2738" s="18">
        <f>6281319461138</f>
        <v>6281319461138</v>
      </c>
      <c r="W2738" t="s">
        <v>8196</v>
      </c>
      <c r="AA2738" s="17">
        <v>11830</v>
      </c>
    </row>
    <row r="2739" ht="15" customHeight="1" spans="1:28" x14ac:dyDescent="0.25">
      <c r="A2739" s="17" t="s">
        <v>8197</v>
      </c>
      <c r="B2739" s="17" t="s">
        <v>70</v>
      </c>
      <c r="C2739" s="17" t="s">
        <v>71</v>
      </c>
      <c r="D2739" t="s">
        <v>8192</v>
      </c>
      <c r="F2739" t="s">
        <v>8198</v>
      </c>
      <c r="J2739" t="s">
        <v>115</v>
      </c>
      <c r="K2739" s="18" t="s">
        <v>8199</v>
      </c>
      <c r="N2739" s="17" t="s">
        <v>77</v>
      </c>
      <c r="O2739" t="s">
        <v>199</v>
      </c>
      <c r="U2739" s="17"/>
      <c r="V2739" s="18" t="s">
        <v>8199</v>
      </c>
      <c r="W2739" t="s">
        <v>4845</v>
      </c>
      <c r="Y2739" t="s">
        <v>96</v>
      </c>
      <c r="AA2739" t="s">
        <v>693</v>
      </c>
      <c r="AB2739" t="s">
        <v>119</v>
      </c>
    </row>
    <row r="2740" ht="15" customHeight="1" spans="1:22" x14ac:dyDescent="0.25">
      <c r="A2740" s="17" t="s">
        <v>8200</v>
      </c>
      <c r="B2740" s="17" t="s">
        <v>70</v>
      </c>
      <c r="C2740" s="17" t="s">
        <v>71</v>
      </c>
      <c r="D2740" t="s">
        <v>8192</v>
      </c>
      <c r="F2740" t="s">
        <v>8201</v>
      </c>
      <c r="K2740" s="18">
        <f>628118806046</f>
        <v>628118806046</v>
      </c>
      <c r="N2740" s="17" t="s">
        <v>81</v>
      </c>
      <c r="V2740" s="18">
        <f>628118806046</f>
        <v>628118806046</v>
      </c>
    </row>
    <row r="2741" ht="15" customHeight="1" spans="1:22" x14ac:dyDescent="0.25">
      <c r="A2741" s="17" t="s">
        <v>8202</v>
      </c>
      <c r="B2741" s="17" t="s">
        <v>70</v>
      </c>
      <c r="C2741" s="17" t="s">
        <v>71</v>
      </c>
      <c r="D2741" t="s">
        <v>8192</v>
      </c>
      <c r="F2741" t="s">
        <v>8203</v>
      </c>
      <c r="K2741" s="18">
        <f>628122041037</f>
        <v>628122041037</v>
      </c>
      <c r="N2741" s="17" t="s">
        <v>74</v>
      </c>
      <c r="V2741" s="18">
        <f>628122041037</f>
        <v>628122041037</v>
      </c>
    </row>
    <row r="2742" ht="15" customHeight="1" spans="1:28" x14ac:dyDescent="0.25">
      <c r="A2742" s="17" t="s">
        <v>8204</v>
      </c>
      <c r="B2742" s="17" t="s">
        <v>70</v>
      </c>
      <c r="C2742" s="17" t="s">
        <v>71</v>
      </c>
      <c r="D2742" t="s">
        <v>8205</v>
      </c>
      <c r="F2742" t="s">
        <v>8206</v>
      </c>
      <c r="J2742" s="17" t="s">
        <v>8207</v>
      </c>
      <c r="K2742" s="18" t="s">
        <v>8208</v>
      </c>
      <c r="N2742" s="17" t="s">
        <v>77</v>
      </c>
      <c r="O2742" t="s">
        <v>145</v>
      </c>
      <c r="U2742" s="17"/>
      <c r="V2742" s="18" t="s">
        <v>8208</v>
      </c>
      <c r="W2742" t="s">
        <v>8209</v>
      </c>
      <c r="Y2742" t="s">
        <v>90</v>
      </c>
      <c r="AA2742" t="s">
        <v>118</v>
      </c>
      <c r="AB2742" t="s">
        <v>119</v>
      </c>
    </row>
    <row r="2743" ht="15" customHeight="1" spans="1:22" x14ac:dyDescent="0.25">
      <c r="A2743" s="17" t="s">
        <v>8210</v>
      </c>
      <c r="B2743" s="17" t="s">
        <v>70</v>
      </c>
      <c r="C2743" s="17" t="s">
        <v>71</v>
      </c>
      <c r="D2743" t="s">
        <v>8211</v>
      </c>
      <c r="F2743" t="s">
        <v>8211</v>
      </c>
      <c r="K2743" s="18">
        <f>6281807052588</f>
        <v>6281807052588</v>
      </c>
      <c r="N2743" s="17" t="s">
        <v>77</v>
      </c>
      <c r="V2743" s="18">
        <f>6281807052588</f>
        <v>6281807052588</v>
      </c>
    </row>
    <row r="2744" ht="15" customHeight="1" spans="1:22" x14ac:dyDescent="0.25">
      <c r="A2744" s="17" t="s">
        <v>8212</v>
      </c>
      <c r="B2744" s="17" t="s">
        <v>70</v>
      </c>
      <c r="C2744" s="17" t="s">
        <v>71</v>
      </c>
      <c r="D2744" t="s">
        <v>8213</v>
      </c>
      <c r="F2744" t="s">
        <v>8214</v>
      </c>
      <c r="K2744" s="18">
        <f>6285795992620</f>
        <v>6285795992620</v>
      </c>
      <c r="N2744" s="17" t="s">
        <v>81</v>
      </c>
      <c r="V2744" s="18">
        <f>6285795992620</f>
        <v>6285795992620</v>
      </c>
    </row>
    <row r="2745" ht="15" customHeight="1" spans="1:28" x14ac:dyDescent="0.25">
      <c r="A2745" s="17" t="s">
        <v>8215</v>
      </c>
      <c r="B2745" s="17" t="s">
        <v>70</v>
      </c>
      <c r="C2745" s="17" t="s">
        <v>71</v>
      </c>
      <c r="D2745" t="s">
        <v>8213</v>
      </c>
      <c r="F2745" t="s">
        <v>4443</v>
      </c>
      <c r="J2745" s="17" t="s">
        <v>8216</v>
      </c>
      <c r="K2745" s="18" t="s">
        <v>8217</v>
      </c>
      <c r="N2745" s="17" t="s">
        <v>77</v>
      </c>
      <c r="O2745" t="s">
        <v>199</v>
      </c>
      <c r="U2745" s="17"/>
      <c r="V2745" s="18" t="s">
        <v>8217</v>
      </c>
      <c r="W2745" t="s">
        <v>8218</v>
      </c>
      <c r="Y2745" t="s">
        <v>190</v>
      </c>
      <c r="AA2745" t="s">
        <v>118</v>
      </c>
      <c r="AB2745" t="s">
        <v>119</v>
      </c>
    </row>
    <row r="2746" ht="15" customHeight="1" spans="1:27" x14ac:dyDescent="0.25">
      <c r="A2746" s="17" t="s">
        <v>8219</v>
      </c>
      <c r="B2746" s="17" t="s">
        <v>70</v>
      </c>
      <c r="C2746" s="17" t="s">
        <v>71</v>
      </c>
      <c r="D2746" t="s">
        <v>8213</v>
      </c>
      <c r="F2746" t="s">
        <v>1064</v>
      </c>
      <c r="J2746" s="17" t="s">
        <v>8220</v>
      </c>
      <c r="K2746" s="18">
        <f>6287883785290</f>
        <v>6287883785290</v>
      </c>
      <c r="N2746" s="17" t="s">
        <v>77</v>
      </c>
      <c r="U2746" s="17"/>
      <c r="V2746" s="18">
        <f>6287883785290</f>
        <v>6287883785290</v>
      </c>
      <c r="W2746" t="s">
        <v>8221</v>
      </c>
      <c r="Y2746" s="17" t="s">
        <v>96</v>
      </c>
      <c r="AA2746" s="17">
        <v>12120</v>
      </c>
    </row>
    <row r="2747" ht="15" customHeight="1" spans="1:22" x14ac:dyDescent="0.25">
      <c r="A2747" s="17" t="s">
        <v>8222</v>
      </c>
      <c r="B2747" s="17" t="s">
        <v>70</v>
      </c>
      <c r="C2747" s="17" t="s">
        <v>71</v>
      </c>
      <c r="D2747" t="s">
        <v>8213</v>
      </c>
      <c r="F2747" t="s">
        <v>8223</v>
      </c>
      <c r="K2747" s="18">
        <f>628121051674</f>
        <v>628121051674</v>
      </c>
      <c r="N2747" s="17" t="s">
        <v>74</v>
      </c>
      <c r="V2747" s="18">
        <f>628121051674</f>
        <v>628121051674</v>
      </c>
    </row>
    <row r="2748" ht="15" customHeight="1" spans="1:25" x14ac:dyDescent="0.25">
      <c r="A2748" s="17" t="s">
        <v>8224</v>
      </c>
      <c r="B2748" s="17" t="s">
        <v>70</v>
      </c>
      <c r="C2748" s="17" t="s">
        <v>71</v>
      </c>
      <c r="D2748" t="s">
        <v>8213</v>
      </c>
      <c r="F2748" t="s">
        <v>8225</v>
      </c>
      <c r="K2748" s="18">
        <f>62817788452</f>
        <v>62817788452</v>
      </c>
      <c r="N2748" s="17" t="s">
        <v>74</v>
      </c>
      <c r="U2748" s="17"/>
      <c r="V2748" s="18">
        <f>62817788452</f>
        <v>62817788452</v>
      </c>
      <c r="W2748" t="s">
        <v>8226</v>
      </c>
      <c r="Y2748" s="17" t="s">
        <v>384</v>
      </c>
    </row>
    <row r="2749" ht="15" customHeight="1" spans="1:28" x14ac:dyDescent="0.25">
      <c r="A2749" s="17" t="s">
        <v>8227</v>
      </c>
      <c r="B2749" s="17" t="s">
        <v>70</v>
      </c>
      <c r="C2749" s="17" t="s">
        <v>71</v>
      </c>
      <c r="D2749" t="s">
        <v>8213</v>
      </c>
      <c r="F2749" t="s">
        <v>8228</v>
      </c>
      <c r="J2749" t="s">
        <v>115</v>
      </c>
      <c r="K2749" s="18" t="s">
        <v>8229</v>
      </c>
      <c r="N2749" s="17" t="s">
        <v>81</v>
      </c>
      <c r="O2749" t="s">
        <v>489</v>
      </c>
      <c r="U2749" s="17"/>
      <c r="V2749" s="18" t="s">
        <v>8229</v>
      </c>
      <c r="W2749" t="s">
        <v>627</v>
      </c>
      <c r="Y2749" t="s">
        <v>90</v>
      </c>
      <c r="AA2749" t="s">
        <v>118</v>
      </c>
      <c r="AB2749" t="s">
        <v>119</v>
      </c>
    </row>
    <row r="2750" ht="15" customHeight="1" spans="1:27" x14ac:dyDescent="0.25">
      <c r="A2750" s="17" t="s">
        <v>8230</v>
      </c>
      <c r="B2750" s="17" t="s">
        <v>70</v>
      </c>
      <c r="C2750" s="17" t="s">
        <v>71</v>
      </c>
      <c r="D2750" t="s">
        <v>8213</v>
      </c>
      <c r="F2750" t="s">
        <v>8231</v>
      </c>
      <c r="J2750" s="17" t="s">
        <v>8232</v>
      </c>
      <c r="K2750" s="18">
        <f>628161188889</f>
        <v>628161188889</v>
      </c>
      <c r="N2750" s="17" t="s">
        <v>77</v>
      </c>
      <c r="U2750" s="17"/>
      <c r="V2750" s="18">
        <f>628161188889</f>
        <v>628161188889</v>
      </c>
      <c r="W2750" t="s">
        <v>8233</v>
      </c>
      <c r="Y2750" s="17" t="s">
        <v>378</v>
      </c>
      <c r="AA2750" s="17">
        <v>10230</v>
      </c>
    </row>
    <row r="2751" ht="15" customHeight="1" spans="1:28" x14ac:dyDescent="0.25">
      <c r="A2751" s="17" t="s">
        <v>8234</v>
      </c>
      <c r="B2751" s="17" t="s">
        <v>70</v>
      </c>
      <c r="C2751" s="17" t="s">
        <v>71</v>
      </c>
      <c r="D2751" t="s">
        <v>8213</v>
      </c>
      <c r="F2751" t="s">
        <v>3227</v>
      </c>
      <c r="J2751" t="s">
        <v>115</v>
      </c>
      <c r="K2751" s="18" t="s">
        <v>8235</v>
      </c>
      <c r="N2751" s="17" t="s">
        <v>77</v>
      </c>
      <c r="O2751" t="s">
        <v>489</v>
      </c>
      <c r="V2751" s="18" t="s">
        <v>8235</v>
      </c>
      <c r="Y2751" t="s">
        <v>90</v>
      </c>
      <c r="AA2751" t="s">
        <v>118</v>
      </c>
      <c r="AB2751" t="s">
        <v>119</v>
      </c>
    </row>
    <row r="2752" ht="15" customHeight="1" spans="1:22" x14ac:dyDescent="0.25">
      <c r="A2752" s="17" t="s">
        <v>8236</v>
      </c>
      <c r="B2752" s="17" t="s">
        <v>70</v>
      </c>
      <c r="C2752" s="17" t="s">
        <v>71</v>
      </c>
      <c r="D2752" t="s">
        <v>8031</v>
      </c>
      <c r="F2752" t="s">
        <v>6028</v>
      </c>
      <c r="K2752" s="18">
        <f>62811288523</f>
        <v>62811288523</v>
      </c>
      <c r="N2752" s="17" t="s">
        <v>77</v>
      </c>
      <c r="V2752" s="18">
        <f>62811288523</f>
        <v>62811288523</v>
      </c>
    </row>
    <row r="2753" ht="15" customHeight="1" spans="1:28" x14ac:dyDescent="0.25">
      <c r="A2753" s="17" t="s">
        <v>8237</v>
      </c>
      <c r="B2753" s="17" t="s">
        <v>70</v>
      </c>
      <c r="C2753" s="17" t="s">
        <v>71</v>
      </c>
      <c r="D2753" t="s">
        <v>8031</v>
      </c>
      <c r="F2753" t="s">
        <v>8238</v>
      </c>
      <c r="J2753" t="s">
        <v>115</v>
      </c>
      <c r="K2753" s="18" t="s">
        <v>8239</v>
      </c>
      <c r="N2753" s="17" t="s">
        <v>81</v>
      </c>
      <c r="O2753" t="s">
        <v>117</v>
      </c>
      <c r="U2753" s="17"/>
      <c r="V2753" s="18" t="s">
        <v>8239</v>
      </c>
      <c r="W2753" t="s">
        <v>8240</v>
      </c>
      <c r="Y2753" t="s">
        <v>90</v>
      </c>
      <c r="AA2753" t="s">
        <v>118</v>
      </c>
      <c r="AB2753" t="s">
        <v>119</v>
      </c>
    </row>
    <row r="2754" ht="15" customHeight="1" spans="1:22" x14ac:dyDescent="0.25">
      <c r="A2754" s="17" t="s">
        <v>8241</v>
      </c>
      <c r="B2754" s="17" t="s">
        <v>70</v>
      </c>
      <c r="C2754" s="17" t="s">
        <v>71</v>
      </c>
      <c r="D2754" t="s">
        <v>8031</v>
      </c>
      <c r="F2754" t="s">
        <v>2159</v>
      </c>
      <c r="K2754" s="18">
        <f>6287808296709</f>
        <v>6287808296709</v>
      </c>
      <c r="N2754" s="17" t="s">
        <v>77</v>
      </c>
      <c r="V2754" s="18">
        <f>6287808296709</f>
        <v>6287808296709</v>
      </c>
    </row>
    <row r="2755" ht="15" customHeight="1" spans="1:23" x14ac:dyDescent="0.25">
      <c r="A2755" s="17" t="s">
        <v>8242</v>
      </c>
      <c r="B2755" s="17" t="s">
        <v>70</v>
      </c>
      <c r="C2755" s="17" t="s">
        <v>71</v>
      </c>
      <c r="D2755" t="s">
        <v>8031</v>
      </c>
      <c r="F2755" t="s">
        <v>8243</v>
      </c>
      <c r="K2755" s="18">
        <f>62811887903</f>
        <v>62811887903</v>
      </c>
      <c r="N2755" s="17" t="s">
        <v>81</v>
      </c>
      <c r="U2755" s="17"/>
      <c r="V2755" s="18">
        <f>62811887903</f>
        <v>62811887903</v>
      </c>
      <c r="W2755" t="s">
        <v>8244</v>
      </c>
    </row>
    <row r="2756" ht="15" customHeight="1" spans="1:22" x14ac:dyDescent="0.25">
      <c r="A2756" s="17" t="s">
        <v>8245</v>
      </c>
      <c r="B2756" s="17" t="s">
        <v>70</v>
      </c>
      <c r="C2756" s="17" t="s">
        <v>71</v>
      </c>
      <c r="D2756" t="s">
        <v>8031</v>
      </c>
      <c r="F2756" t="s">
        <v>8246</v>
      </c>
      <c r="K2756" s="18">
        <f>6285817581438</f>
        <v>6285817581438</v>
      </c>
      <c r="N2756" s="17" t="s">
        <v>81</v>
      </c>
      <c r="V2756" s="18">
        <f>6285817581438</f>
        <v>6285817581438</v>
      </c>
    </row>
    <row r="2757" ht="15" customHeight="1" spans="1:22" x14ac:dyDescent="0.25">
      <c r="A2757" s="17" t="s">
        <v>8247</v>
      </c>
      <c r="B2757" s="17" t="s">
        <v>70</v>
      </c>
      <c r="C2757" s="17" t="s">
        <v>71</v>
      </c>
      <c r="D2757" t="s">
        <v>8031</v>
      </c>
      <c r="F2757" t="s">
        <v>4394</v>
      </c>
      <c r="K2757" s="18">
        <f>62818888073</f>
        <v>62818888073</v>
      </c>
      <c r="N2757" s="17" t="s">
        <v>77</v>
      </c>
      <c r="V2757" s="18">
        <f>62818888073</f>
        <v>62818888073</v>
      </c>
    </row>
    <row r="2758" ht="15" customHeight="1" spans="1:23" x14ac:dyDescent="0.25">
      <c r="A2758" s="17" t="s">
        <v>8248</v>
      </c>
      <c r="B2758" s="17" t="s">
        <v>70</v>
      </c>
      <c r="C2758" s="17" t="s">
        <v>71</v>
      </c>
      <c r="D2758" t="s">
        <v>8031</v>
      </c>
      <c r="F2758" t="s">
        <v>8249</v>
      </c>
      <c r="K2758" s="18">
        <f>6287881300200</f>
        <v>6287881300200</v>
      </c>
      <c r="N2758" s="17" t="s">
        <v>81</v>
      </c>
      <c r="U2758" s="17"/>
      <c r="V2758" s="18">
        <f>6287881300200</f>
        <v>6287881300200</v>
      </c>
      <c r="W2758" t="s">
        <v>8250</v>
      </c>
    </row>
    <row r="2759" ht="15" customHeight="1" spans="1:28" x14ac:dyDescent="0.25">
      <c r="A2759" s="17" t="s">
        <v>8251</v>
      </c>
      <c r="B2759" s="17" t="s">
        <v>70</v>
      </c>
      <c r="C2759" s="17" t="s">
        <v>71</v>
      </c>
      <c r="D2759" t="s">
        <v>8031</v>
      </c>
      <c r="F2759" t="s">
        <v>8252</v>
      </c>
      <c r="J2759" t="s">
        <v>115</v>
      </c>
      <c r="K2759" s="18" t="s">
        <v>8253</v>
      </c>
      <c r="N2759" s="17" t="s">
        <v>77</v>
      </c>
      <c r="O2759" t="s">
        <v>117</v>
      </c>
      <c r="V2759" s="18" t="s">
        <v>8253</v>
      </c>
      <c r="Y2759" t="s">
        <v>90</v>
      </c>
      <c r="AA2759" t="s">
        <v>118</v>
      </c>
      <c r="AB2759" t="s">
        <v>119</v>
      </c>
    </row>
    <row r="2760" ht="15" customHeight="1" spans="1:28" x14ac:dyDescent="0.25">
      <c r="A2760" s="17" t="s">
        <v>8254</v>
      </c>
      <c r="B2760" s="17" t="s">
        <v>70</v>
      </c>
      <c r="C2760" s="17" t="s">
        <v>71</v>
      </c>
      <c r="D2760" t="s">
        <v>8031</v>
      </c>
      <c r="F2760" t="s">
        <v>1169</v>
      </c>
      <c r="J2760" t="s">
        <v>115</v>
      </c>
      <c r="K2760" s="18" t="s">
        <v>8255</v>
      </c>
      <c r="N2760" s="17" t="s">
        <v>81</v>
      </c>
      <c r="O2760" t="s">
        <v>117</v>
      </c>
      <c r="V2760" s="18" t="s">
        <v>8255</v>
      </c>
      <c r="Y2760" t="s">
        <v>626</v>
      </c>
      <c r="AA2760" t="s">
        <v>3090</v>
      </c>
      <c r="AB2760" t="s">
        <v>119</v>
      </c>
    </row>
    <row r="2761" ht="15" customHeight="1" spans="1:22" x14ac:dyDescent="0.25">
      <c r="A2761" s="17" t="s">
        <v>8256</v>
      </c>
      <c r="B2761" s="17" t="s">
        <v>70</v>
      </c>
      <c r="C2761" s="17" t="s">
        <v>71</v>
      </c>
      <c r="D2761" t="s">
        <v>8257</v>
      </c>
      <c r="F2761" t="s">
        <v>8257</v>
      </c>
      <c r="K2761" s="18">
        <f>6281346528022</f>
        <v>6281346528022</v>
      </c>
      <c r="N2761" s="17" t="s">
        <v>74</v>
      </c>
      <c r="V2761" s="18">
        <f>6281346528022</f>
        <v>6281346528022</v>
      </c>
    </row>
    <row r="2762" ht="15" customHeight="1" spans="1:22" x14ac:dyDescent="0.25">
      <c r="A2762" s="17" t="s">
        <v>8258</v>
      </c>
      <c r="B2762" s="17" t="s">
        <v>70</v>
      </c>
      <c r="C2762" s="17" t="s">
        <v>71</v>
      </c>
      <c r="D2762" t="s">
        <v>8259</v>
      </c>
      <c r="F2762" t="s">
        <v>6890</v>
      </c>
      <c r="K2762" s="18">
        <f>628116000388</f>
        <v>628116000388</v>
      </c>
      <c r="N2762" s="17" t="s">
        <v>77</v>
      </c>
      <c r="V2762" s="18">
        <f>628116000388</f>
        <v>628116000388</v>
      </c>
    </row>
    <row r="2763" ht="15" customHeight="1" spans="1:22" x14ac:dyDescent="0.25">
      <c r="A2763" s="17" t="s">
        <v>8260</v>
      </c>
      <c r="B2763" s="17" t="s">
        <v>70</v>
      </c>
      <c r="C2763" s="17" t="s">
        <v>71</v>
      </c>
      <c r="D2763" t="s">
        <v>8261</v>
      </c>
      <c r="F2763" t="s">
        <v>8262</v>
      </c>
      <c r="K2763" s="18">
        <v>87876358999</v>
      </c>
      <c r="N2763" s="17" t="s">
        <v>81</v>
      </c>
      <c r="V2763" s="18">
        <v>87876358999</v>
      </c>
    </row>
    <row r="2764" ht="15" customHeight="1" spans="1:28" x14ac:dyDescent="0.25">
      <c r="A2764" s="17" t="s">
        <v>8263</v>
      </c>
      <c r="B2764" s="17" t="s">
        <v>70</v>
      </c>
      <c r="C2764" s="17" t="s">
        <v>71</v>
      </c>
      <c r="D2764" t="s">
        <v>8264</v>
      </c>
      <c r="F2764" t="s">
        <v>8262</v>
      </c>
      <c r="J2764" t="s">
        <v>115</v>
      </c>
      <c r="K2764" s="18" t="s">
        <v>8265</v>
      </c>
      <c r="N2764" s="17" t="s">
        <v>81</v>
      </c>
      <c r="O2764" t="s">
        <v>261</v>
      </c>
      <c r="V2764" s="18" t="s">
        <v>8265</v>
      </c>
      <c r="Y2764" t="s">
        <v>90</v>
      </c>
      <c r="AA2764" t="s">
        <v>118</v>
      </c>
      <c r="AB2764" t="s">
        <v>119</v>
      </c>
    </row>
    <row r="2765" ht="15" customHeight="1" spans="1:22" x14ac:dyDescent="0.25">
      <c r="A2765" s="17" t="s">
        <v>8266</v>
      </c>
      <c r="B2765" s="17" t="s">
        <v>70</v>
      </c>
      <c r="C2765" s="17" t="s">
        <v>71</v>
      </c>
      <c r="D2765" t="s">
        <v>8267</v>
      </c>
      <c r="F2765" t="s">
        <v>8267</v>
      </c>
      <c r="K2765" s="18">
        <f>628161685210</f>
        <v>628161685210</v>
      </c>
      <c r="N2765" s="17" t="s">
        <v>77</v>
      </c>
      <c r="V2765" s="18">
        <f>628161685210</f>
        <v>628161685210</v>
      </c>
    </row>
    <row r="2766" ht="15" customHeight="1" spans="1:25" x14ac:dyDescent="0.25">
      <c r="A2766" s="17" t="s">
        <v>8268</v>
      </c>
      <c r="B2766" s="17" t="s">
        <v>70</v>
      </c>
      <c r="C2766" s="17" t="s">
        <v>71</v>
      </c>
      <c r="D2766" t="s">
        <v>8269</v>
      </c>
      <c r="F2766" t="s">
        <v>3510</v>
      </c>
      <c r="K2766" s="18">
        <f>6281212794903</f>
        <v>6281212794903</v>
      </c>
      <c r="N2766" s="17" t="s">
        <v>77</v>
      </c>
      <c r="U2766" s="17"/>
      <c r="V2766" s="18">
        <f>6281212794903</f>
        <v>6281212794903</v>
      </c>
      <c r="W2766" t="s">
        <v>8270</v>
      </c>
      <c r="Y2766" s="17" t="s">
        <v>90</v>
      </c>
    </row>
    <row r="2767" ht="15" customHeight="1" spans="1:25" x14ac:dyDescent="0.25">
      <c r="A2767" s="17" t="s">
        <v>8271</v>
      </c>
      <c r="B2767" s="17" t="s">
        <v>70</v>
      </c>
      <c r="C2767" s="17" t="s">
        <v>71</v>
      </c>
      <c r="D2767" t="s">
        <v>8269</v>
      </c>
      <c r="F2767" t="s">
        <v>8272</v>
      </c>
      <c r="K2767" s="18">
        <f>6281216819484</f>
        <v>6281216819484</v>
      </c>
      <c r="N2767" s="17" t="s">
        <v>77</v>
      </c>
      <c r="U2767" s="17"/>
      <c r="V2767" s="18">
        <f>6281216819484</f>
        <v>6281216819484</v>
      </c>
      <c r="W2767" t="s">
        <v>8273</v>
      </c>
      <c r="Y2767" s="17" t="s">
        <v>96</v>
      </c>
    </row>
    <row r="2768" ht="15" customHeight="1" spans="1:28" x14ac:dyDescent="0.25">
      <c r="A2768" s="17" t="s">
        <v>8274</v>
      </c>
      <c r="B2768" s="17" t="s">
        <v>70</v>
      </c>
      <c r="C2768" s="17" t="s">
        <v>71</v>
      </c>
      <c r="D2768" t="s">
        <v>8269</v>
      </c>
      <c r="F2768" t="s">
        <v>8275</v>
      </c>
      <c r="J2768" t="s">
        <v>8276</v>
      </c>
      <c r="K2768" s="18" t="s">
        <v>8277</v>
      </c>
      <c r="N2768" s="17" t="s">
        <v>77</v>
      </c>
      <c r="O2768" t="s">
        <v>145</v>
      </c>
      <c r="V2768" s="18" t="s">
        <v>8277</v>
      </c>
      <c r="Y2768" t="s">
        <v>500</v>
      </c>
      <c r="AA2768" t="s">
        <v>501</v>
      </c>
      <c r="AB2768" t="s">
        <v>119</v>
      </c>
    </row>
    <row r="2769" ht="15" customHeight="1" spans="1:25" x14ac:dyDescent="0.25">
      <c r="A2769" s="17" t="s">
        <v>8278</v>
      </c>
      <c r="B2769" s="17" t="s">
        <v>70</v>
      </c>
      <c r="C2769" s="17" t="s">
        <v>71</v>
      </c>
      <c r="D2769" t="s">
        <v>8279</v>
      </c>
      <c r="F2769" t="s">
        <v>8279</v>
      </c>
      <c r="K2769" s="18">
        <f>6281322298011</f>
        <v>6281322298011</v>
      </c>
      <c r="N2769" s="17" t="s">
        <v>77</v>
      </c>
      <c r="U2769" s="17"/>
      <c r="V2769" s="18">
        <f>6281322298011</f>
        <v>6281322298011</v>
      </c>
      <c r="W2769" t="s">
        <v>8280</v>
      </c>
      <c r="Y2769" s="17" t="s">
        <v>217</v>
      </c>
    </row>
    <row r="2770" ht="15" customHeight="1" spans="1:22" x14ac:dyDescent="0.25">
      <c r="A2770" s="17" t="s">
        <v>8281</v>
      </c>
      <c r="B2770" s="17" t="s">
        <v>70</v>
      </c>
      <c r="C2770" s="17" t="s">
        <v>71</v>
      </c>
      <c r="D2770" t="s">
        <v>8282</v>
      </c>
      <c r="F2770" t="s">
        <v>8283</v>
      </c>
      <c r="K2770" s="18">
        <f>6281807078901</f>
        <v>6281807078901</v>
      </c>
      <c r="N2770" s="17" t="s">
        <v>77</v>
      </c>
      <c r="V2770" s="18">
        <f>6281807078901</f>
        <v>6281807078901</v>
      </c>
    </row>
    <row r="2771" ht="15" customHeight="1" spans="1:22" x14ac:dyDescent="0.25">
      <c r="A2771" s="17" t="s">
        <v>8284</v>
      </c>
      <c r="B2771" s="17" t="s">
        <v>70</v>
      </c>
      <c r="C2771" s="17" t="s">
        <v>71</v>
      </c>
      <c r="D2771" t="s">
        <v>8282</v>
      </c>
      <c r="F2771" t="s">
        <v>7499</v>
      </c>
      <c r="K2771" s="18">
        <f>6596803055</f>
        <v>6596803055</v>
      </c>
      <c r="N2771" s="17" t="s">
        <v>77</v>
      </c>
      <c r="V2771" s="18">
        <f>6596803055</f>
        <v>6596803055</v>
      </c>
    </row>
    <row r="2772" ht="15" customHeight="1" spans="1:28" x14ac:dyDescent="0.25">
      <c r="A2772" s="17" t="s">
        <v>8285</v>
      </c>
      <c r="B2772" s="17" t="s">
        <v>70</v>
      </c>
      <c r="C2772" s="17" t="s">
        <v>71</v>
      </c>
      <c r="D2772" t="s">
        <v>8286</v>
      </c>
      <c r="F2772" t="s">
        <v>8287</v>
      </c>
      <c r="J2772" t="s">
        <v>115</v>
      </c>
      <c r="K2772" s="18" t="s">
        <v>8288</v>
      </c>
      <c r="N2772" s="17" t="s">
        <v>77</v>
      </c>
      <c r="O2772" t="s">
        <v>1188</v>
      </c>
      <c r="U2772" s="17"/>
      <c r="V2772" s="18" t="s">
        <v>8288</v>
      </c>
      <c r="W2772" t="s">
        <v>8289</v>
      </c>
      <c r="Y2772" s="17" t="s">
        <v>78</v>
      </c>
      <c r="AA2772" t="s">
        <v>115</v>
      </c>
      <c r="AB2772" t="s">
        <v>119</v>
      </c>
    </row>
    <row r="2773" ht="15" customHeight="1" spans="1:22" x14ac:dyDescent="0.25">
      <c r="A2773" s="17" t="s">
        <v>8290</v>
      </c>
      <c r="B2773" s="17" t="s">
        <v>70</v>
      </c>
      <c r="C2773" s="17" t="s">
        <v>71</v>
      </c>
      <c r="D2773" t="s">
        <v>8286</v>
      </c>
      <c r="F2773" t="s">
        <v>4669</v>
      </c>
      <c r="K2773" s="18">
        <f>6285939602415</f>
        <v>6285939602415</v>
      </c>
      <c r="N2773" s="17" t="s">
        <v>77</v>
      </c>
      <c r="V2773" s="18">
        <f>6285939602415</f>
        <v>6285939602415</v>
      </c>
    </row>
    <row r="2774" ht="15" customHeight="1" spans="1:22" x14ac:dyDescent="0.25">
      <c r="A2774" s="17" t="s">
        <v>8291</v>
      </c>
      <c r="B2774" s="17" t="s">
        <v>70</v>
      </c>
      <c r="C2774" s="17" t="s">
        <v>71</v>
      </c>
      <c r="D2774" t="s">
        <v>8292</v>
      </c>
      <c r="F2774" t="s">
        <v>8293</v>
      </c>
      <c r="K2774" s="18">
        <f>628151809795</f>
        <v>628151809795</v>
      </c>
      <c r="N2774" s="17" t="s">
        <v>81</v>
      </c>
      <c r="V2774" s="18">
        <f>628151809795</f>
        <v>628151809795</v>
      </c>
    </row>
    <row r="2775" ht="15" customHeight="1" spans="1:28" x14ac:dyDescent="0.25">
      <c r="A2775" s="17" t="s">
        <v>8294</v>
      </c>
      <c r="B2775" s="17" t="s">
        <v>70</v>
      </c>
      <c r="C2775" s="17" t="s">
        <v>71</v>
      </c>
      <c r="D2775" t="s">
        <v>8292</v>
      </c>
      <c r="F2775" t="s">
        <v>8295</v>
      </c>
      <c r="J2775" t="s">
        <v>8296</v>
      </c>
      <c r="K2775" s="18" t="s">
        <v>8297</v>
      </c>
      <c r="N2775" s="17" t="s">
        <v>77</v>
      </c>
      <c r="O2775" t="s">
        <v>117</v>
      </c>
      <c r="V2775" s="18" t="s">
        <v>8297</v>
      </c>
      <c r="Y2775" t="s">
        <v>96</v>
      </c>
      <c r="AA2775" t="s">
        <v>693</v>
      </c>
      <c r="AB2775" t="s">
        <v>119</v>
      </c>
    </row>
    <row r="2776" ht="15" customHeight="1" spans="1:22" x14ac:dyDescent="0.25">
      <c r="A2776" s="17" t="s">
        <v>8298</v>
      </c>
      <c r="B2776" s="17" t="s">
        <v>70</v>
      </c>
      <c r="C2776" s="17" t="s">
        <v>71</v>
      </c>
      <c r="D2776" t="s">
        <v>8299</v>
      </c>
      <c r="F2776" t="s">
        <v>8299</v>
      </c>
      <c r="K2776" s="18">
        <f>628161114804</f>
        <v>628161114804</v>
      </c>
      <c r="N2776" s="17" t="s">
        <v>81</v>
      </c>
      <c r="V2776" s="18">
        <f>628161114804</f>
        <v>628161114804</v>
      </c>
    </row>
    <row r="2777" ht="15" customHeight="1" spans="1:22" x14ac:dyDescent="0.25">
      <c r="A2777" s="17" t="s">
        <v>8300</v>
      </c>
      <c r="B2777" s="17" t="s">
        <v>70</v>
      </c>
      <c r="C2777" s="17" t="s">
        <v>71</v>
      </c>
      <c r="D2777" t="s">
        <v>8301</v>
      </c>
      <c r="F2777" t="s">
        <v>8301</v>
      </c>
      <c r="K2777" s="18">
        <f>6281213409392</f>
        <v>6281213409392</v>
      </c>
      <c r="N2777" s="17" t="s">
        <v>81</v>
      </c>
      <c r="V2777" s="18">
        <f>6281213409392</f>
        <v>6281213409392</v>
      </c>
    </row>
    <row r="2778" ht="15" customHeight="1" spans="1:22" x14ac:dyDescent="0.25">
      <c r="A2778" s="17" t="s">
        <v>8302</v>
      </c>
      <c r="B2778" s="17" t="s">
        <v>70</v>
      </c>
      <c r="C2778" s="17" t="s">
        <v>71</v>
      </c>
      <c r="D2778" t="s">
        <v>8301</v>
      </c>
      <c r="F2778" t="s">
        <v>8301</v>
      </c>
      <c r="K2778" s="18">
        <f>6281381365888</f>
        <v>6281381365888</v>
      </c>
      <c r="N2778" s="17" t="s">
        <v>77</v>
      </c>
      <c r="V2778" s="18">
        <f>6281381365888</f>
        <v>6281381365888</v>
      </c>
    </row>
    <row r="2779" ht="15" customHeight="1" spans="1:23" x14ac:dyDescent="0.25">
      <c r="A2779" s="17" t="s">
        <v>8303</v>
      </c>
      <c r="B2779" s="17" t="s">
        <v>70</v>
      </c>
      <c r="C2779" s="17" t="s">
        <v>71</v>
      </c>
      <c r="D2779" t="s">
        <v>8304</v>
      </c>
      <c r="F2779" t="s">
        <v>3740</v>
      </c>
      <c r="K2779" s="18">
        <f>6281326588915</f>
        <v>6281326588915</v>
      </c>
      <c r="N2779" s="17" t="s">
        <v>81</v>
      </c>
      <c r="U2779" s="17"/>
      <c r="V2779" s="18">
        <f>6281326588915</f>
        <v>6281326588915</v>
      </c>
      <c r="W2779" t="s">
        <v>8305</v>
      </c>
    </row>
    <row r="2780" ht="15" customHeight="1" spans="1:22" x14ac:dyDescent="0.25">
      <c r="A2780" s="17" t="s">
        <v>8306</v>
      </c>
      <c r="B2780" s="17" t="s">
        <v>70</v>
      </c>
      <c r="C2780" s="17" t="s">
        <v>71</v>
      </c>
      <c r="D2780" t="s">
        <v>8307</v>
      </c>
      <c r="F2780" t="s">
        <v>8308</v>
      </c>
      <c r="K2780" s="18">
        <f>6285817325639</f>
        <v>6285817325639</v>
      </c>
      <c r="N2780" s="17" t="s">
        <v>77</v>
      </c>
      <c r="V2780" s="18">
        <f>6285817325639</f>
        <v>6285817325639</v>
      </c>
    </row>
    <row r="2781" ht="15" customHeight="1" spans="1:22" x14ac:dyDescent="0.25">
      <c r="A2781" s="17" t="s">
        <v>8309</v>
      </c>
      <c r="B2781" s="17" t="s">
        <v>70</v>
      </c>
      <c r="C2781" s="17" t="s">
        <v>71</v>
      </c>
      <c r="D2781" t="s">
        <v>8310</v>
      </c>
      <c r="F2781" t="s">
        <v>8311</v>
      </c>
      <c r="K2781" s="18">
        <f>62811963771</f>
        <v>62811963771</v>
      </c>
      <c r="N2781" s="17" t="s">
        <v>81</v>
      </c>
      <c r="V2781" s="18">
        <f>62811963771</f>
        <v>62811963771</v>
      </c>
    </row>
    <row r="2782" ht="15" customHeight="1" spans="1:23" x14ac:dyDescent="0.25">
      <c r="A2782" s="17" t="s">
        <v>8312</v>
      </c>
      <c r="B2782" s="17" t="s">
        <v>70</v>
      </c>
      <c r="C2782" s="17" t="s">
        <v>71</v>
      </c>
      <c r="D2782" t="s">
        <v>8310</v>
      </c>
      <c r="F2782" t="s">
        <v>8313</v>
      </c>
      <c r="K2782" s="18">
        <f>6281356961028</f>
        <v>6281356961028</v>
      </c>
      <c r="N2782" s="17" t="s">
        <v>74</v>
      </c>
      <c r="U2782" s="17"/>
      <c r="V2782" s="18">
        <f>6281356961028</f>
        <v>6281356961028</v>
      </c>
      <c r="W2782" t="s">
        <v>6155</v>
      </c>
    </row>
    <row r="2783" ht="15" customHeight="1" spans="1:28" x14ac:dyDescent="0.25">
      <c r="A2783" s="17" t="s">
        <v>8314</v>
      </c>
      <c r="B2783" s="17" t="s">
        <v>70</v>
      </c>
      <c r="C2783" s="17" t="s">
        <v>71</v>
      </c>
      <c r="D2783" t="s">
        <v>8310</v>
      </c>
      <c r="F2783" t="s">
        <v>672</v>
      </c>
      <c r="J2783" s="17" t="s">
        <v>8315</v>
      </c>
      <c r="K2783" s="18" t="s">
        <v>8316</v>
      </c>
      <c r="N2783" s="17" t="s">
        <v>77</v>
      </c>
      <c r="O2783" t="s">
        <v>117</v>
      </c>
      <c r="U2783" s="17"/>
      <c r="V2783" s="18" t="s">
        <v>8316</v>
      </c>
      <c r="W2783" t="s">
        <v>8317</v>
      </c>
      <c r="Y2783" t="s">
        <v>90</v>
      </c>
      <c r="AA2783" t="s">
        <v>118</v>
      </c>
      <c r="AB2783" t="s">
        <v>119</v>
      </c>
    </row>
    <row r="2784" ht="15" customHeight="1" spans="1:22" x14ac:dyDescent="0.25">
      <c r="A2784" s="17" t="s">
        <v>8318</v>
      </c>
      <c r="B2784" s="17" t="s">
        <v>70</v>
      </c>
      <c r="C2784" s="17" t="s">
        <v>71</v>
      </c>
      <c r="D2784" t="s">
        <v>8319</v>
      </c>
      <c r="F2784" t="s">
        <v>8319</v>
      </c>
      <c r="K2784" s="18">
        <f>62811872518</f>
        <v>62811872518</v>
      </c>
      <c r="N2784" s="17" t="s">
        <v>81</v>
      </c>
      <c r="V2784" s="18">
        <f>62811872518</f>
        <v>62811872518</v>
      </c>
    </row>
    <row r="2785" ht="15" customHeight="1" spans="1:28" x14ac:dyDescent="0.25">
      <c r="A2785" s="17" t="s">
        <v>8320</v>
      </c>
      <c r="B2785" s="17" t="s">
        <v>70</v>
      </c>
      <c r="C2785" s="17" t="s">
        <v>71</v>
      </c>
      <c r="D2785" t="s">
        <v>8319</v>
      </c>
      <c r="F2785" t="s">
        <v>8319</v>
      </c>
      <c r="J2785" t="s">
        <v>115</v>
      </c>
      <c r="K2785" s="18" t="s">
        <v>8321</v>
      </c>
      <c r="N2785" s="17" t="s">
        <v>77</v>
      </c>
      <c r="O2785" t="s">
        <v>117</v>
      </c>
      <c r="V2785" s="18" t="s">
        <v>8321</v>
      </c>
      <c r="Y2785" t="s">
        <v>90</v>
      </c>
      <c r="AA2785" t="s">
        <v>118</v>
      </c>
      <c r="AB2785" t="s">
        <v>119</v>
      </c>
    </row>
    <row r="2786" ht="15" customHeight="1" spans="1:22" x14ac:dyDescent="0.25">
      <c r="A2786" s="17" t="s">
        <v>8322</v>
      </c>
      <c r="B2786" s="17" t="s">
        <v>70</v>
      </c>
      <c r="C2786" s="17" t="s">
        <v>71</v>
      </c>
      <c r="D2786" t="s">
        <v>8323</v>
      </c>
      <c r="F2786" t="s">
        <v>8324</v>
      </c>
      <c r="K2786" s="18">
        <f>628129778719</f>
        <v>628129778719</v>
      </c>
      <c r="N2786" s="17" t="s">
        <v>77</v>
      </c>
      <c r="V2786" s="18">
        <f>628129778719</f>
        <v>628129778719</v>
      </c>
    </row>
    <row r="2787" ht="15" customHeight="1" spans="1:28" x14ac:dyDescent="0.25">
      <c r="A2787" s="17" t="s">
        <v>8325</v>
      </c>
      <c r="B2787" s="17" t="s">
        <v>70</v>
      </c>
      <c r="C2787" s="17" t="s">
        <v>71</v>
      </c>
      <c r="D2787" t="s">
        <v>8326</v>
      </c>
      <c r="F2787" t="s">
        <v>8327</v>
      </c>
      <c r="J2787" t="s">
        <v>115</v>
      </c>
      <c r="K2787" s="18" t="s">
        <v>8328</v>
      </c>
      <c r="N2787" s="17" t="s">
        <v>77</v>
      </c>
      <c r="O2787" t="s">
        <v>145</v>
      </c>
      <c r="U2787" s="17"/>
      <c r="V2787" s="18" t="s">
        <v>8328</v>
      </c>
      <c r="W2787" t="s">
        <v>537</v>
      </c>
      <c r="Y2787" t="s">
        <v>930</v>
      </c>
      <c r="AA2787" t="s">
        <v>115</v>
      </c>
      <c r="AB2787" t="s">
        <v>930</v>
      </c>
    </row>
    <row r="2788" ht="15" customHeight="1" spans="1:22" x14ac:dyDescent="0.25">
      <c r="A2788" s="17" t="s">
        <v>8329</v>
      </c>
      <c r="B2788" s="17" t="s">
        <v>70</v>
      </c>
      <c r="C2788" s="17" t="s">
        <v>71</v>
      </c>
      <c r="D2788" t="s">
        <v>8330</v>
      </c>
      <c r="F2788" t="s">
        <v>8330</v>
      </c>
      <c r="K2788" s="18">
        <f>6281280481111</f>
        <v>6281280481111</v>
      </c>
      <c r="N2788" s="17" t="s">
        <v>77</v>
      </c>
      <c r="V2788" s="18">
        <f>6281280481111</f>
        <v>6281280481111</v>
      </c>
    </row>
    <row r="2789" ht="15" customHeight="1" spans="1:28" x14ac:dyDescent="0.25">
      <c r="A2789" s="17" t="s">
        <v>8331</v>
      </c>
      <c r="B2789" s="17" t="s">
        <v>70</v>
      </c>
      <c r="C2789" s="17" t="s">
        <v>71</v>
      </c>
      <c r="D2789" t="s">
        <v>6324</v>
      </c>
      <c r="F2789" t="s">
        <v>8332</v>
      </c>
      <c r="J2789" s="17" t="s">
        <v>8333</v>
      </c>
      <c r="K2789" s="18" t="s">
        <v>8334</v>
      </c>
      <c r="N2789" s="17" t="s">
        <v>77</v>
      </c>
      <c r="O2789" t="s">
        <v>145</v>
      </c>
      <c r="U2789" s="17"/>
      <c r="V2789" s="18" t="s">
        <v>8334</v>
      </c>
      <c r="W2789" t="s">
        <v>8335</v>
      </c>
      <c r="Y2789" t="s">
        <v>8335</v>
      </c>
      <c r="AA2789" t="s">
        <v>115</v>
      </c>
      <c r="AB2789" t="s">
        <v>119</v>
      </c>
    </row>
    <row r="2790" ht="15" customHeight="1" spans="1:28" x14ac:dyDescent="0.25">
      <c r="A2790" s="17" t="s">
        <v>8336</v>
      </c>
      <c r="B2790" s="17" t="s">
        <v>70</v>
      </c>
      <c r="C2790" s="17" t="s">
        <v>71</v>
      </c>
      <c r="D2790" t="s">
        <v>8337</v>
      </c>
      <c r="F2790" t="s">
        <v>8338</v>
      </c>
      <c r="J2790" t="s">
        <v>115</v>
      </c>
      <c r="K2790" s="18" t="s">
        <v>8339</v>
      </c>
      <c r="N2790" s="17" t="s">
        <v>74</v>
      </c>
      <c r="O2790" t="s">
        <v>117</v>
      </c>
      <c r="U2790" s="17"/>
      <c r="V2790" s="18" t="s">
        <v>8339</v>
      </c>
      <c r="W2790" t="s">
        <v>8340</v>
      </c>
      <c r="Y2790" s="17" t="s">
        <v>1084</v>
      </c>
      <c r="AA2790" s="17" t="s">
        <v>3146</v>
      </c>
      <c r="AB2790" t="s">
        <v>119</v>
      </c>
    </row>
    <row r="2791" ht="15" customHeight="1" spans="1:22" x14ac:dyDescent="0.25">
      <c r="A2791" s="17" t="s">
        <v>8341</v>
      </c>
      <c r="B2791" s="17" t="s">
        <v>70</v>
      </c>
      <c r="C2791" s="17" t="s">
        <v>71</v>
      </c>
      <c r="D2791" t="s">
        <v>8342</v>
      </c>
      <c r="F2791" t="s">
        <v>8343</v>
      </c>
      <c r="K2791" s="18">
        <f>6281380005686</f>
        <v>6281380005686</v>
      </c>
      <c r="N2791" s="17" t="s">
        <v>81</v>
      </c>
      <c r="V2791" s="18">
        <f>6281380005686</f>
        <v>6281380005686</v>
      </c>
    </row>
    <row r="2792" ht="15" customHeight="1" spans="1:25" x14ac:dyDescent="0.25">
      <c r="A2792" s="17" t="s">
        <v>8344</v>
      </c>
      <c r="B2792" s="17" t="s">
        <v>70</v>
      </c>
      <c r="C2792" s="17" t="s">
        <v>71</v>
      </c>
      <c r="D2792" t="s">
        <v>8345</v>
      </c>
      <c r="F2792" t="s">
        <v>8345</v>
      </c>
      <c r="K2792" s="18">
        <f>6281355777291</f>
        <v>6281355777291</v>
      </c>
      <c r="N2792" s="17" t="s">
        <v>77</v>
      </c>
      <c r="U2792" s="17"/>
      <c r="V2792" s="18">
        <f>6281355777291</f>
        <v>6281355777291</v>
      </c>
      <c r="W2792" t="s">
        <v>8346</v>
      </c>
      <c r="Y2792" s="17" t="s">
        <v>7143</v>
      </c>
    </row>
    <row r="2793" ht="15" customHeight="1" spans="1:22" x14ac:dyDescent="0.25">
      <c r="A2793" s="17" t="s">
        <v>8347</v>
      </c>
      <c r="B2793" s="17" t="s">
        <v>70</v>
      </c>
      <c r="C2793" s="17" t="s">
        <v>71</v>
      </c>
      <c r="D2793" t="s">
        <v>8348</v>
      </c>
      <c r="F2793" t="s">
        <v>8349</v>
      </c>
      <c r="K2793" s="18">
        <f>6281381620806</f>
        <v>6281381620806</v>
      </c>
      <c r="N2793" s="17" t="s">
        <v>81</v>
      </c>
      <c r="V2793" s="18">
        <f>6281381620806</f>
        <v>6281381620806</v>
      </c>
    </row>
    <row r="2794" ht="15" customHeight="1" spans="1:22" x14ac:dyDescent="0.25">
      <c r="A2794" s="17" t="s">
        <v>8350</v>
      </c>
      <c r="B2794" s="17" t="s">
        <v>70</v>
      </c>
      <c r="C2794" s="17" t="s">
        <v>71</v>
      </c>
      <c r="D2794" t="s">
        <v>8351</v>
      </c>
      <c r="F2794" t="s">
        <v>8351</v>
      </c>
      <c r="K2794" s="18">
        <f>6281297782006</f>
        <v>6281297782006</v>
      </c>
      <c r="N2794" s="17" t="s">
        <v>81</v>
      </c>
      <c r="V2794" s="18">
        <f>6281297782006</f>
        <v>6281297782006</v>
      </c>
    </row>
    <row r="2795" ht="15" customHeight="1" spans="1:22" x14ac:dyDescent="0.25">
      <c r="A2795" s="17" t="s">
        <v>8352</v>
      </c>
      <c r="B2795" s="17" t="s">
        <v>70</v>
      </c>
      <c r="C2795" s="17" t="s">
        <v>71</v>
      </c>
      <c r="D2795" t="s">
        <v>8353</v>
      </c>
      <c r="F2795" t="s">
        <v>282</v>
      </c>
      <c r="K2795" s="18">
        <f>6281311201212</f>
        <v>6281311201212</v>
      </c>
      <c r="N2795" s="17" t="s">
        <v>81</v>
      </c>
      <c r="V2795" s="18">
        <f>6281311201212</f>
        <v>6281311201212</v>
      </c>
    </row>
    <row r="2796" ht="15" customHeight="1" spans="1:28" x14ac:dyDescent="0.25">
      <c r="A2796" s="17" t="s">
        <v>8354</v>
      </c>
      <c r="B2796" s="17" t="s">
        <v>70</v>
      </c>
      <c r="C2796" s="17" t="s">
        <v>71</v>
      </c>
      <c r="D2796" t="s">
        <v>8355</v>
      </c>
      <c r="F2796" t="s">
        <v>8356</v>
      </c>
      <c r="J2796" s="17" t="s">
        <v>8357</v>
      </c>
      <c r="K2796" s="18" t="s">
        <v>8358</v>
      </c>
      <c r="N2796" s="17" t="s">
        <v>77</v>
      </c>
      <c r="O2796" t="s">
        <v>145</v>
      </c>
      <c r="U2796" s="17"/>
      <c r="V2796" s="18" t="s">
        <v>8358</v>
      </c>
      <c r="W2796" t="s">
        <v>6737</v>
      </c>
      <c r="Y2796" t="s">
        <v>6737</v>
      </c>
      <c r="AA2796" t="s">
        <v>115</v>
      </c>
      <c r="AB2796" t="s">
        <v>6737</v>
      </c>
    </row>
    <row r="2797" ht="15" customHeight="1" spans="1:25" x14ac:dyDescent="0.25">
      <c r="A2797" s="17" t="s">
        <v>8359</v>
      </c>
      <c r="B2797" s="17" t="s">
        <v>70</v>
      </c>
      <c r="C2797" s="17" t="s">
        <v>71</v>
      </c>
      <c r="D2797" t="s">
        <v>8360</v>
      </c>
      <c r="F2797" t="s">
        <v>8361</v>
      </c>
      <c r="J2797" s="17" t="s">
        <v>8362</v>
      </c>
      <c r="K2797" s="18">
        <f>6281212444454</f>
        <v>6281212444454</v>
      </c>
      <c r="N2797" s="17" t="s">
        <v>77</v>
      </c>
      <c r="U2797" s="17"/>
      <c r="V2797" s="18">
        <f>6281212444454</f>
        <v>6281212444454</v>
      </c>
      <c r="W2797" t="s">
        <v>8363</v>
      </c>
      <c r="Y2797" s="17" t="s">
        <v>96</v>
      </c>
    </row>
    <row r="2798" ht="15" customHeight="1" spans="1:28" x14ac:dyDescent="0.25">
      <c r="A2798" s="17" t="s">
        <v>8364</v>
      </c>
      <c r="B2798" s="17" t="s">
        <v>70</v>
      </c>
      <c r="C2798" s="17" t="s">
        <v>71</v>
      </c>
      <c r="D2798" t="s">
        <v>2057</v>
      </c>
      <c r="F2798" t="s">
        <v>8365</v>
      </c>
      <c r="J2798" s="17" t="s">
        <v>8366</v>
      </c>
      <c r="K2798" s="18" t="s">
        <v>8367</v>
      </c>
      <c r="N2798" s="17" t="s">
        <v>74</v>
      </c>
      <c r="O2798" t="s">
        <v>261</v>
      </c>
      <c r="U2798" s="17"/>
      <c r="V2798" s="18" t="s">
        <v>8367</v>
      </c>
      <c r="W2798" t="s">
        <v>8368</v>
      </c>
      <c r="Y2798" s="17" t="s">
        <v>217</v>
      </c>
      <c r="AA2798" s="17" t="s">
        <v>218</v>
      </c>
      <c r="AB2798" t="s">
        <v>119</v>
      </c>
    </row>
    <row r="2799" ht="15" customHeight="1" spans="1:22" x14ac:dyDescent="0.25">
      <c r="A2799" s="17" t="s">
        <v>8369</v>
      </c>
      <c r="B2799" s="17" t="s">
        <v>70</v>
      </c>
      <c r="C2799" s="17" t="s">
        <v>71</v>
      </c>
      <c r="D2799" t="s">
        <v>8370</v>
      </c>
      <c r="F2799" t="s">
        <v>8370</v>
      </c>
      <c r="K2799" s="18">
        <f>62811722927</f>
        <v>62811722927</v>
      </c>
      <c r="N2799" s="17" t="s">
        <v>77</v>
      </c>
      <c r="V2799" s="18">
        <f>62811722927</f>
        <v>62811722927</v>
      </c>
    </row>
    <row r="2800" ht="15" customHeight="1" spans="1:28" x14ac:dyDescent="0.25">
      <c r="A2800" s="17" t="s">
        <v>8371</v>
      </c>
      <c r="B2800" s="17" t="s">
        <v>70</v>
      </c>
      <c r="C2800" s="17" t="s">
        <v>71</v>
      </c>
      <c r="D2800" t="s">
        <v>8370</v>
      </c>
      <c r="F2800" t="s">
        <v>8370</v>
      </c>
      <c r="J2800" t="s">
        <v>115</v>
      </c>
      <c r="K2800" s="18" t="s">
        <v>8372</v>
      </c>
      <c r="N2800" s="17" t="s">
        <v>74</v>
      </c>
      <c r="O2800" t="s">
        <v>261</v>
      </c>
      <c r="V2800" s="18" t="s">
        <v>8372</v>
      </c>
      <c r="Y2800" t="s">
        <v>90</v>
      </c>
      <c r="AA2800" t="s">
        <v>118</v>
      </c>
      <c r="AB2800" t="s">
        <v>119</v>
      </c>
    </row>
    <row r="2801" ht="15" customHeight="1" spans="1:28" x14ac:dyDescent="0.25">
      <c r="A2801" s="17" t="s">
        <v>8373</v>
      </c>
      <c r="B2801" s="17" t="s">
        <v>70</v>
      </c>
      <c r="C2801" s="17" t="s">
        <v>71</v>
      </c>
      <c r="D2801" t="s">
        <v>8374</v>
      </c>
      <c r="F2801" t="s">
        <v>8375</v>
      </c>
      <c r="J2801" s="17" t="s">
        <v>8376</v>
      </c>
      <c r="K2801" s="18" t="s">
        <v>8377</v>
      </c>
      <c r="N2801" s="17" t="s">
        <v>77</v>
      </c>
      <c r="O2801" t="s">
        <v>199</v>
      </c>
      <c r="U2801" s="17"/>
      <c r="V2801" s="18" t="s">
        <v>8377</v>
      </c>
      <c r="W2801" t="s">
        <v>1903</v>
      </c>
      <c r="Y2801" t="s">
        <v>1903</v>
      </c>
      <c r="AA2801" t="s">
        <v>115</v>
      </c>
      <c r="AB2801" t="s">
        <v>1903</v>
      </c>
    </row>
    <row r="2802" ht="15" customHeight="1" spans="1:23" x14ac:dyDescent="0.25">
      <c r="A2802" s="17" t="s">
        <v>8378</v>
      </c>
      <c r="B2802" s="17" t="s">
        <v>70</v>
      </c>
      <c r="C2802" s="17" t="s">
        <v>71</v>
      </c>
      <c r="D2802" t="s">
        <v>8379</v>
      </c>
      <c r="F2802" t="s">
        <v>8380</v>
      </c>
      <c r="K2802" s="18">
        <f>6281283319647</f>
        <v>6281283319647</v>
      </c>
      <c r="N2802" s="17" t="s">
        <v>77</v>
      </c>
      <c r="U2802" s="17"/>
      <c r="V2802" s="18">
        <f>6281283319647</f>
        <v>6281283319647</v>
      </c>
      <c r="W2802" t="s">
        <v>8381</v>
      </c>
    </row>
    <row r="2803" ht="15" customHeight="1" spans="1:23" x14ac:dyDescent="0.25">
      <c r="A2803" s="17" t="s">
        <v>8382</v>
      </c>
      <c r="B2803" s="17" t="s">
        <v>70</v>
      </c>
      <c r="C2803" s="17" t="s">
        <v>71</v>
      </c>
      <c r="D2803" t="s">
        <v>8383</v>
      </c>
      <c r="F2803" t="s">
        <v>8383</v>
      </c>
      <c r="K2803" s="18">
        <f>628122112409</f>
        <v>628122112409</v>
      </c>
      <c r="N2803" s="17" t="s">
        <v>81</v>
      </c>
      <c r="U2803" s="17"/>
      <c r="V2803" s="18">
        <f>628122112409</f>
        <v>628122112409</v>
      </c>
      <c r="W2803" t="s">
        <v>8384</v>
      </c>
    </row>
    <row r="2804" ht="15" customHeight="1" spans="1:23" x14ac:dyDescent="0.25">
      <c r="A2804" s="17" t="s">
        <v>8385</v>
      </c>
      <c r="B2804" s="17" t="s">
        <v>70</v>
      </c>
      <c r="C2804" s="17" t="s">
        <v>71</v>
      </c>
      <c r="D2804" t="s">
        <v>8386</v>
      </c>
      <c r="F2804" t="s">
        <v>8387</v>
      </c>
      <c r="J2804" s="17" t="s">
        <v>8388</v>
      </c>
      <c r="K2804" s="18">
        <f>6281382198888</f>
        <v>6281382198888</v>
      </c>
      <c r="N2804" s="17" t="s">
        <v>81</v>
      </c>
      <c r="U2804" s="17"/>
      <c r="V2804" s="18">
        <f>6281382198888</f>
        <v>6281382198888</v>
      </c>
      <c r="W2804" t="s">
        <v>8389</v>
      </c>
    </row>
    <row r="2805" ht="15" customHeight="1" spans="1:23" x14ac:dyDescent="0.25">
      <c r="A2805" s="17" t="s">
        <v>8390</v>
      </c>
      <c r="B2805" s="17" t="s">
        <v>70</v>
      </c>
      <c r="C2805" s="17" t="s">
        <v>71</v>
      </c>
      <c r="D2805" t="s">
        <v>8391</v>
      </c>
      <c r="F2805" t="s">
        <v>8392</v>
      </c>
      <c r="K2805" s="18">
        <f>8613700606134</f>
        <v>8613700606134</v>
      </c>
      <c r="N2805" s="17" t="s">
        <v>81</v>
      </c>
      <c r="U2805" s="17"/>
      <c r="V2805" s="18">
        <f>8613700606134</f>
        <v>8613700606134</v>
      </c>
      <c r="W2805" t="s">
        <v>6666</v>
      </c>
    </row>
    <row r="2806" ht="15" customHeight="1" spans="1:22" x14ac:dyDescent="0.25">
      <c r="A2806" s="17" t="s">
        <v>8393</v>
      </c>
      <c r="B2806" s="17" t="s">
        <v>70</v>
      </c>
      <c r="C2806" s="17" t="s">
        <v>71</v>
      </c>
      <c r="D2806" t="s">
        <v>8386</v>
      </c>
      <c r="F2806" t="s">
        <v>7315</v>
      </c>
      <c r="K2806" s="18">
        <f>628223348888</f>
        <v>628223348888</v>
      </c>
      <c r="N2806" s="17" t="s">
        <v>77</v>
      </c>
      <c r="V2806" s="18">
        <f>628223348888</f>
        <v>628223348888</v>
      </c>
    </row>
    <row r="2807" ht="15" customHeight="1" spans="1:28" x14ac:dyDescent="0.25">
      <c r="A2807" s="17" t="s">
        <v>8394</v>
      </c>
      <c r="B2807" s="17" t="s">
        <v>70</v>
      </c>
      <c r="C2807" s="17" t="s">
        <v>71</v>
      </c>
      <c r="D2807" t="s">
        <v>8386</v>
      </c>
      <c r="F2807" t="s">
        <v>8395</v>
      </c>
      <c r="J2807" s="17" t="s">
        <v>8396</v>
      </c>
      <c r="K2807" s="18" t="s">
        <v>8397</v>
      </c>
      <c r="N2807" s="17" t="s">
        <v>77</v>
      </c>
      <c r="O2807" t="s">
        <v>117</v>
      </c>
      <c r="U2807" s="17"/>
      <c r="V2807" s="18" t="s">
        <v>8397</v>
      </c>
      <c r="W2807" t="s">
        <v>3140</v>
      </c>
      <c r="Y2807" t="s">
        <v>115</v>
      </c>
      <c r="AA2807" t="s">
        <v>115</v>
      </c>
      <c r="AB2807" t="s">
        <v>3140</v>
      </c>
    </row>
    <row r="2808" ht="15" customHeight="1" spans="1:22" x14ac:dyDescent="0.25">
      <c r="A2808" s="17" t="s">
        <v>8398</v>
      </c>
      <c r="B2808" s="17" t="s">
        <v>70</v>
      </c>
      <c r="C2808" s="17" t="s">
        <v>71</v>
      </c>
      <c r="D2808" t="s">
        <v>8399</v>
      </c>
      <c r="F2808" t="s">
        <v>8400</v>
      </c>
      <c r="K2808" s="18">
        <f>6281311806510</f>
        <v>6281311806510</v>
      </c>
      <c r="N2808" s="17" t="s">
        <v>81</v>
      </c>
      <c r="V2808" s="18">
        <f>6281311806510</f>
        <v>6281311806510</v>
      </c>
    </row>
    <row r="2809" ht="15" customHeight="1" spans="1:25" x14ac:dyDescent="0.25">
      <c r="A2809" s="17" t="s">
        <v>8401</v>
      </c>
      <c r="B2809" s="17" t="s">
        <v>70</v>
      </c>
      <c r="C2809" s="17" t="s">
        <v>71</v>
      </c>
      <c r="D2809" t="s">
        <v>8402</v>
      </c>
      <c r="F2809" t="s">
        <v>8403</v>
      </c>
      <c r="J2809" s="17" t="s">
        <v>8404</v>
      </c>
      <c r="K2809" s="18">
        <f>6287861774878</f>
        <v>6287861774878</v>
      </c>
      <c r="N2809" s="17" t="s">
        <v>77</v>
      </c>
      <c r="U2809" s="17"/>
      <c r="V2809" s="18">
        <f>6287861774878</f>
        <v>6287861774878</v>
      </c>
      <c r="W2809" t="s">
        <v>8405</v>
      </c>
      <c r="Y2809" s="17" t="s">
        <v>8406</v>
      </c>
    </row>
    <row r="2810" ht="15" customHeight="1" spans="1:25" x14ac:dyDescent="0.25">
      <c r="A2810" s="17" t="s">
        <v>8407</v>
      </c>
      <c r="B2810" s="17" t="s">
        <v>70</v>
      </c>
      <c r="C2810" s="17" t="s">
        <v>71</v>
      </c>
      <c r="D2810" t="s">
        <v>8408</v>
      </c>
      <c r="F2810" t="s">
        <v>8409</v>
      </c>
      <c r="K2810" s="18">
        <f>628128198684</f>
        <v>628128198684</v>
      </c>
      <c r="N2810" s="17" t="s">
        <v>77</v>
      </c>
      <c r="U2810" s="17"/>
      <c r="V2810" s="18">
        <f>628128198684</f>
        <v>628128198684</v>
      </c>
      <c r="W2810" t="s">
        <v>8410</v>
      </c>
      <c r="Y2810" s="17" t="s">
        <v>90</v>
      </c>
    </row>
    <row r="2811" ht="15" customHeight="1" spans="1:22" x14ac:dyDescent="0.25">
      <c r="A2811" s="17" t="s">
        <v>8411</v>
      </c>
      <c r="B2811" s="17" t="s">
        <v>70</v>
      </c>
      <c r="C2811" s="17" t="s">
        <v>71</v>
      </c>
      <c r="D2811" t="s">
        <v>8412</v>
      </c>
      <c r="F2811" t="s">
        <v>8413</v>
      </c>
      <c r="K2811" s="18">
        <f>6281511110966</f>
        <v>6281511110966</v>
      </c>
      <c r="N2811" s="17" t="s">
        <v>77</v>
      </c>
      <c r="V2811" s="18">
        <f>6281511110966</f>
        <v>6281511110966</v>
      </c>
    </row>
    <row r="2812" ht="15" customHeight="1" spans="1:22" x14ac:dyDescent="0.25">
      <c r="A2812" s="17" t="s">
        <v>8414</v>
      </c>
      <c r="B2812" s="17" t="s">
        <v>70</v>
      </c>
      <c r="C2812" s="17" t="s">
        <v>71</v>
      </c>
      <c r="D2812" t="s">
        <v>8415</v>
      </c>
      <c r="F2812" t="s">
        <v>8416</v>
      </c>
      <c r="K2812" s="18">
        <f>62818493710</f>
        <v>62818493710</v>
      </c>
      <c r="N2812" s="17" t="s">
        <v>81</v>
      </c>
      <c r="V2812" s="18">
        <f>62818493710</f>
        <v>62818493710</v>
      </c>
    </row>
    <row r="2813" ht="15" customHeight="1" spans="1:22" x14ac:dyDescent="0.25">
      <c r="A2813" s="17" t="s">
        <v>8417</v>
      </c>
      <c r="B2813" s="17" t="s">
        <v>70</v>
      </c>
      <c r="C2813" s="17" t="s">
        <v>71</v>
      </c>
      <c r="D2813" t="s">
        <v>8418</v>
      </c>
      <c r="F2813" t="s">
        <v>8419</v>
      </c>
      <c r="K2813" s="18">
        <f>6281315979712</f>
        <v>6281315979712</v>
      </c>
      <c r="N2813" s="17" t="s">
        <v>81</v>
      </c>
      <c r="V2813" s="18">
        <f>6281315979712</f>
        <v>6281315979712</v>
      </c>
    </row>
    <row r="2814" ht="15" customHeight="1" spans="1:23" x14ac:dyDescent="0.25">
      <c r="A2814" s="17" t="s">
        <v>8420</v>
      </c>
      <c r="B2814" s="17" t="s">
        <v>70</v>
      </c>
      <c r="C2814" s="17" t="s">
        <v>71</v>
      </c>
      <c r="D2814" t="s">
        <v>8421</v>
      </c>
      <c r="F2814" t="s">
        <v>8421</v>
      </c>
      <c r="K2814" s="18">
        <f>628555555551</f>
        <v>628555555551</v>
      </c>
      <c r="N2814" s="17" t="s">
        <v>77</v>
      </c>
      <c r="U2814" s="17"/>
      <c r="V2814" s="18">
        <f>628555555551</f>
        <v>628555555551</v>
      </c>
      <c r="W2814" t="s">
        <v>8422</v>
      </c>
    </row>
    <row r="2815" ht="15" customHeight="1" spans="1:23" x14ac:dyDescent="0.25">
      <c r="A2815" s="17" t="s">
        <v>8423</v>
      </c>
      <c r="B2815" s="17" t="s">
        <v>70</v>
      </c>
      <c r="C2815" s="17" t="s">
        <v>71</v>
      </c>
      <c r="D2815" t="s">
        <v>8424</v>
      </c>
      <c r="F2815" t="s">
        <v>8425</v>
      </c>
      <c r="K2815" s="18">
        <f>61418618409</f>
        <v>61418618409</v>
      </c>
      <c r="N2815" s="17" t="s">
        <v>77</v>
      </c>
      <c r="U2815" s="17"/>
      <c r="V2815" s="18">
        <f>61418618409</f>
        <v>61418618409</v>
      </c>
      <c r="W2815" t="s">
        <v>1903</v>
      </c>
    </row>
    <row r="2816" ht="15" customHeight="1" spans="1:22" x14ac:dyDescent="0.25">
      <c r="A2816" s="17" t="s">
        <v>8426</v>
      </c>
      <c r="B2816" s="17" t="s">
        <v>70</v>
      </c>
      <c r="C2816" s="17" t="s">
        <v>71</v>
      </c>
      <c r="D2816" t="s">
        <v>8427</v>
      </c>
      <c r="F2816" t="s">
        <v>1279</v>
      </c>
      <c r="K2816" s="18">
        <f>6282112797887</f>
        <v>6282112797887</v>
      </c>
      <c r="N2816" s="17" t="s">
        <v>77</v>
      </c>
      <c r="V2816" s="18">
        <f>6282112797887</f>
        <v>6282112797887</v>
      </c>
    </row>
    <row r="2817" ht="15" customHeight="1" spans="1:23" x14ac:dyDescent="0.25">
      <c r="A2817" s="17" t="s">
        <v>8428</v>
      </c>
      <c r="B2817" s="17" t="s">
        <v>70</v>
      </c>
      <c r="C2817" s="17" t="s">
        <v>71</v>
      </c>
      <c r="D2817" t="s">
        <v>8427</v>
      </c>
      <c r="F2817" t="s">
        <v>8429</v>
      </c>
      <c r="K2817" s="18">
        <f>628118085757</f>
        <v>628118085757</v>
      </c>
      <c r="N2817" s="17" t="s">
        <v>77</v>
      </c>
      <c r="U2817" s="17"/>
      <c r="V2817" s="18">
        <f>628118085757</f>
        <v>628118085757</v>
      </c>
      <c r="W2817" t="s">
        <v>8430</v>
      </c>
    </row>
    <row r="2818" ht="15" customHeight="1" spans="1:28" x14ac:dyDescent="0.25">
      <c r="A2818" s="17" t="s">
        <v>8431</v>
      </c>
      <c r="B2818" s="17" t="s">
        <v>70</v>
      </c>
      <c r="C2818" s="17" t="s">
        <v>71</v>
      </c>
      <c r="D2818" t="s">
        <v>8432</v>
      </c>
      <c r="F2818" t="s">
        <v>864</v>
      </c>
      <c r="J2818" t="s">
        <v>8433</v>
      </c>
      <c r="K2818" s="18" t="s">
        <v>8434</v>
      </c>
      <c r="N2818" s="17" t="s">
        <v>77</v>
      </c>
      <c r="O2818" t="s">
        <v>489</v>
      </c>
      <c r="V2818" s="18" t="s">
        <v>8434</v>
      </c>
      <c r="Y2818" t="s">
        <v>622</v>
      </c>
      <c r="AA2818" t="s">
        <v>623</v>
      </c>
      <c r="AB2818" t="s">
        <v>119</v>
      </c>
    </row>
    <row r="2819" ht="15" customHeight="1" spans="1:22" x14ac:dyDescent="0.25">
      <c r="A2819" s="17" t="s">
        <v>8435</v>
      </c>
      <c r="B2819" s="17" t="s">
        <v>70</v>
      </c>
      <c r="C2819" s="17" t="s">
        <v>71</v>
      </c>
      <c r="D2819" t="s">
        <v>8427</v>
      </c>
      <c r="F2819" t="s">
        <v>8436</v>
      </c>
      <c r="K2819" s="18">
        <f>62811957978</f>
        <v>62811957978</v>
      </c>
      <c r="N2819" s="17" t="s">
        <v>77</v>
      </c>
      <c r="V2819" s="18">
        <f>62811957978</f>
        <v>62811957978</v>
      </c>
    </row>
    <row r="2820" ht="15" customHeight="1" spans="1:23" x14ac:dyDescent="0.25">
      <c r="A2820" s="17" t="s">
        <v>8437</v>
      </c>
      <c r="B2820" s="17" t="s">
        <v>70</v>
      </c>
      <c r="C2820" s="17" t="s">
        <v>71</v>
      </c>
      <c r="D2820" t="s">
        <v>8427</v>
      </c>
      <c r="F2820" t="s">
        <v>8438</v>
      </c>
      <c r="J2820" s="17" t="s">
        <v>8439</v>
      </c>
      <c r="K2820" s="18">
        <f>6281316189020</f>
        <v>6281316189020</v>
      </c>
      <c r="N2820" s="17" t="s">
        <v>74</v>
      </c>
      <c r="U2820" s="17"/>
      <c r="V2820" s="18">
        <f>6281316189020</f>
        <v>6281316189020</v>
      </c>
      <c r="W2820" t="s">
        <v>8440</v>
      </c>
    </row>
    <row r="2821" ht="15" customHeight="1" spans="1:23" x14ac:dyDescent="0.25">
      <c r="A2821" s="17" t="s">
        <v>8441</v>
      </c>
      <c r="B2821" s="17" t="s">
        <v>70</v>
      </c>
      <c r="C2821" s="17" t="s">
        <v>71</v>
      </c>
      <c r="D2821" t="s">
        <v>8427</v>
      </c>
      <c r="F2821" t="s">
        <v>8442</v>
      </c>
      <c r="K2821" s="18">
        <f>6281222220244</f>
        <v>6281222220244</v>
      </c>
      <c r="N2821" s="17" t="s">
        <v>81</v>
      </c>
      <c r="U2821" s="17"/>
      <c r="V2821" s="18">
        <f>6281222220244</f>
        <v>6281222220244</v>
      </c>
      <c r="W2821" t="s">
        <v>8443</v>
      </c>
    </row>
    <row r="2822" ht="15" customHeight="1" spans="1:22" x14ac:dyDescent="0.25">
      <c r="A2822" s="17" t="s">
        <v>8444</v>
      </c>
      <c r="B2822" s="17" t="s">
        <v>70</v>
      </c>
      <c r="C2822" s="17" t="s">
        <v>71</v>
      </c>
      <c r="D2822" t="s">
        <v>8427</v>
      </c>
      <c r="F2822" t="s">
        <v>8445</v>
      </c>
      <c r="K2822" s="18">
        <f>628192299977</f>
        <v>628192299977</v>
      </c>
      <c r="N2822" s="17" t="s">
        <v>77</v>
      </c>
      <c r="V2822" s="18">
        <f>628192299977</f>
        <v>628192299977</v>
      </c>
    </row>
    <row r="2823" ht="15" customHeight="1" spans="1:28" x14ac:dyDescent="0.25">
      <c r="A2823" s="17" t="s">
        <v>8446</v>
      </c>
      <c r="B2823" s="17" t="s">
        <v>70</v>
      </c>
      <c r="C2823" s="17" t="s">
        <v>71</v>
      </c>
      <c r="D2823" t="s">
        <v>8447</v>
      </c>
      <c r="F2823" t="s">
        <v>8448</v>
      </c>
      <c r="J2823" t="s">
        <v>8449</v>
      </c>
      <c r="K2823" s="18" t="s">
        <v>8450</v>
      </c>
      <c r="N2823" s="17" t="s">
        <v>77</v>
      </c>
      <c r="O2823" t="s">
        <v>145</v>
      </c>
      <c r="U2823" s="17"/>
      <c r="V2823" s="18" t="s">
        <v>8450</v>
      </c>
      <c r="W2823" t="s">
        <v>8451</v>
      </c>
      <c r="Y2823" t="s">
        <v>200</v>
      </c>
      <c r="AA2823" t="s">
        <v>115</v>
      </c>
      <c r="AB2823" t="s">
        <v>119</v>
      </c>
    </row>
    <row r="2824" ht="15" customHeight="1" spans="1:22" x14ac:dyDescent="0.25">
      <c r="A2824" s="17" t="s">
        <v>8452</v>
      </c>
      <c r="B2824" s="17" t="s">
        <v>70</v>
      </c>
      <c r="C2824" s="17" t="s">
        <v>71</v>
      </c>
      <c r="D2824" t="s">
        <v>8427</v>
      </c>
      <c r="F2824" t="s">
        <v>8453</v>
      </c>
      <c r="K2824" s="18">
        <f>62811905374</f>
        <v>62811905374</v>
      </c>
      <c r="N2824" s="17" t="s">
        <v>77</v>
      </c>
      <c r="V2824" s="18">
        <f>62811905374</f>
        <v>62811905374</v>
      </c>
    </row>
    <row r="2825" ht="15" customHeight="1" spans="1:22" x14ac:dyDescent="0.25">
      <c r="A2825" s="17" t="s">
        <v>8454</v>
      </c>
      <c r="B2825" s="17" t="s">
        <v>70</v>
      </c>
      <c r="C2825" s="17" t="s">
        <v>71</v>
      </c>
      <c r="D2825" t="s">
        <v>8427</v>
      </c>
      <c r="F2825" t="s">
        <v>8455</v>
      </c>
      <c r="K2825" s="18">
        <f>62811943382</f>
        <v>62811943382</v>
      </c>
      <c r="N2825" s="17" t="s">
        <v>81</v>
      </c>
      <c r="V2825" s="18">
        <f>62811943382</f>
        <v>62811943382</v>
      </c>
    </row>
    <row r="2826" ht="15" customHeight="1" spans="1:28" x14ac:dyDescent="0.25">
      <c r="A2826" s="17" t="s">
        <v>8456</v>
      </c>
      <c r="B2826" s="17" t="s">
        <v>70</v>
      </c>
      <c r="C2826" s="17" t="s">
        <v>71</v>
      </c>
      <c r="D2826" t="s">
        <v>8427</v>
      </c>
      <c r="F2826" t="s">
        <v>8457</v>
      </c>
      <c r="J2826" s="17" t="s">
        <v>8458</v>
      </c>
      <c r="K2826" s="18" t="s">
        <v>8459</v>
      </c>
      <c r="N2826" s="17" t="s">
        <v>74</v>
      </c>
      <c r="O2826" t="s">
        <v>117</v>
      </c>
      <c r="U2826" s="17"/>
      <c r="V2826" s="18" t="s">
        <v>8459</v>
      </c>
      <c r="W2826" t="s">
        <v>8460</v>
      </c>
      <c r="Y2826" t="s">
        <v>96</v>
      </c>
      <c r="AA2826" t="s">
        <v>693</v>
      </c>
      <c r="AB2826" t="s">
        <v>119</v>
      </c>
    </row>
    <row r="2827" ht="15" customHeight="1" spans="1:22" x14ac:dyDescent="0.25">
      <c r="A2827" s="17" t="s">
        <v>8461</v>
      </c>
      <c r="B2827" s="17" t="s">
        <v>70</v>
      </c>
      <c r="C2827" s="17" t="s">
        <v>71</v>
      </c>
      <c r="D2827" t="s">
        <v>8462</v>
      </c>
      <c r="F2827" t="s">
        <v>8463</v>
      </c>
      <c r="K2827" s="18">
        <f>628159631088</f>
        <v>628159631088</v>
      </c>
      <c r="N2827" s="17" t="s">
        <v>77</v>
      </c>
      <c r="V2827" s="18">
        <f>628159631088</f>
        <v>628159631088</v>
      </c>
    </row>
    <row r="2828" ht="15" customHeight="1" spans="1:22" x14ac:dyDescent="0.25">
      <c r="A2828" s="17" t="s">
        <v>8464</v>
      </c>
      <c r="B2828" s="17" t="s">
        <v>70</v>
      </c>
      <c r="C2828" s="17" t="s">
        <v>71</v>
      </c>
      <c r="D2828" t="s">
        <v>8465</v>
      </c>
      <c r="F2828" t="s">
        <v>8466</v>
      </c>
      <c r="K2828" s="18">
        <f>62811661255</f>
        <v>62811661255</v>
      </c>
      <c r="N2828" s="17" t="s">
        <v>81</v>
      </c>
      <c r="V2828" s="18">
        <f>62811661255</f>
        <v>62811661255</v>
      </c>
    </row>
    <row r="2829" ht="15" customHeight="1" spans="1:22" x14ac:dyDescent="0.25">
      <c r="A2829" s="17" t="s">
        <v>8467</v>
      </c>
      <c r="B2829" s="17" t="s">
        <v>70</v>
      </c>
      <c r="C2829" s="17" t="s">
        <v>71</v>
      </c>
      <c r="D2829" t="s">
        <v>8468</v>
      </c>
      <c r="F2829" t="s">
        <v>8468</v>
      </c>
      <c r="K2829" s="18">
        <f>6281324908787</f>
        <v>6281324908787</v>
      </c>
      <c r="N2829" s="17" t="s">
        <v>77</v>
      </c>
      <c r="V2829" s="18">
        <f>6281324908787</f>
        <v>6281324908787</v>
      </c>
    </row>
    <row r="2830" ht="15" customHeight="1" spans="1:28" x14ac:dyDescent="0.25">
      <c r="A2830" s="17" t="s">
        <v>8469</v>
      </c>
      <c r="B2830" s="17" t="s">
        <v>70</v>
      </c>
      <c r="C2830" s="17" t="s">
        <v>71</v>
      </c>
      <c r="D2830" t="s">
        <v>8468</v>
      </c>
      <c r="F2830" t="s">
        <v>8468</v>
      </c>
      <c r="J2830" t="s">
        <v>115</v>
      </c>
      <c r="K2830" s="18" t="s">
        <v>8470</v>
      </c>
      <c r="N2830" s="17" t="s">
        <v>77</v>
      </c>
      <c r="O2830" t="s">
        <v>117</v>
      </c>
      <c r="V2830" s="18" t="s">
        <v>8470</v>
      </c>
      <c r="Y2830" t="s">
        <v>90</v>
      </c>
      <c r="AA2830" t="s">
        <v>118</v>
      </c>
      <c r="AB2830" t="s">
        <v>119</v>
      </c>
    </row>
    <row r="2831" ht="15" customHeight="1" spans="1:22" x14ac:dyDescent="0.25">
      <c r="A2831" s="17" t="s">
        <v>8471</v>
      </c>
      <c r="B2831" s="17" t="s">
        <v>70</v>
      </c>
      <c r="C2831" s="17" t="s">
        <v>71</v>
      </c>
      <c r="D2831" t="s">
        <v>8468</v>
      </c>
      <c r="F2831" t="s">
        <v>2381</v>
      </c>
      <c r="J2831" s="17" t="s">
        <v>8472</v>
      </c>
      <c r="K2831" s="18">
        <f>6281285855868</f>
        <v>6281285855868</v>
      </c>
      <c r="N2831" s="17" t="s">
        <v>77</v>
      </c>
      <c r="V2831" s="18">
        <f>6281285855868</f>
        <v>6281285855868</v>
      </c>
    </row>
    <row r="2832" ht="15" customHeight="1" spans="1:25" x14ac:dyDescent="0.25">
      <c r="A2832" s="17" t="s">
        <v>8473</v>
      </c>
      <c r="B2832" s="17" t="s">
        <v>70</v>
      </c>
      <c r="C2832" s="17" t="s">
        <v>71</v>
      </c>
      <c r="D2832" t="s">
        <v>8468</v>
      </c>
      <c r="F2832" t="s">
        <v>3197</v>
      </c>
      <c r="J2832" s="17" t="s">
        <v>8474</v>
      </c>
      <c r="K2832" s="18">
        <f>628113022599</f>
        <v>628113022599</v>
      </c>
      <c r="N2832" s="17" t="s">
        <v>77</v>
      </c>
      <c r="U2832" s="17"/>
      <c r="V2832" s="18">
        <f>628113022599</f>
        <v>628113022599</v>
      </c>
      <c r="W2832" t="s">
        <v>704</v>
      </c>
      <c r="Y2832" s="17" t="s">
        <v>704</v>
      </c>
    </row>
    <row r="2833" ht="15" customHeight="1" spans="1:23" x14ac:dyDescent="0.25">
      <c r="A2833" s="17" t="s">
        <v>8475</v>
      </c>
      <c r="B2833" s="17" t="s">
        <v>70</v>
      </c>
      <c r="C2833" s="17" t="s">
        <v>71</v>
      </c>
      <c r="D2833" t="s">
        <v>8468</v>
      </c>
      <c r="F2833" t="s">
        <v>8476</v>
      </c>
      <c r="K2833" s="18">
        <f>628121266688</f>
        <v>628121266688</v>
      </c>
      <c r="N2833" s="17" t="s">
        <v>77</v>
      </c>
      <c r="U2833" s="17"/>
      <c r="V2833" s="18">
        <f>628121266688</f>
        <v>628121266688</v>
      </c>
      <c r="W2833" t="s">
        <v>8477</v>
      </c>
    </row>
    <row r="2834" ht="15" customHeight="1" spans="1:22" x14ac:dyDescent="0.25">
      <c r="A2834" s="17" t="s">
        <v>8478</v>
      </c>
      <c r="B2834" s="17" t="s">
        <v>70</v>
      </c>
      <c r="C2834" s="17" t="s">
        <v>71</v>
      </c>
      <c r="D2834" t="s">
        <v>8468</v>
      </c>
      <c r="F2834" t="s">
        <v>6671</v>
      </c>
      <c r="K2834" s="18">
        <f>628121061188</f>
        <v>628121061188</v>
      </c>
      <c r="N2834" s="17" t="s">
        <v>77</v>
      </c>
      <c r="V2834" s="18">
        <f>628121061188</f>
        <v>628121061188</v>
      </c>
    </row>
    <row r="2835" ht="15" customHeight="1" spans="1:22" x14ac:dyDescent="0.25">
      <c r="A2835" s="17" t="s">
        <v>8479</v>
      </c>
      <c r="B2835" s="17" t="s">
        <v>70</v>
      </c>
      <c r="C2835" s="17" t="s">
        <v>71</v>
      </c>
      <c r="D2835" t="s">
        <v>8468</v>
      </c>
      <c r="F2835" t="s">
        <v>2999</v>
      </c>
      <c r="K2835" s="18">
        <f>62816996539</f>
        <v>62816996539</v>
      </c>
      <c r="N2835" s="17" t="s">
        <v>81</v>
      </c>
      <c r="V2835" s="18">
        <f>62816996539</f>
        <v>62816996539</v>
      </c>
    </row>
    <row r="2836" ht="15" customHeight="1" spans="1:25" x14ac:dyDescent="0.25">
      <c r="A2836" s="17" t="s">
        <v>8480</v>
      </c>
      <c r="B2836" s="17" t="s">
        <v>70</v>
      </c>
      <c r="C2836" s="17" t="s">
        <v>71</v>
      </c>
      <c r="D2836" t="s">
        <v>8468</v>
      </c>
      <c r="F2836" t="s">
        <v>2999</v>
      </c>
      <c r="J2836" s="17" t="s">
        <v>8481</v>
      </c>
      <c r="K2836" s="18">
        <f>62215256687</f>
        <v>62215256687</v>
      </c>
      <c r="N2836" s="17" t="s">
        <v>77</v>
      </c>
      <c r="U2836" s="17"/>
      <c r="V2836" s="18">
        <f>62215256687</f>
        <v>62215256687</v>
      </c>
      <c r="W2836" t="s">
        <v>8482</v>
      </c>
      <c r="Y2836" s="17" t="s">
        <v>96</v>
      </c>
    </row>
    <row r="2837" ht="15" customHeight="1" spans="1:22" x14ac:dyDescent="0.25">
      <c r="A2837" s="17" t="s">
        <v>8483</v>
      </c>
      <c r="B2837" s="17" t="s">
        <v>70</v>
      </c>
      <c r="C2837" s="17" t="s">
        <v>71</v>
      </c>
      <c r="D2837" t="s">
        <v>8468</v>
      </c>
      <c r="F2837" t="s">
        <v>8484</v>
      </c>
      <c r="K2837" s="18">
        <f>6281380001011</f>
        <v>6281380001011</v>
      </c>
      <c r="N2837" s="17" t="s">
        <v>77</v>
      </c>
      <c r="V2837" s="18">
        <f>6281380001011</f>
        <v>6281380001011</v>
      </c>
    </row>
    <row r="2838" ht="15" customHeight="1" spans="1:28" x14ac:dyDescent="0.25">
      <c r="A2838" s="17" t="s">
        <v>8485</v>
      </c>
      <c r="B2838" s="17" t="s">
        <v>70</v>
      </c>
      <c r="C2838" s="17" t="s">
        <v>71</v>
      </c>
      <c r="D2838" t="s">
        <v>8468</v>
      </c>
      <c r="F2838" t="s">
        <v>8486</v>
      </c>
      <c r="J2838" t="s">
        <v>115</v>
      </c>
      <c r="K2838" s="18" t="s">
        <v>8487</v>
      </c>
      <c r="N2838" s="17" t="s">
        <v>77</v>
      </c>
      <c r="O2838" t="s">
        <v>199</v>
      </c>
      <c r="V2838" s="18" t="s">
        <v>8487</v>
      </c>
      <c r="Y2838" t="s">
        <v>6306</v>
      </c>
      <c r="AA2838" t="s">
        <v>115</v>
      </c>
      <c r="AB2838" t="s">
        <v>119</v>
      </c>
    </row>
    <row r="2839" ht="15" customHeight="1" spans="1:23" x14ac:dyDescent="0.25">
      <c r="A2839" s="17" t="s">
        <v>8488</v>
      </c>
      <c r="B2839" s="17" t="s">
        <v>70</v>
      </c>
      <c r="C2839" s="17" t="s">
        <v>71</v>
      </c>
      <c r="D2839" t="s">
        <v>8468</v>
      </c>
      <c r="F2839" t="s">
        <v>7657</v>
      </c>
      <c r="K2839" s="18">
        <f>628119159599</f>
        <v>628119159599</v>
      </c>
      <c r="N2839" s="17" t="s">
        <v>81</v>
      </c>
      <c r="U2839" s="17"/>
      <c r="V2839" s="18">
        <f>628119159599</f>
        <v>628119159599</v>
      </c>
      <c r="W2839" t="s">
        <v>8489</v>
      </c>
    </row>
    <row r="2840" ht="15" customHeight="1" spans="1:22" x14ac:dyDescent="0.25">
      <c r="A2840" s="17" t="s">
        <v>8490</v>
      </c>
      <c r="B2840" s="17" t="s">
        <v>70</v>
      </c>
      <c r="C2840" s="17" t="s">
        <v>71</v>
      </c>
      <c r="D2840" t="s">
        <v>8468</v>
      </c>
      <c r="F2840" t="s">
        <v>2541</v>
      </c>
      <c r="K2840" s="18">
        <f>62811843868</f>
        <v>62811843868</v>
      </c>
      <c r="N2840" s="17" t="s">
        <v>77</v>
      </c>
      <c r="V2840" s="18">
        <f>62811843868</f>
        <v>62811843868</v>
      </c>
    </row>
    <row r="2841" ht="15" customHeight="1" spans="1:25" x14ac:dyDescent="0.25">
      <c r="A2841" s="17" t="s">
        <v>8491</v>
      </c>
      <c r="B2841" s="17" t="s">
        <v>70</v>
      </c>
      <c r="C2841" s="17" t="s">
        <v>71</v>
      </c>
      <c r="D2841" t="s">
        <v>8468</v>
      </c>
      <c r="F2841" t="s">
        <v>8492</v>
      </c>
      <c r="K2841" s="18">
        <f>6281298239867</f>
        <v>6281298239867</v>
      </c>
      <c r="N2841" s="17" t="s">
        <v>77</v>
      </c>
      <c r="U2841" s="17"/>
      <c r="V2841" s="18">
        <f>6281298239867</f>
        <v>6281298239867</v>
      </c>
      <c r="W2841" t="s">
        <v>8493</v>
      </c>
      <c r="Y2841" s="17" t="s">
        <v>8494</v>
      </c>
    </row>
    <row r="2842" ht="15" customHeight="1" spans="1:22" x14ac:dyDescent="0.25">
      <c r="A2842" s="17" t="s">
        <v>8495</v>
      </c>
      <c r="B2842" s="17" t="s">
        <v>70</v>
      </c>
      <c r="C2842" s="17" t="s">
        <v>71</v>
      </c>
      <c r="D2842" t="s">
        <v>8468</v>
      </c>
      <c r="F2842" t="s">
        <v>4918</v>
      </c>
      <c r="K2842" s="18">
        <f>6281585596789</f>
        <v>6281585596789</v>
      </c>
      <c r="N2842" s="17" t="s">
        <v>77</v>
      </c>
      <c r="V2842" s="18">
        <f>6281585596789</f>
        <v>6281585596789</v>
      </c>
    </row>
    <row r="2843" ht="15" customHeight="1" spans="1:25" x14ac:dyDescent="0.25">
      <c r="A2843" s="17" t="s">
        <v>8496</v>
      </c>
      <c r="B2843" s="17" t="s">
        <v>70</v>
      </c>
      <c r="C2843" s="17" t="s">
        <v>71</v>
      </c>
      <c r="D2843" t="s">
        <v>8497</v>
      </c>
      <c r="F2843" t="s">
        <v>8498</v>
      </c>
      <c r="J2843" s="17" t="s">
        <v>8499</v>
      </c>
      <c r="K2843" s="18">
        <f>62811368777</f>
        <v>62811368777</v>
      </c>
      <c r="N2843" s="17" t="s">
        <v>77</v>
      </c>
      <c r="U2843" s="17"/>
      <c r="V2843" s="18">
        <f>62811368777</f>
        <v>62811368777</v>
      </c>
      <c r="W2843" t="s">
        <v>8500</v>
      </c>
      <c r="Y2843" s="17" t="s">
        <v>704</v>
      </c>
    </row>
    <row r="2844" ht="15" customHeight="1" spans="1:22" x14ac:dyDescent="0.25">
      <c r="A2844" s="17" t="s">
        <v>8501</v>
      </c>
      <c r="B2844" s="17" t="s">
        <v>70</v>
      </c>
      <c r="C2844" s="17" t="s">
        <v>71</v>
      </c>
      <c r="D2844" t="s">
        <v>8502</v>
      </c>
      <c r="F2844" t="s">
        <v>209</v>
      </c>
      <c r="K2844" s="18">
        <f>6281218630006</f>
        <v>6281218630006</v>
      </c>
      <c r="N2844" s="17" t="s">
        <v>77</v>
      </c>
      <c r="V2844" s="18">
        <f>6281218630006</f>
        <v>6281218630006</v>
      </c>
    </row>
    <row r="2845" ht="15" customHeight="1" spans="1:28" x14ac:dyDescent="0.25">
      <c r="A2845" s="17" t="s">
        <v>8503</v>
      </c>
      <c r="B2845" s="17" t="s">
        <v>70</v>
      </c>
      <c r="C2845" s="17" t="s">
        <v>71</v>
      </c>
      <c r="D2845" t="s">
        <v>8504</v>
      </c>
      <c r="F2845" t="s">
        <v>8505</v>
      </c>
      <c r="J2845" s="17" t="s">
        <v>8506</v>
      </c>
      <c r="K2845" s="18" t="s">
        <v>8507</v>
      </c>
      <c r="N2845" s="17" t="s">
        <v>77</v>
      </c>
      <c r="O2845" t="s">
        <v>199</v>
      </c>
      <c r="V2845" s="18" t="s">
        <v>8507</v>
      </c>
      <c r="Y2845" t="s">
        <v>115</v>
      </c>
      <c r="AA2845" t="s">
        <v>115</v>
      </c>
      <c r="AB2845" t="s">
        <v>119</v>
      </c>
    </row>
    <row r="2846" ht="15" customHeight="1" spans="1:22" x14ac:dyDescent="0.25">
      <c r="A2846" s="17" t="s">
        <v>8508</v>
      </c>
      <c r="B2846" s="17" t="s">
        <v>70</v>
      </c>
      <c r="C2846" s="17" t="s">
        <v>71</v>
      </c>
      <c r="D2846" t="s">
        <v>8509</v>
      </c>
      <c r="F2846" t="s">
        <v>8510</v>
      </c>
      <c r="K2846" s="18">
        <f>6282172202080</f>
        <v>6282172202080</v>
      </c>
      <c r="N2846" s="17" t="s">
        <v>77</v>
      </c>
      <c r="V2846" s="18">
        <f>6282172202080</f>
        <v>6282172202080</v>
      </c>
    </row>
    <row r="2847" ht="15" customHeight="1" spans="1:22" x14ac:dyDescent="0.25">
      <c r="A2847" s="17" t="s">
        <v>8511</v>
      </c>
      <c r="B2847" s="17" t="s">
        <v>70</v>
      </c>
      <c r="C2847" s="17" t="s">
        <v>71</v>
      </c>
      <c r="D2847" t="s">
        <v>8512</v>
      </c>
      <c r="F2847" t="s">
        <v>8512</v>
      </c>
      <c r="K2847" s="18">
        <f>628151806071</f>
        <v>628151806071</v>
      </c>
      <c r="N2847" s="17" t="s">
        <v>77</v>
      </c>
      <c r="V2847" s="18">
        <f>628151806071</f>
        <v>628151806071</v>
      </c>
    </row>
    <row r="2848" ht="15" customHeight="1" spans="1:22" x14ac:dyDescent="0.25">
      <c r="A2848" s="17" t="s">
        <v>8513</v>
      </c>
      <c r="B2848" s="17" t="s">
        <v>70</v>
      </c>
      <c r="C2848" s="17" t="s">
        <v>71</v>
      </c>
      <c r="D2848" t="s">
        <v>8514</v>
      </c>
      <c r="F2848" t="s">
        <v>8515</v>
      </c>
      <c r="K2848" s="18">
        <f>6281211382211</f>
        <v>6281211382211</v>
      </c>
      <c r="N2848" s="17" t="s">
        <v>81</v>
      </c>
      <c r="V2848" s="18">
        <f>6281211382211</f>
        <v>6281211382211</v>
      </c>
    </row>
    <row r="2849" ht="15" customHeight="1" spans="1:22" x14ac:dyDescent="0.25">
      <c r="A2849" s="17" t="s">
        <v>8516</v>
      </c>
      <c r="B2849" s="17" t="s">
        <v>70</v>
      </c>
      <c r="C2849" s="17" t="s">
        <v>71</v>
      </c>
      <c r="D2849" t="s">
        <v>8517</v>
      </c>
      <c r="F2849" t="s">
        <v>8517</v>
      </c>
      <c r="K2849" s="18">
        <f>62817772787</f>
        <v>62817772787</v>
      </c>
      <c r="N2849" s="17" t="s">
        <v>77</v>
      </c>
      <c r="V2849" s="18">
        <f>62817772787</f>
        <v>62817772787</v>
      </c>
    </row>
    <row r="2850" ht="15" customHeight="1" spans="1:22" x14ac:dyDescent="0.25">
      <c r="A2850" s="17" t="s">
        <v>8518</v>
      </c>
      <c r="B2850" s="17" t="s">
        <v>70</v>
      </c>
      <c r="C2850" s="17" t="s">
        <v>71</v>
      </c>
      <c r="D2850" t="s">
        <v>8519</v>
      </c>
      <c r="F2850" t="s">
        <v>8520</v>
      </c>
      <c r="K2850" s="18">
        <f>628170110805</f>
        <v>628170110805</v>
      </c>
      <c r="N2850" s="17" t="s">
        <v>77</v>
      </c>
      <c r="V2850" s="18">
        <f>628170110805</f>
        <v>628170110805</v>
      </c>
    </row>
    <row r="2851" ht="15" customHeight="1" spans="1:22" x14ac:dyDescent="0.25">
      <c r="A2851" s="17" t="s">
        <v>8521</v>
      </c>
      <c r="B2851" s="17" t="s">
        <v>70</v>
      </c>
      <c r="C2851" s="17" t="s">
        <v>71</v>
      </c>
      <c r="D2851" t="s">
        <v>8522</v>
      </c>
      <c r="F2851" t="s">
        <v>8522</v>
      </c>
      <c r="K2851" s="18">
        <f>6281388099735</f>
        <v>6281388099735</v>
      </c>
      <c r="N2851" s="17" t="s">
        <v>77</v>
      </c>
      <c r="V2851" s="18">
        <f>6281388099735</f>
        <v>6281388099735</v>
      </c>
    </row>
    <row r="2852" ht="15" customHeight="1" spans="1:23" x14ac:dyDescent="0.25">
      <c r="A2852" s="17" t="s">
        <v>8523</v>
      </c>
      <c r="B2852" s="17" t="s">
        <v>70</v>
      </c>
      <c r="C2852" s="17" t="s">
        <v>71</v>
      </c>
      <c r="D2852" t="s">
        <v>8524</v>
      </c>
      <c r="F2852" t="s">
        <v>8524</v>
      </c>
      <c r="J2852" s="17" t="s">
        <v>8525</v>
      </c>
      <c r="K2852" s="18">
        <f>6287822522235</f>
        <v>6287822522235</v>
      </c>
      <c r="N2852" s="17" t="s">
        <v>81</v>
      </c>
      <c r="U2852" s="17"/>
      <c r="V2852" s="18">
        <f>6287822522235</f>
        <v>6287822522235</v>
      </c>
      <c r="W2852" t="s">
        <v>8526</v>
      </c>
    </row>
    <row r="2853" ht="15" customHeight="1" spans="1:28" x14ac:dyDescent="0.25">
      <c r="A2853" s="17" t="s">
        <v>8527</v>
      </c>
      <c r="B2853" s="17" t="s">
        <v>70</v>
      </c>
      <c r="C2853" s="17" t="s">
        <v>71</v>
      </c>
      <c r="D2853" t="s">
        <v>8528</v>
      </c>
      <c r="F2853" t="s">
        <v>8529</v>
      </c>
      <c r="J2853" t="s">
        <v>115</v>
      </c>
      <c r="K2853" s="18" t="s">
        <v>8530</v>
      </c>
      <c r="N2853" s="17" t="s">
        <v>77</v>
      </c>
      <c r="O2853" t="s">
        <v>261</v>
      </c>
      <c r="U2853" s="17"/>
      <c r="V2853" s="18" t="s">
        <v>8530</v>
      </c>
      <c r="W2853" t="s">
        <v>8531</v>
      </c>
      <c r="Y2853" t="s">
        <v>90</v>
      </c>
      <c r="AA2853" t="s">
        <v>118</v>
      </c>
      <c r="AB2853" t="s">
        <v>119</v>
      </c>
    </row>
    <row r="2854" ht="15" customHeight="1" spans="1:28" x14ac:dyDescent="0.25">
      <c r="A2854" s="17" t="s">
        <v>8532</v>
      </c>
      <c r="B2854" s="17" t="s">
        <v>70</v>
      </c>
      <c r="C2854" s="17" t="s">
        <v>71</v>
      </c>
      <c r="D2854" t="s">
        <v>8533</v>
      </c>
      <c r="F2854" t="s">
        <v>8534</v>
      </c>
      <c r="J2854" s="17" t="s">
        <v>8535</v>
      </c>
      <c r="K2854" s="18" t="s">
        <v>8536</v>
      </c>
      <c r="N2854" s="17" t="s">
        <v>77</v>
      </c>
      <c r="O2854" t="s">
        <v>489</v>
      </c>
      <c r="V2854" s="18" t="s">
        <v>8536</v>
      </c>
      <c r="Y2854" t="s">
        <v>490</v>
      </c>
      <c r="AA2854" t="s">
        <v>115</v>
      </c>
      <c r="AB2854" t="s">
        <v>119</v>
      </c>
    </row>
    <row r="2855" ht="15" customHeight="1" spans="1:22" x14ac:dyDescent="0.25">
      <c r="A2855" s="17" t="s">
        <v>8537</v>
      </c>
      <c r="B2855" s="17" t="s">
        <v>70</v>
      </c>
      <c r="C2855" s="17" t="s">
        <v>71</v>
      </c>
      <c r="D2855" t="s">
        <v>8533</v>
      </c>
      <c r="F2855" t="s">
        <v>8538</v>
      </c>
      <c r="K2855" s="18">
        <v>616890453</v>
      </c>
      <c r="N2855" s="17" t="s">
        <v>81</v>
      </c>
      <c r="V2855" s="18">
        <v>616890453</v>
      </c>
    </row>
    <row r="2856" ht="15" customHeight="1" spans="1:25" x14ac:dyDescent="0.25">
      <c r="A2856" s="17" t="s">
        <v>8539</v>
      </c>
      <c r="B2856" s="17" t="s">
        <v>70</v>
      </c>
      <c r="C2856" s="17" t="s">
        <v>71</v>
      </c>
      <c r="D2856" t="s">
        <v>8540</v>
      </c>
      <c r="F2856" t="s">
        <v>8541</v>
      </c>
      <c r="K2856" s="18">
        <f>62811582844</f>
        <v>62811582844</v>
      </c>
      <c r="N2856" s="17" t="s">
        <v>77</v>
      </c>
      <c r="U2856" s="17"/>
      <c r="V2856" s="18">
        <f>62811582844</f>
        <v>62811582844</v>
      </c>
      <c r="W2856" t="s">
        <v>8542</v>
      </c>
      <c r="Y2856" s="17" t="s">
        <v>3195</v>
      </c>
    </row>
    <row r="2857" ht="15" customHeight="1" spans="1:28" x14ac:dyDescent="0.25">
      <c r="A2857" s="17" t="s">
        <v>8543</v>
      </c>
      <c r="B2857" s="17" t="s">
        <v>70</v>
      </c>
      <c r="C2857" s="17" t="s">
        <v>71</v>
      </c>
      <c r="D2857" t="s">
        <v>8544</v>
      </c>
      <c r="F2857" t="s">
        <v>8545</v>
      </c>
      <c r="J2857" s="17" t="s">
        <v>8546</v>
      </c>
      <c r="K2857" s="18" t="s">
        <v>8547</v>
      </c>
      <c r="N2857" s="17" t="s">
        <v>77</v>
      </c>
      <c r="O2857" t="s">
        <v>117</v>
      </c>
      <c r="U2857" s="17"/>
      <c r="V2857" s="18" t="s">
        <v>8547</v>
      </c>
      <c r="W2857" t="s">
        <v>3140</v>
      </c>
      <c r="Y2857" t="s">
        <v>115</v>
      </c>
      <c r="AA2857" t="s">
        <v>115</v>
      </c>
      <c r="AB2857" t="s">
        <v>3140</v>
      </c>
    </row>
    <row r="2858" ht="15" customHeight="1" spans="1:23" x14ac:dyDescent="0.25">
      <c r="A2858" s="17" t="s">
        <v>8548</v>
      </c>
      <c r="B2858" s="17" t="s">
        <v>70</v>
      </c>
      <c r="C2858" s="17" t="s">
        <v>71</v>
      </c>
      <c r="D2858" t="s">
        <v>8549</v>
      </c>
      <c r="F2858" t="s">
        <v>8550</v>
      </c>
      <c r="K2858" s="18">
        <f>8613578727240</f>
        <v>8613578727240</v>
      </c>
      <c r="N2858" s="17" t="s">
        <v>77</v>
      </c>
      <c r="U2858" s="17"/>
      <c r="V2858" s="18">
        <f>8613578727240</f>
        <v>8613578727240</v>
      </c>
      <c r="W2858" t="s">
        <v>3140</v>
      </c>
    </row>
    <row r="2859" ht="15" customHeight="1" spans="1:22" x14ac:dyDescent="0.25">
      <c r="A2859" s="17" t="s">
        <v>8551</v>
      </c>
      <c r="B2859" s="17" t="s">
        <v>70</v>
      </c>
      <c r="C2859" s="17" t="s">
        <v>71</v>
      </c>
      <c r="D2859" t="s">
        <v>8552</v>
      </c>
      <c r="F2859" t="s">
        <v>8553</v>
      </c>
      <c r="K2859" s="18">
        <f>6281364110597</f>
        <v>6281364110597</v>
      </c>
      <c r="N2859" s="17" t="s">
        <v>74</v>
      </c>
      <c r="V2859" s="18">
        <f>6281364110597</f>
        <v>6281364110597</v>
      </c>
    </row>
    <row r="2860" ht="15" customHeight="1" spans="1:23" x14ac:dyDescent="0.25">
      <c r="A2860" s="17" t="s">
        <v>8554</v>
      </c>
      <c r="B2860" s="17" t="s">
        <v>70</v>
      </c>
      <c r="C2860" s="17" t="s">
        <v>71</v>
      </c>
      <c r="D2860" t="s">
        <v>8555</v>
      </c>
      <c r="F2860" t="s">
        <v>4821</v>
      </c>
      <c r="J2860" s="17" t="s">
        <v>8556</v>
      </c>
      <c r="K2860" s="18">
        <f>62818119619</f>
        <v>62818119619</v>
      </c>
      <c r="N2860" s="17" t="s">
        <v>81</v>
      </c>
      <c r="U2860" s="17"/>
      <c r="V2860" s="18">
        <f>62818119619</f>
        <v>62818119619</v>
      </c>
      <c r="W2860" t="s">
        <v>8557</v>
      </c>
    </row>
    <row r="2861" ht="15" customHeight="1" spans="1:28" x14ac:dyDescent="0.25">
      <c r="A2861" s="17" t="s">
        <v>8558</v>
      </c>
      <c r="B2861" s="17" t="s">
        <v>70</v>
      </c>
      <c r="C2861" s="17" t="s">
        <v>71</v>
      </c>
      <c r="D2861" t="s">
        <v>8559</v>
      </c>
      <c r="F2861" t="s">
        <v>6621</v>
      </c>
      <c r="J2861" t="s">
        <v>115</v>
      </c>
      <c r="K2861" s="18" t="s">
        <v>8560</v>
      </c>
      <c r="N2861" s="17" t="s">
        <v>77</v>
      </c>
      <c r="O2861" t="s">
        <v>199</v>
      </c>
      <c r="V2861" s="18" t="s">
        <v>8560</v>
      </c>
      <c r="Y2861" t="s">
        <v>115</v>
      </c>
      <c r="AA2861" t="s">
        <v>115</v>
      </c>
      <c r="AB2861" t="s">
        <v>119</v>
      </c>
    </row>
    <row r="2862" ht="15" customHeight="1" spans="1:23" x14ac:dyDescent="0.25">
      <c r="A2862" s="17" t="s">
        <v>8561</v>
      </c>
      <c r="B2862" s="17" t="s">
        <v>70</v>
      </c>
      <c r="C2862" s="17" t="s">
        <v>71</v>
      </c>
      <c r="D2862" t="s">
        <v>8562</v>
      </c>
      <c r="F2862" t="s">
        <v>220</v>
      </c>
      <c r="K2862" s="18">
        <f>2250546001460</f>
        <v>2250546001460</v>
      </c>
      <c r="N2862" s="17" t="s">
        <v>77</v>
      </c>
      <c r="U2862" s="17"/>
      <c r="V2862" s="18">
        <f>2250546001460</f>
        <v>2250546001460</v>
      </c>
      <c r="W2862" t="s">
        <v>8563</v>
      </c>
    </row>
    <row r="2863" ht="15" customHeight="1" spans="1:23" x14ac:dyDescent="0.25">
      <c r="A2863" s="17" t="s">
        <v>8564</v>
      </c>
      <c r="B2863" s="17" t="s">
        <v>70</v>
      </c>
      <c r="C2863" s="17" t="s">
        <v>71</v>
      </c>
      <c r="D2863" t="s">
        <v>8565</v>
      </c>
      <c r="F2863" t="s">
        <v>8566</v>
      </c>
      <c r="K2863" s="18">
        <f>639164482223</f>
        <v>639164482223</v>
      </c>
      <c r="N2863" s="17" t="s">
        <v>77</v>
      </c>
      <c r="U2863" s="17"/>
      <c r="V2863" s="18">
        <f>639164482223</f>
        <v>639164482223</v>
      </c>
      <c r="W2863" t="s">
        <v>8567</v>
      </c>
    </row>
    <row r="2864" ht="15" customHeight="1" spans="1:28" x14ac:dyDescent="0.25">
      <c r="A2864" s="17" t="s">
        <v>8568</v>
      </c>
      <c r="B2864" s="17" t="s">
        <v>70</v>
      </c>
      <c r="C2864" s="17" t="s">
        <v>71</v>
      </c>
      <c r="D2864" t="s">
        <v>8569</v>
      </c>
      <c r="F2864" t="s">
        <v>8570</v>
      </c>
      <c r="J2864" t="s">
        <v>115</v>
      </c>
      <c r="K2864" s="18" t="s">
        <v>8571</v>
      </c>
      <c r="N2864" s="17" t="s">
        <v>77</v>
      </c>
      <c r="O2864" t="s">
        <v>145</v>
      </c>
      <c r="V2864" s="18" t="s">
        <v>8571</v>
      </c>
      <c r="Y2864" t="s">
        <v>622</v>
      </c>
      <c r="AA2864" t="s">
        <v>623</v>
      </c>
      <c r="AB2864" t="s">
        <v>119</v>
      </c>
    </row>
    <row r="2865" ht="15" customHeight="1" spans="1:22" x14ac:dyDescent="0.25">
      <c r="A2865" s="17" t="s">
        <v>8572</v>
      </c>
      <c r="B2865" s="17" t="s">
        <v>70</v>
      </c>
      <c r="C2865" s="17" t="s">
        <v>71</v>
      </c>
      <c r="D2865" t="s">
        <v>8573</v>
      </c>
      <c r="F2865" t="s">
        <v>8574</v>
      </c>
      <c r="K2865" s="18">
        <f>6281212941460</f>
        <v>6281212941460</v>
      </c>
      <c r="N2865" s="17" t="s">
        <v>77</v>
      </c>
      <c r="V2865" s="18">
        <f>6281212941460</f>
        <v>6281212941460</v>
      </c>
    </row>
    <row r="2866" ht="15" customHeight="1" spans="1:23" x14ac:dyDescent="0.25">
      <c r="A2866" s="17" t="s">
        <v>8575</v>
      </c>
      <c r="B2866" s="17" t="s">
        <v>70</v>
      </c>
      <c r="C2866" s="17" t="s">
        <v>71</v>
      </c>
      <c r="D2866" t="s">
        <v>8576</v>
      </c>
      <c r="F2866" t="s">
        <v>2508</v>
      </c>
      <c r="K2866" s="18">
        <f>6281288998854</f>
        <v>6281288998854</v>
      </c>
      <c r="N2866" s="17" t="s">
        <v>81</v>
      </c>
      <c r="U2866" s="17"/>
      <c r="V2866" s="18">
        <f>6281288998854</f>
        <v>6281288998854</v>
      </c>
      <c r="W2866" t="s">
        <v>8577</v>
      </c>
    </row>
    <row r="2867" ht="15" customHeight="1" spans="1:25" x14ac:dyDescent="0.25">
      <c r="A2867" s="17" t="s">
        <v>8578</v>
      </c>
      <c r="B2867" s="17" t="s">
        <v>70</v>
      </c>
      <c r="C2867" s="17" t="s">
        <v>71</v>
      </c>
      <c r="D2867" t="s">
        <v>8579</v>
      </c>
      <c r="F2867" t="s">
        <v>8580</v>
      </c>
      <c r="K2867" s="18">
        <f>6281398330000</f>
        <v>6281398330000</v>
      </c>
      <c r="N2867" s="17" t="s">
        <v>74</v>
      </c>
      <c r="U2867" s="17"/>
      <c r="V2867" s="18">
        <f>6281398330000</f>
        <v>6281398330000</v>
      </c>
      <c r="W2867" t="s">
        <v>8581</v>
      </c>
      <c r="Y2867" s="17" t="s">
        <v>3320</v>
      </c>
    </row>
    <row r="2868" ht="15" customHeight="1" spans="1:23" x14ac:dyDescent="0.25">
      <c r="A2868" s="17" t="s">
        <v>8582</v>
      </c>
      <c r="B2868" s="17" t="s">
        <v>70</v>
      </c>
      <c r="C2868" s="17" t="s">
        <v>71</v>
      </c>
      <c r="D2868" t="s">
        <v>8583</v>
      </c>
      <c r="F2868" t="s">
        <v>8584</v>
      </c>
      <c r="J2868" s="17" t="s">
        <v>8585</v>
      </c>
      <c r="K2868" s="18">
        <f>6288294299340</f>
        <v>6288294299340</v>
      </c>
      <c r="N2868" s="17" t="s">
        <v>81</v>
      </c>
      <c r="U2868" s="17"/>
      <c r="V2868" s="18">
        <f>6288294299340</f>
        <v>6288294299340</v>
      </c>
      <c r="W2868" t="s">
        <v>8586</v>
      </c>
    </row>
    <row r="2869" ht="15" customHeight="1" spans="1:28" x14ac:dyDescent="0.25">
      <c r="A2869" s="17" t="s">
        <v>8587</v>
      </c>
      <c r="B2869" s="17" t="s">
        <v>70</v>
      </c>
      <c r="C2869" s="17" t="s">
        <v>71</v>
      </c>
      <c r="D2869" t="s">
        <v>8588</v>
      </c>
      <c r="F2869" t="s">
        <v>8588</v>
      </c>
      <c r="J2869" t="s">
        <v>115</v>
      </c>
      <c r="K2869" s="18" t="s">
        <v>8589</v>
      </c>
      <c r="N2869" s="17" t="s">
        <v>77</v>
      </c>
      <c r="O2869" t="s">
        <v>261</v>
      </c>
      <c r="V2869" s="18" t="s">
        <v>8589</v>
      </c>
      <c r="Y2869" t="s">
        <v>90</v>
      </c>
      <c r="AA2869" t="s">
        <v>118</v>
      </c>
      <c r="AB2869" t="s">
        <v>119</v>
      </c>
    </row>
    <row r="2870" ht="15" customHeight="1" spans="1:22" x14ac:dyDescent="0.25">
      <c r="A2870" s="17" t="s">
        <v>8590</v>
      </c>
      <c r="B2870" s="17" t="s">
        <v>70</v>
      </c>
      <c r="C2870" s="17" t="s">
        <v>71</v>
      </c>
      <c r="D2870" t="s">
        <v>8588</v>
      </c>
      <c r="F2870" t="s">
        <v>8588</v>
      </c>
      <c r="K2870" s="18">
        <f>6281212495122</f>
        <v>6281212495122</v>
      </c>
      <c r="N2870" s="17" t="s">
        <v>77</v>
      </c>
      <c r="V2870" s="18">
        <f>6281212495122</f>
        <v>6281212495122</v>
      </c>
    </row>
    <row r="2871" ht="15" customHeight="1" spans="1:25" x14ac:dyDescent="0.25">
      <c r="A2871" s="17" t="s">
        <v>8591</v>
      </c>
      <c r="B2871" s="17" t="s">
        <v>70</v>
      </c>
      <c r="C2871" s="17" t="s">
        <v>71</v>
      </c>
      <c r="D2871" t="s">
        <v>8588</v>
      </c>
      <c r="F2871" t="s">
        <v>8592</v>
      </c>
      <c r="K2871" s="18">
        <f>6281222106684</f>
        <v>6281222106684</v>
      </c>
      <c r="N2871" s="17" t="s">
        <v>77</v>
      </c>
      <c r="U2871" s="17"/>
      <c r="V2871" s="18">
        <f>6281222106684</f>
        <v>6281222106684</v>
      </c>
      <c r="W2871" t="s">
        <v>8593</v>
      </c>
      <c r="Y2871" s="17" t="s">
        <v>500</v>
      </c>
    </row>
    <row r="2872" ht="15" customHeight="1" spans="1:22" x14ac:dyDescent="0.25">
      <c r="A2872" s="17" t="s">
        <v>8594</v>
      </c>
      <c r="B2872" s="17" t="s">
        <v>70</v>
      </c>
      <c r="C2872" s="17" t="s">
        <v>71</v>
      </c>
      <c r="D2872" t="s">
        <v>8595</v>
      </c>
      <c r="F2872" t="s">
        <v>150</v>
      </c>
      <c r="K2872" s="18">
        <f>628125120708</f>
        <v>628125120708</v>
      </c>
      <c r="N2872" s="17" t="s">
        <v>81</v>
      </c>
      <c r="V2872" s="18">
        <f>628125120708</f>
        <v>628125120708</v>
      </c>
    </row>
    <row r="2873" ht="15" customHeight="1" spans="1:22" x14ac:dyDescent="0.25">
      <c r="A2873" s="17" t="s">
        <v>8596</v>
      </c>
      <c r="B2873" s="17" t="s">
        <v>70</v>
      </c>
      <c r="C2873" s="17" t="s">
        <v>71</v>
      </c>
      <c r="D2873" t="s">
        <v>8597</v>
      </c>
      <c r="F2873" t="s">
        <v>8597</v>
      </c>
      <c r="K2873" s="18">
        <f>6287787111709</f>
        <v>6287787111709</v>
      </c>
      <c r="N2873" s="17" t="s">
        <v>77</v>
      </c>
      <c r="V2873" s="18">
        <f>6287787111709</f>
        <v>6287787111709</v>
      </c>
    </row>
    <row r="2874" ht="15" customHeight="1" spans="1:22" x14ac:dyDescent="0.25">
      <c r="A2874" s="17" t="s">
        <v>8598</v>
      </c>
      <c r="B2874" s="17" t="s">
        <v>70</v>
      </c>
      <c r="C2874" s="17" t="s">
        <v>71</v>
      </c>
      <c r="D2874" t="s">
        <v>8599</v>
      </c>
      <c r="F2874" t="s">
        <v>8600</v>
      </c>
      <c r="K2874" s="18">
        <f>6281321211777</f>
        <v>6281321211777</v>
      </c>
      <c r="N2874" s="17" t="s">
        <v>74</v>
      </c>
      <c r="V2874" s="18">
        <f>6281321211777</f>
        <v>6281321211777</v>
      </c>
    </row>
    <row r="2875" ht="15" customHeight="1" spans="1:28" x14ac:dyDescent="0.25">
      <c r="A2875" s="17" t="s">
        <v>8601</v>
      </c>
      <c r="B2875" s="17" t="s">
        <v>70</v>
      </c>
      <c r="C2875" s="17" t="s">
        <v>71</v>
      </c>
      <c r="D2875" t="s">
        <v>5447</v>
      </c>
      <c r="F2875" t="s">
        <v>8602</v>
      </c>
      <c r="J2875" t="s">
        <v>115</v>
      </c>
      <c r="K2875" s="18" t="s">
        <v>8603</v>
      </c>
      <c r="N2875" s="17" t="s">
        <v>77</v>
      </c>
      <c r="O2875" t="s">
        <v>199</v>
      </c>
      <c r="V2875" s="18" t="s">
        <v>8603</v>
      </c>
      <c r="Y2875" t="s">
        <v>90</v>
      </c>
      <c r="AA2875" t="s">
        <v>118</v>
      </c>
      <c r="AB2875" t="s">
        <v>119</v>
      </c>
    </row>
    <row r="2876" ht="15" customHeight="1" spans="1:28" x14ac:dyDescent="0.25">
      <c r="A2876" s="17" t="s">
        <v>8604</v>
      </c>
      <c r="B2876" s="17" t="s">
        <v>70</v>
      </c>
      <c r="C2876" s="17" t="s">
        <v>71</v>
      </c>
      <c r="D2876" t="s">
        <v>5447</v>
      </c>
      <c r="F2876" t="s">
        <v>8605</v>
      </c>
      <c r="J2876" t="s">
        <v>115</v>
      </c>
      <c r="K2876" s="18" t="s">
        <v>8606</v>
      </c>
      <c r="N2876" s="17" t="s">
        <v>81</v>
      </c>
      <c r="O2876" t="s">
        <v>117</v>
      </c>
      <c r="V2876" s="18" t="s">
        <v>8606</v>
      </c>
      <c r="Y2876" t="s">
        <v>90</v>
      </c>
      <c r="AA2876" t="s">
        <v>118</v>
      </c>
      <c r="AB2876" t="s">
        <v>119</v>
      </c>
    </row>
    <row r="2877" ht="15" customHeight="1" spans="1:22" x14ac:dyDescent="0.25">
      <c r="A2877" s="17" t="s">
        <v>8607</v>
      </c>
      <c r="B2877" s="17" t="s">
        <v>70</v>
      </c>
      <c r="C2877" s="17" t="s">
        <v>71</v>
      </c>
      <c r="D2877" t="s">
        <v>8608</v>
      </c>
      <c r="F2877" t="s">
        <v>8609</v>
      </c>
      <c r="J2877" s="17" t="s">
        <v>8610</v>
      </c>
      <c r="K2877" s="18">
        <f>96597192992</f>
        <v>96597192992</v>
      </c>
      <c r="N2877" s="17" t="s">
        <v>81</v>
      </c>
      <c r="V2877" s="18">
        <f>96597192992</f>
        <v>96597192992</v>
      </c>
    </row>
    <row r="2878" ht="15" customHeight="1" spans="1:22" x14ac:dyDescent="0.25">
      <c r="A2878" s="17" t="s">
        <v>8611</v>
      </c>
      <c r="B2878" s="17" t="s">
        <v>70</v>
      </c>
      <c r="C2878" s="17" t="s">
        <v>71</v>
      </c>
      <c r="D2878" t="s">
        <v>8612</v>
      </c>
      <c r="F2878" t="s">
        <v>8613</v>
      </c>
      <c r="K2878" s="18">
        <f>6282280330303</f>
        <v>6282280330303</v>
      </c>
      <c r="N2878" s="17" t="s">
        <v>77</v>
      </c>
      <c r="V2878" s="18">
        <f>6282280330303</f>
        <v>6282280330303</v>
      </c>
    </row>
    <row r="2879" ht="15" customHeight="1" spans="1:22" x14ac:dyDescent="0.25">
      <c r="A2879" s="17" t="s">
        <v>8614</v>
      </c>
      <c r="B2879" s="17" t="s">
        <v>70</v>
      </c>
      <c r="C2879" s="17" t="s">
        <v>71</v>
      </c>
      <c r="D2879" t="s">
        <v>8615</v>
      </c>
      <c r="F2879" t="s">
        <v>3005</v>
      </c>
      <c r="K2879" s="18">
        <f>628989899899</f>
        <v>628989899899</v>
      </c>
      <c r="N2879" s="17" t="s">
        <v>81</v>
      </c>
      <c r="V2879" s="18">
        <f>628989899899</f>
        <v>628989899899</v>
      </c>
    </row>
    <row r="2880" ht="15" customHeight="1" spans="1:28" x14ac:dyDescent="0.25">
      <c r="A2880" s="17" t="s">
        <v>8616</v>
      </c>
      <c r="B2880" s="17" t="s">
        <v>70</v>
      </c>
      <c r="C2880" s="17" t="s">
        <v>71</v>
      </c>
      <c r="D2880" t="s">
        <v>8617</v>
      </c>
      <c r="F2880" t="s">
        <v>8618</v>
      </c>
      <c r="J2880" s="17" t="s">
        <v>8619</v>
      </c>
      <c r="K2880" s="18" t="s">
        <v>8620</v>
      </c>
      <c r="N2880" s="17" t="s">
        <v>77</v>
      </c>
      <c r="O2880" t="s">
        <v>145</v>
      </c>
      <c r="U2880" s="17"/>
      <c r="V2880" s="18" t="s">
        <v>8620</v>
      </c>
      <c r="W2880" t="s">
        <v>8621</v>
      </c>
      <c r="Y2880" s="17" t="s">
        <v>8622</v>
      </c>
      <c r="AA2880" t="s">
        <v>115</v>
      </c>
      <c r="AB2880" t="s">
        <v>451</v>
      </c>
    </row>
    <row r="2881" ht="15" customHeight="1" spans="1:22" x14ac:dyDescent="0.25">
      <c r="A2881" s="17" t="s">
        <v>8623</v>
      </c>
      <c r="B2881" s="17" t="s">
        <v>70</v>
      </c>
      <c r="C2881" s="17" t="s">
        <v>71</v>
      </c>
      <c r="D2881" t="s">
        <v>8624</v>
      </c>
      <c r="F2881" t="s">
        <v>8624</v>
      </c>
      <c r="K2881" s="18">
        <f>61433962116</f>
        <v>61433962116</v>
      </c>
      <c r="N2881" s="17" t="s">
        <v>77</v>
      </c>
      <c r="V2881" s="18">
        <f>61433962116</f>
        <v>61433962116</v>
      </c>
    </row>
    <row r="2882" ht="15" customHeight="1" spans="1:23" x14ac:dyDescent="0.25">
      <c r="A2882" s="17" t="s">
        <v>8625</v>
      </c>
      <c r="B2882" s="17" t="s">
        <v>70</v>
      </c>
      <c r="C2882" s="17" t="s">
        <v>71</v>
      </c>
      <c r="D2882" t="s">
        <v>8626</v>
      </c>
      <c r="F2882" t="s">
        <v>8627</v>
      </c>
      <c r="K2882" s="18">
        <f>6281333397070</f>
        <v>6281333397070</v>
      </c>
      <c r="N2882" s="17" t="s">
        <v>81</v>
      </c>
      <c r="U2882" s="17"/>
      <c r="V2882" s="18">
        <f>6281333397070</f>
        <v>6281333397070</v>
      </c>
      <c r="W2882" t="s">
        <v>8628</v>
      </c>
    </row>
    <row r="2883" ht="15" customHeight="1" spans="1:22" x14ac:dyDescent="0.25">
      <c r="A2883" s="17" t="s">
        <v>8629</v>
      </c>
      <c r="B2883" s="17" t="s">
        <v>70</v>
      </c>
      <c r="C2883" s="17" t="s">
        <v>71</v>
      </c>
      <c r="D2883" t="s">
        <v>8626</v>
      </c>
      <c r="F2883" t="s">
        <v>8630</v>
      </c>
      <c r="K2883" s="18">
        <f>6281215006989</f>
        <v>6281215006989</v>
      </c>
      <c r="N2883" s="17" t="s">
        <v>77</v>
      </c>
      <c r="V2883" s="18">
        <f>6281215006989</f>
        <v>6281215006989</v>
      </c>
    </row>
    <row r="2884" ht="15" customHeight="1" spans="1:22" x14ac:dyDescent="0.25">
      <c r="A2884" s="17" t="s">
        <v>8631</v>
      </c>
      <c r="B2884" s="17" t="s">
        <v>70</v>
      </c>
      <c r="C2884" s="17" t="s">
        <v>71</v>
      </c>
      <c r="D2884" t="s">
        <v>8626</v>
      </c>
      <c r="F2884" t="s">
        <v>1850</v>
      </c>
      <c r="K2884" s="18">
        <f>62811972590</f>
        <v>62811972590</v>
      </c>
      <c r="N2884" s="17" t="s">
        <v>77</v>
      </c>
      <c r="V2884" s="18">
        <f>62811972590</f>
        <v>62811972590</v>
      </c>
    </row>
    <row r="2885" ht="15" customHeight="1" spans="1:23" x14ac:dyDescent="0.25">
      <c r="A2885" s="17" t="s">
        <v>8632</v>
      </c>
      <c r="B2885" s="17" t="s">
        <v>70</v>
      </c>
      <c r="C2885" s="17" t="s">
        <v>71</v>
      </c>
      <c r="D2885" t="s">
        <v>8633</v>
      </c>
      <c r="F2885" t="s">
        <v>8634</v>
      </c>
      <c r="K2885" s="18">
        <f>6281294125388</f>
        <v>6281294125388</v>
      </c>
      <c r="N2885" s="17" t="s">
        <v>77</v>
      </c>
      <c r="U2885" s="17"/>
      <c r="V2885" s="18">
        <f>6281294125388</f>
        <v>6281294125388</v>
      </c>
      <c r="W2885" t="s">
        <v>8635</v>
      </c>
    </row>
    <row r="2886" ht="15" customHeight="1" spans="1:22" x14ac:dyDescent="0.25">
      <c r="A2886" s="17" t="s">
        <v>8636</v>
      </c>
      <c r="B2886" s="17" t="s">
        <v>70</v>
      </c>
      <c r="C2886" s="17" t="s">
        <v>71</v>
      </c>
      <c r="D2886" t="s">
        <v>1236</v>
      </c>
      <c r="F2886" t="s">
        <v>1236</v>
      </c>
      <c r="K2886" s="18">
        <f>628118500024</f>
        <v>628118500024</v>
      </c>
      <c r="N2886" s="17" t="s">
        <v>81</v>
      </c>
      <c r="V2886" s="18">
        <f>628118500024</f>
        <v>628118500024</v>
      </c>
    </row>
    <row r="2887" ht="15" customHeight="1" spans="1:22" x14ac:dyDescent="0.25">
      <c r="A2887" s="17" t="s">
        <v>8637</v>
      </c>
      <c r="B2887" s="17" t="s">
        <v>70</v>
      </c>
      <c r="C2887" s="17" t="s">
        <v>71</v>
      </c>
      <c r="D2887" t="s">
        <v>1236</v>
      </c>
      <c r="F2887" t="s">
        <v>1236</v>
      </c>
      <c r="K2887" s="18">
        <f>6281283479111</f>
        <v>6281283479111</v>
      </c>
      <c r="N2887" s="17" t="s">
        <v>81</v>
      </c>
      <c r="V2887" s="18">
        <f>6281283479111</f>
        <v>6281283479111</v>
      </c>
    </row>
    <row r="2888" ht="15" customHeight="1" spans="1:28" x14ac:dyDescent="0.25">
      <c r="A2888" s="17" t="s">
        <v>8638</v>
      </c>
      <c r="B2888" s="17" t="s">
        <v>70</v>
      </c>
      <c r="C2888" s="17" t="s">
        <v>71</v>
      </c>
      <c r="D2888" t="s">
        <v>8639</v>
      </c>
      <c r="F2888" t="s">
        <v>1711</v>
      </c>
      <c r="J2888" s="17" t="s">
        <v>8640</v>
      </c>
      <c r="K2888" s="18" t="s">
        <v>8641</v>
      </c>
      <c r="N2888" s="17" t="s">
        <v>77</v>
      </c>
      <c r="O2888" t="s">
        <v>117</v>
      </c>
      <c r="U2888" s="17"/>
      <c r="V2888" s="18" t="s">
        <v>8641</v>
      </c>
      <c r="W2888" t="s">
        <v>8642</v>
      </c>
      <c r="Y2888" t="s">
        <v>190</v>
      </c>
      <c r="AA2888" t="s">
        <v>118</v>
      </c>
      <c r="AB2888" t="s">
        <v>119</v>
      </c>
    </row>
    <row r="2889" ht="15" customHeight="1" spans="1:28" x14ac:dyDescent="0.25">
      <c r="A2889" s="17" t="s">
        <v>8643</v>
      </c>
      <c r="B2889" s="17" t="s">
        <v>70</v>
      </c>
      <c r="C2889" s="17" t="s">
        <v>71</v>
      </c>
      <c r="D2889" t="s">
        <v>8644</v>
      </c>
      <c r="F2889" t="s">
        <v>8645</v>
      </c>
      <c r="J2889" s="17" t="s">
        <v>8646</v>
      </c>
      <c r="K2889" s="18" t="s">
        <v>8647</v>
      </c>
      <c r="N2889" s="17" t="s">
        <v>77</v>
      </c>
      <c r="O2889" t="s">
        <v>199</v>
      </c>
      <c r="V2889" s="18" t="s">
        <v>8647</v>
      </c>
      <c r="Y2889" t="s">
        <v>115</v>
      </c>
      <c r="AA2889" t="s">
        <v>115</v>
      </c>
      <c r="AB2889" t="s">
        <v>2356</v>
      </c>
    </row>
    <row r="2890" ht="15" customHeight="1" spans="1:23" x14ac:dyDescent="0.25">
      <c r="A2890" s="17" t="s">
        <v>8648</v>
      </c>
      <c r="B2890" s="17" t="s">
        <v>70</v>
      </c>
      <c r="C2890" s="17" t="s">
        <v>71</v>
      </c>
      <c r="D2890" t="s">
        <v>1236</v>
      </c>
      <c r="F2890" t="s">
        <v>548</v>
      </c>
      <c r="K2890" s="18">
        <f>62811819163</f>
        <v>62811819163</v>
      </c>
      <c r="N2890" s="17" t="s">
        <v>77</v>
      </c>
      <c r="U2890" s="17"/>
      <c r="V2890" s="18">
        <f>62811819163</f>
        <v>62811819163</v>
      </c>
      <c r="W2890" t="s">
        <v>8649</v>
      </c>
    </row>
    <row r="2891" ht="15" customHeight="1" spans="1:28" x14ac:dyDescent="0.25">
      <c r="A2891" s="17" t="s">
        <v>8650</v>
      </c>
      <c r="B2891" s="17" t="s">
        <v>70</v>
      </c>
      <c r="C2891" s="17" t="s">
        <v>71</v>
      </c>
      <c r="D2891" t="s">
        <v>1236</v>
      </c>
      <c r="F2891" t="s">
        <v>8651</v>
      </c>
      <c r="J2891" t="s">
        <v>115</v>
      </c>
      <c r="K2891" s="18" t="s">
        <v>8652</v>
      </c>
      <c r="N2891" s="17" t="s">
        <v>77</v>
      </c>
      <c r="O2891" t="s">
        <v>117</v>
      </c>
      <c r="U2891" s="17"/>
      <c r="V2891" s="18" t="s">
        <v>8652</v>
      </c>
      <c r="W2891" t="s">
        <v>8653</v>
      </c>
      <c r="Y2891" s="17" t="s">
        <v>190</v>
      </c>
      <c r="AA2891" t="s">
        <v>118</v>
      </c>
      <c r="AB2891" t="s">
        <v>119</v>
      </c>
    </row>
    <row r="2892" ht="15" customHeight="1" spans="1:22" x14ac:dyDescent="0.25">
      <c r="A2892" s="17" t="s">
        <v>8654</v>
      </c>
      <c r="B2892" s="17" t="s">
        <v>70</v>
      </c>
      <c r="C2892" s="17" t="s">
        <v>71</v>
      </c>
      <c r="D2892" t="s">
        <v>1236</v>
      </c>
      <c r="F2892" t="s">
        <v>6870</v>
      </c>
      <c r="K2892" s="18">
        <f>628119361061</f>
        <v>628119361061</v>
      </c>
      <c r="N2892" s="17" t="s">
        <v>77</v>
      </c>
      <c r="V2892" s="18">
        <f>628119361061</f>
        <v>628119361061</v>
      </c>
    </row>
    <row r="2893" ht="15" customHeight="1" spans="1:27" x14ac:dyDescent="0.25">
      <c r="A2893" s="17" t="s">
        <v>8655</v>
      </c>
      <c r="B2893" s="17" t="s">
        <v>70</v>
      </c>
      <c r="C2893" s="17" t="s">
        <v>71</v>
      </c>
      <c r="D2893" t="s">
        <v>1236</v>
      </c>
      <c r="F2893" t="s">
        <v>8656</v>
      </c>
      <c r="K2893" s="18">
        <f>62811901448</f>
        <v>62811901448</v>
      </c>
      <c r="N2893" s="17" t="s">
        <v>77</v>
      </c>
      <c r="U2893" s="17"/>
      <c r="V2893" s="18">
        <f>62811901448</f>
        <v>62811901448</v>
      </c>
      <c r="W2893" t="s">
        <v>8657</v>
      </c>
      <c r="Y2893" s="17" t="s">
        <v>217</v>
      </c>
      <c r="AA2893" s="17" t="s">
        <v>8658</v>
      </c>
    </row>
    <row r="2894" ht="15" customHeight="1" spans="1:23" x14ac:dyDescent="0.25">
      <c r="A2894" s="17" t="s">
        <v>8659</v>
      </c>
      <c r="B2894" s="17" t="s">
        <v>70</v>
      </c>
      <c r="C2894" s="17" t="s">
        <v>71</v>
      </c>
      <c r="D2894" t="s">
        <v>1236</v>
      </c>
      <c r="F2894" t="s">
        <v>8660</v>
      </c>
      <c r="J2894" s="17" t="s">
        <v>8661</v>
      </c>
      <c r="K2894" s="18">
        <f>628122016666</f>
        <v>628122016666</v>
      </c>
      <c r="N2894" s="17" t="s">
        <v>77</v>
      </c>
      <c r="U2894" s="17"/>
      <c r="V2894" s="18">
        <f>628122016666</f>
        <v>628122016666</v>
      </c>
      <c r="W2894" t="s">
        <v>8662</v>
      </c>
    </row>
    <row r="2895" ht="15" customHeight="1" spans="1:25" x14ac:dyDescent="0.25">
      <c r="A2895" s="17" t="s">
        <v>8663</v>
      </c>
      <c r="B2895" s="17" t="s">
        <v>70</v>
      </c>
      <c r="C2895" s="17" t="s">
        <v>71</v>
      </c>
      <c r="D2895" t="s">
        <v>1236</v>
      </c>
      <c r="F2895" t="s">
        <v>1070</v>
      </c>
      <c r="J2895" s="17" t="s">
        <v>8664</v>
      </c>
      <c r="K2895" s="18">
        <f>628125244344</f>
        <v>628125244344</v>
      </c>
      <c r="N2895" s="17" t="s">
        <v>77</v>
      </c>
      <c r="U2895" s="17"/>
      <c r="V2895" s="18">
        <f>628125244344</f>
        <v>628125244344</v>
      </c>
      <c r="W2895" t="s">
        <v>8665</v>
      </c>
      <c r="Y2895" s="17" t="s">
        <v>762</v>
      </c>
    </row>
    <row r="2896" ht="15" customHeight="1" spans="1:22" x14ac:dyDescent="0.25">
      <c r="A2896" s="17" t="s">
        <v>8666</v>
      </c>
      <c r="B2896" s="17" t="s">
        <v>70</v>
      </c>
      <c r="C2896" s="17" t="s">
        <v>71</v>
      </c>
      <c r="D2896" t="s">
        <v>1236</v>
      </c>
      <c r="F2896" t="s">
        <v>8667</v>
      </c>
      <c r="K2896" s="18">
        <f>628129120913</f>
        <v>628129120913</v>
      </c>
      <c r="N2896" s="17" t="s">
        <v>77</v>
      </c>
      <c r="V2896" s="18">
        <f>628129120913</f>
        <v>628129120913</v>
      </c>
    </row>
    <row r="2897" ht="15" customHeight="1" spans="1:23" x14ac:dyDescent="0.25">
      <c r="A2897" s="17" t="s">
        <v>8668</v>
      </c>
      <c r="B2897" s="17" t="s">
        <v>70</v>
      </c>
      <c r="C2897" s="17" t="s">
        <v>71</v>
      </c>
      <c r="D2897" t="s">
        <v>1236</v>
      </c>
      <c r="F2897" t="s">
        <v>8669</v>
      </c>
      <c r="K2897" s="18">
        <f>6281511012099</f>
        <v>6281511012099</v>
      </c>
      <c r="N2897" s="17" t="s">
        <v>77</v>
      </c>
      <c r="U2897" s="17"/>
      <c r="V2897" s="18">
        <f>6281511012099</f>
        <v>6281511012099</v>
      </c>
      <c r="W2897" t="s">
        <v>8670</v>
      </c>
    </row>
    <row r="2898" ht="15" customHeight="1" spans="1:28" x14ac:dyDescent="0.25">
      <c r="A2898" s="17" t="s">
        <v>8671</v>
      </c>
      <c r="B2898" s="17" t="s">
        <v>70</v>
      </c>
      <c r="C2898" s="17" t="s">
        <v>71</v>
      </c>
      <c r="D2898" t="s">
        <v>1236</v>
      </c>
      <c r="F2898" t="s">
        <v>8672</v>
      </c>
      <c r="J2898" s="17" t="s">
        <v>8673</v>
      </c>
      <c r="K2898" s="18" t="s">
        <v>8674</v>
      </c>
      <c r="N2898" s="17" t="s">
        <v>77</v>
      </c>
      <c r="O2898" t="s">
        <v>199</v>
      </c>
      <c r="V2898" s="18" t="s">
        <v>8674</v>
      </c>
      <c r="Y2898" t="s">
        <v>190</v>
      </c>
      <c r="AA2898" t="s">
        <v>118</v>
      </c>
      <c r="AB2898" t="s">
        <v>119</v>
      </c>
    </row>
    <row r="2899" ht="15" customHeight="1" spans="1:28" x14ac:dyDescent="0.25">
      <c r="A2899" s="17" t="s">
        <v>8675</v>
      </c>
      <c r="B2899" s="17" t="s">
        <v>70</v>
      </c>
      <c r="C2899" s="17" t="s">
        <v>71</v>
      </c>
      <c r="D2899" t="s">
        <v>1236</v>
      </c>
      <c r="F2899" t="s">
        <v>8676</v>
      </c>
      <c r="J2899" t="s">
        <v>115</v>
      </c>
      <c r="K2899" s="18" t="s">
        <v>8677</v>
      </c>
      <c r="N2899" s="17" t="s">
        <v>77</v>
      </c>
      <c r="O2899" t="s">
        <v>117</v>
      </c>
      <c r="V2899" s="18" t="s">
        <v>8677</v>
      </c>
      <c r="Y2899" t="s">
        <v>90</v>
      </c>
      <c r="AA2899" t="s">
        <v>118</v>
      </c>
      <c r="AB2899" t="s">
        <v>119</v>
      </c>
    </row>
    <row r="2900" ht="15" customHeight="1" spans="1:28" x14ac:dyDescent="0.25">
      <c r="A2900" s="17" t="s">
        <v>8678</v>
      </c>
      <c r="B2900" s="17" t="s">
        <v>70</v>
      </c>
      <c r="C2900" s="17" t="s">
        <v>71</v>
      </c>
      <c r="D2900" t="s">
        <v>1236</v>
      </c>
      <c r="F2900" t="s">
        <v>8679</v>
      </c>
      <c r="J2900" s="17" t="s">
        <v>8680</v>
      </c>
      <c r="K2900" s="18" t="s">
        <v>8681</v>
      </c>
      <c r="N2900" s="17" t="s">
        <v>81</v>
      </c>
      <c r="O2900" t="s">
        <v>117</v>
      </c>
      <c r="V2900" s="18" t="s">
        <v>8681</v>
      </c>
      <c r="Y2900" t="s">
        <v>90</v>
      </c>
      <c r="AA2900" t="s">
        <v>118</v>
      </c>
      <c r="AB2900" t="s">
        <v>119</v>
      </c>
    </row>
    <row r="2901" ht="15" customHeight="1" spans="1:22" x14ac:dyDescent="0.25">
      <c r="A2901" s="17" t="s">
        <v>8682</v>
      </c>
      <c r="B2901" s="17" t="s">
        <v>70</v>
      </c>
      <c r="C2901" s="17" t="s">
        <v>71</v>
      </c>
      <c r="D2901" t="s">
        <v>1236</v>
      </c>
      <c r="F2901" t="s">
        <v>8683</v>
      </c>
      <c r="K2901" s="18">
        <f>628119704777</f>
        <v>628119704777</v>
      </c>
      <c r="N2901" s="17" t="s">
        <v>81</v>
      </c>
      <c r="V2901" s="18">
        <f>628119704777</f>
        <v>628119704777</v>
      </c>
    </row>
    <row r="2902" ht="15" customHeight="1" spans="1:22" x14ac:dyDescent="0.25">
      <c r="A2902" s="17" t="s">
        <v>8684</v>
      </c>
      <c r="B2902" s="17" t="s">
        <v>70</v>
      </c>
      <c r="C2902" s="17" t="s">
        <v>71</v>
      </c>
      <c r="D2902" t="s">
        <v>1236</v>
      </c>
      <c r="F2902" t="s">
        <v>8685</v>
      </c>
      <c r="K2902" s="18">
        <f>6281294774857</f>
        <v>6281294774857</v>
      </c>
      <c r="N2902" s="17" t="s">
        <v>81</v>
      </c>
      <c r="V2902" s="18">
        <f>6281294774857</f>
        <v>6281294774857</v>
      </c>
    </row>
    <row r="2903" ht="15" customHeight="1" spans="1:22" x14ac:dyDescent="0.25">
      <c r="A2903" s="17" t="s">
        <v>8686</v>
      </c>
      <c r="B2903" s="17" t="s">
        <v>70</v>
      </c>
      <c r="C2903" s="17" t="s">
        <v>71</v>
      </c>
      <c r="D2903" t="s">
        <v>1236</v>
      </c>
      <c r="F2903" t="s">
        <v>8687</v>
      </c>
      <c r="K2903" s="18">
        <f>6285900102819</f>
        <v>6285900102819</v>
      </c>
      <c r="N2903" s="17" t="s">
        <v>81</v>
      </c>
      <c r="V2903" s="18">
        <f>6285900102819</f>
        <v>6285900102819</v>
      </c>
    </row>
    <row r="2904" ht="15" customHeight="1" spans="1:25" x14ac:dyDescent="0.25">
      <c r="A2904" s="17" t="s">
        <v>8688</v>
      </c>
      <c r="B2904" s="17" t="s">
        <v>70</v>
      </c>
      <c r="C2904" s="17" t="s">
        <v>71</v>
      </c>
      <c r="D2904" t="s">
        <v>1236</v>
      </c>
      <c r="F2904" t="s">
        <v>8689</v>
      </c>
      <c r="J2904" s="17" t="s">
        <v>8690</v>
      </c>
      <c r="K2904" s="18">
        <f>6287710189777</f>
        <v>6287710189777</v>
      </c>
      <c r="N2904" s="17" t="s">
        <v>81</v>
      </c>
      <c r="U2904" s="17"/>
      <c r="V2904" s="18">
        <f>6287710189777</f>
        <v>6287710189777</v>
      </c>
      <c r="W2904" t="s">
        <v>8691</v>
      </c>
      <c r="Y2904" s="17" t="s">
        <v>96</v>
      </c>
    </row>
    <row r="2905" ht="15" customHeight="1" spans="1:28" x14ac:dyDescent="0.25">
      <c r="A2905" s="17" t="s">
        <v>8692</v>
      </c>
      <c r="B2905" s="17" t="s">
        <v>70</v>
      </c>
      <c r="C2905" s="17" t="s">
        <v>71</v>
      </c>
      <c r="D2905" t="s">
        <v>1236</v>
      </c>
      <c r="F2905" t="s">
        <v>4213</v>
      </c>
      <c r="J2905" t="s">
        <v>115</v>
      </c>
      <c r="K2905" s="18" t="s">
        <v>8693</v>
      </c>
      <c r="N2905" s="17" t="s">
        <v>77</v>
      </c>
      <c r="O2905" t="s">
        <v>117</v>
      </c>
      <c r="U2905" s="17"/>
      <c r="V2905" s="18" t="s">
        <v>8693</v>
      </c>
      <c r="W2905" t="s">
        <v>8694</v>
      </c>
      <c r="Y2905" s="17" t="s">
        <v>190</v>
      </c>
      <c r="AA2905" t="s">
        <v>118</v>
      </c>
      <c r="AB2905" t="s">
        <v>119</v>
      </c>
    </row>
    <row r="2906" ht="15" customHeight="1" spans="1:23" x14ac:dyDescent="0.25">
      <c r="A2906" s="17" t="s">
        <v>8695</v>
      </c>
      <c r="B2906" s="17" t="s">
        <v>70</v>
      </c>
      <c r="C2906" s="17" t="s">
        <v>71</v>
      </c>
      <c r="D2906" t="s">
        <v>1236</v>
      </c>
      <c r="F2906" t="s">
        <v>672</v>
      </c>
      <c r="K2906" s="18">
        <f>6287846326166</f>
        <v>6287846326166</v>
      </c>
      <c r="N2906" s="17" t="s">
        <v>81</v>
      </c>
      <c r="U2906" s="17"/>
      <c r="V2906" s="18">
        <f>6287846326166</f>
        <v>6287846326166</v>
      </c>
      <c r="W2906" t="s">
        <v>8696</v>
      </c>
    </row>
    <row r="2907" ht="15" customHeight="1" spans="1:27" x14ac:dyDescent="0.25">
      <c r="A2907" s="17" t="s">
        <v>8697</v>
      </c>
      <c r="B2907" s="17" t="s">
        <v>70</v>
      </c>
      <c r="C2907" s="17" t="s">
        <v>71</v>
      </c>
      <c r="D2907" t="s">
        <v>8698</v>
      </c>
      <c r="F2907" t="s">
        <v>8699</v>
      </c>
      <c r="K2907" s="18">
        <f>491722059360</f>
        <v>491722059360</v>
      </c>
      <c r="N2907" s="17" t="s">
        <v>81</v>
      </c>
      <c r="U2907" s="17"/>
      <c r="V2907" s="18">
        <f>491722059360</f>
        <v>491722059360</v>
      </c>
      <c r="W2907" t="s">
        <v>8700</v>
      </c>
      <c r="Y2907" s="17" t="s">
        <v>8701</v>
      </c>
      <c r="AA2907" s="17">
        <v>50968</v>
      </c>
    </row>
    <row r="2908" ht="15" customHeight="1" spans="1:22" x14ac:dyDescent="0.25">
      <c r="A2908" s="17" t="s">
        <v>8702</v>
      </c>
      <c r="B2908" s="17" t="s">
        <v>70</v>
      </c>
      <c r="C2908" s="17" t="s">
        <v>71</v>
      </c>
      <c r="D2908" t="s">
        <v>8703</v>
      </c>
      <c r="F2908" t="s">
        <v>8703</v>
      </c>
      <c r="K2908" s="18">
        <f>628161318666</f>
        <v>628161318666</v>
      </c>
      <c r="N2908" s="17" t="s">
        <v>77</v>
      </c>
      <c r="V2908" s="18">
        <f>628161318666</f>
        <v>628161318666</v>
      </c>
    </row>
    <row r="2909" ht="15" customHeight="1" spans="1:28" x14ac:dyDescent="0.25">
      <c r="A2909" s="17" t="s">
        <v>8704</v>
      </c>
      <c r="B2909" s="17" t="s">
        <v>70</v>
      </c>
      <c r="C2909" s="17" t="s">
        <v>71</v>
      </c>
      <c r="D2909" t="s">
        <v>8705</v>
      </c>
      <c r="F2909" t="s">
        <v>8705</v>
      </c>
      <c r="J2909" t="s">
        <v>115</v>
      </c>
      <c r="K2909" s="18" t="s">
        <v>8706</v>
      </c>
      <c r="N2909" s="17" t="s">
        <v>77</v>
      </c>
      <c r="O2909" t="s">
        <v>489</v>
      </c>
      <c r="V2909" s="18" t="s">
        <v>8706</v>
      </c>
      <c r="Y2909" t="s">
        <v>1702</v>
      </c>
      <c r="AA2909" t="s">
        <v>115</v>
      </c>
      <c r="AB2909" t="s">
        <v>119</v>
      </c>
    </row>
    <row r="2910" ht="15" customHeight="1" spans="1:22" x14ac:dyDescent="0.25">
      <c r="A2910" s="17" t="s">
        <v>8707</v>
      </c>
      <c r="B2910" s="17" t="s">
        <v>70</v>
      </c>
      <c r="C2910" s="17" t="s">
        <v>71</v>
      </c>
      <c r="D2910" t="s">
        <v>8708</v>
      </c>
      <c r="F2910" t="s">
        <v>8709</v>
      </c>
      <c r="K2910" s="18">
        <f>79009034683</f>
        <v>79009034683</v>
      </c>
      <c r="N2910" s="17" t="s">
        <v>81</v>
      </c>
      <c r="V2910" s="18">
        <f>79009034683</f>
        <v>79009034683</v>
      </c>
    </row>
    <row r="2911" ht="15" customHeight="1" spans="1:22" x14ac:dyDescent="0.25">
      <c r="A2911" s="17" t="s">
        <v>8710</v>
      </c>
      <c r="B2911" s="17" t="s">
        <v>70</v>
      </c>
      <c r="C2911" s="17" t="s">
        <v>71</v>
      </c>
      <c r="D2911" t="s">
        <v>8711</v>
      </c>
      <c r="F2911" t="s">
        <v>8544</v>
      </c>
      <c r="K2911" s="18">
        <f>62817251705</f>
        <v>62817251705</v>
      </c>
      <c r="N2911" s="17" t="s">
        <v>77</v>
      </c>
      <c r="V2911" s="18">
        <f>62817251705</f>
        <v>62817251705</v>
      </c>
    </row>
    <row r="2912" ht="15" customHeight="1" spans="1:22" x14ac:dyDescent="0.25">
      <c r="A2912" s="17" t="s">
        <v>8712</v>
      </c>
      <c r="B2912" s="17" t="s">
        <v>70</v>
      </c>
      <c r="C2912" s="17" t="s">
        <v>71</v>
      </c>
      <c r="D2912" t="s">
        <v>8713</v>
      </c>
      <c r="F2912" t="s">
        <v>8713</v>
      </c>
      <c r="K2912" s="18">
        <f>6281289990722</f>
        <v>6281289990722</v>
      </c>
      <c r="N2912" s="17" t="s">
        <v>77</v>
      </c>
      <c r="V2912" s="18">
        <f>6281289990722</f>
        <v>6281289990722</v>
      </c>
    </row>
    <row r="2913" ht="15" customHeight="1" spans="1:23" x14ac:dyDescent="0.25">
      <c r="A2913" s="17" t="s">
        <v>8714</v>
      </c>
      <c r="B2913" s="17" t="s">
        <v>70</v>
      </c>
      <c r="C2913" s="17" t="s">
        <v>71</v>
      </c>
      <c r="D2913" t="s">
        <v>8715</v>
      </c>
      <c r="F2913" t="s">
        <v>6461</v>
      </c>
      <c r="K2913" s="18">
        <f>62817187777</f>
        <v>62817187777</v>
      </c>
      <c r="N2913" s="17" t="s">
        <v>81</v>
      </c>
      <c r="U2913" s="17"/>
      <c r="V2913" s="18">
        <f>62817187777</f>
        <v>62817187777</v>
      </c>
      <c r="W2913" t="s">
        <v>8716</v>
      </c>
    </row>
    <row r="2914" ht="15" customHeight="1" spans="1:28" x14ac:dyDescent="0.25">
      <c r="A2914" s="17" t="s">
        <v>8717</v>
      </c>
      <c r="B2914" s="17" t="s">
        <v>70</v>
      </c>
      <c r="C2914" s="17" t="s">
        <v>71</v>
      </c>
      <c r="D2914" t="s">
        <v>8715</v>
      </c>
      <c r="F2914" t="s">
        <v>1792</v>
      </c>
      <c r="J2914" t="s">
        <v>115</v>
      </c>
      <c r="K2914" s="18" t="s">
        <v>8718</v>
      </c>
      <c r="N2914" s="17" t="s">
        <v>77</v>
      </c>
      <c r="O2914" t="s">
        <v>199</v>
      </c>
      <c r="V2914" s="18" t="s">
        <v>8718</v>
      </c>
      <c r="Y2914" t="s">
        <v>90</v>
      </c>
      <c r="AA2914" t="s">
        <v>118</v>
      </c>
      <c r="AB2914" t="s">
        <v>119</v>
      </c>
    </row>
    <row r="2915" ht="15" customHeight="1" spans="1:28" x14ac:dyDescent="0.25">
      <c r="A2915" s="17" t="s">
        <v>8719</v>
      </c>
      <c r="B2915" s="17" t="s">
        <v>70</v>
      </c>
      <c r="C2915" s="17" t="s">
        <v>71</v>
      </c>
      <c r="D2915" t="s">
        <v>8720</v>
      </c>
      <c r="F2915" t="s">
        <v>8721</v>
      </c>
      <c r="J2915" s="17" t="s">
        <v>8722</v>
      </c>
      <c r="K2915" s="18" t="s">
        <v>8723</v>
      </c>
      <c r="N2915" s="17" t="s">
        <v>77</v>
      </c>
      <c r="O2915" t="s">
        <v>145</v>
      </c>
      <c r="U2915" s="17"/>
      <c r="V2915" s="18" t="s">
        <v>8723</v>
      </c>
      <c r="W2915" t="s">
        <v>8724</v>
      </c>
      <c r="Y2915" t="s">
        <v>8725</v>
      </c>
      <c r="AA2915" t="s">
        <v>115</v>
      </c>
      <c r="AB2915" t="s">
        <v>119</v>
      </c>
    </row>
    <row r="2916" ht="15" customHeight="1" spans="1:22" x14ac:dyDescent="0.25">
      <c r="A2916" s="17" t="s">
        <v>8726</v>
      </c>
      <c r="B2916" s="17" t="s">
        <v>70</v>
      </c>
      <c r="C2916" s="17" t="s">
        <v>71</v>
      </c>
      <c r="D2916" t="s">
        <v>8727</v>
      </c>
      <c r="F2916" t="s">
        <v>8728</v>
      </c>
      <c r="K2916" s="18">
        <f>6282122422525</f>
        <v>6282122422525</v>
      </c>
      <c r="N2916" s="17" t="s">
        <v>77</v>
      </c>
      <c r="V2916" s="18">
        <f>6282122422525</f>
        <v>6282122422525</v>
      </c>
    </row>
    <row r="2917" ht="15" customHeight="1" spans="1:22" x14ac:dyDescent="0.25">
      <c r="A2917" s="17" t="s">
        <v>8729</v>
      </c>
      <c r="B2917" s="17" t="s">
        <v>70</v>
      </c>
      <c r="C2917" s="17" t="s">
        <v>71</v>
      </c>
      <c r="D2917" t="s">
        <v>8730</v>
      </c>
      <c r="F2917" t="s">
        <v>2730</v>
      </c>
      <c r="K2917" s="18">
        <f>6285213847688</f>
        <v>6285213847688</v>
      </c>
      <c r="N2917" s="17" t="s">
        <v>77</v>
      </c>
      <c r="V2917" s="18">
        <f>6285213847688</f>
        <v>6285213847688</v>
      </c>
    </row>
    <row r="2918" ht="15" customHeight="1" spans="1:22" x14ac:dyDescent="0.25">
      <c r="A2918" s="17" t="s">
        <v>8731</v>
      </c>
      <c r="B2918" s="17" t="s">
        <v>70</v>
      </c>
      <c r="C2918" s="17" t="s">
        <v>71</v>
      </c>
      <c r="D2918" t="s">
        <v>8730</v>
      </c>
      <c r="F2918" t="s">
        <v>629</v>
      </c>
      <c r="J2918" s="17" t="s">
        <v>8732</v>
      </c>
      <c r="K2918" s="18">
        <f>6285890951008</f>
        <v>6285890951008</v>
      </c>
      <c r="N2918" s="17" t="s">
        <v>77</v>
      </c>
      <c r="V2918" s="18">
        <f>6285890951008</f>
        <v>6285890951008</v>
      </c>
    </row>
    <row r="2919" ht="15" customHeight="1" spans="1:22" x14ac:dyDescent="0.25">
      <c r="A2919" s="17" t="s">
        <v>8733</v>
      </c>
      <c r="B2919" s="17" t="s">
        <v>70</v>
      </c>
      <c r="C2919" s="17" t="s">
        <v>71</v>
      </c>
      <c r="D2919" t="s">
        <v>8734</v>
      </c>
      <c r="F2919" t="s">
        <v>8734</v>
      </c>
      <c r="K2919" s="18">
        <f>6282133968516</f>
        <v>6282133968516</v>
      </c>
      <c r="N2919" s="17" t="s">
        <v>77</v>
      </c>
      <c r="V2919" s="18">
        <f>6282133968516</f>
        <v>6282133968516</v>
      </c>
    </row>
    <row r="2920" ht="15" customHeight="1" spans="1:22" x14ac:dyDescent="0.25">
      <c r="A2920" s="17" t="s">
        <v>8735</v>
      </c>
      <c r="B2920" s="17" t="s">
        <v>70</v>
      </c>
      <c r="C2920" s="17" t="s">
        <v>71</v>
      </c>
      <c r="D2920" t="s">
        <v>8734</v>
      </c>
      <c r="F2920" t="s">
        <v>8734</v>
      </c>
      <c r="K2920" s="18">
        <f>6281294835999</f>
        <v>6281294835999</v>
      </c>
      <c r="N2920" s="17" t="s">
        <v>74</v>
      </c>
      <c r="V2920" s="18">
        <f>6281294835999</f>
        <v>6281294835999</v>
      </c>
    </row>
    <row r="2921" ht="15" customHeight="1" spans="1:25" x14ac:dyDescent="0.25">
      <c r="A2921" s="17" t="s">
        <v>8736</v>
      </c>
      <c r="B2921" s="17" t="s">
        <v>70</v>
      </c>
      <c r="C2921" s="17" t="s">
        <v>71</v>
      </c>
      <c r="D2921" t="s">
        <v>8734</v>
      </c>
      <c r="F2921" t="s">
        <v>8737</v>
      </c>
      <c r="J2921" s="17" t="s">
        <v>8738</v>
      </c>
      <c r="K2921" s="18">
        <f>628159334608</f>
        <v>628159334608</v>
      </c>
      <c r="N2921" s="17" t="s">
        <v>77</v>
      </c>
      <c r="U2921" s="17"/>
      <c r="V2921" s="18">
        <f>628159334608</f>
        <v>628159334608</v>
      </c>
      <c r="W2921" t="s">
        <v>8739</v>
      </c>
      <c r="Y2921" s="17" t="s">
        <v>217</v>
      </c>
    </row>
    <row r="2922" ht="15" customHeight="1" spans="1:28" x14ac:dyDescent="0.25">
      <c r="A2922" s="17" t="s">
        <v>8740</v>
      </c>
      <c r="B2922" s="17" t="s">
        <v>70</v>
      </c>
      <c r="C2922" s="17" t="s">
        <v>71</v>
      </c>
      <c r="D2922" t="s">
        <v>8741</v>
      </c>
      <c r="F2922" t="s">
        <v>8741</v>
      </c>
      <c r="J2922" s="17" t="s">
        <v>8742</v>
      </c>
      <c r="K2922" s="18" t="s">
        <v>8743</v>
      </c>
      <c r="N2922" s="17" t="s">
        <v>77</v>
      </c>
      <c r="O2922" t="s">
        <v>489</v>
      </c>
      <c r="U2922" s="17"/>
      <c r="V2922" s="18" t="s">
        <v>8743</v>
      </c>
      <c r="W2922" t="s">
        <v>1908</v>
      </c>
      <c r="Y2922" t="s">
        <v>115</v>
      </c>
      <c r="AA2922" t="s">
        <v>115</v>
      </c>
      <c r="AB2922" t="s">
        <v>2605</v>
      </c>
    </row>
    <row r="2923" ht="15" customHeight="1" spans="1:23" x14ac:dyDescent="0.25">
      <c r="A2923" s="17" t="s">
        <v>8744</v>
      </c>
      <c r="B2923" s="17" t="s">
        <v>70</v>
      </c>
      <c r="C2923" s="17" t="s">
        <v>71</v>
      </c>
      <c r="D2923" t="s">
        <v>8741</v>
      </c>
      <c r="F2923" t="s">
        <v>8745</v>
      </c>
      <c r="K2923" s="18">
        <f>62812375158</f>
        <v>62812375158</v>
      </c>
      <c r="N2923" s="17" t="s">
        <v>77</v>
      </c>
      <c r="U2923" s="17"/>
      <c r="V2923" s="18">
        <f>62812375158</f>
        <v>62812375158</v>
      </c>
      <c r="W2923" t="s">
        <v>1908</v>
      </c>
    </row>
    <row r="2924" ht="15" customHeight="1" spans="1:22" x14ac:dyDescent="0.25">
      <c r="A2924" s="17" t="s">
        <v>8746</v>
      </c>
      <c r="B2924" s="17" t="s">
        <v>70</v>
      </c>
      <c r="C2924" s="17" t="s">
        <v>71</v>
      </c>
      <c r="D2924" t="s">
        <v>2976</v>
      </c>
      <c r="F2924" t="s">
        <v>2730</v>
      </c>
      <c r="K2924" s="18">
        <f>628118108000</f>
        <v>628118108000</v>
      </c>
      <c r="N2924" s="17" t="s">
        <v>81</v>
      </c>
      <c r="V2924" s="18">
        <f>628118108000</f>
        <v>628118108000</v>
      </c>
    </row>
    <row r="2925" ht="15" customHeight="1" spans="1:22" x14ac:dyDescent="0.25">
      <c r="A2925" s="17" t="s">
        <v>8747</v>
      </c>
      <c r="B2925" s="17" t="s">
        <v>70</v>
      </c>
      <c r="C2925" s="17" t="s">
        <v>71</v>
      </c>
      <c r="D2925" t="s">
        <v>8748</v>
      </c>
      <c r="F2925" t="s">
        <v>8748</v>
      </c>
      <c r="K2925" s="18">
        <f>6281281709099</f>
        <v>6281281709099</v>
      </c>
      <c r="N2925" s="17" t="s">
        <v>77</v>
      </c>
      <c r="V2925" s="18">
        <f>6281281709099</f>
        <v>6281281709099</v>
      </c>
    </row>
    <row r="2926" ht="15" customHeight="1" spans="1:22" x14ac:dyDescent="0.25">
      <c r="A2926" s="17" t="s">
        <v>8749</v>
      </c>
      <c r="B2926" s="17" t="s">
        <v>70</v>
      </c>
      <c r="C2926" s="17" t="s">
        <v>71</v>
      </c>
      <c r="D2926" t="s">
        <v>8748</v>
      </c>
      <c r="F2926" t="s">
        <v>8748</v>
      </c>
      <c r="K2926" s="18">
        <f>62811805884</f>
        <v>62811805884</v>
      </c>
      <c r="N2926" s="17" t="s">
        <v>81</v>
      </c>
      <c r="V2926" s="18">
        <f>62811805884</f>
        <v>62811805884</v>
      </c>
    </row>
    <row r="2927" ht="15" customHeight="1" spans="1:25" x14ac:dyDescent="0.25">
      <c r="A2927" s="17" t="s">
        <v>8750</v>
      </c>
      <c r="B2927" s="17" t="s">
        <v>70</v>
      </c>
      <c r="C2927" s="17" t="s">
        <v>71</v>
      </c>
      <c r="D2927" t="s">
        <v>4340</v>
      </c>
      <c r="F2927" t="s">
        <v>8751</v>
      </c>
      <c r="K2927" s="18">
        <f>6287790009090</f>
        <v>6287790009090</v>
      </c>
      <c r="N2927" s="17" t="s">
        <v>81</v>
      </c>
      <c r="U2927" s="17"/>
      <c r="V2927" s="18">
        <f>6287790009090</f>
        <v>6287790009090</v>
      </c>
      <c r="W2927" t="s">
        <v>8752</v>
      </c>
      <c r="Y2927" s="17" t="s">
        <v>96</v>
      </c>
    </row>
    <row r="2928" ht="15" customHeight="1" spans="1:22" x14ac:dyDescent="0.25">
      <c r="A2928" s="17" t="s">
        <v>8753</v>
      </c>
      <c r="B2928" s="17" t="s">
        <v>70</v>
      </c>
      <c r="C2928" s="17" t="s">
        <v>71</v>
      </c>
      <c r="D2928" t="s">
        <v>3086</v>
      </c>
      <c r="F2928" t="s">
        <v>106</v>
      </c>
      <c r="K2928" s="18">
        <f>62816835771</f>
        <v>62816835771</v>
      </c>
      <c r="N2928" s="17" t="s">
        <v>81</v>
      </c>
      <c r="V2928" s="18">
        <f>62816835771</f>
        <v>62816835771</v>
      </c>
    </row>
    <row r="2929" ht="15" customHeight="1" spans="1:28" x14ac:dyDescent="0.25">
      <c r="A2929" s="17" t="s">
        <v>8754</v>
      </c>
      <c r="B2929" s="17" t="s">
        <v>70</v>
      </c>
      <c r="C2929" s="17" t="s">
        <v>71</v>
      </c>
      <c r="D2929" t="s">
        <v>3086</v>
      </c>
      <c r="F2929" t="s">
        <v>8755</v>
      </c>
      <c r="J2929" t="s">
        <v>8756</v>
      </c>
      <c r="K2929" s="18" t="s">
        <v>8757</v>
      </c>
      <c r="N2929" s="17" t="s">
        <v>77</v>
      </c>
      <c r="O2929" t="s">
        <v>199</v>
      </c>
      <c r="U2929" s="17"/>
      <c r="V2929" s="18" t="s">
        <v>8757</v>
      </c>
      <c r="W2929" t="s">
        <v>8758</v>
      </c>
      <c r="Y2929" t="s">
        <v>96</v>
      </c>
      <c r="AA2929" t="s">
        <v>693</v>
      </c>
      <c r="AB2929" t="s">
        <v>119</v>
      </c>
    </row>
    <row r="2930" ht="15" customHeight="1" spans="1:22" x14ac:dyDescent="0.25">
      <c r="A2930" s="17" t="s">
        <v>8759</v>
      </c>
      <c r="B2930" s="17" t="s">
        <v>70</v>
      </c>
      <c r="C2930" s="17" t="s">
        <v>71</v>
      </c>
      <c r="D2930" t="s">
        <v>3086</v>
      </c>
      <c r="F2930" t="s">
        <v>301</v>
      </c>
      <c r="K2930" s="18">
        <f>62811950033</f>
        <v>62811950033</v>
      </c>
      <c r="N2930" s="17" t="s">
        <v>74</v>
      </c>
      <c r="V2930" s="18">
        <f>62811950033</f>
        <v>62811950033</v>
      </c>
    </row>
    <row r="2931" ht="15" customHeight="1" spans="1:22" x14ac:dyDescent="0.25">
      <c r="A2931" s="17" t="s">
        <v>8760</v>
      </c>
      <c r="B2931" s="17" t="s">
        <v>70</v>
      </c>
      <c r="C2931" s="17" t="s">
        <v>71</v>
      </c>
      <c r="D2931" t="s">
        <v>8761</v>
      </c>
      <c r="F2931" t="s">
        <v>8761</v>
      </c>
      <c r="K2931" s="18">
        <f>628129821243</f>
        <v>628129821243</v>
      </c>
      <c r="N2931" s="17" t="s">
        <v>77</v>
      </c>
      <c r="V2931" s="18">
        <f>628129821243</f>
        <v>628129821243</v>
      </c>
    </row>
    <row r="2932" ht="15" customHeight="1" spans="1:22" x14ac:dyDescent="0.25">
      <c r="A2932" s="17" t="s">
        <v>8762</v>
      </c>
      <c r="B2932" s="17" t="s">
        <v>70</v>
      </c>
      <c r="C2932" s="17" t="s">
        <v>71</v>
      </c>
      <c r="D2932" t="s">
        <v>8763</v>
      </c>
      <c r="F2932" t="s">
        <v>8763</v>
      </c>
      <c r="K2932" s="18">
        <f>62811101199</f>
        <v>62811101199</v>
      </c>
      <c r="N2932" s="17" t="s">
        <v>77</v>
      </c>
      <c r="V2932" s="18">
        <f>62811101199</f>
        <v>62811101199</v>
      </c>
    </row>
    <row r="2933" ht="15" customHeight="1" spans="1:22" x14ac:dyDescent="0.25">
      <c r="A2933" s="17" t="s">
        <v>8764</v>
      </c>
      <c r="B2933" s="17" t="s">
        <v>70</v>
      </c>
      <c r="C2933" s="17" t="s">
        <v>71</v>
      </c>
      <c r="D2933" t="s">
        <v>8765</v>
      </c>
      <c r="F2933" t="s">
        <v>8765</v>
      </c>
      <c r="K2933" s="18">
        <f>6287771967748</f>
        <v>6287771967748</v>
      </c>
      <c r="N2933" s="17" t="s">
        <v>81</v>
      </c>
      <c r="V2933" s="18">
        <f>6287771967748</f>
        <v>6287771967748</v>
      </c>
    </row>
    <row r="2934" ht="15" customHeight="1" spans="1:28" x14ac:dyDescent="0.25">
      <c r="A2934" s="17" t="s">
        <v>8766</v>
      </c>
      <c r="B2934" s="17" t="s">
        <v>70</v>
      </c>
      <c r="C2934" s="17" t="s">
        <v>71</v>
      </c>
      <c r="D2934" t="s">
        <v>8765</v>
      </c>
      <c r="F2934" t="s">
        <v>8767</v>
      </c>
      <c r="J2934" t="s">
        <v>8768</v>
      </c>
      <c r="K2934" s="18" t="s">
        <v>8769</v>
      </c>
      <c r="N2934" s="17" t="s">
        <v>77</v>
      </c>
      <c r="O2934" t="s">
        <v>199</v>
      </c>
      <c r="U2934" s="17"/>
      <c r="V2934" s="18" t="s">
        <v>8769</v>
      </c>
      <c r="W2934" t="s">
        <v>8770</v>
      </c>
      <c r="Y2934" s="17" t="s">
        <v>96</v>
      </c>
      <c r="AA2934" s="17" t="s">
        <v>693</v>
      </c>
      <c r="AB2934" t="s">
        <v>119</v>
      </c>
    </row>
    <row r="2935" ht="15" customHeight="1" spans="1:23" x14ac:dyDescent="0.25">
      <c r="A2935" s="17" t="s">
        <v>8771</v>
      </c>
      <c r="B2935" s="17" t="s">
        <v>70</v>
      </c>
      <c r="C2935" s="17" t="s">
        <v>71</v>
      </c>
      <c r="D2935" t="s">
        <v>8772</v>
      </c>
      <c r="F2935" t="s">
        <v>8773</v>
      </c>
      <c r="J2935" s="17" t="s">
        <v>8774</v>
      </c>
      <c r="K2935" s="18">
        <f>62816806700</f>
        <v>62816806700</v>
      </c>
      <c r="N2935" s="17" t="s">
        <v>81</v>
      </c>
      <c r="U2935" s="17"/>
      <c r="V2935" s="18">
        <f>62816806700</f>
        <v>62816806700</v>
      </c>
      <c r="W2935" t="s">
        <v>8775</v>
      </c>
    </row>
    <row r="2936" ht="15" customHeight="1" spans="1:23" x14ac:dyDescent="0.25">
      <c r="A2936" s="17" t="s">
        <v>8776</v>
      </c>
      <c r="B2936" s="17" t="s">
        <v>70</v>
      </c>
      <c r="C2936" s="17" t="s">
        <v>71</v>
      </c>
      <c r="D2936" t="s">
        <v>8777</v>
      </c>
      <c r="F2936" t="s">
        <v>8778</v>
      </c>
      <c r="K2936" s="18">
        <f>62811133127</f>
        <v>62811133127</v>
      </c>
      <c r="N2936" s="17" t="s">
        <v>81</v>
      </c>
      <c r="U2936" s="17"/>
      <c r="V2936" s="18">
        <f>62811133127</f>
        <v>62811133127</v>
      </c>
      <c r="W2936" t="s">
        <v>8779</v>
      </c>
    </row>
    <row r="2937" ht="15" customHeight="1" spans="1:23" x14ac:dyDescent="0.25">
      <c r="A2937" s="17" t="s">
        <v>8780</v>
      </c>
      <c r="B2937" s="17" t="s">
        <v>70</v>
      </c>
      <c r="C2937" s="17" t="s">
        <v>71</v>
      </c>
      <c r="D2937" t="s">
        <v>8781</v>
      </c>
      <c r="F2937" t="s">
        <v>8781</v>
      </c>
      <c r="K2937" s="18">
        <f>6281288888366</f>
        <v>6281288888366</v>
      </c>
      <c r="N2937" s="17" t="s">
        <v>77</v>
      </c>
      <c r="U2937" s="17"/>
      <c r="V2937" s="18">
        <f>6281288888366</f>
        <v>6281288888366</v>
      </c>
      <c r="W2937" t="s">
        <v>90</v>
      </c>
    </row>
    <row r="2938" ht="15" customHeight="1" spans="1:22" x14ac:dyDescent="0.25">
      <c r="A2938" s="17" t="s">
        <v>8782</v>
      </c>
      <c r="B2938" s="17" t="s">
        <v>70</v>
      </c>
      <c r="C2938" s="17" t="s">
        <v>71</v>
      </c>
      <c r="D2938" t="s">
        <v>8783</v>
      </c>
      <c r="F2938" t="s">
        <v>1704</v>
      </c>
      <c r="K2938" s="18">
        <f>62811141634</f>
        <v>62811141634</v>
      </c>
      <c r="N2938" s="17" t="s">
        <v>74</v>
      </c>
      <c r="V2938" s="18">
        <f>62811141634</f>
        <v>62811141634</v>
      </c>
    </row>
    <row r="2939" ht="15" customHeight="1" spans="1:22" x14ac:dyDescent="0.25">
      <c r="A2939" s="17" t="s">
        <v>8784</v>
      </c>
      <c r="B2939" s="17" t="s">
        <v>70</v>
      </c>
      <c r="C2939" s="17" t="s">
        <v>71</v>
      </c>
      <c r="D2939" t="s">
        <v>851</v>
      </c>
      <c r="F2939" t="s">
        <v>8785</v>
      </c>
      <c r="K2939" s="18">
        <f>6281341709470</f>
        <v>6281341709470</v>
      </c>
      <c r="N2939" s="17" t="s">
        <v>77</v>
      </c>
      <c r="V2939" s="18">
        <f>6281341709470</f>
        <v>6281341709470</v>
      </c>
    </row>
    <row r="2940" ht="15" customHeight="1" spans="1:28" x14ac:dyDescent="0.25">
      <c r="A2940" s="17" t="s">
        <v>8786</v>
      </c>
      <c r="B2940" s="17" t="s">
        <v>70</v>
      </c>
      <c r="C2940" s="17" t="s">
        <v>71</v>
      </c>
      <c r="D2940" t="s">
        <v>8787</v>
      </c>
      <c r="F2940" t="s">
        <v>1130</v>
      </c>
      <c r="J2940" t="s">
        <v>115</v>
      </c>
      <c r="K2940" s="18" t="s">
        <v>8788</v>
      </c>
      <c r="N2940" s="17" t="s">
        <v>77</v>
      </c>
      <c r="O2940" t="s">
        <v>199</v>
      </c>
      <c r="V2940" s="18" t="s">
        <v>8788</v>
      </c>
      <c r="Y2940" t="s">
        <v>190</v>
      </c>
      <c r="AA2940" t="s">
        <v>118</v>
      </c>
      <c r="AB2940" t="s">
        <v>119</v>
      </c>
    </row>
    <row r="2941" ht="15" customHeight="1" spans="1:28" x14ac:dyDescent="0.25">
      <c r="A2941" s="17" t="s">
        <v>8789</v>
      </c>
      <c r="B2941" s="17" t="s">
        <v>70</v>
      </c>
      <c r="C2941" s="17" t="s">
        <v>71</v>
      </c>
      <c r="D2941" t="s">
        <v>851</v>
      </c>
      <c r="F2941" t="s">
        <v>8790</v>
      </c>
      <c r="J2941" s="17" t="s">
        <v>8791</v>
      </c>
      <c r="K2941" s="18" t="s">
        <v>8792</v>
      </c>
      <c r="N2941" s="17" t="s">
        <v>77</v>
      </c>
      <c r="O2941" t="s">
        <v>145</v>
      </c>
      <c r="V2941" s="18" t="s">
        <v>8792</v>
      </c>
      <c r="Y2941" t="s">
        <v>90</v>
      </c>
      <c r="AA2941" t="s">
        <v>118</v>
      </c>
      <c r="AB2941" t="s">
        <v>119</v>
      </c>
    </row>
    <row r="2942" ht="15" customHeight="1" spans="1:22" x14ac:dyDescent="0.25">
      <c r="A2942" s="17" t="s">
        <v>8793</v>
      </c>
      <c r="B2942" s="17" t="s">
        <v>70</v>
      </c>
      <c r="C2942" s="17" t="s">
        <v>71</v>
      </c>
      <c r="D2942" t="s">
        <v>851</v>
      </c>
      <c r="F2942" t="s">
        <v>672</v>
      </c>
      <c r="J2942" s="17" t="s">
        <v>8794</v>
      </c>
      <c r="K2942" s="18">
        <f>628176000723</f>
        <v>628176000723</v>
      </c>
      <c r="N2942" s="17" t="s">
        <v>77</v>
      </c>
      <c r="V2942" s="18">
        <f>628176000723</f>
        <v>628176000723</v>
      </c>
    </row>
    <row r="2943" ht="15" customHeight="1" spans="1:22" x14ac:dyDescent="0.25">
      <c r="A2943" s="17" t="s">
        <v>8795</v>
      </c>
      <c r="B2943" s="17" t="s">
        <v>70</v>
      </c>
      <c r="C2943" s="17" t="s">
        <v>71</v>
      </c>
      <c r="D2943" t="s">
        <v>8796</v>
      </c>
      <c r="F2943" t="s">
        <v>8797</v>
      </c>
      <c r="K2943" s="18">
        <f>62811955262</f>
        <v>62811955262</v>
      </c>
      <c r="N2943" s="17" t="s">
        <v>77</v>
      </c>
      <c r="V2943" s="18">
        <f>62811955262</f>
        <v>62811955262</v>
      </c>
    </row>
    <row r="2944" ht="15" customHeight="1" spans="1:22" x14ac:dyDescent="0.25">
      <c r="A2944" s="17" t="s">
        <v>8798</v>
      </c>
      <c r="B2944" s="17" t="s">
        <v>70</v>
      </c>
      <c r="C2944" s="17" t="s">
        <v>71</v>
      </c>
      <c r="D2944" t="s">
        <v>8799</v>
      </c>
      <c r="F2944" t="s">
        <v>8387</v>
      </c>
      <c r="K2944" s="18">
        <f>628114122839</f>
        <v>628114122839</v>
      </c>
      <c r="N2944" s="17" t="s">
        <v>81</v>
      </c>
      <c r="V2944" s="18">
        <f>628114122839</f>
        <v>628114122839</v>
      </c>
    </row>
    <row r="2945" ht="15" customHeight="1" spans="1:22" x14ac:dyDescent="0.25">
      <c r="A2945" s="17" t="s">
        <v>8800</v>
      </c>
      <c r="B2945" s="17" t="s">
        <v>70</v>
      </c>
      <c r="C2945" s="17" t="s">
        <v>71</v>
      </c>
      <c r="D2945" t="s">
        <v>8801</v>
      </c>
      <c r="F2945" t="s">
        <v>8801</v>
      </c>
      <c r="K2945" s="18">
        <f>628551000446</f>
        <v>628551000446</v>
      </c>
      <c r="N2945" s="17" t="s">
        <v>77</v>
      </c>
      <c r="V2945" s="18">
        <f>628551000446</f>
        <v>628551000446</v>
      </c>
    </row>
    <row r="2946" ht="15" customHeight="1" spans="1:22" x14ac:dyDescent="0.25">
      <c r="A2946" s="17" t="s">
        <v>8802</v>
      </c>
      <c r="B2946" s="17" t="s">
        <v>70</v>
      </c>
      <c r="C2946" s="17" t="s">
        <v>71</v>
      </c>
      <c r="D2946" t="s">
        <v>8803</v>
      </c>
      <c r="F2946" t="s">
        <v>8803</v>
      </c>
      <c r="K2946" s="18">
        <f>6281380111965</f>
        <v>6281380111965</v>
      </c>
      <c r="N2946" s="17" t="s">
        <v>77</v>
      </c>
      <c r="V2946" s="18">
        <f>6281380111965</f>
        <v>6281380111965</v>
      </c>
    </row>
    <row r="2947" ht="15" customHeight="1" spans="1:22" x14ac:dyDescent="0.25">
      <c r="A2947" s="17" t="s">
        <v>8804</v>
      </c>
      <c r="B2947" s="17" t="s">
        <v>70</v>
      </c>
      <c r="C2947" s="17" t="s">
        <v>71</v>
      </c>
      <c r="D2947" t="s">
        <v>8805</v>
      </c>
      <c r="F2947" t="s">
        <v>8805</v>
      </c>
      <c r="K2947" s="18">
        <f>628128213313</f>
        <v>628128213313</v>
      </c>
      <c r="N2947" s="17" t="s">
        <v>77</v>
      </c>
      <c r="V2947" s="18">
        <f>628128213313</f>
        <v>628128213313</v>
      </c>
    </row>
    <row r="2948" ht="15" customHeight="1" spans="1:28" x14ac:dyDescent="0.25">
      <c r="A2948" s="17" t="s">
        <v>8806</v>
      </c>
      <c r="B2948" s="17" t="s">
        <v>70</v>
      </c>
      <c r="C2948" s="17" t="s">
        <v>71</v>
      </c>
      <c r="D2948" t="s">
        <v>8807</v>
      </c>
      <c r="F2948" t="s">
        <v>225</v>
      </c>
      <c r="J2948" t="s">
        <v>115</v>
      </c>
      <c r="K2948" s="18" t="s">
        <v>8808</v>
      </c>
      <c r="N2948" s="17" t="s">
        <v>77</v>
      </c>
      <c r="O2948" t="s">
        <v>117</v>
      </c>
      <c r="V2948" s="18" t="s">
        <v>8808</v>
      </c>
      <c r="Y2948" t="s">
        <v>190</v>
      </c>
      <c r="AA2948" t="s">
        <v>118</v>
      </c>
      <c r="AB2948" t="s">
        <v>119</v>
      </c>
    </row>
    <row r="2949" ht="15" customHeight="1" spans="1:23" x14ac:dyDescent="0.25">
      <c r="A2949" s="17" t="s">
        <v>8809</v>
      </c>
      <c r="B2949" s="17" t="s">
        <v>70</v>
      </c>
      <c r="C2949" s="17" t="s">
        <v>71</v>
      </c>
      <c r="D2949" t="s">
        <v>8810</v>
      </c>
      <c r="F2949" t="s">
        <v>5967</v>
      </c>
      <c r="K2949" s="18">
        <f>628159395872</f>
        <v>628159395872</v>
      </c>
      <c r="N2949" s="17" t="s">
        <v>77</v>
      </c>
      <c r="U2949" s="17"/>
      <c r="V2949" s="18">
        <f>628159395872</f>
        <v>628159395872</v>
      </c>
      <c r="W2949" t="s">
        <v>8811</v>
      </c>
    </row>
    <row r="2950" ht="15" customHeight="1" spans="1:28" x14ac:dyDescent="0.25">
      <c r="A2950" s="17" t="s">
        <v>8812</v>
      </c>
      <c r="B2950" s="17" t="s">
        <v>70</v>
      </c>
      <c r="C2950" s="17" t="s">
        <v>71</v>
      </c>
      <c r="D2950" t="s">
        <v>8813</v>
      </c>
      <c r="F2950" t="s">
        <v>8813</v>
      </c>
      <c r="J2950" t="s">
        <v>115</v>
      </c>
      <c r="K2950" s="18" t="s">
        <v>8814</v>
      </c>
      <c r="N2950" s="17" t="s">
        <v>81</v>
      </c>
      <c r="O2950" t="s">
        <v>117</v>
      </c>
      <c r="V2950" s="18" t="s">
        <v>8814</v>
      </c>
      <c r="Y2950" t="s">
        <v>190</v>
      </c>
      <c r="AA2950" t="s">
        <v>118</v>
      </c>
      <c r="AB2950" t="s">
        <v>119</v>
      </c>
    </row>
    <row r="2951" ht="15" customHeight="1" spans="1:22" x14ac:dyDescent="0.25">
      <c r="A2951" s="17" t="s">
        <v>8815</v>
      </c>
      <c r="B2951" s="17" t="s">
        <v>70</v>
      </c>
      <c r="C2951" s="17" t="s">
        <v>71</v>
      </c>
      <c r="D2951" t="s">
        <v>8816</v>
      </c>
      <c r="F2951" t="s">
        <v>8817</v>
      </c>
      <c r="K2951" s="18">
        <f>628812351100</f>
        <v>628812351100</v>
      </c>
      <c r="N2951" s="17" t="s">
        <v>74</v>
      </c>
      <c r="V2951" s="18">
        <f>628812351100</f>
        <v>628812351100</v>
      </c>
    </row>
    <row r="2952" ht="15" customHeight="1" spans="1:27" x14ac:dyDescent="0.25">
      <c r="A2952" s="17" t="s">
        <v>8818</v>
      </c>
      <c r="B2952" s="17" t="s">
        <v>70</v>
      </c>
      <c r="C2952" s="17" t="s">
        <v>71</v>
      </c>
      <c r="D2952" t="s">
        <v>8816</v>
      </c>
      <c r="F2952" t="s">
        <v>8819</v>
      </c>
      <c r="K2952" s="18">
        <v>126248388</v>
      </c>
      <c r="N2952" s="17" t="s">
        <v>77</v>
      </c>
      <c r="U2952" s="17"/>
      <c r="V2952" s="18">
        <v>126248388</v>
      </c>
      <c r="W2952" t="s">
        <v>8820</v>
      </c>
      <c r="Y2952" s="17" t="s">
        <v>8821</v>
      </c>
      <c r="AA2952" s="17" t="s">
        <v>8822</v>
      </c>
    </row>
    <row r="2953" ht="15" customHeight="1" spans="1:22" x14ac:dyDescent="0.25">
      <c r="A2953" s="17" t="s">
        <v>8823</v>
      </c>
      <c r="B2953" s="17" t="s">
        <v>70</v>
      </c>
      <c r="C2953" s="17" t="s">
        <v>71</v>
      </c>
      <c r="D2953" t="s">
        <v>8824</v>
      </c>
      <c r="F2953" t="s">
        <v>8825</v>
      </c>
      <c r="K2953" s="18">
        <f>6281338747877</f>
        <v>6281338747877</v>
      </c>
      <c r="N2953" s="17" t="s">
        <v>77</v>
      </c>
      <c r="V2953" s="18">
        <f>6281338747877</f>
        <v>6281338747877</v>
      </c>
    </row>
    <row r="2954" ht="15" customHeight="1" spans="1:22" x14ac:dyDescent="0.25">
      <c r="A2954" s="17" t="s">
        <v>8826</v>
      </c>
      <c r="B2954" s="17" t="s">
        <v>70</v>
      </c>
      <c r="C2954" s="17" t="s">
        <v>71</v>
      </c>
      <c r="D2954" t="s">
        <v>8827</v>
      </c>
      <c r="F2954" t="s">
        <v>8827</v>
      </c>
      <c r="K2954" s="18">
        <f>6281228811192</f>
        <v>6281228811192</v>
      </c>
      <c r="N2954" s="17" t="s">
        <v>77</v>
      </c>
      <c r="V2954" s="18">
        <f>6281228811192</f>
        <v>6281228811192</v>
      </c>
    </row>
    <row r="2955" ht="15" customHeight="1" spans="1:23" x14ac:dyDescent="0.25">
      <c r="A2955" s="17" t="s">
        <v>8828</v>
      </c>
      <c r="B2955" s="17" t="s">
        <v>70</v>
      </c>
      <c r="C2955" s="17" t="s">
        <v>71</v>
      </c>
      <c r="D2955" t="s">
        <v>296</v>
      </c>
      <c r="F2955" t="s">
        <v>296</v>
      </c>
      <c r="K2955" s="18">
        <f>6584200353</f>
        <v>6584200353</v>
      </c>
      <c r="N2955" s="17" t="s">
        <v>77</v>
      </c>
      <c r="U2955" s="17"/>
      <c r="V2955" s="18">
        <f>6584200353</f>
        <v>6584200353</v>
      </c>
      <c r="W2955" t="s">
        <v>90</v>
      </c>
    </row>
    <row r="2956" ht="15" customHeight="1" spans="1:22" x14ac:dyDescent="0.25">
      <c r="A2956" s="17" t="s">
        <v>8829</v>
      </c>
      <c r="B2956" s="17" t="s">
        <v>70</v>
      </c>
      <c r="C2956" s="17" t="s">
        <v>71</v>
      </c>
      <c r="D2956" t="s">
        <v>296</v>
      </c>
      <c r="F2956" t="s">
        <v>296</v>
      </c>
      <c r="K2956" s="18">
        <f>62213107214</f>
        <v>62213107214</v>
      </c>
      <c r="N2956" s="17" t="s">
        <v>74</v>
      </c>
      <c r="V2956" s="18">
        <f>62213107214</f>
        <v>62213107214</v>
      </c>
    </row>
    <row r="2957" ht="15" customHeight="1" spans="1:25" x14ac:dyDescent="0.25">
      <c r="A2957" s="17" t="s">
        <v>8830</v>
      </c>
      <c r="B2957" s="17" t="s">
        <v>70</v>
      </c>
      <c r="C2957" s="17" t="s">
        <v>71</v>
      </c>
      <c r="D2957" t="s">
        <v>7049</v>
      </c>
      <c r="F2957" t="s">
        <v>7049</v>
      </c>
      <c r="K2957" s="18">
        <f>62816907607</f>
        <v>62816907607</v>
      </c>
      <c r="N2957" s="17" t="s">
        <v>77</v>
      </c>
      <c r="U2957" s="17"/>
      <c r="V2957" s="18">
        <f>62816907607</f>
        <v>62816907607</v>
      </c>
      <c r="W2957" t="s">
        <v>8831</v>
      </c>
      <c r="Y2957" s="17" t="s">
        <v>500</v>
      </c>
    </row>
    <row r="2958" ht="15" customHeight="1" spans="1:22" x14ac:dyDescent="0.25">
      <c r="A2958" s="17" t="s">
        <v>8832</v>
      </c>
      <c r="B2958" s="17" t="s">
        <v>70</v>
      </c>
      <c r="C2958" s="17" t="s">
        <v>71</v>
      </c>
      <c r="D2958" t="s">
        <v>7049</v>
      </c>
      <c r="F2958" t="s">
        <v>7049</v>
      </c>
      <c r="K2958" s="18">
        <f>6282136539998</f>
        <v>6282136539998</v>
      </c>
      <c r="N2958" s="17" t="s">
        <v>77</v>
      </c>
      <c r="V2958" s="18">
        <f>6282136539998</f>
        <v>6282136539998</v>
      </c>
    </row>
    <row r="2959" ht="15" customHeight="1" spans="1:22" x14ac:dyDescent="0.25">
      <c r="A2959" s="17" t="s">
        <v>8833</v>
      </c>
      <c r="B2959" s="17" t="s">
        <v>70</v>
      </c>
      <c r="C2959" s="17" t="s">
        <v>71</v>
      </c>
      <c r="D2959" t="s">
        <v>7049</v>
      </c>
      <c r="F2959" t="s">
        <v>7049</v>
      </c>
      <c r="K2959" s="18">
        <f>8618906053168</f>
        <v>8618906053168</v>
      </c>
      <c r="N2959" s="17" t="s">
        <v>81</v>
      </c>
      <c r="V2959" s="18">
        <f>8618906053168</f>
        <v>8618906053168</v>
      </c>
    </row>
    <row r="2960" ht="15" customHeight="1" spans="1:22" x14ac:dyDescent="0.25">
      <c r="A2960" s="17" t="s">
        <v>8834</v>
      </c>
      <c r="B2960" s="17" t="s">
        <v>70</v>
      </c>
      <c r="C2960" s="17" t="s">
        <v>71</v>
      </c>
      <c r="D2960" t="s">
        <v>7049</v>
      </c>
      <c r="F2960" t="s">
        <v>7049</v>
      </c>
      <c r="K2960" s="18">
        <f>62811162234</f>
        <v>62811162234</v>
      </c>
      <c r="N2960" s="17" t="s">
        <v>77</v>
      </c>
      <c r="V2960" s="18">
        <f>62811162234</f>
        <v>62811162234</v>
      </c>
    </row>
    <row r="2961" ht="15" customHeight="1" spans="1:27" x14ac:dyDescent="0.25">
      <c r="A2961" s="17" t="s">
        <v>8835</v>
      </c>
      <c r="B2961" s="17" t="s">
        <v>70</v>
      </c>
      <c r="C2961" s="17" t="s">
        <v>71</v>
      </c>
      <c r="D2961" t="s">
        <v>7049</v>
      </c>
      <c r="F2961" t="s">
        <v>8836</v>
      </c>
      <c r="K2961" s="18">
        <f>62818197003</f>
        <v>62818197003</v>
      </c>
      <c r="N2961" s="17" t="s">
        <v>74</v>
      </c>
      <c r="U2961" s="17"/>
      <c r="V2961" s="18">
        <f>62818197003</f>
        <v>62818197003</v>
      </c>
      <c r="W2961" t="s">
        <v>8837</v>
      </c>
      <c r="Y2961" s="17" t="s">
        <v>378</v>
      </c>
      <c r="AA2961" s="17" t="s">
        <v>1529</v>
      </c>
    </row>
    <row r="2962" ht="15" customHeight="1" spans="1:22" x14ac:dyDescent="0.25">
      <c r="A2962" s="17" t="s">
        <v>8838</v>
      </c>
      <c r="B2962" s="17" t="s">
        <v>70</v>
      </c>
      <c r="C2962" s="17" t="s">
        <v>71</v>
      </c>
      <c r="D2962" t="s">
        <v>7049</v>
      </c>
      <c r="F2962" t="s">
        <v>8839</v>
      </c>
      <c r="K2962" s="18">
        <f>6281511113000</f>
        <v>6281511113000</v>
      </c>
      <c r="N2962" s="17" t="s">
        <v>81</v>
      </c>
      <c r="V2962" s="18">
        <f>6281511113000</f>
        <v>6281511113000</v>
      </c>
    </row>
    <row r="2963" ht="15" customHeight="1" spans="1:22" x14ac:dyDescent="0.25">
      <c r="A2963" s="17" t="s">
        <v>8840</v>
      </c>
      <c r="B2963" s="17" t="s">
        <v>70</v>
      </c>
      <c r="C2963" s="17" t="s">
        <v>71</v>
      </c>
      <c r="D2963" t="s">
        <v>7049</v>
      </c>
      <c r="F2963" t="s">
        <v>212</v>
      </c>
      <c r="K2963" s="18">
        <f>628161807115</f>
        <v>628161807115</v>
      </c>
      <c r="N2963" s="17" t="s">
        <v>77</v>
      </c>
      <c r="V2963" s="18">
        <f>628161807115</f>
        <v>628161807115</v>
      </c>
    </row>
    <row r="2964" ht="15" customHeight="1" spans="1:28" x14ac:dyDescent="0.25">
      <c r="A2964" s="17" t="s">
        <v>8841</v>
      </c>
      <c r="B2964" s="17" t="s">
        <v>70</v>
      </c>
      <c r="C2964" s="17" t="s">
        <v>71</v>
      </c>
      <c r="D2964" t="s">
        <v>8842</v>
      </c>
      <c r="F2964" t="s">
        <v>8843</v>
      </c>
      <c r="J2964" t="s">
        <v>115</v>
      </c>
      <c r="K2964" s="18" t="s">
        <v>8844</v>
      </c>
      <c r="N2964" s="17" t="s">
        <v>77</v>
      </c>
      <c r="O2964" t="s">
        <v>145</v>
      </c>
      <c r="V2964" s="18" t="s">
        <v>8844</v>
      </c>
      <c r="Y2964" t="s">
        <v>90</v>
      </c>
      <c r="AA2964" t="s">
        <v>118</v>
      </c>
      <c r="AB2964" t="s">
        <v>119</v>
      </c>
    </row>
    <row r="2965" ht="15" customHeight="1" spans="1:22" x14ac:dyDescent="0.25">
      <c r="A2965" s="17" t="s">
        <v>8845</v>
      </c>
      <c r="B2965" s="17" t="s">
        <v>70</v>
      </c>
      <c r="C2965" s="17" t="s">
        <v>71</v>
      </c>
      <c r="D2965" t="s">
        <v>7049</v>
      </c>
      <c r="F2965" t="s">
        <v>5447</v>
      </c>
      <c r="K2965" s="18">
        <f>6287877195784</f>
        <v>6287877195784</v>
      </c>
      <c r="N2965" s="17" t="s">
        <v>77</v>
      </c>
      <c r="V2965" s="18">
        <f>6287877195784</f>
        <v>6287877195784</v>
      </c>
    </row>
    <row r="2966" ht="15" customHeight="1" spans="1:28" x14ac:dyDescent="0.25">
      <c r="A2966" s="17" t="s">
        <v>8846</v>
      </c>
      <c r="B2966" s="17" t="s">
        <v>70</v>
      </c>
      <c r="C2966" s="17" t="s">
        <v>71</v>
      </c>
      <c r="D2966" t="s">
        <v>7049</v>
      </c>
      <c r="F2966" t="s">
        <v>8847</v>
      </c>
      <c r="J2966" t="s">
        <v>115</v>
      </c>
      <c r="K2966" s="18" t="s">
        <v>8848</v>
      </c>
      <c r="N2966" s="17" t="s">
        <v>77</v>
      </c>
      <c r="O2966" t="s">
        <v>117</v>
      </c>
      <c r="V2966" s="18" t="s">
        <v>8848</v>
      </c>
      <c r="Y2966" t="s">
        <v>90</v>
      </c>
      <c r="AA2966" t="s">
        <v>118</v>
      </c>
      <c r="AB2966" t="s">
        <v>119</v>
      </c>
    </row>
    <row r="2967" ht="15" customHeight="1" spans="1:22" x14ac:dyDescent="0.25">
      <c r="A2967" s="17" t="s">
        <v>8849</v>
      </c>
      <c r="B2967" s="17" t="s">
        <v>70</v>
      </c>
      <c r="C2967" s="17" t="s">
        <v>71</v>
      </c>
      <c r="D2967" t="s">
        <v>7049</v>
      </c>
      <c r="F2967" t="s">
        <v>8660</v>
      </c>
      <c r="J2967" s="17" t="s">
        <v>8850</v>
      </c>
      <c r="K2967" s="18">
        <f>628161658657</f>
        <v>628161658657</v>
      </c>
      <c r="N2967" s="17" t="s">
        <v>77</v>
      </c>
      <c r="V2967" s="18">
        <f>628161658657</f>
        <v>628161658657</v>
      </c>
    </row>
    <row r="2968" ht="15" customHeight="1" spans="1:28" x14ac:dyDescent="0.25">
      <c r="A2968" s="17" t="s">
        <v>8851</v>
      </c>
      <c r="B2968" s="17" t="s">
        <v>70</v>
      </c>
      <c r="C2968" s="17" t="s">
        <v>71</v>
      </c>
      <c r="D2968" t="s">
        <v>7049</v>
      </c>
      <c r="F2968" t="s">
        <v>1694</v>
      </c>
      <c r="J2968" t="s">
        <v>115</v>
      </c>
      <c r="K2968" s="18" t="s">
        <v>8852</v>
      </c>
      <c r="N2968" s="17" t="s">
        <v>81</v>
      </c>
      <c r="O2968" t="s">
        <v>199</v>
      </c>
      <c r="U2968" s="17"/>
      <c r="V2968" s="18" t="s">
        <v>8852</v>
      </c>
      <c r="W2968" t="s">
        <v>8853</v>
      </c>
      <c r="Y2968" t="s">
        <v>90</v>
      </c>
      <c r="AA2968" t="s">
        <v>118</v>
      </c>
      <c r="AB2968" t="s">
        <v>119</v>
      </c>
    </row>
    <row r="2969" ht="15" customHeight="1" spans="1:23" x14ac:dyDescent="0.25">
      <c r="A2969" s="17" t="s">
        <v>8854</v>
      </c>
      <c r="B2969" s="17" t="s">
        <v>70</v>
      </c>
      <c r="C2969" s="17" t="s">
        <v>71</v>
      </c>
      <c r="D2969" t="s">
        <v>7049</v>
      </c>
      <c r="F2969" t="s">
        <v>3242</v>
      </c>
      <c r="K2969" s="18" t="s">
        <v>8855</v>
      </c>
      <c r="N2969" s="17" t="s">
        <v>77</v>
      </c>
      <c r="U2969" s="17"/>
      <c r="V2969" s="18" t="s">
        <v>8855</v>
      </c>
      <c r="W2969" t="s">
        <v>8856</v>
      </c>
    </row>
    <row r="2970" ht="15" customHeight="1" spans="1:25" x14ac:dyDescent="0.25">
      <c r="A2970" s="17" t="s">
        <v>8857</v>
      </c>
      <c r="B2970" s="17" t="s">
        <v>70</v>
      </c>
      <c r="C2970" s="17" t="s">
        <v>71</v>
      </c>
      <c r="D2970" t="s">
        <v>7049</v>
      </c>
      <c r="F2970" t="s">
        <v>8858</v>
      </c>
      <c r="K2970" s="18">
        <f>62817778818</f>
        <v>62817778818</v>
      </c>
      <c r="N2970" s="17" t="s">
        <v>77</v>
      </c>
      <c r="U2970" s="17"/>
      <c r="V2970" s="18">
        <f>62817778818</f>
        <v>62817778818</v>
      </c>
      <c r="W2970" t="s">
        <v>8859</v>
      </c>
      <c r="Y2970" s="17" t="s">
        <v>90</v>
      </c>
    </row>
    <row r="2971" ht="15" customHeight="1" spans="1:23" x14ac:dyDescent="0.25">
      <c r="A2971" s="17" t="s">
        <v>8860</v>
      </c>
      <c r="B2971" s="17" t="s">
        <v>70</v>
      </c>
      <c r="C2971" s="17" t="s">
        <v>71</v>
      </c>
      <c r="D2971" t="s">
        <v>7049</v>
      </c>
      <c r="F2971" t="s">
        <v>8861</v>
      </c>
      <c r="J2971" s="17" t="s">
        <v>8862</v>
      </c>
      <c r="K2971" s="18">
        <f>62811165014</f>
        <v>62811165014</v>
      </c>
      <c r="N2971" s="17" t="s">
        <v>81</v>
      </c>
      <c r="U2971" s="17"/>
      <c r="V2971" s="18">
        <f>62811165014</f>
        <v>62811165014</v>
      </c>
      <c r="W2971" t="s">
        <v>8863</v>
      </c>
    </row>
    <row r="2972" ht="15" customHeight="1" spans="1:22" x14ac:dyDescent="0.25">
      <c r="A2972" s="17" t="s">
        <v>8864</v>
      </c>
      <c r="B2972" s="17" t="s">
        <v>70</v>
      </c>
      <c r="C2972" s="17" t="s">
        <v>71</v>
      </c>
      <c r="D2972" t="s">
        <v>7049</v>
      </c>
      <c r="F2972" t="s">
        <v>4621</v>
      </c>
      <c r="K2972" s="18">
        <f>6281374720678</f>
        <v>6281374720678</v>
      </c>
      <c r="N2972" s="17" t="s">
        <v>77</v>
      </c>
      <c r="V2972" s="18">
        <f>6281374720678</f>
        <v>6281374720678</v>
      </c>
    </row>
    <row r="2973" ht="15" customHeight="1" spans="1:25" x14ac:dyDescent="0.25">
      <c r="A2973" s="17" t="s">
        <v>8865</v>
      </c>
      <c r="B2973" s="17" t="s">
        <v>70</v>
      </c>
      <c r="C2973" s="17" t="s">
        <v>71</v>
      </c>
      <c r="D2973" t="s">
        <v>7049</v>
      </c>
      <c r="F2973" t="s">
        <v>8866</v>
      </c>
      <c r="K2973" s="18">
        <f>62216691684</f>
        <v>62216691684</v>
      </c>
      <c r="N2973" s="17" t="s">
        <v>77</v>
      </c>
      <c r="U2973" s="17"/>
      <c r="V2973" s="18">
        <f>62216691684</f>
        <v>62216691684</v>
      </c>
      <c r="W2973" t="s">
        <v>8867</v>
      </c>
      <c r="Y2973" s="17" t="s">
        <v>90</v>
      </c>
    </row>
    <row r="2974" ht="15" customHeight="1" spans="1:28" x14ac:dyDescent="0.25">
      <c r="A2974" s="17" t="s">
        <v>8868</v>
      </c>
      <c r="B2974" s="17" t="s">
        <v>70</v>
      </c>
      <c r="C2974" s="17" t="s">
        <v>71</v>
      </c>
      <c r="D2974" t="s">
        <v>7049</v>
      </c>
      <c r="F2974" t="s">
        <v>8492</v>
      </c>
      <c r="J2974" t="s">
        <v>115</v>
      </c>
      <c r="K2974" s="18" t="s">
        <v>8869</v>
      </c>
      <c r="N2974" s="17" t="s">
        <v>77</v>
      </c>
      <c r="O2974" t="s">
        <v>117</v>
      </c>
      <c r="V2974" s="18" t="s">
        <v>8869</v>
      </c>
      <c r="Y2974" t="s">
        <v>90</v>
      </c>
      <c r="AA2974" t="s">
        <v>118</v>
      </c>
      <c r="AB2974" t="s">
        <v>119</v>
      </c>
    </row>
    <row r="2975" ht="15" customHeight="1" spans="1:22" x14ac:dyDescent="0.25">
      <c r="A2975" s="17" t="s">
        <v>8870</v>
      </c>
      <c r="B2975" s="17" t="s">
        <v>70</v>
      </c>
      <c r="C2975" s="17" t="s">
        <v>71</v>
      </c>
      <c r="D2975" t="s">
        <v>7049</v>
      </c>
      <c r="F2975" t="s">
        <v>8871</v>
      </c>
      <c r="K2975" s="18">
        <f>6281316000678</f>
        <v>6281316000678</v>
      </c>
      <c r="N2975" s="17" t="s">
        <v>77</v>
      </c>
      <c r="V2975" s="18">
        <f>6281316000678</f>
        <v>6281316000678</v>
      </c>
    </row>
    <row r="2976" ht="15" customHeight="1" spans="1:28" x14ac:dyDescent="0.25">
      <c r="A2976" s="17" t="s">
        <v>8872</v>
      </c>
      <c r="B2976" s="17" t="s">
        <v>70</v>
      </c>
      <c r="C2976" s="17" t="s">
        <v>71</v>
      </c>
      <c r="D2976" t="s">
        <v>7049</v>
      </c>
      <c r="F2976" t="s">
        <v>8873</v>
      </c>
      <c r="J2976" t="s">
        <v>115</v>
      </c>
      <c r="K2976" s="18" t="s">
        <v>8874</v>
      </c>
      <c r="N2976" s="17" t="s">
        <v>81</v>
      </c>
      <c r="O2976" t="s">
        <v>117</v>
      </c>
      <c r="V2976" s="18" t="s">
        <v>8874</v>
      </c>
      <c r="Y2976" t="s">
        <v>90</v>
      </c>
      <c r="AA2976" t="s">
        <v>118</v>
      </c>
      <c r="AB2976" t="s">
        <v>119</v>
      </c>
    </row>
    <row r="2977" ht="15" customHeight="1" spans="1:22" x14ac:dyDescent="0.25">
      <c r="A2977" s="17" t="s">
        <v>8875</v>
      </c>
      <c r="B2977" s="17" t="s">
        <v>70</v>
      </c>
      <c r="C2977" s="17" t="s">
        <v>71</v>
      </c>
      <c r="D2977" t="s">
        <v>7049</v>
      </c>
      <c r="F2977" t="s">
        <v>5862</v>
      </c>
      <c r="K2977" s="18">
        <f>62817847155</f>
        <v>62817847155</v>
      </c>
      <c r="N2977" s="17" t="s">
        <v>77</v>
      </c>
      <c r="V2977" s="18">
        <f>62817847155</f>
        <v>62817847155</v>
      </c>
    </row>
    <row r="2978" ht="15" customHeight="1" spans="1:27" x14ac:dyDescent="0.25">
      <c r="A2978" s="17" t="s">
        <v>8876</v>
      </c>
      <c r="B2978" s="17" t="s">
        <v>70</v>
      </c>
      <c r="C2978" s="17" t="s">
        <v>71</v>
      </c>
      <c r="D2978" t="s">
        <v>7049</v>
      </c>
      <c r="F2978" t="s">
        <v>8877</v>
      </c>
      <c r="J2978" s="17" t="s">
        <v>8878</v>
      </c>
      <c r="K2978" s="18">
        <f>6287888632020</f>
        <v>6287888632020</v>
      </c>
      <c r="N2978" s="17" t="s">
        <v>81</v>
      </c>
      <c r="V2978" s="18">
        <f>6287888632020</f>
        <v>6287888632020</v>
      </c>
      <c r="AA2978" s="17">
        <v>951217</v>
      </c>
    </row>
    <row r="2979" ht="15" customHeight="1" spans="1:22" x14ac:dyDescent="0.25">
      <c r="A2979" s="17" t="s">
        <v>8879</v>
      </c>
      <c r="B2979" s="17" t="s">
        <v>70</v>
      </c>
      <c r="C2979" s="17" t="s">
        <v>71</v>
      </c>
      <c r="D2979" t="s">
        <v>7049</v>
      </c>
      <c r="F2979" t="s">
        <v>8880</v>
      </c>
      <c r="K2979" s="18">
        <f>62816815925</f>
        <v>62816815925</v>
      </c>
      <c r="N2979" s="17" t="s">
        <v>74</v>
      </c>
      <c r="V2979" s="18">
        <f>62816815925</f>
        <v>62816815925</v>
      </c>
    </row>
    <row r="2980" ht="15" customHeight="1" spans="1:23" x14ac:dyDescent="0.25">
      <c r="A2980" s="17" t="s">
        <v>8881</v>
      </c>
      <c r="B2980" s="17" t="s">
        <v>70</v>
      </c>
      <c r="C2980" s="17" t="s">
        <v>71</v>
      </c>
      <c r="D2980" t="s">
        <v>8882</v>
      </c>
      <c r="F2980" t="s">
        <v>6863</v>
      </c>
      <c r="K2980" s="18">
        <f>447841462155</f>
        <v>447841462155</v>
      </c>
      <c r="N2980" s="17" t="s">
        <v>77</v>
      </c>
      <c r="U2980" s="17"/>
      <c r="V2980" s="18">
        <f>447841462155</f>
        <v>447841462155</v>
      </c>
      <c r="W2980" t="s">
        <v>148</v>
      </c>
    </row>
    <row r="2981" ht="15" customHeight="1" spans="1:28" x14ac:dyDescent="0.25">
      <c r="A2981" s="17" t="s">
        <v>8883</v>
      </c>
      <c r="B2981" s="17" t="s">
        <v>70</v>
      </c>
      <c r="C2981" s="17" t="s">
        <v>71</v>
      </c>
      <c r="D2981" t="s">
        <v>8884</v>
      </c>
      <c r="F2981" t="s">
        <v>5482</v>
      </c>
      <c r="J2981" t="s">
        <v>115</v>
      </c>
      <c r="K2981" s="18" t="s">
        <v>8885</v>
      </c>
      <c r="N2981" s="17" t="s">
        <v>74</v>
      </c>
      <c r="O2981" t="s">
        <v>145</v>
      </c>
      <c r="V2981" s="18" t="s">
        <v>8885</v>
      </c>
      <c r="Y2981" t="s">
        <v>190</v>
      </c>
      <c r="AA2981" t="s">
        <v>118</v>
      </c>
      <c r="AB2981" t="s">
        <v>119</v>
      </c>
    </row>
    <row r="2982" ht="15" customHeight="1" spans="1:22" x14ac:dyDescent="0.25">
      <c r="A2982" s="17" t="s">
        <v>8886</v>
      </c>
      <c r="B2982" s="17" t="s">
        <v>70</v>
      </c>
      <c r="C2982" s="17" t="s">
        <v>71</v>
      </c>
      <c r="D2982" t="s">
        <v>8887</v>
      </c>
      <c r="F2982" t="s">
        <v>8888</v>
      </c>
      <c r="K2982" s="18">
        <f>628111171493</f>
        <v>628111171493</v>
      </c>
      <c r="N2982" s="17" t="s">
        <v>77</v>
      </c>
      <c r="V2982" s="18">
        <f>628111171493</f>
        <v>628111171493</v>
      </c>
    </row>
    <row r="2983" ht="15" customHeight="1" spans="1:22" x14ac:dyDescent="0.25">
      <c r="A2983" s="17" t="s">
        <v>8889</v>
      </c>
      <c r="B2983" s="17" t="s">
        <v>70</v>
      </c>
      <c r="C2983" s="17" t="s">
        <v>71</v>
      </c>
      <c r="D2983" t="s">
        <v>8887</v>
      </c>
      <c r="F2983" t="s">
        <v>8890</v>
      </c>
      <c r="K2983" s="18">
        <f>628111555570</f>
        <v>628111555570</v>
      </c>
      <c r="N2983" s="17" t="s">
        <v>77</v>
      </c>
      <c r="V2983" s="18">
        <f>628111555570</f>
        <v>628111555570</v>
      </c>
    </row>
    <row r="2984" ht="15" customHeight="1" spans="1:28" x14ac:dyDescent="0.25">
      <c r="A2984" s="17" t="s">
        <v>8891</v>
      </c>
      <c r="B2984" s="17" t="s">
        <v>70</v>
      </c>
      <c r="C2984" s="17" t="s">
        <v>71</v>
      </c>
      <c r="D2984" t="s">
        <v>6521</v>
      </c>
      <c r="F2984" t="s">
        <v>8892</v>
      </c>
      <c r="J2984" s="17" t="s">
        <v>8893</v>
      </c>
      <c r="K2984" s="18" t="s">
        <v>8894</v>
      </c>
      <c r="N2984" s="17" t="s">
        <v>77</v>
      </c>
      <c r="O2984" t="s">
        <v>261</v>
      </c>
      <c r="U2984" s="17"/>
      <c r="V2984" s="18" t="s">
        <v>8894</v>
      </c>
      <c r="W2984" t="s">
        <v>1908</v>
      </c>
      <c r="Y2984" t="s">
        <v>1909</v>
      </c>
      <c r="AA2984" t="s">
        <v>115</v>
      </c>
      <c r="AB2984" t="s">
        <v>1909</v>
      </c>
    </row>
    <row r="2985" ht="15" customHeight="1" spans="1:22" x14ac:dyDescent="0.25">
      <c r="A2985" s="17" t="s">
        <v>8895</v>
      </c>
      <c r="B2985" s="17" t="s">
        <v>70</v>
      </c>
      <c r="C2985" s="17" t="s">
        <v>71</v>
      </c>
      <c r="D2985" t="s">
        <v>8896</v>
      </c>
      <c r="F2985" t="s">
        <v>8897</v>
      </c>
      <c r="K2985" s="18">
        <f>6282128716890</f>
        <v>6282128716890</v>
      </c>
      <c r="N2985" s="17" t="s">
        <v>81</v>
      </c>
      <c r="V2985" s="18">
        <f>6282128716890</f>
        <v>6282128716890</v>
      </c>
    </row>
    <row r="2986" ht="15" customHeight="1" spans="1:25" x14ac:dyDescent="0.25">
      <c r="A2986" s="17" t="s">
        <v>8898</v>
      </c>
      <c r="B2986" s="17" t="s">
        <v>70</v>
      </c>
      <c r="C2986" s="17" t="s">
        <v>71</v>
      </c>
      <c r="D2986" t="s">
        <v>8896</v>
      </c>
      <c r="F2986" t="s">
        <v>8899</v>
      </c>
      <c r="J2986" s="17" t="s">
        <v>8900</v>
      </c>
      <c r="K2986" s="18">
        <f>628128090022</f>
        <v>628128090022</v>
      </c>
      <c r="N2986" s="17" t="s">
        <v>77</v>
      </c>
      <c r="U2986" s="17"/>
      <c r="V2986" s="18">
        <f>628128090022</f>
        <v>628128090022</v>
      </c>
      <c r="W2986" t="s">
        <v>8901</v>
      </c>
      <c r="Y2986" s="17" t="s">
        <v>567</v>
      </c>
    </row>
    <row r="2987" ht="15" customHeight="1" spans="1:28" x14ac:dyDescent="0.25">
      <c r="A2987" s="17" t="s">
        <v>8902</v>
      </c>
      <c r="B2987" s="17" t="s">
        <v>70</v>
      </c>
      <c r="C2987" s="17" t="s">
        <v>71</v>
      </c>
      <c r="D2987" t="s">
        <v>8903</v>
      </c>
      <c r="F2987" t="s">
        <v>8904</v>
      </c>
      <c r="J2987" t="s">
        <v>8905</v>
      </c>
      <c r="K2987" s="18" t="s">
        <v>8906</v>
      </c>
      <c r="N2987" s="17" t="s">
        <v>74</v>
      </c>
      <c r="O2987" t="s">
        <v>145</v>
      </c>
      <c r="U2987" s="17"/>
      <c r="V2987" s="18" t="s">
        <v>8906</v>
      </c>
      <c r="W2987" t="s">
        <v>8907</v>
      </c>
      <c r="Y2987" t="s">
        <v>4993</v>
      </c>
      <c r="AA2987" t="s">
        <v>115</v>
      </c>
      <c r="AB2987" t="s">
        <v>119</v>
      </c>
    </row>
    <row r="2988" ht="15" customHeight="1" spans="1:28" x14ac:dyDescent="0.25">
      <c r="A2988" s="17" t="s">
        <v>8908</v>
      </c>
      <c r="B2988" s="17" t="s">
        <v>70</v>
      </c>
      <c r="C2988" s="17" t="s">
        <v>71</v>
      </c>
      <c r="D2988" t="s">
        <v>8909</v>
      </c>
      <c r="F2988" t="s">
        <v>8910</v>
      </c>
      <c r="J2988" s="17" t="s">
        <v>8911</v>
      </c>
      <c r="K2988" s="18" t="s">
        <v>8912</v>
      </c>
      <c r="N2988" s="17" t="s">
        <v>77</v>
      </c>
      <c r="O2988" t="s">
        <v>199</v>
      </c>
      <c r="U2988" s="17"/>
      <c r="V2988" s="18" t="s">
        <v>8912</v>
      </c>
      <c r="W2988" t="s">
        <v>8913</v>
      </c>
      <c r="Y2988" t="s">
        <v>90</v>
      </c>
      <c r="AA2988" t="s">
        <v>118</v>
      </c>
      <c r="AB2988" t="s">
        <v>119</v>
      </c>
    </row>
    <row r="2989" ht="15" customHeight="1" spans="1:25" x14ac:dyDescent="0.25">
      <c r="A2989" s="17" t="s">
        <v>8914</v>
      </c>
      <c r="B2989" s="17" t="s">
        <v>70</v>
      </c>
      <c r="C2989" s="17" t="s">
        <v>71</v>
      </c>
      <c r="D2989" t="s">
        <v>8915</v>
      </c>
      <c r="F2989" t="s">
        <v>8916</v>
      </c>
      <c r="K2989" s="18">
        <f>62817210289</f>
        <v>62817210289</v>
      </c>
      <c r="N2989" s="17" t="s">
        <v>81</v>
      </c>
      <c r="U2989" s="17"/>
      <c r="V2989" s="18">
        <f>62817210289</f>
        <v>62817210289</v>
      </c>
      <c r="W2989" t="s">
        <v>8917</v>
      </c>
      <c r="Y2989" s="17" t="s">
        <v>3320</v>
      </c>
    </row>
    <row r="2990" ht="15" customHeight="1" spans="1:28" x14ac:dyDescent="0.25">
      <c r="A2990" s="17" t="s">
        <v>8918</v>
      </c>
      <c r="B2990" s="17" t="s">
        <v>70</v>
      </c>
      <c r="C2990" s="17" t="s">
        <v>71</v>
      </c>
      <c r="D2990" t="s">
        <v>8919</v>
      </c>
      <c r="F2990" t="s">
        <v>8920</v>
      </c>
      <c r="J2990" s="17" t="s">
        <v>8921</v>
      </c>
      <c r="K2990" s="18" t="s">
        <v>8922</v>
      </c>
      <c r="N2990" s="17" t="s">
        <v>77</v>
      </c>
      <c r="O2990" t="s">
        <v>199</v>
      </c>
      <c r="U2990" s="17"/>
      <c r="V2990" s="18" t="s">
        <v>8922</v>
      </c>
      <c r="W2990" t="s">
        <v>180</v>
      </c>
      <c r="Y2990" t="s">
        <v>115</v>
      </c>
      <c r="AA2990" t="s">
        <v>115</v>
      </c>
      <c r="AB2990" t="s">
        <v>119</v>
      </c>
    </row>
    <row r="2991" ht="15" customHeight="1" spans="1:22" x14ac:dyDescent="0.25">
      <c r="A2991" s="17" t="s">
        <v>8923</v>
      </c>
      <c r="B2991" s="17" t="s">
        <v>70</v>
      </c>
      <c r="C2991" s="17" t="s">
        <v>71</v>
      </c>
      <c r="D2991" t="s">
        <v>8924</v>
      </c>
      <c r="F2991" t="s">
        <v>8925</v>
      </c>
      <c r="K2991" s="18">
        <f>6281340136000</f>
        <v>6281340136000</v>
      </c>
      <c r="N2991" s="17" t="s">
        <v>77</v>
      </c>
      <c r="V2991" s="18">
        <f>6281340136000</f>
        <v>6281340136000</v>
      </c>
    </row>
    <row r="2992" ht="15" customHeight="1" spans="1:28" x14ac:dyDescent="0.25">
      <c r="A2992" s="17" t="s">
        <v>8926</v>
      </c>
      <c r="B2992" s="17" t="s">
        <v>70</v>
      </c>
      <c r="C2992" s="17" t="s">
        <v>71</v>
      </c>
      <c r="D2992" t="s">
        <v>8927</v>
      </c>
      <c r="F2992" t="s">
        <v>8928</v>
      </c>
      <c r="J2992" s="17" t="s">
        <v>8929</v>
      </c>
      <c r="K2992" s="18" t="s">
        <v>8930</v>
      </c>
      <c r="N2992" s="17" t="s">
        <v>77</v>
      </c>
      <c r="O2992" t="s">
        <v>199</v>
      </c>
      <c r="U2992" s="17"/>
      <c r="V2992" s="18" t="s">
        <v>8930</v>
      </c>
      <c r="W2992" t="s">
        <v>8931</v>
      </c>
      <c r="Y2992" t="s">
        <v>2251</v>
      </c>
      <c r="AA2992" t="s">
        <v>115</v>
      </c>
      <c r="AB2992" t="s">
        <v>119</v>
      </c>
    </row>
    <row r="2993" ht="15" customHeight="1" spans="1:28" x14ac:dyDescent="0.25">
      <c r="A2993" s="17" t="s">
        <v>8932</v>
      </c>
      <c r="B2993" s="17" t="s">
        <v>70</v>
      </c>
      <c r="C2993" s="17" t="s">
        <v>71</v>
      </c>
      <c r="D2993" t="s">
        <v>8933</v>
      </c>
      <c r="F2993" t="s">
        <v>8934</v>
      </c>
      <c r="J2993" s="17" t="s">
        <v>8935</v>
      </c>
      <c r="K2993" s="18" t="s">
        <v>8936</v>
      </c>
      <c r="N2993" s="17" t="s">
        <v>77</v>
      </c>
      <c r="O2993" t="s">
        <v>145</v>
      </c>
      <c r="U2993" s="17"/>
      <c r="V2993" s="18" t="s">
        <v>8936</v>
      </c>
      <c r="W2993" t="s">
        <v>6737</v>
      </c>
      <c r="Y2993" t="s">
        <v>115</v>
      </c>
      <c r="AA2993" t="s">
        <v>115</v>
      </c>
      <c r="AB2993" t="s">
        <v>6737</v>
      </c>
    </row>
    <row r="2994" ht="15" customHeight="1" spans="1:28" x14ac:dyDescent="0.25">
      <c r="A2994" s="17" t="s">
        <v>8937</v>
      </c>
      <c r="B2994" s="17" t="s">
        <v>70</v>
      </c>
      <c r="C2994" s="17" t="s">
        <v>71</v>
      </c>
      <c r="D2994" t="s">
        <v>8938</v>
      </c>
      <c r="F2994" t="s">
        <v>8939</v>
      </c>
      <c r="J2994" t="s">
        <v>115</v>
      </c>
      <c r="K2994" s="18" t="s">
        <v>8940</v>
      </c>
      <c r="N2994" s="17" t="s">
        <v>77</v>
      </c>
      <c r="O2994" t="s">
        <v>145</v>
      </c>
      <c r="U2994" s="17"/>
      <c r="V2994" s="18" t="s">
        <v>8940</v>
      </c>
      <c r="W2994" t="s">
        <v>8941</v>
      </c>
      <c r="Y2994" s="17" t="s">
        <v>90</v>
      </c>
      <c r="AA2994" s="17" t="s">
        <v>118</v>
      </c>
      <c r="AB2994" t="s">
        <v>119</v>
      </c>
    </row>
    <row r="2995" ht="15" customHeight="1" spans="1:23" x14ac:dyDescent="0.25">
      <c r="A2995" s="17" t="s">
        <v>8942</v>
      </c>
      <c r="B2995" s="17" t="s">
        <v>70</v>
      </c>
      <c r="C2995" s="17" t="s">
        <v>71</v>
      </c>
      <c r="D2995" t="s">
        <v>8943</v>
      </c>
      <c r="F2995" t="s">
        <v>8944</v>
      </c>
      <c r="K2995" s="18">
        <f>33643919278</f>
        <v>33643919278</v>
      </c>
      <c r="N2995" s="17" t="s">
        <v>77</v>
      </c>
      <c r="U2995" s="17"/>
      <c r="V2995" s="18">
        <f>33643919278</f>
        <v>33643919278</v>
      </c>
      <c r="W2995" t="s">
        <v>6737</v>
      </c>
    </row>
    <row r="2996" ht="15" customHeight="1" spans="1:28" x14ac:dyDescent="0.25">
      <c r="A2996" s="17" t="s">
        <v>8945</v>
      </c>
      <c r="B2996" s="17" t="s">
        <v>70</v>
      </c>
      <c r="C2996" s="17" t="s">
        <v>71</v>
      </c>
      <c r="D2996" t="s">
        <v>8946</v>
      </c>
      <c r="F2996" t="s">
        <v>8939</v>
      </c>
      <c r="J2996" t="s">
        <v>8947</v>
      </c>
      <c r="K2996" s="18" t="s">
        <v>8948</v>
      </c>
      <c r="N2996" s="17" t="s">
        <v>81</v>
      </c>
      <c r="O2996" t="s">
        <v>489</v>
      </c>
      <c r="V2996" s="18" t="s">
        <v>8948</v>
      </c>
      <c r="Y2996" t="s">
        <v>90</v>
      </c>
      <c r="AA2996" t="s">
        <v>118</v>
      </c>
      <c r="AB2996" t="s">
        <v>119</v>
      </c>
    </row>
    <row r="2997" ht="15" customHeight="1" spans="1:22" x14ac:dyDescent="0.25">
      <c r="A2997" s="17" t="s">
        <v>8949</v>
      </c>
      <c r="B2997" s="17" t="s">
        <v>70</v>
      </c>
      <c r="C2997" s="17" t="s">
        <v>71</v>
      </c>
      <c r="D2997" t="s">
        <v>8950</v>
      </c>
      <c r="F2997" t="s">
        <v>8950</v>
      </c>
      <c r="K2997" s="18">
        <f>62811979849</f>
        <v>62811979849</v>
      </c>
      <c r="N2997" s="17" t="s">
        <v>81</v>
      </c>
      <c r="V2997" s="18">
        <f>62811979849</f>
        <v>62811979849</v>
      </c>
    </row>
    <row r="2998" ht="15" customHeight="1" spans="1:22" x14ac:dyDescent="0.25">
      <c r="A2998" s="17" t="s">
        <v>8951</v>
      </c>
      <c r="B2998" s="17" t="s">
        <v>70</v>
      </c>
      <c r="C2998" s="17" t="s">
        <v>71</v>
      </c>
      <c r="D2998" t="s">
        <v>8950</v>
      </c>
      <c r="F2998" t="s">
        <v>8950</v>
      </c>
      <c r="K2998" s="18">
        <f>62817711969</f>
        <v>62817711969</v>
      </c>
      <c r="N2998" s="17" t="s">
        <v>77</v>
      </c>
      <c r="V2998" s="18">
        <f>62817711969</f>
        <v>62817711969</v>
      </c>
    </row>
    <row r="2999" ht="15" customHeight="1" spans="1:28" x14ac:dyDescent="0.25">
      <c r="A2999" s="17" t="s">
        <v>8952</v>
      </c>
      <c r="B2999" s="17" t="s">
        <v>70</v>
      </c>
      <c r="C2999" s="17" t="s">
        <v>71</v>
      </c>
      <c r="D2999" t="s">
        <v>8950</v>
      </c>
      <c r="F2999" t="s">
        <v>8950</v>
      </c>
      <c r="J2999" t="s">
        <v>115</v>
      </c>
      <c r="K2999" s="18" t="s">
        <v>8953</v>
      </c>
      <c r="N2999" s="17" t="s">
        <v>81</v>
      </c>
      <c r="O2999" t="s">
        <v>117</v>
      </c>
      <c r="V2999" s="18" t="s">
        <v>8953</v>
      </c>
      <c r="Y2999" t="s">
        <v>90</v>
      </c>
      <c r="AA2999" t="s">
        <v>118</v>
      </c>
      <c r="AB2999" t="s">
        <v>119</v>
      </c>
    </row>
    <row r="3000" ht="15" customHeight="1" spans="1:28" x14ac:dyDescent="0.25">
      <c r="A3000" s="17" t="s">
        <v>8954</v>
      </c>
      <c r="B3000" s="17" t="s">
        <v>70</v>
      </c>
      <c r="C3000" s="17" t="s">
        <v>71</v>
      </c>
      <c r="D3000" t="s">
        <v>8950</v>
      </c>
      <c r="F3000" t="s">
        <v>8955</v>
      </c>
      <c r="J3000" t="s">
        <v>115</v>
      </c>
      <c r="K3000" s="18" t="s">
        <v>8956</v>
      </c>
      <c r="N3000" s="17" t="s">
        <v>77</v>
      </c>
      <c r="O3000" t="s">
        <v>145</v>
      </c>
      <c r="U3000" s="17"/>
      <c r="V3000" s="18" t="s">
        <v>8956</v>
      </c>
      <c r="W3000" t="s">
        <v>8957</v>
      </c>
      <c r="Y3000" t="s">
        <v>115</v>
      </c>
      <c r="AA3000" t="s">
        <v>115</v>
      </c>
      <c r="AB3000" t="s">
        <v>119</v>
      </c>
    </row>
    <row r="3001" ht="15" customHeight="1" spans="1:28" x14ac:dyDescent="0.25">
      <c r="A3001" s="17" t="s">
        <v>8958</v>
      </c>
      <c r="B3001" s="17" t="s">
        <v>70</v>
      </c>
      <c r="C3001" s="17" t="s">
        <v>71</v>
      </c>
      <c r="D3001" t="s">
        <v>8950</v>
      </c>
      <c r="F3001" t="s">
        <v>8959</v>
      </c>
      <c r="J3001" t="s">
        <v>115</v>
      </c>
      <c r="K3001" s="18" t="s">
        <v>8960</v>
      </c>
      <c r="N3001" s="17" t="s">
        <v>77</v>
      </c>
      <c r="O3001" t="s">
        <v>199</v>
      </c>
      <c r="V3001" s="18" t="s">
        <v>8960</v>
      </c>
      <c r="Y3001" t="s">
        <v>90</v>
      </c>
      <c r="AA3001" t="s">
        <v>118</v>
      </c>
      <c r="AB3001" t="s">
        <v>119</v>
      </c>
    </row>
    <row r="3002" ht="15" customHeight="1" spans="1:23" x14ac:dyDescent="0.25">
      <c r="A3002" s="17" t="s">
        <v>8961</v>
      </c>
      <c r="B3002" s="17" t="s">
        <v>70</v>
      </c>
      <c r="C3002" s="17" t="s">
        <v>71</v>
      </c>
      <c r="D3002" t="s">
        <v>8950</v>
      </c>
      <c r="F3002" t="s">
        <v>8962</v>
      </c>
      <c r="K3002" s="18">
        <f>628170077407</f>
        <v>628170077407</v>
      </c>
      <c r="N3002" s="17" t="s">
        <v>77</v>
      </c>
      <c r="U3002" s="17"/>
      <c r="V3002" s="18">
        <f>628170077407</f>
        <v>628170077407</v>
      </c>
      <c r="W3002" t="s">
        <v>8963</v>
      </c>
    </row>
    <row r="3003" ht="15" customHeight="1" spans="1:28" x14ac:dyDescent="0.25">
      <c r="A3003" s="17" t="s">
        <v>8964</v>
      </c>
      <c r="B3003" s="17" t="s">
        <v>70</v>
      </c>
      <c r="C3003" s="17" t="s">
        <v>71</v>
      </c>
      <c r="D3003" t="s">
        <v>8950</v>
      </c>
      <c r="F3003" t="s">
        <v>8965</v>
      </c>
      <c r="J3003" t="s">
        <v>115</v>
      </c>
      <c r="K3003" s="18" t="s">
        <v>8966</v>
      </c>
      <c r="N3003" s="17" t="s">
        <v>77</v>
      </c>
      <c r="O3003" t="s">
        <v>199</v>
      </c>
      <c r="V3003" s="18" t="s">
        <v>8966</v>
      </c>
      <c r="Y3003" s="17" t="s">
        <v>1553</v>
      </c>
      <c r="AA3003" t="s">
        <v>115</v>
      </c>
      <c r="AB3003" t="s">
        <v>119</v>
      </c>
    </row>
    <row r="3004" ht="15" customHeight="1" spans="1:22" x14ac:dyDescent="0.25">
      <c r="A3004" s="17" t="s">
        <v>8967</v>
      </c>
      <c r="B3004" s="17" t="s">
        <v>70</v>
      </c>
      <c r="C3004" s="17" t="s">
        <v>71</v>
      </c>
      <c r="D3004" t="s">
        <v>8950</v>
      </c>
      <c r="F3004" t="s">
        <v>8968</v>
      </c>
      <c r="K3004" s="18">
        <f>6281281349988</f>
        <v>6281281349988</v>
      </c>
      <c r="N3004" s="17" t="s">
        <v>77</v>
      </c>
      <c r="V3004" s="18">
        <f>6281281349988</f>
        <v>6281281349988</v>
      </c>
    </row>
    <row r="3005" ht="15" customHeight="1" spans="1:22" x14ac:dyDescent="0.25">
      <c r="A3005" s="17" t="s">
        <v>8969</v>
      </c>
      <c r="B3005" s="17" t="s">
        <v>70</v>
      </c>
      <c r="C3005" s="17" t="s">
        <v>71</v>
      </c>
      <c r="D3005" t="s">
        <v>8950</v>
      </c>
      <c r="F3005" t="s">
        <v>8970</v>
      </c>
      <c r="K3005" s="18">
        <f>6281277882818</f>
        <v>6281277882818</v>
      </c>
      <c r="N3005" s="17" t="s">
        <v>81</v>
      </c>
      <c r="V3005" s="18">
        <f>6281277882818</f>
        <v>6281277882818</v>
      </c>
    </row>
    <row r="3006" ht="15" customHeight="1" spans="1:28" x14ac:dyDescent="0.25">
      <c r="A3006" s="17" t="s">
        <v>8971</v>
      </c>
      <c r="B3006" s="17" t="s">
        <v>70</v>
      </c>
      <c r="C3006" s="17" t="s">
        <v>71</v>
      </c>
      <c r="D3006" t="s">
        <v>8950</v>
      </c>
      <c r="F3006" t="s">
        <v>8972</v>
      </c>
      <c r="J3006" s="17" t="s">
        <v>8973</v>
      </c>
      <c r="K3006" s="18" t="s">
        <v>8974</v>
      </c>
      <c r="N3006" s="17" t="s">
        <v>77</v>
      </c>
      <c r="O3006" t="s">
        <v>261</v>
      </c>
      <c r="U3006" s="17"/>
      <c r="V3006" s="18" t="s">
        <v>8974</v>
      </c>
      <c r="W3006" t="s">
        <v>8975</v>
      </c>
      <c r="Y3006" t="s">
        <v>190</v>
      </c>
      <c r="AA3006" s="17" t="s">
        <v>118</v>
      </c>
      <c r="AB3006" t="s">
        <v>119</v>
      </c>
    </row>
    <row r="3007" ht="15" customHeight="1" spans="1:22" x14ac:dyDescent="0.25">
      <c r="A3007" s="17" t="s">
        <v>8976</v>
      </c>
      <c r="B3007" s="17" t="s">
        <v>70</v>
      </c>
      <c r="C3007" s="17" t="s">
        <v>71</v>
      </c>
      <c r="D3007" t="s">
        <v>8950</v>
      </c>
      <c r="F3007" t="s">
        <v>8977</v>
      </c>
      <c r="J3007" s="17" t="s">
        <v>8978</v>
      </c>
      <c r="K3007" s="18">
        <f>628118492942</f>
        <v>628118492942</v>
      </c>
      <c r="N3007" s="17" t="s">
        <v>77</v>
      </c>
      <c r="V3007" s="18">
        <f>628118492942</f>
        <v>628118492942</v>
      </c>
    </row>
    <row r="3008" ht="15" customHeight="1" spans="1:28" x14ac:dyDescent="0.25">
      <c r="A3008" s="17" t="s">
        <v>8979</v>
      </c>
      <c r="B3008" s="17" t="s">
        <v>70</v>
      </c>
      <c r="C3008" s="17" t="s">
        <v>71</v>
      </c>
      <c r="D3008" t="s">
        <v>4630</v>
      </c>
      <c r="F3008" t="s">
        <v>1385</v>
      </c>
      <c r="J3008" t="s">
        <v>115</v>
      </c>
      <c r="K3008" s="18" t="s">
        <v>8980</v>
      </c>
      <c r="N3008" s="17" t="s">
        <v>77</v>
      </c>
      <c r="O3008" t="s">
        <v>117</v>
      </c>
      <c r="U3008" s="17"/>
      <c r="V3008" s="18" t="s">
        <v>8980</v>
      </c>
      <c r="W3008" t="s">
        <v>8981</v>
      </c>
      <c r="Y3008" s="17" t="s">
        <v>626</v>
      </c>
      <c r="AA3008" t="s">
        <v>3090</v>
      </c>
      <c r="AB3008" t="s">
        <v>119</v>
      </c>
    </row>
    <row r="3009" ht="15" customHeight="1" spans="1:22" x14ac:dyDescent="0.25">
      <c r="A3009" s="17" t="s">
        <v>8982</v>
      </c>
      <c r="B3009" s="17" t="s">
        <v>70</v>
      </c>
      <c r="C3009" s="17" t="s">
        <v>71</v>
      </c>
      <c r="D3009" t="s">
        <v>8983</v>
      </c>
      <c r="F3009" t="s">
        <v>8983</v>
      </c>
      <c r="K3009" s="18">
        <f>62818909745</f>
        <v>62818909745</v>
      </c>
      <c r="N3009" s="17" t="s">
        <v>81</v>
      </c>
      <c r="V3009" s="18">
        <f>62818909745</f>
        <v>62818909745</v>
      </c>
    </row>
    <row r="3010" ht="15" customHeight="1" spans="1:22" x14ac:dyDescent="0.25">
      <c r="A3010" s="17" t="s">
        <v>8984</v>
      </c>
      <c r="B3010" s="17" t="s">
        <v>70</v>
      </c>
      <c r="C3010" s="17" t="s">
        <v>71</v>
      </c>
      <c r="D3010" t="s">
        <v>8983</v>
      </c>
      <c r="F3010" t="s">
        <v>8983</v>
      </c>
      <c r="K3010" s="18">
        <f>62811168953</f>
        <v>62811168953</v>
      </c>
      <c r="N3010" s="17" t="s">
        <v>81</v>
      </c>
      <c r="V3010" s="18">
        <f>62811168953</f>
        <v>62811168953</v>
      </c>
    </row>
    <row r="3011" ht="15" customHeight="1" spans="1:22" x14ac:dyDescent="0.25">
      <c r="A3011" s="17" t="s">
        <v>8985</v>
      </c>
      <c r="B3011" s="17" t="s">
        <v>70</v>
      </c>
      <c r="C3011" s="17" t="s">
        <v>71</v>
      </c>
      <c r="D3011" t="s">
        <v>8983</v>
      </c>
      <c r="F3011" t="s">
        <v>8983</v>
      </c>
      <c r="K3011" s="18">
        <f>6282229129999</f>
        <v>6282229129999</v>
      </c>
      <c r="N3011" s="17" t="s">
        <v>81</v>
      </c>
      <c r="V3011" s="18">
        <f>6282229129999</f>
        <v>6282229129999</v>
      </c>
    </row>
    <row r="3012" ht="15" customHeight="1" spans="1:28" x14ac:dyDescent="0.25">
      <c r="A3012" s="17" t="s">
        <v>8986</v>
      </c>
      <c r="B3012" s="17" t="s">
        <v>70</v>
      </c>
      <c r="C3012" s="17" t="s">
        <v>71</v>
      </c>
      <c r="D3012" t="s">
        <v>8983</v>
      </c>
      <c r="F3012" t="s">
        <v>8987</v>
      </c>
      <c r="J3012" t="s">
        <v>115</v>
      </c>
      <c r="K3012" s="18" t="s">
        <v>8988</v>
      </c>
      <c r="N3012" s="17" t="s">
        <v>77</v>
      </c>
      <c r="O3012" t="s">
        <v>199</v>
      </c>
      <c r="V3012" s="18" t="s">
        <v>8988</v>
      </c>
      <c r="Y3012" t="s">
        <v>90</v>
      </c>
      <c r="AA3012" t="s">
        <v>118</v>
      </c>
      <c r="AB3012" t="s">
        <v>119</v>
      </c>
    </row>
    <row r="3013" ht="15" customHeight="1" spans="1:23" x14ac:dyDescent="0.25">
      <c r="A3013" s="17" t="s">
        <v>8989</v>
      </c>
      <c r="B3013" s="17" t="s">
        <v>70</v>
      </c>
      <c r="C3013" s="17" t="s">
        <v>71</v>
      </c>
      <c r="D3013" t="s">
        <v>8983</v>
      </c>
      <c r="F3013" t="s">
        <v>8990</v>
      </c>
      <c r="K3013" s="18">
        <f>6282123456977</f>
        <v>6282123456977</v>
      </c>
      <c r="N3013" s="17" t="s">
        <v>81</v>
      </c>
      <c r="U3013" s="17"/>
      <c r="V3013" s="18">
        <f>6282123456977</f>
        <v>6282123456977</v>
      </c>
      <c r="W3013" t="s">
        <v>8991</v>
      </c>
    </row>
    <row r="3014" ht="15" customHeight="1" spans="1:28" x14ac:dyDescent="0.25">
      <c r="A3014" s="17" t="s">
        <v>8992</v>
      </c>
      <c r="B3014" s="17" t="s">
        <v>70</v>
      </c>
      <c r="C3014" s="17" t="s">
        <v>71</v>
      </c>
      <c r="D3014" t="s">
        <v>8993</v>
      </c>
      <c r="F3014" t="s">
        <v>3579</v>
      </c>
      <c r="J3014" s="17" t="s">
        <v>8994</v>
      </c>
      <c r="K3014" s="18" t="s">
        <v>8995</v>
      </c>
      <c r="N3014" s="17" t="s">
        <v>77</v>
      </c>
      <c r="O3014" t="s">
        <v>145</v>
      </c>
      <c r="V3014" s="18" t="s">
        <v>8995</v>
      </c>
      <c r="Y3014" s="17" t="s">
        <v>217</v>
      </c>
      <c r="AA3014" t="s">
        <v>115</v>
      </c>
      <c r="AB3014" t="s">
        <v>119</v>
      </c>
    </row>
    <row r="3015" ht="15" customHeight="1" spans="1:22" x14ac:dyDescent="0.25">
      <c r="A3015" s="17" t="s">
        <v>8996</v>
      </c>
      <c r="B3015" s="17" t="s">
        <v>70</v>
      </c>
      <c r="C3015" s="17" t="s">
        <v>71</v>
      </c>
      <c r="D3015" t="s">
        <v>8983</v>
      </c>
      <c r="F3015" t="s">
        <v>8997</v>
      </c>
      <c r="K3015" s="18">
        <f>628159050892</f>
        <v>628159050892</v>
      </c>
      <c r="N3015" s="17" t="s">
        <v>77</v>
      </c>
      <c r="V3015" s="18">
        <f>628159050892</f>
        <v>628159050892</v>
      </c>
    </row>
    <row r="3016" ht="15" customHeight="1" spans="1:28" x14ac:dyDescent="0.25">
      <c r="A3016" s="17" t="s">
        <v>8998</v>
      </c>
      <c r="B3016" s="17" t="s">
        <v>70</v>
      </c>
      <c r="C3016" s="17" t="s">
        <v>71</v>
      </c>
      <c r="D3016" t="s">
        <v>8983</v>
      </c>
      <c r="F3016" t="s">
        <v>8999</v>
      </c>
      <c r="J3016" t="s">
        <v>115</v>
      </c>
      <c r="K3016" s="18" t="s">
        <v>9000</v>
      </c>
      <c r="N3016" s="17" t="s">
        <v>74</v>
      </c>
      <c r="O3016" t="s">
        <v>199</v>
      </c>
      <c r="U3016" s="17"/>
      <c r="V3016" s="18" t="s">
        <v>9000</v>
      </c>
      <c r="W3016" t="s">
        <v>9001</v>
      </c>
      <c r="Y3016" t="s">
        <v>90</v>
      </c>
      <c r="AA3016" t="s">
        <v>118</v>
      </c>
      <c r="AB3016" t="s">
        <v>119</v>
      </c>
    </row>
    <row r="3017" ht="15" customHeight="1" spans="1:23" x14ac:dyDescent="0.25">
      <c r="A3017" s="17" t="s">
        <v>9002</v>
      </c>
      <c r="B3017" s="17" t="s">
        <v>70</v>
      </c>
      <c r="C3017" s="17" t="s">
        <v>71</v>
      </c>
      <c r="D3017" t="s">
        <v>9003</v>
      </c>
      <c r="F3017" t="s">
        <v>7153</v>
      </c>
      <c r="K3017" s="18">
        <f>628164848800</f>
        <v>628164848800</v>
      </c>
      <c r="N3017" s="17" t="s">
        <v>77</v>
      </c>
      <c r="U3017" s="17"/>
      <c r="V3017" s="18">
        <f>628164848800</f>
        <v>628164848800</v>
      </c>
      <c r="W3017" t="s">
        <v>9004</v>
      </c>
    </row>
    <row r="3018" ht="15" customHeight="1" spans="1:23" x14ac:dyDescent="0.25">
      <c r="A3018" s="17" t="s">
        <v>9005</v>
      </c>
      <c r="B3018" s="17" t="s">
        <v>70</v>
      </c>
      <c r="C3018" s="17" t="s">
        <v>71</v>
      </c>
      <c r="D3018" t="s">
        <v>9003</v>
      </c>
      <c r="F3018" t="s">
        <v>629</v>
      </c>
      <c r="K3018" s="18">
        <f>6287888019131</f>
        <v>6287888019131</v>
      </c>
      <c r="N3018" s="17" t="s">
        <v>74</v>
      </c>
      <c r="U3018" s="17"/>
      <c r="V3018" s="18">
        <f>6287888019131</f>
        <v>6287888019131</v>
      </c>
      <c r="W3018" t="s">
        <v>9006</v>
      </c>
    </row>
    <row r="3019" ht="15" customHeight="1" spans="1:28" x14ac:dyDescent="0.25">
      <c r="A3019" s="17" t="s">
        <v>9007</v>
      </c>
      <c r="B3019" s="17" t="s">
        <v>70</v>
      </c>
      <c r="C3019" s="17" t="s">
        <v>71</v>
      </c>
      <c r="D3019" t="s">
        <v>9008</v>
      </c>
      <c r="F3019" t="s">
        <v>672</v>
      </c>
      <c r="J3019" t="s">
        <v>115</v>
      </c>
      <c r="K3019" s="18" t="s">
        <v>9009</v>
      </c>
      <c r="N3019" s="17" t="s">
        <v>77</v>
      </c>
      <c r="O3019" t="s">
        <v>117</v>
      </c>
      <c r="U3019" s="17"/>
      <c r="V3019" s="18" t="s">
        <v>9009</v>
      </c>
      <c r="W3019" t="s">
        <v>9010</v>
      </c>
      <c r="Y3019" t="s">
        <v>115</v>
      </c>
      <c r="AA3019" t="s">
        <v>115</v>
      </c>
      <c r="AB3019" t="s">
        <v>119</v>
      </c>
    </row>
    <row r="3020" ht="15" customHeight="1" spans="1:22" x14ac:dyDescent="0.25">
      <c r="A3020" s="17" t="s">
        <v>9011</v>
      </c>
      <c r="B3020" s="17" t="s">
        <v>70</v>
      </c>
      <c r="C3020" s="17" t="s">
        <v>71</v>
      </c>
      <c r="D3020" t="s">
        <v>9003</v>
      </c>
      <c r="F3020" t="s">
        <v>9012</v>
      </c>
      <c r="K3020" s="18">
        <f>628119596747</f>
        <v>628119596747</v>
      </c>
      <c r="N3020" s="17" t="s">
        <v>77</v>
      </c>
      <c r="V3020" s="18">
        <f>628119596747</f>
        <v>628119596747</v>
      </c>
    </row>
    <row r="3021" ht="15" customHeight="1" spans="1:25" x14ac:dyDescent="0.25">
      <c r="A3021" s="17" t="s">
        <v>9013</v>
      </c>
      <c r="B3021" s="17" t="s">
        <v>70</v>
      </c>
      <c r="C3021" s="17" t="s">
        <v>71</v>
      </c>
      <c r="D3021" t="s">
        <v>9003</v>
      </c>
      <c r="F3021" t="s">
        <v>9014</v>
      </c>
      <c r="J3021" s="17" t="s">
        <v>9015</v>
      </c>
      <c r="K3021" s="18">
        <f>6282111114735</f>
        <v>6282111114735</v>
      </c>
      <c r="N3021" s="17" t="s">
        <v>77</v>
      </c>
      <c r="U3021" s="17"/>
      <c r="V3021" s="18">
        <f>6282111114735</f>
        <v>6282111114735</v>
      </c>
      <c r="W3021" t="s">
        <v>9016</v>
      </c>
      <c r="Y3021" s="17" t="s">
        <v>96</v>
      </c>
    </row>
    <row r="3022" ht="15" customHeight="1" spans="1:22" x14ac:dyDescent="0.25">
      <c r="A3022" s="17" t="s">
        <v>9017</v>
      </c>
      <c r="B3022" s="17" t="s">
        <v>70</v>
      </c>
      <c r="C3022" s="17" t="s">
        <v>71</v>
      </c>
      <c r="D3022" t="s">
        <v>9003</v>
      </c>
      <c r="F3022" t="s">
        <v>9014</v>
      </c>
      <c r="K3022" s="18">
        <f>628211114735</f>
        <v>628211114735</v>
      </c>
      <c r="N3022" s="17" t="s">
        <v>77</v>
      </c>
      <c r="V3022" s="18">
        <f>628211114735</f>
        <v>628211114735</v>
      </c>
    </row>
    <row r="3023" ht="15" customHeight="1" spans="1:22" x14ac:dyDescent="0.25">
      <c r="A3023" s="17" t="s">
        <v>9018</v>
      </c>
      <c r="B3023" s="17" t="s">
        <v>70</v>
      </c>
      <c r="C3023" s="17" t="s">
        <v>71</v>
      </c>
      <c r="D3023" t="s">
        <v>6458</v>
      </c>
      <c r="F3023" t="s">
        <v>6458</v>
      </c>
      <c r="K3023" s="18">
        <f>6287878850333</f>
        <v>6287878850333</v>
      </c>
      <c r="N3023" s="17" t="s">
        <v>77</v>
      </c>
      <c r="V3023" s="18">
        <f>6287878850333</f>
        <v>6287878850333</v>
      </c>
    </row>
    <row r="3024" ht="15" customHeight="1" spans="1:25" x14ac:dyDescent="0.25">
      <c r="A3024" s="17" t="s">
        <v>9019</v>
      </c>
      <c r="B3024" s="17" t="s">
        <v>70</v>
      </c>
      <c r="C3024" s="17" t="s">
        <v>71</v>
      </c>
      <c r="D3024" t="s">
        <v>6458</v>
      </c>
      <c r="F3024" t="s">
        <v>600</v>
      </c>
      <c r="J3024" s="17" t="s">
        <v>9020</v>
      </c>
      <c r="K3024" s="18">
        <f>6281310837690</f>
        <v>6281310837690</v>
      </c>
      <c r="N3024" s="17" t="s">
        <v>77</v>
      </c>
      <c r="U3024" s="17"/>
      <c r="V3024" s="18">
        <f>6281310837690</f>
        <v>6281310837690</v>
      </c>
      <c r="W3024" t="s">
        <v>9021</v>
      </c>
      <c r="Y3024" s="17" t="s">
        <v>96</v>
      </c>
    </row>
    <row r="3025" ht="15" customHeight="1" spans="1:28" x14ac:dyDescent="0.25">
      <c r="A3025" s="17" t="s">
        <v>9022</v>
      </c>
      <c r="B3025" s="17" t="s">
        <v>70</v>
      </c>
      <c r="C3025" s="17" t="s">
        <v>71</v>
      </c>
      <c r="D3025" t="s">
        <v>6458</v>
      </c>
      <c r="F3025" t="s">
        <v>9023</v>
      </c>
      <c r="J3025" t="s">
        <v>115</v>
      </c>
      <c r="K3025" s="18" t="s">
        <v>9024</v>
      </c>
      <c r="N3025" s="17" t="s">
        <v>77</v>
      </c>
      <c r="O3025" t="s">
        <v>145</v>
      </c>
      <c r="U3025" s="17"/>
      <c r="V3025" s="18" t="s">
        <v>9024</v>
      </c>
      <c r="W3025" t="s">
        <v>9025</v>
      </c>
      <c r="Y3025" s="17" t="s">
        <v>190</v>
      </c>
      <c r="AA3025" s="17" t="s">
        <v>118</v>
      </c>
      <c r="AB3025" t="s">
        <v>119</v>
      </c>
    </row>
    <row r="3026" ht="15" customHeight="1" spans="1:22" x14ac:dyDescent="0.25">
      <c r="A3026" s="17" t="s">
        <v>9026</v>
      </c>
      <c r="B3026" s="17" t="s">
        <v>70</v>
      </c>
      <c r="C3026" s="17" t="s">
        <v>71</v>
      </c>
      <c r="D3026" t="s">
        <v>6458</v>
      </c>
      <c r="F3026" t="s">
        <v>8888</v>
      </c>
      <c r="K3026" s="18">
        <f>6287884877373</f>
        <v>6287884877373</v>
      </c>
      <c r="N3026" s="17" t="s">
        <v>77</v>
      </c>
      <c r="V3026" s="18">
        <f>6287884877373</f>
        <v>6287884877373</v>
      </c>
    </row>
    <row r="3027" ht="15" customHeight="1" spans="1:22" x14ac:dyDescent="0.25">
      <c r="A3027" s="17" t="s">
        <v>9027</v>
      </c>
      <c r="B3027" s="17" t="s">
        <v>70</v>
      </c>
      <c r="C3027" s="17" t="s">
        <v>71</v>
      </c>
      <c r="D3027" t="s">
        <v>6458</v>
      </c>
      <c r="F3027" t="s">
        <v>9028</v>
      </c>
      <c r="K3027" s="18">
        <f>6281311336468</f>
        <v>6281311336468</v>
      </c>
      <c r="N3027" s="17" t="s">
        <v>81</v>
      </c>
      <c r="V3027" s="18">
        <f>6281311336468</f>
        <v>6281311336468</v>
      </c>
    </row>
    <row r="3028" ht="15" customHeight="1" spans="1:22" x14ac:dyDescent="0.25">
      <c r="A3028" s="17" t="s">
        <v>9029</v>
      </c>
      <c r="B3028" s="17" t="s">
        <v>70</v>
      </c>
      <c r="C3028" s="17" t="s">
        <v>71</v>
      </c>
      <c r="D3028" t="s">
        <v>6458</v>
      </c>
      <c r="F3028" t="s">
        <v>9028</v>
      </c>
      <c r="K3028" s="18">
        <f>6287889204358</f>
        <v>6287889204358</v>
      </c>
      <c r="N3028" s="17" t="s">
        <v>74</v>
      </c>
      <c r="V3028" s="18">
        <f>6287889204358</f>
        <v>6287889204358</v>
      </c>
    </row>
    <row r="3029" ht="15" customHeight="1" spans="1:28" x14ac:dyDescent="0.25">
      <c r="A3029" s="17" t="s">
        <v>9030</v>
      </c>
      <c r="B3029" s="17" t="s">
        <v>70</v>
      </c>
      <c r="C3029" s="17" t="s">
        <v>71</v>
      </c>
      <c r="D3029" t="s">
        <v>6458</v>
      </c>
      <c r="F3029" t="s">
        <v>9031</v>
      </c>
      <c r="J3029" s="17" t="s">
        <v>9032</v>
      </c>
      <c r="K3029" s="18" t="s">
        <v>9033</v>
      </c>
      <c r="N3029" s="17" t="s">
        <v>81</v>
      </c>
      <c r="O3029" t="s">
        <v>145</v>
      </c>
      <c r="U3029" s="17"/>
      <c r="V3029" s="18" t="s">
        <v>9033</v>
      </c>
      <c r="W3029" t="s">
        <v>9034</v>
      </c>
      <c r="Y3029" t="s">
        <v>90</v>
      </c>
      <c r="AA3029" t="s">
        <v>118</v>
      </c>
      <c r="AB3029" t="s">
        <v>119</v>
      </c>
    </row>
    <row r="3030" ht="15" customHeight="1" spans="1:28" x14ac:dyDescent="0.25">
      <c r="A3030" s="17" t="s">
        <v>9035</v>
      </c>
      <c r="B3030" s="17" t="s">
        <v>70</v>
      </c>
      <c r="C3030" s="17" t="s">
        <v>71</v>
      </c>
      <c r="D3030" t="s">
        <v>6458</v>
      </c>
      <c r="F3030" t="s">
        <v>9036</v>
      </c>
      <c r="J3030" s="17" t="s">
        <v>9037</v>
      </c>
      <c r="K3030" s="18" t="s">
        <v>9038</v>
      </c>
      <c r="N3030" s="17" t="s">
        <v>77</v>
      </c>
      <c r="O3030" t="s">
        <v>489</v>
      </c>
      <c r="V3030" s="18" t="s">
        <v>9038</v>
      </c>
      <c r="Y3030" t="s">
        <v>90</v>
      </c>
      <c r="AA3030" t="s">
        <v>118</v>
      </c>
      <c r="AB3030" t="s">
        <v>119</v>
      </c>
    </row>
    <row r="3031" ht="15" customHeight="1" spans="1:25" x14ac:dyDescent="0.25">
      <c r="A3031" s="17" t="s">
        <v>9039</v>
      </c>
      <c r="B3031" s="17" t="s">
        <v>70</v>
      </c>
      <c r="C3031" s="17" t="s">
        <v>71</v>
      </c>
      <c r="D3031" t="s">
        <v>9040</v>
      </c>
      <c r="F3031" t="s">
        <v>9040</v>
      </c>
      <c r="K3031" s="18">
        <f>6287887336939</f>
        <v>6287887336939</v>
      </c>
      <c r="N3031" s="17" t="s">
        <v>81</v>
      </c>
      <c r="U3031" s="17"/>
      <c r="V3031" s="18">
        <f>6287887336939</f>
        <v>6287887336939</v>
      </c>
      <c r="W3031" t="s">
        <v>9041</v>
      </c>
      <c r="Y3031" s="17" t="s">
        <v>9042</v>
      </c>
    </row>
    <row r="3032" ht="15" customHeight="1" spans="1:23" x14ac:dyDescent="0.25">
      <c r="A3032" s="17" t="s">
        <v>9043</v>
      </c>
      <c r="B3032" s="17" t="s">
        <v>70</v>
      </c>
      <c r="C3032" s="17" t="s">
        <v>71</v>
      </c>
      <c r="D3032" t="s">
        <v>9040</v>
      </c>
      <c r="F3032" t="s">
        <v>6573</v>
      </c>
      <c r="K3032" s="18">
        <f>6281210560086</f>
        <v>6281210560086</v>
      </c>
      <c r="N3032" s="17" t="s">
        <v>77</v>
      </c>
      <c r="U3032" s="17"/>
      <c r="V3032" s="18">
        <f>6281210560086</f>
        <v>6281210560086</v>
      </c>
      <c r="W3032" t="s">
        <v>9044</v>
      </c>
    </row>
    <row r="3033" ht="15" customHeight="1" spans="1:22" x14ac:dyDescent="0.25">
      <c r="A3033" s="17" t="s">
        <v>9045</v>
      </c>
      <c r="B3033" s="17" t="s">
        <v>70</v>
      </c>
      <c r="C3033" s="17" t="s">
        <v>71</v>
      </c>
      <c r="D3033" t="s">
        <v>9040</v>
      </c>
      <c r="F3033" t="s">
        <v>9046</v>
      </c>
      <c r="K3033" s="18">
        <f>6285888772230</f>
        <v>6285888772230</v>
      </c>
      <c r="N3033" s="17" t="s">
        <v>81</v>
      </c>
      <c r="V3033" s="18">
        <f>6285888772230</f>
        <v>6285888772230</v>
      </c>
    </row>
    <row r="3034" ht="15" customHeight="1" spans="1:22" x14ac:dyDescent="0.25">
      <c r="A3034" s="17" t="s">
        <v>9047</v>
      </c>
      <c r="B3034" s="17" t="s">
        <v>70</v>
      </c>
      <c r="C3034" s="17" t="s">
        <v>71</v>
      </c>
      <c r="D3034" t="s">
        <v>1382</v>
      </c>
      <c r="F3034" t="s">
        <v>9048</v>
      </c>
      <c r="K3034" s="18">
        <f>628126012303</f>
        <v>628126012303</v>
      </c>
      <c r="N3034" s="17" t="s">
        <v>77</v>
      </c>
      <c r="V3034" s="18">
        <f>628126012303</f>
        <v>628126012303</v>
      </c>
    </row>
    <row r="3035" ht="15" customHeight="1" spans="1:23" x14ac:dyDescent="0.25">
      <c r="A3035" s="17" t="s">
        <v>9049</v>
      </c>
      <c r="B3035" s="17" t="s">
        <v>70</v>
      </c>
      <c r="C3035" s="17" t="s">
        <v>71</v>
      </c>
      <c r="D3035" t="s">
        <v>1382</v>
      </c>
      <c r="F3035" t="s">
        <v>9050</v>
      </c>
      <c r="K3035" s="18">
        <f>10082022</f>
        <v>10082022</v>
      </c>
      <c r="N3035" s="17" t="s">
        <v>77</v>
      </c>
      <c r="U3035" s="17"/>
      <c r="V3035" s="18">
        <f>10082022</f>
        <v>10082022</v>
      </c>
      <c r="W3035" t="s">
        <v>930</v>
      </c>
    </row>
    <row r="3036" ht="15" customHeight="1" spans="1:22" x14ac:dyDescent="0.25">
      <c r="A3036" s="17" t="s">
        <v>9051</v>
      </c>
      <c r="B3036" s="17" t="s">
        <v>70</v>
      </c>
      <c r="C3036" s="17" t="s">
        <v>71</v>
      </c>
      <c r="D3036" t="s">
        <v>1382</v>
      </c>
      <c r="F3036" t="s">
        <v>9052</v>
      </c>
      <c r="J3036" s="17" t="s">
        <v>9053</v>
      </c>
      <c r="K3036" s="18">
        <f>628118077761</f>
        <v>628118077761</v>
      </c>
      <c r="N3036" s="17" t="s">
        <v>74</v>
      </c>
      <c r="V3036" s="18">
        <f>628118077761</f>
        <v>628118077761</v>
      </c>
    </row>
    <row r="3037" ht="15" customHeight="1" spans="1:22" x14ac:dyDescent="0.25">
      <c r="A3037" s="17" t="s">
        <v>9054</v>
      </c>
      <c r="B3037" s="17" t="s">
        <v>70</v>
      </c>
      <c r="C3037" s="17" t="s">
        <v>71</v>
      </c>
      <c r="D3037" t="s">
        <v>9055</v>
      </c>
      <c r="F3037" t="s">
        <v>9055</v>
      </c>
      <c r="K3037" s="18">
        <f>628111886517</f>
        <v>628111886517</v>
      </c>
      <c r="N3037" s="17" t="s">
        <v>77</v>
      </c>
      <c r="V3037" s="18">
        <f>628111886517</f>
        <v>628111886517</v>
      </c>
    </row>
    <row r="3038" ht="15" customHeight="1" spans="1:22" x14ac:dyDescent="0.25">
      <c r="A3038" s="17" t="s">
        <v>9056</v>
      </c>
      <c r="B3038" s="17" t="s">
        <v>70</v>
      </c>
      <c r="C3038" s="17" t="s">
        <v>71</v>
      </c>
      <c r="D3038" t="s">
        <v>9055</v>
      </c>
      <c r="F3038" t="s">
        <v>9055</v>
      </c>
      <c r="K3038" s="18">
        <f>6281220880404</f>
        <v>6281220880404</v>
      </c>
      <c r="N3038" s="17" t="s">
        <v>81</v>
      </c>
      <c r="V3038" s="18">
        <f>6281220880404</f>
        <v>6281220880404</v>
      </c>
    </row>
    <row r="3039" ht="15" customHeight="1" spans="1:28" x14ac:dyDescent="0.25">
      <c r="A3039" s="17" t="s">
        <v>9057</v>
      </c>
      <c r="B3039" s="17" t="s">
        <v>70</v>
      </c>
      <c r="C3039" s="17" t="s">
        <v>71</v>
      </c>
      <c r="D3039" t="s">
        <v>9058</v>
      </c>
      <c r="F3039" t="s">
        <v>1208</v>
      </c>
      <c r="J3039" s="17" t="s">
        <v>9059</v>
      </c>
      <c r="K3039" s="18" t="s">
        <v>9060</v>
      </c>
      <c r="N3039" s="17" t="s">
        <v>77</v>
      </c>
      <c r="O3039" t="s">
        <v>489</v>
      </c>
      <c r="U3039" s="17"/>
      <c r="V3039" s="18" t="s">
        <v>9060</v>
      </c>
      <c r="W3039" t="s">
        <v>9061</v>
      </c>
      <c r="Y3039" s="17" t="s">
        <v>3028</v>
      </c>
      <c r="AA3039" t="s">
        <v>9062</v>
      </c>
      <c r="AB3039" t="s">
        <v>119</v>
      </c>
    </row>
    <row r="3040" ht="15" customHeight="1" spans="1:28" x14ac:dyDescent="0.25">
      <c r="A3040" s="17" t="s">
        <v>9063</v>
      </c>
      <c r="B3040" s="17" t="s">
        <v>70</v>
      </c>
      <c r="C3040" s="17" t="s">
        <v>71</v>
      </c>
      <c r="D3040" t="s">
        <v>9064</v>
      </c>
      <c r="F3040" t="s">
        <v>9065</v>
      </c>
      <c r="J3040" t="s">
        <v>115</v>
      </c>
      <c r="K3040" s="18" t="s">
        <v>9066</v>
      </c>
      <c r="N3040" s="17" t="s">
        <v>77</v>
      </c>
      <c r="O3040" t="s">
        <v>145</v>
      </c>
      <c r="V3040" s="18" t="s">
        <v>9066</v>
      </c>
      <c r="Y3040" t="s">
        <v>190</v>
      </c>
      <c r="AA3040" t="s">
        <v>118</v>
      </c>
      <c r="AB3040" t="s">
        <v>119</v>
      </c>
    </row>
    <row r="3041" ht="15" customHeight="1" spans="1:28" x14ac:dyDescent="0.25">
      <c r="A3041" s="17" t="s">
        <v>9067</v>
      </c>
      <c r="B3041" s="17" t="s">
        <v>70</v>
      </c>
      <c r="C3041" s="17" t="s">
        <v>71</v>
      </c>
      <c r="D3041" t="s">
        <v>9068</v>
      </c>
      <c r="F3041" t="s">
        <v>9069</v>
      </c>
      <c r="J3041" s="17" t="s">
        <v>9070</v>
      </c>
      <c r="K3041" s="18" t="s">
        <v>9071</v>
      </c>
      <c r="N3041" s="17" t="s">
        <v>81</v>
      </c>
      <c r="O3041" t="s">
        <v>261</v>
      </c>
      <c r="V3041" s="18" t="s">
        <v>9071</v>
      </c>
      <c r="Y3041" t="s">
        <v>1968</v>
      </c>
      <c r="AA3041" t="s">
        <v>1969</v>
      </c>
      <c r="AB3041" t="s">
        <v>119</v>
      </c>
    </row>
    <row r="3042" ht="15" customHeight="1" spans="1:28" x14ac:dyDescent="0.25">
      <c r="A3042" s="17" t="s">
        <v>9072</v>
      </c>
      <c r="B3042" s="17" t="s">
        <v>70</v>
      </c>
      <c r="C3042" s="17" t="s">
        <v>71</v>
      </c>
      <c r="D3042" t="s">
        <v>9073</v>
      </c>
      <c r="F3042" t="s">
        <v>1401</v>
      </c>
      <c r="J3042" t="s">
        <v>115</v>
      </c>
      <c r="K3042" s="18" t="s">
        <v>9074</v>
      </c>
      <c r="N3042" s="17" t="s">
        <v>77</v>
      </c>
      <c r="O3042" t="s">
        <v>117</v>
      </c>
      <c r="V3042" s="18" t="s">
        <v>9074</v>
      </c>
      <c r="Y3042" t="s">
        <v>90</v>
      </c>
      <c r="AA3042" t="s">
        <v>118</v>
      </c>
      <c r="AB3042" t="s">
        <v>119</v>
      </c>
    </row>
    <row r="3043" ht="15" customHeight="1" spans="1:22" x14ac:dyDescent="0.25">
      <c r="A3043" s="17" t="s">
        <v>9075</v>
      </c>
      <c r="B3043" s="17" t="s">
        <v>70</v>
      </c>
      <c r="C3043" s="17" t="s">
        <v>71</v>
      </c>
      <c r="D3043" t="s">
        <v>9076</v>
      </c>
      <c r="F3043" t="s">
        <v>9076</v>
      </c>
      <c r="K3043" s="18">
        <f>628174906110</f>
        <v>628174906110</v>
      </c>
      <c r="N3043" s="17" t="s">
        <v>81</v>
      </c>
      <c r="V3043" s="18">
        <f>628174906110</f>
        <v>628174906110</v>
      </c>
    </row>
    <row r="3044" ht="15" customHeight="1" spans="1:22" x14ac:dyDescent="0.25">
      <c r="A3044" s="17" t="s">
        <v>9077</v>
      </c>
      <c r="B3044" s="17" t="s">
        <v>70</v>
      </c>
      <c r="C3044" s="17" t="s">
        <v>71</v>
      </c>
      <c r="D3044" t="s">
        <v>9076</v>
      </c>
      <c r="F3044" t="s">
        <v>4298</v>
      </c>
      <c r="K3044" s="18">
        <f>62811130964</f>
        <v>62811130964</v>
      </c>
      <c r="N3044" s="17" t="s">
        <v>77</v>
      </c>
      <c r="V3044" s="18">
        <f>62811130964</f>
        <v>62811130964</v>
      </c>
    </row>
    <row r="3045" ht="15" customHeight="1" spans="1:22" x14ac:dyDescent="0.25">
      <c r="A3045" s="17" t="s">
        <v>9078</v>
      </c>
      <c r="B3045" s="17" t="s">
        <v>70</v>
      </c>
      <c r="C3045" s="17" t="s">
        <v>71</v>
      </c>
      <c r="D3045" t="s">
        <v>9076</v>
      </c>
      <c r="F3045" t="s">
        <v>9079</v>
      </c>
      <c r="K3045" s="18">
        <f>6281281818782</f>
        <v>6281281818782</v>
      </c>
      <c r="N3045" s="17" t="s">
        <v>77</v>
      </c>
      <c r="V3045" s="18">
        <f>6281281818782</f>
        <v>6281281818782</v>
      </c>
    </row>
    <row r="3046" ht="15" customHeight="1" spans="1:22" x14ac:dyDescent="0.25">
      <c r="A3046" s="17" t="s">
        <v>9080</v>
      </c>
      <c r="B3046" s="17" t="s">
        <v>70</v>
      </c>
      <c r="C3046" s="17" t="s">
        <v>71</v>
      </c>
      <c r="D3046" t="s">
        <v>9076</v>
      </c>
      <c r="F3046" t="s">
        <v>9081</v>
      </c>
      <c r="K3046" s="18">
        <f>6283827365695</f>
        <v>6283827365695</v>
      </c>
      <c r="N3046" s="17" t="s">
        <v>81</v>
      </c>
      <c r="V3046" s="18">
        <f>6283827365695</f>
        <v>6283827365695</v>
      </c>
    </row>
    <row r="3047" ht="15" customHeight="1" spans="1:23" x14ac:dyDescent="0.25">
      <c r="A3047" s="17" t="s">
        <v>9082</v>
      </c>
      <c r="B3047" s="17" t="s">
        <v>70</v>
      </c>
      <c r="C3047" s="17" t="s">
        <v>71</v>
      </c>
      <c r="D3047" t="s">
        <v>9076</v>
      </c>
      <c r="F3047" t="s">
        <v>9083</v>
      </c>
      <c r="J3047" s="17" t="s">
        <v>9084</v>
      </c>
      <c r="K3047" s="18">
        <f>6287876795569</f>
        <v>6287876795569</v>
      </c>
      <c r="N3047" s="17" t="s">
        <v>77</v>
      </c>
      <c r="U3047" s="17"/>
      <c r="V3047" s="18">
        <f>6287876795569</f>
        <v>6287876795569</v>
      </c>
      <c r="W3047" t="s">
        <v>1319</v>
      </c>
    </row>
    <row r="3048" ht="15" customHeight="1" spans="1:25" x14ac:dyDescent="0.25">
      <c r="A3048" s="17" t="s">
        <v>9085</v>
      </c>
      <c r="B3048" s="17" t="s">
        <v>70</v>
      </c>
      <c r="C3048" s="17" t="s">
        <v>71</v>
      </c>
      <c r="D3048" t="s">
        <v>9076</v>
      </c>
      <c r="F3048" t="s">
        <v>9086</v>
      </c>
      <c r="J3048" s="17" t="s">
        <v>9087</v>
      </c>
      <c r="K3048" s="18">
        <f>6281310707774</f>
        <v>6281310707774</v>
      </c>
      <c r="N3048" s="17" t="s">
        <v>77</v>
      </c>
      <c r="U3048" s="17"/>
      <c r="V3048" s="18">
        <f>6281310707774</f>
        <v>6281310707774</v>
      </c>
      <c r="W3048" t="s">
        <v>9088</v>
      </c>
      <c r="Y3048" s="17" t="s">
        <v>3320</v>
      </c>
    </row>
    <row r="3049" ht="15" customHeight="1" spans="1:22" x14ac:dyDescent="0.25">
      <c r="A3049" s="17" t="s">
        <v>9089</v>
      </c>
      <c r="B3049" s="17" t="s">
        <v>70</v>
      </c>
      <c r="C3049" s="17" t="s">
        <v>71</v>
      </c>
      <c r="D3049" t="s">
        <v>9076</v>
      </c>
      <c r="F3049" t="s">
        <v>9090</v>
      </c>
      <c r="K3049" s="18">
        <f>62816909104</f>
        <v>62816909104</v>
      </c>
      <c r="N3049" s="17" t="s">
        <v>81</v>
      </c>
      <c r="V3049" s="18">
        <f>62816909104</f>
        <v>62816909104</v>
      </c>
    </row>
    <row r="3050" ht="15" customHeight="1" spans="1:22" x14ac:dyDescent="0.25">
      <c r="A3050" s="17" t="s">
        <v>9091</v>
      </c>
      <c r="B3050" s="17" t="s">
        <v>70</v>
      </c>
      <c r="C3050" s="17" t="s">
        <v>71</v>
      </c>
      <c r="D3050" t="s">
        <v>9092</v>
      </c>
      <c r="F3050" t="s">
        <v>9092</v>
      </c>
      <c r="K3050" s="18">
        <f>6283890001099</f>
        <v>6283890001099</v>
      </c>
      <c r="N3050" s="17" t="s">
        <v>74</v>
      </c>
      <c r="V3050" s="18">
        <f>6283890001099</f>
        <v>6283890001099</v>
      </c>
    </row>
    <row r="3051" ht="15" customHeight="1" spans="1:28" x14ac:dyDescent="0.25">
      <c r="A3051" s="17" t="s">
        <v>9093</v>
      </c>
      <c r="B3051" s="17" t="s">
        <v>70</v>
      </c>
      <c r="C3051" s="17" t="s">
        <v>71</v>
      </c>
      <c r="D3051" t="s">
        <v>9092</v>
      </c>
      <c r="F3051" t="s">
        <v>9094</v>
      </c>
      <c r="J3051" t="s">
        <v>115</v>
      </c>
      <c r="K3051" s="18" t="s">
        <v>9095</v>
      </c>
      <c r="N3051" s="17" t="s">
        <v>74</v>
      </c>
      <c r="O3051" t="s">
        <v>117</v>
      </c>
      <c r="V3051" s="18" t="s">
        <v>9095</v>
      </c>
      <c r="Y3051" t="s">
        <v>90</v>
      </c>
      <c r="AA3051" t="s">
        <v>118</v>
      </c>
      <c r="AB3051" t="s">
        <v>119</v>
      </c>
    </row>
    <row r="3052" ht="15" customHeight="1" spans="1:22" x14ac:dyDescent="0.25">
      <c r="A3052" s="17" t="s">
        <v>9096</v>
      </c>
      <c r="B3052" s="17" t="s">
        <v>70</v>
      </c>
      <c r="C3052" s="17" t="s">
        <v>71</v>
      </c>
      <c r="D3052" t="s">
        <v>9092</v>
      </c>
      <c r="F3052" t="s">
        <v>9097</v>
      </c>
      <c r="K3052" s="18">
        <f>6281282322002</f>
        <v>6281282322002</v>
      </c>
      <c r="N3052" s="17" t="s">
        <v>81</v>
      </c>
      <c r="V3052" s="18">
        <f>6281282322002</f>
        <v>6281282322002</v>
      </c>
    </row>
    <row r="3053" ht="15" customHeight="1" spans="1:28" x14ac:dyDescent="0.25">
      <c r="A3053" s="17" t="s">
        <v>9098</v>
      </c>
      <c r="B3053" s="17" t="s">
        <v>70</v>
      </c>
      <c r="C3053" s="17" t="s">
        <v>71</v>
      </c>
      <c r="D3053" t="s">
        <v>9092</v>
      </c>
      <c r="F3053" t="s">
        <v>9099</v>
      </c>
      <c r="J3053" s="17" t="s">
        <v>9100</v>
      </c>
      <c r="K3053" s="18" t="s">
        <v>9101</v>
      </c>
      <c r="N3053" s="17" t="s">
        <v>77</v>
      </c>
      <c r="O3053" t="s">
        <v>117</v>
      </c>
      <c r="V3053" s="18" t="s">
        <v>9101</v>
      </c>
      <c r="Y3053" t="s">
        <v>90</v>
      </c>
      <c r="AA3053" t="s">
        <v>118</v>
      </c>
      <c r="AB3053" t="s">
        <v>119</v>
      </c>
    </row>
    <row r="3054" ht="15" customHeight="1" spans="1:22" x14ac:dyDescent="0.25">
      <c r="A3054" s="17" t="s">
        <v>9102</v>
      </c>
      <c r="B3054" s="17" t="s">
        <v>70</v>
      </c>
      <c r="C3054" s="17" t="s">
        <v>71</v>
      </c>
      <c r="D3054" t="s">
        <v>9092</v>
      </c>
      <c r="F3054" t="s">
        <v>9103</v>
      </c>
      <c r="K3054" s="18">
        <f>62811241688</f>
        <v>62811241688</v>
      </c>
      <c r="N3054" s="17" t="s">
        <v>74</v>
      </c>
      <c r="V3054" s="18">
        <f>62811241688</f>
        <v>62811241688</v>
      </c>
    </row>
    <row r="3055" ht="15" customHeight="1" spans="1:28" x14ac:dyDescent="0.25">
      <c r="A3055" s="17" t="s">
        <v>9104</v>
      </c>
      <c r="B3055" s="17" t="s">
        <v>70</v>
      </c>
      <c r="C3055" s="17" t="s">
        <v>71</v>
      </c>
      <c r="D3055" t="s">
        <v>9092</v>
      </c>
      <c r="F3055" t="s">
        <v>9105</v>
      </c>
      <c r="J3055" s="17" t="s">
        <v>9106</v>
      </c>
      <c r="K3055" s="18" t="s">
        <v>9107</v>
      </c>
      <c r="N3055" s="17" t="s">
        <v>77</v>
      </c>
      <c r="O3055" t="s">
        <v>489</v>
      </c>
      <c r="V3055" s="18" t="s">
        <v>9107</v>
      </c>
      <c r="Y3055" t="s">
        <v>190</v>
      </c>
      <c r="AA3055" t="s">
        <v>118</v>
      </c>
      <c r="AB3055" t="s">
        <v>119</v>
      </c>
    </row>
    <row r="3056" ht="15" customHeight="1" spans="1:22" x14ac:dyDescent="0.25">
      <c r="A3056" s="17" t="s">
        <v>9108</v>
      </c>
      <c r="B3056" s="17" t="s">
        <v>70</v>
      </c>
      <c r="C3056" s="17" t="s">
        <v>71</v>
      </c>
      <c r="D3056" t="s">
        <v>9092</v>
      </c>
      <c r="F3056" t="s">
        <v>517</v>
      </c>
      <c r="K3056" s="18">
        <f>6285222269000</f>
        <v>6285222269000</v>
      </c>
      <c r="N3056" s="17" t="s">
        <v>77</v>
      </c>
      <c r="V3056" s="18">
        <f>6285222269000</f>
        <v>6285222269000</v>
      </c>
    </row>
    <row r="3057" ht="15" customHeight="1" spans="1:27" x14ac:dyDescent="0.25">
      <c r="A3057" s="17" t="s">
        <v>9109</v>
      </c>
      <c r="B3057" s="17" t="s">
        <v>70</v>
      </c>
      <c r="C3057" s="17" t="s">
        <v>71</v>
      </c>
      <c r="D3057" t="s">
        <v>9110</v>
      </c>
      <c r="F3057" t="s">
        <v>9111</v>
      </c>
      <c r="K3057" s="18">
        <f>6281389637676</f>
        <v>6281389637676</v>
      </c>
      <c r="N3057" s="17" t="s">
        <v>77</v>
      </c>
      <c r="U3057" s="17"/>
      <c r="V3057" s="18">
        <f>6281389637676</f>
        <v>6281389637676</v>
      </c>
      <c r="W3057" t="s">
        <v>9112</v>
      </c>
      <c r="Y3057" s="17" t="s">
        <v>96</v>
      </c>
      <c r="AA3057" s="17">
        <v>12190</v>
      </c>
    </row>
    <row r="3058" ht="15" customHeight="1" spans="1:23" x14ac:dyDescent="0.25">
      <c r="A3058" s="17" t="s">
        <v>9113</v>
      </c>
      <c r="B3058" s="17" t="s">
        <v>70</v>
      </c>
      <c r="C3058" s="17" t="s">
        <v>71</v>
      </c>
      <c r="D3058" t="s">
        <v>9110</v>
      </c>
      <c r="F3058" t="s">
        <v>9114</v>
      </c>
      <c r="K3058" s="18">
        <f>6281389837676</f>
        <v>6281389837676</v>
      </c>
      <c r="N3058" s="17" t="s">
        <v>77</v>
      </c>
      <c r="U3058" s="17"/>
      <c r="V3058" s="18">
        <f>6281389837676</f>
        <v>6281389837676</v>
      </c>
      <c r="W3058" t="s">
        <v>9115</v>
      </c>
    </row>
    <row r="3059" ht="15" customHeight="1" spans="1:28" x14ac:dyDescent="0.25">
      <c r="A3059" s="17" t="s">
        <v>9116</v>
      </c>
      <c r="B3059" s="17" t="s">
        <v>70</v>
      </c>
      <c r="C3059" s="17" t="s">
        <v>71</v>
      </c>
      <c r="D3059" t="s">
        <v>9117</v>
      </c>
      <c r="F3059" t="s">
        <v>9118</v>
      </c>
      <c r="J3059" t="s">
        <v>115</v>
      </c>
      <c r="K3059" s="18" t="s">
        <v>9119</v>
      </c>
      <c r="N3059" s="17" t="s">
        <v>74</v>
      </c>
      <c r="O3059" t="s">
        <v>489</v>
      </c>
      <c r="V3059" s="18" t="s">
        <v>9119</v>
      </c>
      <c r="Y3059" t="s">
        <v>500</v>
      </c>
      <c r="AA3059" t="s">
        <v>501</v>
      </c>
      <c r="AB3059" t="s">
        <v>119</v>
      </c>
    </row>
    <row r="3060" ht="15" customHeight="1" spans="1:22" x14ac:dyDescent="0.25">
      <c r="A3060" s="17" t="s">
        <v>9120</v>
      </c>
      <c r="B3060" s="17" t="s">
        <v>70</v>
      </c>
      <c r="C3060" s="17" t="s">
        <v>71</v>
      </c>
      <c r="D3060" t="s">
        <v>9117</v>
      </c>
      <c r="F3060" t="s">
        <v>9121</v>
      </c>
      <c r="K3060" s="18">
        <f>6281370513169</f>
        <v>6281370513169</v>
      </c>
      <c r="N3060" s="17" t="s">
        <v>77</v>
      </c>
      <c r="V3060" s="18">
        <f>6281370513169</f>
        <v>6281370513169</v>
      </c>
    </row>
    <row r="3061" ht="15" customHeight="1" spans="1:28" x14ac:dyDescent="0.25">
      <c r="A3061" s="17" t="s">
        <v>9122</v>
      </c>
      <c r="B3061" s="17" t="s">
        <v>70</v>
      </c>
      <c r="C3061" s="17" t="s">
        <v>71</v>
      </c>
      <c r="D3061" t="s">
        <v>9117</v>
      </c>
      <c r="F3061" t="s">
        <v>9123</v>
      </c>
      <c r="J3061" s="17" t="s">
        <v>9124</v>
      </c>
      <c r="K3061" s="18" t="s">
        <v>9125</v>
      </c>
      <c r="N3061" s="17" t="s">
        <v>77</v>
      </c>
      <c r="O3061" t="s">
        <v>199</v>
      </c>
      <c r="V3061" s="18" t="s">
        <v>9125</v>
      </c>
      <c r="Y3061" t="s">
        <v>90</v>
      </c>
      <c r="AA3061" t="s">
        <v>118</v>
      </c>
      <c r="AB3061" t="s">
        <v>119</v>
      </c>
    </row>
    <row r="3062" ht="15" customHeight="1" spans="1:25" x14ac:dyDescent="0.25">
      <c r="A3062" s="17" t="s">
        <v>9126</v>
      </c>
      <c r="B3062" s="17" t="s">
        <v>70</v>
      </c>
      <c r="C3062" s="17" t="s">
        <v>71</v>
      </c>
      <c r="D3062" t="s">
        <v>9117</v>
      </c>
      <c r="F3062" t="s">
        <v>5564</v>
      </c>
      <c r="J3062" s="17" t="s">
        <v>9127</v>
      </c>
      <c r="K3062" s="18">
        <f>628111900898</f>
        <v>628111900898</v>
      </c>
      <c r="N3062" s="17" t="s">
        <v>81</v>
      </c>
      <c r="U3062" s="17"/>
      <c r="V3062" s="18">
        <f>628111900898</f>
        <v>628111900898</v>
      </c>
      <c r="W3062" t="s">
        <v>9128</v>
      </c>
      <c r="Y3062" s="17" t="s">
        <v>626</v>
      </c>
    </row>
    <row r="3063" ht="15" customHeight="1" spans="1:22" x14ac:dyDescent="0.25">
      <c r="A3063" s="17" t="s">
        <v>9129</v>
      </c>
      <c r="B3063" s="17" t="s">
        <v>70</v>
      </c>
      <c r="C3063" s="17" t="s">
        <v>71</v>
      </c>
      <c r="D3063" t="s">
        <v>9117</v>
      </c>
      <c r="F3063" t="s">
        <v>9130</v>
      </c>
      <c r="K3063" s="18">
        <f>628118778000</f>
        <v>628118778000</v>
      </c>
      <c r="N3063" s="17" t="s">
        <v>77</v>
      </c>
      <c r="V3063" s="18">
        <f>628118778000</f>
        <v>628118778000</v>
      </c>
    </row>
    <row r="3064" ht="15" customHeight="1" spans="1:22" x14ac:dyDescent="0.25">
      <c r="A3064" s="17" t="s">
        <v>9131</v>
      </c>
      <c r="B3064" s="17" t="s">
        <v>70</v>
      </c>
      <c r="C3064" s="17" t="s">
        <v>71</v>
      </c>
      <c r="D3064" t="s">
        <v>9117</v>
      </c>
      <c r="F3064" t="s">
        <v>9132</v>
      </c>
      <c r="K3064" s="18">
        <f>62818206157</f>
        <v>62818206157</v>
      </c>
      <c r="N3064" s="17" t="s">
        <v>77</v>
      </c>
      <c r="V3064" s="18">
        <f>62818206157</f>
        <v>62818206157</v>
      </c>
    </row>
    <row r="3065" ht="15" customHeight="1" spans="1:22" x14ac:dyDescent="0.25">
      <c r="A3065" s="17" t="s">
        <v>9133</v>
      </c>
      <c r="B3065" s="17" t="s">
        <v>70</v>
      </c>
      <c r="C3065" s="17" t="s">
        <v>71</v>
      </c>
      <c r="D3065" t="s">
        <v>9117</v>
      </c>
      <c r="F3065" t="s">
        <v>9134</v>
      </c>
      <c r="K3065" s="18">
        <f>6281909805000</f>
        <v>6281909805000</v>
      </c>
      <c r="N3065" s="17" t="s">
        <v>77</v>
      </c>
      <c r="V3065" s="18">
        <f>6281909805000</f>
        <v>6281909805000</v>
      </c>
    </row>
    <row r="3066" ht="15" customHeight="1" spans="1:23" x14ac:dyDescent="0.25">
      <c r="A3066" s="17" t="s">
        <v>9135</v>
      </c>
      <c r="B3066" s="17" t="s">
        <v>70</v>
      </c>
      <c r="C3066" s="17" t="s">
        <v>71</v>
      </c>
      <c r="D3066" t="s">
        <v>9136</v>
      </c>
      <c r="F3066" t="s">
        <v>9136</v>
      </c>
      <c r="J3066" s="17" t="s">
        <v>9137</v>
      </c>
      <c r="K3066" s="18">
        <f>6281314386888</f>
        <v>6281314386888</v>
      </c>
      <c r="N3066" s="17" t="s">
        <v>77</v>
      </c>
      <c r="U3066" s="17"/>
      <c r="V3066" s="18">
        <f>6281314386888</f>
        <v>6281314386888</v>
      </c>
      <c r="W3066" t="s">
        <v>9138</v>
      </c>
    </row>
    <row r="3067" ht="15" customHeight="1" spans="1:22" x14ac:dyDescent="0.25">
      <c r="A3067" s="17" t="s">
        <v>9139</v>
      </c>
      <c r="B3067" s="17" t="s">
        <v>70</v>
      </c>
      <c r="C3067" s="17" t="s">
        <v>71</v>
      </c>
      <c r="D3067" t="s">
        <v>9136</v>
      </c>
      <c r="F3067" t="s">
        <v>9140</v>
      </c>
      <c r="K3067" s="18">
        <f>6285286441510</f>
        <v>6285286441510</v>
      </c>
      <c r="N3067" s="17" t="s">
        <v>77</v>
      </c>
      <c r="V3067" s="18">
        <f>6285286441510</f>
        <v>6285286441510</v>
      </c>
    </row>
    <row r="3068" ht="15" customHeight="1" spans="1:25" x14ac:dyDescent="0.25">
      <c r="A3068" s="17" t="s">
        <v>9141</v>
      </c>
      <c r="B3068" s="17" t="s">
        <v>70</v>
      </c>
      <c r="C3068" s="17" t="s">
        <v>71</v>
      </c>
      <c r="D3068" t="s">
        <v>9136</v>
      </c>
      <c r="F3068" t="s">
        <v>9142</v>
      </c>
      <c r="K3068" s="18">
        <f>628153100168</f>
        <v>628153100168</v>
      </c>
      <c r="N3068" s="17" t="s">
        <v>77</v>
      </c>
      <c r="U3068" s="17"/>
      <c r="V3068" s="18">
        <f>628153100168</f>
        <v>628153100168</v>
      </c>
      <c r="W3068" t="s">
        <v>9143</v>
      </c>
      <c r="Y3068" s="17" t="s">
        <v>1157</v>
      </c>
    </row>
    <row r="3069" ht="15" customHeight="1" spans="1:27" x14ac:dyDescent="0.25">
      <c r="A3069" s="17" t="s">
        <v>9144</v>
      </c>
      <c r="B3069" s="17" t="s">
        <v>70</v>
      </c>
      <c r="C3069" s="17" t="s">
        <v>71</v>
      </c>
      <c r="D3069" t="s">
        <v>9136</v>
      </c>
      <c r="F3069" t="s">
        <v>755</v>
      </c>
      <c r="K3069" s="18">
        <f>62811996661</f>
        <v>62811996661</v>
      </c>
      <c r="N3069" s="17" t="s">
        <v>77</v>
      </c>
      <c r="U3069" s="17"/>
      <c r="V3069" s="18">
        <f>62811996661</f>
        <v>62811996661</v>
      </c>
      <c r="W3069" t="s">
        <v>9145</v>
      </c>
      <c r="AA3069" s="17" t="s">
        <v>1119</v>
      </c>
    </row>
    <row r="3070" ht="15" customHeight="1" spans="1:22" x14ac:dyDescent="0.25">
      <c r="A3070" s="17" t="s">
        <v>9146</v>
      </c>
      <c r="B3070" s="17" t="s">
        <v>70</v>
      </c>
      <c r="C3070" s="17" t="s">
        <v>71</v>
      </c>
      <c r="D3070" t="s">
        <v>9136</v>
      </c>
      <c r="F3070" t="s">
        <v>9147</v>
      </c>
      <c r="J3070" s="17" t="s">
        <v>9148</v>
      </c>
      <c r="K3070" s="18">
        <f>628129822999</f>
        <v>628129822999</v>
      </c>
      <c r="N3070" s="17" t="s">
        <v>77</v>
      </c>
      <c r="V3070" s="18">
        <f>628129822999</f>
        <v>628129822999</v>
      </c>
    </row>
    <row r="3071" ht="15" customHeight="1" spans="1:22" x14ac:dyDescent="0.25">
      <c r="A3071" s="17" t="s">
        <v>9149</v>
      </c>
      <c r="B3071" s="17" t="s">
        <v>70</v>
      </c>
      <c r="C3071" s="17" t="s">
        <v>71</v>
      </c>
      <c r="D3071" t="s">
        <v>9136</v>
      </c>
      <c r="F3071" t="s">
        <v>8122</v>
      </c>
      <c r="K3071" s="18">
        <f>62818868822</f>
        <v>62818868822</v>
      </c>
      <c r="N3071" s="17" t="s">
        <v>81</v>
      </c>
      <c r="V3071" s="18">
        <f>62818868822</f>
        <v>62818868822</v>
      </c>
    </row>
    <row r="3072" ht="15" customHeight="1" spans="1:22" x14ac:dyDescent="0.25">
      <c r="A3072" s="17" t="s">
        <v>9150</v>
      </c>
      <c r="B3072" s="17" t="s">
        <v>70</v>
      </c>
      <c r="C3072" s="17" t="s">
        <v>71</v>
      </c>
      <c r="D3072" t="s">
        <v>9151</v>
      </c>
      <c r="F3072" t="s">
        <v>9151</v>
      </c>
      <c r="K3072" s="18">
        <f>62811960783</f>
        <v>62811960783</v>
      </c>
      <c r="N3072" s="17" t="s">
        <v>81</v>
      </c>
      <c r="V3072" s="18">
        <f>62811960783</f>
        <v>62811960783</v>
      </c>
    </row>
    <row r="3073" ht="15" customHeight="1" spans="1:22" x14ac:dyDescent="0.25">
      <c r="A3073" s="17" t="s">
        <v>9152</v>
      </c>
      <c r="B3073" s="17" t="s">
        <v>70</v>
      </c>
      <c r="C3073" s="17" t="s">
        <v>71</v>
      </c>
      <c r="D3073" t="s">
        <v>9153</v>
      </c>
      <c r="F3073" t="s">
        <v>9153</v>
      </c>
      <c r="K3073" s="18">
        <f>628112429200</f>
        <v>628112429200</v>
      </c>
      <c r="N3073" s="17" t="s">
        <v>77</v>
      </c>
      <c r="V3073" s="18">
        <f>628112429200</f>
        <v>628112429200</v>
      </c>
    </row>
    <row r="3074" ht="15" customHeight="1" spans="1:22" x14ac:dyDescent="0.25">
      <c r="A3074" s="17" t="s">
        <v>9154</v>
      </c>
      <c r="B3074" s="17" t="s">
        <v>70</v>
      </c>
      <c r="C3074" s="17" t="s">
        <v>71</v>
      </c>
      <c r="D3074" t="s">
        <v>9155</v>
      </c>
      <c r="F3074" t="s">
        <v>9156</v>
      </c>
      <c r="K3074" s="18">
        <f>6281340632633</f>
        <v>6281340632633</v>
      </c>
      <c r="N3074" s="17" t="s">
        <v>77</v>
      </c>
      <c r="V3074" s="18">
        <f>6281340632633</f>
        <v>6281340632633</v>
      </c>
    </row>
    <row r="3075" ht="15" customHeight="1" spans="1:27" x14ac:dyDescent="0.25">
      <c r="A3075" s="17" t="s">
        <v>9157</v>
      </c>
      <c r="B3075" s="17" t="s">
        <v>70</v>
      </c>
      <c r="C3075" s="17" t="s">
        <v>71</v>
      </c>
      <c r="D3075" t="s">
        <v>9158</v>
      </c>
      <c r="F3075" t="s">
        <v>9159</v>
      </c>
      <c r="K3075" s="18">
        <f>6282140882244</f>
        <v>6282140882244</v>
      </c>
      <c r="N3075" s="17" t="s">
        <v>77</v>
      </c>
      <c r="U3075" s="17"/>
      <c r="V3075" s="18">
        <f>6282140882244</f>
        <v>6282140882244</v>
      </c>
      <c r="W3075" t="s">
        <v>9160</v>
      </c>
      <c r="AA3075" s="17">
        <v>10160</v>
      </c>
    </row>
    <row r="3076" ht="15" customHeight="1" spans="1:22" x14ac:dyDescent="0.25">
      <c r="A3076" s="17" t="s">
        <v>9161</v>
      </c>
      <c r="B3076" s="17" t="s">
        <v>70</v>
      </c>
      <c r="C3076" s="17" t="s">
        <v>71</v>
      </c>
      <c r="D3076" t="s">
        <v>9162</v>
      </c>
      <c r="F3076" t="s">
        <v>9162</v>
      </c>
      <c r="K3076" s="18">
        <f>62818121187</f>
        <v>62818121187</v>
      </c>
      <c r="N3076" s="17" t="s">
        <v>77</v>
      </c>
      <c r="V3076" s="18">
        <f>62818121187</f>
        <v>62818121187</v>
      </c>
    </row>
    <row r="3077" ht="15" customHeight="1" spans="1:28" x14ac:dyDescent="0.25">
      <c r="A3077" s="17" t="s">
        <v>9163</v>
      </c>
      <c r="B3077" s="17" t="s">
        <v>70</v>
      </c>
      <c r="C3077" s="17" t="s">
        <v>71</v>
      </c>
      <c r="D3077" t="s">
        <v>9164</v>
      </c>
      <c r="F3077" t="s">
        <v>9165</v>
      </c>
      <c r="J3077" t="s">
        <v>115</v>
      </c>
      <c r="K3077" s="18" t="s">
        <v>9166</v>
      </c>
      <c r="N3077" s="17" t="s">
        <v>74</v>
      </c>
      <c r="O3077" t="s">
        <v>145</v>
      </c>
      <c r="V3077" s="18" t="s">
        <v>9166</v>
      </c>
      <c r="Y3077" t="s">
        <v>90</v>
      </c>
      <c r="AA3077" t="s">
        <v>118</v>
      </c>
      <c r="AB3077" t="s">
        <v>119</v>
      </c>
    </row>
    <row r="3078" ht="15" customHeight="1" spans="1:22" x14ac:dyDescent="0.25">
      <c r="A3078" s="17" t="s">
        <v>9167</v>
      </c>
      <c r="B3078" s="17" t="s">
        <v>70</v>
      </c>
      <c r="C3078" s="17" t="s">
        <v>71</v>
      </c>
      <c r="D3078" t="s">
        <v>9168</v>
      </c>
      <c r="F3078" t="s">
        <v>9169</v>
      </c>
      <c r="K3078" s="18">
        <f>6281138213012</f>
        <v>6281138213012</v>
      </c>
      <c r="N3078" s="17" t="s">
        <v>81</v>
      </c>
      <c r="V3078" s="18">
        <f>6281138213012</f>
        <v>6281138213012</v>
      </c>
    </row>
    <row r="3079" ht="15" customHeight="1" spans="1:23" x14ac:dyDescent="0.25">
      <c r="A3079" s="17" t="s">
        <v>9170</v>
      </c>
      <c r="B3079" s="17" t="s">
        <v>70</v>
      </c>
      <c r="C3079" s="17" t="s">
        <v>71</v>
      </c>
      <c r="D3079" t="s">
        <v>9171</v>
      </c>
      <c r="F3079" t="s">
        <v>8486</v>
      </c>
      <c r="K3079" s="18">
        <f>6281220999919</f>
        <v>6281220999919</v>
      </c>
      <c r="N3079" s="17" t="s">
        <v>81</v>
      </c>
      <c r="U3079" s="17"/>
      <c r="V3079" s="18">
        <f>6281220999919</f>
        <v>6281220999919</v>
      </c>
      <c r="W3079" t="s">
        <v>9172</v>
      </c>
    </row>
    <row r="3080" ht="15" customHeight="1" spans="1:22" x14ac:dyDescent="0.25">
      <c r="A3080" s="17" t="s">
        <v>9173</v>
      </c>
      <c r="B3080" s="17" t="s">
        <v>70</v>
      </c>
      <c r="C3080" s="17" t="s">
        <v>71</v>
      </c>
      <c r="D3080" t="s">
        <v>9174</v>
      </c>
      <c r="F3080" t="s">
        <v>9175</v>
      </c>
      <c r="K3080" s="18">
        <f>62215306395</f>
        <v>62215306395</v>
      </c>
      <c r="N3080" s="17" t="s">
        <v>77</v>
      </c>
      <c r="V3080" s="18">
        <f>62215306395</f>
        <v>62215306395</v>
      </c>
    </row>
    <row r="3081" ht="15" customHeight="1" spans="1:25" x14ac:dyDescent="0.25">
      <c r="A3081" s="17" t="s">
        <v>9176</v>
      </c>
      <c r="B3081" s="17" t="s">
        <v>70</v>
      </c>
      <c r="C3081" s="17" t="s">
        <v>71</v>
      </c>
      <c r="D3081" t="s">
        <v>9177</v>
      </c>
      <c r="F3081" t="s">
        <v>9177</v>
      </c>
      <c r="J3081" s="17" t="s">
        <v>9178</v>
      </c>
      <c r="K3081" s="18">
        <f>6281314025402</f>
        <v>6281314025402</v>
      </c>
      <c r="N3081" s="17" t="s">
        <v>77</v>
      </c>
      <c r="U3081" s="17"/>
      <c r="V3081" s="18">
        <f>6281314025402</f>
        <v>6281314025402</v>
      </c>
      <c r="W3081" t="s">
        <v>9179</v>
      </c>
      <c r="Y3081" s="17" t="s">
        <v>3320</v>
      </c>
    </row>
    <row r="3082" ht="15" customHeight="1" spans="1:28" x14ac:dyDescent="0.25">
      <c r="A3082" s="17" t="s">
        <v>9180</v>
      </c>
      <c r="B3082" s="17" t="s">
        <v>70</v>
      </c>
      <c r="C3082" s="17" t="s">
        <v>71</v>
      </c>
      <c r="D3082" t="s">
        <v>9177</v>
      </c>
      <c r="F3082" t="s">
        <v>3008</v>
      </c>
      <c r="J3082" s="17" t="s">
        <v>9181</v>
      </c>
      <c r="K3082" s="18" t="s">
        <v>9182</v>
      </c>
      <c r="N3082" s="17" t="s">
        <v>77</v>
      </c>
      <c r="O3082" t="s">
        <v>489</v>
      </c>
      <c r="U3082" s="17"/>
      <c r="V3082" s="18" t="s">
        <v>9182</v>
      </c>
      <c r="W3082" t="s">
        <v>9183</v>
      </c>
      <c r="Y3082" s="17" t="s">
        <v>90</v>
      </c>
      <c r="AA3082" t="s">
        <v>118</v>
      </c>
      <c r="AB3082" t="s">
        <v>119</v>
      </c>
    </row>
    <row r="3083" ht="15" customHeight="1" spans="1:22" x14ac:dyDescent="0.25">
      <c r="A3083" s="17" t="s">
        <v>9184</v>
      </c>
      <c r="B3083" s="17" t="s">
        <v>70</v>
      </c>
      <c r="C3083" s="17" t="s">
        <v>71</v>
      </c>
      <c r="D3083" t="s">
        <v>9177</v>
      </c>
      <c r="F3083" t="s">
        <v>3176</v>
      </c>
      <c r="K3083" s="18">
        <f>628111402019</f>
        <v>628111402019</v>
      </c>
      <c r="N3083" s="17" t="s">
        <v>77</v>
      </c>
      <c r="V3083" s="18">
        <f>628111402019</f>
        <v>628111402019</v>
      </c>
    </row>
    <row r="3084" ht="15" customHeight="1" spans="1:22" x14ac:dyDescent="0.25">
      <c r="A3084" s="17" t="s">
        <v>9185</v>
      </c>
      <c r="B3084" s="17" t="s">
        <v>70</v>
      </c>
      <c r="C3084" s="17" t="s">
        <v>71</v>
      </c>
      <c r="D3084" t="s">
        <v>9177</v>
      </c>
      <c r="F3084" t="s">
        <v>3176</v>
      </c>
      <c r="K3084" s="18">
        <f>62816963556</f>
        <v>62816963556</v>
      </c>
      <c r="N3084" s="17" t="s">
        <v>77</v>
      </c>
      <c r="V3084" s="18">
        <f>62816963556</f>
        <v>62816963556</v>
      </c>
    </row>
    <row r="3085" ht="15" customHeight="1" spans="1:27" x14ac:dyDescent="0.25">
      <c r="A3085" s="17" t="s">
        <v>9186</v>
      </c>
      <c r="B3085" s="17" t="s">
        <v>70</v>
      </c>
      <c r="C3085" s="17" t="s">
        <v>71</v>
      </c>
      <c r="D3085" t="s">
        <v>9187</v>
      </c>
      <c r="F3085" t="s">
        <v>9188</v>
      </c>
      <c r="J3085" s="17" t="s">
        <v>9189</v>
      </c>
      <c r="K3085" s="18">
        <f>6281317323351</f>
        <v>6281317323351</v>
      </c>
      <c r="N3085" s="17" t="s">
        <v>77</v>
      </c>
      <c r="U3085" s="17"/>
      <c r="V3085" s="18">
        <f>6281317323351</f>
        <v>6281317323351</v>
      </c>
      <c r="W3085" t="s">
        <v>9190</v>
      </c>
      <c r="Y3085" s="17" t="s">
        <v>378</v>
      </c>
      <c r="AA3085" s="17">
        <v>10560</v>
      </c>
    </row>
    <row r="3086" ht="15" customHeight="1" spans="1:25" x14ac:dyDescent="0.25">
      <c r="A3086" s="17" t="s">
        <v>9191</v>
      </c>
      <c r="B3086" s="17" t="s">
        <v>70</v>
      </c>
      <c r="C3086" s="17" t="s">
        <v>71</v>
      </c>
      <c r="D3086" t="s">
        <v>9192</v>
      </c>
      <c r="F3086" t="s">
        <v>9193</v>
      </c>
      <c r="J3086" s="17" t="s">
        <v>9194</v>
      </c>
      <c r="K3086" s="18">
        <f>6287877290891</f>
        <v>6287877290891</v>
      </c>
      <c r="N3086" s="17" t="s">
        <v>77</v>
      </c>
      <c r="U3086" s="17"/>
      <c r="V3086" s="18">
        <f>6287877290891</f>
        <v>6287877290891</v>
      </c>
      <c r="W3086" t="s">
        <v>9195</v>
      </c>
      <c r="Y3086" s="17" t="s">
        <v>90</v>
      </c>
    </row>
    <row r="3087" ht="15" customHeight="1" spans="1:25" x14ac:dyDescent="0.25">
      <c r="A3087" s="17" t="s">
        <v>9196</v>
      </c>
      <c r="B3087" s="17" t="s">
        <v>70</v>
      </c>
      <c r="C3087" s="17" t="s">
        <v>71</v>
      </c>
      <c r="D3087" t="s">
        <v>9192</v>
      </c>
      <c r="F3087" t="s">
        <v>9197</v>
      </c>
      <c r="K3087" s="18">
        <f>6289671876576</f>
        <v>6289671876576</v>
      </c>
      <c r="N3087" s="17" t="s">
        <v>77</v>
      </c>
      <c r="U3087" s="17"/>
      <c r="V3087" s="18">
        <f>6289671876576</f>
        <v>6289671876576</v>
      </c>
      <c r="W3087" t="s">
        <v>9198</v>
      </c>
      <c r="Y3087" s="17" t="s">
        <v>9199</v>
      </c>
    </row>
    <row r="3088" ht="15" customHeight="1" spans="1:28" x14ac:dyDescent="0.25">
      <c r="A3088" s="17" t="s">
        <v>9200</v>
      </c>
      <c r="B3088" s="17" t="s">
        <v>70</v>
      </c>
      <c r="C3088" s="17" t="s">
        <v>71</v>
      </c>
      <c r="D3088" t="s">
        <v>9201</v>
      </c>
      <c r="F3088" t="s">
        <v>9202</v>
      </c>
      <c r="J3088" t="s">
        <v>115</v>
      </c>
      <c r="K3088" s="18" t="s">
        <v>9203</v>
      </c>
      <c r="N3088" s="17" t="s">
        <v>77</v>
      </c>
      <c r="O3088" t="s">
        <v>145</v>
      </c>
      <c r="U3088" s="17"/>
      <c r="V3088" s="18" t="s">
        <v>9203</v>
      </c>
      <c r="W3088" t="s">
        <v>9204</v>
      </c>
      <c r="Y3088" s="17" t="s">
        <v>78</v>
      </c>
      <c r="AA3088" t="s">
        <v>115</v>
      </c>
      <c r="AB3088" t="s">
        <v>119</v>
      </c>
    </row>
    <row r="3089" ht="15" customHeight="1" spans="1:28" x14ac:dyDescent="0.25">
      <c r="A3089" s="17" t="s">
        <v>9205</v>
      </c>
      <c r="B3089" s="17" t="s">
        <v>70</v>
      </c>
      <c r="C3089" s="17" t="s">
        <v>71</v>
      </c>
      <c r="D3089" t="s">
        <v>9206</v>
      </c>
      <c r="F3089" t="s">
        <v>9207</v>
      </c>
      <c r="J3089" s="17" t="s">
        <v>9208</v>
      </c>
      <c r="K3089" s="18" t="s">
        <v>9209</v>
      </c>
      <c r="N3089" s="17" t="s">
        <v>77</v>
      </c>
      <c r="O3089" t="s">
        <v>199</v>
      </c>
      <c r="U3089" s="17"/>
      <c r="V3089" s="18" t="s">
        <v>9209</v>
      </c>
      <c r="W3089" t="s">
        <v>9210</v>
      </c>
      <c r="Y3089" t="s">
        <v>190</v>
      </c>
      <c r="AA3089" t="s">
        <v>118</v>
      </c>
      <c r="AB3089" t="s">
        <v>119</v>
      </c>
    </row>
    <row r="3090" ht="15" customHeight="1" spans="1:27" x14ac:dyDescent="0.25">
      <c r="A3090" s="17" t="s">
        <v>9211</v>
      </c>
      <c r="B3090" s="17" t="s">
        <v>70</v>
      </c>
      <c r="C3090" s="17" t="s">
        <v>71</v>
      </c>
      <c r="D3090" t="s">
        <v>9212</v>
      </c>
      <c r="F3090" t="s">
        <v>9213</v>
      </c>
      <c r="K3090" s="18">
        <f>628161424976</f>
        <v>628161424976</v>
      </c>
      <c r="N3090" s="17" t="s">
        <v>77</v>
      </c>
      <c r="U3090" s="17"/>
      <c r="V3090" s="18">
        <f>628161424976</f>
        <v>628161424976</v>
      </c>
      <c r="W3090" t="s">
        <v>9214</v>
      </c>
      <c r="Y3090" s="17" t="s">
        <v>9215</v>
      </c>
      <c r="AA3090" s="17">
        <v>12170</v>
      </c>
    </row>
    <row r="3091" ht="15" customHeight="1" spans="1:23" x14ac:dyDescent="0.25">
      <c r="A3091" s="17" t="s">
        <v>9216</v>
      </c>
      <c r="B3091" s="17" t="s">
        <v>70</v>
      </c>
      <c r="C3091" s="17" t="s">
        <v>71</v>
      </c>
      <c r="D3091" t="s">
        <v>9217</v>
      </c>
      <c r="F3091" t="s">
        <v>9218</v>
      </c>
      <c r="K3091" s="18">
        <f>62217194163</f>
        <v>62217194163</v>
      </c>
      <c r="N3091" s="17" t="s">
        <v>77</v>
      </c>
      <c r="U3091" s="17"/>
      <c r="V3091" s="18">
        <f>62217194163</f>
        <v>62217194163</v>
      </c>
      <c r="W3091" t="s">
        <v>9219</v>
      </c>
    </row>
    <row r="3092" ht="15" customHeight="1" spans="1:25" x14ac:dyDescent="0.25">
      <c r="A3092" s="17" t="s">
        <v>9220</v>
      </c>
      <c r="B3092" s="17" t="s">
        <v>70</v>
      </c>
      <c r="C3092" s="17" t="s">
        <v>71</v>
      </c>
      <c r="D3092" t="s">
        <v>9217</v>
      </c>
      <c r="F3092" t="s">
        <v>355</v>
      </c>
      <c r="K3092" s="18">
        <f>62811302074</f>
        <v>62811302074</v>
      </c>
      <c r="N3092" s="17" t="s">
        <v>74</v>
      </c>
      <c r="U3092" s="17"/>
      <c r="V3092" s="18">
        <f>62811302074</f>
        <v>62811302074</v>
      </c>
      <c r="W3092" t="s">
        <v>9221</v>
      </c>
      <c r="Y3092" s="17" t="s">
        <v>9222</v>
      </c>
    </row>
    <row r="3093" ht="15" customHeight="1" spans="1:27" x14ac:dyDescent="0.25">
      <c r="A3093" s="17" t="s">
        <v>9223</v>
      </c>
      <c r="B3093" s="17" t="s">
        <v>70</v>
      </c>
      <c r="C3093" s="17" t="s">
        <v>71</v>
      </c>
      <c r="D3093" t="s">
        <v>9217</v>
      </c>
      <c r="F3093" t="s">
        <v>3259</v>
      </c>
      <c r="K3093" s="18">
        <f>62811282874</f>
        <v>62811282874</v>
      </c>
      <c r="N3093" s="17" t="s">
        <v>77</v>
      </c>
      <c r="U3093" s="17"/>
      <c r="V3093" s="18">
        <f>62811282874</f>
        <v>62811282874</v>
      </c>
      <c r="W3093" t="s">
        <v>9224</v>
      </c>
      <c r="AA3093" s="17">
        <v>811282874</v>
      </c>
    </row>
    <row r="3094" ht="15" customHeight="1" spans="1:27" x14ac:dyDescent="0.25">
      <c r="A3094" s="17" t="s">
        <v>9225</v>
      </c>
      <c r="B3094" s="17" t="s">
        <v>70</v>
      </c>
      <c r="C3094" s="17" t="s">
        <v>71</v>
      </c>
      <c r="D3094" t="s">
        <v>9226</v>
      </c>
      <c r="F3094" t="s">
        <v>9227</v>
      </c>
      <c r="K3094" s="18">
        <f>62217511292</f>
        <v>62217511292</v>
      </c>
      <c r="N3094" s="17" t="s">
        <v>77</v>
      </c>
      <c r="U3094" s="17"/>
      <c r="V3094" s="18">
        <f>62217511292</f>
        <v>62217511292</v>
      </c>
      <c r="W3094" t="s">
        <v>9228</v>
      </c>
      <c r="Y3094" s="17" t="s">
        <v>96</v>
      </c>
      <c r="AA3094" s="17">
        <v>12440</v>
      </c>
    </row>
    <row r="3095" ht="15" customHeight="1" spans="1:28" x14ac:dyDescent="0.25">
      <c r="A3095" s="17" t="s">
        <v>9229</v>
      </c>
      <c r="B3095" s="17" t="s">
        <v>70</v>
      </c>
      <c r="C3095" s="17" t="s">
        <v>71</v>
      </c>
      <c r="D3095" t="s">
        <v>9230</v>
      </c>
      <c r="F3095" t="s">
        <v>9231</v>
      </c>
      <c r="J3095" s="17" t="s">
        <v>9232</v>
      </c>
      <c r="K3095" s="18" t="s">
        <v>9233</v>
      </c>
      <c r="N3095" s="17" t="s">
        <v>77</v>
      </c>
      <c r="O3095" t="s">
        <v>117</v>
      </c>
      <c r="U3095" s="17"/>
      <c r="V3095" s="18" t="s">
        <v>9233</v>
      </c>
      <c r="W3095" t="s">
        <v>9234</v>
      </c>
      <c r="Y3095" t="s">
        <v>96</v>
      </c>
      <c r="AA3095" t="s">
        <v>693</v>
      </c>
      <c r="AB3095" t="s">
        <v>119</v>
      </c>
    </row>
    <row r="3096" ht="15" customHeight="1" spans="1:22" x14ac:dyDescent="0.25">
      <c r="A3096" s="17" t="s">
        <v>9235</v>
      </c>
      <c r="B3096" s="17" t="s">
        <v>70</v>
      </c>
      <c r="C3096" s="17" t="s">
        <v>71</v>
      </c>
      <c r="D3096" t="s">
        <v>9236</v>
      </c>
      <c r="F3096" t="s">
        <v>9236</v>
      </c>
      <c r="K3096" s="18">
        <f>62817717500</f>
        <v>62817717500</v>
      </c>
      <c r="N3096" s="17" t="s">
        <v>77</v>
      </c>
      <c r="V3096" s="18">
        <f>62817717500</f>
        <v>62817717500</v>
      </c>
    </row>
    <row r="3097" ht="15" customHeight="1" spans="1:22" x14ac:dyDescent="0.25">
      <c r="A3097" s="17" t="s">
        <v>9237</v>
      </c>
      <c r="B3097" s="17" t="s">
        <v>70</v>
      </c>
      <c r="C3097" s="17" t="s">
        <v>71</v>
      </c>
      <c r="D3097" t="s">
        <v>9238</v>
      </c>
      <c r="F3097" t="s">
        <v>9238</v>
      </c>
      <c r="K3097" s="18">
        <f>6281617167891</f>
        <v>6281617167891</v>
      </c>
      <c r="N3097" s="17" t="s">
        <v>81</v>
      </c>
      <c r="V3097" s="18">
        <f>6281617167891</f>
        <v>6281617167891</v>
      </c>
    </row>
    <row r="3098" ht="15" customHeight="1" spans="1:22" x14ac:dyDescent="0.25">
      <c r="A3098" s="17" t="s">
        <v>9239</v>
      </c>
      <c r="B3098" s="17" t="s">
        <v>70</v>
      </c>
      <c r="C3098" s="17" t="s">
        <v>71</v>
      </c>
      <c r="D3098" t="s">
        <v>9238</v>
      </c>
      <c r="F3098" t="s">
        <v>9240</v>
      </c>
      <c r="J3098" s="17" t="s">
        <v>9241</v>
      </c>
      <c r="K3098" s="18">
        <f>6281326300099</f>
        <v>6281326300099</v>
      </c>
      <c r="N3098" s="17" t="s">
        <v>77</v>
      </c>
      <c r="V3098" s="18">
        <f>6281326300099</f>
        <v>6281326300099</v>
      </c>
    </row>
    <row r="3099" ht="15" customHeight="1" spans="1:28" x14ac:dyDescent="0.25">
      <c r="A3099" s="17" t="s">
        <v>9242</v>
      </c>
      <c r="B3099" s="17" t="s">
        <v>70</v>
      </c>
      <c r="C3099" s="17" t="s">
        <v>71</v>
      </c>
      <c r="D3099" t="s">
        <v>9238</v>
      </c>
      <c r="F3099" t="s">
        <v>653</v>
      </c>
      <c r="J3099" s="17" t="s">
        <v>9243</v>
      </c>
      <c r="K3099" s="18" t="s">
        <v>9244</v>
      </c>
      <c r="N3099" s="17" t="s">
        <v>77</v>
      </c>
      <c r="O3099" t="s">
        <v>145</v>
      </c>
      <c r="U3099" s="17"/>
      <c r="V3099" s="18" t="s">
        <v>9244</v>
      </c>
      <c r="W3099" t="s">
        <v>9245</v>
      </c>
      <c r="Y3099" t="s">
        <v>190</v>
      </c>
      <c r="AA3099" s="17" t="s">
        <v>118</v>
      </c>
      <c r="AB3099" t="s">
        <v>119</v>
      </c>
    </row>
    <row r="3100" ht="15" customHeight="1" spans="1:23" x14ac:dyDescent="0.25">
      <c r="A3100" s="17" t="s">
        <v>9246</v>
      </c>
      <c r="B3100" s="17" t="s">
        <v>70</v>
      </c>
      <c r="C3100" s="17" t="s">
        <v>71</v>
      </c>
      <c r="D3100" t="s">
        <v>9247</v>
      </c>
      <c r="F3100" t="s">
        <v>9248</v>
      </c>
      <c r="K3100" s="18">
        <f>62818915994</f>
        <v>62818915994</v>
      </c>
      <c r="N3100" s="17" t="s">
        <v>77</v>
      </c>
      <c r="U3100" s="17"/>
      <c r="V3100" s="18">
        <f>62818915994</f>
        <v>62818915994</v>
      </c>
      <c r="W3100" t="s">
        <v>9249</v>
      </c>
    </row>
    <row r="3101" ht="15" customHeight="1" spans="1:28" x14ac:dyDescent="0.25">
      <c r="A3101" s="17" t="s">
        <v>9250</v>
      </c>
      <c r="B3101" s="17" t="s">
        <v>70</v>
      </c>
      <c r="C3101" s="17" t="s">
        <v>71</v>
      </c>
      <c r="D3101" t="s">
        <v>9251</v>
      </c>
      <c r="F3101" t="s">
        <v>9251</v>
      </c>
      <c r="J3101" t="s">
        <v>115</v>
      </c>
      <c r="K3101" s="18" t="s">
        <v>9252</v>
      </c>
      <c r="N3101" s="17" t="s">
        <v>74</v>
      </c>
      <c r="O3101" t="s">
        <v>117</v>
      </c>
      <c r="V3101" s="18" t="s">
        <v>9252</v>
      </c>
      <c r="Y3101" t="s">
        <v>90</v>
      </c>
      <c r="AA3101" t="s">
        <v>118</v>
      </c>
      <c r="AB3101" t="s">
        <v>119</v>
      </c>
    </row>
    <row r="3102" ht="15" customHeight="1" spans="1:22" x14ac:dyDescent="0.25">
      <c r="A3102" s="17" t="s">
        <v>9253</v>
      </c>
      <c r="B3102" s="17" t="s">
        <v>70</v>
      </c>
      <c r="C3102" s="17" t="s">
        <v>71</v>
      </c>
      <c r="D3102" t="s">
        <v>9254</v>
      </c>
      <c r="F3102" t="s">
        <v>9255</v>
      </c>
      <c r="K3102" s="18">
        <f>62811885737</f>
        <v>62811885737</v>
      </c>
      <c r="N3102" s="17" t="s">
        <v>77</v>
      </c>
      <c r="V3102" s="18">
        <f>62811885737</f>
        <v>62811885737</v>
      </c>
    </row>
    <row r="3103" ht="15" customHeight="1" spans="1:23" x14ac:dyDescent="0.25">
      <c r="A3103" s="17" t="s">
        <v>9256</v>
      </c>
      <c r="B3103" s="17" t="s">
        <v>70</v>
      </c>
      <c r="C3103" s="17" t="s">
        <v>71</v>
      </c>
      <c r="D3103" t="s">
        <v>9257</v>
      </c>
      <c r="F3103" t="s">
        <v>3199</v>
      </c>
      <c r="K3103" s="18">
        <f>628161176678</f>
        <v>628161176678</v>
      </c>
      <c r="N3103" s="17" t="s">
        <v>77</v>
      </c>
      <c r="U3103" s="17"/>
      <c r="V3103" s="18">
        <f>628161176678</f>
        <v>628161176678</v>
      </c>
      <c r="W3103" t="s">
        <v>9258</v>
      </c>
    </row>
    <row r="3104" ht="15" customHeight="1" spans="1:28" x14ac:dyDescent="0.25">
      <c r="A3104" s="17" t="s">
        <v>9259</v>
      </c>
      <c r="B3104" s="17" t="s">
        <v>70</v>
      </c>
      <c r="C3104" s="17" t="s">
        <v>71</v>
      </c>
      <c r="D3104" t="s">
        <v>9260</v>
      </c>
      <c r="F3104" t="s">
        <v>9261</v>
      </c>
      <c r="J3104" s="17" t="s">
        <v>9262</v>
      </c>
      <c r="K3104" s="18" t="s">
        <v>9263</v>
      </c>
      <c r="N3104" s="17" t="s">
        <v>77</v>
      </c>
      <c r="O3104" t="s">
        <v>199</v>
      </c>
      <c r="U3104" s="17"/>
      <c r="V3104" s="18" t="s">
        <v>9263</v>
      </c>
      <c r="W3104" t="s">
        <v>9264</v>
      </c>
      <c r="Y3104" t="s">
        <v>397</v>
      </c>
      <c r="AA3104" t="s">
        <v>1199</v>
      </c>
      <c r="AB3104" t="s">
        <v>119</v>
      </c>
    </row>
    <row r="3105" ht="15" customHeight="1" spans="1:22" x14ac:dyDescent="0.25">
      <c r="A3105" s="17" t="s">
        <v>9265</v>
      </c>
      <c r="B3105" s="17" t="s">
        <v>70</v>
      </c>
      <c r="C3105" s="17" t="s">
        <v>71</v>
      </c>
      <c r="D3105" t="s">
        <v>9266</v>
      </c>
      <c r="F3105" t="s">
        <v>8683</v>
      </c>
      <c r="J3105" s="17" t="s">
        <v>9267</v>
      </c>
      <c r="K3105" s="18">
        <f>628121161088</f>
        <v>628121161088</v>
      </c>
      <c r="N3105" s="17" t="s">
        <v>77</v>
      </c>
      <c r="V3105" s="18">
        <f>628121161088</f>
        <v>628121161088</v>
      </c>
    </row>
    <row r="3106" ht="15" customHeight="1" spans="1:23" x14ac:dyDescent="0.25">
      <c r="A3106" s="17" t="s">
        <v>9268</v>
      </c>
      <c r="B3106" s="17" t="s">
        <v>70</v>
      </c>
      <c r="C3106" s="17" t="s">
        <v>71</v>
      </c>
      <c r="D3106" t="s">
        <v>9269</v>
      </c>
      <c r="F3106" t="s">
        <v>9270</v>
      </c>
      <c r="K3106" s="18">
        <f>6281513013235</f>
        <v>6281513013235</v>
      </c>
      <c r="N3106" s="17" t="s">
        <v>77</v>
      </c>
      <c r="U3106" s="17"/>
      <c r="V3106" s="18">
        <f>6281513013235</f>
        <v>6281513013235</v>
      </c>
      <c r="W3106" t="s">
        <v>9271</v>
      </c>
    </row>
    <row r="3107" ht="15" customHeight="1" spans="1:28" x14ac:dyDescent="0.25">
      <c r="A3107" s="17" t="s">
        <v>9272</v>
      </c>
      <c r="B3107" s="17" t="s">
        <v>70</v>
      </c>
      <c r="C3107" s="17" t="s">
        <v>71</v>
      </c>
      <c r="D3107" t="s">
        <v>9273</v>
      </c>
      <c r="F3107" t="s">
        <v>9274</v>
      </c>
      <c r="J3107" t="s">
        <v>115</v>
      </c>
      <c r="K3107" s="18" t="s">
        <v>9275</v>
      </c>
      <c r="N3107" s="17" t="s">
        <v>81</v>
      </c>
      <c r="O3107" t="s">
        <v>261</v>
      </c>
      <c r="U3107" s="17"/>
      <c r="V3107" s="18" t="s">
        <v>9275</v>
      </c>
      <c r="W3107" t="s">
        <v>9276</v>
      </c>
      <c r="Y3107" t="s">
        <v>1553</v>
      </c>
      <c r="AA3107" t="s">
        <v>115</v>
      </c>
      <c r="AB3107" t="s">
        <v>119</v>
      </c>
    </row>
    <row r="3108" ht="15" customHeight="1" spans="1:22" x14ac:dyDescent="0.25">
      <c r="A3108" s="17" t="s">
        <v>9277</v>
      </c>
      <c r="B3108" s="17" t="s">
        <v>70</v>
      </c>
      <c r="C3108" s="17" t="s">
        <v>71</v>
      </c>
      <c r="D3108" t="s">
        <v>9278</v>
      </c>
      <c r="F3108" t="s">
        <v>9279</v>
      </c>
      <c r="K3108" s="18">
        <f>628161345745</f>
        <v>628161345745</v>
      </c>
      <c r="N3108" s="17" t="s">
        <v>81</v>
      </c>
      <c r="V3108" s="18">
        <f>628161345745</f>
        <v>628161345745</v>
      </c>
    </row>
    <row r="3109" ht="15" customHeight="1" spans="1:25" x14ac:dyDescent="0.25">
      <c r="A3109" s="17" t="s">
        <v>9280</v>
      </c>
      <c r="B3109" s="17" t="s">
        <v>70</v>
      </c>
      <c r="C3109" s="17" t="s">
        <v>71</v>
      </c>
      <c r="D3109" t="s">
        <v>9281</v>
      </c>
      <c r="F3109" t="s">
        <v>9281</v>
      </c>
      <c r="K3109" s="18">
        <f>628128991054</f>
        <v>628128991054</v>
      </c>
      <c r="N3109" s="17" t="s">
        <v>81</v>
      </c>
      <c r="U3109" s="17"/>
      <c r="V3109" s="18">
        <f>628128991054</f>
        <v>628128991054</v>
      </c>
      <c r="W3109" t="s">
        <v>9282</v>
      </c>
      <c r="Y3109" s="17" t="s">
        <v>567</v>
      </c>
    </row>
    <row r="3110" ht="15" customHeight="1" spans="1:22" x14ac:dyDescent="0.25">
      <c r="A3110" s="17" t="s">
        <v>9283</v>
      </c>
      <c r="B3110" s="17" t="s">
        <v>70</v>
      </c>
      <c r="C3110" s="17" t="s">
        <v>71</v>
      </c>
      <c r="D3110" t="s">
        <v>9284</v>
      </c>
      <c r="F3110" t="s">
        <v>9285</v>
      </c>
      <c r="K3110" s="18">
        <f>62811111692</f>
        <v>62811111692</v>
      </c>
      <c r="N3110" s="17" t="s">
        <v>77</v>
      </c>
      <c r="V3110" s="18">
        <f>62811111692</f>
        <v>62811111692</v>
      </c>
    </row>
    <row r="3111" ht="15" customHeight="1" spans="1:22" x14ac:dyDescent="0.25">
      <c r="A3111" s="17" t="s">
        <v>9286</v>
      </c>
      <c r="B3111" s="17" t="s">
        <v>70</v>
      </c>
      <c r="C3111" s="17" t="s">
        <v>71</v>
      </c>
      <c r="D3111" t="s">
        <v>9287</v>
      </c>
      <c r="F3111" t="s">
        <v>9287</v>
      </c>
      <c r="K3111" s="18">
        <f>6281210888142</f>
        <v>6281210888142</v>
      </c>
      <c r="N3111" s="17" t="s">
        <v>77</v>
      </c>
      <c r="V3111" s="18">
        <f>6281210888142</f>
        <v>6281210888142</v>
      </c>
    </row>
    <row r="3112" ht="15" customHeight="1" spans="1:23" x14ac:dyDescent="0.25">
      <c r="A3112" s="17" t="s">
        <v>9288</v>
      </c>
      <c r="B3112" s="17" t="s">
        <v>70</v>
      </c>
      <c r="C3112" s="17" t="s">
        <v>71</v>
      </c>
      <c r="D3112" t="s">
        <v>9289</v>
      </c>
      <c r="F3112" t="s">
        <v>9290</v>
      </c>
      <c r="K3112" s="18">
        <f>8617729095343</f>
        <v>8617729095343</v>
      </c>
      <c r="N3112" s="17" t="s">
        <v>81</v>
      </c>
      <c r="U3112" s="17"/>
      <c r="V3112" s="18">
        <f>8617729095343</f>
        <v>8617729095343</v>
      </c>
      <c r="W3112" t="s">
        <v>9291</v>
      </c>
    </row>
    <row r="3113" ht="15" customHeight="1" spans="1:22" x14ac:dyDescent="0.25">
      <c r="A3113" s="17" t="s">
        <v>9292</v>
      </c>
      <c r="B3113" s="17" t="s">
        <v>70</v>
      </c>
      <c r="C3113" s="17" t="s">
        <v>71</v>
      </c>
      <c r="D3113" t="s">
        <v>9289</v>
      </c>
      <c r="F3113" t="s">
        <v>9293</v>
      </c>
      <c r="K3113" s="18">
        <f>6287860006100</f>
        <v>6287860006100</v>
      </c>
      <c r="N3113" s="17" t="s">
        <v>81</v>
      </c>
      <c r="V3113" s="18">
        <f>6287860006100</f>
        <v>6287860006100</v>
      </c>
    </row>
    <row r="3114" ht="15" customHeight="1" spans="1:28" x14ac:dyDescent="0.25">
      <c r="A3114" s="17" t="s">
        <v>9294</v>
      </c>
      <c r="B3114" s="17" t="s">
        <v>70</v>
      </c>
      <c r="C3114" s="17" t="s">
        <v>71</v>
      </c>
      <c r="D3114" t="s">
        <v>9289</v>
      </c>
      <c r="F3114" t="s">
        <v>6979</v>
      </c>
      <c r="J3114" t="s">
        <v>115</v>
      </c>
      <c r="K3114" s="18" t="s">
        <v>9295</v>
      </c>
      <c r="N3114" s="17" t="s">
        <v>77</v>
      </c>
      <c r="O3114" t="s">
        <v>261</v>
      </c>
      <c r="V3114" s="18" t="s">
        <v>9295</v>
      </c>
      <c r="Y3114" t="s">
        <v>6100</v>
      </c>
      <c r="AA3114" t="s">
        <v>115</v>
      </c>
      <c r="AB3114" t="s">
        <v>119</v>
      </c>
    </row>
    <row r="3115" ht="15" customHeight="1" spans="1:22" x14ac:dyDescent="0.25">
      <c r="A3115" s="17" t="s">
        <v>9296</v>
      </c>
      <c r="B3115" s="17" t="s">
        <v>70</v>
      </c>
      <c r="C3115" s="17" t="s">
        <v>71</v>
      </c>
      <c r="D3115" t="s">
        <v>9297</v>
      </c>
      <c r="F3115" t="s">
        <v>9298</v>
      </c>
      <c r="K3115" s="18">
        <f>8613560223248</f>
        <v>8613560223248</v>
      </c>
      <c r="N3115" s="17" t="s">
        <v>77</v>
      </c>
      <c r="V3115" s="18">
        <f>8613560223248</f>
        <v>8613560223248</v>
      </c>
    </row>
    <row r="3116" ht="15" customHeight="1" spans="1:28" x14ac:dyDescent="0.25">
      <c r="A3116" s="17" t="s">
        <v>9299</v>
      </c>
      <c r="B3116" s="17" t="s">
        <v>70</v>
      </c>
      <c r="C3116" s="17" t="s">
        <v>71</v>
      </c>
      <c r="D3116" t="s">
        <v>9300</v>
      </c>
      <c r="F3116" t="s">
        <v>9300</v>
      </c>
      <c r="J3116" t="s">
        <v>115</v>
      </c>
      <c r="K3116" s="18" t="s">
        <v>9301</v>
      </c>
      <c r="N3116" s="17" t="s">
        <v>77</v>
      </c>
      <c r="O3116" t="s">
        <v>117</v>
      </c>
      <c r="U3116" s="17"/>
      <c r="V3116" s="18" t="s">
        <v>9301</v>
      </c>
      <c r="W3116" t="s">
        <v>9302</v>
      </c>
      <c r="Y3116" t="s">
        <v>90</v>
      </c>
      <c r="AA3116" t="s">
        <v>118</v>
      </c>
      <c r="AB3116" t="s">
        <v>119</v>
      </c>
    </row>
    <row r="3117" ht="15" customHeight="1" spans="1:23" x14ac:dyDescent="0.25">
      <c r="A3117" s="17" t="s">
        <v>9303</v>
      </c>
      <c r="B3117" s="17" t="s">
        <v>70</v>
      </c>
      <c r="C3117" s="17" t="s">
        <v>71</v>
      </c>
      <c r="D3117" t="s">
        <v>9304</v>
      </c>
      <c r="F3117" t="s">
        <v>9304</v>
      </c>
      <c r="K3117" s="18">
        <f>6285960871795</f>
        <v>6285960871795</v>
      </c>
      <c r="N3117" s="17" t="s">
        <v>81</v>
      </c>
      <c r="U3117" s="17"/>
      <c r="V3117" s="18">
        <f>6285960871795</f>
        <v>6285960871795</v>
      </c>
      <c r="W3117" t="s">
        <v>1909</v>
      </c>
    </row>
    <row r="3118" ht="15" customHeight="1" spans="1:22" x14ac:dyDescent="0.25">
      <c r="A3118" s="17" t="s">
        <v>9305</v>
      </c>
      <c r="B3118" s="17" t="s">
        <v>70</v>
      </c>
      <c r="C3118" s="17" t="s">
        <v>71</v>
      </c>
      <c r="D3118" t="s">
        <v>9304</v>
      </c>
      <c r="F3118" t="s">
        <v>7153</v>
      </c>
      <c r="K3118" s="18">
        <f>6281289085251</f>
        <v>6281289085251</v>
      </c>
      <c r="N3118" s="17" t="s">
        <v>77</v>
      </c>
      <c r="V3118" s="18">
        <f>6281289085251</f>
        <v>6281289085251</v>
      </c>
    </row>
    <row r="3119" ht="15" customHeight="1" spans="1:28" x14ac:dyDescent="0.25">
      <c r="A3119" s="17" t="s">
        <v>9306</v>
      </c>
      <c r="B3119" s="17" t="s">
        <v>70</v>
      </c>
      <c r="C3119" s="17" t="s">
        <v>71</v>
      </c>
      <c r="D3119" t="s">
        <v>9304</v>
      </c>
      <c r="F3119" t="s">
        <v>9307</v>
      </c>
      <c r="J3119" t="s">
        <v>115</v>
      </c>
      <c r="K3119" s="18" t="s">
        <v>9308</v>
      </c>
      <c r="N3119" s="17" t="s">
        <v>77</v>
      </c>
      <c r="O3119" t="s">
        <v>489</v>
      </c>
      <c r="U3119" s="17"/>
      <c r="V3119" s="18" t="s">
        <v>9308</v>
      </c>
      <c r="W3119" t="s">
        <v>1909</v>
      </c>
      <c r="Y3119" t="s">
        <v>115</v>
      </c>
      <c r="AA3119" t="s">
        <v>115</v>
      </c>
      <c r="AB3119" t="s">
        <v>2605</v>
      </c>
    </row>
    <row r="3120" ht="15" customHeight="1" spans="1:22" x14ac:dyDescent="0.25">
      <c r="A3120" s="17" t="s">
        <v>9309</v>
      </c>
      <c r="B3120" s="17" t="s">
        <v>70</v>
      </c>
      <c r="C3120" s="17" t="s">
        <v>71</v>
      </c>
      <c r="D3120" t="s">
        <v>9304</v>
      </c>
      <c r="F3120" t="s">
        <v>9310</v>
      </c>
      <c r="K3120" s="18">
        <f>79253336782</f>
        <v>79253336782</v>
      </c>
      <c r="N3120" s="17" t="s">
        <v>81</v>
      </c>
      <c r="V3120" s="18">
        <f>79253336782</f>
        <v>79253336782</v>
      </c>
    </row>
    <row r="3121" ht="15" customHeight="1" spans="1:28" x14ac:dyDescent="0.25">
      <c r="A3121" s="17" t="s">
        <v>9311</v>
      </c>
      <c r="B3121" s="17" t="s">
        <v>70</v>
      </c>
      <c r="C3121" s="17" t="s">
        <v>71</v>
      </c>
      <c r="D3121" t="s">
        <v>9304</v>
      </c>
      <c r="F3121" t="s">
        <v>9312</v>
      </c>
      <c r="J3121" t="s">
        <v>115</v>
      </c>
      <c r="K3121" s="18" t="s">
        <v>9313</v>
      </c>
      <c r="N3121" s="17" t="s">
        <v>77</v>
      </c>
      <c r="O3121" t="s">
        <v>261</v>
      </c>
      <c r="V3121" s="18" t="s">
        <v>9313</v>
      </c>
      <c r="Y3121" t="s">
        <v>181</v>
      </c>
      <c r="AA3121" t="s">
        <v>1672</v>
      </c>
      <c r="AB3121" t="s">
        <v>119</v>
      </c>
    </row>
    <row r="3122" ht="15" customHeight="1" spans="1:23" x14ac:dyDescent="0.25">
      <c r="A3122" s="17" t="s">
        <v>9314</v>
      </c>
      <c r="B3122" s="17" t="s">
        <v>70</v>
      </c>
      <c r="C3122" s="17" t="s">
        <v>71</v>
      </c>
      <c r="D3122" t="s">
        <v>9315</v>
      </c>
      <c r="F3122" t="s">
        <v>9316</v>
      </c>
      <c r="K3122" s="18">
        <f>420606566396</f>
        <v>420606566396</v>
      </c>
      <c r="N3122" s="17" t="s">
        <v>77</v>
      </c>
      <c r="U3122" s="17"/>
      <c r="V3122" s="18">
        <f>420606566396</f>
        <v>420606566396</v>
      </c>
      <c r="W3122" t="s">
        <v>9317</v>
      </c>
    </row>
    <row r="3123" ht="15" customHeight="1" spans="1:23" x14ac:dyDescent="0.25">
      <c r="A3123" s="17" t="s">
        <v>9318</v>
      </c>
      <c r="B3123" s="17" t="s">
        <v>70</v>
      </c>
      <c r="C3123" s="17" t="s">
        <v>71</v>
      </c>
      <c r="D3123" t="s">
        <v>9319</v>
      </c>
      <c r="F3123" t="s">
        <v>9320</v>
      </c>
      <c r="J3123" s="17" t="s">
        <v>9321</v>
      </c>
      <c r="K3123" s="18">
        <f>971527751712</f>
        <v>971527751712</v>
      </c>
      <c r="N3123" s="17" t="s">
        <v>77</v>
      </c>
      <c r="U3123" s="17"/>
      <c r="V3123" s="18">
        <f>971527751712</f>
        <v>971527751712</v>
      </c>
      <c r="W3123" t="s">
        <v>9322</v>
      </c>
    </row>
    <row r="3124" ht="15" customHeight="1" spans="1:22" x14ac:dyDescent="0.25">
      <c r="A3124" s="17" t="s">
        <v>9323</v>
      </c>
      <c r="B3124" s="17" t="s">
        <v>70</v>
      </c>
      <c r="C3124" s="17" t="s">
        <v>71</v>
      </c>
      <c r="D3124" t="s">
        <v>9319</v>
      </c>
      <c r="F3124" t="s">
        <v>9324</v>
      </c>
      <c r="K3124" s="18">
        <f>6282188013988</f>
        <v>6282188013988</v>
      </c>
      <c r="N3124" s="17" t="s">
        <v>77</v>
      </c>
      <c r="V3124" s="18">
        <f>6282188013988</f>
        <v>6282188013988</v>
      </c>
    </row>
    <row r="3125" ht="15" customHeight="1" spans="1:28" x14ac:dyDescent="0.25">
      <c r="A3125" s="17" t="s">
        <v>9325</v>
      </c>
      <c r="B3125" s="17" t="s">
        <v>70</v>
      </c>
      <c r="C3125" s="17" t="s">
        <v>71</v>
      </c>
      <c r="D3125" t="s">
        <v>9319</v>
      </c>
      <c r="F3125" t="s">
        <v>9326</v>
      </c>
      <c r="J3125" s="17" t="s">
        <v>9327</v>
      </c>
      <c r="K3125" s="18" t="s">
        <v>9328</v>
      </c>
      <c r="N3125" s="17" t="s">
        <v>77</v>
      </c>
      <c r="O3125" t="s">
        <v>117</v>
      </c>
      <c r="U3125" s="17"/>
      <c r="V3125" s="18" t="s">
        <v>9328</v>
      </c>
      <c r="W3125" t="s">
        <v>9329</v>
      </c>
      <c r="Y3125" s="17" t="s">
        <v>190</v>
      </c>
      <c r="AA3125" t="s">
        <v>118</v>
      </c>
      <c r="AB3125" t="s">
        <v>119</v>
      </c>
    </row>
    <row r="3126" ht="15" customHeight="1" spans="1:28" x14ac:dyDescent="0.25">
      <c r="A3126" s="17" t="s">
        <v>9330</v>
      </c>
      <c r="B3126" s="17" t="s">
        <v>70</v>
      </c>
      <c r="C3126" s="17" t="s">
        <v>71</v>
      </c>
      <c r="D3126" t="s">
        <v>9331</v>
      </c>
      <c r="F3126" t="s">
        <v>4977</v>
      </c>
      <c r="J3126" t="s">
        <v>115</v>
      </c>
      <c r="K3126" s="18" t="s">
        <v>9332</v>
      </c>
      <c r="N3126" s="17" t="s">
        <v>77</v>
      </c>
      <c r="O3126" t="s">
        <v>199</v>
      </c>
      <c r="V3126" s="18" t="s">
        <v>9332</v>
      </c>
      <c r="Y3126" t="s">
        <v>90</v>
      </c>
      <c r="AA3126" t="s">
        <v>118</v>
      </c>
      <c r="AB3126" t="s">
        <v>119</v>
      </c>
    </row>
    <row r="3127" ht="15" customHeight="1" spans="1:22" x14ac:dyDescent="0.25">
      <c r="A3127" s="17" t="s">
        <v>9333</v>
      </c>
      <c r="B3127" s="17" t="s">
        <v>70</v>
      </c>
      <c r="C3127" s="17" t="s">
        <v>71</v>
      </c>
      <c r="D3127" t="s">
        <v>9334</v>
      </c>
      <c r="F3127" t="s">
        <v>9334</v>
      </c>
      <c r="K3127" s="18">
        <f>6281257278889</f>
        <v>6281257278889</v>
      </c>
      <c r="N3127" s="17" t="s">
        <v>77</v>
      </c>
      <c r="V3127" s="18">
        <f>6281257278889</f>
        <v>6281257278889</v>
      </c>
    </row>
    <row r="3128" ht="15" customHeight="1" spans="1:22" x14ac:dyDescent="0.25">
      <c r="A3128" s="17" t="s">
        <v>9335</v>
      </c>
      <c r="B3128" s="17" t="s">
        <v>70</v>
      </c>
      <c r="C3128" s="17" t="s">
        <v>71</v>
      </c>
      <c r="D3128" t="s">
        <v>9334</v>
      </c>
      <c r="F3128" t="s">
        <v>9334</v>
      </c>
      <c r="K3128" s="18">
        <f>6281511681168</f>
        <v>6281511681168</v>
      </c>
      <c r="N3128" s="17" t="s">
        <v>77</v>
      </c>
      <c r="V3128" s="18">
        <f>6281511681168</f>
        <v>6281511681168</v>
      </c>
    </row>
    <row r="3129" ht="15" customHeight="1" spans="1:22" x14ac:dyDescent="0.25">
      <c r="A3129" s="17" t="s">
        <v>9336</v>
      </c>
      <c r="B3129" s="17" t="s">
        <v>70</v>
      </c>
      <c r="C3129" s="17" t="s">
        <v>71</v>
      </c>
      <c r="D3129" t="s">
        <v>9334</v>
      </c>
      <c r="F3129" t="s">
        <v>9334</v>
      </c>
      <c r="K3129" s="18">
        <f>62817808080</f>
        <v>62817808080</v>
      </c>
      <c r="N3129" s="17" t="s">
        <v>74</v>
      </c>
      <c r="V3129" s="18">
        <f>62817808080</f>
        <v>62817808080</v>
      </c>
    </row>
    <row r="3130" ht="15" customHeight="1" spans="1:23" x14ac:dyDescent="0.25">
      <c r="A3130" s="17" t="s">
        <v>9337</v>
      </c>
      <c r="B3130" s="17" t="s">
        <v>70</v>
      </c>
      <c r="C3130" s="17" t="s">
        <v>71</v>
      </c>
      <c r="D3130" t="s">
        <v>9334</v>
      </c>
      <c r="F3130" t="s">
        <v>9334</v>
      </c>
      <c r="J3130" s="21">
        <v>31810</v>
      </c>
      <c r="K3130" s="18">
        <f>628122911111</f>
        <v>628122911111</v>
      </c>
      <c r="N3130" s="17" t="s">
        <v>81</v>
      </c>
      <c r="U3130" s="17"/>
      <c r="V3130" s="18">
        <f>628122911111</f>
        <v>628122911111</v>
      </c>
      <c r="W3130" t="s">
        <v>9338</v>
      </c>
    </row>
    <row r="3131" ht="15" customHeight="1" spans="1:22" x14ac:dyDescent="0.25">
      <c r="A3131" s="17" t="s">
        <v>9339</v>
      </c>
      <c r="B3131" s="17" t="s">
        <v>70</v>
      </c>
      <c r="C3131" s="17" t="s">
        <v>71</v>
      </c>
      <c r="D3131" t="s">
        <v>9334</v>
      </c>
      <c r="F3131" t="s">
        <v>9334</v>
      </c>
      <c r="K3131" s="18">
        <f>62812291111</f>
        <v>62812291111</v>
      </c>
      <c r="N3131" s="17" t="s">
        <v>81</v>
      </c>
      <c r="V3131" s="18">
        <f>62812291111</f>
        <v>62812291111</v>
      </c>
    </row>
    <row r="3132" ht="15" customHeight="1" spans="1:22" x14ac:dyDescent="0.25">
      <c r="A3132" s="17" t="s">
        <v>9340</v>
      </c>
      <c r="B3132" s="17" t="s">
        <v>70</v>
      </c>
      <c r="C3132" s="17" t="s">
        <v>71</v>
      </c>
      <c r="D3132" t="s">
        <v>9334</v>
      </c>
      <c r="F3132" t="s">
        <v>9341</v>
      </c>
      <c r="K3132" s="18">
        <f>6282123900233</f>
        <v>6282123900233</v>
      </c>
      <c r="N3132" s="17" t="s">
        <v>77</v>
      </c>
      <c r="V3132" s="18">
        <f>6282123900233</f>
        <v>6282123900233</v>
      </c>
    </row>
    <row r="3133" ht="15" customHeight="1" spans="1:22" x14ac:dyDescent="0.25">
      <c r="A3133" s="17" t="s">
        <v>9342</v>
      </c>
      <c r="B3133" s="17" t="s">
        <v>70</v>
      </c>
      <c r="C3133" s="17" t="s">
        <v>71</v>
      </c>
      <c r="D3133" t="s">
        <v>9334</v>
      </c>
      <c r="F3133" t="s">
        <v>9343</v>
      </c>
      <c r="J3133" s="17" t="s">
        <v>9344</v>
      </c>
      <c r="K3133" s="18">
        <f>628129933278</f>
        <v>628129933278</v>
      </c>
      <c r="N3133" s="17" t="s">
        <v>81</v>
      </c>
      <c r="V3133" s="18">
        <f>628129933278</f>
        <v>628129933278</v>
      </c>
    </row>
    <row r="3134" ht="15" customHeight="1" spans="1:22" x14ac:dyDescent="0.25">
      <c r="A3134" s="17" t="s">
        <v>9345</v>
      </c>
      <c r="B3134" s="17" t="s">
        <v>70</v>
      </c>
      <c r="C3134" s="17" t="s">
        <v>71</v>
      </c>
      <c r="D3134" t="s">
        <v>9334</v>
      </c>
      <c r="F3134" t="s">
        <v>1217</v>
      </c>
      <c r="K3134" s="18">
        <f>622129364873</f>
        <v>622129364873</v>
      </c>
      <c r="N3134" s="17" t="s">
        <v>77</v>
      </c>
      <c r="V3134" s="18">
        <f>622129364873</f>
        <v>622129364873</v>
      </c>
    </row>
    <row r="3135" ht="15" customHeight="1" spans="1:28" x14ac:dyDescent="0.25">
      <c r="A3135" s="17" t="s">
        <v>9346</v>
      </c>
      <c r="B3135" s="17" t="s">
        <v>70</v>
      </c>
      <c r="C3135" s="17" t="s">
        <v>71</v>
      </c>
      <c r="D3135" t="s">
        <v>9334</v>
      </c>
      <c r="F3135" t="s">
        <v>9347</v>
      </c>
      <c r="J3135" t="s">
        <v>115</v>
      </c>
      <c r="K3135" s="18" t="s">
        <v>9348</v>
      </c>
      <c r="N3135" s="17" t="s">
        <v>74</v>
      </c>
      <c r="O3135" t="s">
        <v>117</v>
      </c>
      <c r="V3135" s="18" t="s">
        <v>9348</v>
      </c>
      <c r="Y3135" t="s">
        <v>190</v>
      </c>
      <c r="AA3135" t="s">
        <v>118</v>
      </c>
      <c r="AB3135" t="s">
        <v>119</v>
      </c>
    </row>
    <row r="3136" ht="15" customHeight="1" spans="1:23" x14ac:dyDescent="0.25">
      <c r="A3136" s="17" t="s">
        <v>9349</v>
      </c>
      <c r="B3136" s="17" t="s">
        <v>70</v>
      </c>
      <c r="C3136" s="17" t="s">
        <v>71</v>
      </c>
      <c r="D3136" t="s">
        <v>9334</v>
      </c>
      <c r="F3136" t="s">
        <v>9350</v>
      </c>
      <c r="K3136" s="18">
        <f>6287870711190</f>
        <v>6287870711190</v>
      </c>
      <c r="N3136" s="17" t="s">
        <v>81</v>
      </c>
      <c r="U3136" s="17"/>
      <c r="V3136" s="18">
        <f>6287870711190</f>
        <v>6287870711190</v>
      </c>
      <c r="W3136" t="s">
        <v>9351</v>
      </c>
    </row>
    <row r="3137" ht="15" customHeight="1" spans="1:22" x14ac:dyDescent="0.25">
      <c r="A3137" s="17" t="s">
        <v>9352</v>
      </c>
      <c r="B3137" s="17" t="s">
        <v>70</v>
      </c>
      <c r="C3137" s="17" t="s">
        <v>71</v>
      </c>
      <c r="D3137" t="s">
        <v>9334</v>
      </c>
      <c r="F3137" t="s">
        <v>576</v>
      </c>
      <c r="K3137" s="18">
        <f>628122047211</f>
        <v>628122047211</v>
      </c>
      <c r="N3137" s="17" t="s">
        <v>74</v>
      </c>
      <c r="V3137" s="18">
        <f>628122047211</f>
        <v>628122047211</v>
      </c>
    </row>
    <row r="3138" ht="15" customHeight="1" spans="1:28" x14ac:dyDescent="0.25">
      <c r="A3138" s="17" t="s">
        <v>9353</v>
      </c>
      <c r="B3138" s="17" t="s">
        <v>70</v>
      </c>
      <c r="C3138" s="17" t="s">
        <v>71</v>
      </c>
      <c r="D3138" t="s">
        <v>9354</v>
      </c>
      <c r="F3138" t="s">
        <v>669</v>
      </c>
      <c r="J3138" t="s">
        <v>115</v>
      </c>
      <c r="K3138" s="18" t="s">
        <v>9355</v>
      </c>
      <c r="N3138" s="17" t="s">
        <v>77</v>
      </c>
      <c r="O3138" t="s">
        <v>117</v>
      </c>
      <c r="U3138" s="17"/>
      <c r="V3138" s="18" t="s">
        <v>9355</v>
      </c>
      <c r="W3138" t="s">
        <v>9356</v>
      </c>
      <c r="Y3138" s="17" t="s">
        <v>190</v>
      </c>
      <c r="AA3138" t="s">
        <v>118</v>
      </c>
      <c r="AB3138" t="s">
        <v>119</v>
      </c>
    </row>
    <row r="3139" ht="15" customHeight="1" spans="1:22" x14ac:dyDescent="0.25">
      <c r="A3139" s="17" t="s">
        <v>9357</v>
      </c>
      <c r="B3139" s="17" t="s">
        <v>70</v>
      </c>
      <c r="C3139" s="17" t="s">
        <v>71</v>
      </c>
      <c r="D3139" t="s">
        <v>9334</v>
      </c>
      <c r="F3139" t="s">
        <v>9358</v>
      </c>
      <c r="K3139" s="18">
        <f>628192269999</f>
        <v>628192269999</v>
      </c>
      <c r="N3139" s="17" t="s">
        <v>77</v>
      </c>
      <c r="V3139" s="18">
        <f>628192269999</f>
        <v>628192269999</v>
      </c>
    </row>
    <row r="3140" ht="15" customHeight="1" spans="1:22" x14ac:dyDescent="0.25">
      <c r="A3140" s="17" t="s">
        <v>9359</v>
      </c>
      <c r="B3140" s="17" t="s">
        <v>70</v>
      </c>
      <c r="C3140" s="17" t="s">
        <v>71</v>
      </c>
      <c r="D3140" t="s">
        <v>9360</v>
      </c>
      <c r="F3140" t="s">
        <v>9361</v>
      </c>
      <c r="K3140" s="18">
        <f>62818850027</f>
        <v>62818850027</v>
      </c>
      <c r="N3140" s="17" t="s">
        <v>77</v>
      </c>
      <c r="V3140" s="18">
        <f>62818850027</f>
        <v>62818850027</v>
      </c>
    </row>
    <row r="3141" ht="15" customHeight="1" spans="1:27" x14ac:dyDescent="0.25">
      <c r="A3141" s="17" t="s">
        <v>9362</v>
      </c>
      <c r="B3141" s="17" t="s">
        <v>70</v>
      </c>
      <c r="C3141" s="17" t="s">
        <v>71</v>
      </c>
      <c r="D3141" t="s">
        <v>9360</v>
      </c>
      <c r="F3141" t="s">
        <v>9363</v>
      </c>
      <c r="J3141" s="17" t="s">
        <v>9364</v>
      </c>
      <c r="K3141" s="18">
        <f>6287780315004</f>
        <v>6287780315004</v>
      </c>
      <c r="N3141" s="17" t="s">
        <v>77</v>
      </c>
      <c r="U3141" s="17"/>
      <c r="V3141" s="18">
        <f>6287780315004</f>
        <v>6287780315004</v>
      </c>
      <c r="W3141" t="s">
        <v>9365</v>
      </c>
      <c r="Y3141" s="17" t="s">
        <v>217</v>
      </c>
      <c r="AA3141" s="17">
        <v>15211</v>
      </c>
    </row>
    <row r="3142" ht="15" customHeight="1" spans="1:28" x14ac:dyDescent="0.25">
      <c r="A3142" s="17" t="s">
        <v>9366</v>
      </c>
      <c r="B3142" s="17" t="s">
        <v>70</v>
      </c>
      <c r="C3142" s="17" t="s">
        <v>71</v>
      </c>
      <c r="D3142" t="s">
        <v>9360</v>
      </c>
      <c r="F3142" t="s">
        <v>9367</v>
      </c>
      <c r="J3142" t="s">
        <v>115</v>
      </c>
      <c r="K3142" s="18" t="s">
        <v>9368</v>
      </c>
      <c r="N3142" s="17" t="s">
        <v>77</v>
      </c>
      <c r="O3142" t="s">
        <v>117</v>
      </c>
      <c r="V3142" s="18" t="s">
        <v>9368</v>
      </c>
      <c r="Y3142" t="s">
        <v>190</v>
      </c>
      <c r="AA3142" t="s">
        <v>118</v>
      </c>
      <c r="AB3142" t="s">
        <v>119</v>
      </c>
    </row>
    <row r="3143" ht="15" customHeight="1" spans="1:27" x14ac:dyDescent="0.25">
      <c r="A3143" s="17" t="s">
        <v>9369</v>
      </c>
      <c r="B3143" s="17" t="s">
        <v>70</v>
      </c>
      <c r="C3143" s="17" t="s">
        <v>71</v>
      </c>
      <c r="D3143" t="s">
        <v>9360</v>
      </c>
      <c r="F3143" t="s">
        <v>3701</v>
      </c>
      <c r="K3143" s="18">
        <f>628161368893</f>
        <v>628161368893</v>
      </c>
      <c r="N3143" s="17" t="s">
        <v>77</v>
      </c>
      <c r="U3143" s="17"/>
      <c r="V3143" s="18">
        <f>628161368893</f>
        <v>628161368893</v>
      </c>
      <c r="W3143" t="s">
        <v>9370</v>
      </c>
      <c r="Y3143" s="17" t="s">
        <v>6412</v>
      </c>
      <c r="AA3143" s="17">
        <v>10130</v>
      </c>
    </row>
    <row r="3144" ht="15" customHeight="1" spans="1:22" x14ac:dyDescent="0.25">
      <c r="A3144" s="17" t="s">
        <v>9371</v>
      </c>
      <c r="B3144" s="17" t="s">
        <v>70</v>
      </c>
      <c r="C3144" s="17" t="s">
        <v>71</v>
      </c>
      <c r="D3144" t="s">
        <v>9360</v>
      </c>
      <c r="F3144" t="s">
        <v>9372</v>
      </c>
      <c r="K3144" s="18">
        <f>6281310200010</f>
        <v>6281310200010</v>
      </c>
      <c r="N3144" s="17" t="s">
        <v>77</v>
      </c>
      <c r="V3144" s="18">
        <f>6281310200010</f>
        <v>6281310200010</v>
      </c>
    </row>
    <row r="3145" ht="15" customHeight="1" spans="1:27" x14ac:dyDescent="0.25">
      <c r="A3145" s="17" t="s">
        <v>9373</v>
      </c>
      <c r="B3145" s="17" t="s">
        <v>70</v>
      </c>
      <c r="C3145" s="17" t="s">
        <v>71</v>
      </c>
      <c r="D3145" t="s">
        <v>9374</v>
      </c>
      <c r="F3145" t="s">
        <v>9375</v>
      </c>
      <c r="K3145" s="18">
        <f>6281290426462</f>
        <v>6281290426462</v>
      </c>
      <c r="N3145" s="17" t="s">
        <v>81</v>
      </c>
      <c r="U3145" s="17"/>
      <c r="V3145" s="18">
        <f>6281290426462</f>
        <v>6281290426462</v>
      </c>
      <c r="W3145" t="s">
        <v>9376</v>
      </c>
      <c r="AA3145" s="17">
        <v>15315</v>
      </c>
    </row>
    <row r="3146" ht="15" customHeight="1" spans="1:22" x14ac:dyDescent="0.25">
      <c r="A3146" s="17" t="s">
        <v>9377</v>
      </c>
      <c r="B3146" s="17" t="s">
        <v>70</v>
      </c>
      <c r="C3146" s="17" t="s">
        <v>71</v>
      </c>
      <c r="D3146" t="s">
        <v>9378</v>
      </c>
      <c r="F3146" t="s">
        <v>9379</v>
      </c>
      <c r="K3146" s="18">
        <f>6281286133861</f>
        <v>6281286133861</v>
      </c>
      <c r="N3146" s="17" t="s">
        <v>77</v>
      </c>
      <c r="V3146" s="18">
        <f>6281286133861</f>
        <v>6281286133861</v>
      </c>
    </row>
    <row r="3147" ht="15" customHeight="1" spans="1:22" x14ac:dyDescent="0.25">
      <c r="A3147" s="17" t="s">
        <v>9380</v>
      </c>
      <c r="B3147" s="17" t="s">
        <v>70</v>
      </c>
      <c r="C3147" s="17" t="s">
        <v>71</v>
      </c>
      <c r="D3147" t="s">
        <v>9381</v>
      </c>
      <c r="F3147" t="s">
        <v>3289</v>
      </c>
      <c r="K3147" s="18">
        <f>62811967715</f>
        <v>62811967715</v>
      </c>
      <c r="N3147" s="17" t="s">
        <v>77</v>
      </c>
      <c r="V3147" s="18">
        <f>62811967715</f>
        <v>62811967715</v>
      </c>
    </row>
    <row r="3148" ht="15" customHeight="1" spans="1:23" x14ac:dyDescent="0.25">
      <c r="A3148" s="17" t="s">
        <v>9382</v>
      </c>
      <c r="B3148" s="17" t="s">
        <v>70</v>
      </c>
      <c r="C3148" s="17" t="s">
        <v>71</v>
      </c>
      <c r="D3148" t="s">
        <v>9383</v>
      </c>
      <c r="F3148" t="s">
        <v>9384</v>
      </c>
      <c r="K3148" s="18">
        <f>6281808834942</f>
        <v>6281808834942</v>
      </c>
      <c r="N3148" s="17" t="s">
        <v>77</v>
      </c>
      <c r="U3148" s="17"/>
      <c r="V3148" s="18">
        <f>6281808834942</f>
        <v>6281808834942</v>
      </c>
      <c r="W3148" t="s">
        <v>9385</v>
      </c>
    </row>
    <row r="3149" ht="15" customHeight="1" spans="1:28" x14ac:dyDescent="0.25">
      <c r="A3149" s="17" t="s">
        <v>9386</v>
      </c>
      <c r="B3149" s="17" t="s">
        <v>70</v>
      </c>
      <c r="C3149" s="17" t="s">
        <v>71</v>
      </c>
      <c r="D3149" t="s">
        <v>9387</v>
      </c>
      <c r="F3149" t="s">
        <v>9388</v>
      </c>
      <c r="J3149" s="17" t="s">
        <v>9389</v>
      </c>
      <c r="K3149" s="18" t="s">
        <v>9390</v>
      </c>
      <c r="N3149" s="17" t="s">
        <v>77</v>
      </c>
      <c r="O3149" t="s">
        <v>117</v>
      </c>
      <c r="V3149" s="18" t="s">
        <v>9390</v>
      </c>
      <c r="Y3149" s="17" t="s">
        <v>90</v>
      </c>
      <c r="AA3149" t="s">
        <v>118</v>
      </c>
      <c r="AB3149" t="s">
        <v>119</v>
      </c>
    </row>
    <row r="3150" ht="15" customHeight="1" spans="1:27" x14ac:dyDescent="0.25">
      <c r="A3150" s="17" t="s">
        <v>9391</v>
      </c>
      <c r="B3150" s="17" t="s">
        <v>70</v>
      </c>
      <c r="C3150" s="17" t="s">
        <v>71</v>
      </c>
      <c r="D3150" t="s">
        <v>9387</v>
      </c>
      <c r="F3150" t="s">
        <v>9388</v>
      </c>
      <c r="J3150" s="17" t="s">
        <v>9392</v>
      </c>
      <c r="K3150" s="18">
        <f>6287878329345</f>
        <v>6287878329345</v>
      </c>
      <c r="N3150" s="17" t="s">
        <v>81</v>
      </c>
      <c r="U3150" s="17"/>
      <c r="V3150" s="18">
        <f>6287878329345</f>
        <v>6287878329345</v>
      </c>
      <c r="W3150" t="s">
        <v>9393</v>
      </c>
      <c r="Y3150" s="17" t="s">
        <v>90</v>
      </c>
      <c r="AA3150" s="17">
        <v>14240</v>
      </c>
    </row>
    <row r="3151" ht="15" customHeight="1" spans="1:23" x14ac:dyDescent="0.25">
      <c r="A3151" s="17" t="s">
        <v>9394</v>
      </c>
      <c r="B3151" s="17" t="s">
        <v>70</v>
      </c>
      <c r="C3151" s="17" t="s">
        <v>71</v>
      </c>
      <c r="D3151" t="s">
        <v>9395</v>
      </c>
      <c r="F3151" t="s">
        <v>9396</v>
      </c>
      <c r="K3151" s="18">
        <f>628551006769</f>
        <v>628551006769</v>
      </c>
      <c r="N3151" s="17" t="s">
        <v>77</v>
      </c>
      <c r="U3151" s="17"/>
      <c r="V3151" s="18">
        <f>628551006769</f>
        <v>628551006769</v>
      </c>
      <c r="W3151" t="s">
        <v>9397</v>
      </c>
    </row>
    <row r="3152" ht="15" customHeight="1" spans="1:22" x14ac:dyDescent="0.25">
      <c r="A3152" s="17" t="s">
        <v>9398</v>
      </c>
      <c r="B3152" s="17" t="s">
        <v>70</v>
      </c>
      <c r="C3152" s="17" t="s">
        <v>71</v>
      </c>
      <c r="D3152" t="s">
        <v>9399</v>
      </c>
      <c r="F3152" t="s">
        <v>9399</v>
      </c>
      <c r="K3152" s="18">
        <f>6281513861377</f>
        <v>6281513861377</v>
      </c>
      <c r="N3152" s="17" t="s">
        <v>77</v>
      </c>
      <c r="V3152" s="18">
        <f>6281513861377</f>
        <v>6281513861377</v>
      </c>
    </row>
    <row r="3153" ht="15" customHeight="1" spans="1:22" x14ac:dyDescent="0.25">
      <c r="A3153" s="17" t="s">
        <v>9400</v>
      </c>
      <c r="B3153" s="17" t="s">
        <v>70</v>
      </c>
      <c r="C3153" s="17" t="s">
        <v>71</v>
      </c>
      <c r="D3153" t="s">
        <v>9399</v>
      </c>
      <c r="F3153" t="s">
        <v>2566</v>
      </c>
      <c r="K3153" s="18">
        <f>6287889897478</f>
        <v>6287889897478</v>
      </c>
      <c r="N3153" s="17" t="s">
        <v>77</v>
      </c>
      <c r="V3153" s="18">
        <f>6287889897478</f>
        <v>6287889897478</v>
      </c>
    </row>
    <row r="3154" ht="15" customHeight="1" spans="1:22" x14ac:dyDescent="0.25">
      <c r="A3154" s="17" t="s">
        <v>9401</v>
      </c>
      <c r="B3154" s="17" t="s">
        <v>70</v>
      </c>
      <c r="C3154" s="17" t="s">
        <v>71</v>
      </c>
      <c r="D3154" t="s">
        <v>9399</v>
      </c>
      <c r="F3154" t="s">
        <v>9402</v>
      </c>
      <c r="K3154" s="18">
        <f>62811847937</f>
        <v>62811847937</v>
      </c>
      <c r="N3154" s="17" t="s">
        <v>77</v>
      </c>
      <c r="V3154" s="18">
        <f>62811847937</f>
        <v>62811847937</v>
      </c>
    </row>
    <row r="3155" ht="15" customHeight="1" spans="1:22" x14ac:dyDescent="0.25">
      <c r="A3155" s="17" t="s">
        <v>9403</v>
      </c>
      <c r="B3155" s="17" t="s">
        <v>70</v>
      </c>
      <c r="C3155" s="17" t="s">
        <v>71</v>
      </c>
      <c r="D3155" t="s">
        <v>9404</v>
      </c>
      <c r="F3155" t="s">
        <v>8225</v>
      </c>
      <c r="K3155" s="18">
        <f>6281380000174</f>
        <v>6281380000174</v>
      </c>
      <c r="N3155" s="17" t="s">
        <v>77</v>
      </c>
      <c r="V3155" s="18">
        <f>6281380000174</f>
        <v>6281380000174</v>
      </c>
    </row>
    <row r="3156" ht="15" customHeight="1" spans="1:28" x14ac:dyDescent="0.25">
      <c r="A3156" s="17" t="s">
        <v>9405</v>
      </c>
      <c r="B3156" s="17" t="s">
        <v>70</v>
      </c>
      <c r="C3156" s="17" t="s">
        <v>71</v>
      </c>
      <c r="D3156" t="s">
        <v>9406</v>
      </c>
      <c r="F3156" t="s">
        <v>3775</v>
      </c>
      <c r="J3156" t="s">
        <v>115</v>
      </c>
      <c r="K3156" s="18" t="s">
        <v>9407</v>
      </c>
      <c r="N3156" s="17" t="s">
        <v>74</v>
      </c>
      <c r="O3156" t="s">
        <v>199</v>
      </c>
      <c r="U3156" s="17"/>
      <c r="V3156" s="18" t="s">
        <v>9407</v>
      </c>
      <c r="W3156" t="s">
        <v>9408</v>
      </c>
      <c r="Y3156" s="17" t="s">
        <v>217</v>
      </c>
      <c r="AA3156" s="17" t="s">
        <v>218</v>
      </c>
      <c r="AB3156" t="s">
        <v>119</v>
      </c>
    </row>
    <row r="3157" ht="15" customHeight="1" spans="1:22" x14ac:dyDescent="0.25">
      <c r="A3157" s="17" t="s">
        <v>9409</v>
      </c>
      <c r="B3157" s="17" t="s">
        <v>70</v>
      </c>
      <c r="C3157" s="17" t="s">
        <v>71</v>
      </c>
      <c r="D3157" t="s">
        <v>9410</v>
      </c>
      <c r="F3157" t="s">
        <v>9411</v>
      </c>
      <c r="J3157" s="17" t="s">
        <v>9412</v>
      </c>
      <c r="K3157" s="18">
        <f>6285216980744</f>
        <v>6285216980744</v>
      </c>
      <c r="N3157" s="17" t="s">
        <v>77</v>
      </c>
      <c r="V3157" s="18">
        <f>6285216980744</f>
        <v>6285216980744</v>
      </c>
    </row>
    <row r="3158" ht="15" customHeight="1" spans="1:23" x14ac:dyDescent="0.25">
      <c r="A3158" s="17" t="s">
        <v>9413</v>
      </c>
      <c r="B3158" s="17" t="s">
        <v>70</v>
      </c>
      <c r="C3158" s="17" t="s">
        <v>71</v>
      </c>
      <c r="D3158" t="s">
        <v>9414</v>
      </c>
      <c r="F3158" t="s">
        <v>9414</v>
      </c>
      <c r="K3158" s="18">
        <f>6281388224979</f>
        <v>6281388224979</v>
      </c>
      <c r="N3158" s="17" t="s">
        <v>77</v>
      </c>
      <c r="U3158" s="17"/>
      <c r="V3158" s="18">
        <f>6281388224979</f>
        <v>6281388224979</v>
      </c>
      <c r="W3158" t="s">
        <v>9415</v>
      </c>
    </row>
    <row r="3159" ht="15" customHeight="1" spans="1:23" x14ac:dyDescent="0.25">
      <c r="A3159" s="17" t="s">
        <v>9416</v>
      </c>
      <c r="B3159" s="17" t="s">
        <v>70</v>
      </c>
      <c r="C3159" s="17" t="s">
        <v>71</v>
      </c>
      <c r="D3159" t="s">
        <v>9414</v>
      </c>
      <c r="F3159" t="s">
        <v>9417</v>
      </c>
      <c r="K3159" s="18">
        <f>6281297900306</f>
        <v>6281297900306</v>
      </c>
      <c r="N3159" s="17" t="s">
        <v>81</v>
      </c>
      <c r="U3159" s="17"/>
      <c r="V3159" s="18">
        <f>6281297900306</f>
        <v>6281297900306</v>
      </c>
      <c r="W3159" t="s">
        <v>9418</v>
      </c>
    </row>
    <row r="3160" ht="15" customHeight="1" spans="1:22" x14ac:dyDescent="0.25">
      <c r="A3160" s="17" t="s">
        <v>9419</v>
      </c>
      <c r="B3160" s="17" t="s">
        <v>70</v>
      </c>
      <c r="C3160" s="17" t="s">
        <v>71</v>
      </c>
      <c r="D3160" t="s">
        <v>9414</v>
      </c>
      <c r="F3160" t="s">
        <v>8683</v>
      </c>
      <c r="K3160" s="18">
        <f>628111094809</f>
        <v>628111094809</v>
      </c>
      <c r="N3160" s="17" t="s">
        <v>81</v>
      </c>
      <c r="V3160" s="18">
        <f>628111094809</f>
        <v>628111094809</v>
      </c>
    </row>
    <row r="3161" ht="15" customHeight="1" spans="1:22" x14ac:dyDescent="0.25">
      <c r="A3161" s="17" t="s">
        <v>9420</v>
      </c>
      <c r="B3161" s="17" t="s">
        <v>70</v>
      </c>
      <c r="C3161" s="17" t="s">
        <v>71</v>
      </c>
      <c r="D3161" t="s">
        <v>9414</v>
      </c>
      <c r="F3161" t="s">
        <v>672</v>
      </c>
      <c r="K3161" s="18">
        <f>628126041390</f>
        <v>628126041390</v>
      </c>
      <c r="N3161" s="17" t="s">
        <v>77</v>
      </c>
      <c r="V3161" s="18">
        <f>628126041390</f>
        <v>628126041390</v>
      </c>
    </row>
    <row r="3162" ht="15" customHeight="1" spans="1:22" x14ac:dyDescent="0.25">
      <c r="A3162" s="17" t="s">
        <v>9421</v>
      </c>
      <c r="B3162" s="17" t="s">
        <v>70</v>
      </c>
      <c r="C3162" s="17" t="s">
        <v>71</v>
      </c>
      <c r="D3162" t="s">
        <v>9422</v>
      </c>
      <c r="F3162" t="s">
        <v>9422</v>
      </c>
      <c r="K3162" s="18">
        <f>62811911047</f>
        <v>62811911047</v>
      </c>
      <c r="N3162" s="17" t="s">
        <v>81</v>
      </c>
      <c r="V3162" s="18">
        <f>62811911047</f>
        <v>62811911047</v>
      </c>
    </row>
    <row r="3163" ht="15" customHeight="1" spans="1:22" x14ac:dyDescent="0.25">
      <c r="A3163" s="17" t="s">
        <v>9423</v>
      </c>
      <c r="B3163" s="17" t="s">
        <v>70</v>
      </c>
      <c r="C3163" s="17" t="s">
        <v>71</v>
      </c>
      <c r="D3163" t="s">
        <v>9422</v>
      </c>
      <c r="F3163" t="s">
        <v>9424</v>
      </c>
      <c r="K3163" s="18">
        <f>62811900535</f>
        <v>62811900535</v>
      </c>
      <c r="N3163" s="17" t="s">
        <v>74</v>
      </c>
      <c r="V3163" s="18">
        <f>62811900535</f>
        <v>62811900535</v>
      </c>
    </row>
    <row r="3164" ht="15" customHeight="1" spans="1:22" x14ac:dyDescent="0.25">
      <c r="A3164" s="17" t="s">
        <v>9425</v>
      </c>
      <c r="B3164" s="17" t="s">
        <v>70</v>
      </c>
      <c r="C3164" s="17" t="s">
        <v>71</v>
      </c>
      <c r="D3164" t="s">
        <v>9426</v>
      </c>
      <c r="F3164" t="s">
        <v>9426</v>
      </c>
      <c r="K3164" s="18">
        <f>6285694599910</f>
        <v>6285694599910</v>
      </c>
      <c r="N3164" s="17" t="s">
        <v>77</v>
      </c>
      <c r="V3164" s="18">
        <f>6285694599910</f>
        <v>6285694599910</v>
      </c>
    </row>
    <row r="3165" ht="15" customHeight="1" spans="1:22" x14ac:dyDescent="0.25">
      <c r="A3165" s="17" t="s">
        <v>9427</v>
      </c>
      <c r="B3165" s="17" t="s">
        <v>70</v>
      </c>
      <c r="C3165" s="17" t="s">
        <v>71</v>
      </c>
      <c r="D3165" t="s">
        <v>9428</v>
      </c>
      <c r="F3165" t="s">
        <v>3193</v>
      </c>
      <c r="K3165" s="18">
        <f>628115008989</f>
        <v>628115008989</v>
      </c>
      <c r="N3165" s="17" t="s">
        <v>77</v>
      </c>
      <c r="V3165" s="18">
        <f>628115008989</f>
        <v>628115008989</v>
      </c>
    </row>
    <row r="3166" ht="15" customHeight="1" spans="1:22" x14ac:dyDescent="0.25">
      <c r="A3166" s="17" t="s">
        <v>9429</v>
      </c>
      <c r="B3166" s="17" t="s">
        <v>70</v>
      </c>
      <c r="C3166" s="17" t="s">
        <v>71</v>
      </c>
      <c r="D3166" t="s">
        <v>9430</v>
      </c>
      <c r="F3166" t="s">
        <v>9430</v>
      </c>
      <c r="K3166" s="18">
        <f>628111671701</f>
        <v>628111671701</v>
      </c>
      <c r="N3166" s="17" t="s">
        <v>77</v>
      </c>
      <c r="V3166" s="18">
        <f>628111671701</f>
        <v>628111671701</v>
      </c>
    </row>
    <row r="3167" ht="15" customHeight="1" spans="1:28" x14ac:dyDescent="0.25">
      <c r="A3167" s="17" t="s">
        <v>9431</v>
      </c>
      <c r="B3167" s="17" t="s">
        <v>70</v>
      </c>
      <c r="C3167" s="17" t="s">
        <v>71</v>
      </c>
      <c r="D3167" t="s">
        <v>9432</v>
      </c>
      <c r="F3167" t="s">
        <v>9433</v>
      </c>
      <c r="J3167" t="s">
        <v>115</v>
      </c>
      <c r="K3167" s="18" t="s">
        <v>9434</v>
      </c>
      <c r="N3167" s="17" t="s">
        <v>77</v>
      </c>
      <c r="O3167" t="s">
        <v>199</v>
      </c>
      <c r="V3167" s="18" t="s">
        <v>9434</v>
      </c>
      <c r="Y3167" t="s">
        <v>181</v>
      </c>
      <c r="AA3167" t="s">
        <v>1672</v>
      </c>
      <c r="AB3167" t="s">
        <v>119</v>
      </c>
    </row>
    <row r="3168" ht="15" customHeight="1" spans="1:27" x14ac:dyDescent="0.25">
      <c r="A3168" s="17" t="s">
        <v>9435</v>
      </c>
      <c r="B3168" s="17" t="s">
        <v>70</v>
      </c>
      <c r="C3168" s="17" t="s">
        <v>71</v>
      </c>
      <c r="D3168" t="s">
        <v>9436</v>
      </c>
      <c r="F3168" t="s">
        <v>9437</v>
      </c>
      <c r="K3168" s="18">
        <f>62816637586</f>
        <v>62816637586</v>
      </c>
      <c r="N3168" s="17" t="s">
        <v>74</v>
      </c>
      <c r="U3168" s="17"/>
      <c r="V3168" s="18">
        <f>62816637586</f>
        <v>62816637586</v>
      </c>
      <c r="W3168" t="s">
        <v>9438</v>
      </c>
      <c r="Y3168" s="17" t="s">
        <v>96</v>
      </c>
      <c r="AA3168" s="17" t="s">
        <v>97</v>
      </c>
    </row>
    <row r="3169" ht="15" customHeight="1" spans="1:23" x14ac:dyDescent="0.25">
      <c r="A3169" s="17" t="s">
        <v>9439</v>
      </c>
      <c r="B3169" s="17" t="s">
        <v>70</v>
      </c>
      <c r="C3169" s="17" t="s">
        <v>71</v>
      </c>
      <c r="D3169" t="s">
        <v>9440</v>
      </c>
      <c r="F3169" t="s">
        <v>9440</v>
      </c>
      <c r="J3169" s="17" t="s">
        <v>9441</v>
      </c>
      <c r="K3169" s="18">
        <f>628170007257</f>
        <v>628170007257</v>
      </c>
      <c r="N3169" s="17" t="s">
        <v>77</v>
      </c>
      <c r="U3169" s="17"/>
      <c r="V3169" s="18">
        <f>628170007257</f>
        <v>628170007257</v>
      </c>
      <c r="W3169" t="s">
        <v>9442</v>
      </c>
    </row>
    <row r="3170" ht="15" customHeight="1" spans="1:22" x14ac:dyDescent="0.25">
      <c r="A3170" s="17" t="s">
        <v>9443</v>
      </c>
      <c r="B3170" s="17" t="s">
        <v>70</v>
      </c>
      <c r="C3170" s="17" t="s">
        <v>71</v>
      </c>
      <c r="D3170" t="s">
        <v>9444</v>
      </c>
      <c r="F3170" t="s">
        <v>9444</v>
      </c>
      <c r="K3170" s="18">
        <f>6282299646745</f>
        <v>6282299646745</v>
      </c>
      <c r="N3170" s="17" t="s">
        <v>81</v>
      </c>
      <c r="V3170" s="18">
        <f>6282299646745</f>
        <v>6282299646745</v>
      </c>
    </row>
    <row r="3171" ht="15" customHeight="1" spans="1:22" x14ac:dyDescent="0.25">
      <c r="A3171" s="17" t="s">
        <v>9445</v>
      </c>
      <c r="B3171" s="17" t="s">
        <v>70</v>
      </c>
      <c r="C3171" s="17" t="s">
        <v>71</v>
      </c>
      <c r="D3171" t="s">
        <v>9444</v>
      </c>
      <c r="F3171" t="s">
        <v>9444</v>
      </c>
      <c r="K3171" s="18">
        <f>6281888788389</f>
        <v>6281888788389</v>
      </c>
      <c r="N3171" s="17" t="s">
        <v>77</v>
      </c>
      <c r="V3171" s="18">
        <f>6281888788389</f>
        <v>6281888788389</v>
      </c>
    </row>
    <row r="3172" ht="15" customHeight="1" spans="1:28" x14ac:dyDescent="0.25">
      <c r="A3172" s="17" t="s">
        <v>9446</v>
      </c>
      <c r="B3172" s="17" t="s">
        <v>70</v>
      </c>
      <c r="C3172" s="17" t="s">
        <v>71</v>
      </c>
      <c r="D3172" t="s">
        <v>9444</v>
      </c>
      <c r="F3172" t="s">
        <v>9444</v>
      </c>
      <c r="J3172" t="s">
        <v>115</v>
      </c>
      <c r="K3172" s="18" t="s">
        <v>9447</v>
      </c>
      <c r="N3172" s="17" t="s">
        <v>81</v>
      </c>
      <c r="O3172" t="s">
        <v>117</v>
      </c>
      <c r="V3172" s="18" t="s">
        <v>9447</v>
      </c>
      <c r="Y3172" t="s">
        <v>90</v>
      </c>
      <c r="AA3172" t="s">
        <v>118</v>
      </c>
      <c r="AB3172" t="s">
        <v>119</v>
      </c>
    </row>
    <row r="3173" ht="15" customHeight="1" spans="1:25" x14ac:dyDescent="0.25">
      <c r="A3173" s="17" t="s">
        <v>9448</v>
      </c>
      <c r="B3173" s="17" t="s">
        <v>70</v>
      </c>
      <c r="C3173" s="17" t="s">
        <v>71</v>
      </c>
      <c r="D3173" t="s">
        <v>9444</v>
      </c>
      <c r="F3173" t="s">
        <v>1184</v>
      </c>
      <c r="J3173" s="17" t="s">
        <v>9449</v>
      </c>
      <c r="K3173" s="18">
        <f>6287888899777</f>
        <v>6287888899777</v>
      </c>
      <c r="N3173" s="17" t="s">
        <v>77</v>
      </c>
      <c r="U3173" s="17"/>
      <c r="V3173" s="18">
        <f>6287888899777</f>
        <v>6287888899777</v>
      </c>
      <c r="W3173" t="s">
        <v>9450</v>
      </c>
      <c r="Y3173" s="17" t="s">
        <v>1084</v>
      </c>
    </row>
    <row r="3174" ht="15" customHeight="1" spans="1:22" x14ac:dyDescent="0.25">
      <c r="A3174" s="17" t="s">
        <v>9451</v>
      </c>
      <c r="B3174" s="17" t="s">
        <v>70</v>
      </c>
      <c r="C3174" s="17" t="s">
        <v>71</v>
      </c>
      <c r="D3174" t="s">
        <v>9444</v>
      </c>
      <c r="F3174" t="s">
        <v>9452</v>
      </c>
      <c r="K3174" s="18">
        <f>6287782060033</f>
        <v>6287782060033</v>
      </c>
      <c r="N3174" s="17" t="s">
        <v>77</v>
      </c>
      <c r="V3174" s="18">
        <f>6287782060033</f>
        <v>6287782060033</v>
      </c>
    </row>
    <row r="3175" ht="15" customHeight="1" spans="1:22" x14ac:dyDescent="0.25">
      <c r="A3175" s="17" t="s">
        <v>9453</v>
      </c>
      <c r="B3175" s="17" t="s">
        <v>70</v>
      </c>
      <c r="C3175" s="17" t="s">
        <v>71</v>
      </c>
      <c r="D3175" t="s">
        <v>9444</v>
      </c>
      <c r="F3175" t="s">
        <v>9454</v>
      </c>
      <c r="K3175" s="18">
        <f>6282359507778</f>
        <v>6282359507778</v>
      </c>
      <c r="N3175" s="17" t="s">
        <v>81</v>
      </c>
      <c r="V3175" s="18">
        <f>6282359507778</f>
        <v>6282359507778</v>
      </c>
    </row>
    <row r="3176" ht="15" customHeight="1" spans="1:27" x14ac:dyDescent="0.25">
      <c r="A3176" s="17" t="s">
        <v>9455</v>
      </c>
      <c r="B3176" s="17" t="s">
        <v>70</v>
      </c>
      <c r="C3176" s="17" t="s">
        <v>71</v>
      </c>
      <c r="D3176" t="s">
        <v>9444</v>
      </c>
      <c r="F3176" t="s">
        <v>9456</v>
      </c>
      <c r="K3176" s="18">
        <f>6287784551976</f>
        <v>6287784551976</v>
      </c>
      <c r="N3176" s="17" t="s">
        <v>81</v>
      </c>
      <c r="U3176" s="17"/>
      <c r="V3176" s="18">
        <f>6287784551976</f>
        <v>6287784551976</v>
      </c>
      <c r="W3176" t="s">
        <v>9457</v>
      </c>
      <c r="AA3176" s="17">
        <v>14230</v>
      </c>
    </row>
    <row r="3177" ht="15" customHeight="1" spans="1:22" x14ac:dyDescent="0.25">
      <c r="A3177" s="17" t="s">
        <v>9458</v>
      </c>
      <c r="B3177" s="17" t="s">
        <v>70</v>
      </c>
      <c r="C3177" s="17" t="s">
        <v>71</v>
      </c>
      <c r="D3177" t="s">
        <v>9444</v>
      </c>
      <c r="F3177" t="s">
        <v>5783</v>
      </c>
      <c r="K3177" s="18">
        <f>6281296853007</f>
        <v>6281296853007</v>
      </c>
      <c r="N3177" s="17" t="s">
        <v>81</v>
      </c>
      <c r="V3177" s="18">
        <f>6281296853007</f>
        <v>6281296853007</v>
      </c>
    </row>
    <row r="3178" ht="15" customHeight="1" spans="1:22" x14ac:dyDescent="0.25">
      <c r="A3178" s="17" t="s">
        <v>9459</v>
      </c>
      <c r="B3178" s="17" t="s">
        <v>70</v>
      </c>
      <c r="C3178" s="17" t="s">
        <v>71</v>
      </c>
      <c r="D3178" t="s">
        <v>9444</v>
      </c>
      <c r="F3178" t="s">
        <v>9460</v>
      </c>
      <c r="K3178" s="18">
        <f>6282236920476</f>
        <v>6282236920476</v>
      </c>
      <c r="N3178" s="17" t="s">
        <v>77</v>
      </c>
      <c r="V3178" s="18">
        <f>6282236920476</f>
        <v>6282236920476</v>
      </c>
    </row>
    <row r="3179" ht="15" customHeight="1" spans="1:28" x14ac:dyDescent="0.25">
      <c r="A3179" s="17" t="s">
        <v>9461</v>
      </c>
      <c r="B3179" s="17" t="s">
        <v>70</v>
      </c>
      <c r="C3179" s="17" t="s">
        <v>71</v>
      </c>
      <c r="D3179" t="s">
        <v>9444</v>
      </c>
      <c r="F3179" t="s">
        <v>9462</v>
      </c>
      <c r="J3179" t="s">
        <v>9463</v>
      </c>
      <c r="K3179" s="18" t="s">
        <v>9464</v>
      </c>
      <c r="N3179" s="17" t="s">
        <v>77</v>
      </c>
      <c r="O3179" t="s">
        <v>145</v>
      </c>
      <c r="V3179" s="18" t="s">
        <v>9464</v>
      </c>
      <c r="Y3179" t="s">
        <v>90</v>
      </c>
      <c r="AA3179" t="s">
        <v>118</v>
      </c>
      <c r="AB3179" t="s">
        <v>119</v>
      </c>
    </row>
    <row r="3180" ht="15" customHeight="1" spans="1:28" x14ac:dyDescent="0.25">
      <c r="A3180" s="17" t="s">
        <v>9465</v>
      </c>
      <c r="B3180" s="17" t="s">
        <v>70</v>
      </c>
      <c r="C3180" s="17" t="s">
        <v>71</v>
      </c>
      <c r="D3180" t="s">
        <v>9466</v>
      </c>
      <c r="F3180" t="s">
        <v>2754</v>
      </c>
      <c r="J3180" t="s">
        <v>115</v>
      </c>
      <c r="K3180" s="18" t="s">
        <v>9467</v>
      </c>
      <c r="N3180" s="17" t="s">
        <v>77</v>
      </c>
      <c r="O3180" t="s">
        <v>199</v>
      </c>
      <c r="V3180" s="18" t="s">
        <v>9467</v>
      </c>
      <c r="Y3180" t="s">
        <v>190</v>
      </c>
      <c r="AA3180" t="s">
        <v>118</v>
      </c>
      <c r="AB3180" t="s">
        <v>119</v>
      </c>
    </row>
    <row r="3181" ht="15" customHeight="1" spans="1:22" x14ac:dyDescent="0.25">
      <c r="A3181" s="17" t="s">
        <v>9468</v>
      </c>
      <c r="B3181" s="17" t="s">
        <v>70</v>
      </c>
      <c r="C3181" s="17" t="s">
        <v>71</v>
      </c>
      <c r="D3181" t="s">
        <v>9469</v>
      </c>
      <c r="F3181" t="s">
        <v>9469</v>
      </c>
      <c r="K3181" s="18">
        <f>628176051213</f>
        <v>628176051213</v>
      </c>
      <c r="N3181" s="17" t="s">
        <v>77</v>
      </c>
      <c r="V3181" s="18">
        <f>628176051213</f>
        <v>628176051213</v>
      </c>
    </row>
    <row r="3182" ht="15" customHeight="1" spans="1:22" x14ac:dyDescent="0.25">
      <c r="A3182" s="17" t="s">
        <v>9470</v>
      </c>
      <c r="B3182" s="17" t="s">
        <v>70</v>
      </c>
      <c r="C3182" s="17" t="s">
        <v>71</v>
      </c>
      <c r="D3182" t="s">
        <v>9469</v>
      </c>
      <c r="F3182" t="s">
        <v>9471</v>
      </c>
      <c r="K3182" s="18">
        <f>6281235359900</f>
        <v>6281235359900</v>
      </c>
      <c r="N3182" s="17" t="s">
        <v>81</v>
      </c>
      <c r="V3182" s="18">
        <f>6281235359900</f>
        <v>6281235359900</v>
      </c>
    </row>
    <row r="3183" ht="15" customHeight="1" spans="1:23" x14ac:dyDescent="0.25">
      <c r="A3183" s="17" t="s">
        <v>9472</v>
      </c>
      <c r="B3183" s="17" t="s">
        <v>70</v>
      </c>
      <c r="C3183" s="17" t="s">
        <v>71</v>
      </c>
      <c r="D3183" t="s">
        <v>9473</v>
      </c>
      <c r="F3183" t="s">
        <v>9474</v>
      </c>
      <c r="K3183" s="18">
        <f>6285781116215</f>
        <v>6285781116215</v>
      </c>
      <c r="N3183" s="17" t="s">
        <v>77</v>
      </c>
      <c r="U3183" s="17"/>
      <c r="V3183" s="18">
        <f>6285781116215</f>
        <v>6285781116215</v>
      </c>
      <c r="W3183" t="s">
        <v>9475</v>
      </c>
    </row>
    <row r="3184" ht="15" customHeight="1" spans="1:22" x14ac:dyDescent="0.25">
      <c r="A3184" s="17" t="s">
        <v>9476</v>
      </c>
      <c r="B3184" s="17" t="s">
        <v>70</v>
      </c>
      <c r="C3184" s="17" t="s">
        <v>71</v>
      </c>
      <c r="D3184" t="s">
        <v>9477</v>
      </c>
      <c r="F3184" t="s">
        <v>9477</v>
      </c>
      <c r="K3184" s="18">
        <f>62811117067</f>
        <v>62811117067</v>
      </c>
      <c r="N3184" s="17" t="s">
        <v>77</v>
      </c>
      <c r="V3184" s="18">
        <f>62811117067</f>
        <v>62811117067</v>
      </c>
    </row>
    <row r="3185" ht="15" customHeight="1" spans="1:22" x14ac:dyDescent="0.25">
      <c r="A3185" s="17" t="s">
        <v>9478</v>
      </c>
      <c r="B3185" s="17" t="s">
        <v>70</v>
      </c>
      <c r="C3185" s="17" t="s">
        <v>71</v>
      </c>
      <c r="D3185" t="s">
        <v>9479</v>
      </c>
      <c r="F3185" t="s">
        <v>9479</v>
      </c>
      <c r="K3185" s="18">
        <f>62811842115</f>
        <v>62811842115</v>
      </c>
      <c r="N3185" s="17" t="s">
        <v>74</v>
      </c>
      <c r="V3185" s="18">
        <f>62811842115</f>
        <v>62811842115</v>
      </c>
    </row>
    <row r="3186" ht="15" customHeight="1" spans="1:22" x14ac:dyDescent="0.25">
      <c r="A3186" s="17" t="s">
        <v>9480</v>
      </c>
      <c r="B3186" s="17" t="s">
        <v>70</v>
      </c>
      <c r="C3186" s="17" t="s">
        <v>71</v>
      </c>
      <c r="D3186" t="s">
        <v>9479</v>
      </c>
      <c r="F3186" t="s">
        <v>9479</v>
      </c>
      <c r="K3186" s="18">
        <f>622198630020</f>
        <v>622198630020</v>
      </c>
      <c r="N3186" s="17" t="s">
        <v>77</v>
      </c>
      <c r="V3186" s="18">
        <f>622198630020</f>
        <v>622198630020</v>
      </c>
    </row>
    <row r="3187" ht="15" customHeight="1" spans="1:23" x14ac:dyDescent="0.25">
      <c r="A3187" s="17" t="s">
        <v>9481</v>
      </c>
      <c r="B3187" s="17" t="s">
        <v>70</v>
      </c>
      <c r="C3187" s="17" t="s">
        <v>71</v>
      </c>
      <c r="D3187" t="s">
        <v>9482</v>
      </c>
      <c r="F3187" t="s">
        <v>9483</v>
      </c>
      <c r="K3187" s="18">
        <f>6281803005499</f>
        <v>6281803005499</v>
      </c>
      <c r="N3187" s="17" t="s">
        <v>77</v>
      </c>
      <c r="U3187" s="17"/>
      <c r="V3187" s="18">
        <f>6281803005499</f>
        <v>6281803005499</v>
      </c>
      <c r="W3187" t="s">
        <v>9484</v>
      </c>
    </row>
    <row r="3188" ht="15" customHeight="1" spans="1:25" x14ac:dyDescent="0.25">
      <c r="A3188" s="17" t="s">
        <v>9485</v>
      </c>
      <c r="B3188" s="17" t="s">
        <v>70</v>
      </c>
      <c r="C3188" s="17" t="s">
        <v>71</v>
      </c>
      <c r="D3188" t="s">
        <v>9482</v>
      </c>
      <c r="F3188" t="s">
        <v>9486</v>
      </c>
      <c r="K3188" s="18">
        <f>62818915499</f>
        <v>62818915499</v>
      </c>
      <c r="N3188" s="17" t="s">
        <v>74</v>
      </c>
      <c r="U3188" s="17"/>
      <c r="V3188" s="18">
        <f>62818915499</f>
        <v>62818915499</v>
      </c>
      <c r="W3188" t="s">
        <v>9487</v>
      </c>
      <c r="Y3188" s="17" t="s">
        <v>2930</v>
      </c>
    </row>
    <row r="3189" ht="15" customHeight="1" spans="1:22" x14ac:dyDescent="0.25">
      <c r="A3189" s="17" t="s">
        <v>9488</v>
      </c>
      <c r="B3189" s="17" t="s">
        <v>70</v>
      </c>
      <c r="C3189" s="17" t="s">
        <v>71</v>
      </c>
      <c r="D3189" t="s">
        <v>9489</v>
      </c>
      <c r="F3189" t="s">
        <v>1754</v>
      </c>
      <c r="K3189" s="18">
        <f>6285876039933</f>
        <v>6285876039933</v>
      </c>
      <c r="N3189" s="17" t="s">
        <v>81</v>
      </c>
      <c r="V3189" s="18">
        <f>6285876039933</f>
        <v>6285876039933</v>
      </c>
    </row>
    <row r="3190" ht="15" customHeight="1" spans="1:28" x14ac:dyDescent="0.25">
      <c r="A3190" s="17" t="s">
        <v>9490</v>
      </c>
      <c r="B3190" s="17" t="s">
        <v>70</v>
      </c>
      <c r="C3190" s="17" t="s">
        <v>71</v>
      </c>
      <c r="D3190" t="s">
        <v>9491</v>
      </c>
      <c r="F3190" t="s">
        <v>9492</v>
      </c>
      <c r="J3190" s="17" t="s">
        <v>9493</v>
      </c>
      <c r="K3190" s="18" t="s">
        <v>9494</v>
      </c>
      <c r="N3190" s="17" t="s">
        <v>74</v>
      </c>
      <c r="O3190" t="s">
        <v>261</v>
      </c>
      <c r="U3190" s="17"/>
      <c r="V3190" s="18" t="s">
        <v>9494</v>
      </c>
      <c r="W3190" t="s">
        <v>9495</v>
      </c>
      <c r="Y3190" t="s">
        <v>90</v>
      </c>
      <c r="AA3190" t="s">
        <v>118</v>
      </c>
      <c r="AB3190" t="s">
        <v>119</v>
      </c>
    </row>
    <row r="3191" ht="15" customHeight="1" spans="1:23" x14ac:dyDescent="0.25">
      <c r="A3191" s="17" t="s">
        <v>9496</v>
      </c>
      <c r="B3191" s="17" t="s">
        <v>70</v>
      </c>
      <c r="C3191" s="17" t="s">
        <v>71</v>
      </c>
      <c r="D3191" t="s">
        <v>9497</v>
      </c>
      <c r="F3191" t="s">
        <v>7592</v>
      </c>
      <c r="K3191" s="18">
        <f>62816922733</f>
        <v>62816922733</v>
      </c>
      <c r="N3191" s="17" t="s">
        <v>77</v>
      </c>
      <c r="U3191" s="17"/>
      <c r="V3191" s="18">
        <f>62816922733</f>
        <v>62816922733</v>
      </c>
      <c r="W3191" t="s">
        <v>9498</v>
      </c>
    </row>
    <row r="3192" ht="15" customHeight="1" spans="1:22" x14ac:dyDescent="0.25">
      <c r="A3192" s="17" t="s">
        <v>9499</v>
      </c>
      <c r="B3192" s="17" t="s">
        <v>70</v>
      </c>
      <c r="C3192" s="17" t="s">
        <v>71</v>
      </c>
      <c r="D3192" t="s">
        <v>9500</v>
      </c>
      <c r="F3192" t="s">
        <v>3853</v>
      </c>
      <c r="J3192" s="17" t="s">
        <v>9501</v>
      </c>
      <c r="K3192" s="18">
        <f>628126007297</f>
        <v>628126007297</v>
      </c>
      <c r="N3192" s="17" t="s">
        <v>81</v>
      </c>
      <c r="V3192" s="18">
        <f>628126007297</f>
        <v>628126007297</v>
      </c>
    </row>
    <row r="3193" ht="15" customHeight="1" spans="1:28" x14ac:dyDescent="0.25">
      <c r="A3193" s="17" t="s">
        <v>9502</v>
      </c>
      <c r="B3193" s="17" t="s">
        <v>70</v>
      </c>
      <c r="C3193" s="17" t="s">
        <v>71</v>
      </c>
      <c r="D3193" t="s">
        <v>9500</v>
      </c>
      <c r="F3193" t="s">
        <v>9503</v>
      </c>
      <c r="J3193" s="17" t="s">
        <v>9504</v>
      </c>
      <c r="K3193" s="18" t="s">
        <v>9505</v>
      </c>
      <c r="N3193" s="17" t="s">
        <v>77</v>
      </c>
      <c r="O3193" t="s">
        <v>199</v>
      </c>
      <c r="V3193" s="18" t="s">
        <v>9505</v>
      </c>
      <c r="Y3193" t="s">
        <v>115</v>
      </c>
      <c r="AA3193" t="s">
        <v>115</v>
      </c>
      <c r="AB3193" t="s">
        <v>119</v>
      </c>
    </row>
    <row r="3194" ht="15" customHeight="1" spans="1:28" x14ac:dyDescent="0.25">
      <c r="A3194" s="17" t="s">
        <v>9506</v>
      </c>
      <c r="B3194" s="17" t="s">
        <v>70</v>
      </c>
      <c r="C3194" s="17" t="s">
        <v>71</v>
      </c>
      <c r="D3194" t="s">
        <v>9507</v>
      </c>
      <c r="F3194" t="s">
        <v>9507</v>
      </c>
      <c r="J3194" t="s">
        <v>115</v>
      </c>
      <c r="K3194" s="18" t="s">
        <v>9508</v>
      </c>
      <c r="N3194" s="17" t="s">
        <v>81</v>
      </c>
      <c r="O3194" t="s">
        <v>117</v>
      </c>
      <c r="V3194" s="18" t="s">
        <v>9508</v>
      </c>
      <c r="Y3194" t="s">
        <v>90</v>
      </c>
      <c r="AA3194" t="s">
        <v>118</v>
      </c>
      <c r="AB3194" t="s">
        <v>119</v>
      </c>
    </row>
    <row r="3195" ht="15" customHeight="1" spans="1:27" x14ac:dyDescent="0.25">
      <c r="A3195" s="17" t="s">
        <v>9509</v>
      </c>
      <c r="B3195" s="17" t="s">
        <v>70</v>
      </c>
      <c r="C3195" s="17" t="s">
        <v>71</v>
      </c>
      <c r="D3195" t="s">
        <v>9507</v>
      </c>
      <c r="F3195" t="s">
        <v>9510</v>
      </c>
      <c r="K3195" s="18">
        <f>62811181127</f>
        <v>62811181127</v>
      </c>
      <c r="N3195" s="17" t="s">
        <v>77</v>
      </c>
      <c r="U3195" s="17"/>
      <c r="V3195" s="18">
        <f>62811181127</f>
        <v>62811181127</v>
      </c>
      <c r="W3195" t="s">
        <v>9511</v>
      </c>
      <c r="Y3195" s="17" t="s">
        <v>567</v>
      </c>
      <c r="AA3195" s="17">
        <v>16431</v>
      </c>
    </row>
    <row r="3196" ht="15" customHeight="1" spans="1:22" x14ac:dyDescent="0.25">
      <c r="A3196" s="17" t="s">
        <v>9512</v>
      </c>
      <c r="B3196" s="17" t="s">
        <v>70</v>
      </c>
      <c r="C3196" s="17" t="s">
        <v>71</v>
      </c>
      <c r="D3196" t="s">
        <v>9507</v>
      </c>
      <c r="F3196" t="s">
        <v>4209</v>
      </c>
      <c r="K3196" s="18">
        <f>628170023002</f>
        <v>628170023002</v>
      </c>
      <c r="N3196" s="17" t="s">
        <v>77</v>
      </c>
      <c r="V3196" s="18">
        <f>628170023002</f>
        <v>628170023002</v>
      </c>
    </row>
    <row r="3197" ht="15" customHeight="1" spans="1:22" x14ac:dyDescent="0.25">
      <c r="A3197" s="17" t="s">
        <v>9513</v>
      </c>
      <c r="B3197" s="17" t="s">
        <v>70</v>
      </c>
      <c r="C3197" s="17" t="s">
        <v>71</v>
      </c>
      <c r="D3197" t="s">
        <v>9507</v>
      </c>
      <c r="F3197" t="s">
        <v>1401</v>
      </c>
      <c r="K3197" s="18">
        <f>628111088353</f>
        <v>628111088353</v>
      </c>
      <c r="N3197" s="17" t="s">
        <v>81</v>
      </c>
      <c r="V3197" s="18">
        <f>628111088353</f>
        <v>628111088353</v>
      </c>
    </row>
    <row r="3198" ht="15" customHeight="1" spans="1:22" x14ac:dyDescent="0.25">
      <c r="A3198" s="17" t="s">
        <v>9514</v>
      </c>
      <c r="B3198" s="17" t="s">
        <v>70</v>
      </c>
      <c r="C3198" s="17" t="s">
        <v>71</v>
      </c>
      <c r="D3198" t="s">
        <v>9507</v>
      </c>
      <c r="F3198" t="s">
        <v>9515</v>
      </c>
      <c r="J3198" s="17" t="s">
        <v>9516</v>
      </c>
      <c r="K3198" s="18">
        <f>6282112309243</f>
        <v>6282112309243</v>
      </c>
      <c r="N3198" s="17" t="s">
        <v>81</v>
      </c>
      <c r="V3198" s="18">
        <f>6282112309243</f>
        <v>6282112309243</v>
      </c>
    </row>
    <row r="3199" ht="15" customHeight="1" spans="1:27" x14ac:dyDescent="0.25">
      <c r="A3199" s="17" t="s">
        <v>9517</v>
      </c>
      <c r="B3199" s="17" t="s">
        <v>70</v>
      </c>
      <c r="C3199" s="17" t="s">
        <v>71</v>
      </c>
      <c r="D3199" t="s">
        <v>9507</v>
      </c>
      <c r="F3199" t="s">
        <v>9518</v>
      </c>
      <c r="K3199" s="18">
        <f>62816863408</f>
        <v>62816863408</v>
      </c>
      <c r="N3199" s="17" t="s">
        <v>77</v>
      </c>
      <c r="U3199" s="17"/>
      <c r="V3199" s="18">
        <f>62816863408</f>
        <v>62816863408</v>
      </c>
      <c r="W3199" t="s">
        <v>9519</v>
      </c>
      <c r="Y3199" s="17" t="s">
        <v>90</v>
      </c>
      <c r="AA3199" s="17">
        <v>12730</v>
      </c>
    </row>
    <row r="3200" ht="15" customHeight="1" spans="1:22" x14ac:dyDescent="0.25">
      <c r="A3200" s="17" t="s">
        <v>9520</v>
      </c>
      <c r="B3200" s="17" t="s">
        <v>70</v>
      </c>
      <c r="C3200" s="17" t="s">
        <v>71</v>
      </c>
      <c r="D3200" t="s">
        <v>9507</v>
      </c>
      <c r="F3200" t="s">
        <v>9521</v>
      </c>
      <c r="K3200" s="18">
        <f>628161848970</f>
        <v>628161848970</v>
      </c>
      <c r="N3200" s="17" t="s">
        <v>77</v>
      </c>
      <c r="V3200" s="18">
        <f>628161848970</f>
        <v>628161848970</v>
      </c>
    </row>
    <row r="3201" ht="15" customHeight="1" spans="1:25" x14ac:dyDescent="0.25">
      <c r="A3201" s="17" t="s">
        <v>9522</v>
      </c>
      <c r="B3201" s="17" t="s">
        <v>70</v>
      </c>
      <c r="C3201" s="17" t="s">
        <v>71</v>
      </c>
      <c r="D3201" t="s">
        <v>9507</v>
      </c>
      <c r="F3201" t="s">
        <v>9523</v>
      </c>
      <c r="J3201" s="17" t="s">
        <v>9524</v>
      </c>
      <c r="K3201" s="18">
        <f>628111101239</f>
        <v>628111101239</v>
      </c>
      <c r="N3201" s="17" t="s">
        <v>74</v>
      </c>
      <c r="U3201" s="17"/>
      <c r="V3201" s="18">
        <f>628111101239</f>
        <v>628111101239</v>
      </c>
      <c r="W3201" t="s">
        <v>9525</v>
      </c>
      <c r="Y3201" s="17" t="s">
        <v>97</v>
      </c>
    </row>
    <row r="3202" ht="15" customHeight="1" spans="1:22" x14ac:dyDescent="0.25">
      <c r="A3202" s="17" t="s">
        <v>9526</v>
      </c>
      <c r="B3202" s="17" t="s">
        <v>70</v>
      </c>
      <c r="C3202" s="17" t="s">
        <v>71</v>
      </c>
      <c r="D3202" t="s">
        <v>9507</v>
      </c>
      <c r="F3202" t="s">
        <v>6415</v>
      </c>
      <c r="K3202" s="18">
        <f>628121061149</f>
        <v>628121061149</v>
      </c>
      <c r="N3202" s="17" t="s">
        <v>77</v>
      </c>
      <c r="V3202" s="18">
        <f>628121061149</f>
        <v>628121061149</v>
      </c>
    </row>
    <row r="3203" ht="15" customHeight="1" spans="1:23" x14ac:dyDescent="0.25">
      <c r="A3203" s="17" t="s">
        <v>9527</v>
      </c>
      <c r="B3203" s="17" t="s">
        <v>70</v>
      </c>
      <c r="C3203" s="17" t="s">
        <v>71</v>
      </c>
      <c r="D3203" t="s">
        <v>9507</v>
      </c>
      <c r="F3203" t="s">
        <v>4194</v>
      </c>
      <c r="K3203" s="18">
        <f>6281210789557</f>
        <v>6281210789557</v>
      </c>
      <c r="N3203" s="17" t="s">
        <v>81</v>
      </c>
      <c r="U3203" s="17"/>
      <c r="V3203" s="18">
        <f>6281210789557</f>
        <v>6281210789557</v>
      </c>
      <c r="W3203" t="s">
        <v>9528</v>
      </c>
    </row>
    <row r="3204" ht="15" customHeight="1" spans="1:22" x14ac:dyDescent="0.25">
      <c r="A3204" s="17" t="s">
        <v>9529</v>
      </c>
      <c r="B3204" s="17" t="s">
        <v>70</v>
      </c>
      <c r="C3204" s="17" t="s">
        <v>71</v>
      </c>
      <c r="D3204" t="s">
        <v>9507</v>
      </c>
      <c r="F3204" t="s">
        <v>9530</v>
      </c>
      <c r="K3204" s="18">
        <f>628111492697</f>
        <v>628111492697</v>
      </c>
      <c r="N3204" s="17" t="s">
        <v>77</v>
      </c>
      <c r="V3204" s="18">
        <f>628111492697</f>
        <v>628111492697</v>
      </c>
    </row>
    <row r="3205" ht="15" customHeight="1" spans="1:28" x14ac:dyDescent="0.25">
      <c r="A3205" s="17" t="s">
        <v>9531</v>
      </c>
      <c r="B3205" s="17" t="s">
        <v>70</v>
      </c>
      <c r="C3205" s="17" t="s">
        <v>71</v>
      </c>
      <c r="D3205" t="s">
        <v>9507</v>
      </c>
      <c r="F3205" t="s">
        <v>2905</v>
      </c>
      <c r="J3205" t="s">
        <v>115</v>
      </c>
      <c r="K3205" s="18" t="s">
        <v>9532</v>
      </c>
      <c r="N3205" s="17" t="s">
        <v>77</v>
      </c>
      <c r="O3205" t="s">
        <v>489</v>
      </c>
      <c r="V3205" s="18" t="s">
        <v>9532</v>
      </c>
      <c r="Y3205" t="s">
        <v>90</v>
      </c>
      <c r="AA3205" t="s">
        <v>118</v>
      </c>
      <c r="AB3205" t="s">
        <v>119</v>
      </c>
    </row>
    <row r="3206" ht="15" customHeight="1" spans="1:22" x14ac:dyDescent="0.25">
      <c r="A3206" s="17" t="s">
        <v>9533</v>
      </c>
      <c r="B3206" s="17" t="s">
        <v>70</v>
      </c>
      <c r="C3206" s="17" t="s">
        <v>71</v>
      </c>
      <c r="D3206" t="s">
        <v>9534</v>
      </c>
      <c r="F3206" t="s">
        <v>9534</v>
      </c>
      <c r="K3206" s="18">
        <f>628161692666</f>
        <v>628161692666</v>
      </c>
      <c r="N3206" s="17" t="s">
        <v>77</v>
      </c>
      <c r="V3206" s="18">
        <f>628161692666</f>
        <v>628161692666</v>
      </c>
    </row>
    <row r="3207" ht="15" customHeight="1" spans="1:22" x14ac:dyDescent="0.25">
      <c r="A3207" s="17" t="s">
        <v>9535</v>
      </c>
      <c r="B3207" s="17" t="s">
        <v>70</v>
      </c>
      <c r="C3207" s="17" t="s">
        <v>71</v>
      </c>
      <c r="D3207" t="s">
        <v>9536</v>
      </c>
      <c r="F3207" t="s">
        <v>9537</v>
      </c>
      <c r="K3207" s="18">
        <f>62811812131</f>
        <v>62811812131</v>
      </c>
      <c r="N3207" s="17" t="s">
        <v>81</v>
      </c>
      <c r="V3207" s="18">
        <f>62811812131</f>
        <v>62811812131</v>
      </c>
    </row>
    <row r="3208" ht="15" customHeight="1" spans="1:25" x14ac:dyDescent="0.25">
      <c r="A3208" s="17" t="s">
        <v>9538</v>
      </c>
      <c r="B3208" s="17" t="s">
        <v>70</v>
      </c>
      <c r="C3208" s="17" t="s">
        <v>71</v>
      </c>
      <c r="D3208" t="s">
        <v>9536</v>
      </c>
      <c r="F3208" t="s">
        <v>2258</v>
      </c>
      <c r="J3208" s="17" t="s">
        <v>9539</v>
      </c>
      <c r="K3208" s="18">
        <f>628119937781</f>
        <v>628119937781</v>
      </c>
      <c r="N3208" s="17" t="s">
        <v>77</v>
      </c>
      <c r="U3208" s="17"/>
      <c r="V3208" s="18">
        <f>628119937781</f>
        <v>628119937781</v>
      </c>
      <c r="W3208" t="s">
        <v>9540</v>
      </c>
      <c r="Y3208" s="17" t="s">
        <v>596</v>
      </c>
    </row>
    <row r="3209" ht="15" customHeight="1" spans="1:22" x14ac:dyDescent="0.25">
      <c r="A3209" s="17" t="s">
        <v>9541</v>
      </c>
      <c r="B3209" s="17" t="s">
        <v>70</v>
      </c>
      <c r="C3209" s="17" t="s">
        <v>71</v>
      </c>
      <c r="D3209" t="s">
        <v>9542</v>
      </c>
      <c r="F3209" t="s">
        <v>9542</v>
      </c>
      <c r="K3209" s="18">
        <f>6281310059599</f>
        <v>6281310059599</v>
      </c>
      <c r="N3209" s="17" t="s">
        <v>81</v>
      </c>
      <c r="V3209" s="18">
        <f>6281310059599</f>
        <v>6281310059599</v>
      </c>
    </row>
    <row r="3210" ht="15" customHeight="1" spans="1:22" x14ac:dyDescent="0.25">
      <c r="A3210" s="17" t="s">
        <v>9543</v>
      </c>
      <c r="B3210" s="17" t="s">
        <v>70</v>
      </c>
      <c r="C3210" s="17" t="s">
        <v>71</v>
      </c>
      <c r="D3210" t="s">
        <v>9542</v>
      </c>
      <c r="F3210" t="s">
        <v>9544</v>
      </c>
      <c r="K3210" s="18">
        <f>62818867699</f>
        <v>62818867699</v>
      </c>
      <c r="N3210" s="17" t="s">
        <v>81</v>
      </c>
      <c r="V3210" s="18">
        <f>62818867699</f>
        <v>62818867699</v>
      </c>
    </row>
    <row r="3211" ht="15" customHeight="1" spans="1:28" x14ac:dyDescent="0.25">
      <c r="A3211" s="17" t="s">
        <v>9545</v>
      </c>
      <c r="B3211" s="17" t="s">
        <v>70</v>
      </c>
      <c r="C3211" s="17" t="s">
        <v>71</v>
      </c>
      <c r="D3211" t="s">
        <v>9542</v>
      </c>
      <c r="F3211" t="s">
        <v>2736</v>
      </c>
      <c r="J3211" t="s">
        <v>115</v>
      </c>
      <c r="K3211" s="18" t="s">
        <v>9546</v>
      </c>
      <c r="N3211" s="17" t="s">
        <v>81</v>
      </c>
      <c r="O3211" t="s">
        <v>117</v>
      </c>
      <c r="U3211" s="17"/>
      <c r="V3211" s="18" t="s">
        <v>9546</v>
      </c>
      <c r="W3211" t="s">
        <v>9547</v>
      </c>
      <c r="Y3211" t="s">
        <v>90</v>
      </c>
      <c r="AA3211" t="s">
        <v>118</v>
      </c>
      <c r="AB3211" t="s">
        <v>119</v>
      </c>
    </row>
    <row r="3212" ht="15" customHeight="1" spans="1:23" x14ac:dyDescent="0.25">
      <c r="A3212" s="17" t="s">
        <v>9548</v>
      </c>
      <c r="B3212" s="17" t="s">
        <v>70</v>
      </c>
      <c r="C3212" s="17" t="s">
        <v>71</v>
      </c>
      <c r="D3212" t="s">
        <v>9542</v>
      </c>
      <c r="F3212" t="s">
        <v>3176</v>
      </c>
      <c r="K3212" s="18">
        <f>628170019909</f>
        <v>628170019909</v>
      </c>
      <c r="N3212" s="17" t="s">
        <v>81</v>
      </c>
      <c r="U3212" s="17"/>
      <c r="V3212" s="18">
        <f>628170019909</f>
        <v>628170019909</v>
      </c>
      <c r="W3212" t="s">
        <v>9549</v>
      </c>
    </row>
    <row r="3213" ht="15" customHeight="1" spans="1:22" x14ac:dyDescent="0.25">
      <c r="A3213" s="17" t="s">
        <v>9550</v>
      </c>
      <c r="B3213" s="17" t="s">
        <v>70</v>
      </c>
      <c r="C3213" s="17" t="s">
        <v>71</v>
      </c>
      <c r="D3213" t="s">
        <v>9542</v>
      </c>
      <c r="F3213" t="s">
        <v>9551</v>
      </c>
      <c r="K3213" s="18">
        <f>628119888978</f>
        <v>628119888978</v>
      </c>
      <c r="N3213" s="17" t="s">
        <v>77</v>
      </c>
      <c r="V3213" s="18">
        <f>628119888978</f>
        <v>628119888978</v>
      </c>
    </row>
    <row r="3214" ht="15" customHeight="1" spans="1:25" x14ac:dyDescent="0.25">
      <c r="A3214" s="17" t="s">
        <v>9552</v>
      </c>
      <c r="B3214" s="17" t="s">
        <v>70</v>
      </c>
      <c r="C3214" s="17" t="s">
        <v>71</v>
      </c>
      <c r="D3214" t="s">
        <v>9542</v>
      </c>
      <c r="F3214" t="s">
        <v>9553</v>
      </c>
      <c r="K3214" s="18">
        <f>6281805570710</f>
        <v>6281805570710</v>
      </c>
      <c r="N3214" s="17" t="s">
        <v>77</v>
      </c>
      <c r="U3214" s="17"/>
      <c r="V3214" s="18">
        <f>6281805570710</f>
        <v>6281805570710</v>
      </c>
      <c r="W3214" t="s">
        <v>9554</v>
      </c>
      <c r="Y3214" s="17" t="s">
        <v>180</v>
      </c>
    </row>
    <row r="3215" ht="15" customHeight="1" spans="1:22" x14ac:dyDescent="0.25">
      <c r="A3215" s="17" t="s">
        <v>9555</v>
      </c>
      <c r="B3215" s="17" t="s">
        <v>70</v>
      </c>
      <c r="C3215" s="17" t="s">
        <v>71</v>
      </c>
      <c r="D3215" t="s">
        <v>9542</v>
      </c>
      <c r="F3215" t="s">
        <v>9556</v>
      </c>
      <c r="K3215" s="18">
        <f>628161911391</f>
        <v>628161911391</v>
      </c>
      <c r="N3215" s="17" t="s">
        <v>81</v>
      </c>
      <c r="V3215" s="18">
        <f>628161911391</f>
        <v>628161911391</v>
      </c>
    </row>
    <row r="3216" ht="15" customHeight="1" spans="1:23" x14ac:dyDescent="0.25">
      <c r="A3216" s="17" t="s">
        <v>9557</v>
      </c>
      <c r="B3216" s="17" t="s">
        <v>70</v>
      </c>
      <c r="C3216" s="17" t="s">
        <v>71</v>
      </c>
      <c r="D3216" t="s">
        <v>9558</v>
      </c>
      <c r="F3216" t="s">
        <v>9559</v>
      </c>
      <c r="K3216" s="18">
        <f>6281218673444</f>
        <v>6281218673444</v>
      </c>
      <c r="N3216" s="17" t="s">
        <v>77</v>
      </c>
      <c r="U3216" s="17"/>
      <c r="V3216" s="18">
        <f>6281218673444</f>
        <v>6281218673444</v>
      </c>
      <c r="W3216" t="s">
        <v>9560</v>
      </c>
    </row>
    <row r="3217" ht="15" customHeight="1" spans="1:23" x14ac:dyDescent="0.25">
      <c r="A3217" s="17" t="s">
        <v>9561</v>
      </c>
      <c r="B3217" s="17" t="s">
        <v>70</v>
      </c>
      <c r="C3217" s="17" t="s">
        <v>71</v>
      </c>
      <c r="D3217" t="s">
        <v>9562</v>
      </c>
      <c r="F3217" t="s">
        <v>2978</v>
      </c>
      <c r="K3217" s="18">
        <f>628128667857</f>
        <v>628128667857</v>
      </c>
      <c r="N3217" s="17" t="s">
        <v>77</v>
      </c>
      <c r="U3217" s="17"/>
      <c r="V3217" s="18">
        <f>628128667857</f>
        <v>628128667857</v>
      </c>
      <c r="W3217" t="s">
        <v>9563</v>
      </c>
    </row>
    <row r="3218" ht="15" customHeight="1" spans="1:22" x14ac:dyDescent="0.25">
      <c r="A3218" s="17" t="s">
        <v>9564</v>
      </c>
      <c r="B3218" s="17" t="s">
        <v>70</v>
      </c>
      <c r="C3218" s="17" t="s">
        <v>71</v>
      </c>
      <c r="D3218" t="s">
        <v>9565</v>
      </c>
      <c r="F3218" t="s">
        <v>9565</v>
      </c>
      <c r="K3218" s="18">
        <f>6284111903329</f>
        <v>6284111903329</v>
      </c>
      <c r="N3218" s="17" t="s">
        <v>77</v>
      </c>
      <c r="V3218" s="18">
        <f>6284111903329</f>
        <v>6284111903329</v>
      </c>
    </row>
    <row r="3219" ht="15" customHeight="1" spans="1:28" x14ac:dyDescent="0.25">
      <c r="A3219" s="17" t="s">
        <v>9566</v>
      </c>
      <c r="B3219" s="17" t="s">
        <v>70</v>
      </c>
      <c r="C3219" s="17" t="s">
        <v>71</v>
      </c>
      <c r="D3219" t="s">
        <v>9567</v>
      </c>
      <c r="F3219" t="s">
        <v>9568</v>
      </c>
      <c r="J3219" s="17" t="s">
        <v>9569</v>
      </c>
      <c r="K3219" s="18" t="s">
        <v>9570</v>
      </c>
      <c r="N3219" s="17" t="s">
        <v>77</v>
      </c>
      <c r="O3219" t="s">
        <v>489</v>
      </c>
      <c r="U3219" s="17"/>
      <c r="V3219" s="18" t="s">
        <v>9570</v>
      </c>
      <c r="W3219" t="s">
        <v>9571</v>
      </c>
      <c r="Y3219" s="17" t="s">
        <v>190</v>
      </c>
      <c r="AA3219" s="17" t="s">
        <v>118</v>
      </c>
      <c r="AB3219" t="s">
        <v>119</v>
      </c>
    </row>
    <row r="3220" ht="15" customHeight="1" spans="1:22" x14ac:dyDescent="0.25">
      <c r="A3220" s="17" t="s">
        <v>9572</v>
      </c>
      <c r="B3220" s="17" t="s">
        <v>70</v>
      </c>
      <c r="C3220" s="17" t="s">
        <v>71</v>
      </c>
      <c r="D3220" t="s">
        <v>9573</v>
      </c>
      <c r="F3220" t="s">
        <v>2563</v>
      </c>
      <c r="K3220" s="18">
        <v>85156760215</v>
      </c>
      <c r="N3220" s="17" t="s">
        <v>77</v>
      </c>
      <c r="V3220" s="18">
        <v>85156760215</v>
      </c>
    </row>
    <row r="3221" ht="15" customHeight="1" spans="1:22" x14ac:dyDescent="0.25">
      <c r="A3221" s="17" t="s">
        <v>9574</v>
      </c>
      <c r="B3221" s="17" t="s">
        <v>70</v>
      </c>
      <c r="C3221" s="17" t="s">
        <v>71</v>
      </c>
      <c r="D3221" t="s">
        <v>9575</v>
      </c>
      <c r="F3221" t="s">
        <v>9575</v>
      </c>
      <c r="K3221" s="18">
        <f>6281295195199</f>
        <v>6281295195199</v>
      </c>
      <c r="N3221" s="17" t="s">
        <v>77</v>
      </c>
      <c r="V3221" s="18">
        <f>6281295195199</f>
        <v>6281295195199</v>
      </c>
    </row>
    <row r="3222" ht="15" customHeight="1" spans="1:28" x14ac:dyDescent="0.25">
      <c r="A3222" s="17" t="s">
        <v>9576</v>
      </c>
      <c r="B3222" s="17" t="s">
        <v>70</v>
      </c>
      <c r="C3222" s="17" t="s">
        <v>71</v>
      </c>
      <c r="D3222" t="s">
        <v>9577</v>
      </c>
      <c r="F3222" t="s">
        <v>9578</v>
      </c>
      <c r="J3222" t="s">
        <v>115</v>
      </c>
      <c r="K3222" s="18" t="s">
        <v>9579</v>
      </c>
      <c r="N3222" s="17" t="s">
        <v>77</v>
      </c>
      <c r="O3222" t="s">
        <v>199</v>
      </c>
      <c r="V3222" s="18" t="s">
        <v>9579</v>
      </c>
      <c r="Y3222" t="s">
        <v>190</v>
      </c>
      <c r="AA3222" t="s">
        <v>118</v>
      </c>
      <c r="AB3222" t="s">
        <v>119</v>
      </c>
    </row>
    <row r="3223" ht="15" customHeight="1" spans="1:28" x14ac:dyDescent="0.25">
      <c r="A3223" s="17" t="s">
        <v>9580</v>
      </c>
      <c r="B3223" s="17" t="s">
        <v>70</v>
      </c>
      <c r="C3223" s="17" t="s">
        <v>71</v>
      </c>
      <c r="D3223" t="s">
        <v>9218</v>
      </c>
      <c r="F3223" t="s">
        <v>9581</v>
      </c>
      <c r="J3223" t="s">
        <v>115</v>
      </c>
      <c r="K3223" s="18" t="s">
        <v>9582</v>
      </c>
      <c r="N3223" s="17" t="s">
        <v>81</v>
      </c>
      <c r="O3223" t="s">
        <v>117</v>
      </c>
      <c r="U3223" s="17"/>
      <c r="V3223" s="18" t="s">
        <v>9582</v>
      </c>
      <c r="W3223" t="s">
        <v>9583</v>
      </c>
      <c r="Y3223" t="s">
        <v>90</v>
      </c>
      <c r="AA3223" t="s">
        <v>118</v>
      </c>
      <c r="AB3223" t="s">
        <v>119</v>
      </c>
    </row>
    <row r="3224" ht="15" customHeight="1" spans="1:22" x14ac:dyDescent="0.25">
      <c r="A3224" s="17" t="s">
        <v>9584</v>
      </c>
      <c r="B3224" s="17" t="s">
        <v>70</v>
      </c>
      <c r="C3224" s="17" t="s">
        <v>71</v>
      </c>
      <c r="D3224" t="s">
        <v>9218</v>
      </c>
      <c r="F3224" t="s">
        <v>9218</v>
      </c>
      <c r="K3224" s="18">
        <f>628812122288</f>
        <v>628812122288</v>
      </c>
      <c r="N3224" s="17" t="s">
        <v>81</v>
      </c>
      <c r="V3224" s="18">
        <f>628812122288</f>
        <v>628812122288</v>
      </c>
    </row>
    <row r="3225" ht="15" customHeight="1" spans="1:27" x14ac:dyDescent="0.25">
      <c r="A3225" s="17" t="s">
        <v>9585</v>
      </c>
      <c r="B3225" s="17" t="s">
        <v>70</v>
      </c>
      <c r="C3225" s="17" t="s">
        <v>71</v>
      </c>
      <c r="D3225" t="s">
        <v>9218</v>
      </c>
      <c r="F3225" t="s">
        <v>9586</v>
      </c>
      <c r="J3225" s="17" t="s">
        <v>9587</v>
      </c>
      <c r="K3225" s="18">
        <f>6282199066688</f>
        <v>6282199066688</v>
      </c>
      <c r="N3225" s="17" t="s">
        <v>77</v>
      </c>
      <c r="U3225" s="17"/>
      <c r="V3225" s="18">
        <f>6282199066688</f>
        <v>6282199066688</v>
      </c>
      <c r="W3225" t="s">
        <v>9588</v>
      </c>
      <c r="Y3225" s="17" t="s">
        <v>96</v>
      </c>
      <c r="AA3225" s="17">
        <v>12210</v>
      </c>
    </row>
    <row r="3226" ht="15" customHeight="1" spans="1:22" x14ac:dyDescent="0.25">
      <c r="A3226" s="17" t="s">
        <v>9589</v>
      </c>
      <c r="B3226" s="17" t="s">
        <v>70</v>
      </c>
      <c r="C3226" s="17" t="s">
        <v>71</v>
      </c>
      <c r="D3226" t="s">
        <v>9218</v>
      </c>
      <c r="F3226" t="s">
        <v>9590</v>
      </c>
      <c r="K3226" s="18">
        <f>62818774653</f>
        <v>62818774653</v>
      </c>
      <c r="N3226" s="17" t="s">
        <v>77</v>
      </c>
      <c r="V3226" s="18">
        <f>62818774653</f>
        <v>62818774653</v>
      </c>
    </row>
    <row r="3227" ht="15" customHeight="1" spans="1:22" x14ac:dyDescent="0.25">
      <c r="A3227" s="17" t="s">
        <v>9591</v>
      </c>
      <c r="B3227" s="17" t="s">
        <v>70</v>
      </c>
      <c r="C3227" s="17" t="s">
        <v>71</v>
      </c>
      <c r="D3227" t="s">
        <v>9218</v>
      </c>
      <c r="F3227" t="s">
        <v>9592</v>
      </c>
      <c r="K3227" s="18">
        <f>62217250547</f>
        <v>62217250547</v>
      </c>
      <c r="N3227" s="17" t="s">
        <v>77</v>
      </c>
      <c r="V3227" s="18">
        <f>62217250547</f>
        <v>62217250547</v>
      </c>
    </row>
    <row r="3228" ht="15" customHeight="1" spans="1:22" x14ac:dyDescent="0.25">
      <c r="A3228" s="17" t="s">
        <v>9593</v>
      </c>
      <c r="B3228" s="17" t="s">
        <v>70</v>
      </c>
      <c r="C3228" s="17" t="s">
        <v>71</v>
      </c>
      <c r="D3228" t="s">
        <v>9218</v>
      </c>
      <c r="F3228" t="s">
        <v>9592</v>
      </c>
      <c r="K3228" s="18">
        <f>628111662121</f>
        <v>628111662121</v>
      </c>
      <c r="N3228" s="17" t="s">
        <v>77</v>
      </c>
      <c r="V3228" s="18">
        <f>628111662121</f>
        <v>628111662121</v>
      </c>
    </row>
    <row r="3229" ht="15" customHeight="1" spans="1:22" x14ac:dyDescent="0.25">
      <c r="A3229" s="17" t="s">
        <v>9594</v>
      </c>
      <c r="B3229" s="17" t="s">
        <v>70</v>
      </c>
      <c r="C3229" s="17" t="s">
        <v>71</v>
      </c>
      <c r="D3229" t="s">
        <v>9218</v>
      </c>
      <c r="F3229" t="s">
        <v>9595</v>
      </c>
      <c r="K3229" s="18">
        <f>6281315013777</f>
        <v>6281315013777</v>
      </c>
      <c r="N3229" s="17" t="s">
        <v>77</v>
      </c>
      <c r="V3229" s="18">
        <f>6281315013777</f>
        <v>6281315013777</v>
      </c>
    </row>
    <row r="3230" ht="15" customHeight="1" spans="1:22" x14ac:dyDescent="0.25">
      <c r="A3230" s="17" t="s">
        <v>9596</v>
      </c>
      <c r="B3230" s="17" t="s">
        <v>70</v>
      </c>
      <c r="C3230" s="17" t="s">
        <v>71</v>
      </c>
      <c r="D3230" t="s">
        <v>9218</v>
      </c>
      <c r="F3230" t="s">
        <v>9597</v>
      </c>
      <c r="J3230" s="22" t="s">
        <v>9598</v>
      </c>
      <c r="K3230" s="18">
        <f>62817889452</f>
        <v>62817889452</v>
      </c>
      <c r="N3230" s="17" t="s">
        <v>77</v>
      </c>
      <c r="V3230" s="18">
        <f>62817889452</f>
        <v>62817889452</v>
      </c>
    </row>
    <row r="3231" ht="15" customHeight="1" spans="1:28" x14ac:dyDescent="0.25">
      <c r="A3231" s="17" t="s">
        <v>9599</v>
      </c>
      <c r="B3231" s="17" t="s">
        <v>70</v>
      </c>
      <c r="C3231" s="17" t="s">
        <v>71</v>
      </c>
      <c r="D3231" t="s">
        <v>9218</v>
      </c>
      <c r="F3231" t="s">
        <v>9600</v>
      </c>
      <c r="J3231" s="17" t="s">
        <v>9601</v>
      </c>
      <c r="K3231" s="18" t="s">
        <v>9602</v>
      </c>
      <c r="N3231" s="17" t="s">
        <v>77</v>
      </c>
      <c r="O3231" t="s">
        <v>199</v>
      </c>
      <c r="V3231" s="18" t="s">
        <v>9602</v>
      </c>
      <c r="Y3231" t="s">
        <v>90</v>
      </c>
      <c r="AA3231" t="s">
        <v>118</v>
      </c>
      <c r="AB3231" t="s">
        <v>119</v>
      </c>
    </row>
    <row r="3232" ht="15" customHeight="1" spans="1:25" x14ac:dyDescent="0.25">
      <c r="A3232" s="17" t="s">
        <v>9603</v>
      </c>
      <c r="B3232" s="17" t="s">
        <v>70</v>
      </c>
      <c r="C3232" s="17" t="s">
        <v>71</v>
      </c>
      <c r="D3232" t="s">
        <v>9218</v>
      </c>
      <c r="F3232" t="s">
        <v>864</v>
      </c>
      <c r="K3232" s="18">
        <f>628127603707</f>
        <v>628127603707</v>
      </c>
      <c r="N3232" s="17" t="s">
        <v>81</v>
      </c>
      <c r="U3232" s="17"/>
      <c r="V3232" s="18">
        <f>628127603707</f>
        <v>628127603707</v>
      </c>
      <c r="W3232" t="s">
        <v>9604</v>
      </c>
      <c r="Y3232" s="17" t="s">
        <v>6840</v>
      </c>
    </row>
    <row r="3233" ht="15" customHeight="1" spans="1:22" x14ac:dyDescent="0.25">
      <c r="A3233" s="17" t="s">
        <v>9605</v>
      </c>
      <c r="B3233" s="17" t="s">
        <v>70</v>
      </c>
      <c r="C3233" s="17" t="s">
        <v>71</v>
      </c>
      <c r="D3233" t="s">
        <v>9218</v>
      </c>
      <c r="F3233" t="s">
        <v>9606</v>
      </c>
      <c r="K3233" s="18">
        <f>6281297789297</f>
        <v>6281297789297</v>
      </c>
      <c r="N3233" s="17" t="s">
        <v>77</v>
      </c>
      <c r="V3233" s="18">
        <f>6281297789297</f>
        <v>6281297789297</v>
      </c>
    </row>
    <row r="3234" ht="15" customHeight="1" spans="1:23" x14ac:dyDescent="0.25">
      <c r="A3234" s="17" t="s">
        <v>9607</v>
      </c>
      <c r="B3234" s="17" t="s">
        <v>70</v>
      </c>
      <c r="C3234" s="17" t="s">
        <v>71</v>
      </c>
      <c r="D3234" t="s">
        <v>9218</v>
      </c>
      <c r="F3234" t="s">
        <v>4107</v>
      </c>
      <c r="K3234" s="18">
        <f>62811800788</f>
        <v>62811800788</v>
      </c>
      <c r="N3234" s="17" t="s">
        <v>77</v>
      </c>
      <c r="U3234" s="17"/>
      <c r="V3234" s="18">
        <f>62811800788</f>
        <v>62811800788</v>
      </c>
      <c r="W3234" t="s">
        <v>9608</v>
      </c>
    </row>
    <row r="3235" ht="15" customHeight="1" spans="1:23" x14ac:dyDescent="0.25">
      <c r="A3235" s="17" t="s">
        <v>9609</v>
      </c>
      <c r="B3235" s="17" t="s">
        <v>70</v>
      </c>
      <c r="C3235" s="17" t="s">
        <v>71</v>
      </c>
      <c r="D3235" t="s">
        <v>9218</v>
      </c>
      <c r="F3235" t="s">
        <v>9610</v>
      </c>
      <c r="K3235" s="18">
        <f>628161876556</f>
        <v>628161876556</v>
      </c>
      <c r="N3235" s="17" t="s">
        <v>74</v>
      </c>
      <c r="U3235" s="17"/>
      <c r="V3235" s="18">
        <f>628161876556</f>
        <v>628161876556</v>
      </c>
      <c r="W3235" t="s">
        <v>9611</v>
      </c>
    </row>
    <row r="3236" ht="15" customHeight="1" spans="1:22" x14ac:dyDescent="0.25">
      <c r="A3236" s="17" t="s">
        <v>9612</v>
      </c>
      <c r="B3236" s="17" t="s">
        <v>70</v>
      </c>
      <c r="C3236" s="17" t="s">
        <v>71</v>
      </c>
      <c r="D3236" t="s">
        <v>9218</v>
      </c>
      <c r="F3236" t="s">
        <v>9613</v>
      </c>
      <c r="K3236" s="18">
        <f>62215764152</f>
        <v>62215764152</v>
      </c>
      <c r="N3236" s="17" t="s">
        <v>77</v>
      </c>
      <c r="V3236" s="18">
        <f>62215764152</f>
        <v>62215764152</v>
      </c>
    </row>
    <row r="3237" ht="15" customHeight="1" spans="1:23" x14ac:dyDescent="0.25">
      <c r="A3237" s="17" t="s">
        <v>9614</v>
      </c>
      <c r="B3237" s="17" t="s">
        <v>70</v>
      </c>
      <c r="C3237" s="17" t="s">
        <v>71</v>
      </c>
      <c r="D3237" t="s">
        <v>9218</v>
      </c>
      <c r="F3237" t="s">
        <v>672</v>
      </c>
      <c r="K3237" s="18">
        <f>628128233833</f>
        <v>628128233833</v>
      </c>
      <c r="N3237" s="17" t="s">
        <v>77</v>
      </c>
      <c r="U3237" s="17"/>
      <c r="V3237" s="18">
        <f>628128233833</f>
        <v>628128233833</v>
      </c>
      <c r="W3237" t="s">
        <v>9615</v>
      </c>
    </row>
    <row r="3238" ht="15" customHeight="1" spans="1:23" x14ac:dyDescent="0.25">
      <c r="A3238" s="17" t="s">
        <v>9616</v>
      </c>
      <c r="B3238" s="17" t="s">
        <v>70</v>
      </c>
      <c r="C3238" s="17" t="s">
        <v>71</v>
      </c>
      <c r="D3238" t="s">
        <v>9218</v>
      </c>
      <c r="F3238" t="s">
        <v>9617</v>
      </c>
      <c r="K3238" s="18">
        <f>6281289781771</f>
        <v>6281289781771</v>
      </c>
      <c r="N3238" s="17" t="s">
        <v>81</v>
      </c>
      <c r="U3238" s="17"/>
      <c r="V3238" s="18">
        <f>6281289781771</f>
        <v>6281289781771</v>
      </c>
      <c r="W3238" t="s">
        <v>9618</v>
      </c>
    </row>
    <row r="3239" ht="15" customHeight="1" spans="1:22" x14ac:dyDescent="0.25">
      <c r="A3239" s="17" t="s">
        <v>9619</v>
      </c>
      <c r="B3239" s="17" t="s">
        <v>70</v>
      </c>
      <c r="C3239" s="17" t="s">
        <v>71</v>
      </c>
      <c r="D3239" t="s">
        <v>9620</v>
      </c>
      <c r="F3239" t="s">
        <v>414</v>
      </c>
      <c r="K3239" s="18">
        <f>628111557770</f>
        <v>628111557770</v>
      </c>
      <c r="N3239" s="17" t="s">
        <v>74</v>
      </c>
      <c r="V3239" s="18">
        <f>628111557770</f>
        <v>628111557770</v>
      </c>
    </row>
    <row r="3240" ht="15" customHeight="1" spans="1:22" x14ac:dyDescent="0.25">
      <c r="A3240" s="17" t="s">
        <v>9621</v>
      </c>
      <c r="B3240" s="17" t="s">
        <v>70</v>
      </c>
      <c r="C3240" s="17" t="s">
        <v>71</v>
      </c>
      <c r="D3240" t="s">
        <v>9620</v>
      </c>
      <c r="F3240" t="s">
        <v>5783</v>
      </c>
      <c r="K3240" s="18">
        <f>6281210163232</f>
        <v>6281210163232</v>
      </c>
      <c r="N3240" s="17" t="s">
        <v>74</v>
      </c>
      <c r="V3240" s="18">
        <f>6281210163232</f>
        <v>6281210163232</v>
      </c>
    </row>
    <row r="3241" ht="15" customHeight="1" spans="1:23" x14ac:dyDescent="0.25">
      <c r="A3241" s="17" t="s">
        <v>9622</v>
      </c>
      <c r="B3241" s="17" t="s">
        <v>70</v>
      </c>
      <c r="C3241" s="17" t="s">
        <v>71</v>
      </c>
      <c r="D3241" t="s">
        <v>9623</v>
      </c>
      <c r="F3241" t="s">
        <v>9624</v>
      </c>
      <c r="K3241" s="18">
        <f>628124755555</f>
        <v>628124755555</v>
      </c>
      <c r="N3241" s="17" t="s">
        <v>77</v>
      </c>
      <c r="U3241" s="17"/>
      <c r="V3241" s="18">
        <f>628124755555</f>
        <v>628124755555</v>
      </c>
      <c r="W3241" t="s">
        <v>9625</v>
      </c>
    </row>
    <row r="3242" ht="15" customHeight="1" spans="1:28" x14ac:dyDescent="0.25">
      <c r="A3242" s="17" t="s">
        <v>9626</v>
      </c>
      <c r="B3242" s="17" t="s">
        <v>70</v>
      </c>
      <c r="C3242" s="17" t="s">
        <v>71</v>
      </c>
      <c r="D3242" t="s">
        <v>9627</v>
      </c>
      <c r="F3242" t="s">
        <v>9628</v>
      </c>
      <c r="J3242" s="17" t="s">
        <v>9629</v>
      </c>
      <c r="K3242" s="18" t="s">
        <v>9630</v>
      </c>
      <c r="N3242" s="17" t="s">
        <v>77</v>
      </c>
      <c r="O3242" t="s">
        <v>261</v>
      </c>
      <c r="U3242" s="17"/>
      <c r="V3242" s="18" t="s">
        <v>9630</v>
      </c>
      <c r="W3242" t="s">
        <v>9631</v>
      </c>
      <c r="Y3242" t="s">
        <v>4993</v>
      </c>
      <c r="AA3242" t="s">
        <v>115</v>
      </c>
      <c r="AB3242" t="s">
        <v>119</v>
      </c>
    </row>
    <row r="3243" ht="15" customHeight="1" spans="1:28" x14ac:dyDescent="0.25">
      <c r="A3243" s="17" t="s">
        <v>9632</v>
      </c>
      <c r="B3243" s="17" t="s">
        <v>70</v>
      </c>
      <c r="C3243" s="17" t="s">
        <v>71</v>
      </c>
      <c r="D3243" t="s">
        <v>9633</v>
      </c>
      <c r="F3243" t="s">
        <v>672</v>
      </c>
      <c r="J3243" s="17" t="s">
        <v>9634</v>
      </c>
      <c r="K3243" s="18" t="s">
        <v>9635</v>
      </c>
      <c r="N3243" s="17" t="s">
        <v>77</v>
      </c>
      <c r="O3243" t="s">
        <v>117</v>
      </c>
      <c r="V3243" s="18" t="s">
        <v>9635</v>
      </c>
      <c r="Y3243" s="17" t="s">
        <v>90</v>
      </c>
      <c r="AA3243" s="17" t="s">
        <v>118</v>
      </c>
      <c r="AB3243" t="s">
        <v>119</v>
      </c>
    </row>
    <row r="3244" ht="15" customHeight="1" spans="1:28" x14ac:dyDescent="0.25">
      <c r="A3244" s="17" t="s">
        <v>9636</v>
      </c>
      <c r="B3244" s="17" t="s">
        <v>70</v>
      </c>
      <c r="C3244" s="17" t="s">
        <v>71</v>
      </c>
      <c r="D3244" t="s">
        <v>9637</v>
      </c>
      <c r="F3244" t="s">
        <v>1205</v>
      </c>
      <c r="J3244" s="17" t="s">
        <v>9638</v>
      </c>
      <c r="K3244" s="18" t="s">
        <v>9639</v>
      </c>
      <c r="N3244" s="17" t="s">
        <v>77</v>
      </c>
      <c r="O3244" t="s">
        <v>145</v>
      </c>
      <c r="U3244" s="17"/>
      <c r="V3244" s="18" t="s">
        <v>9639</v>
      </c>
      <c r="W3244" t="s">
        <v>9640</v>
      </c>
      <c r="Y3244" t="s">
        <v>596</v>
      </c>
      <c r="AA3244" t="s">
        <v>597</v>
      </c>
      <c r="AB3244" t="s">
        <v>119</v>
      </c>
    </row>
    <row r="3245" ht="15" customHeight="1" spans="1:28" x14ac:dyDescent="0.25">
      <c r="A3245" s="17" t="s">
        <v>9641</v>
      </c>
      <c r="B3245" s="17" t="s">
        <v>70</v>
      </c>
      <c r="C3245" s="17" t="s">
        <v>71</v>
      </c>
      <c r="D3245" t="s">
        <v>9637</v>
      </c>
      <c r="F3245" t="s">
        <v>9642</v>
      </c>
      <c r="J3245" t="s">
        <v>9643</v>
      </c>
      <c r="K3245" s="18" t="s">
        <v>9644</v>
      </c>
      <c r="N3245" s="17" t="s">
        <v>74</v>
      </c>
      <c r="O3245" t="s">
        <v>145</v>
      </c>
      <c r="U3245" s="17"/>
      <c r="V3245" s="18" t="s">
        <v>9644</v>
      </c>
      <c r="W3245" t="s">
        <v>9645</v>
      </c>
      <c r="Y3245" s="17" t="s">
        <v>1084</v>
      </c>
      <c r="AA3245" t="s">
        <v>3146</v>
      </c>
      <c r="AB3245" t="s">
        <v>119</v>
      </c>
    </row>
    <row r="3246" ht="15" customHeight="1" spans="1:27" x14ac:dyDescent="0.25">
      <c r="A3246" s="17" t="s">
        <v>9646</v>
      </c>
      <c r="B3246" s="17" t="s">
        <v>70</v>
      </c>
      <c r="C3246" s="17" t="s">
        <v>71</v>
      </c>
      <c r="D3246" t="s">
        <v>9637</v>
      </c>
      <c r="F3246" t="s">
        <v>9647</v>
      </c>
      <c r="K3246" s="18">
        <f>6287711801745</f>
        <v>6287711801745</v>
      </c>
      <c r="N3246" s="17" t="s">
        <v>81</v>
      </c>
      <c r="U3246" s="17"/>
      <c r="V3246" s="18">
        <f>6287711801745</f>
        <v>6287711801745</v>
      </c>
      <c r="W3246" t="s">
        <v>9648</v>
      </c>
      <c r="Y3246" s="17" t="s">
        <v>1084</v>
      </c>
      <c r="AA3246" s="17">
        <v>14240</v>
      </c>
    </row>
    <row r="3247" ht="15" customHeight="1" spans="1:25" x14ac:dyDescent="0.25">
      <c r="A3247" s="17" t="s">
        <v>9649</v>
      </c>
      <c r="B3247" s="17" t="s">
        <v>70</v>
      </c>
      <c r="C3247" s="17" t="s">
        <v>71</v>
      </c>
      <c r="D3247" t="s">
        <v>9637</v>
      </c>
      <c r="F3247" t="s">
        <v>9650</v>
      </c>
      <c r="K3247" s="18">
        <f>6282289811111</f>
        <v>6282289811111</v>
      </c>
      <c r="N3247" s="17" t="s">
        <v>77</v>
      </c>
      <c r="U3247" s="17"/>
      <c r="V3247" s="18">
        <f>6282289811111</f>
        <v>6282289811111</v>
      </c>
      <c r="W3247" t="s">
        <v>9651</v>
      </c>
      <c r="Y3247" s="17" t="s">
        <v>96</v>
      </c>
    </row>
    <row r="3248" ht="15" customHeight="1" spans="1:22" x14ac:dyDescent="0.25">
      <c r="A3248" s="17" t="s">
        <v>9652</v>
      </c>
      <c r="B3248" s="17" t="s">
        <v>70</v>
      </c>
      <c r="C3248" s="17" t="s">
        <v>71</v>
      </c>
      <c r="D3248" t="s">
        <v>9653</v>
      </c>
      <c r="F3248" t="s">
        <v>4858</v>
      </c>
      <c r="K3248" s="18">
        <f>6281995555560</f>
        <v>6281995555560</v>
      </c>
      <c r="N3248" s="17" t="s">
        <v>81</v>
      </c>
      <c r="V3248" s="18">
        <f>6281995555560</f>
        <v>6281995555560</v>
      </c>
    </row>
    <row r="3249" ht="15" customHeight="1" spans="1:22" x14ac:dyDescent="0.25">
      <c r="A3249" s="17" t="s">
        <v>9654</v>
      </c>
      <c r="B3249" s="17" t="s">
        <v>70</v>
      </c>
      <c r="C3249" s="17" t="s">
        <v>71</v>
      </c>
      <c r="D3249" t="s">
        <v>9655</v>
      </c>
      <c r="F3249" t="s">
        <v>9656</v>
      </c>
      <c r="K3249" s="18">
        <f>1968966543</f>
        <v>1968966543</v>
      </c>
      <c r="N3249" s="17" t="s">
        <v>77</v>
      </c>
      <c r="V3249" s="18">
        <f>1968966543</f>
        <v>1968966543</v>
      </c>
    </row>
    <row r="3250" ht="15" customHeight="1" spans="1:28" x14ac:dyDescent="0.25">
      <c r="A3250" s="17" t="s">
        <v>9657</v>
      </c>
      <c r="B3250" s="17" t="s">
        <v>70</v>
      </c>
      <c r="C3250" s="17" t="s">
        <v>71</v>
      </c>
      <c r="D3250" t="s">
        <v>9658</v>
      </c>
      <c r="F3250" t="s">
        <v>9659</v>
      </c>
      <c r="J3250" t="s">
        <v>115</v>
      </c>
      <c r="K3250" s="18" t="s">
        <v>9660</v>
      </c>
      <c r="N3250" s="17" t="s">
        <v>77</v>
      </c>
      <c r="O3250" t="s">
        <v>199</v>
      </c>
      <c r="V3250" s="18" t="s">
        <v>9660</v>
      </c>
      <c r="Y3250" t="s">
        <v>190</v>
      </c>
      <c r="AA3250" t="s">
        <v>118</v>
      </c>
      <c r="AB3250" t="s">
        <v>119</v>
      </c>
    </row>
    <row r="3251" ht="15" customHeight="1" spans="1:28" x14ac:dyDescent="0.25">
      <c r="A3251" s="17" t="s">
        <v>9661</v>
      </c>
      <c r="B3251" s="17" t="s">
        <v>70</v>
      </c>
      <c r="C3251" s="17" t="s">
        <v>71</v>
      </c>
      <c r="D3251" t="s">
        <v>9658</v>
      </c>
      <c r="F3251" t="s">
        <v>9662</v>
      </c>
      <c r="J3251" t="s">
        <v>9663</v>
      </c>
      <c r="K3251" s="18" t="s">
        <v>9664</v>
      </c>
      <c r="N3251" s="17" t="s">
        <v>81</v>
      </c>
      <c r="O3251" t="s">
        <v>489</v>
      </c>
      <c r="U3251" s="17"/>
      <c r="V3251" s="18" t="s">
        <v>9664</v>
      </c>
      <c r="W3251" t="s">
        <v>9665</v>
      </c>
      <c r="Y3251" s="17" t="s">
        <v>500</v>
      </c>
      <c r="AA3251" t="s">
        <v>501</v>
      </c>
      <c r="AB3251" t="s">
        <v>119</v>
      </c>
    </row>
    <row r="3252" ht="15" customHeight="1" spans="1:22" x14ac:dyDescent="0.25">
      <c r="A3252" s="17" t="s">
        <v>9666</v>
      </c>
      <c r="B3252" s="17" t="s">
        <v>70</v>
      </c>
      <c r="C3252" s="17" t="s">
        <v>71</v>
      </c>
      <c r="D3252" t="s">
        <v>9667</v>
      </c>
      <c r="F3252" t="s">
        <v>337</v>
      </c>
      <c r="K3252" s="18">
        <f>6281286126701</f>
        <v>6281286126701</v>
      </c>
      <c r="N3252" s="17" t="s">
        <v>77</v>
      </c>
      <c r="V3252" s="18">
        <f>6281286126701</f>
        <v>6281286126701</v>
      </c>
    </row>
    <row r="3253" ht="15" customHeight="1" spans="1:22" x14ac:dyDescent="0.25">
      <c r="A3253" s="17" t="s">
        <v>9668</v>
      </c>
      <c r="B3253" s="17" t="s">
        <v>70</v>
      </c>
      <c r="C3253" s="17" t="s">
        <v>71</v>
      </c>
      <c r="D3253" t="s">
        <v>9669</v>
      </c>
      <c r="F3253" t="s">
        <v>640</v>
      </c>
      <c r="K3253" s="18">
        <f>628159928519</f>
        <v>628159928519</v>
      </c>
      <c r="N3253" s="17" t="s">
        <v>77</v>
      </c>
      <c r="V3253" s="18">
        <f>628159928519</f>
        <v>628159928519</v>
      </c>
    </row>
    <row r="3254" ht="15" customHeight="1" spans="1:22" x14ac:dyDescent="0.25">
      <c r="A3254" s="17" t="s">
        <v>9670</v>
      </c>
      <c r="B3254" s="17" t="s">
        <v>70</v>
      </c>
      <c r="C3254" s="17" t="s">
        <v>71</v>
      </c>
      <c r="D3254" t="s">
        <v>6671</v>
      </c>
      <c r="F3254" t="s">
        <v>6671</v>
      </c>
      <c r="K3254" s="18">
        <f>6281918222273</f>
        <v>6281918222273</v>
      </c>
      <c r="N3254" s="17" t="s">
        <v>77</v>
      </c>
      <c r="V3254" s="18">
        <f>6281918222273</f>
        <v>6281918222273</v>
      </c>
    </row>
    <row r="3255" ht="15" customHeight="1" spans="1:22" x14ac:dyDescent="0.25">
      <c r="A3255" s="17" t="s">
        <v>9671</v>
      </c>
      <c r="B3255" s="17" t="s">
        <v>70</v>
      </c>
      <c r="C3255" s="17" t="s">
        <v>71</v>
      </c>
      <c r="D3255" t="s">
        <v>6671</v>
      </c>
      <c r="F3255" t="s">
        <v>6671</v>
      </c>
      <c r="K3255" s="18">
        <v>81314135061</v>
      </c>
      <c r="N3255" s="17" t="s">
        <v>81</v>
      </c>
      <c r="V3255" s="18">
        <v>81314135061</v>
      </c>
    </row>
    <row r="3256" ht="15" customHeight="1" spans="1:22" x14ac:dyDescent="0.25">
      <c r="A3256" s="17" t="s">
        <v>9672</v>
      </c>
      <c r="B3256" s="17" t="s">
        <v>70</v>
      </c>
      <c r="C3256" s="17" t="s">
        <v>71</v>
      </c>
      <c r="D3256" t="s">
        <v>6671</v>
      </c>
      <c r="F3256" t="s">
        <v>6671</v>
      </c>
      <c r="K3256" s="18">
        <f>6287884776026</f>
        <v>6287884776026</v>
      </c>
      <c r="N3256" s="17" t="s">
        <v>77</v>
      </c>
      <c r="V3256" s="18">
        <f>6287884776026</f>
        <v>6287884776026</v>
      </c>
    </row>
    <row r="3257" ht="15" customHeight="1" spans="1:22" x14ac:dyDescent="0.25">
      <c r="A3257" s="17" t="s">
        <v>9673</v>
      </c>
      <c r="B3257" s="17" t="s">
        <v>70</v>
      </c>
      <c r="C3257" s="17" t="s">
        <v>71</v>
      </c>
      <c r="D3257" t="s">
        <v>6671</v>
      </c>
      <c r="F3257" t="s">
        <v>6671</v>
      </c>
      <c r="K3257" s="18">
        <f>628134113041</f>
        <v>628134113041</v>
      </c>
      <c r="N3257" s="17" t="s">
        <v>77</v>
      </c>
      <c r="V3257" s="18">
        <f>628134113041</f>
        <v>628134113041</v>
      </c>
    </row>
    <row r="3258" ht="15" customHeight="1" spans="1:22" x14ac:dyDescent="0.25">
      <c r="A3258" s="17" t="s">
        <v>9674</v>
      </c>
      <c r="B3258" s="17" t="s">
        <v>70</v>
      </c>
      <c r="C3258" s="17" t="s">
        <v>71</v>
      </c>
      <c r="D3258" t="s">
        <v>6671</v>
      </c>
      <c r="F3258" t="s">
        <v>6671</v>
      </c>
      <c r="K3258" s="18">
        <f>6281763366</f>
        <v>6281763366</v>
      </c>
      <c r="N3258" s="17" t="s">
        <v>81</v>
      </c>
      <c r="V3258" s="18">
        <f>6281763366</f>
        <v>6281763366</v>
      </c>
    </row>
    <row r="3259" ht="15" customHeight="1" spans="1:22" x14ac:dyDescent="0.25">
      <c r="A3259" s="17" t="s">
        <v>9675</v>
      </c>
      <c r="B3259" s="17" t="s">
        <v>70</v>
      </c>
      <c r="C3259" s="17" t="s">
        <v>71</v>
      </c>
      <c r="D3259" t="s">
        <v>6671</v>
      </c>
      <c r="F3259" t="s">
        <v>6671</v>
      </c>
      <c r="K3259" s="18">
        <f>628129615556</f>
        <v>628129615556</v>
      </c>
      <c r="N3259" s="17" t="s">
        <v>81</v>
      </c>
      <c r="V3259" s="18">
        <f>628129615556</f>
        <v>628129615556</v>
      </c>
    </row>
    <row r="3260" ht="15" customHeight="1" spans="1:28" x14ac:dyDescent="0.25">
      <c r="A3260" s="17" t="s">
        <v>9676</v>
      </c>
      <c r="B3260" s="17" t="s">
        <v>70</v>
      </c>
      <c r="C3260" s="17" t="s">
        <v>71</v>
      </c>
      <c r="D3260" t="s">
        <v>6671</v>
      </c>
      <c r="F3260" t="s">
        <v>6671</v>
      </c>
      <c r="J3260" t="s">
        <v>115</v>
      </c>
      <c r="K3260" s="18" t="s">
        <v>9677</v>
      </c>
      <c r="N3260" s="17" t="s">
        <v>81</v>
      </c>
      <c r="O3260" t="s">
        <v>489</v>
      </c>
      <c r="V3260" s="18" t="s">
        <v>9677</v>
      </c>
      <c r="Y3260" t="s">
        <v>190</v>
      </c>
      <c r="AA3260" t="s">
        <v>118</v>
      </c>
      <c r="AB3260" t="s">
        <v>119</v>
      </c>
    </row>
    <row r="3261" ht="15" customHeight="1" spans="1:22" x14ac:dyDescent="0.25">
      <c r="A3261" s="17" t="s">
        <v>9678</v>
      </c>
      <c r="B3261" s="17" t="s">
        <v>70</v>
      </c>
      <c r="C3261" s="17" t="s">
        <v>71</v>
      </c>
      <c r="D3261" t="s">
        <v>6671</v>
      </c>
      <c r="F3261" t="s">
        <v>6671</v>
      </c>
      <c r="K3261" s="18">
        <v>6281255998279</v>
      </c>
      <c r="N3261" s="17" t="s">
        <v>81</v>
      </c>
      <c r="V3261" s="18">
        <v>6281255998279</v>
      </c>
    </row>
    <row r="3262" ht="15" customHeight="1" spans="1:22" x14ac:dyDescent="0.25">
      <c r="A3262" s="17" t="s">
        <v>9679</v>
      </c>
      <c r="B3262" s="17" t="s">
        <v>70</v>
      </c>
      <c r="C3262" s="17" t="s">
        <v>71</v>
      </c>
      <c r="D3262" t="s">
        <v>6671</v>
      </c>
      <c r="F3262" t="s">
        <v>1184</v>
      </c>
      <c r="K3262" s="18">
        <f>6282111999889</f>
        <v>6282111999889</v>
      </c>
      <c r="N3262" s="17" t="s">
        <v>77</v>
      </c>
      <c r="V3262" s="18">
        <f>6282111999889</f>
        <v>6282111999889</v>
      </c>
    </row>
    <row r="3263" ht="15" customHeight="1" spans="1:22" x14ac:dyDescent="0.25">
      <c r="A3263" s="17" t="s">
        <v>9680</v>
      </c>
      <c r="B3263" s="17" t="s">
        <v>70</v>
      </c>
      <c r="C3263" s="17" t="s">
        <v>71</v>
      </c>
      <c r="D3263" t="s">
        <v>6671</v>
      </c>
      <c r="F3263" t="s">
        <v>2258</v>
      </c>
      <c r="K3263" s="18">
        <f>6285100981613</f>
        <v>6285100981613</v>
      </c>
      <c r="N3263" s="17" t="s">
        <v>81</v>
      </c>
      <c r="V3263" s="18">
        <f>6285100981613</f>
        <v>6285100981613</v>
      </c>
    </row>
    <row r="3264" ht="15" customHeight="1" spans="1:22" x14ac:dyDescent="0.25">
      <c r="A3264" s="17" t="s">
        <v>9681</v>
      </c>
      <c r="B3264" s="17" t="s">
        <v>70</v>
      </c>
      <c r="C3264" s="17" t="s">
        <v>71</v>
      </c>
      <c r="D3264" t="s">
        <v>6671</v>
      </c>
      <c r="F3264" t="s">
        <v>9682</v>
      </c>
      <c r="K3264" s="18">
        <f>6281288889720</f>
        <v>6281288889720</v>
      </c>
      <c r="N3264" s="17" t="s">
        <v>81</v>
      </c>
      <c r="V3264" s="18">
        <f>6281288889720</f>
        <v>6281288889720</v>
      </c>
    </row>
    <row r="3265" ht="15" customHeight="1" spans="1:23" x14ac:dyDescent="0.25">
      <c r="A3265" s="17" t="s">
        <v>9683</v>
      </c>
      <c r="B3265" s="17" t="s">
        <v>70</v>
      </c>
      <c r="C3265" s="17" t="s">
        <v>71</v>
      </c>
      <c r="D3265" t="s">
        <v>6671</v>
      </c>
      <c r="F3265" t="s">
        <v>3193</v>
      </c>
      <c r="K3265" s="18">
        <f>6281289486084</f>
        <v>6281289486084</v>
      </c>
      <c r="N3265" s="17" t="s">
        <v>81</v>
      </c>
      <c r="U3265" s="17"/>
      <c r="V3265" s="18">
        <f>6281289486084</f>
        <v>6281289486084</v>
      </c>
      <c r="W3265" t="s">
        <v>9684</v>
      </c>
    </row>
    <row r="3266" ht="15" customHeight="1" spans="1:25" x14ac:dyDescent="0.25">
      <c r="A3266" s="17" t="s">
        <v>9685</v>
      </c>
      <c r="B3266" s="17" t="s">
        <v>70</v>
      </c>
      <c r="C3266" s="17" t="s">
        <v>71</v>
      </c>
      <c r="D3266" t="s">
        <v>6671</v>
      </c>
      <c r="F3266" t="s">
        <v>9686</v>
      </c>
      <c r="K3266" s="18">
        <f>62811968897</f>
        <v>62811968897</v>
      </c>
      <c r="N3266" s="17" t="s">
        <v>77</v>
      </c>
      <c r="U3266" s="17"/>
      <c r="V3266" s="18">
        <f>62811968897</f>
        <v>62811968897</v>
      </c>
      <c r="W3266" t="s">
        <v>9687</v>
      </c>
      <c r="Y3266" s="17" t="s">
        <v>5678</v>
      </c>
    </row>
    <row r="3267" ht="15" customHeight="1" spans="1:28" x14ac:dyDescent="0.25">
      <c r="A3267" s="17" t="s">
        <v>9688</v>
      </c>
      <c r="B3267" s="17" t="s">
        <v>70</v>
      </c>
      <c r="C3267" s="17" t="s">
        <v>71</v>
      </c>
      <c r="D3267" t="s">
        <v>6671</v>
      </c>
      <c r="F3267" t="s">
        <v>4602</v>
      </c>
      <c r="J3267" t="s">
        <v>9689</v>
      </c>
      <c r="K3267" s="18" t="s">
        <v>9690</v>
      </c>
      <c r="N3267" s="17" t="s">
        <v>77</v>
      </c>
      <c r="O3267" t="s">
        <v>261</v>
      </c>
      <c r="V3267" s="18" t="s">
        <v>9690</v>
      </c>
      <c r="Y3267" t="s">
        <v>90</v>
      </c>
      <c r="AA3267" t="s">
        <v>118</v>
      </c>
      <c r="AB3267" t="s">
        <v>119</v>
      </c>
    </row>
    <row r="3268" ht="15" customHeight="1" spans="1:22" x14ac:dyDescent="0.25">
      <c r="A3268" s="17" t="s">
        <v>9691</v>
      </c>
      <c r="B3268" s="17" t="s">
        <v>70</v>
      </c>
      <c r="C3268" s="17" t="s">
        <v>71</v>
      </c>
      <c r="D3268" t="s">
        <v>6671</v>
      </c>
      <c r="F3268" t="s">
        <v>3767</v>
      </c>
      <c r="K3268" s="18">
        <f>628114600045</f>
        <v>628114600045</v>
      </c>
      <c r="N3268" s="17" t="s">
        <v>77</v>
      </c>
      <c r="V3268" s="18">
        <f>628114600045</f>
        <v>628114600045</v>
      </c>
    </row>
    <row r="3269" ht="15" customHeight="1" spans="1:22" x14ac:dyDescent="0.25">
      <c r="A3269" s="17" t="s">
        <v>9692</v>
      </c>
      <c r="B3269" s="17" t="s">
        <v>70</v>
      </c>
      <c r="C3269" s="17" t="s">
        <v>71</v>
      </c>
      <c r="D3269" t="s">
        <v>6671</v>
      </c>
      <c r="F3269" t="s">
        <v>2288</v>
      </c>
      <c r="K3269" s="18">
        <f>628128595767</f>
        <v>628128595767</v>
      </c>
      <c r="N3269" s="17" t="s">
        <v>77</v>
      </c>
      <c r="V3269" s="18">
        <f>628128595767</f>
        <v>628128595767</v>
      </c>
    </row>
    <row r="3270" ht="15" customHeight="1" spans="1:23" x14ac:dyDescent="0.25">
      <c r="A3270" s="17" t="s">
        <v>9693</v>
      </c>
      <c r="B3270" s="17" t="s">
        <v>70</v>
      </c>
      <c r="C3270" s="17" t="s">
        <v>71</v>
      </c>
      <c r="D3270" t="s">
        <v>6671</v>
      </c>
      <c r="F3270" t="s">
        <v>2288</v>
      </c>
      <c r="K3270" s="18">
        <f>6287726051977</f>
        <v>6287726051977</v>
      </c>
      <c r="N3270" s="17" t="s">
        <v>81</v>
      </c>
      <c r="U3270" s="17"/>
      <c r="V3270" s="18">
        <f>6287726051977</f>
        <v>6287726051977</v>
      </c>
      <c r="W3270" t="s">
        <v>9694</v>
      </c>
    </row>
    <row r="3271" ht="15" customHeight="1" spans="1:22" x14ac:dyDescent="0.25">
      <c r="A3271" s="17" t="s">
        <v>9695</v>
      </c>
      <c r="B3271" s="17" t="s">
        <v>70</v>
      </c>
      <c r="C3271" s="17" t="s">
        <v>71</v>
      </c>
      <c r="D3271" t="s">
        <v>6671</v>
      </c>
      <c r="F3271" t="s">
        <v>9696</v>
      </c>
      <c r="K3271" s="18">
        <f>628111461851</f>
        <v>628111461851</v>
      </c>
      <c r="N3271" s="17" t="s">
        <v>77</v>
      </c>
      <c r="V3271" s="18">
        <f>628111461851</f>
        <v>628111461851</v>
      </c>
    </row>
    <row r="3272" ht="15" customHeight="1" spans="1:23" x14ac:dyDescent="0.25">
      <c r="A3272" s="17" t="s">
        <v>9697</v>
      </c>
      <c r="B3272" s="17" t="s">
        <v>70</v>
      </c>
      <c r="C3272" s="17" t="s">
        <v>71</v>
      </c>
      <c r="D3272" t="s">
        <v>6671</v>
      </c>
      <c r="F3272" t="s">
        <v>4962</v>
      </c>
      <c r="K3272" s="18">
        <f>62816911468</f>
        <v>62816911468</v>
      </c>
      <c r="N3272" s="17" t="s">
        <v>81</v>
      </c>
      <c r="U3272" s="17"/>
      <c r="V3272" s="18">
        <f>62816911468</f>
        <v>62816911468</v>
      </c>
      <c r="W3272" t="s">
        <v>9698</v>
      </c>
    </row>
    <row r="3273" ht="15" customHeight="1" spans="1:25" x14ac:dyDescent="0.25">
      <c r="A3273" s="17" t="s">
        <v>9699</v>
      </c>
      <c r="B3273" s="17" t="s">
        <v>70</v>
      </c>
      <c r="C3273" s="17" t="s">
        <v>71</v>
      </c>
      <c r="D3273" t="s">
        <v>6671</v>
      </c>
      <c r="F3273" t="s">
        <v>9700</v>
      </c>
      <c r="J3273" s="17" t="s">
        <v>9701</v>
      </c>
      <c r="K3273" s="18">
        <f>628126093918</f>
        <v>628126093918</v>
      </c>
      <c r="N3273" s="17" t="s">
        <v>77</v>
      </c>
      <c r="U3273" s="17"/>
      <c r="V3273" s="18">
        <f>628126093918</f>
        <v>628126093918</v>
      </c>
      <c r="W3273" t="s">
        <v>9702</v>
      </c>
      <c r="Y3273" s="17" t="s">
        <v>1157</v>
      </c>
    </row>
    <row r="3274" ht="15" customHeight="1" spans="1:28" x14ac:dyDescent="0.25">
      <c r="A3274" s="17" t="s">
        <v>9703</v>
      </c>
      <c r="B3274" s="17" t="s">
        <v>70</v>
      </c>
      <c r="C3274" s="17" t="s">
        <v>71</v>
      </c>
      <c r="D3274" t="s">
        <v>6671</v>
      </c>
      <c r="F3274" t="s">
        <v>2159</v>
      </c>
      <c r="J3274" t="s">
        <v>115</v>
      </c>
      <c r="K3274" s="18" t="s">
        <v>9704</v>
      </c>
      <c r="N3274" s="17" t="s">
        <v>74</v>
      </c>
      <c r="O3274" t="s">
        <v>1188</v>
      </c>
      <c r="V3274" s="18" t="s">
        <v>9704</v>
      </c>
      <c r="Y3274" t="s">
        <v>190</v>
      </c>
      <c r="AA3274" t="s">
        <v>118</v>
      </c>
      <c r="AB3274" t="s">
        <v>119</v>
      </c>
    </row>
    <row r="3275" ht="15" customHeight="1" spans="1:22" x14ac:dyDescent="0.25">
      <c r="A3275" s="17" t="s">
        <v>9705</v>
      </c>
      <c r="B3275" s="17" t="s">
        <v>70</v>
      </c>
      <c r="C3275" s="17" t="s">
        <v>71</v>
      </c>
      <c r="D3275" t="s">
        <v>6671</v>
      </c>
      <c r="F3275" t="s">
        <v>9706</v>
      </c>
      <c r="K3275" s="18">
        <f>6282111210009</f>
        <v>6282111210009</v>
      </c>
      <c r="N3275" s="17" t="s">
        <v>77</v>
      </c>
      <c r="V3275" s="18">
        <f>6282111210009</f>
        <v>6282111210009</v>
      </c>
    </row>
    <row r="3276" ht="15" customHeight="1" spans="1:22" x14ac:dyDescent="0.25">
      <c r="A3276" s="17" t="s">
        <v>9707</v>
      </c>
      <c r="B3276" s="17" t="s">
        <v>70</v>
      </c>
      <c r="C3276" s="17" t="s">
        <v>71</v>
      </c>
      <c r="D3276" t="s">
        <v>6671</v>
      </c>
      <c r="F3276" t="s">
        <v>9708</v>
      </c>
      <c r="K3276" s="18">
        <f>628121090319</f>
        <v>628121090319</v>
      </c>
      <c r="N3276" s="17" t="s">
        <v>81</v>
      </c>
      <c r="V3276" s="18">
        <f>628121090319</f>
        <v>628121090319</v>
      </c>
    </row>
    <row r="3277" ht="15" customHeight="1" spans="1:28" x14ac:dyDescent="0.25">
      <c r="A3277" s="17" t="s">
        <v>9709</v>
      </c>
      <c r="B3277" s="17" t="s">
        <v>70</v>
      </c>
      <c r="C3277" s="17" t="s">
        <v>71</v>
      </c>
      <c r="D3277" t="s">
        <v>6671</v>
      </c>
      <c r="F3277" t="s">
        <v>9710</v>
      </c>
      <c r="J3277" t="s">
        <v>9711</v>
      </c>
      <c r="K3277" s="18" t="s">
        <v>9712</v>
      </c>
      <c r="N3277" s="17" t="s">
        <v>77</v>
      </c>
      <c r="O3277" t="s">
        <v>199</v>
      </c>
      <c r="V3277" s="18" t="s">
        <v>9712</v>
      </c>
      <c r="Y3277" t="s">
        <v>190</v>
      </c>
      <c r="AA3277" t="s">
        <v>118</v>
      </c>
      <c r="AB3277" t="s">
        <v>119</v>
      </c>
    </row>
    <row r="3278" ht="15" customHeight="1" spans="1:27" x14ac:dyDescent="0.25">
      <c r="A3278" s="17" t="s">
        <v>9713</v>
      </c>
      <c r="B3278" s="17" t="s">
        <v>70</v>
      </c>
      <c r="C3278" s="17" t="s">
        <v>71</v>
      </c>
      <c r="D3278" t="s">
        <v>6671</v>
      </c>
      <c r="F3278" t="s">
        <v>9714</v>
      </c>
      <c r="K3278" s="18">
        <v>588303869</v>
      </c>
      <c r="N3278" s="17" t="s">
        <v>77</v>
      </c>
      <c r="U3278" s="17"/>
      <c r="V3278" s="18">
        <v>588303869</v>
      </c>
      <c r="W3278" t="s">
        <v>9715</v>
      </c>
      <c r="Y3278" s="17" t="s">
        <v>1084</v>
      </c>
      <c r="AA3278" s="17" t="s">
        <v>5566</v>
      </c>
    </row>
    <row r="3279" ht="15" customHeight="1" spans="1:22" x14ac:dyDescent="0.25">
      <c r="A3279" s="17" t="s">
        <v>9716</v>
      </c>
      <c r="B3279" s="17" t="s">
        <v>70</v>
      </c>
      <c r="C3279" s="17" t="s">
        <v>71</v>
      </c>
      <c r="D3279" t="s">
        <v>6671</v>
      </c>
      <c r="F3279" t="s">
        <v>997</v>
      </c>
      <c r="K3279" s="18">
        <f>628132323966</f>
        <v>628132323966</v>
      </c>
      <c r="N3279" s="17" t="s">
        <v>81</v>
      </c>
      <c r="V3279" s="18">
        <f>628132323966</f>
        <v>628132323966</v>
      </c>
    </row>
    <row r="3280" ht="15" customHeight="1" spans="1:23" x14ac:dyDescent="0.25">
      <c r="A3280" s="17" t="s">
        <v>9717</v>
      </c>
      <c r="B3280" s="17" t="s">
        <v>70</v>
      </c>
      <c r="C3280" s="17" t="s">
        <v>71</v>
      </c>
      <c r="D3280" t="s">
        <v>6671</v>
      </c>
      <c r="F3280" t="s">
        <v>9718</v>
      </c>
      <c r="K3280" s="18">
        <f>628113983668</f>
        <v>628113983668</v>
      </c>
      <c r="N3280" s="17" t="s">
        <v>81</v>
      </c>
      <c r="U3280" s="17"/>
      <c r="V3280" s="18">
        <f>628113983668</f>
        <v>628113983668</v>
      </c>
      <c r="W3280" t="s">
        <v>9719</v>
      </c>
    </row>
    <row r="3281" ht="15" customHeight="1" spans="1:23" x14ac:dyDescent="0.25">
      <c r="A3281" s="17" t="s">
        <v>9720</v>
      </c>
      <c r="B3281" s="17" t="s">
        <v>70</v>
      </c>
      <c r="C3281" s="17" t="s">
        <v>71</v>
      </c>
      <c r="D3281" t="s">
        <v>6671</v>
      </c>
      <c r="F3281" t="s">
        <v>9721</v>
      </c>
      <c r="K3281" s="18">
        <f>62811808811</f>
        <v>62811808811</v>
      </c>
      <c r="N3281" s="17" t="s">
        <v>77</v>
      </c>
      <c r="U3281" s="17"/>
      <c r="V3281" s="18">
        <f>62811808811</f>
        <v>62811808811</v>
      </c>
      <c r="W3281" t="s">
        <v>9722</v>
      </c>
    </row>
    <row r="3282" ht="15" customHeight="1" spans="1:27" x14ac:dyDescent="0.25">
      <c r="A3282" s="17" t="s">
        <v>9723</v>
      </c>
      <c r="B3282" s="17" t="s">
        <v>70</v>
      </c>
      <c r="C3282" s="17" t="s">
        <v>71</v>
      </c>
      <c r="D3282" t="s">
        <v>6671</v>
      </c>
      <c r="F3282" t="s">
        <v>618</v>
      </c>
      <c r="K3282" s="18">
        <f>628122912373</f>
        <v>628122912373</v>
      </c>
      <c r="N3282" s="17" t="s">
        <v>81</v>
      </c>
      <c r="U3282" s="17"/>
      <c r="V3282" s="18">
        <f>628122912373</f>
        <v>628122912373</v>
      </c>
      <c r="W3282" t="s">
        <v>9724</v>
      </c>
      <c r="Y3282" s="17" t="s">
        <v>410</v>
      </c>
      <c r="AA3282" s="17">
        <v>50255</v>
      </c>
    </row>
    <row r="3283" ht="15" customHeight="1" spans="1:28" x14ac:dyDescent="0.25">
      <c r="A3283" s="17" t="s">
        <v>9725</v>
      </c>
      <c r="B3283" s="17" t="s">
        <v>70</v>
      </c>
      <c r="C3283" s="17" t="s">
        <v>71</v>
      </c>
      <c r="D3283" t="s">
        <v>6671</v>
      </c>
      <c r="F3283" t="s">
        <v>9726</v>
      </c>
      <c r="J3283" t="s">
        <v>115</v>
      </c>
      <c r="K3283" s="18" t="s">
        <v>9727</v>
      </c>
      <c r="N3283" s="17" t="s">
        <v>77</v>
      </c>
      <c r="O3283" t="s">
        <v>117</v>
      </c>
      <c r="V3283" s="18" t="s">
        <v>9727</v>
      </c>
      <c r="Y3283" t="s">
        <v>90</v>
      </c>
      <c r="AA3283" t="s">
        <v>118</v>
      </c>
      <c r="AB3283" t="s">
        <v>119</v>
      </c>
    </row>
    <row r="3284" ht="15" customHeight="1" spans="1:22" x14ac:dyDescent="0.25">
      <c r="A3284" s="17" t="s">
        <v>9728</v>
      </c>
      <c r="B3284" s="17" t="s">
        <v>70</v>
      </c>
      <c r="C3284" s="17" t="s">
        <v>71</v>
      </c>
      <c r="D3284" t="s">
        <v>6671</v>
      </c>
      <c r="F3284" t="s">
        <v>3078</v>
      </c>
      <c r="K3284" s="18">
        <f>62818881499</f>
        <v>62818881499</v>
      </c>
      <c r="N3284" s="17" t="s">
        <v>77</v>
      </c>
      <c r="V3284" s="18">
        <f>62818881499</f>
        <v>62818881499</v>
      </c>
    </row>
    <row r="3285" ht="15" customHeight="1" spans="1:23" x14ac:dyDescent="0.25">
      <c r="A3285" s="17" t="s">
        <v>9729</v>
      </c>
      <c r="B3285" s="17" t="s">
        <v>70</v>
      </c>
      <c r="C3285" s="17" t="s">
        <v>71</v>
      </c>
      <c r="D3285" t="s">
        <v>6671</v>
      </c>
      <c r="F3285" t="s">
        <v>9730</v>
      </c>
      <c r="K3285" s="18">
        <f>62811812277</f>
        <v>62811812277</v>
      </c>
      <c r="N3285" s="17" t="s">
        <v>77</v>
      </c>
      <c r="U3285" s="17"/>
      <c r="V3285" s="18">
        <f>62811812277</f>
        <v>62811812277</v>
      </c>
      <c r="W3285" t="s">
        <v>9731</v>
      </c>
    </row>
    <row r="3286" ht="15" customHeight="1" spans="1:28" x14ac:dyDescent="0.25">
      <c r="A3286" s="17" t="s">
        <v>9732</v>
      </c>
      <c r="B3286" s="17" t="s">
        <v>70</v>
      </c>
      <c r="C3286" s="17" t="s">
        <v>71</v>
      </c>
      <c r="D3286" t="s">
        <v>6671</v>
      </c>
      <c r="F3286" t="s">
        <v>6671</v>
      </c>
      <c r="J3286" t="s">
        <v>115</v>
      </c>
      <c r="K3286" s="18" t="s">
        <v>9733</v>
      </c>
      <c r="N3286" s="17" t="s">
        <v>77</v>
      </c>
      <c r="O3286" t="s">
        <v>117</v>
      </c>
      <c r="V3286" s="18" t="s">
        <v>9733</v>
      </c>
      <c r="Y3286" t="s">
        <v>217</v>
      </c>
      <c r="AA3286" t="s">
        <v>218</v>
      </c>
      <c r="AB3286" t="s">
        <v>119</v>
      </c>
    </row>
    <row r="3287" ht="15" customHeight="1" spans="1:23" x14ac:dyDescent="0.25">
      <c r="A3287" s="17" t="s">
        <v>9734</v>
      </c>
      <c r="B3287" s="17" t="s">
        <v>70</v>
      </c>
      <c r="C3287" s="17" t="s">
        <v>71</v>
      </c>
      <c r="D3287" t="s">
        <v>6671</v>
      </c>
      <c r="F3287" t="s">
        <v>4458</v>
      </c>
      <c r="K3287" s="18">
        <f>62811103481</f>
        <v>62811103481</v>
      </c>
      <c r="N3287" s="17" t="s">
        <v>77</v>
      </c>
      <c r="U3287" s="17"/>
      <c r="V3287" s="18">
        <f>62811103481</f>
        <v>62811103481</v>
      </c>
      <c r="W3287" t="s">
        <v>9735</v>
      </c>
    </row>
    <row r="3288" ht="15" customHeight="1" spans="1:28" x14ac:dyDescent="0.25">
      <c r="A3288" s="17" t="s">
        <v>9736</v>
      </c>
      <c r="B3288" s="17" t="s">
        <v>70</v>
      </c>
      <c r="C3288" s="17" t="s">
        <v>71</v>
      </c>
      <c r="D3288" t="s">
        <v>6671</v>
      </c>
      <c r="F3288" t="s">
        <v>9737</v>
      </c>
      <c r="J3288" t="s">
        <v>115</v>
      </c>
      <c r="K3288" s="18" t="s">
        <v>9738</v>
      </c>
      <c r="N3288" s="17" t="s">
        <v>74</v>
      </c>
      <c r="O3288" t="s">
        <v>117</v>
      </c>
      <c r="V3288" s="18" t="s">
        <v>9738</v>
      </c>
      <c r="Y3288" t="s">
        <v>90</v>
      </c>
      <c r="AA3288" t="s">
        <v>118</v>
      </c>
      <c r="AB3288" t="s">
        <v>119</v>
      </c>
    </row>
    <row r="3289" ht="15" customHeight="1" spans="1:22" x14ac:dyDescent="0.25">
      <c r="A3289" s="17" t="s">
        <v>9739</v>
      </c>
      <c r="B3289" s="17" t="s">
        <v>70</v>
      </c>
      <c r="C3289" s="17" t="s">
        <v>71</v>
      </c>
      <c r="D3289" t="s">
        <v>6671</v>
      </c>
      <c r="F3289" t="s">
        <v>9740</v>
      </c>
      <c r="K3289" s="18">
        <f>6281384555725</f>
        <v>6281384555725</v>
      </c>
      <c r="N3289" s="17" t="s">
        <v>77</v>
      </c>
      <c r="V3289" s="18">
        <f>6281384555725</f>
        <v>6281384555725</v>
      </c>
    </row>
    <row r="3290" ht="15" customHeight="1" spans="1:23" x14ac:dyDescent="0.25">
      <c r="A3290" s="17" t="s">
        <v>9741</v>
      </c>
      <c r="B3290" s="17" t="s">
        <v>70</v>
      </c>
      <c r="C3290" s="17" t="s">
        <v>71</v>
      </c>
      <c r="D3290" t="s">
        <v>6671</v>
      </c>
      <c r="F3290" t="s">
        <v>9742</v>
      </c>
      <c r="K3290" s="18">
        <f>628128588988</f>
        <v>628128588988</v>
      </c>
      <c r="N3290" s="17" t="s">
        <v>77</v>
      </c>
      <c r="U3290" s="17"/>
      <c r="V3290" s="18">
        <f>628128588988</f>
        <v>628128588988</v>
      </c>
      <c r="W3290" t="s">
        <v>9743</v>
      </c>
    </row>
    <row r="3291" ht="15" customHeight="1" spans="1:28" x14ac:dyDescent="0.25">
      <c r="A3291" s="17" t="s">
        <v>9744</v>
      </c>
      <c r="B3291" s="17" t="s">
        <v>70</v>
      </c>
      <c r="C3291" s="17" t="s">
        <v>71</v>
      </c>
      <c r="D3291" t="s">
        <v>6671</v>
      </c>
      <c r="F3291" t="s">
        <v>9745</v>
      </c>
      <c r="J3291" t="s">
        <v>115</v>
      </c>
      <c r="K3291" s="18" t="s">
        <v>9746</v>
      </c>
      <c r="N3291" s="17" t="s">
        <v>77</v>
      </c>
      <c r="O3291" t="s">
        <v>117</v>
      </c>
      <c r="V3291" s="18" t="s">
        <v>9746</v>
      </c>
      <c r="Y3291" t="s">
        <v>90</v>
      </c>
      <c r="AA3291" t="s">
        <v>118</v>
      </c>
      <c r="AB3291" t="s">
        <v>119</v>
      </c>
    </row>
    <row r="3292" ht="15" customHeight="1" spans="1:23" x14ac:dyDescent="0.25">
      <c r="A3292" s="17" t="s">
        <v>9747</v>
      </c>
      <c r="B3292" s="17" t="s">
        <v>70</v>
      </c>
      <c r="C3292" s="17" t="s">
        <v>71</v>
      </c>
      <c r="D3292" t="s">
        <v>6671</v>
      </c>
      <c r="F3292" t="s">
        <v>3121</v>
      </c>
      <c r="K3292" s="18">
        <f>628170831661</f>
        <v>628170831661</v>
      </c>
      <c r="N3292" s="17" t="s">
        <v>77</v>
      </c>
      <c r="U3292" s="17"/>
      <c r="V3292" s="18">
        <f>628170831661</f>
        <v>628170831661</v>
      </c>
      <c r="W3292" t="s">
        <v>9748</v>
      </c>
    </row>
    <row r="3293" ht="15" customHeight="1" spans="1:25" x14ac:dyDescent="0.25">
      <c r="A3293" s="17" t="s">
        <v>9749</v>
      </c>
      <c r="B3293" s="17" t="s">
        <v>70</v>
      </c>
      <c r="C3293" s="17" t="s">
        <v>71</v>
      </c>
      <c r="D3293" t="s">
        <v>6671</v>
      </c>
      <c r="F3293" t="s">
        <v>8630</v>
      </c>
      <c r="K3293" s="18">
        <f>6281314880627</f>
        <v>6281314880627</v>
      </c>
      <c r="N3293" s="17" t="s">
        <v>74</v>
      </c>
      <c r="U3293" s="17"/>
      <c r="V3293" s="18">
        <f>6281314880627</f>
        <v>6281314880627</v>
      </c>
      <c r="W3293" t="s">
        <v>9750</v>
      </c>
      <c r="Y3293" s="17" t="s">
        <v>9751</v>
      </c>
    </row>
    <row r="3294" ht="15" customHeight="1" spans="1:22" x14ac:dyDescent="0.25">
      <c r="A3294" s="17" t="s">
        <v>9752</v>
      </c>
      <c r="B3294" s="17" t="s">
        <v>70</v>
      </c>
      <c r="C3294" s="17" t="s">
        <v>71</v>
      </c>
      <c r="D3294" t="s">
        <v>6671</v>
      </c>
      <c r="F3294" t="s">
        <v>864</v>
      </c>
      <c r="K3294" s="18">
        <f>628557771818</f>
        <v>628557771818</v>
      </c>
      <c r="N3294" s="17" t="s">
        <v>77</v>
      </c>
      <c r="V3294" s="18">
        <f>628557771818</f>
        <v>628557771818</v>
      </c>
    </row>
    <row r="3295" ht="15" customHeight="1" spans="1:28" x14ac:dyDescent="0.25">
      <c r="A3295" s="17" t="s">
        <v>9753</v>
      </c>
      <c r="B3295" s="17" t="s">
        <v>70</v>
      </c>
      <c r="C3295" s="17" t="s">
        <v>71</v>
      </c>
      <c r="D3295" t="s">
        <v>6671</v>
      </c>
      <c r="F3295" t="s">
        <v>5032</v>
      </c>
      <c r="J3295" t="s">
        <v>115</v>
      </c>
      <c r="K3295" s="18" t="s">
        <v>9754</v>
      </c>
      <c r="N3295" s="17" t="s">
        <v>77</v>
      </c>
      <c r="O3295" t="s">
        <v>117</v>
      </c>
      <c r="V3295" s="18" t="s">
        <v>9754</v>
      </c>
      <c r="Y3295" t="s">
        <v>90</v>
      </c>
      <c r="AA3295" t="s">
        <v>118</v>
      </c>
      <c r="AB3295" t="s">
        <v>119</v>
      </c>
    </row>
    <row r="3296" ht="15" customHeight="1" spans="1:22" x14ac:dyDescent="0.25">
      <c r="A3296" s="17" t="s">
        <v>9755</v>
      </c>
      <c r="B3296" s="17" t="s">
        <v>70</v>
      </c>
      <c r="C3296" s="17" t="s">
        <v>71</v>
      </c>
      <c r="D3296" t="s">
        <v>6671</v>
      </c>
      <c r="F3296" t="s">
        <v>9756</v>
      </c>
      <c r="K3296" s="18">
        <f>6281282952242</f>
        <v>6281282952242</v>
      </c>
      <c r="N3296" s="17" t="s">
        <v>77</v>
      </c>
      <c r="V3296" s="18">
        <f>6281282952242</f>
        <v>6281282952242</v>
      </c>
    </row>
    <row r="3297" ht="15" customHeight="1" spans="1:23" x14ac:dyDescent="0.25">
      <c r="A3297" s="17" t="s">
        <v>9757</v>
      </c>
      <c r="B3297" s="17" t="s">
        <v>70</v>
      </c>
      <c r="C3297" s="17" t="s">
        <v>71</v>
      </c>
      <c r="D3297" t="s">
        <v>6671</v>
      </c>
      <c r="F3297" t="s">
        <v>9606</v>
      </c>
      <c r="K3297" s="18">
        <f>62811981112</f>
        <v>62811981112</v>
      </c>
      <c r="N3297" s="17" t="s">
        <v>77</v>
      </c>
      <c r="U3297" s="17"/>
      <c r="V3297" s="18">
        <f>62811981112</f>
        <v>62811981112</v>
      </c>
      <c r="W3297" t="s">
        <v>9758</v>
      </c>
    </row>
    <row r="3298" ht="15" customHeight="1" spans="1:22" x14ac:dyDescent="0.25">
      <c r="A3298" s="17" t="s">
        <v>9759</v>
      </c>
      <c r="B3298" s="17" t="s">
        <v>70</v>
      </c>
      <c r="C3298" s="17" t="s">
        <v>71</v>
      </c>
      <c r="D3298" t="s">
        <v>6671</v>
      </c>
      <c r="F3298" t="s">
        <v>9760</v>
      </c>
      <c r="K3298" s="18">
        <f>628121238090</f>
        <v>628121238090</v>
      </c>
      <c r="N3298" s="17" t="s">
        <v>77</v>
      </c>
      <c r="V3298" s="18">
        <f>628121238090</f>
        <v>628121238090</v>
      </c>
    </row>
    <row r="3299" ht="15" customHeight="1" spans="1:22" x14ac:dyDescent="0.25">
      <c r="A3299" s="17" t="s">
        <v>9761</v>
      </c>
      <c r="B3299" s="17" t="s">
        <v>70</v>
      </c>
      <c r="C3299" s="17" t="s">
        <v>71</v>
      </c>
      <c r="D3299" t="s">
        <v>6671</v>
      </c>
      <c r="F3299" t="s">
        <v>9762</v>
      </c>
      <c r="K3299" s="18">
        <f>628159324439</f>
        <v>628159324439</v>
      </c>
      <c r="N3299" s="17" t="s">
        <v>81</v>
      </c>
      <c r="V3299" s="18">
        <f>628159324439</f>
        <v>628159324439</v>
      </c>
    </row>
    <row r="3300" ht="15" customHeight="1" spans="1:22" x14ac:dyDescent="0.25">
      <c r="A3300" s="17" t="s">
        <v>9763</v>
      </c>
      <c r="B3300" s="17" t="s">
        <v>70</v>
      </c>
      <c r="C3300" s="17" t="s">
        <v>71</v>
      </c>
      <c r="D3300" t="s">
        <v>6671</v>
      </c>
      <c r="F3300" t="s">
        <v>9764</v>
      </c>
      <c r="K3300" s="18">
        <f>6287878882929</f>
        <v>6287878882929</v>
      </c>
      <c r="N3300" s="17" t="s">
        <v>81</v>
      </c>
      <c r="V3300" s="18">
        <f>6287878882929</f>
        <v>6287878882929</v>
      </c>
    </row>
    <row r="3301" ht="15" customHeight="1" spans="1:23" x14ac:dyDescent="0.25">
      <c r="A3301" s="17" t="s">
        <v>9765</v>
      </c>
      <c r="B3301" s="17" t="s">
        <v>70</v>
      </c>
      <c r="C3301" s="17" t="s">
        <v>71</v>
      </c>
      <c r="D3301" t="s">
        <v>6671</v>
      </c>
      <c r="F3301" t="s">
        <v>9766</v>
      </c>
      <c r="K3301" s="18">
        <f>628119110706</f>
        <v>628119110706</v>
      </c>
      <c r="N3301" s="17" t="s">
        <v>74</v>
      </c>
      <c r="U3301" s="17"/>
      <c r="V3301" s="18">
        <f>628119110706</f>
        <v>628119110706</v>
      </c>
      <c r="W3301" t="s">
        <v>9767</v>
      </c>
    </row>
    <row r="3302" ht="15" customHeight="1" spans="1:22" x14ac:dyDescent="0.25">
      <c r="A3302" s="17" t="s">
        <v>9768</v>
      </c>
      <c r="B3302" s="17" t="s">
        <v>70</v>
      </c>
      <c r="C3302" s="17" t="s">
        <v>71</v>
      </c>
      <c r="D3302" t="s">
        <v>6671</v>
      </c>
      <c r="F3302" t="s">
        <v>9769</v>
      </c>
      <c r="K3302" s="18">
        <f>628221115515</f>
        <v>628221115515</v>
      </c>
      <c r="N3302" s="17" t="s">
        <v>81</v>
      </c>
      <c r="V3302" s="18">
        <f>628221115515</f>
        <v>628221115515</v>
      </c>
    </row>
    <row r="3303" ht="15" customHeight="1" spans="1:25" x14ac:dyDescent="0.25">
      <c r="A3303" s="17" t="s">
        <v>9770</v>
      </c>
      <c r="B3303" s="17" t="s">
        <v>70</v>
      </c>
      <c r="C3303" s="17" t="s">
        <v>71</v>
      </c>
      <c r="D3303" t="s">
        <v>6671</v>
      </c>
      <c r="F3303" t="s">
        <v>9771</v>
      </c>
      <c r="K3303" s="18">
        <f>6281286618909</f>
        <v>6281286618909</v>
      </c>
      <c r="N3303" s="17" t="s">
        <v>81</v>
      </c>
      <c r="U3303" s="17"/>
      <c r="V3303" s="18">
        <f>6281286618909</f>
        <v>6281286618909</v>
      </c>
      <c r="W3303" t="s">
        <v>9772</v>
      </c>
      <c r="Y3303" s="17" t="s">
        <v>96</v>
      </c>
    </row>
    <row r="3304" ht="15" customHeight="1" spans="1:27" x14ac:dyDescent="0.25">
      <c r="A3304" s="17" t="s">
        <v>9773</v>
      </c>
      <c r="B3304" s="17" t="s">
        <v>70</v>
      </c>
      <c r="C3304" s="17" t="s">
        <v>71</v>
      </c>
      <c r="D3304" t="s">
        <v>6671</v>
      </c>
      <c r="F3304" t="s">
        <v>2262</v>
      </c>
      <c r="K3304" s="18">
        <f>628122003178</f>
        <v>628122003178</v>
      </c>
      <c r="N3304" s="17" t="s">
        <v>81</v>
      </c>
      <c r="U3304" s="17"/>
      <c r="V3304" s="18">
        <f>628122003178</f>
        <v>628122003178</v>
      </c>
      <c r="W3304" t="s">
        <v>9774</v>
      </c>
      <c r="AA3304" s="17">
        <v>14460</v>
      </c>
    </row>
    <row r="3305" ht="15" customHeight="1" spans="1:22" x14ac:dyDescent="0.25">
      <c r="A3305" s="17" t="s">
        <v>9775</v>
      </c>
      <c r="B3305" s="17" t="s">
        <v>70</v>
      </c>
      <c r="C3305" s="17" t="s">
        <v>71</v>
      </c>
      <c r="D3305" t="s">
        <v>6671</v>
      </c>
      <c r="F3305" t="s">
        <v>9776</v>
      </c>
      <c r="K3305" s="18">
        <f>62816846131</f>
        <v>62816846131</v>
      </c>
      <c r="N3305" s="17" t="s">
        <v>77</v>
      </c>
      <c r="V3305" s="18">
        <f>62816846131</f>
        <v>62816846131</v>
      </c>
    </row>
    <row r="3306" ht="15" customHeight="1" spans="1:28" x14ac:dyDescent="0.25">
      <c r="A3306" s="17" t="s">
        <v>9777</v>
      </c>
      <c r="B3306" s="17" t="s">
        <v>70</v>
      </c>
      <c r="C3306" s="17" t="s">
        <v>71</v>
      </c>
      <c r="D3306" t="s">
        <v>6671</v>
      </c>
      <c r="F3306" t="s">
        <v>9553</v>
      </c>
      <c r="J3306" t="s">
        <v>9778</v>
      </c>
      <c r="K3306" s="18" t="s">
        <v>9779</v>
      </c>
      <c r="N3306" s="17" t="s">
        <v>81</v>
      </c>
      <c r="O3306" t="s">
        <v>117</v>
      </c>
      <c r="U3306" s="17"/>
      <c r="V3306" s="18" t="s">
        <v>9779</v>
      </c>
      <c r="W3306" t="s">
        <v>9780</v>
      </c>
      <c r="Y3306" t="s">
        <v>90</v>
      </c>
      <c r="AA3306" t="s">
        <v>118</v>
      </c>
      <c r="AB3306" t="s">
        <v>119</v>
      </c>
    </row>
    <row r="3307" ht="15" customHeight="1" spans="1:22" x14ac:dyDescent="0.25">
      <c r="A3307" s="17" t="s">
        <v>9781</v>
      </c>
      <c r="B3307" s="17" t="s">
        <v>70</v>
      </c>
      <c r="C3307" s="17" t="s">
        <v>71</v>
      </c>
      <c r="D3307" t="s">
        <v>6671</v>
      </c>
      <c r="F3307" t="s">
        <v>9782</v>
      </c>
      <c r="K3307" s="18">
        <f>6281311211230</f>
        <v>6281311211230</v>
      </c>
      <c r="N3307" s="17" t="s">
        <v>81</v>
      </c>
      <c r="V3307" s="18">
        <f>6281311211230</f>
        <v>6281311211230</v>
      </c>
    </row>
    <row r="3308" ht="15" customHeight="1" spans="1:22" x14ac:dyDescent="0.25">
      <c r="A3308" s="17" t="s">
        <v>9783</v>
      </c>
      <c r="B3308" s="17" t="s">
        <v>70</v>
      </c>
      <c r="C3308" s="17" t="s">
        <v>71</v>
      </c>
      <c r="D3308" t="s">
        <v>6671</v>
      </c>
      <c r="F3308" t="s">
        <v>9784</v>
      </c>
      <c r="K3308" s="18">
        <f>6281390940406</f>
        <v>6281390940406</v>
      </c>
      <c r="N3308" s="17" t="s">
        <v>74</v>
      </c>
      <c r="V3308" s="18">
        <f>6281390940406</f>
        <v>6281390940406</v>
      </c>
    </row>
    <row r="3309" ht="15" customHeight="1" spans="1:22" x14ac:dyDescent="0.25">
      <c r="A3309" s="17" t="s">
        <v>9785</v>
      </c>
      <c r="B3309" s="17" t="s">
        <v>70</v>
      </c>
      <c r="C3309" s="17" t="s">
        <v>71</v>
      </c>
      <c r="D3309" t="s">
        <v>6671</v>
      </c>
      <c r="F3309" t="s">
        <v>9786</v>
      </c>
      <c r="K3309" s="18">
        <f>62811149660</f>
        <v>62811149660</v>
      </c>
      <c r="N3309" s="17" t="s">
        <v>81</v>
      </c>
      <c r="V3309" s="18">
        <f>62811149660</f>
        <v>62811149660</v>
      </c>
    </row>
    <row r="3310" ht="15" customHeight="1" spans="1:25" x14ac:dyDescent="0.25">
      <c r="A3310" s="17" t="s">
        <v>9787</v>
      </c>
      <c r="B3310" s="17" t="s">
        <v>70</v>
      </c>
      <c r="C3310" s="17" t="s">
        <v>71</v>
      </c>
      <c r="D3310" t="s">
        <v>6671</v>
      </c>
      <c r="F3310" t="s">
        <v>9788</v>
      </c>
      <c r="K3310" s="18">
        <f>628128785227</f>
        <v>628128785227</v>
      </c>
      <c r="N3310" s="17" t="s">
        <v>77</v>
      </c>
      <c r="U3310" s="17"/>
      <c r="V3310" s="18">
        <f>628128785227</f>
        <v>628128785227</v>
      </c>
      <c r="W3310" t="s">
        <v>9789</v>
      </c>
      <c r="Y3310" s="17" t="s">
        <v>9790</v>
      </c>
    </row>
    <row r="3311" ht="15" customHeight="1" spans="1:22" x14ac:dyDescent="0.25">
      <c r="A3311" s="17" t="s">
        <v>9791</v>
      </c>
      <c r="B3311" s="17" t="s">
        <v>70</v>
      </c>
      <c r="C3311" s="17" t="s">
        <v>71</v>
      </c>
      <c r="D3311" t="s">
        <v>6671</v>
      </c>
      <c r="F3311" t="s">
        <v>4194</v>
      </c>
      <c r="K3311" s="18">
        <f>6281617179000</f>
        <v>6281617179000</v>
      </c>
      <c r="N3311" s="17" t="s">
        <v>81</v>
      </c>
      <c r="V3311" s="18">
        <f>6281617179000</f>
        <v>6281617179000</v>
      </c>
    </row>
    <row r="3312" ht="15" customHeight="1" spans="1:22" x14ac:dyDescent="0.25">
      <c r="A3312" s="17" t="s">
        <v>9792</v>
      </c>
      <c r="B3312" s="17" t="s">
        <v>70</v>
      </c>
      <c r="C3312" s="17" t="s">
        <v>71</v>
      </c>
      <c r="D3312" t="s">
        <v>6671</v>
      </c>
      <c r="F3312" t="s">
        <v>282</v>
      </c>
      <c r="K3312" s="18">
        <f>62811899199</f>
        <v>62811899199</v>
      </c>
      <c r="N3312" s="17" t="s">
        <v>81</v>
      </c>
      <c r="V3312" s="18">
        <f>62811899199</f>
        <v>62811899199</v>
      </c>
    </row>
    <row r="3313" ht="15" customHeight="1" spans="1:22" x14ac:dyDescent="0.25">
      <c r="A3313" s="17" t="s">
        <v>9793</v>
      </c>
      <c r="B3313" s="17" t="s">
        <v>70</v>
      </c>
      <c r="C3313" s="17" t="s">
        <v>71</v>
      </c>
      <c r="D3313" t="s">
        <v>6671</v>
      </c>
      <c r="F3313" t="s">
        <v>9794</v>
      </c>
      <c r="J3313" s="17" t="s">
        <v>9795</v>
      </c>
      <c r="K3313" s="18">
        <f>628161380404</f>
        <v>628161380404</v>
      </c>
      <c r="N3313" s="17" t="s">
        <v>81</v>
      </c>
      <c r="V3313" s="18">
        <f>628161380404</f>
        <v>628161380404</v>
      </c>
    </row>
    <row r="3314" ht="15" customHeight="1" spans="1:22" x14ac:dyDescent="0.25">
      <c r="A3314" s="17" t="s">
        <v>9796</v>
      </c>
      <c r="B3314" s="17" t="s">
        <v>70</v>
      </c>
      <c r="C3314" s="17" t="s">
        <v>71</v>
      </c>
      <c r="D3314" t="s">
        <v>6671</v>
      </c>
      <c r="F3314" t="s">
        <v>584</v>
      </c>
      <c r="K3314" s="18">
        <f>628161867905</f>
        <v>628161867905</v>
      </c>
      <c r="N3314" s="17" t="s">
        <v>81</v>
      </c>
      <c r="V3314" s="18">
        <f>628161867905</f>
        <v>628161867905</v>
      </c>
    </row>
    <row r="3315" ht="15" customHeight="1" spans="1:28" x14ac:dyDescent="0.25">
      <c r="A3315" s="17" t="s">
        <v>9797</v>
      </c>
      <c r="B3315" s="17" t="s">
        <v>70</v>
      </c>
      <c r="C3315" s="17" t="s">
        <v>71</v>
      </c>
      <c r="D3315" t="s">
        <v>6671</v>
      </c>
      <c r="F3315" t="s">
        <v>9798</v>
      </c>
      <c r="J3315" t="s">
        <v>9799</v>
      </c>
      <c r="K3315" s="18" t="s">
        <v>9800</v>
      </c>
      <c r="N3315" s="17" t="s">
        <v>77</v>
      </c>
      <c r="O3315" t="s">
        <v>199</v>
      </c>
      <c r="V3315" s="18" t="s">
        <v>9800</v>
      </c>
      <c r="Y3315" t="s">
        <v>190</v>
      </c>
      <c r="AA3315" t="s">
        <v>118</v>
      </c>
      <c r="AB3315" t="s">
        <v>119</v>
      </c>
    </row>
    <row r="3316" ht="15" customHeight="1" spans="1:25" x14ac:dyDescent="0.25">
      <c r="A3316" s="17" t="s">
        <v>9801</v>
      </c>
      <c r="B3316" s="17" t="s">
        <v>70</v>
      </c>
      <c r="C3316" s="17" t="s">
        <v>71</v>
      </c>
      <c r="D3316" t="s">
        <v>6671</v>
      </c>
      <c r="F3316" t="s">
        <v>1646</v>
      </c>
      <c r="J3316" s="17" t="s">
        <v>9802</v>
      </c>
      <c r="K3316" s="18">
        <f>6281333272282</f>
        <v>6281333272282</v>
      </c>
      <c r="N3316" s="17" t="s">
        <v>77</v>
      </c>
      <c r="U3316" s="17"/>
      <c r="V3316" s="18">
        <f>6281333272282</f>
        <v>6281333272282</v>
      </c>
      <c r="W3316" t="s">
        <v>9803</v>
      </c>
      <c r="Y3316" s="17" t="s">
        <v>96</v>
      </c>
    </row>
    <row r="3317" ht="15" customHeight="1" spans="1:28" x14ac:dyDescent="0.25">
      <c r="A3317" s="17" t="s">
        <v>9804</v>
      </c>
      <c r="B3317" s="17" t="s">
        <v>70</v>
      </c>
      <c r="C3317" s="17" t="s">
        <v>71</v>
      </c>
      <c r="D3317" t="s">
        <v>9805</v>
      </c>
      <c r="F3317" t="s">
        <v>9806</v>
      </c>
      <c r="J3317" t="s">
        <v>115</v>
      </c>
      <c r="K3317" s="18" t="s">
        <v>9807</v>
      </c>
      <c r="N3317" s="17" t="s">
        <v>77</v>
      </c>
      <c r="O3317" t="s">
        <v>117</v>
      </c>
      <c r="U3317" s="17"/>
      <c r="V3317" s="18" t="s">
        <v>9807</v>
      </c>
      <c r="W3317" t="s">
        <v>9808</v>
      </c>
      <c r="Y3317" s="17" t="s">
        <v>190</v>
      </c>
      <c r="AA3317" s="17" t="s">
        <v>118</v>
      </c>
      <c r="AB3317" t="s">
        <v>119</v>
      </c>
    </row>
    <row r="3318" ht="15" customHeight="1" spans="1:22" x14ac:dyDescent="0.25">
      <c r="A3318" s="17" t="s">
        <v>9809</v>
      </c>
      <c r="B3318" s="17" t="s">
        <v>70</v>
      </c>
      <c r="C3318" s="17" t="s">
        <v>71</v>
      </c>
      <c r="D3318" t="s">
        <v>6671</v>
      </c>
      <c r="F3318" t="s">
        <v>9810</v>
      </c>
      <c r="K3318" s="18">
        <f>62811988603</f>
        <v>62811988603</v>
      </c>
      <c r="N3318" s="17" t="s">
        <v>77</v>
      </c>
      <c r="V3318" s="18">
        <f>62811988603</f>
        <v>62811988603</v>
      </c>
    </row>
    <row r="3319" ht="15" customHeight="1" spans="1:28" x14ac:dyDescent="0.25">
      <c r="A3319" s="17" t="s">
        <v>9811</v>
      </c>
      <c r="B3319" s="17" t="s">
        <v>70</v>
      </c>
      <c r="C3319" s="17" t="s">
        <v>71</v>
      </c>
      <c r="D3319" t="s">
        <v>6671</v>
      </c>
      <c r="F3319" t="s">
        <v>9812</v>
      </c>
      <c r="J3319" s="17" t="s">
        <v>9813</v>
      </c>
      <c r="K3319" s="18" t="s">
        <v>9814</v>
      </c>
      <c r="N3319" s="17" t="s">
        <v>77</v>
      </c>
      <c r="O3319" t="s">
        <v>117</v>
      </c>
      <c r="V3319" s="18" t="s">
        <v>9814</v>
      </c>
      <c r="Y3319" s="17" t="s">
        <v>190</v>
      </c>
      <c r="AA3319" t="s">
        <v>118</v>
      </c>
      <c r="AB3319" t="s">
        <v>119</v>
      </c>
    </row>
    <row r="3320" ht="15" customHeight="1" spans="1:28" x14ac:dyDescent="0.25">
      <c r="A3320" s="17" t="s">
        <v>9815</v>
      </c>
      <c r="B3320" s="17" t="s">
        <v>70</v>
      </c>
      <c r="C3320" s="17" t="s">
        <v>71</v>
      </c>
      <c r="D3320" t="s">
        <v>9816</v>
      </c>
      <c r="F3320" t="s">
        <v>9817</v>
      </c>
      <c r="J3320" t="s">
        <v>9818</v>
      </c>
      <c r="K3320" s="18" t="s">
        <v>9819</v>
      </c>
      <c r="N3320" s="17" t="s">
        <v>74</v>
      </c>
      <c r="O3320" t="s">
        <v>117</v>
      </c>
      <c r="V3320" s="18" t="s">
        <v>9819</v>
      </c>
      <c r="Y3320" t="s">
        <v>190</v>
      </c>
      <c r="AA3320" t="s">
        <v>118</v>
      </c>
      <c r="AB3320" t="s">
        <v>119</v>
      </c>
    </row>
    <row r="3321" ht="15" customHeight="1" spans="1:25" x14ac:dyDescent="0.25">
      <c r="A3321" s="17" t="s">
        <v>9820</v>
      </c>
      <c r="B3321" s="17" t="s">
        <v>70</v>
      </c>
      <c r="C3321" s="17" t="s">
        <v>71</v>
      </c>
      <c r="D3321" t="s">
        <v>6671</v>
      </c>
      <c r="F3321" t="s">
        <v>9821</v>
      </c>
      <c r="K3321" s="18">
        <f>62811790818</f>
        <v>62811790818</v>
      </c>
      <c r="N3321" s="17" t="s">
        <v>77</v>
      </c>
      <c r="U3321" s="17"/>
      <c r="V3321" s="18">
        <f>62811790818</f>
        <v>62811790818</v>
      </c>
      <c r="W3321" t="s">
        <v>9822</v>
      </c>
      <c r="Y3321" s="17" t="s">
        <v>217</v>
      </c>
    </row>
    <row r="3322" ht="15" customHeight="1" spans="1:22" x14ac:dyDescent="0.25">
      <c r="A3322" s="17" t="s">
        <v>9823</v>
      </c>
      <c r="B3322" s="17" t="s">
        <v>70</v>
      </c>
      <c r="C3322" s="17" t="s">
        <v>71</v>
      </c>
      <c r="D3322" t="s">
        <v>6671</v>
      </c>
      <c r="F3322" t="s">
        <v>9824</v>
      </c>
      <c r="K3322" s="18">
        <f>6281572085042</f>
        <v>6281572085042</v>
      </c>
      <c r="N3322" s="17" t="s">
        <v>77</v>
      </c>
      <c r="V3322" s="18">
        <f>6281572085042</f>
        <v>6281572085042</v>
      </c>
    </row>
    <row r="3323" ht="15" customHeight="1" spans="1:23" x14ac:dyDescent="0.25">
      <c r="A3323" s="17" t="s">
        <v>9825</v>
      </c>
      <c r="B3323" s="17" t="s">
        <v>70</v>
      </c>
      <c r="C3323" s="17" t="s">
        <v>71</v>
      </c>
      <c r="D3323" t="s">
        <v>6671</v>
      </c>
      <c r="F3323" t="s">
        <v>9826</v>
      </c>
      <c r="J3323" s="17" t="s">
        <v>9827</v>
      </c>
      <c r="K3323" s="18">
        <f>6281288132277</f>
        <v>6281288132277</v>
      </c>
      <c r="N3323" s="17" t="s">
        <v>81</v>
      </c>
      <c r="U3323" s="17"/>
      <c r="V3323" s="18">
        <f>6281288132277</f>
        <v>6281288132277</v>
      </c>
      <c r="W3323" t="s">
        <v>9828</v>
      </c>
    </row>
    <row r="3324" ht="15" customHeight="1" spans="1:28" x14ac:dyDescent="0.25">
      <c r="A3324" s="17" t="s">
        <v>9829</v>
      </c>
      <c r="B3324" s="17" t="s">
        <v>70</v>
      </c>
      <c r="C3324" s="17" t="s">
        <v>71</v>
      </c>
      <c r="D3324" t="s">
        <v>6671</v>
      </c>
      <c r="F3324" t="s">
        <v>9830</v>
      </c>
      <c r="J3324" s="17" t="s">
        <v>9831</v>
      </c>
      <c r="K3324" s="18" t="s">
        <v>9832</v>
      </c>
      <c r="N3324" s="17" t="s">
        <v>77</v>
      </c>
      <c r="O3324" t="s">
        <v>261</v>
      </c>
      <c r="U3324" s="17"/>
      <c r="V3324" s="18" t="s">
        <v>9832</v>
      </c>
      <c r="W3324" t="s">
        <v>9833</v>
      </c>
      <c r="Y3324" t="s">
        <v>90</v>
      </c>
      <c r="AA3324" t="s">
        <v>118</v>
      </c>
      <c r="AB3324" t="s">
        <v>119</v>
      </c>
    </row>
    <row r="3325" ht="15" customHeight="1" spans="1:28" x14ac:dyDescent="0.25">
      <c r="A3325" s="17" t="s">
        <v>9834</v>
      </c>
      <c r="B3325" s="17" t="s">
        <v>70</v>
      </c>
      <c r="C3325" s="17" t="s">
        <v>71</v>
      </c>
      <c r="D3325" t="s">
        <v>6671</v>
      </c>
      <c r="F3325" t="s">
        <v>9835</v>
      </c>
      <c r="J3325" t="s">
        <v>115</v>
      </c>
      <c r="K3325" s="18" t="s">
        <v>9836</v>
      </c>
      <c r="N3325" s="17" t="s">
        <v>74</v>
      </c>
      <c r="O3325" t="s">
        <v>489</v>
      </c>
      <c r="U3325" s="17"/>
      <c r="V3325" s="18" t="s">
        <v>9836</v>
      </c>
      <c r="W3325" t="s">
        <v>9837</v>
      </c>
      <c r="Y3325" s="17" t="s">
        <v>90</v>
      </c>
      <c r="AA3325" t="s">
        <v>118</v>
      </c>
      <c r="AB3325" t="s">
        <v>119</v>
      </c>
    </row>
    <row r="3326" ht="15" customHeight="1" spans="1:28" x14ac:dyDescent="0.25">
      <c r="A3326" s="17" t="s">
        <v>9838</v>
      </c>
      <c r="B3326" s="17" t="s">
        <v>70</v>
      </c>
      <c r="C3326" s="17" t="s">
        <v>71</v>
      </c>
      <c r="D3326" t="s">
        <v>6671</v>
      </c>
      <c r="F3326" t="s">
        <v>2586</v>
      </c>
      <c r="J3326" t="s">
        <v>115</v>
      </c>
      <c r="K3326" s="18" t="s">
        <v>9839</v>
      </c>
      <c r="N3326" s="17" t="s">
        <v>74</v>
      </c>
      <c r="O3326" t="s">
        <v>117</v>
      </c>
      <c r="V3326" s="18" t="s">
        <v>9839</v>
      </c>
      <c r="Y3326" t="s">
        <v>90</v>
      </c>
      <c r="AA3326" t="s">
        <v>118</v>
      </c>
      <c r="AB3326" t="s">
        <v>119</v>
      </c>
    </row>
    <row r="3327" ht="15" customHeight="1" spans="1:28" x14ac:dyDescent="0.25">
      <c r="A3327" s="17" t="s">
        <v>9840</v>
      </c>
      <c r="B3327" s="17" t="s">
        <v>70</v>
      </c>
      <c r="C3327" s="17" t="s">
        <v>71</v>
      </c>
      <c r="D3327" t="s">
        <v>6671</v>
      </c>
      <c r="F3327" t="s">
        <v>1564</v>
      </c>
      <c r="J3327" t="s">
        <v>115</v>
      </c>
      <c r="K3327" s="18" t="s">
        <v>9841</v>
      </c>
      <c r="N3327" s="17" t="s">
        <v>77</v>
      </c>
      <c r="O3327" t="s">
        <v>117</v>
      </c>
      <c r="V3327" s="18" t="s">
        <v>9841</v>
      </c>
      <c r="Y3327" t="s">
        <v>90</v>
      </c>
      <c r="AA3327" t="s">
        <v>118</v>
      </c>
      <c r="AB3327" t="s">
        <v>119</v>
      </c>
    </row>
    <row r="3328" ht="15" customHeight="1" spans="1:23" x14ac:dyDescent="0.25">
      <c r="A3328" s="17" t="s">
        <v>9842</v>
      </c>
      <c r="B3328" s="17" t="s">
        <v>70</v>
      </c>
      <c r="C3328" s="17" t="s">
        <v>71</v>
      </c>
      <c r="D3328" t="s">
        <v>6671</v>
      </c>
      <c r="F3328" t="s">
        <v>672</v>
      </c>
      <c r="K3328" s="18">
        <f>6281377113888</f>
        <v>6281377113888</v>
      </c>
      <c r="N3328" s="17" t="s">
        <v>77</v>
      </c>
      <c r="U3328" s="17"/>
      <c r="V3328" s="18">
        <f>6281377113888</f>
        <v>6281377113888</v>
      </c>
      <c r="W3328" t="s">
        <v>9843</v>
      </c>
    </row>
    <row r="3329" ht="15" customHeight="1" spans="1:27" x14ac:dyDescent="0.25">
      <c r="A3329" s="17" t="s">
        <v>9844</v>
      </c>
      <c r="B3329" s="17" t="s">
        <v>70</v>
      </c>
      <c r="C3329" s="17" t="s">
        <v>71</v>
      </c>
      <c r="D3329" t="s">
        <v>6671</v>
      </c>
      <c r="F3329" t="s">
        <v>4858</v>
      </c>
      <c r="J3329" s="17" t="s">
        <v>9845</v>
      </c>
      <c r="K3329" s="18">
        <f>6281223152033</f>
        <v>6281223152033</v>
      </c>
      <c r="N3329" s="17" t="s">
        <v>77</v>
      </c>
      <c r="U3329" s="17"/>
      <c r="V3329" s="18">
        <f>6281223152033</f>
        <v>6281223152033</v>
      </c>
      <c r="W3329" t="s">
        <v>9846</v>
      </c>
      <c r="Y3329" s="17" t="s">
        <v>1794</v>
      </c>
      <c r="AA3329" s="17">
        <v>46244</v>
      </c>
    </row>
    <row r="3330" ht="15" customHeight="1" spans="1:27" x14ac:dyDescent="0.25">
      <c r="A3330" s="17" t="s">
        <v>9847</v>
      </c>
      <c r="B3330" s="17" t="s">
        <v>70</v>
      </c>
      <c r="C3330" s="17" t="s">
        <v>71</v>
      </c>
      <c r="D3330" t="s">
        <v>6671</v>
      </c>
      <c r="F3330" t="s">
        <v>9848</v>
      </c>
      <c r="K3330" s="18">
        <v>70649309</v>
      </c>
      <c r="N3330" s="17" t="s">
        <v>74</v>
      </c>
      <c r="U3330" s="17"/>
      <c r="V3330" s="18">
        <v>70649309</v>
      </c>
      <c r="W3330" t="s">
        <v>9849</v>
      </c>
      <c r="Y3330" s="17" t="s">
        <v>96</v>
      </c>
      <c r="AA3330" s="17" t="s">
        <v>1410</v>
      </c>
    </row>
    <row r="3331" ht="15" customHeight="1" spans="1:22" x14ac:dyDescent="0.25">
      <c r="A3331" s="17" t="s">
        <v>9850</v>
      </c>
      <c r="B3331" s="17" t="s">
        <v>70</v>
      </c>
      <c r="C3331" s="17" t="s">
        <v>71</v>
      </c>
      <c r="D3331" t="s">
        <v>6671</v>
      </c>
      <c r="F3331" t="s">
        <v>9851</v>
      </c>
      <c r="K3331" s="18">
        <f>62811210781</f>
        <v>62811210781</v>
      </c>
      <c r="N3331" s="17" t="s">
        <v>77</v>
      </c>
      <c r="V3331" s="18">
        <f>62811210781</f>
        <v>62811210781</v>
      </c>
    </row>
    <row r="3332" ht="15" customHeight="1" spans="1:22" x14ac:dyDescent="0.25">
      <c r="A3332" s="17" t="s">
        <v>9852</v>
      </c>
      <c r="B3332" s="17" t="s">
        <v>70</v>
      </c>
      <c r="C3332" s="17" t="s">
        <v>71</v>
      </c>
      <c r="D3332" t="s">
        <v>6671</v>
      </c>
      <c r="F3332" t="s">
        <v>9853</v>
      </c>
      <c r="K3332" s="18">
        <f>628128184229</f>
        <v>628128184229</v>
      </c>
      <c r="N3332" s="17" t="s">
        <v>81</v>
      </c>
      <c r="V3332" s="18">
        <f>628128184229</f>
        <v>628128184229</v>
      </c>
    </row>
    <row r="3333" ht="15" customHeight="1" spans="1:22" x14ac:dyDescent="0.25">
      <c r="A3333" s="17" t="s">
        <v>9854</v>
      </c>
      <c r="B3333" s="17" t="s">
        <v>70</v>
      </c>
      <c r="C3333" s="17" t="s">
        <v>71</v>
      </c>
      <c r="D3333" t="s">
        <v>6671</v>
      </c>
      <c r="F3333" t="s">
        <v>4701</v>
      </c>
      <c r="K3333" s="18">
        <f>628128438999</f>
        <v>628128438999</v>
      </c>
      <c r="N3333" s="17" t="s">
        <v>81</v>
      </c>
      <c r="V3333" s="18">
        <f>628128438999</f>
        <v>628128438999</v>
      </c>
    </row>
    <row r="3334" ht="15" customHeight="1" spans="1:25" x14ac:dyDescent="0.25">
      <c r="A3334" s="17" t="s">
        <v>9855</v>
      </c>
      <c r="B3334" s="17" t="s">
        <v>70</v>
      </c>
      <c r="C3334" s="17" t="s">
        <v>71</v>
      </c>
      <c r="D3334" t="s">
        <v>9856</v>
      </c>
      <c r="F3334" t="s">
        <v>9857</v>
      </c>
      <c r="K3334" s="18">
        <f>6282123891335</f>
        <v>6282123891335</v>
      </c>
      <c r="N3334" s="17" t="s">
        <v>74</v>
      </c>
      <c r="U3334" s="17"/>
      <c r="V3334" s="18">
        <f>6282123891335</f>
        <v>6282123891335</v>
      </c>
      <c r="W3334" t="s">
        <v>9858</v>
      </c>
      <c r="Y3334" s="17" t="s">
        <v>96</v>
      </c>
    </row>
    <row r="3335" ht="15" customHeight="1" spans="1:28" x14ac:dyDescent="0.25">
      <c r="A3335" s="17" t="s">
        <v>9859</v>
      </c>
      <c r="B3335" s="17" t="s">
        <v>70</v>
      </c>
      <c r="C3335" s="17" t="s">
        <v>71</v>
      </c>
      <c r="D3335" t="s">
        <v>9860</v>
      </c>
      <c r="F3335" t="s">
        <v>9861</v>
      </c>
      <c r="J3335" t="s">
        <v>9862</v>
      </c>
      <c r="K3335" s="18" t="s">
        <v>9863</v>
      </c>
      <c r="N3335" s="17" t="s">
        <v>74</v>
      </c>
      <c r="O3335" t="s">
        <v>261</v>
      </c>
      <c r="U3335" s="17"/>
      <c r="V3335" s="18" t="s">
        <v>9863</v>
      </c>
      <c r="W3335" t="s">
        <v>9864</v>
      </c>
      <c r="Y3335" s="17" t="s">
        <v>190</v>
      </c>
      <c r="AA3335" t="s">
        <v>118</v>
      </c>
      <c r="AB3335" t="s">
        <v>119</v>
      </c>
    </row>
    <row r="3336" ht="15" customHeight="1" spans="1:22" x14ac:dyDescent="0.25">
      <c r="A3336" s="17" t="s">
        <v>9865</v>
      </c>
      <c r="B3336" s="17" t="s">
        <v>70</v>
      </c>
      <c r="C3336" s="17" t="s">
        <v>71</v>
      </c>
      <c r="D3336" t="s">
        <v>9860</v>
      </c>
      <c r="F3336" t="s">
        <v>9866</v>
      </c>
      <c r="K3336" s="18">
        <f>628119936069</f>
        <v>628119936069</v>
      </c>
      <c r="N3336" s="17" t="s">
        <v>81</v>
      </c>
      <c r="V3336" s="18">
        <f>628119936069</f>
        <v>628119936069</v>
      </c>
    </row>
    <row r="3337" ht="15" customHeight="1" spans="1:23" x14ac:dyDescent="0.25">
      <c r="A3337" s="17" t="s">
        <v>9867</v>
      </c>
      <c r="B3337" s="17" t="s">
        <v>70</v>
      </c>
      <c r="C3337" s="17" t="s">
        <v>71</v>
      </c>
      <c r="D3337" t="s">
        <v>9860</v>
      </c>
      <c r="F3337" t="s">
        <v>9868</v>
      </c>
      <c r="K3337" s="18">
        <f>628133038808</f>
        <v>628133038808</v>
      </c>
      <c r="N3337" s="17" t="s">
        <v>81</v>
      </c>
      <c r="U3337" s="17"/>
      <c r="V3337" s="18">
        <f>628133038808</f>
        <v>628133038808</v>
      </c>
      <c r="W3337" t="s">
        <v>9869</v>
      </c>
    </row>
    <row r="3338" ht="15" customHeight="1" spans="1:28" x14ac:dyDescent="0.25">
      <c r="A3338" s="17" t="s">
        <v>9870</v>
      </c>
      <c r="B3338" s="17" t="s">
        <v>70</v>
      </c>
      <c r="C3338" s="17" t="s">
        <v>71</v>
      </c>
      <c r="D3338" t="s">
        <v>9871</v>
      </c>
      <c r="F3338" t="s">
        <v>9872</v>
      </c>
      <c r="J3338" t="s">
        <v>115</v>
      </c>
      <c r="K3338" s="18" t="s">
        <v>9873</v>
      </c>
      <c r="N3338" s="17" t="s">
        <v>77</v>
      </c>
      <c r="O3338" t="s">
        <v>117</v>
      </c>
      <c r="U3338" s="17"/>
      <c r="V3338" s="18" t="s">
        <v>9873</v>
      </c>
      <c r="W3338" t="s">
        <v>90</v>
      </c>
      <c r="Y3338" t="s">
        <v>704</v>
      </c>
      <c r="AA3338" t="s">
        <v>705</v>
      </c>
      <c r="AB3338" t="s">
        <v>119</v>
      </c>
    </row>
    <row r="3339" ht="15" customHeight="1" spans="1:25" x14ac:dyDescent="0.25">
      <c r="A3339" s="17" t="s">
        <v>9874</v>
      </c>
      <c r="B3339" s="17" t="s">
        <v>70</v>
      </c>
      <c r="C3339" s="17" t="s">
        <v>71</v>
      </c>
      <c r="D3339" t="s">
        <v>9875</v>
      </c>
      <c r="F3339" t="s">
        <v>9876</v>
      </c>
      <c r="K3339" s="18">
        <f>628121001779</f>
        <v>628121001779</v>
      </c>
      <c r="N3339" s="17" t="s">
        <v>77</v>
      </c>
      <c r="U3339" s="17"/>
      <c r="V3339" s="18">
        <f>628121001779</f>
        <v>628121001779</v>
      </c>
      <c r="W3339" t="s">
        <v>9877</v>
      </c>
      <c r="Y3339" s="17" t="s">
        <v>96</v>
      </c>
    </row>
    <row r="3340" ht="15" customHeight="1" spans="1:22" x14ac:dyDescent="0.25">
      <c r="A3340" s="17" t="s">
        <v>9878</v>
      </c>
      <c r="B3340" s="17" t="s">
        <v>70</v>
      </c>
      <c r="C3340" s="17" t="s">
        <v>71</v>
      </c>
      <c r="D3340" t="s">
        <v>9875</v>
      </c>
      <c r="F3340" t="s">
        <v>1564</v>
      </c>
      <c r="K3340" s="18">
        <f>628151874490</f>
        <v>628151874490</v>
      </c>
      <c r="N3340" s="17" t="s">
        <v>77</v>
      </c>
      <c r="V3340" s="18">
        <f>628151874490</f>
        <v>628151874490</v>
      </c>
    </row>
    <row r="3341" ht="15" customHeight="1" spans="1:22" x14ac:dyDescent="0.25">
      <c r="A3341" s="17" t="s">
        <v>9879</v>
      </c>
      <c r="B3341" s="17" t="s">
        <v>70</v>
      </c>
      <c r="C3341" s="17" t="s">
        <v>71</v>
      </c>
      <c r="D3341" t="s">
        <v>9880</v>
      </c>
      <c r="F3341" t="s">
        <v>9881</v>
      </c>
      <c r="J3341" s="17" t="s">
        <v>9882</v>
      </c>
      <c r="K3341" s="18">
        <f>628111863939</f>
        <v>628111863939</v>
      </c>
      <c r="N3341" s="17" t="s">
        <v>77</v>
      </c>
      <c r="V3341" s="18">
        <f>628111863939</f>
        <v>628111863939</v>
      </c>
    </row>
    <row r="3342" ht="15" customHeight="1" spans="1:22" x14ac:dyDescent="0.25">
      <c r="A3342" s="17" t="s">
        <v>9883</v>
      </c>
      <c r="B3342" s="17" t="s">
        <v>70</v>
      </c>
      <c r="C3342" s="17" t="s">
        <v>71</v>
      </c>
      <c r="D3342" t="s">
        <v>9884</v>
      </c>
      <c r="F3342" t="s">
        <v>9885</v>
      </c>
      <c r="K3342" s="18">
        <f>972549568633</f>
        <v>972549568633</v>
      </c>
      <c r="N3342" s="17" t="s">
        <v>81</v>
      </c>
      <c r="V3342" s="18">
        <f>972549568633</f>
        <v>972549568633</v>
      </c>
    </row>
    <row r="3343" ht="15" customHeight="1" spans="1:28" x14ac:dyDescent="0.25">
      <c r="A3343" s="17" t="s">
        <v>9886</v>
      </c>
      <c r="B3343" s="17" t="s">
        <v>70</v>
      </c>
      <c r="C3343" s="17" t="s">
        <v>71</v>
      </c>
      <c r="D3343" t="s">
        <v>9887</v>
      </c>
      <c r="F3343" t="s">
        <v>9888</v>
      </c>
      <c r="J3343" t="s">
        <v>115</v>
      </c>
      <c r="K3343" s="18" t="s">
        <v>9889</v>
      </c>
      <c r="N3343" s="17" t="s">
        <v>81</v>
      </c>
      <c r="O3343" t="s">
        <v>117</v>
      </c>
      <c r="U3343" s="17"/>
      <c r="V3343" s="18" t="s">
        <v>9889</v>
      </c>
      <c r="W3343" t="s">
        <v>9890</v>
      </c>
      <c r="Y3343" s="17" t="s">
        <v>181</v>
      </c>
      <c r="AA3343" t="s">
        <v>1672</v>
      </c>
      <c r="AB3343" t="s">
        <v>119</v>
      </c>
    </row>
    <row r="3344" ht="15" customHeight="1" spans="1:28" x14ac:dyDescent="0.25">
      <c r="A3344" s="17" t="s">
        <v>9891</v>
      </c>
      <c r="B3344" s="17" t="s">
        <v>70</v>
      </c>
      <c r="C3344" s="17" t="s">
        <v>71</v>
      </c>
      <c r="D3344" t="s">
        <v>9892</v>
      </c>
      <c r="F3344" t="s">
        <v>9893</v>
      </c>
      <c r="J3344" s="17" t="s">
        <v>9894</v>
      </c>
      <c r="K3344" s="18" t="s">
        <v>9895</v>
      </c>
      <c r="N3344" s="17" t="s">
        <v>77</v>
      </c>
      <c r="O3344" t="s">
        <v>199</v>
      </c>
      <c r="V3344" s="18" t="s">
        <v>9895</v>
      </c>
      <c r="Y3344" t="s">
        <v>115</v>
      </c>
      <c r="AA3344" t="s">
        <v>115</v>
      </c>
      <c r="AB3344" t="s">
        <v>119</v>
      </c>
    </row>
    <row r="3345" ht="15" customHeight="1" spans="1:28" x14ac:dyDescent="0.25">
      <c r="A3345" s="17" t="s">
        <v>9896</v>
      </c>
      <c r="B3345" s="17" t="s">
        <v>70</v>
      </c>
      <c r="C3345" s="17" t="s">
        <v>71</v>
      </c>
      <c r="D3345" t="s">
        <v>9897</v>
      </c>
      <c r="F3345" t="s">
        <v>5681</v>
      </c>
      <c r="J3345" t="s">
        <v>9898</v>
      </c>
      <c r="K3345" s="18" t="s">
        <v>9899</v>
      </c>
      <c r="N3345" s="17" t="s">
        <v>77</v>
      </c>
      <c r="O3345" t="s">
        <v>145</v>
      </c>
      <c r="U3345" s="17"/>
      <c r="V3345" s="18" t="s">
        <v>9899</v>
      </c>
      <c r="W3345" t="s">
        <v>9900</v>
      </c>
      <c r="Y3345" t="s">
        <v>90</v>
      </c>
      <c r="AA3345" s="17" t="s">
        <v>118</v>
      </c>
      <c r="AB3345" t="s">
        <v>119</v>
      </c>
    </row>
    <row r="3346" ht="15" customHeight="1" spans="1:22" x14ac:dyDescent="0.25">
      <c r="A3346" s="17" t="s">
        <v>9901</v>
      </c>
      <c r="B3346" s="17" t="s">
        <v>70</v>
      </c>
      <c r="C3346" s="17" t="s">
        <v>71</v>
      </c>
      <c r="D3346" t="s">
        <v>4869</v>
      </c>
      <c r="F3346" t="s">
        <v>4869</v>
      </c>
      <c r="K3346" s="18">
        <f>628121802222</f>
        <v>628121802222</v>
      </c>
      <c r="N3346" s="17" t="s">
        <v>74</v>
      </c>
      <c r="V3346" s="18">
        <f>628121802222</f>
        <v>628121802222</v>
      </c>
    </row>
    <row r="3347" ht="15" customHeight="1" spans="1:22" x14ac:dyDescent="0.25">
      <c r="A3347" s="17" t="s">
        <v>9902</v>
      </c>
      <c r="B3347" s="17" t="s">
        <v>70</v>
      </c>
      <c r="C3347" s="17" t="s">
        <v>71</v>
      </c>
      <c r="D3347" t="s">
        <v>9903</v>
      </c>
      <c r="F3347" t="s">
        <v>9903</v>
      </c>
      <c r="K3347" s="18">
        <f>6281519052296</f>
        <v>6281519052296</v>
      </c>
      <c r="N3347" s="17" t="s">
        <v>77</v>
      </c>
      <c r="V3347" s="18">
        <f>6281519052296</f>
        <v>6281519052296</v>
      </c>
    </row>
    <row r="3348" ht="15" customHeight="1" spans="1:22" x14ac:dyDescent="0.25">
      <c r="A3348" s="17" t="s">
        <v>9904</v>
      </c>
      <c r="B3348" s="17" t="s">
        <v>70</v>
      </c>
      <c r="C3348" s="17" t="s">
        <v>71</v>
      </c>
      <c r="D3348" t="s">
        <v>9905</v>
      </c>
      <c r="F3348" t="s">
        <v>9905</v>
      </c>
      <c r="K3348" s="18">
        <f>6282178877898</f>
        <v>6282178877898</v>
      </c>
      <c r="N3348" s="17" t="s">
        <v>74</v>
      </c>
      <c r="V3348" s="18">
        <f>6282178877898</f>
        <v>6282178877898</v>
      </c>
    </row>
    <row r="3349" ht="15" customHeight="1" spans="1:22" x14ac:dyDescent="0.25">
      <c r="A3349" s="17" t="s">
        <v>9906</v>
      </c>
      <c r="B3349" s="17" t="s">
        <v>70</v>
      </c>
      <c r="C3349" s="17" t="s">
        <v>71</v>
      </c>
      <c r="D3349" t="s">
        <v>9907</v>
      </c>
      <c r="F3349" t="s">
        <v>9908</v>
      </c>
      <c r="K3349" s="18">
        <f>62811110197</f>
        <v>62811110197</v>
      </c>
      <c r="N3349" s="17" t="s">
        <v>77</v>
      </c>
      <c r="V3349" s="18">
        <f>62811110197</f>
        <v>62811110197</v>
      </c>
    </row>
    <row r="3350" ht="15" customHeight="1" spans="1:22" x14ac:dyDescent="0.25">
      <c r="A3350" s="17" t="s">
        <v>9909</v>
      </c>
      <c r="B3350" s="17" t="s">
        <v>70</v>
      </c>
      <c r="C3350" s="17" t="s">
        <v>71</v>
      </c>
      <c r="D3350" t="s">
        <v>9910</v>
      </c>
      <c r="F3350" t="s">
        <v>9910</v>
      </c>
      <c r="K3350" s="18">
        <f>628568111444</f>
        <v>628568111444</v>
      </c>
      <c r="N3350" s="17" t="s">
        <v>77</v>
      </c>
      <c r="V3350" s="18">
        <f>628568111444</f>
        <v>628568111444</v>
      </c>
    </row>
    <row r="3351" ht="15" customHeight="1" spans="1:22" x14ac:dyDescent="0.25">
      <c r="A3351" s="17" t="s">
        <v>9911</v>
      </c>
      <c r="B3351" s="17" t="s">
        <v>70</v>
      </c>
      <c r="C3351" s="17" t="s">
        <v>71</v>
      </c>
      <c r="D3351" t="s">
        <v>9912</v>
      </c>
      <c r="F3351" t="s">
        <v>9913</v>
      </c>
      <c r="K3351" s="18">
        <f>6281330691000</f>
        <v>6281330691000</v>
      </c>
      <c r="N3351" s="17" t="s">
        <v>74</v>
      </c>
      <c r="V3351" s="18">
        <f>6281330691000</f>
        <v>6281330691000</v>
      </c>
    </row>
    <row r="3352" ht="15" customHeight="1" spans="1:22" x14ac:dyDescent="0.25">
      <c r="A3352" s="17" t="s">
        <v>9914</v>
      </c>
      <c r="B3352" s="17" t="s">
        <v>70</v>
      </c>
      <c r="C3352" s="17" t="s">
        <v>71</v>
      </c>
      <c r="D3352" t="s">
        <v>9912</v>
      </c>
      <c r="F3352" t="s">
        <v>9913</v>
      </c>
      <c r="K3352" s="18">
        <f>6281277129393</f>
        <v>6281277129393</v>
      </c>
      <c r="N3352" s="17" t="s">
        <v>74</v>
      </c>
      <c r="V3352" s="18">
        <f>6281277129393</f>
        <v>6281277129393</v>
      </c>
    </row>
    <row r="3353" ht="15" customHeight="1" spans="1:23" x14ac:dyDescent="0.25">
      <c r="A3353" s="17" t="s">
        <v>9915</v>
      </c>
      <c r="B3353" s="17" t="s">
        <v>70</v>
      </c>
      <c r="C3353" s="17" t="s">
        <v>71</v>
      </c>
      <c r="D3353" t="s">
        <v>9916</v>
      </c>
      <c r="F3353" t="s">
        <v>1184</v>
      </c>
      <c r="K3353" s="18">
        <f>6281397300300</f>
        <v>6281397300300</v>
      </c>
      <c r="N3353" s="17" t="s">
        <v>81</v>
      </c>
      <c r="U3353" s="17"/>
      <c r="V3353" s="18">
        <f>6281397300300</f>
        <v>6281397300300</v>
      </c>
      <c r="W3353" t="s">
        <v>9917</v>
      </c>
    </row>
    <row r="3354" ht="15" customHeight="1" spans="1:22" x14ac:dyDescent="0.25">
      <c r="A3354" s="17" t="s">
        <v>9918</v>
      </c>
      <c r="B3354" s="17" t="s">
        <v>70</v>
      </c>
      <c r="C3354" s="17" t="s">
        <v>71</v>
      </c>
      <c r="D3354" t="s">
        <v>9919</v>
      </c>
      <c r="F3354" t="s">
        <v>9920</v>
      </c>
      <c r="K3354" s="18">
        <f>6281382972536</f>
        <v>6281382972536</v>
      </c>
      <c r="N3354" s="17" t="s">
        <v>77</v>
      </c>
      <c r="V3354" s="18">
        <f>6281382972536</f>
        <v>6281382972536</v>
      </c>
    </row>
    <row r="3355" ht="15" customHeight="1" spans="1:22" x14ac:dyDescent="0.25">
      <c r="A3355" s="17" t="s">
        <v>9921</v>
      </c>
      <c r="B3355" s="17" t="s">
        <v>70</v>
      </c>
      <c r="C3355" s="17" t="s">
        <v>71</v>
      </c>
      <c r="D3355" t="s">
        <v>9922</v>
      </c>
      <c r="F3355" t="s">
        <v>9923</v>
      </c>
      <c r="K3355" s="18">
        <f>6281315748441</f>
        <v>6281315748441</v>
      </c>
      <c r="N3355" s="17" t="s">
        <v>77</v>
      </c>
      <c r="V3355" s="18">
        <f>6281315748441</f>
        <v>6281315748441</v>
      </c>
    </row>
    <row r="3356" ht="15" customHeight="1" spans="1:22" x14ac:dyDescent="0.25">
      <c r="A3356" s="17" t="s">
        <v>9924</v>
      </c>
      <c r="B3356" s="17" t="s">
        <v>70</v>
      </c>
      <c r="C3356" s="17" t="s">
        <v>71</v>
      </c>
      <c r="D3356" t="s">
        <v>7596</v>
      </c>
      <c r="F3356" t="s">
        <v>9925</v>
      </c>
      <c r="K3356" s="18">
        <f>628126090270</f>
        <v>628126090270</v>
      </c>
      <c r="N3356" s="17" t="s">
        <v>81</v>
      </c>
      <c r="V3356" s="18">
        <f>628126090270</f>
        <v>628126090270</v>
      </c>
    </row>
    <row r="3357" ht="15" customHeight="1" spans="1:28" x14ac:dyDescent="0.25">
      <c r="A3357" s="17" t="s">
        <v>9926</v>
      </c>
      <c r="B3357" s="17" t="s">
        <v>70</v>
      </c>
      <c r="C3357" s="17" t="s">
        <v>71</v>
      </c>
      <c r="D3357" t="s">
        <v>9927</v>
      </c>
      <c r="F3357" t="s">
        <v>9928</v>
      </c>
      <c r="J3357" s="17" t="s">
        <v>9929</v>
      </c>
      <c r="K3357" s="18" t="s">
        <v>9930</v>
      </c>
      <c r="N3357" s="17" t="s">
        <v>74</v>
      </c>
      <c r="O3357" t="s">
        <v>145</v>
      </c>
      <c r="U3357" s="17"/>
      <c r="V3357" s="18" t="s">
        <v>9930</v>
      </c>
      <c r="W3357" t="s">
        <v>9931</v>
      </c>
      <c r="Y3357" t="s">
        <v>90</v>
      </c>
      <c r="AA3357" t="s">
        <v>118</v>
      </c>
      <c r="AB3357" t="s">
        <v>119</v>
      </c>
    </row>
    <row r="3358" ht="15" customHeight="1" spans="1:28" x14ac:dyDescent="0.25">
      <c r="A3358" s="17" t="s">
        <v>9932</v>
      </c>
      <c r="B3358" s="17" t="s">
        <v>70</v>
      </c>
      <c r="C3358" s="17" t="s">
        <v>71</v>
      </c>
      <c r="D3358" t="s">
        <v>9933</v>
      </c>
      <c r="F3358" t="s">
        <v>9934</v>
      </c>
      <c r="J3358" t="s">
        <v>115</v>
      </c>
      <c r="K3358" s="18" t="s">
        <v>9935</v>
      </c>
      <c r="N3358" s="17" t="s">
        <v>77</v>
      </c>
      <c r="O3358" t="s">
        <v>145</v>
      </c>
      <c r="V3358" s="18" t="s">
        <v>9935</v>
      </c>
      <c r="Y3358" t="s">
        <v>90</v>
      </c>
      <c r="AA3358" t="s">
        <v>118</v>
      </c>
      <c r="AB3358" t="s">
        <v>119</v>
      </c>
    </row>
    <row r="3359" ht="15" customHeight="1" spans="1:22" x14ac:dyDescent="0.25">
      <c r="A3359" s="17" t="s">
        <v>9936</v>
      </c>
      <c r="B3359" s="17" t="s">
        <v>70</v>
      </c>
      <c r="C3359" s="17" t="s">
        <v>71</v>
      </c>
      <c r="D3359" t="s">
        <v>9933</v>
      </c>
      <c r="F3359" t="s">
        <v>9937</v>
      </c>
      <c r="K3359" s="18">
        <f>6281294529872</f>
        <v>6281294529872</v>
      </c>
      <c r="N3359" s="17" t="s">
        <v>77</v>
      </c>
      <c r="V3359" s="18">
        <f>6281294529872</f>
        <v>6281294529872</v>
      </c>
    </row>
    <row r="3360" ht="15" customHeight="1" spans="1:25" x14ac:dyDescent="0.25">
      <c r="A3360" s="17" t="s">
        <v>9938</v>
      </c>
      <c r="B3360" s="17" t="s">
        <v>70</v>
      </c>
      <c r="C3360" s="17" t="s">
        <v>71</v>
      </c>
      <c r="D3360" t="s">
        <v>9939</v>
      </c>
      <c r="F3360" t="s">
        <v>9940</v>
      </c>
      <c r="K3360" s="18">
        <f>628118811981</f>
        <v>628118811981</v>
      </c>
      <c r="N3360" s="17" t="s">
        <v>77</v>
      </c>
      <c r="U3360" s="17"/>
      <c r="V3360" s="18">
        <f>628118811981</f>
        <v>628118811981</v>
      </c>
      <c r="W3360" t="s">
        <v>9941</v>
      </c>
      <c r="Y3360" s="17" t="s">
        <v>9942</v>
      </c>
    </row>
    <row r="3361" ht="15" customHeight="1" spans="1:22" x14ac:dyDescent="0.25">
      <c r="A3361" s="17" t="s">
        <v>9943</v>
      </c>
      <c r="B3361" s="17" t="s">
        <v>70</v>
      </c>
      <c r="C3361" s="17" t="s">
        <v>71</v>
      </c>
      <c r="D3361" t="s">
        <v>9944</v>
      </c>
      <c r="F3361" t="s">
        <v>9945</v>
      </c>
      <c r="K3361" s="18">
        <f>62878880622105</f>
        <v>62878880622105</v>
      </c>
      <c r="N3361" s="17" t="s">
        <v>74</v>
      </c>
      <c r="V3361" s="18">
        <f>62878880622105</f>
        <v>62878880622105</v>
      </c>
    </row>
    <row r="3362" ht="15" customHeight="1" spans="1:22" x14ac:dyDescent="0.25">
      <c r="A3362" s="17" t="s">
        <v>9946</v>
      </c>
      <c r="B3362" s="17" t="s">
        <v>70</v>
      </c>
      <c r="C3362" s="17" t="s">
        <v>71</v>
      </c>
      <c r="D3362" t="s">
        <v>4630</v>
      </c>
      <c r="F3362" t="s">
        <v>4630</v>
      </c>
      <c r="K3362" s="18">
        <f>6281280817677</f>
        <v>6281280817677</v>
      </c>
      <c r="N3362" s="17" t="s">
        <v>77</v>
      </c>
      <c r="V3362" s="18">
        <f>6281280817677</f>
        <v>6281280817677</v>
      </c>
    </row>
    <row r="3363" ht="15" customHeight="1" spans="1:22" x14ac:dyDescent="0.25">
      <c r="A3363" s="17" t="s">
        <v>9947</v>
      </c>
      <c r="B3363" s="17" t="s">
        <v>70</v>
      </c>
      <c r="C3363" s="17" t="s">
        <v>71</v>
      </c>
      <c r="D3363" t="s">
        <v>4630</v>
      </c>
      <c r="F3363" t="s">
        <v>4630</v>
      </c>
      <c r="K3363" s="18">
        <f>6285217698700</f>
        <v>6285217698700</v>
      </c>
      <c r="N3363" s="17" t="s">
        <v>77</v>
      </c>
      <c r="V3363" s="18">
        <f>6285217698700</f>
        <v>6285217698700</v>
      </c>
    </row>
    <row r="3364" ht="15" customHeight="1" spans="1:22" x14ac:dyDescent="0.25">
      <c r="A3364" s="17" t="s">
        <v>9948</v>
      </c>
      <c r="B3364" s="17" t="s">
        <v>70</v>
      </c>
      <c r="C3364" s="17" t="s">
        <v>71</v>
      </c>
      <c r="D3364" t="s">
        <v>4630</v>
      </c>
      <c r="F3364" t="s">
        <v>4630</v>
      </c>
      <c r="K3364" s="18">
        <f>62811885458</f>
        <v>62811885458</v>
      </c>
      <c r="N3364" s="17" t="s">
        <v>81</v>
      </c>
      <c r="V3364" s="18">
        <f>62811885458</f>
        <v>62811885458</v>
      </c>
    </row>
    <row r="3365" ht="15" customHeight="1" spans="1:22" x14ac:dyDescent="0.25">
      <c r="A3365" s="17" t="s">
        <v>9949</v>
      </c>
      <c r="B3365" s="17" t="s">
        <v>70</v>
      </c>
      <c r="C3365" s="17" t="s">
        <v>71</v>
      </c>
      <c r="D3365" t="s">
        <v>4630</v>
      </c>
      <c r="F3365" t="s">
        <v>4630</v>
      </c>
      <c r="K3365" s="18">
        <f>62818772258</f>
        <v>62818772258</v>
      </c>
      <c r="N3365" s="17" t="s">
        <v>74</v>
      </c>
      <c r="V3365" s="18">
        <f>62818772258</f>
        <v>62818772258</v>
      </c>
    </row>
    <row r="3366" ht="15" customHeight="1" spans="1:23" x14ac:dyDescent="0.25">
      <c r="A3366" s="17" t="s">
        <v>9950</v>
      </c>
      <c r="B3366" s="17" t="s">
        <v>70</v>
      </c>
      <c r="C3366" s="17" t="s">
        <v>71</v>
      </c>
      <c r="D3366" t="s">
        <v>4630</v>
      </c>
      <c r="F3366" t="s">
        <v>9951</v>
      </c>
      <c r="J3366" s="17" t="s">
        <v>9952</v>
      </c>
      <c r="K3366" s="18">
        <f>628111498766</f>
        <v>628111498766</v>
      </c>
      <c r="N3366" s="17" t="s">
        <v>81</v>
      </c>
      <c r="U3366" s="17"/>
      <c r="V3366" s="18">
        <f>628111498766</f>
        <v>628111498766</v>
      </c>
      <c r="W3366" t="s">
        <v>9953</v>
      </c>
    </row>
    <row r="3367" ht="15" customHeight="1" spans="1:28" x14ac:dyDescent="0.25">
      <c r="A3367" s="17" t="s">
        <v>9954</v>
      </c>
      <c r="B3367" s="17" t="s">
        <v>70</v>
      </c>
      <c r="C3367" s="17" t="s">
        <v>71</v>
      </c>
      <c r="D3367" t="s">
        <v>4630</v>
      </c>
      <c r="F3367" t="s">
        <v>3767</v>
      </c>
      <c r="J3367" t="s">
        <v>115</v>
      </c>
      <c r="K3367" s="18" t="s">
        <v>9955</v>
      </c>
      <c r="N3367" s="17" t="s">
        <v>77</v>
      </c>
      <c r="O3367" t="s">
        <v>117</v>
      </c>
      <c r="U3367" s="17"/>
      <c r="V3367" s="18" t="s">
        <v>9955</v>
      </c>
      <c r="W3367" t="s">
        <v>9956</v>
      </c>
      <c r="Y3367" s="17" t="s">
        <v>90</v>
      </c>
      <c r="AA3367" t="s">
        <v>118</v>
      </c>
      <c r="AB3367" t="s">
        <v>119</v>
      </c>
    </row>
    <row r="3368" ht="15" customHeight="1" spans="1:22" x14ac:dyDescent="0.25">
      <c r="A3368" s="17" t="s">
        <v>9957</v>
      </c>
      <c r="B3368" s="17" t="s">
        <v>70</v>
      </c>
      <c r="C3368" s="17" t="s">
        <v>71</v>
      </c>
      <c r="D3368" t="s">
        <v>4630</v>
      </c>
      <c r="F3368" t="s">
        <v>9958</v>
      </c>
      <c r="K3368" s="18">
        <f>6281285003578</f>
        <v>6281285003578</v>
      </c>
      <c r="N3368" s="17" t="s">
        <v>81</v>
      </c>
      <c r="V3368" s="18">
        <f>6281285003578</f>
        <v>6281285003578</v>
      </c>
    </row>
    <row r="3369" ht="15" customHeight="1" spans="1:27" x14ac:dyDescent="0.25">
      <c r="A3369" s="17" t="s">
        <v>9959</v>
      </c>
      <c r="B3369" s="17" t="s">
        <v>70</v>
      </c>
      <c r="C3369" s="17" t="s">
        <v>71</v>
      </c>
      <c r="D3369" t="s">
        <v>4630</v>
      </c>
      <c r="F3369" t="s">
        <v>6406</v>
      </c>
      <c r="K3369" s="18">
        <f>62214530181</f>
        <v>62214530181</v>
      </c>
      <c r="N3369" s="17" t="s">
        <v>77</v>
      </c>
      <c r="U3369" s="17"/>
      <c r="V3369" s="18">
        <f>62214530181</f>
        <v>62214530181</v>
      </c>
      <c r="W3369" t="s">
        <v>9960</v>
      </c>
      <c r="Y3369" s="17" t="s">
        <v>1084</v>
      </c>
      <c r="AA3369" s="17">
        <v>14240</v>
      </c>
    </row>
    <row r="3370" ht="15" customHeight="1" spans="1:22" x14ac:dyDescent="0.25">
      <c r="A3370" s="17" t="s">
        <v>9961</v>
      </c>
      <c r="B3370" s="17" t="s">
        <v>70</v>
      </c>
      <c r="C3370" s="17" t="s">
        <v>71</v>
      </c>
      <c r="D3370" t="s">
        <v>4630</v>
      </c>
      <c r="F3370" t="s">
        <v>8486</v>
      </c>
      <c r="K3370" s="18">
        <f>62818904926</f>
        <v>62818904926</v>
      </c>
      <c r="N3370" s="17" t="s">
        <v>77</v>
      </c>
      <c r="V3370" s="18">
        <f>62818904926</f>
        <v>62818904926</v>
      </c>
    </row>
    <row r="3371" ht="15" customHeight="1" spans="1:22" x14ac:dyDescent="0.25">
      <c r="A3371" s="17" t="s">
        <v>9962</v>
      </c>
      <c r="B3371" s="17" t="s">
        <v>70</v>
      </c>
      <c r="C3371" s="17" t="s">
        <v>71</v>
      </c>
      <c r="D3371" t="s">
        <v>4630</v>
      </c>
      <c r="F3371" t="s">
        <v>9963</v>
      </c>
      <c r="K3371" s="18">
        <f>6281224950545</f>
        <v>6281224950545</v>
      </c>
      <c r="N3371" s="17" t="s">
        <v>81</v>
      </c>
      <c r="V3371" s="18">
        <f>6281224950545</f>
        <v>6281224950545</v>
      </c>
    </row>
    <row r="3372" ht="15" customHeight="1" spans="1:22" x14ac:dyDescent="0.25">
      <c r="A3372" s="17" t="s">
        <v>9964</v>
      </c>
      <c r="B3372" s="17" t="s">
        <v>70</v>
      </c>
      <c r="C3372" s="17" t="s">
        <v>71</v>
      </c>
      <c r="D3372" t="s">
        <v>4630</v>
      </c>
      <c r="F3372" t="s">
        <v>9965</v>
      </c>
      <c r="K3372" s="18">
        <f>628129947561</f>
        <v>628129947561</v>
      </c>
      <c r="N3372" s="17" t="s">
        <v>81</v>
      </c>
      <c r="V3372" s="18">
        <f>628129947561</f>
        <v>628129947561</v>
      </c>
    </row>
    <row r="3373" ht="15" customHeight="1" spans="1:22" x14ac:dyDescent="0.25">
      <c r="A3373" s="17" t="s">
        <v>9966</v>
      </c>
      <c r="B3373" s="17" t="s">
        <v>70</v>
      </c>
      <c r="C3373" s="17" t="s">
        <v>71</v>
      </c>
      <c r="D3373" t="s">
        <v>4630</v>
      </c>
      <c r="F3373" t="s">
        <v>2004</v>
      </c>
      <c r="K3373" s="18">
        <f>628122285014</f>
        <v>628122285014</v>
      </c>
      <c r="N3373" s="17" t="s">
        <v>81</v>
      </c>
      <c r="V3373" s="18">
        <f>628122285014</f>
        <v>628122285014</v>
      </c>
    </row>
    <row r="3374" ht="15" customHeight="1" spans="1:22" x14ac:dyDescent="0.25">
      <c r="A3374" s="17" t="s">
        <v>9967</v>
      </c>
      <c r="B3374" s="17" t="s">
        <v>70</v>
      </c>
      <c r="C3374" s="17" t="s">
        <v>71</v>
      </c>
      <c r="D3374" t="s">
        <v>4630</v>
      </c>
      <c r="F3374" t="s">
        <v>9968</v>
      </c>
      <c r="K3374" s="18">
        <f>628161635009</f>
        <v>628161635009</v>
      </c>
      <c r="N3374" s="17" t="s">
        <v>81</v>
      </c>
      <c r="V3374" s="18">
        <f>628161635009</f>
        <v>628161635009</v>
      </c>
    </row>
    <row r="3375" ht="15" customHeight="1" spans="1:22" x14ac:dyDescent="0.25">
      <c r="A3375" s="17" t="s">
        <v>9969</v>
      </c>
      <c r="B3375" s="17" t="s">
        <v>70</v>
      </c>
      <c r="C3375" s="17" t="s">
        <v>71</v>
      </c>
      <c r="D3375" t="s">
        <v>4630</v>
      </c>
      <c r="F3375" t="s">
        <v>9970</v>
      </c>
      <c r="K3375" s="18">
        <f>628121384400</f>
        <v>628121384400</v>
      </c>
      <c r="N3375" s="17" t="s">
        <v>81</v>
      </c>
      <c r="V3375" s="18">
        <f>628121384400</f>
        <v>628121384400</v>
      </c>
    </row>
    <row r="3376" ht="15" customHeight="1" spans="1:22" x14ac:dyDescent="0.25">
      <c r="A3376" s="17" t="s">
        <v>9971</v>
      </c>
      <c r="B3376" s="17" t="s">
        <v>70</v>
      </c>
      <c r="C3376" s="17" t="s">
        <v>71</v>
      </c>
      <c r="D3376" t="s">
        <v>4630</v>
      </c>
      <c r="F3376" t="s">
        <v>8970</v>
      </c>
      <c r="K3376" s="18">
        <f>6285691319985</f>
        <v>6285691319985</v>
      </c>
      <c r="N3376" s="17" t="s">
        <v>81</v>
      </c>
      <c r="V3376" s="18">
        <f>6285691319985</f>
        <v>6285691319985</v>
      </c>
    </row>
    <row r="3377" ht="15" customHeight="1" spans="1:22" x14ac:dyDescent="0.25">
      <c r="A3377" s="17" t="s">
        <v>9972</v>
      </c>
      <c r="B3377" s="17" t="s">
        <v>70</v>
      </c>
      <c r="C3377" s="17" t="s">
        <v>71</v>
      </c>
      <c r="D3377" t="s">
        <v>4630</v>
      </c>
      <c r="F3377" t="s">
        <v>9973</v>
      </c>
      <c r="K3377" s="18">
        <f>6281294699998</f>
        <v>6281294699998</v>
      </c>
      <c r="N3377" s="17" t="s">
        <v>77</v>
      </c>
      <c r="V3377" s="18">
        <f>6281294699998</f>
        <v>6281294699998</v>
      </c>
    </row>
    <row r="3378" ht="15" customHeight="1" spans="1:22" x14ac:dyDescent="0.25">
      <c r="A3378" s="17" t="s">
        <v>9974</v>
      </c>
      <c r="B3378" s="17" t="s">
        <v>70</v>
      </c>
      <c r="C3378" s="17" t="s">
        <v>71</v>
      </c>
      <c r="D3378" t="s">
        <v>4630</v>
      </c>
      <c r="F3378" t="s">
        <v>9975</v>
      </c>
      <c r="K3378" s="18">
        <f>6281225577993</f>
        <v>6281225577993</v>
      </c>
      <c r="N3378" s="17" t="s">
        <v>77</v>
      </c>
      <c r="V3378" s="18">
        <f>6281225577993</f>
        <v>6281225577993</v>
      </c>
    </row>
    <row r="3379" ht="15" customHeight="1" spans="1:22" x14ac:dyDescent="0.25">
      <c r="A3379" s="17" t="s">
        <v>9976</v>
      </c>
      <c r="B3379" s="17" t="s">
        <v>70</v>
      </c>
      <c r="C3379" s="17" t="s">
        <v>71</v>
      </c>
      <c r="D3379" t="s">
        <v>9977</v>
      </c>
      <c r="F3379" t="s">
        <v>1982</v>
      </c>
      <c r="K3379" s="18">
        <f>62816764370</f>
        <v>62816764370</v>
      </c>
      <c r="N3379" s="17" t="s">
        <v>74</v>
      </c>
      <c r="V3379" s="18">
        <f>62816764370</f>
        <v>62816764370</v>
      </c>
    </row>
    <row r="3380" ht="15" customHeight="1" spans="1:23" x14ac:dyDescent="0.25">
      <c r="A3380" s="17" t="s">
        <v>9978</v>
      </c>
      <c r="B3380" s="17" t="s">
        <v>70</v>
      </c>
      <c r="C3380" s="17" t="s">
        <v>71</v>
      </c>
      <c r="D3380" t="s">
        <v>9979</v>
      </c>
      <c r="F3380" t="s">
        <v>2258</v>
      </c>
      <c r="K3380" s="18">
        <f>6285210062444</f>
        <v>6285210062444</v>
      </c>
      <c r="N3380" s="17" t="s">
        <v>81</v>
      </c>
      <c r="U3380" s="17"/>
      <c r="V3380" s="18">
        <f>6285210062444</f>
        <v>6285210062444</v>
      </c>
      <c r="W3380" t="s">
        <v>9980</v>
      </c>
    </row>
    <row r="3381" ht="15" customHeight="1" spans="1:22" x14ac:dyDescent="0.25">
      <c r="A3381" s="17" t="s">
        <v>9981</v>
      </c>
      <c r="B3381" s="17" t="s">
        <v>70</v>
      </c>
      <c r="C3381" s="17" t="s">
        <v>71</v>
      </c>
      <c r="D3381" t="s">
        <v>9982</v>
      </c>
      <c r="F3381" t="s">
        <v>9982</v>
      </c>
      <c r="K3381" s="18">
        <f>62811800827</f>
        <v>62811800827</v>
      </c>
      <c r="N3381" s="17" t="s">
        <v>77</v>
      </c>
      <c r="V3381" s="18">
        <f>62811800827</f>
        <v>62811800827</v>
      </c>
    </row>
    <row r="3382" ht="15" customHeight="1" spans="1:22" x14ac:dyDescent="0.25">
      <c r="A3382" s="17" t="s">
        <v>9983</v>
      </c>
      <c r="B3382" s="17" t="s">
        <v>70</v>
      </c>
      <c r="C3382" s="17" t="s">
        <v>71</v>
      </c>
      <c r="D3382" t="s">
        <v>9982</v>
      </c>
      <c r="F3382" t="s">
        <v>9982</v>
      </c>
      <c r="K3382" s="18">
        <f>6287876616263</f>
        <v>6287876616263</v>
      </c>
      <c r="N3382" s="17" t="s">
        <v>77</v>
      </c>
      <c r="V3382" s="18">
        <f>6287876616263</f>
        <v>6287876616263</v>
      </c>
    </row>
    <row r="3383" ht="15" customHeight="1" spans="1:23" x14ac:dyDescent="0.25">
      <c r="A3383" s="17" t="s">
        <v>9984</v>
      </c>
      <c r="B3383" s="17" t="s">
        <v>70</v>
      </c>
      <c r="C3383" s="17" t="s">
        <v>71</v>
      </c>
      <c r="D3383" t="s">
        <v>9982</v>
      </c>
      <c r="F3383" t="s">
        <v>9985</v>
      </c>
      <c r="K3383" s="18">
        <f>6287780869797</f>
        <v>6287780869797</v>
      </c>
      <c r="N3383" s="17" t="s">
        <v>77</v>
      </c>
      <c r="U3383" s="17"/>
      <c r="V3383" s="18">
        <f>6287780869797</f>
        <v>6287780869797</v>
      </c>
      <c r="W3383" t="s">
        <v>9986</v>
      </c>
    </row>
    <row r="3384" ht="15" customHeight="1" spans="1:22" x14ac:dyDescent="0.25">
      <c r="A3384" s="17" t="s">
        <v>9987</v>
      </c>
      <c r="B3384" s="17" t="s">
        <v>70</v>
      </c>
      <c r="C3384" s="17" t="s">
        <v>71</v>
      </c>
      <c r="D3384" t="s">
        <v>9982</v>
      </c>
      <c r="F3384" t="s">
        <v>9988</v>
      </c>
      <c r="K3384" s="18">
        <f>6285106000174</f>
        <v>6285106000174</v>
      </c>
      <c r="N3384" s="17" t="s">
        <v>77</v>
      </c>
      <c r="V3384" s="18">
        <f>6285106000174</f>
        <v>6285106000174</v>
      </c>
    </row>
    <row r="3385" ht="15" customHeight="1" spans="1:25" x14ac:dyDescent="0.25">
      <c r="A3385" s="17" t="s">
        <v>9989</v>
      </c>
      <c r="B3385" s="17" t="s">
        <v>70</v>
      </c>
      <c r="C3385" s="17" t="s">
        <v>71</v>
      </c>
      <c r="D3385" t="s">
        <v>9982</v>
      </c>
      <c r="F3385" t="s">
        <v>2153</v>
      </c>
      <c r="K3385" s="18">
        <f>6281284149412</f>
        <v>6281284149412</v>
      </c>
      <c r="N3385" s="17" t="s">
        <v>81</v>
      </c>
      <c r="U3385" s="17"/>
      <c r="V3385" s="18">
        <f>6281284149412</f>
        <v>6281284149412</v>
      </c>
      <c r="W3385" t="s">
        <v>9990</v>
      </c>
      <c r="Y3385" s="17" t="s">
        <v>622</v>
      </c>
    </row>
    <row r="3386" ht="15" customHeight="1" spans="1:23" x14ac:dyDescent="0.25">
      <c r="A3386" s="17" t="s">
        <v>9991</v>
      </c>
      <c r="B3386" s="17" t="s">
        <v>70</v>
      </c>
      <c r="C3386" s="17" t="s">
        <v>71</v>
      </c>
      <c r="D3386" t="s">
        <v>9982</v>
      </c>
      <c r="F3386" t="s">
        <v>2545</v>
      </c>
      <c r="K3386" s="18">
        <f>6281997007</f>
        <v>6281997007</v>
      </c>
      <c r="N3386" s="17" t="s">
        <v>77</v>
      </c>
      <c r="U3386" s="17"/>
      <c r="V3386" s="18">
        <f>6281997007</f>
        <v>6281997007</v>
      </c>
      <c r="W3386" t="s">
        <v>9992</v>
      </c>
    </row>
    <row r="3387" ht="15" customHeight="1" spans="1:22" x14ac:dyDescent="0.25">
      <c r="A3387" s="17" t="s">
        <v>9993</v>
      </c>
      <c r="B3387" s="17" t="s">
        <v>70</v>
      </c>
      <c r="C3387" s="17" t="s">
        <v>71</v>
      </c>
      <c r="D3387" t="s">
        <v>9982</v>
      </c>
      <c r="F3387" t="s">
        <v>3008</v>
      </c>
      <c r="K3387" s="18">
        <f>6285780445400</f>
        <v>6285780445400</v>
      </c>
      <c r="N3387" s="17" t="s">
        <v>77</v>
      </c>
      <c r="V3387" s="18">
        <f>6285780445400</f>
        <v>6285780445400</v>
      </c>
    </row>
    <row r="3388" ht="15" customHeight="1" spans="1:23" x14ac:dyDescent="0.25">
      <c r="A3388" s="17" t="s">
        <v>9994</v>
      </c>
      <c r="B3388" s="17" t="s">
        <v>70</v>
      </c>
      <c r="C3388" s="17" t="s">
        <v>71</v>
      </c>
      <c r="D3388" t="s">
        <v>9982</v>
      </c>
      <c r="F3388" t="s">
        <v>9995</v>
      </c>
      <c r="J3388" s="17" t="s">
        <v>9996</v>
      </c>
      <c r="K3388" s="18">
        <f>6281299079401</f>
        <v>6281299079401</v>
      </c>
      <c r="N3388" s="17" t="s">
        <v>77</v>
      </c>
      <c r="U3388" s="17"/>
      <c r="V3388" s="18">
        <f>6281299079401</f>
        <v>6281299079401</v>
      </c>
      <c r="W3388" t="s">
        <v>9997</v>
      </c>
    </row>
    <row r="3389" ht="15" customHeight="1" spans="1:22" x14ac:dyDescent="0.25">
      <c r="A3389" s="17" t="s">
        <v>9998</v>
      </c>
      <c r="B3389" s="17" t="s">
        <v>70</v>
      </c>
      <c r="C3389" s="17" t="s">
        <v>71</v>
      </c>
      <c r="D3389" t="s">
        <v>9982</v>
      </c>
      <c r="F3389" t="s">
        <v>3193</v>
      </c>
      <c r="K3389" s="18">
        <f>628568874345</f>
        <v>628568874345</v>
      </c>
      <c r="N3389" s="17" t="s">
        <v>81</v>
      </c>
      <c r="V3389" s="18">
        <f>628568874345</f>
        <v>628568874345</v>
      </c>
    </row>
    <row r="3390" ht="15" customHeight="1" spans="1:22" x14ac:dyDescent="0.25">
      <c r="A3390" s="17" t="s">
        <v>9999</v>
      </c>
      <c r="B3390" s="17" t="s">
        <v>70</v>
      </c>
      <c r="C3390" s="17" t="s">
        <v>71</v>
      </c>
      <c r="D3390" t="s">
        <v>9982</v>
      </c>
      <c r="F3390" t="s">
        <v>2288</v>
      </c>
      <c r="K3390" s="18">
        <f>628112513062</f>
        <v>628112513062</v>
      </c>
      <c r="N3390" s="17" t="s">
        <v>81</v>
      </c>
      <c r="V3390" s="18">
        <f>628112513062</f>
        <v>628112513062</v>
      </c>
    </row>
    <row r="3391" ht="15" customHeight="1" spans="1:27" x14ac:dyDescent="0.25">
      <c r="A3391" s="17" t="s">
        <v>10000</v>
      </c>
      <c r="B3391" s="17" t="s">
        <v>70</v>
      </c>
      <c r="C3391" s="17" t="s">
        <v>71</v>
      </c>
      <c r="D3391" t="s">
        <v>9982</v>
      </c>
      <c r="F3391" t="s">
        <v>10001</v>
      </c>
      <c r="J3391" s="17" t="s">
        <v>10002</v>
      </c>
      <c r="K3391" s="18">
        <f>628129390903</f>
        <v>628129390903</v>
      </c>
      <c r="N3391" s="17" t="s">
        <v>81</v>
      </c>
      <c r="U3391" s="17"/>
      <c r="V3391" s="18">
        <f>628129390903</f>
        <v>628129390903</v>
      </c>
      <c r="W3391" t="s">
        <v>10003</v>
      </c>
      <c r="AA3391" s="17">
        <v>13910</v>
      </c>
    </row>
    <row r="3392" ht="15" customHeight="1" spans="1:23" x14ac:dyDescent="0.25">
      <c r="A3392" s="17" t="s">
        <v>10004</v>
      </c>
      <c r="B3392" s="17" t="s">
        <v>70</v>
      </c>
      <c r="C3392" s="17" t="s">
        <v>71</v>
      </c>
      <c r="D3392" t="s">
        <v>9982</v>
      </c>
      <c r="F3392" t="s">
        <v>10005</v>
      </c>
      <c r="J3392" s="17" t="s">
        <v>10006</v>
      </c>
      <c r="K3392" s="18">
        <f>62816944632</f>
        <v>62816944632</v>
      </c>
      <c r="N3392" s="17" t="s">
        <v>74</v>
      </c>
      <c r="U3392" s="17"/>
      <c r="V3392" s="18">
        <f>62816944632</f>
        <v>62816944632</v>
      </c>
      <c r="W3392" t="s">
        <v>10007</v>
      </c>
    </row>
    <row r="3393" ht="15" customHeight="1" spans="1:22" x14ac:dyDescent="0.25">
      <c r="A3393" s="17" t="s">
        <v>10008</v>
      </c>
      <c r="B3393" s="17" t="s">
        <v>70</v>
      </c>
      <c r="C3393" s="17" t="s">
        <v>71</v>
      </c>
      <c r="D3393" t="s">
        <v>9982</v>
      </c>
      <c r="F3393" t="s">
        <v>10009</v>
      </c>
      <c r="K3393" s="18">
        <f>628166773378</f>
        <v>628166773378</v>
      </c>
      <c r="N3393" s="17" t="s">
        <v>77</v>
      </c>
      <c r="V3393" s="18">
        <f>628166773378</f>
        <v>628166773378</v>
      </c>
    </row>
    <row r="3394" ht="15" customHeight="1" spans="1:22" x14ac:dyDescent="0.25">
      <c r="A3394" s="17" t="s">
        <v>10010</v>
      </c>
      <c r="B3394" s="17" t="s">
        <v>70</v>
      </c>
      <c r="C3394" s="17" t="s">
        <v>71</v>
      </c>
      <c r="D3394" t="s">
        <v>9982</v>
      </c>
      <c r="F3394" t="s">
        <v>1208</v>
      </c>
      <c r="K3394" s="18">
        <f>6281957117788</f>
        <v>6281957117788</v>
      </c>
      <c r="N3394" s="17" t="s">
        <v>77</v>
      </c>
      <c r="V3394" s="18">
        <f>6281957117788</f>
        <v>6281957117788</v>
      </c>
    </row>
    <row r="3395" ht="15" customHeight="1" spans="1:28" x14ac:dyDescent="0.25">
      <c r="A3395" s="17" t="s">
        <v>10011</v>
      </c>
      <c r="B3395" s="17" t="s">
        <v>70</v>
      </c>
      <c r="C3395" s="17" t="s">
        <v>71</v>
      </c>
      <c r="D3395" t="s">
        <v>9982</v>
      </c>
      <c r="F3395" t="s">
        <v>10012</v>
      </c>
      <c r="J3395" t="s">
        <v>115</v>
      </c>
      <c r="K3395" s="18" t="s">
        <v>10013</v>
      </c>
      <c r="N3395" s="17" t="s">
        <v>77</v>
      </c>
      <c r="O3395" t="s">
        <v>117</v>
      </c>
      <c r="V3395" s="18" t="s">
        <v>10013</v>
      </c>
      <c r="Y3395" t="s">
        <v>10014</v>
      </c>
      <c r="AA3395" t="s">
        <v>115</v>
      </c>
      <c r="AB3395" t="s">
        <v>119</v>
      </c>
    </row>
    <row r="3396" ht="15" customHeight="1" spans="1:22" x14ac:dyDescent="0.25">
      <c r="A3396" s="17" t="s">
        <v>10015</v>
      </c>
      <c r="B3396" s="17" t="s">
        <v>70</v>
      </c>
      <c r="C3396" s="17" t="s">
        <v>71</v>
      </c>
      <c r="D3396" t="s">
        <v>9982</v>
      </c>
      <c r="F3396" t="s">
        <v>4018</v>
      </c>
      <c r="K3396" s="18">
        <f>628130253068</f>
        <v>628130253068</v>
      </c>
      <c r="N3396" s="17" t="s">
        <v>81</v>
      </c>
      <c r="V3396" s="18">
        <f>628130253068</f>
        <v>628130253068</v>
      </c>
    </row>
    <row r="3397" ht="15" customHeight="1" spans="1:22" x14ac:dyDescent="0.25">
      <c r="A3397" s="17" t="s">
        <v>10016</v>
      </c>
      <c r="B3397" s="17" t="s">
        <v>70</v>
      </c>
      <c r="C3397" s="17" t="s">
        <v>71</v>
      </c>
      <c r="D3397" t="s">
        <v>9982</v>
      </c>
      <c r="F3397" t="s">
        <v>10017</v>
      </c>
      <c r="K3397" s="18">
        <f>6282135259724</f>
        <v>6282135259724</v>
      </c>
      <c r="N3397" s="17" t="s">
        <v>77</v>
      </c>
      <c r="V3397" s="18">
        <f>6282135259724</f>
        <v>6282135259724</v>
      </c>
    </row>
    <row r="3398" ht="15" customHeight="1" spans="1:28" x14ac:dyDescent="0.25">
      <c r="A3398" s="17" t="s">
        <v>10018</v>
      </c>
      <c r="B3398" s="17" t="s">
        <v>70</v>
      </c>
      <c r="C3398" s="17" t="s">
        <v>71</v>
      </c>
      <c r="D3398" t="s">
        <v>9982</v>
      </c>
      <c r="F3398" t="s">
        <v>10019</v>
      </c>
      <c r="J3398" t="s">
        <v>115</v>
      </c>
      <c r="K3398" s="18" t="s">
        <v>10020</v>
      </c>
      <c r="N3398" s="17" t="s">
        <v>81</v>
      </c>
      <c r="O3398" t="s">
        <v>145</v>
      </c>
      <c r="V3398" s="18" t="s">
        <v>10020</v>
      </c>
      <c r="Y3398" t="s">
        <v>90</v>
      </c>
      <c r="AA3398" t="s">
        <v>118</v>
      </c>
      <c r="AB3398" t="s">
        <v>119</v>
      </c>
    </row>
    <row r="3399" ht="15" customHeight="1" spans="1:28" x14ac:dyDescent="0.25">
      <c r="A3399" s="17" t="s">
        <v>10021</v>
      </c>
      <c r="B3399" s="17" t="s">
        <v>70</v>
      </c>
      <c r="C3399" s="17" t="s">
        <v>71</v>
      </c>
      <c r="D3399" t="s">
        <v>10022</v>
      </c>
      <c r="F3399" t="s">
        <v>10023</v>
      </c>
      <c r="J3399" s="17" t="s">
        <v>10024</v>
      </c>
      <c r="K3399" s="18" t="s">
        <v>10025</v>
      </c>
      <c r="N3399" s="17" t="s">
        <v>77</v>
      </c>
      <c r="O3399" t="s">
        <v>261</v>
      </c>
      <c r="U3399" s="17"/>
      <c r="V3399" s="18" t="s">
        <v>10025</v>
      </c>
      <c r="W3399" t="s">
        <v>10026</v>
      </c>
      <c r="Y3399" t="s">
        <v>515</v>
      </c>
      <c r="AA3399" t="s">
        <v>1614</v>
      </c>
      <c r="AB3399" t="s">
        <v>119</v>
      </c>
    </row>
    <row r="3400" ht="15" customHeight="1" spans="1:22" x14ac:dyDescent="0.25">
      <c r="A3400" s="17" t="s">
        <v>10027</v>
      </c>
      <c r="B3400" s="17" t="s">
        <v>70</v>
      </c>
      <c r="C3400" s="17" t="s">
        <v>71</v>
      </c>
      <c r="D3400" t="s">
        <v>9982</v>
      </c>
      <c r="F3400" t="s">
        <v>10028</v>
      </c>
      <c r="K3400" s="18">
        <f>6281808139717</f>
        <v>6281808139717</v>
      </c>
      <c r="N3400" s="17" t="s">
        <v>77</v>
      </c>
      <c r="V3400" s="18">
        <f>6281808139717</f>
        <v>6281808139717</v>
      </c>
    </row>
    <row r="3401" ht="15" customHeight="1" spans="1:23" x14ac:dyDescent="0.25">
      <c r="A3401" s="17" t="s">
        <v>10029</v>
      </c>
      <c r="B3401" s="17" t="s">
        <v>70</v>
      </c>
      <c r="C3401" s="17" t="s">
        <v>71</v>
      </c>
      <c r="D3401" t="s">
        <v>9982</v>
      </c>
      <c r="F3401" t="s">
        <v>10030</v>
      </c>
      <c r="K3401" s="18">
        <f>628113642004</f>
        <v>628113642004</v>
      </c>
      <c r="N3401" s="17" t="s">
        <v>81</v>
      </c>
      <c r="U3401" s="17"/>
      <c r="V3401" s="18">
        <f>628113642004</f>
        <v>628113642004</v>
      </c>
      <c r="W3401" t="s">
        <v>10031</v>
      </c>
    </row>
    <row r="3402" ht="15" customHeight="1" spans="1:22" x14ac:dyDescent="0.25">
      <c r="A3402" s="17" t="s">
        <v>10032</v>
      </c>
      <c r="B3402" s="17" t="s">
        <v>70</v>
      </c>
      <c r="C3402" s="17" t="s">
        <v>71</v>
      </c>
      <c r="D3402" t="s">
        <v>9982</v>
      </c>
      <c r="F3402" t="s">
        <v>10033</v>
      </c>
      <c r="K3402" s="18">
        <f>62817733768</f>
        <v>62817733768</v>
      </c>
      <c r="N3402" s="17" t="s">
        <v>81</v>
      </c>
      <c r="V3402" s="18">
        <f>62817733768</f>
        <v>62817733768</v>
      </c>
    </row>
    <row r="3403" ht="15" customHeight="1" spans="1:28" x14ac:dyDescent="0.25">
      <c r="A3403" s="17" t="s">
        <v>10034</v>
      </c>
      <c r="B3403" s="17" t="s">
        <v>70</v>
      </c>
      <c r="C3403" s="17" t="s">
        <v>71</v>
      </c>
      <c r="D3403" t="s">
        <v>9982</v>
      </c>
      <c r="F3403" t="s">
        <v>10035</v>
      </c>
      <c r="J3403" s="17" t="s">
        <v>10036</v>
      </c>
      <c r="K3403" s="18" t="s">
        <v>10037</v>
      </c>
      <c r="N3403" s="17" t="s">
        <v>77</v>
      </c>
      <c r="O3403" t="s">
        <v>489</v>
      </c>
      <c r="V3403" s="18" t="s">
        <v>10037</v>
      </c>
      <c r="Y3403" t="s">
        <v>190</v>
      </c>
      <c r="AA3403" t="s">
        <v>118</v>
      </c>
      <c r="AB3403" t="s">
        <v>119</v>
      </c>
    </row>
    <row r="3404" ht="15" customHeight="1" spans="1:23" x14ac:dyDescent="0.25">
      <c r="A3404" s="17" t="s">
        <v>10038</v>
      </c>
      <c r="B3404" s="17" t="s">
        <v>70</v>
      </c>
      <c r="C3404" s="17" t="s">
        <v>71</v>
      </c>
      <c r="D3404" t="s">
        <v>9982</v>
      </c>
      <c r="F3404" t="s">
        <v>5202</v>
      </c>
      <c r="K3404" s="18">
        <f>6281268000781</f>
        <v>6281268000781</v>
      </c>
      <c r="N3404" s="17" t="s">
        <v>81</v>
      </c>
      <c r="U3404" s="17"/>
      <c r="V3404" s="18">
        <f>6281268000781</f>
        <v>6281268000781</v>
      </c>
      <c r="W3404" t="s">
        <v>10039</v>
      </c>
    </row>
    <row r="3405" ht="15" customHeight="1" spans="1:22" x14ac:dyDescent="0.25">
      <c r="A3405" s="17" t="s">
        <v>10040</v>
      </c>
      <c r="B3405" s="17" t="s">
        <v>70</v>
      </c>
      <c r="C3405" s="17" t="s">
        <v>71</v>
      </c>
      <c r="D3405" t="s">
        <v>9982</v>
      </c>
      <c r="F3405" t="s">
        <v>10041</v>
      </c>
      <c r="K3405" s="18">
        <f>6281291697437</f>
        <v>6281291697437</v>
      </c>
      <c r="N3405" s="17" t="s">
        <v>77</v>
      </c>
      <c r="V3405" s="18">
        <f>6281291697437</f>
        <v>6281291697437</v>
      </c>
    </row>
    <row r="3406" ht="15" customHeight="1" spans="1:22" x14ac:dyDescent="0.25">
      <c r="A3406" s="17" t="s">
        <v>10042</v>
      </c>
      <c r="B3406" s="17" t="s">
        <v>70</v>
      </c>
      <c r="C3406" s="17" t="s">
        <v>71</v>
      </c>
      <c r="D3406" t="s">
        <v>9982</v>
      </c>
      <c r="F3406" t="s">
        <v>3918</v>
      </c>
      <c r="K3406" s="18">
        <f>628176757535</f>
        <v>628176757535</v>
      </c>
      <c r="N3406" s="17" t="s">
        <v>74</v>
      </c>
      <c r="V3406" s="18">
        <f>628176757535</f>
        <v>628176757535</v>
      </c>
    </row>
    <row r="3407" ht="15" customHeight="1" spans="1:23" x14ac:dyDescent="0.25">
      <c r="A3407" s="17" t="s">
        <v>10043</v>
      </c>
      <c r="B3407" s="17" t="s">
        <v>70</v>
      </c>
      <c r="C3407" s="17" t="s">
        <v>71</v>
      </c>
      <c r="D3407" t="s">
        <v>9982</v>
      </c>
      <c r="F3407" t="s">
        <v>10044</v>
      </c>
      <c r="K3407" s="18">
        <f>62811152180</f>
        <v>62811152180</v>
      </c>
      <c r="N3407" s="17" t="s">
        <v>77</v>
      </c>
      <c r="U3407" s="17"/>
      <c r="V3407" s="18">
        <f>62811152180</f>
        <v>62811152180</v>
      </c>
      <c r="W3407" t="s">
        <v>10045</v>
      </c>
    </row>
    <row r="3408" ht="15" customHeight="1" spans="1:25" x14ac:dyDescent="0.25">
      <c r="A3408" s="17" t="s">
        <v>10046</v>
      </c>
      <c r="B3408" s="17" t="s">
        <v>70</v>
      </c>
      <c r="C3408" s="17" t="s">
        <v>71</v>
      </c>
      <c r="D3408" t="s">
        <v>9982</v>
      </c>
      <c r="F3408" t="s">
        <v>10047</v>
      </c>
      <c r="K3408" s="18">
        <f>628118160153</f>
        <v>628118160153</v>
      </c>
      <c r="N3408" s="17" t="s">
        <v>81</v>
      </c>
      <c r="U3408" s="17"/>
      <c r="V3408" s="18">
        <f>628118160153</f>
        <v>628118160153</v>
      </c>
      <c r="W3408" t="s">
        <v>10048</v>
      </c>
      <c r="Y3408" s="17" t="s">
        <v>96</v>
      </c>
    </row>
    <row r="3409" ht="15" customHeight="1" spans="1:28" x14ac:dyDescent="0.25">
      <c r="A3409" s="17" t="s">
        <v>10049</v>
      </c>
      <c r="B3409" s="17" t="s">
        <v>70</v>
      </c>
      <c r="C3409" s="17" t="s">
        <v>71</v>
      </c>
      <c r="D3409" t="s">
        <v>9982</v>
      </c>
      <c r="F3409" t="s">
        <v>10050</v>
      </c>
      <c r="J3409" s="17" t="s">
        <v>10051</v>
      </c>
      <c r="K3409" s="18" t="s">
        <v>10052</v>
      </c>
      <c r="N3409" s="17" t="s">
        <v>77</v>
      </c>
      <c r="O3409" t="s">
        <v>489</v>
      </c>
      <c r="V3409" s="18" t="s">
        <v>10052</v>
      </c>
      <c r="Y3409" t="s">
        <v>1553</v>
      </c>
      <c r="AA3409" t="s">
        <v>115</v>
      </c>
      <c r="AB3409" t="s">
        <v>119</v>
      </c>
    </row>
    <row r="3410" ht="15" customHeight="1" spans="1:28" x14ac:dyDescent="0.25">
      <c r="A3410" s="17" t="s">
        <v>10053</v>
      </c>
      <c r="B3410" s="17" t="s">
        <v>70</v>
      </c>
      <c r="C3410" s="17" t="s">
        <v>71</v>
      </c>
      <c r="D3410" t="s">
        <v>9982</v>
      </c>
      <c r="F3410" t="s">
        <v>10054</v>
      </c>
      <c r="J3410" t="s">
        <v>115</v>
      </c>
      <c r="K3410" s="18" t="s">
        <v>10055</v>
      </c>
      <c r="N3410" s="17" t="s">
        <v>77</v>
      </c>
      <c r="O3410" t="s">
        <v>117</v>
      </c>
      <c r="V3410" s="18" t="s">
        <v>10055</v>
      </c>
      <c r="Y3410" t="s">
        <v>90</v>
      </c>
      <c r="AA3410" t="s">
        <v>118</v>
      </c>
      <c r="AB3410" t="s">
        <v>119</v>
      </c>
    </row>
    <row r="3411" ht="15" customHeight="1" spans="1:22" x14ac:dyDescent="0.25">
      <c r="A3411" s="17" t="s">
        <v>10056</v>
      </c>
      <c r="B3411" s="17" t="s">
        <v>70</v>
      </c>
      <c r="C3411" s="17" t="s">
        <v>71</v>
      </c>
      <c r="D3411" t="s">
        <v>9982</v>
      </c>
      <c r="F3411" t="s">
        <v>2258</v>
      </c>
      <c r="K3411" s="18">
        <f>20102022</f>
        <v>20102022</v>
      </c>
      <c r="N3411" s="17" t="s">
        <v>77</v>
      </c>
      <c r="V3411" s="18">
        <f>20102022</f>
        <v>20102022</v>
      </c>
    </row>
    <row r="3412" ht="15" customHeight="1" spans="1:22" x14ac:dyDescent="0.25">
      <c r="A3412" s="17" t="s">
        <v>10057</v>
      </c>
      <c r="B3412" s="17" t="s">
        <v>70</v>
      </c>
      <c r="C3412" s="17" t="s">
        <v>71</v>
      </c>
      <c r="D3412" t="s">
        <v>9982</v>
      </c>
      <c r="F3412" t="s">
        <v>10058</v>
      </c>
      <c r="K3412" s="18">
        <f>62811932120</f>
        <v>62811932120</v>
      </c>
      <c r="N3412" s="17" t="s">
        <v>74</v>
      </c>
      <c r="V3412" s="18">
        <f>62811932120</f>
        <v>62811932120</v>
      </c>
    </row>
    <row r="3413" ht="15" customHeight="1" spans="1:22" x14ac:dyDescent="0.25">
      <c r="A3413" s="17" t="s">
        <v>10059</v>
      </c>
      <c r="B3413" s="17" t="s">
        <v>70</v>
      </c>
      <c r="C3413" s="17" t="s">
        <v>71</v>
      </c>
      <c r="D3413" t="s">
        <v>9982</v>
      </c>
      <c r="F3413" t="s">
        <v>643</v>
      </c>
      <c r="K3413" s="18">
        <f>6281290927413</f>
        <v>6281290927413</v>
      </c>
      <c r="N3413" s="17" t="s">
        <v>77</v>
      </c>
      <c r="V3413" s="18">
        <f>6281290927413</f>
        <v>6281290927413</v>
      </c>
    </row>
    <row r="3414" ht="15" customHeight="1" spans="1:22" x14ac:dyDescent="0.25">
      <c r="A3414" s="17" t="s">
        <v>10060</v>
      </c>
      <c r="B3414" s="17" t="s">
        <v>70</v>
      </c>
      <c r="C3414" s="17" t="s">
        <v>71</v>
      </c>
      <c r="D3414" t="s">
        <v>9982</v>
      </c>
      <c r="F3414" t="s">
        <v>10061</v>
      </c>
      <c r="K3414" s="18">
        <f>6281216331197</f>
        <v>6281216331197</v>
      </c>
      <c r="N3414" s="17" t="s">
        <v>77</v>
      </c>
      <c r="V3414" s="18">
        <f>6281216331197</f>
        <v>6281216331197</v>
      </c>
    </row>
    <row r="3415" ht="15" customHeight="1" spans="1:22" x14ac:dyDescent="0.25">
      <c r="A3415" s="17" t="s">
        <v>10062</v>
      </c>
      <c r="B3415" s="17" t="s">
        <v>70</v>
      </c>
      <c r="C3415" s="17" t="s">
        <v>71</v>
      </c>
      <c r="D3415" t="s">
        <v>9982</v>
      </c>
      <c r="F3415" t="s">
        <v>10063</v>
      </c>
      <c r="K3415" s="18">
        <f>628121057423</f>
        <v>628121057423</v>
      </c>
      <c r="N3415" s="17" t="s">
        <v>81</v>
      </c>
      <c r="V3415" s="18">
        <f>628121057423</f>
        <v>628121057423</v>
      </c>
    </row>
    <row r="3416" ht="15" customHeight="1" spans="1:25" x14ac:dyDescent="0.25">
      <c r="A3416" s="17" t="s">
        <v>10064</v>
      </c>
      <c r="B3416" s="17" t="s">
        <v>70</v>
      </c>
      <c r="C3416" s="17" t="s">
        <v>71</v>
      </c>
      <c r="D3416" t="s">
        <v>9982</v>
      </c>
      <c r="F3416" t="s">
        <v>10065</v>
      </c>
      <c r="K3416" s="18">
        <f>628111310033</f>
        <v>628111310033</v>
      </c>
      <c r="N3416" s="17" t="s">
        <v>77</v>
      </c>
      <c r="U3416" s="17"/>
      <c r="V3416" s="18">
        <f>628111310033</f>
        <v>628111310033</v>
      </c>
      <c r="W3416" t="s">
        <v>10066</v>
      </c>
      <c r="Y3416" s="17" t="s">
        <v>10067</v>
      </c>
    </row>
    <row r="3417" ht="15" customHeight="1" spans="1:28" x14ac:dyDescent="0.25">
      <c r="A3417" s="17" t="s">
        <v>10068</v>
      </c>
      <c r="B3417" s="17" t="s">
        <v>70</v>
      </c>
      <c r="C3417" s="17" t="s">
        <v>71</v>
      </c>
      <c r="D3417" t="s">
        <v>9982</v>
      </c>
      <c r="F3417" t="s">
        <v>8728</v>
      </c>
      <c r="J3417" t="s">
        <v>115</v>
      </c>
      <c r="K3417" s="18" t="s">
        <v>10069</v>
      </c>
      <c r="N3417" s="17" t="s">
        <v>77</v>
      </c>
      <c r="O3417" t="s">
        <v>199</v>
      </c>
      <c r="V3417" s="18" t="s">
        <v>10069</v>
      </c>
      <c r="Y3417" t="s">
        <v>190</v>
      </c>
      <c r="AA3417" t="s">
        <v>118</v>
      </c>
      <c r="AB3417" t="s">
        <v>119</v>
      </c>
    </row>
    <row r="3418" ht="15" customHeight="1" spans="1:28" x14ac:dyDescent="0.25">
      <c r="A3418" s="17" t="s">
        <v>10070</v>
      </c>
      <c r="B3418" s="17" t="s">
        <v>70</v>
      </c>
      <c r="C3418" s="17" t="s">
        <v>71</v>
      </c>
      <c r="D3418" t="s">
        <v>9982</v>
      </c>
      <c r="F3418" t="s">
        <v>4194</v>
      </c>
      <c r="J3418" t="s">
        <v>115</v>
      </c>
      <c r="K3418" s="18" t="s">
        <v>10071</v>
      </c>
      <c r="N3418" s="17" t="s">
        <v>77</v>
      </c>
      <c r="O3418" t="s">
        <v>117</v>
      </c>
      <c r="V3418" s="18" t="s">
        <v>10071</v>
      </c>
      <c r="Y3418" t="s">
        <v>90</v>
      </c>
      <c r="AA3418" t="s">
        <v>118</v>
      </c>
      <c r="AB3418" t="s">
        <v>119</v>
      </c>
    </row>
    <row r="3419" ht="15" customHeight="1" spans="1:22" x14ac:dyDescent="0.25">
      <c r="A3419" s="17" t="s">
        <v>10072</v>
      </c>
      <c r="B3419" s="17" t="s">
        <v>70</v>
      </c>
      <c r="C3419" s="17" t="s">
        <v>71</v>
      </c>
      <c r="D3419" t="s">
        <v>9982</v>
      </c>
      <c r="F3419" t="s">
        <v>4194</v>
      </c>
      <c r="K3419" s="18">
        <f>6287882704578</f>
        <v>6287882704578</v>
      </c>
      <c r="N3419" s="17" t="s">
        <v>81</v>
      </c>
      <c r="V3419" s="18">
        <f>6287882704578</f>
        <v>6287882704578</v>
      </c>
    </row>
    <row r="3420" ht="15" customHeight="1" spans="1:23" x14ac:dyDescent="0.25">
      <c r="A3420" s="17" t="s">
        <v>10073</v>
      </c>
      <c r="B3420" s="17" t="s">
        <v>70</v>
      </c>
      <c r="C3420" s="17" t="s">
        <v>71</v>
      </c>
      <c r="D3420" t="s">
        <v>9982</v>
      </c>
      <c r="F3420" t="s">
        <v>10074</v>
      </c>
      <c r="J3420" s="17" t="s">
        <v>10075</v>
      </c>
      <c r="K3420" s="18">
        <f>6281513000725</f>
        <v>6281513000725</v>
      </c>
      <c r="N3420" s="17" t="s">
        <v>81</v>
      </c>
      <c r="U3420" s="17"/>
      <c r="V3420" s="18">
        <f>6281513000725</f>
        <v>6281513000725</v>
      </c>
      <c r="W3420" t="s">
        <v>10076</v>
      </c>
    </row>
    <row r="3421" ht="15" customHeight="1" spans="1:22" x14ac:dyDescent="0.25">
      <c r="A3421" s="17" t="s">
        <v>10077</v>
      </c>
      <c r="B3421" s="17" t="s">
        <v>70</v>
      </c>
      <c r="C3421" s="17" t="s">
        <v>71</v>
      </c>
      <c r="D3421" t="s">
        <v>9982</v>
      </c>
      <c r="F3421" t="s">
        <v>2730</v>
      </c>
      <c r="K3421" s="18">
        <f>628129970221</f>
        <v>628129970221</v>
      </c>
      <c r="N3421" s="17" t="s">
        <v>77</v>
      </c>
      <c r="V3421" s="18">
        <f>628129970221</f>
        <v>628129970221</v>
      </c>
    </row>
    <row r="3422" ht="15" customHeight="1" spans="1:22" x14ac:dyDescent="0.25">
      <c r="A3422" s="17" t="s">
        <v>10078</v>
      </c>
      <c r="B3422" s="17" t="s">
        <v>70</v>
      </c>
      <c r="C3422" s="17" t="s">
        <v>71</v>
      </c>
      <c r="D3422" t="s">
        <v>9982</v>
      </c>
      <c r="F3422" t="s">
        <v>10079</v>
      </c>
      <c r="K3422" s="18">
        <f>6281376234111</f>
        <v>6281376234111</v>
      </c>
      <c r="N3422" s="17" t="s">
        <v>77</v>
      </c>
      <c r="V3422" s="18">
        <f>6281376234111</f>
        <v>6281376234111</v>
      </c>
    </row>
    <row r="3423" ht="15" customHeight="1" spans="1:28" x14ac:dyDescent="0.25">
      <c r="A3423" s="17" t="s">
        <v>10080</v>
      </c>
      <c r="B3423" s="17" t="s">
        <v>70</v>
      </c>
      <c r="C3423" s="17" t="s">
        <v>71</v>
      </c>
      <c r="D3423" t="s">
        <v>9982</v>
      </c>
      <c r="F3423" t="s">
        <v>10081</v>
      </c>
      <c r="J3423" t="s">
        <v>10082</v>
      </c>
      <c r="K3423" s="18" t="s">
        <v>10083</v>
      </c>
      <c r="N3423" s="17" t="s">
        <v>77</v>
      </c>
      <c r="O3423" t="s">
        <v>1188</v>
      </c>
      <c r="V3423" s="18" t="s">
        <v>10083</v>
      </c>
      <c r="Y3423" s="17" t="s">
        <v>190</v>
      </c>
      <c r="AA3423" t="s">
        <v>118</v>
      </c>
      <c r="AB3423" t="s">
        <v>119</v>
      </c>
    </row>
    <row r="3424" ht="15" customHeight="1" spans="1:23" x14ac:dyDescent="0.25">
      <c r="A3424" s="17" t="s">
        <v>10084</v>
      </c>
      <c r="B3424" s="17" t="s">
        <v>70</v>
      </c>
      <c r="C3424" s="17" t="s">
        <v>71</v>
      </c>
      <c r="D3424" t="s">
        <v>9982</v>
      </c>
      <c r="F3424" t="s">
        <v>498</v>
      </c>
      <c r="K3424" s="18">
        <f>6285174316036</f>
        <v>6285174316036</v>
      </c>
      <c r="N3424" s="17" t="s">
        <v>77</v>
      </c>
      <c r="U3424" s="17"/>
      <c r="V3424" s="18">
        <f>6285174316036</f>
        <v>6285174316036</v>
      </c>
      <c r="W3424" t="s">
        <v>10085</v>
      </c>
    </row>
    <row r="3425" ht="15" customHeight="1" spans="1:27" x14ac:dyDescent="0.25">
      <c r="A3425" s="17" t="s">
        <v>10086</v>
      </c>
      <c r="B3425" s="17" t="s">
        <v>70</v>
      </c>
      <c r="C3425" s="17" t="s">
        <v>71</v>
      </c>
      <c r="D3425" t="s">
        <v>9982</v>
      </c>
      <c r="F3425" t="s">
        <v>2586</v>
      </c>
      <c r="K3425" s="18">
        <v>87711098</v>
      </c>
      <c r="N3425" s="17" t="s">
        <v>77</v>
      </c>
      <c r="U3425" s="17"/>
      <c r="V3425" s="18">
        <v>87711098</v>
      </c>
      <c r="W3425" t="s">
        <v>10087</v>
      </c>
      <c r="Y3425" s="17" t="s">
        <v>1119</v>
      </c>
      <c r="AA3425" s="17" t="s">
        <v>10088</v>
      </c>
    </row>
    <row r="3426" ht="15" customHeight="1" spans="1:25" x14ac:dyDescent="0.25">
      <c r="A3426" s="17" t="s">
        <v>10089</v>
      </c>
      <c r="B3426" s="17" t="s">
        <v>70</v>
      </c>
      <c r="C3426" s="17" t="s">
        <v>71</v>
      </c>
      <c r="D3426" t="s">
        <v>9982</v>
      </c>
      <c r="F3426" t="s">
        <v>10090</v>
      </c>
      <c r="K3426" s="18">
        <f>62811944427</f>
        <v>62811944427</v>
      </c>
      <c r="N3426" s="17" t="s">
        <v>81</v>
      </c>
      <c r="U3426" s="17"/>
      <c r="V3426" s="18">
        <f>62811944427</f>
        <v>62811944427</v>
      </c>
      <c r="W3426" t="s">
        <v>10091</v>
      </c>
      <c r="Y3426" s="17" t="s">
        <v>1119</v>
      </c>
    </row>
    <row r="3427" ht="15" customHeight="1" spans="1:22" x14ac:dyDescent="0.25">
      <c r="A3427" s="17" t="s">
        <v>10092</v>
      </c>
      <c r="B3427" s="17" t="s">
        <v>70</v>
      </c>
      <c r="C3427" s="17" t="s">
        <v>71</v>
      </c>
      <c r="D3427" t="s">
        <v>9982</v>
      </c>
      <c r="F3427" t="s">
        <v>10093</v>
      </c>
      <c r="K3427" s="18">
        <v>8118002175</v>
      </c>
      <c r="N3427" s="17" t="s">
        <v>77</v>
      </c>
      <c r="V3427" s="18">
        <v>8118002175</v>
      </c>
    </row>
    <row r="3428" ht="15" customHeight="1" spans="1:22" x14ac:dyDescent="0.25">
      <c r="A3428" s="17" t="s">
        <v>10094</v>
      </c>
      <c r="B3428" s="17" t="s">
        <v>70</v>
      </c>
      <c r="C3428" s="17" t="s">
        <v>71</v>
      </c>
      <c r="D3428" t="s">
        <v>9982</v>
      </c>
      <c r="F3428" t="s">
        <v>10093</v>
      </c>
      <c r="K3428" s="18">
        <f>6285219083777</f>
        <v>6285219083777</v>
      </c>
      <c r="N3428" s="17" t="s">
        <v>77</v>
      </c>
      <c r="V3428" s="18">
        <f>6285219083777</f>
        <v>6285219083777</v>
      </c>
    </row>
    <row r="3429" ht="15" customHeight="1" spans="1:22" x14ac:dyDescent="0.25">
      <c r="A3429" s="17" t="s">
        <v>10095</v>
      </c>
      <c r="B3429" s="17" t="s">
        <v>70</v>
      </c>
      <c r="C3429" s="17" t="s">
        <v>71</v>
      </c>
      <c r="D3429" t="s">
        <v>9982</v>
      </c>
      <c r="F3429" t="s">
        <v>1564</v>
      </c>
      <c r="K3429" s="18">
        <f>62811299088</f>
        <v>62811299088</v>
      </c>
      <c r="N3429" s="17" t="s">
        <v>81</v>
      </c>
      <c r="V3429" s="18">
        <f>62811299088</f>
        <v>62811299088</v>
      </c>
    </row>
    <row r="3430" ht="15" customHeight="1" spans="1:22" x14ac:dyDescent="0.25">
      <c r="A3430" s="17" t="s">
        <v>10096</v>
      </c>
      <c r="B3430" s="17" t="s">
        <v>70</v>
      </c>
      <c r="C3430" s="17" t="s">
        <v>71</v>
      </c>
      <c r="D3430" t="s">
        <v>9982</v>
      </c>
      <c r="F3430" t="s">
        <v>10097</v>
      </c>
      <c r="K3430" s="18">
        <f>6281385293745</f>
        <v>6281385293745</v>
      </c>
      <c r="N3430" s="17" t="s">
        <v>74</v>
      </c>
      <c r="V3430" s="18">
        <f>6281385293745</f>
        <v>6281385293745</v>
      </c>
    </row>
    <row r="3431" ht="15" customHeight="1" spans="1:22" x14ac:dyDescent="0.25">
      <c r="A3431" s="17" t="s">
        <v>10098</v>
      </c>
      <c r="B3431" s="17" t="s">
        <v>70</v>
      </c>
      <c r="C3431" s="17" t="s">
        <v>71</v>
      </c>
      <c r="D3431" t="s">
        <v>10099</v>
      </c>
      <c r="F3431" t="s">
        <v>10099</v>
      </c>
      <c r="K3431" s="18">
        <f>6287889080380</f>
        <v>6287889080380</v>
      </c>
      <c r="N3431" s="17" t="s">
        <v>74</v>
      </c>
      <c r="V3431" s="18">
        <f>6287889080380</f>
        <v>6287889080380</v>
      </c>
    </row>
    <row r="3432" ht="15" customHeight="1" spans="1:22" x14ac:dyDescent="0.25">
      <c r="A3432" s="17" t="s">
        <v>10100</v>
      </c>
      <c r="B3432" s="17" t="s">
        <v>70</v>
      </c>
      <c r="C3432" s="17" t="s">
        <v>71</v>
      </c>
      <c r="D3432" t="s">
        <v>10099</v>
      </c>
      <c r="F3432" t="s">
        <v>10099</v>
      </c>
      <c r="K3432" s="18">
        <f>628118811789</f>
        <v>628118811789</v>
      </c>
      <c r="N3432" s="17" t="s">
        <v>77</v>
      </c>
      <c r="V3432" s="18">
        <f>628118811789</f>
        <v>628118811789</v>
      </c>
    </row>
    <row r="3433" ht="15" customHeight="1" spans="1:22" x14ac:dyDescent="0.25">
      <c r="A3433" s="17" t="s">
        <v>10101</v>
      </c>
      <c r="B3433" s="17" t="s">
        <v>70</v>
      </c>
      <c r="C3433" s="17" t="s">
        <v>71</v>
      </c>
      <c r="D3433" t="s">
        <v>10099</v>
      </c>
      <c r="F3433" t="s">
        <v>10099</v>
      </c>
      <c r="K3433" s="18">
        <f>62811195022</f>
        <v>62811195022</v>
      </c>
      <c r="N3433" s="17" t="s">
        <v>77</v>
      </c>
      <c r="V3433" s="18">
        <f>62811195022</f>
        <v>62811195022</v>
      </c>
    </row>
    <row r="3434" ht="15" customHeight="1" spans="1:22" x14ac:dyDescent="0.25">
      <c r="A3434" s="17" t="s">
        <v>10102</v>
      </c>
      <c r="B3434" s="17" t="s">
        <v>70</v>
      </c>
      <c r="C3434" s="17" t="s">
        <v>71</v>
      </c>
      <c r="D3434" t="s">
        <v>10099</v>
      </c>
      <c r="F3434" t="s">
        <v>10099</v>
      </c>
      <c r="K3434" s="18">
        <f>628121119009</f>
        <v>628121119009</v>
      </c>
      <c r="N3434" s="17" t="s">
        <v>77</v>
      </c>
      <c r="V3434" s="18">
        <f>628121119009</f>
        <v>628121119009</v>
      </c>
    </row>
    <row r="3435" ht="15" customHeight="1" spans="1:22" x14ac:dyDescent="0.25">
      <c r="A3435" s="17" t="s">
        <v>10103</v>
      </c>
      <c r="B3435" s="17" t="s">
        <v>70</v>
      </c>
      <c r="C3435" s="17" t="s">
        <v>71</v>
      </c>
      <c r="D3435" t="s">
        <v>10099</v>
      </c>
      <c r="F3435" t="s">
        <v>10099</v>
      </c>
      <c r="K3435" s="18">
        <f>6285881777791</f>
        <v>6285881777791</v>
      </c>
      <c r="N3435" s="17" t="s">
        <v>81</v>
      </c>
      <c r="V3435" s="18">
        <f>6285881777791</f>
        <v>6285881777791</v>
      </c>
    </row>
    <row r="3436" ht="15" customHeight="1" spans="1:28" x14ac:dyDescent="0.25">
      <c r="A3436" s="17" t="s">
        <v>10104</v>
      </c>
      <c r="B3436" s="17" t="s">
        <v>70</v>
      </c>
      <c r="C3436" s="17" t="s">
        <v>71</v>
      </c>
      <c r="D3436" t="s">
        <v>10099</v>
      </c>
      <c r="F3436" t="s">
        <v>10105</v>
      </c>
      <c r="J3436" t="s">
        <v>115</v>
      </c>
      <c r="K3436" s="18" t="s">
        <v>10106</v>
      </c>
      <c r="N3436" s="17" t="s">
        <v>77</v>
      </c>
      <c r="O3436" t="s">
        <v>489</v>
      </c>
      <c r="V3436" s="18" t="s">
        <v>10106</v>
      </c>
      <c r="Y3436" t="s">
        <v>90</v>
      </c>
      <c r="AA3436" t="s">
        <v>118</v>
      </c>
      <c r="AB3436" t="s">
        <v>119</v>
      </c>
    </row>
    <row r="3437" ht="15" customHeight="1" spans="1:23" x14ac:dyDescent="0.25">
      <c r="A3437" s="17" t="s">
        <v>10107</v>
      </c>
      <c r="B3437" s="17" t="s">
        <v>70</v>
      </c>
      <c r="C3437" s="17" t="s">
        <v>71</v>
      </c>
      <c r="D3437" t="s">
        <v>10099</v>
      </c>
      <c r="F3437" t="s">
        <v>3134</v>
      </c>
      <c r="K3437" s="18">
        <f>62818697569</f>
        <v>62818697569</v>
      </c>
      <c r="N3437" s="17" t="s">
        <v>81</v>
      </c>
      <c r="U3437" s="17"/>
      <c r="V3437" s="18">
        <f>62818697569</f>
        <v>62818697569</v>
      </c>
      <c r="W3437" t="s">
        <v>10108</v>
      </c>
    </row>
    <row r="3438" ht="15" customHeight="1" spans="1:22" x14ac:dyDescent="0.25">
      <c r="A3438" s="17" t="s">
        <v>10109</v>
      </c>
      <c r="B3438" s="17" t="s">
        <v>70</v>
      </c>
      <c r="C3438" s="17" t="s">
        <v>71</v>
      </c>
      <c r="D3438" t="s">
        <v>10099</v>
      </c>
      <c r="F3438" t="s">
        <v>3193</v>
      </c>
      <c r="K3438" s="18">
        <v>8568997021</v>
      </c>
      <c r="N3438" s="17" t="s">
        <v>81</v>
      </c>
      <c r="V3438" s="18">
        <v>8568997021</v>
      </c>
    </row>
    <row r="3439" ht="15" customHeight="1" spans="1:28" x14ac:dyDescent="0.25">
      <c r="A3439" s="17" t="s">
        <v>10110</v>
      </c>
      <c r="B3439" s="17" t="s">
        <v>70</v>
      </c>
      <c r="C3439" s="17" t="s">
        <v>71</v>
      </c>
      <c r="D3439" t="s">
        <v>10111</v>
      </c>
      <c r="F3439" t="s">
        <v>2288</v>
      </c>
      <c r="J3439" s="17" t="s">
        <v>10112</v>
      </c>
      <c r="K3439" s="18" t="s">
        <v>10113</v>
      </c>
      <c r="N3439" s="17" t="s">
        <v>77</v>
      </c>
      <c r="O3439" t="s">
        <v>117</v>
      </c>
      <c r="U3439" s="17"/>
      <c r="V3439" s="18" t="s">
        <v>10113</v>
      </c>
      <c r="W3439" t="s">
        <v>10114</v>
      </c>
      <c r="Y3439" t="s">
        <v>190</v>
      </c>
      <c r="AA3439" s="17" t="s">
        <v>118</v>
      </c>
      <c r="AB3439" t="s">
        <v>119</v>
      </c>
    </row>
    <row r="3440" ht="15" customHeight="1" spans="1:28" x14ac:dyDescent="0.25">
      <c r="A3440" s="17" t="s">
        <v>10115</v>
      </c>
      <c r="B3440" s="17" t="s">
        <v>70</v>
      </c>
      <c r="C3440" s="17" t="s">
        <v>71</v>
      </c>
      <c r="D3440" t="s">
        <v>10099</v>
      </c>
      <c r="F3440" t="s">
        <v>10116</v>
      </c>
      <c r="J3440" t="s">
        <v>10117</v>
      </c>
      <c r="K3440" s="18" t="s">
        <v>10118</v>
      </c>
      <c r="N3440" s="17" t="s">
        <v>77</v>
      </c>
      <c r="O3440" t="s">
        <v>145</v>
      </c>
      <c r="U3440" s="17"/>
      <c r="V3440" s="18" t="s">
        <v>10118</v>
      </c>
      <c r="W3440" t="s">
        <v>10119</v>
      </c>
      <c r="Y3440" t="s">
        <v>90</v>
      </c>
      <c r="AA3440" s="17" t="s">
        <v>118</v>
      </c>
      <c r="AB3440" t="s">
        <v>119</v>
      </c>
    </row>
    <row r="3441" ht="15" customHeight="1" spans="1:23" x14ac:dyDescent="0.25">
      <c r="A3441" s="17" t="s">
        <v>10120</v>
      </c>
      <c r="B3441" s="17" t="s">
        <v>70</v>
      </c>
      <c r="C3441" s="17" t="s">
        <v>71</v>
      </c>
      <c r="D3441" t="s">
        <v>10099</v>
      </c>
      <c r="F3441" t="s">
        <v>10121</v>
      </c>
      <c r="K3441" s="18">
        <f>6281511501188</f>
        <v>6281511501188</v>
      </c>
      <c r="N3441" s="17" t="s">
        <v>77</v>
      </c>
      <c r="U3441" s="17"/>
      <c r="V3441" s="18">
        <f>6281511501188</f>
        <v>6281511501188</v>
      </c>
      <c r="W3441" t="s">
        <v>10122</v>
      </c>
    </row>
    <row r="3442" ht="15" customHeight="1" spans="1:28" x14ac:dyDescent="0.25">
      <c r="A3442" s="17" t="s">
        <v>10123</v>
      </c>
      <c r="B3442" s="17" t="s">
        <v>70</v>
      </c>
      <c r="C3442" s="17" t="s">
        <v>71</v>
      </c>
      <c r="D3442" t="s">
        <v>10099</v>
      </c>
      <c r="F3442" t="s">
        <v>10099</v>
      </c>
      <c r="J3442" t="s">
        <v>115</v>
      </c>
      <c r="K3442" s="18" t="s">
        <v>10124</v>
      </c>
      <c r="N3442" s="17" t="s">
        <v>77</v>
      </c>
      <c r="O3442" t="s">
        <v>145</v>
      </c>
      <c r="U3442" s="17"/>
      <c r="V3442" s="18" t="s">
        <v>10124</v>
      </c>
      <c r="W3442" t="s">
        <v>10125</v>
      </c>
      <c r="Y3442" s="17" t="s">
        <v>190</v>
      </c>
      <c r="AA3442" s="17" t="s">
        <v>118</v>
      </c>
      <c r="AB3442" t="s">
        <v>119</v>
      </c>
    </row>
    <row r="3443" ht="15" customHeight="1" spans="1:23" x14ac:dyDescent="0.25">
      <c r="A3443" s="17" t="s">
        <v>10126</v>
      </c>
      <c r="B3443" s="17" t="s">
        <v>70</v>
      </c>
      <c r="C3443" s="17" t="s">
        <v>71</v>
      </c>
      <c r="D3443" t="s">
        <v>10099</v>
      </c>
      <c r="F3443" t="s">
        <v>10127</v>
      </c>
      <c r="J3443" s="17" t="s">
        <v>10128</v>
      </c>
      <c r="K3443" s="18">
        <f>6289613730652</f>
        <v>6289613730652</v>
      </c>
      <c r="N3443" s="17" t="s">
        <v>77</v>
      </c>
      <c r="U3443" s="17"/>
      <c r="V3443" s="18">
        <f>6289613730652</f>
        <v>6289613730652</v>
      </c>
      <c r="W3443" t="s">
        <v>10129</v>
      </c>
    </row>
    <row r="3444" ht="15" customHeight="1" spans="1:23" x14ac:dyDescent="0.25">
      <c r="A3444" s="17" t="s">
        <v>10130</v>
      </c>
      <c r="B3444" s="17" t="s">
        <v>70</v>
      </c>
      <c r="C3444" s="17" t="s">
        <v>71</v>
      </c>
      <c r="D3444" t="s">
        <v>10099</v>
      </c>
      <c r="F3444" t="s">
        <v>10131</v>
      </c>
      <c r="K3444" s="18">
        <f>628118404826</f>
        <v>628118404826</v>
      </c>
      <c r="N3444" s="17" t="s">
        <v>77</v>
      </c>
      <c r="U3444" s="17"/>
      <c r="V3444" s="18">
        <f>628118404826</f>
        <v>628118404826</v>
      </c>
      <c r="W3444" t="s">
        <v>10132</v>
      </c>
    </row>
    <row r="3445" ht="15" customHeight="1" spans="1:25" x14ac:dyDescent="0.25">
      <c r="A3445" s="17" t="s">
        <v>10133</v>
      </c>
      <c r="B3445" s="17" t="s">
        <v>70</v>
      </c>
      <c r="C3445" s="17" t="s">
        <v>71</v>
      </c>
      <c r="D3445" t="s">
        <v>10099</v>
      </c>
      <c r="F3445" t="s">
        <v>4727</v>
      </c>
      <c r="J3445" s="17" t="s">
        <v>10134</v>
      </c>
      <c r="K3445" s="18">
        <f>6285218038477</f>
        <v>6285218038477</v>
      </c>
      <c r="N3445" s="17" t="s">
        <v>77</v>
      </c>
      <c r="U3445" s="17"/>
      <c r="V3445" s="18">
        <f>6285218038477</f>
        <v>6285218038477</v>
      </c>
      <c r="W3445" t="s">
        <v>10135</v>
      </c>
      <c r="Y3445" s="17" t="s">
        <v>10136</v>
      </c>
    </row>
    <row r="3446" ht="15" customHeight="1" spans="1:22" x14ac:dyDescent="0.25">
      <c r="A3446" s="17" t="s">
        <v>10137</v>
      </c>
      <c r="B3446" s="17" t="s">
        <v>70</v>
      </c>
      <c r="C3446" s="17" t="s">
        <v>71</v>
      </c>
      <c r="D3446" t="s">
        <v>10099</v>
      </c>
      <c r="F3446" t="s">
        <v>10138</v>
      </c>
      <c r="K3446" s="18">
        <f>628111339338</f>
        <v>628111339338</v>
      </c>
      <c r="N3446" s="17" t="s">
        <v>74</v>
      </c>
      <c r="V3446" s="18">
        <f>628111339338</f>
        <v>628111339338</v>
      </c>
    </row>
    <row r="3447" ht="15" customHeight="1" spans="1:25" x14ac:dyDescent="0.25">
      <c r="A3447" s="17" t="s">
        <v>10139</v>
      </c>
      <c r="B3447" s="17" t="s">
        <v>70</v>
      </c>
      <c r="C3447" s="17" t="s">
        <v>71</v>
      </c>
      <c r="D3447" t="s">
        <v>10099</v>
      </c>
      <c r="F3447" t="s">
        <v>10140</v>
      </c>
      <c r="K3447" s="18">
        <f>62811992169</f>
        <v>62811992169</v>
      </c>
      <c r="N3447" s="17" t="s">
        <v>74</v>
      </c>
      <c r="U3447" s="17"/>
      <c r="V3447" s="18">
        <f>62811992169</f>
        <v>62811992169</v>
      </c>
      <c r="W3447" t="s">
        <v>10141</v>
      </c>
      <c r="Y3447" s="17" t="s">
        <v>90</v>
      </c>
    </row>
    <row r="3448" ht="15" customHeight="1" spans="1:23" x14ac:dyDescent="0.25">
      <c r="A3448" s="17" t="s">
        <v>10142</v>
      </c>
      <c r="B3448" s="17" t="s">
        <v>70</v>
      </c>
      <c r="C3448" s="17" t="s">
        <v>71</v>
      </c>
      <c r="D3448" t="s">
        <v>10099</v>
      </c>
      <c r="F3448" t="s">
        <v>212</v>
      </c>
      <c r="J3448" s="17" t="s">
        <v>10143</v>
      </c>
      <c r="K3448" s="18">
        <f>62811652955</f>
        <v>62811652955</v>
      </c>
      <c r="N3448" s="17" t="s">
        <v>77</v>
      </c>
      <c r="U3448" s="17"/>
      <c r="V3448" s="18">
        <f>62811652955</f>
        <v>62811652955</v>
      </c>
      <c r="W3448" t="s">
        <v>10144</v>
      </c>
    </row>
    <row r="3449" ht="15" customHeight="1" spans="1:22" x14ac:dyDescent="0.25">
      <c r="A3449" s="17" t="s">
        <v>10145</v>
      </c>
      <c r="B3449" s="17" t="s">
        <v>70</v>
      </c>
      <c r="C3449" s="17" t="s">
        <v>71</v>
      </c>
      <c r="D3449" t="s">
        <v>10099</v>
      </c>
      <c r="F3449" t="s">
        <v>10146</v>
      </c>
      <c r="K3449" s="18">
        <f>6282111111300</f>
        <v>6282111111300</v>
      </c>
      <c r="N3449" s="17" t="s">
        <v>77</v>
      </c>
      <c r="V3449" s="18">
        <f>6282111111300</f>
        <v>6282111111300</v>
      </c>
    </row>
    <row r="3450" ht="15" customHeight="1" spans="1:25" x14ac:dyDescent="0.25">
      <c r="A3450" s="17" t="s">
        <v>10147</v>
      </c>
      <c r="B3450" s="17" t="s">
        <v>70</v>
      </c>
      <c r="C3450" s="17" t="s">
        <v>71</v>
      </c>
      <c r="D3450" t="s">
        <v>10099</v>
      </c>
      <c r="F3450" t="s">
        <v>10148</v>
      </c>
      <c r="K3450" s="18">
        <f>62811104531</f>
        <v>62811104531</v>
      </c>
      <c r="N3450" s="17" t="s">
        <v>74</v>
      </c>
      <c r="U3450" s="17"/>
      <c r="V3450" s="18">
        <f>62811104531</f>
        <v>62811104531</v>
      </c>
      <c r="W3450" t="s">
        <v>10149</v>
      </c>
      <c r="Y3450" s="17" t="s">
        <v>378</v>
      </c>
    </row>
    <row r="3451" ht="15" customHeight="1" spans="1:22" x14ac:dyDescent="0.25">
      <c r="A3451" s="17" t="s">
        <v>10150</v>
      </c>
      <c r="B3451" s="17" t="s">
        <v>70</v>
      </c>
      <c r="C3451" s="17" t="s">
        <v>71</v>
      </c>
      <c r="D3451" t="s">
        <v>10099</v>
      </c>
      <c r="F3451" t="s">
        <v>7824</v>
      </c>
      <c r="K3451" s="18">
        <f>18326230626</f>
        <v>18326230626</v>
      </c>
      <c r="N3451" s="17" t="s">
        <v>81</v>
      </c>
      <c r="V3451" s="18">
        <f>18326230626</f>
        <v>18326230626</v>
      </c>
    </row>
    <row r="3452" ht="15" customHeight="1" spans="1:22" x14ac:dyDescent="0.25">
      <c r="A3452" s="17" t="s">
        <v>10151</v>
      </c>
      <c r="B3452" s="17" t="s">
        <v>70</v>
      </c>
      <c r="C3452" s="17" t="s">
        <v>71</v>
      </c>
      <c r="D3452" t="s">
        <v>10099</v>
      </c>
      <c r="F3452" t="s">
        <v>3121</v>
      </c>
      <c r="K3452" s="18">
        <f>6281270231187</f>
        <v>6281270231187</v>
      </c>
      <c r="N3452" s="17" t="s">
        <v>74</v>
      </c>
      <c r="V3452" s="18">
        <f>6281270231187</f>
        <v>6281270231187</v>
      </c>
    </row>
    <row r="3453" ht="15" customHeight="1" spans="1:22" x14ac:dyDescent="0.25">
      <c r="A3453" s="17" t="s">
        <v>10152</v>
      </c>
      <c r="B3453" s="17" t="s">
        <v>70</v>
      </c>
      <c r="C3453" s="17" t="s">
        <v>71</v>
      </c>
      <c r="D3453" t="s">
        <v>10099</v>
      </c>
      <c r="F3453" t="s">
        <v>10153</v>
      </c>
      <c r="K3453" s="18">
        <f>6281213936949</f>
        <v>6281213936949</v>
      </c>
      <c r="N3453" s="17" t="s">
        <v>81</v>
      </c>
      <c r="V3453" s="18">
        <f>6281213936949</f>
        <v>6281213936949</v>
      </c>
    </row>
    <row r="3454" ht="15" customHeight="1" spans="1:27" x14ac:dyDescent="0.25">
      <c r="A3454" s="17" t="s">
        <v>10154</v>
      </c>
      <c r="B3454" s="17" t="s">
        <v>70</v>
      </c>
      <c r="C3454" s="17" t="s">
        <v>71</v>
      </c>
      <c r="D3454" t="s">
        <v>10099</v>
      </c>
      <c r="F3454" t="s">
        <v>10155</v>
      </c>
      <c r="K3454" s="18">
        <f>6285888888818</f>
        <v>6285888888818</v>
      </c>
      <c r="N3454" s="17" t="s">
        <v>77</v>
      </c>
      <c r="U3454" s="17"/>
      <c r="V3454" s="18">
        <f>6285888888818</f>
        <v>6285888888818</v>
      </c>
      <c r="W3454" t="s">
        <v>10156</v>
      </c>
      <c r="AA3454" s="17" t="s">
        <v>10157</v>
      </c>
    </row>
    <row r="3455" ht="15" customHeight="1" spans="1:28" x14ac:dyDescent="0.25">
      <c r="A3455" s="17" t="s">
        <v>10158</v>
      </c>
      <c r="B3455" s="17" t="s">
        <v>70</v>
      </c>
      <c r="C3455" s="17" t="s">
        <v>71</v>
      </c>
      <c r="D3455" t="s">
        <v>10099</v>
      </c>
      <c r="F3455" t="s">
        <v>879</v>
      </c>
      <c r="J3455" s="17" t="s">
        <v>10159</v>
      </c>
      <c r="K3455" s="18" t="s">
        <v>10160</v>
      </c>
      <c r="N3455" s="17" t="s">
        <v>77</v>
      </c>
      <c r="O3455" t="s">
        <v>145</v>
      </c>
      <c r="V3455" s="18" t="s">
        <v>10160</v>
      </c>
      <c r="Y3455" t="s">
        <v>190</v>
      </c>
      <c r="AA3455" t="s">
        <v>118</v>
      </c>
      <c r="AB3455" t="s">
        <v>119</v>
      </c>
    </row>
    <row r="3456" ht="15" customHeight="1" spans="1:28" x14ac:dyDescent="0.25">
      <c r="A3456" s="17" t="s">
        <v>10161</v>
      </c>
      <c r="B3456" s="17" t="s">
        <v>70</v>
      </c>
      <c r="C3456" s="17" t="s">
        <v>71</v>
      </c>
      <c r="D3456" t="s">
        <v>10099</v>
      </c>
      <c r="F3456" t="s">
        <v>10162</v>
      </c>
      <c r="J3456" t="s">
        <v>115</v>
      </c>
      <c r="K3456" s="18" t="s">
        <v>10163</v>
      </c>
      <c r="N3456" s="17" t="s">
        <v>81</v>
      </c>
      <c r="O3456" t="s">
        <v>145</v>
      </c>
      <c r="U3456" s="17"/>
      <c r="V3456" s="18" t="s">
        <v>10163</v>
      </c>
      <c r="W3456" t="s">
        <v>10164</v>
      </c>
      <c r="Y3456" t="s">
        <v>90</v>
      </c>
      <c r="AA3456" t="s">
        <v>118</v>
      </c>
      <c r="AB3456" t="s">
        <v>119</v>
      </c>
    </row>
    <row r="3457" ht="15" customHeight="1" spans="1:28" x14ac:dyDescent="0.25">
      <c r="A3457" s="17" t="s">
        <v>10165</v>
      </c>
      <c r="B3457" s="17" t="s">
        <v>70</v>
      </c>
      <c r="C3457" s="17" t="s">
        <v>71</v>
      </c>
      <c r="D3457" t="s">
        <v>10099</v>
      </c>
      <c r="F3457" t="s">
        <v>10166</v>
      </c>
      <c r="J3457" t="s">
        <v>115</v>
      </c>
      <c r="K3457" s="18" t="s">
        <v>10167</v>
      </c>
      <c r="N3457" s="17" t="s">
        <v>77</v>
      </c>
      <c r="O3457" t="s">
        <v>199</v>
      </c>
      <c r="V3457" s="18" t="s">
        <v>10167</v>
      </c>
      <c r="Y3457" t="s">
        <v>90</v>
      </c>
      <c r="AA3457" t="s">
        <v>118</v>
      </c>
      <c r="AB3457" t="s">
        <v>119</v>
      </c>
    </row>
    <row r="3458" ht="15" customHeight="1" spans="1:28" x14ac:dyDescent="0.25">
      <c r="A3458" s="17" t="s">
        <v>10168</v>
      </c>
      <c r="B3458" s="17" t="s">
        <v>70</v>
      </c>
      <c r="C3458" s="17" t="s">
        <v>71</v>
      </c>
      <c r="D3458" t="s">
        <v>10099</v>
      </c>
      <c r="F3458" t="s">
        <v>10169</v>
      </c>
      <c r="J3458" s="17" t="s">
        <v>10170</v>
      </c>
      <c r="K3458" s="18" t="s">
        <v>10171</v>
      </c>
      <c r="N3458" s="17" t="s">
        <v>77</v>
      </c>
      <c r="O3458" t="s">
        <v>489</v>
      </c>
      <c r="U3458" s="17"/>
      <c r="V3458" s="18" t="s">
        <v>10171</v>
      </c>
      <c r="W3458" t="s">
        <v>10172</v>
      </c>
      <c r="Y3458" t="s">
        <v>90</v>
      </c>
      <c r="AA3458" s="17" t="s">
        <v>118</v>
      </c>
      <c r="AB3458" t="s">
        <v>119</v>
      </c>
    </row>
    <row r="3459" ht="15" customHeight="1" spans="1:28" x14ac:dyDescent="0.25">
      <c r="A3459" s="17" t="s">
        <v>10173</v>
      </c>
      <c r="B3459" s="17" t="s">
        <v>70</v>
      </c>
      <c r="C3459" s="17" t="s">
        <v>71</v>
      </c>
      <c r="D3459" t="s">
        <v>10099</v>
      </c>
      <c r="F3459" t="s">
        <v>10174</v>
      </c>
      <c r="J3459" t="s">
        <v>10175</v>
      </c>
      <c r="K3459" s="18" t="s">
        <v>10176</v>
      </c>
      <c r="N3459" s="17" t="s">
        <v>77</v>
      </c>
      <c r="O3459" t="s">
        <v>145</v>
      </c>
      <c r="V3459" s="18" t="s">
        <v>10176</v>
      </c>
      <c r="Y3459" t="s">
        <v>515</v>
      </c>
      <c r="AA3459" t="s">
        <v>1614</v>
      </c>
      <c r="AB3459" t="s">
        <v>119</v>
      </c>
    </row>
    <row r="3460" ht="15" customHeight="1" spans="1:23" x14ac:dyDescent="0.25">
      <c r="A3460" s="17" t="s">
        <v>10177</v>
      </c>
      <c r="B3460" s="17" t="s">
        <v>70</v>
      </c>
      <c r="C3460" s="17" t="s">
        <v>71</v>
      </c>
      <c r="D3460" t="s">
        <v>10099</v>
      </c>
      <c r="F3460" t="s">
        <v>10178</v>
      </c>
      <c r="K3460" s="18">
        <f>62216518848</f>
        <v>62216518848</v>
      </c>
      <c r="N3460" s="17" t="s">
        <v>77</v>
      </c>
      <c r="U3460" s="17"/>
      <c r="V3460" s="18">
        <f>62216518848</f>
        <v>62216518848</v>
      </c>
      <c r="W3460" t="s">
        <v>10179</v>
      </c>
    </row>
    <row r="3461" ht="15" customHeight="1" spans="1:23" x14ac:dyDescent="0.25">
      <c r="A3461" s="17" t="s">
        <v>10180</v>
      </c>
      <c r="B3461" s="17" t="s">
        <v>70</v>
      </c>
      <c r="C3461" s="17" t="s">
        <v>71</v>
      </c>
      <c r="D3461" t="s">
        <v>10099</v>
      </c>
      <c r="F3461" t="s">
        <v>10181</v>
      </c>
      <c r="K3461" s="18">
        <f>628111112323</f>
        <v>628111112323</v>
      </c>
      <c r="N3461" s="17" t="s">
        <v>77</v>
      </c>
      <c r="U3461" s="17"/>
      <c r="V3461" s="18">
        <f>628111112323</f>
        <v>628111112323</v>
      </c>
      <c r="W3461" t="s">
        <v>10182</v>
      </c>
    </row>
    <row r="3462" ht="15" customHeight="1" spans="1:27" x14ac:dyDescent="0.25">
      <c r="A3462" s="17" t="s">
        <v>10183</v>
      </c>
      <c r="B3462" s="17" t="s">
        <v>70</v>
      </c>
      <c r="C3462" s="17" t="s">
        <v>71</v>
      </c>
      <c r="D3462" t="s">
        <v>10099</v>
      </c>
      <c r="F3462" t="s">
        <v>10184</v>
      </c>
      <c r="J3462" s="17" t="s">
        <v>10185</v>
      </c>
      <c r="K3462" s="18">
        <f>6281286808888</f>
        <v>6281286808888</v>
      </c>
      <c r="N3462" s="17" t="s">
        <v>77</v>
      </c>
      <c r="U3462" s="17"/>
      <c r="V3462" s="18">
        <f>6281286808888</f>
        <v>6281286808888</v>
      </c>
      <c r="W3462" t="s">
        <v>10186</v>
      </c>
      <c r="Y3462" s="17" t="s">
        <v>1084</v>
      </c>
      <c r="AA3462" s="17">
        <v>14350</v>
      </c>
    </row>
    <row r="3463" ht="15" customHeight="1" spans="1:22" x14ac:dyDescent="0.25">
      <c r="A3463" s="17" t="s">
        <v>10187</v>
      </c>
      <c r="B3463" s="17" t="s">
        <v>70</v>
      </c>
      <c r="C3463" s="17" t="s">
        <v>71</v>
      </c>
      <c r="D3463" t="s">
        <v>10099</v>
      </c>
      <c r="F3463" t="s">
        <v>322</v>
      </c>
      <c r="K3463" s="18">
        <f>6285923171177</f>
        <v>6285923171177</v>
      </c>
      <c r="N3463" s="17" t="s">
        <v>77</v>
      </c>
      <c r="V3463" s="18">
        <f>6285923171177</f>
        <v>6285923171177</v>
      </c>
    </row>
    <row r="3464" ht="15" customHeight="1" spans="1:27" x14ac:dyDescent="0.25">
      <c r="A3464" s="17" t="s">
        <v>10188</v>
      </c>
      <c r="B3464" s="17" t="s">
        <v>70</v>
      </c>
      <c r="C3464" s="17" t="s">
        <v>71</v>
      </c>
      <c r="D3464" t="s">
        <v>10099</v>
      </c>
      <c r="F3464" t="s">
        <v>10189</v>
      </c>
      <c r="K3464" s="18">
        <f>62816290668</f>
        <v>62816290668</v>
      </c>
      <c r="N3464" s="17" t="s">
        <v>77</v>
      </c>
      <c r="U3464" s="17"/>
      <c r="V3464" s="18">
        <f>62816290668</f>
        <v>62816290668</v>
      </c>
      <c r="W3464" t="s">
        <v>10190</v>
      </c>
      <c r="Y3464" s="17" t="s">
        <v>90</v>
      </c>
      <c r="AA3464" s="17">
        <v>13440</v>
      </c>
    </row>
    <row r="3465" ht="15" customHeight="1" spans="1:25" x14ac:dyDescent="0.25">
      <c r="A3465" s="17" t="s">
        <v>10191</v>
      </c>
      <c r="B3465" s="17" t="s">
        <v>70</v>
      </c>
      <c r="C3465" s="17" t="s">
        <v>71</v>
      </c>
      <c r="D3465" t="s">
        <v>10099</v>
      </c>
      <c r="F3465" t="s">
        <v>10192</v>
      </c>
      <c r="K3465" s="18">
        <f>62818180788</f>
        <v>62818180788</v>
      </c>
      <c r="N3465" s="17" t="s">
        <v>74</v>
      </c>
      <c r="U3465" s="17"/>
      <c r="V3465" s="18">
        <f>62818180788</f>
        <v>62818180788</v>
      </c>
      <c r="W3465" t="s">
        <v>10193</v>
      </c>
      <c r="Y3465" s="17" t="s">
        <v>626</v>
      </c>
    </row>
    <row r="3466" ht="15" customHeight="1" spans="1:28" x14ac:dyDescent="0.25">
      <c r="A3466" s="17" t="s">
        <v>10194</v>
      </c>
      <c r="B3466" s="17" t="s">
        <v>70</v>
      </c>
      <c r="C3466" s="17" t="s">
        <v>71</v>
      </c>
      <c r="D3466" t="s">
        <v>10099</v>
      </c>
      <c r="F3466" t="s">
        <v>10195</v>
      </c>
      <c r="J3466" t="s">
        <v>115</v>
      </c>
      <c r="K3466" s="18" t="s">
        <v>10196</v>
      </c>
      <c r="N3466" s="17" t="s">
        <v>77</v>
      </c>
      <c r="O3466" t="s">
        <v>145</v>
      </c>
      <c r="V3466" s="18" t="s">
        <v>10196</v>
      </c>
      <c r="Y3466" s="17" t="s">
        <v>181</v>
      </c>
      <c r="AA3466" t="s">
        <v>1672</v>
      </c>
      <c r="AB3466" t="s">
        <v>1453</v>
      </c>
    </row>
    <row r="3467" ht="15" customHeight="1" spans="1:22" x14ac:dyDescent="0.25">
      <c r="A3467" s="17" t="s">
        <v>10197</v>
      </c>
      <c r="B3467" s="17" t="s">
        <v>70</v>
      </c>
      <c r="C3467" s="17" t="s">
        <v>71</v>
      </c>
      <c r="D3467" t="s">
        <v>10099</v>
      </c>
      <c r="F3467" t="s">
        <v>10198</v>
      </c>
      <c r="K3467" s="18">
        <f>62811185723</f>
        <v>62811185723</v>
      </c>
      <c r="N3467" s="17" t="s">
        <v>74</v>
      </c>
      <c r="V3467" s="18">
        <f>62811185723</f>
        <v>62811185723</v>
      </c>
    </row>
    <row r="3468" ht="15" customHeight="1" spans="1:28" x14ac:dyDescent="0.25">
      <c r="A3468" s="17" t="s">
        <v>10199</v>
      </c>
      <c r="B3468" s="17" t="s">
        <v>70</v>
      </c>
      <c r="C3468" s="17" t="s">
        <v>71</v>
      </c>
      <c r="D3468" t="s">
        <v>10099</v>
      </c>
      <c r="F3468" t="s">
        <v>8492</v>
      </c>
      <c r="J3468" s="17" t="s">
        <v>10200</v>
      </c>
      <c r="K3468" s="18" t="s">
        <v>10201</v>
      </c>
      <c r="N3468" s="17" t="s">
        <v>77</v>
      </c>
      <c r="O3468" t="s">
        <v>145</v>
      </c>
      <c r="U3468" s="17"/>
      <c r="V3468" s="18" t="s">
        <v>10201</v>
      </c>
      <c r="W3468" t="s">
        <v>10202</v>
      </c>
      <c r="Y3468" t="s">
        <v>90</v>
      </c>
      <c r="AA3468" t="s">
        <v>118</v>
      </c>
      <c r="AB3468" t="s">
        <v>119</v>
      </c>
    </row>
    <row r="3469" ht="15" customHeight="1" spans="1:22" x14ac:dyDescent="0.25">
      <c r="A3469" s="17" t="s">
        <v>10203</v>
      </c>
      <c r="B3469" s="17" t="s">
        <v>70</v>
      </c>
      <c r="C3469" s="17" t="s">
        <v>71</v>
      </c>
      <c r="D3469" t="s">
        <v>10099</v>
      </c>
      <c r="F3469" t="s">
        <v>10204</v>
      </c>
      <c r="K3469" s="18">
        <f>628118111818</f>
        <v>628118111818</v>
      </c>
      <c r="N3469" s="17" t="s">
        <v>77</v>
      </c>
      <c r="V3469" s="18">
        <f>628118111818</f>
        <v>628118111818</v>
      </c>
    </row>
    <row r="3470" ht="15" customHeight="1" spans="1:23" x14ac:dyDescent="0.25">
      <c r="A3470" s="17" t="s">
        <v>10205</v>
      </c>
      <c r="B3470" s="17" t="s">
        <v>70</v>
      </c>
      <c r="C3470" s="17" t="s">
        <v>71</v>
      </c>
      <c r="D3470" t="s">
        <v>10099</v>
      </c>
      <c r="F3470" t="s">
        <v>10206</v>
      </c>
      <c r="J3470" s="17" t="s">
        <v>10207</v>
      </c>
      <c r="K3470" s="18">
        <f>6281231316111</f>
        <v>6281231316111</v>
      </c>
      <c r="N3470" s="17" t="s">
        <v>77</v>
      </c>
      <c r="U3470" s="17"/>
      <c r="V3470" s="18">
        <f>6281231316111</f>
        <v>6281231316111</v>
      </c>
      <c r="W3470" t="s">
        <v>10208</v>
      </c>
    </row>
    <row r="3471" ht="15" customHeight="1" spans="1:25" x14ac:dyDescent="0.25">
      <c r="A3471" s="17" t="s">
        <v>10209</v>
      </c>
      <c r="B3471" s="17" t="s">
        <v>70</v>
      </c>
      <c r="C3471" s="17" t="s">
        <v>71</v>
      </c>
      <c r="D3471" t="s">
        <v>10099</v>
      </c>
      <c r="F3471" t="s">
        <v>10210</v>
      </c>
      <c r="K3471" s="18">
        <f>62857893888</f>
        <v>62857893888</v>
      </c>
      <c r="N3471" s="17" t="s">
        <v>81</v>
      </c>
      <c r="U3471" s="17"/>
      <c r="V3471" s="18">
        <f>62857893888</f>
        <v>62857893888</v>
      </c>
      <c r="W3471" t="s">
        <v>10211</v>
      </c>
      <c r="Y3471" s="17" t="s">
        <v>90</v>
      </c>
    </row>
    <row r="3472" ht="15" customHeight="1" spans="1:25" x14ac:dyDescent="0.25">
      <c r="A3472" s="17" t="s">
        <v>10212</v>
      </c>
      <c r="B3472" s="17" t="s">
        <v>70</v>
      </c>
      <c r="C3472" s="17" t="s">
        <v>71</v>
      </c>
      <c r="D3472" t="s">
        <v>10099</v>
      </c>
      <c r="F3472" t="s">
        <v>8122</v>
      </c>
      <c r="K3472" s="18">
        <f>622131900340</f>
        <v>622131900340</v>
      </c>
      <c r="N3472" s="17" t="s">
        <v>77</v>
      </c>
      <c r="U3472" s="17"/>
      <c r="V3472" s="18">
        <f>622131900340</f>
        <v>622131900340</v>
      </c>
      <c r="W3472" t="s">
        <v>10213</v>
      </c>
      <c r="Y3472" s="17" t="s">
        <v>378</v>
      </c>
    </row>
    <row r="3473" ht="15" customHeight="1" spans="1:22" x14ac:dyDescent="0.25">
      <c r="A3473" s="17" t="s">
        <v>10214</v>
      </c>
      <c r="B3473" s="17" t="s">
        <v>70</v>
      </c>
      <c r="C3473" s="17" t="s">
        <v>71</v>
      </c>
      <c r="D3473" t="s">
        <v>10099</v>
      </c>
      <c r="F3473" t="s">
        <v>4401</v>
      </c>
      <c r="K3473" s="18">
        <f>6281390000989</f>
        <v>6281390000989</v>
      </c>
      <c r="N3473" s="17" t="s">
        <v>81</v>
      </c>
      <c r="V3473" s="18">
        <f>6281390000989</f>
        <v>6281390000989</v>
      </c>
    </row>
    <row r="3474" ht="15" customHeight="1" spans="1:22" x14ac:dyDescent="0.25">
      <c r="A3474" s="17" t="s">
        <v>10215</v>
      </c>
      <c r="B3474" s="17" t="s">
        <v>70</v>
      </c>
      <c r="C3474" s="17" t="s">
        <v>71</v>
      </c>
      <c r="D3474" t="s">
        <v>10099</v>
      </c>
      <c r="F3474" t="s">
        <v>10216</v>
      </c>
      <c r="K3474" s="18">
        <f>620816978425</f>
        <v>620816978425</v>
      </c>
      <c r="N3474" s="17" t="s">
        <v>74</v>
      </c>
      <c r="V3474" s="18">
        <f>620816978425</f>
        <v>620816978425</v>
      </c>
    </row>
    <row r="3475" ht="15" customHeight="1" spans="1:23" x14ac:dyDescent="0.25">
      <c r="A3475" s="17" t="s">
        <v>10217</v>
      </c>
      <c r="B3475" s="17" t="s">
        <v>70</v>
      </c>
      <c r="C3475" s="17" t="s">
        <v>71</v>
      </c>
      <c r="D3475" t="s">
        <v>10099</v>
      </c>
      <c r="F3475" t="s">
        <v>10216</v>
      </c>
      <c r="K3475" s="18">
        <f>62816978425</f>
        <v>62816978425</v>
      </c>
      <c r="N3475" s="17" t="s">
        <v>81</v>
      </c>
      <c r="U3475" s="17"/>
      <c r="V3475" s="18">
        <f>62816978425</f>
        <v>62816978425</v>
      </c>
      <c r="W3475" t="s">
        <v>10218</v>
      </c>
    </row>
    <row r="3476" ht="15" customHeight="1" spans="1:28" x14ac:dyDescent="0.25">
      <c r="A3476" s="17" t="s">
        <v>10219</v>
      </c>
      <c r="B3476" s="17" t="s">
        <v>70</v>
      </c>
      <c r="C3476" s="17" t="s">
        <v>71</v>
      </c>
      <c r="D3476" t="s">
        <v>10099</v>
      </c>
      <c r="F3476" t="s">
        <v>10220</v>
      </c>
      <c r="J3476" t="s">
        <v>115</v>
      </c>
      <c r="K3476" s="18" t="s">
        <v>10221</v>
      </c>
      <c r="N3476" s="17" t="s">
        <v>81</v>
      </c>
      <c r="O3476" t="s">
        <v>117</v>
      </c>
      <c r="V3476" s="18" t="s">
        <v>10221</v>
      </c>
      <c r="Y3476" t="s">
        <v>90</v>
      </c>
      <c r="AA3476" t="s">
        <v>118</v>
      </c>
      <c r="AB3476" t="s">
        <v>119</v>
      </c>
    </row>
    <row r="3477" ht="15" customHeight="1" spans="1:28" x14ac:dyDescent="0.25">
      <c r="A3477" s="17" t="s">
        <v>10222</v>
      </c>
      <c r="B3477" s="17" t="s">
        <v>70</v>
      </c>
      <c r="C3477" s="17" t="s">
        <v>71</v>
      </c>
      <c r="D3477" t="s">
        <v>10099</v>
      </c>
      <c r="F3477" t="s">
        <v>10223</v>
      </c>
      <c r="J3477" t="s">
        <v>115</v>
      </c>
      <c r="K3477" s="18" t="s">
        <v>10224</v>
      </c>
      <c r="N3477" s="17" t="s">
        <v>77</v>
      </c>
      <c r="O3477" t="s">
        <v>117</v>
      </c>
      <c r="V3477" s="18" t="s">
        <v>10224</v>
      </c>
      <c r="Y3477" t="s">
        <v>90</v>
      </c>
      <c r="AA3477" t="s">
        <v>118</v>
      </c>
      <c r="AB3477" t="s">
        <v>119</v>
      </c>
    </row>
    <row r="3478" ht="15" customHeight="1" spans="1:22" x14ac:dyDescent="0.25">
      <c r="A3478" s="17" t="s">
        <v>10225</v>
      </c>
      <c r="B3478" s="17" t="s">
        <v>70</v>
      </c>
      <c r="C3478" s="17" t="s">
        <v>71</v>
      </c>
      <c r="D3478" t="s">
        <v>10226</v>
      </c>
      <c r="F3478" t="s">
        <v>10226</v>
      </c>
      <c r="K3478" s="18">
        <f>6281585288897</f>
        <v>6281585288897</v>
      </c>
      <c r="N3478" s="17" t="s">
        <v>74</v>
      </c>
      <c r="V3478" s="18">
        <f>6281585288897</f>
        <v>6281585288897</v>
      </c>
    </row>
    <row r="3479" ht="15" customHeight="1" spans="1:28" x14ac:dyDescent="0.25">
      <c r="A3479" s="17" t="s">
        <v>10227</v>
      </c>
      <c r="B3479" s="17" t="s">
        <v>70</v>
      </c>
      <c r="C3479" s="17" t="s">
        <v>71</v>
      </c>
      <c r="D3479" t="s">
        <v>10228</v>
      </c>
      <c r="F3479" t="s">
        <v>10228</v>
      </c>
      <c r="J3479" t="s">
        <v>115</v>
      </c>
      <c r="K3479" s="18" t="s">
        <v>10229</v>
      </c>
      <c r="N3479" s="17" t="s">
        <v>74</v>
      </c>
      <c r="O3479" t="s">
        <v>489</v>
      </c>
      <c r="U3479" s="17"/>
      <c r="V3479" s="18" t="s">
        <v>10229</v>
      </c>
      <c r="W3479" t="s">
        <v>10230</v>
      </c>
      <c r="Y3479" s="17" t="s">
        <v>90</v>
      </c>
      <c r="AA3479" t="s">
        <v>118</v>
      </c>
      <c r="AB3479" t="s">
        <v>119</v>
      </c>
    </row>
    <row r="3480" ht="15" customHeight="1" spans="1:22" x14ac:dyDescent="0.25">
      <c r="A3480" s="17" t="s">
        <v>10231</v>
      </c>
      <c r="B3480" s="17" t="s">
        <v>70</v>
      </c>
      <c r="C3480" s="17" t="s">
        <v>71</v>
      </c>
      <c r="D3480" t="s">
        <v>10232</v>
      </c>
      <c r="F3480" t="s">
        <v>10232</v>
      </c>
      <c r="K3480" s="18">
        <f>6281282282227</f>
        <v>6281282282227</v>
      </c>
      <c r="N3480" s="17" t="s">
        <v>77</v>
      </c>
      <c r="V3480" s="18">
        <f>6281282282227</f>
        <v>6281282282227</v>
      </c>
    </row>
    <row r="3481" ht="15" customHeight="1" spans="1:28" x14ac:dyDescent="0.25">
      <c r="A3481" s="17" t="s">
        <v>10233</v>
      </c>
      <c r="B3481" s="17" t="s">
        <v>70</v>
      </c>
      <c r="C3481" s="17" t="s">
        <v>71</v>
      </c>
      <c r="D3481" t="s">
        <v>10232</v>
      </c>
      <c r="F3481" t="s">
        <v>10234</v>
      </c>
      <c r="J3481" s="17" t="s">
        <v>10235</v>
      </c>
      <c r="K3481" s="18" t="s">
        <v>10236</v>
      </c>
      <c r="N3481" s="17" t="s">
        <v>77</v>
      </c>
      <c r="O3481" t="s">
        <v>117</v>
      </c>
      <c r="V3481" s="18" t="s">
        <v>10236</v>
      </c>
      <c r="Y3481" t="s">
        <v>90</v>
      </c>
      <c r="AA3481" t="s">
        <v>118</v>
      </c>
      <c r="AB3481" t="s">
        <v>119</v>
      </c>
    </row>
    <row r="3482" ht="15" customHeight="1" spans="1:22" x14ac:dyDescent="0.25">
      <c r="A3482" s="17" t="s">
        <v>10237</v>
      </c>
      <c r="B3482" s="17" t="s">
        <v>70</v>
      </c>
      <c r="C3482" s="17" t="s">
        <v>71</v>
      </c>
      <c r="D3482" t="s">
        <v>10238</v>
      </c>
      <c r="F3482" t="s">
        <v>10238</v>
      </c>
      <c r="K3482" s="18">
        <f>62816950106</f>
        <v>62816950106</v>
      </c>
      <c r="N3482" s="17" t="s">
        <v>77</v>
      </c>
      <c r="V3482" s="18">
        <f>62816950106</f>
        <v>62816950106</v>
      </c>
    </row>
    <row r="3483" ht="15" customHeight="1" spans="1:23" x14ac:dyDescent="0.25">
      <c r="A3483" s="17" t="s">
        <v>10239</v>
      </c>
      <c r="B3483" s="17" t="s">
        <v>70</v>
      </c>
      <c r="C3483" s="17" t="s">
        <v>71</v>
      </c>
      <c r="D3483" t="s">
        <v>10240</v>
      </c>
      <c r="F3483" t="s">
        <v>10241</v>
      </c>
      <c r="K3483" s="18">
        <f>6281368684095</f>
        <v>6281368684095</v>
      </c>
      <c r="N3483" s="17" t="s">
        <v>77</v>
      </c>
      <c r="U3483" s="17"/>
      <c r="V3483" s="18">
        <f>6281368684095</f>
        <v>6281368684095</v>
      </c>
      <c r="W3483" t="s">
        <v>10242</v>
      </c>
    </row>
    <row r="3484" ht="15" customHeight="1" spans="1:22" x14ac:dyDescent="0.25">
      <c r="A3484" s="17" t="s">
        <v>10243</v>
      </c>
      <c r="B3484" s="17" t="s">
        <v>70</v>
      </c>
      <c r="C3484" s="17" t="s">
        <v>71</v>
      </c>
      <c r="D3484" t="s">
        <v>7016</v>
      </c>
      <c r="F3484" t="s">
        <v>2754</v>
      </c>
      <c r="K3484" s="18">
        <f>6281388806285</f>
        <v>6281388806285</v>
      </c>
      <c r="N3484" s="17" t="s">
        <v>77</v>
      </c>
      <c r="V3484" s="18">
        <f>6281388806285</f>
        <v>6281388806285</v>
      </c>
    </row>
    <row r="3485" ht="15" customHeight="1" spans="1:22" x14ac:dyDescent="0.25">
      <c r="A3485" s="17" t="s">
        <v>10244</v>
      </c>
      <c r="B3485" s="17" t="s">
        <v>70</v>
      </c>
      <c r="C3485" s="17" t="s">
        <v>71</v>
      </c>
      <c r="D3485" t="s">
        <v>10245</v>
      </c>
      <c r="F3485" t="s">
        <v>5581</v>
      </c>
      <c r="K3485" s="18">
        <f>6281287777567</f>
        <v>6281287777567</v>
      </c>
      <c r="N3485" s="17" t="s">
        <v>81</v>
      </c>
      <c r="V3485" s="18">
        <f>6281287777567</f>
        <v>6281287777567</v>
      </c>
    </row>
    <row r="3486" ht="15" customHeight="1" spans="1:22" x14ac:dyDescent="0.25">
      <c r="A3486" s="17" t="s">
        <v>10246</v>
      </c>
      <c r="B3486" s="17" t="s">
        <v>70</v>
      </c>
      <c r="C3486" s="17" t="s">
        <v>71</v>
      </c>
      <c r="D3486" t="s">
        <v>10247</v>
      </c>
      <c r="F3486" t="s">
        <v>4804</v>
      </c>
      <c r="K3486" s="18">
        <f>6281282330488</f>
        <v>6281282330488</v>
      </c>
      <c r="N3486" s="17" t="s">
        <v>74</v>
      </c>
      <c r="V3486" s="18">
        <f>6281282330488</f>
        <v>6281282330488</v>
      </c>
    </row>
    <row r="3487" ht="15" customHeight="1" spans="1:22" x14ac:dyDescent="0.25">
      <c r="A3487" s="17" t="s">
        <v>10248</v>
      </c>
      <c r="B3487" s="17" t="s">
        <v>70</v>
      </c>
      <c r="C3487" s="17" t="s">
        <v>71</v>
      </c>
      <c r="D3487" t="s">
        <v>10249</v>
      </c>
      <c r="F3487" t="s">
        <v>5531</v>
      </c>
      <c r="K3487" s="18">
        <f>6285245658827</f>
        <v>6285245658827</v>
      </c>
      <c r="N3487" s="17" t="s">
        <v>77</v>
      </c>
      <c r="V3487" s="18">
        <f>6285245658827</f>
        <v>6285245658827</v>
      </c>
    </row>
    <row r="3488" ht="15" customHeight="1" spans="1:27" x14ac:dyDescent="0.25">
      <c r="A3488" s="17" t="s">
        <v>10250</v>
      </c>
      <c r="B3488" s="17" t="s">
        <v>70</v>
      </c>
      <c r="C3488" s="17" t="s">
        <v>71</v>
      </c>
      <c r="D3488" t="s">
        <v>10251</v>
      </c>
      <c r="F3488" t="s">
        <v>10252</v>
      </c>
      <c r="J3488" s="17" t="s">
        <v>10253</v>
      </c>
      <c r="K3488" s="18">
        <f>62815149888888</f>
        <v>62815149888888</v>
      </c>
      <c r="N3488" s="17" t="s">
        <v>77</v>
      </c>
      <c r="U3488" s="17"/>
      <c r="V3488" s="18">
        <f>62815149888888</f>
        <v>62815149888888</v>
      </c>
      <c r="W3488" t="s">
        <v>10254</v>
      </c>
      <c r="AA3488" s="17">
        <v>12310</v>
      </c>
    </row>
    <row r="3489" ht="15" customHeight="1" spans="1:22" x14ac:dyDescent="0.25">
      <c r="A3489" s="17" t="s">
        <v>10255</v>
      </c>
      <c r="B3489" s="17" t="s">
        <v>70</v>
      </c>
      <c r="C3489" s="17" t="s">
        <v>71</v>
      </c>
      <c r="D3489" t="s">
        <v>10256</v>
      </c>
      <c r="F3489" t="s">
        <v>10257</v>
      </c>
      <c r="K3489" s="18">
        <f>62818757595</f>
        <v>62818757595</v>
      </c>
      <c r="N3489" s="17" t="s">
        <v>77</v>
      </c>
      <c r="V3489" s="18">
        <f>62818757595</f>
        <v>62818757595</v>
      </c>
    </row>
    <row r="3490" ht="15" customHeight="1" spans="1:28" x14ac:dyDescent="0.25">
      <c r="A3490" s="17" t="s">
        <v>10258</v>
      </c>
      <c r="B3490" s="17" t="s">
        <v>70</v>
      </c>
      <c r="C3490" s="17" t="s">
        <v>71</v>
      </c>
      <c r="D3490" t="s">
        <v>10259</v>
      </c>
      <c r="F3490" t="s">
        <v>10260</v>
      </c>
      <c r="J3490" s="17" t="s">
        <v>10261</v>
      </c>
      <c r="K3490" s="18" t="s">
        <v>10262</v>
      </c>
      <c r="N3490" s="17" t="s">
        <v>77</v>
      </c>
      <c r="O3490" t="s">
        <v>117</v>
      </c>
      <c r="U3490" s="17"/>
      <c r="V3490" s="18" t="s">
        <v>10262</v>
      </c>
      <c r="W3490" t="s">
        <v>10263</v>
      </c>
      <c r="Y3490" t="s">
        <v>8621</v>
      </c>
      <c r="AA3490" t="s">
        <v>115</v>
      </c>
      <c r="AB3490" t="s">
        <v>119</v>
      </c>
    </row>
    <row r="3491" ht="15" customHeight="1" spans="1:22" x14ac:dyDescent="0.25">
      <c r="A3491" s="17" t="s">
        <v>10264</v>
      </c>
      <c r="B3491" s="17" t="s">
        <v>70</v>
      </c>
      <c r="C3491" s="17" t="s">
        <v>71</v>
      </c>
      <c r="D3491" t="s">
        <v>10265</v>
      </c>
      <c r="F3491" t="s">
        <v>10265</v>
      </c>
      <c r="K3491" s="18">
        <f>6281905030098</f>
        <v>6281905030098</v>
      </c>
      <c r="N3491" s="17" t="s">
        <v>77</v>
      </c>
      <c r="V3491" s="18">
        <f>6281905030098</f>
        <v>6281905030098</v>
      </c>
    </row>
    <row r="3492" ht="15" customHeight="1" spans="1:23" x14ac:dyDescent="0.25">
      <c r="A3492" s="17" t="s">
        <v>10266</v>
      </c>
      <c r="B3492" s="17" t="s">
        <v>70</v>
      </c>
      <c r="C3492" s="17" t="s">
        <v>71</v>
      </c>
      <c r="D3492" t="s">
        <v>10265</v>
      </c>
      <c r="F3492" t="s">
        <v>212</v>
      </c>
      <c r="J3492" s="17" t="s">
        <v>10267</v>
      </c>
      <c r="K3492" s="18">
        <f>628128336389</f>
        <v>628128336389</v>
      </c>
      <c r="N3492" s="17" t="s">
        <v>81</v>
      </c>
      <c r="U3492" s="17"/>
      <c r="V3492" s="18">
        <f>628128336389</f>
        <v>628128336389</v>
      </c>
      <c r="W3492" t="s">
        <v>10268</v>
      </c>
    </row>
    <row r="3493" ht="15" customHeight="1" spans="1:22" x14ac:dyDescent="0.25">
      <c r="A3493" s="17" t="s">
        <v>10269</v>
      </c>
      <c r="B3493" s="17" t="s">
        <v>70</v>
      </c>
      <c r="C3493" s="17" t="s">
        <v>71</v>
      </c>
      <c r="D3493" t="s">
        <v>10265</v>
      </c>
      <c r="F3493" t="s">
        <v>10270</v>
      </c>
      <c r="K3493" s="18">
        <f>62811870821</f>
        <v>62811870821</v>
      </c>
      <c r="N3493" s="17" t="s">
        <v>77</v>
      </c>
      <c r="V3493" s="18">
        <f>62811870821</f>
        <v>62811870821</v>
      </c>
    </row>
    <row r="3494" ht="15" customHeight="1" spans="1:22" x14ac:dyDescent="0.25">
      <c r="A3494" s="17" t="s">
        <v>10271</v>
      </c>
      <c r="B3494" s="17" t="s">
        <v>70</v>
      </c>
      <c r="C3494" s="17" t="s">
        <v>71</v>
      </c>
      <c r="D3494" t="s">
        <v>10265</v>
      </c>
      <c r="F3494" t="s">
        <v>2345</v>
      </c>
      <c r="K3494" s="18">
        <f>628161116563</f>
        <v>628161116563</v>
      </c>
      <c r="N3494" s="17" t="s">
        <v>77</v>
      </c>
      <c r="V3494" s="18">
        <f>628161116563</f>
        <v>628161116563</v>
      </c>
    </row>
    <row r="3495" ht="15" customHeight="1" spans="1:22" x14ac:dyDescent="0.25">
      <c r="A3495" s="17" t="s">
        <v>10272</v>
      </c>
      <c r="B3495" s="17" t="s">
        <v>70</v>
      </c>
      <c r="C3495" s="17" t="s">
        <v>71</v>
      </c>
      <c r="D3495" t="s">
        <v>10265</v>
      </c>
      <c r="F3495" t="s">
        <v>10273</v>
      </c>
      <c r="K3495" s="18">
        <f>628129897777</f>
        <v>628129897777</v>
      </c>
      <c r="N3495" s="17" t="s">
        <v>81</v>
      </c>
      <c r="V3495" s="18">
        <f>628129897777</f>
        <v>628129897777</v>
      </c>
    </row>
    <row r="3496" ht="15" customHeight="1" spans="1:22" x14ac:dyDescent="0.25">
      <c r="A3496" s="17" t="s">
        <v>10274</v>
      </c>
      <c r="B3496" s="17" t="s">
        <v>70</v>
      </c>
      <c r="C3496" s="17" t="s">
        <v>71</v>
      </c>
      <c r="D3496" t="s">
        <v>10265</v>
      </c>
      <c r="F3496" t="s">
        <v>7941</v>
      </c>
      <c r="K3496" s="18">
        <f>6281283398343</f>
        <v>6281283398343</v>
      </c>
      <c r="N3496" s="17" t="s">
        <v>81</v>
      </c>
      <c r="V3496" s="18">
        <f>6281283398343</f>
        <v>6281283398343</v>
      </c>
    </row>
    <row r="3497" ht="15" customHeight="1" spans="1:25" x14ac:dyDescent="0.25">
      <c r="A3497" s="17" t="s">
        <v>10275</v>
      </c>
      <c r="B3497" s="17" t="s">
        <v>70</v>
      </c>
      <c r="C3497" s="17" t="s">
        <v>71</v>
      </c>
      <c r="D3497" t="s">
        <v>10276</v>
      </c>
      <c r="F3497" t="s">
        <v>10277</v>
      </c>
      <c r="K3497" s="18">
        <f>622127506270</f>
        <v>622127506270</v>
      </c>
      <c r="N3497" s="17" t="s">
        <v>74</v>
      </c>
      <c r="U3497" s="17"/>
      <c r="V3497" s="18">
        <f>622127506270</f>
        <v>622127506270</v>
      </c>
      <c r="W3497" t="s">
        <v>10278</v>
      </c>
      <c r="Y3497" s="17" t="s">
        <v>90</v>
      </c>
    </row>
    <row r="3498" ht="15" customHeight="1" spans="1:22" x14ac:dyDescent="0.25">
      <c r="A3498" s="17" t="s">
        <v>10279</v>
      </c>
      <c r="B3498" s="17" t="s">
        <v>70</v>
      </c>
      <c r="C3498" s="17" t="s">
        <v>71</v>
      </c>
      <c r="D3498" t="s">
        <v>10280</v>
      </c>
      <c r="F3498" t="s">
        <v>10281</v>
      </c>
      <c r="J3498" s="17" t="s">
        <v>10282</v>
      </c>
      <c r="K3498" s="18">
        <f>62811991171</f>
        <v>62811991171</v>
      </c>
      <c r="N3498" s="17" t="s">
        <v>81</v>
      </c>
      <c r="V3498" s="18">
        <f>62811991171</f>
        <v>62811991171</v>
      </c>
    </row>
    <row r="3499" ht="15" customHeight="1" spans="1:28" x14ac:dyDescent="0.25">
      <c r="A3499" s="17" t="s">
        <v>10283</v>
      </c>
      <c r="B3499" s="17" t="s">
        <v>70</v>
      </c>
      <c r="C3499" s="17" t="s">
        <v>71</v>
      </c>
      <c r="D3499" t="s">
        <v>10280</v>
      </c>
      <c r="F3499" t="s">
        <v>10284</v>
      </c>
      <c r="J3499" t="s">
        <v>115</v>
      </c>
      <c r="K3499" s="18" t="s">
        <v>10285</v>
      </c>
      <c r="N3499" s="17" t="s">
        <v>77</v>
      </c>
      <c r="O3499" t="s">
        <v>117</v>
      </c>
      <c r="V3499" s="18" t="s">
        <v>10285</v>
      </c>
      <c r="Y3499" t="s">
        <v>190</v>
      </c>
      <c r="AA3499" t="s">
        <v>118</v>
      </c>
      <c r="AB3499" t="s">
        <v>119</v>
      </c>
    </row>
    <row r="3500" ht="15" customHeight="1" spans="1:22" x14ac:dyDescent="0.25">
      <c r="A3500" s="17" t="s">
        <v>10286</v>
      </c>
      <c r="B3500" s="17" t="s">
        <v>70</v>
      </c>
      <c r="C3500" s="17" t="s">
        <v>71</v>
      </c>
      <c r="D3500" t="s">
        <v>10287</v>
      </c>
      <c r="F3500" t="s">
        <v>10287</v>
      </c>
      <c r="K3500" s="18">
        <f>6281116430</f>
        <v>6281116430</v>
      </c>
      <c r="N3500" s="17" t="s">
        <v>77</v>
      </c>
      <c r="V3500" s="18">
        <f>6281116430</f>
        <v>6281116430</v>
      </c>
    </row>
    <row r="3501" ht="15" customHeight="1" spans="1:28" x14ac:dyDescent="0.25">
      <c r="A3501" s="17" t="s">
        <v>10288</v>
      </c>
      <c r="B3501" s="17" t="s">
        <v>70</v>
      </c>
      <c r="C3501" s="17" t="s">
        <v>71</v>
      </c>
      <c r="D3501" t="s">
        <v>10287</v>
      </c>
      <c r="F3501" t="s">
        <v>10289</v>
      </c>
      <c r="J3501" t="s">
        <v>115</v>
      </c>
      <c r="K3501" s="18" t="s">
        <v>10290</v>
      </c>
      <c r="N3501" s="17" t="s">
        <v>74</v>
      </c>
      <c r="O3501" t="s">
        <v>117</v>
      </c>
      <c r="V3501" s="18" t="s">
        <v>10290</v>
      </c>
      <c r="Y3501" t="s">
        <v>378</v>
      </c>
      <c r="AA3501" t="s">
        <v>118</v>
      </c>
      <c r="AB3501" t="s">
        <v>119</v>
      </c>
    </row>
    <row r="3502" ht="15" customHeight="1" spans="1:22" x14ac:dyDescent="0.25">
      <c r="A3502" s="17" t="s">
        <v>10291</v>
      </c>
      <c r="B3502" s="17" t="s">
        <v>70</v>
      </c>
      <c r="C3502" s="17" t="s">
        <v>71</v>
      </c>
      <c r="D3502" t="s">
        <v>10287</v>
      </c>
      <c r="F3502" t="s">
        <v>10292</v>
      </c>
      <c r="K3502" s="18">
        <f>62811149754</f>
        <v>62811149754</v>
      </c>
      <c r="N3502" s="17" t="s">
        <v>74</v>
      </c>
      <c r="V3502" s="18">
        <f>62811149754</f>
        <v>62811149754</v>
      </c>
    </row>
    <row r="3503" ht="15" customHeight="1" spans="1:23" x14ac:dyDescent="0.25">
      <c r="A3503" s="17" t="s">
        <v>10293</v>
      </c>
      <c r="B3503" s="17" t="s">
        <v>70</v>
      </c>
      <c r="C3503" s="17" t="s">
        <v>71</v>
      </c>
      <c r="D3503" t="s">
        <v>10287</v>
      </c>
      <c r="F3503" t="s">
        <v>10294</v>
      </c>
      <c r="J3503" s="17" t="s">
        <v>10295</v>
      </c>
      <c r="K3503" s="18">
        <f>6281397886468</f>
        <v>6281397886468</v>
      </c>
      <c r="N3503" s="17" t="s">
        <v>81</v>
      </c>
      <c r="U3503" s="17"/>
      <c r="V3503" s="18">
        <f>6281397886468</f>
        <v>6281397886468</v>
      </c>
      <c r="W3503" t="s">
        <v>10296</v>
      </c>
    </row>
    <row r="3504" ht="15" customHeight="1" spans="1:28" x14ac:dyDescent="0.25">
      <c r="A3504" s="17" t="s">
        <v>10297</v>
      </c>
      <c r="B3504" s="17" t="s">
        <v>70</v>
      </c>
      <c r="C3504" s="17" t="s">
        <v>71</v>
      </c>
      <c r="D3504" t="s">
        <v>10298</v>
      </c>
      <c r="F3504" t="s">
        <v>10299</v>
      </c>
      <c r="J3504" t="s">
        <v>115</v>
      </c>
      <c r="K3504" s="18" t="s">
        <v>10300</v>
      </c>
      <c r="N3504" s="17" t="s">
        <v>77</v>
      </c>
      <c r="O3504" t="s">
        <v>199</v>
      </c>
      <c r="V3504" s="18" t="s">
        <v>10300</v>
      </c>
      <c r="Y3504" t="s">
        <v>181</v>
      </c>
      <c r="AA3504" t="s">
        <v>1672</v>
      </c>
      <c r="AB3504" t="s">
        <v>119</v>
      </c>
    </row>
    <row r="3505" ht="15" customHeight="1" spans="1:22" x14ac:dyDescent="0.25">
      <c r="A3505" s="17" t="s">
        <v>10301</v>
      </c>
      <c r="B3505" s="17" t="s">
        <v>70</v>
      </c>
      <c r="C3505" s="17" t="s">
        <v>71</v>
      </c>
      <c r="D3505" t="s">
        <v>10302</v>
      </c>
      <c r="F3505" t="s">
        <v>3976</v>
      </c>
      <c r="K3505" s="18">
        <f>6281806300888</f>
        <v>6281806300888</v>
      </c>
      <c r="N3505" s="17" t="s">
        <v>81</v>
      </c>
      <c r="V3505" s="18">
        <f>6281806300888</f>
        <v>6281806300888</v>
      </c>
    </row>
    <row r="3506" ht="15" customHeight="1" spans="1:22" x14ac:dyDescent="0.25">
      <c r="A3506" s="17" t="s">
        <v>10303</v>
      </c>
      <c r="B3506" s="17" t="s">
        <v>70</v>
      </c>
      <c r="C3506" s="17" t="s">
        <v>71</v>
      </c>
      <c r="D3506" t="s">
        <v>10304</v>
      </c>
      <c r="F3506" t="s">
        <v>10305</v>
      </c>
      <c r="K3506" s="18">
        <f>628128012564</f>
        <v>628128012564</v>
      </c>
      <c r="N3506" s="17" t="s">
        <v>77</v>
      </c>
      <c r="V3506" s="18">
        <f>628128012564</f>
        <v>628128012564</v>
      </c>
    </row>
    <row r="3507" ht="15" customHeight="1" spans="1:22" x14ac:dyDescent="0.25">
      <c r="A3507" s="17" t="s">
        <v>10306</v>
      </c>
      <c r="B3507" s="17" t="s">
        <v>70</v>
      </c>
      <c r="C3507" s="17" t="s">
        <v>71</v>
      </c>
      <c r="D3507" t="s">
        <v>10307</v>
      </c>
      <c r="F3507" t="s">
        <v>4378</v>
      </c>
      <c r="K3507" s="18">
        <f>6281319215350</f>
        <v>6281319215350</v>
      </c>
      <c r="N3507" s="17" t="s">
        <v>81</v>
      </c>
      <c r="V3507" s="18">
        <f>6281319215350</f>
        <v>6281319215350</v>
      </c>
    </row>
    <row r="3508" ht="15" customHeight="1" spans="1:22" x14ac:dyDescent="0.25">
      <c r="A3508" s="17" t="s">
        <v>10308</v>
      </c>
      <c r="B3508" s="17" t="s">
        <v>70</v>
      </c>
      <c r="C3508" s="17" t="s">
        <v>71</v>
      </c>
      <c r="D3508" t="s">
        <v>10309</v>
      </c>
      <c r="F3508" t="s">
        <v>10309</v>
      </c>
      <c r="K3508" s="18">
        <f>6281213988889</f>
        <v>6281213988889</v>
      </c>
      <c r="N3508" s="17" t="s">
        <v>81</v>
      </c>
      <c r="V3508" s="18">
        <f>6281213988889</f>
        <v>6281213988889</v>
      </c>
    </row>
    <row r="3509" ht="15" customHeight="1" spans="1:28" x14ac:dyDescent="0.25">
      <c r="A3509" s="17" t="s">
        <v>10310</v>
      </c>
      <c r="B3509" s="17" t="s">
        <v>70</v>
      </c>
      <c r="C3509" s="17" t="s">
        <v>71</v>
      </c>
      <c r="D3509" t="s">
        <v>10309</v>
      </c>
      <c r="F3509" t="s">
        <v>10311</v>
      </c>
      <c r="J3509" t="s">
        <v>115</v>
      </c>
      <c r="K3509" s="18" t="s">
        <v>10312</v>
      </c>
      <c r="N3509" s="17" t="s">
        <v>77</v>
      </c>
      <c r="O3509" t="s">
        <v>199</v>
      </c>
      <c r="V3509" s="18" t="s">
        <v>10312</v>
      </c>
      <c r="Y3509" t="s">
        <v>90</v>
      </c>
      <c r="AA3509" t="s">
        <v>118</v>
      </c>
      <c r="AB3509" t="s">
        <v>119</v>
      </c>
    </row>
    <row r="3510" ht="15" customHeight="1" spans="1:22" x14ac:dyDescent="0.25">
      <c r="A3510" s="17" t="s">
        <v>10313</v>
      </c>
      <c r="B3510" s="17" t="s">
        <v>70</v>
      </c>
      <c r="C3510" s="17" t="s">
        <v>71</v>
      </c>
      <c r="D3510" t="s">
        <v>10309</v>
      </c>
      <c r="F3510" t="s">
        <v>10314</v>
      </c>
      <c r="K3510" s="18">
        <f>62811848008</f>
        <v>62811848008</v>
      </c>
      <c r="N3510" s="17" t="s">
        <v>77</v>
      </c>
      <c r="V3510" s="18">
        <f>62811848008</f>
        <v>62811848008</v>
      </c>
    </row>
    <row r="3511" ht="15" customHeight="1" spans="1:28" x14ac:dyDescent="0.25">
      <c r="A3511" s="17" t="s">
        <v>10315</v>
      </c>
      <c r="B3511" s="17" t="s">
        <v>70</v>
      </c>
      <c r="C3511" s="17" t="s">
        <v>71</v>
      </c>
      <c r="D3511" t="s">
        <v>10309</v>
      </c>
      <c r="F3511" t="s">
        <v>744</v>
      </c>
      <c r="J3511" t="s">
        <v>115</v>
      </c>
      <c r="K3511" s="18" t="s">
        <v>10316</v>
      </c>
      <c r="N3511" s="17" t="s">
        <v>77</v>
      </c>
      <c r="O3511" t="s">
        <v>261</v>
      </c>
      <c r="V3511" s="18" t="s">
        <v>10316</v>
      </c>
      <c r="Y3511" t="s">
        <v>90</v>
      </c>
      <c r="AA3511" t="s">
        <v>118</v>
      </c>
      <c r="AB3511" t="s">
        <v>119</v>
      </c>
    </row>
    <row r="3512" ht="15" customHeight="1" spans="1:22" x14ac:dyDescent="0.25">
      <c r="A3512" s="17" t="s">
        <v>10317</v>
      </c>
      <c r="B3512" s="17" t="s">
        <v>70</v>
      </c>
      <c r="C3512" s="17" t="s">
        <v>71</v>
      </c>
      <c r="D3512" t="s">
        <v>10309</v>
      </c>
      <c r="F3512" t="s">
        <v>10318</v>
      </c>
      <c r="K3512" s="18">
        <f>62812880699</f>
        <v>62812880699</v>
      </c>
      <c r="N3512" s="17" t="s">
        <v>77</v>
      </c>
      <c r="V3512" s="18">
        <f>62812880699</f>
        <v>62812880699</v>
      </c>
    </row>
    <row r="3513" ht="15" customHeight="1" spans="1:22" x14ac:dyDescent="0.25">
      <c r="A3513" s="17" t="s">
        <v>10319</v>
      </c>
      <c r="B3513" s="17" t="s">
        <v>70</v>
      </c>
      <c r="C3513" s="17" t="s">
        <v>71</v>
      </c>
      <c r="D3513" t="s">
        <v>10309</v>
      </c>
      <c r="F3513" t="s">
        <v>10320</v>
      </c>
      <c r="K3513" s="18">
        <f>6281336446688</f>
        <v>6281336446688</v>
      </c>
      <c r="N3513" s="17" t="s">
        <v>77</v>
      </c>
      <c r="V3513" s="18">
        <f>6281336446688</f>
        <v>6281336446688</v>
      </c>
    </row>
    <row r="3514" ht="15" customHeight="1" spans="1:28" x14ac:dyDescent="0.25">
      <c r="A3514" s="17" t="s">
        <v>10321</v>
      </c>
      <c r="B3514" s="17" t="s">
        <v>70</v>
      </c>
      <c r="C3514" s="17" t="s">
        <v>71</v>
      </c>
      <c r="D3514" t="s">
        <v>10322</v>
      </c>
      <c r="F3514" t="s">
        <v>10323</v>
      </c>
      <c r="J3514" s="17" t="s">
        <v>10324</v>
      </c>
      <c r="K3514" s="18" t="s">
        <v>10325</v>
      </c>
      <c r="N3514" s="17" t="s">
        <v>77</v>
      </c>
      <c r="O3514" t="s">
        <v>117</v>
      </c>
      <c r="U3514" s="17"/>
      <c r="V3514" s="18" t="s">
        <v>10325</v>
      </c>
      <c r="W3514" t="s">
        <v>10326</v>
      </c>
      <c r="Y3514" s="17" t="s">
        <v>90</v>
      </c>
      <c r="AA3514" s="17" t="s">
        <v>118</v>
      </c>
      <c r="AB3514" t="s">
        <v>119</v>
      </c>
    </row>
    <row r="3515" ht="15" customHeight="1" spans="1:28" x14ac:dyDescent="0.25">
      <c r="A3515" s="17" t="s">
        <v>10327</v>
      </c>
      <c r="B3515" s="17" t="s">
        <v>70</v>
      </c>
      <c r="C3515" s="17" t="s">
        <v>71</v>
      </c>
      <c r="D3515" t="s">
        <v>10328</v>
      </c>
      <c r="F3515" t="s">
        <v>10328</v>
      </c>
      <c r="J3515" t="s">
        <v>115</v>
      </c>
      <c r="K3515" s="18" t="s">
        <v>10329</v>
      </c>
      <c r="N3515" s="17" t="s">
        <v>77</v>
      </c>
      <c r="O3515" t="s">
        <v>117</v>
      </c>
      <c r="V3515" s="18" t="s">
        <v>10329</v>
      </c>
      <c r="Y3515" t="s">
        <v>515</v>
      </c>
      <c r="AA3515" t="s">
        <v>1614</v>
      </c>
      <c r="AB3515" t="s">
        <v>119</v>
      </c>
    </row>
    <row r="3516" ht="15" customHeight="1" spans="1:25" x14ac:dyDescent="0.25">
      <c r="A3516" s="17" t="s">
        <v>10330</v>
      </c>
      <c r="B3516" s="17" t="s">
        <v>70</v>
      </c>
      <c r="C3516" s="17" t="s">
        <v>71</v>
      </c>
      <c r="D3516" t="s">
        <v>10331</v>
      </c>
      <c r="F3516" t="s">
        <v>10332</v>
      </c>
      <c r="K3516" s="18">
        <f>62811973399</f>
        <v>62811973399</v>
      </c>
      <c r="N3516" s="17" t="s">
        <v>77</v>
      </c>
      <c r="U3516" s="17"/>
      <c r="V3516" s="18">
        <f>62811973399</f>
        <v>62811973399</v>
      </c>
      <c r="W3516" t="s">
        <v>10333</v>
      </c>
      <c r="Y3516" s="17" t="s">
        <v>500</v>
      </c>
    </row>
    <row r="3517" ht="15" customHeight="1" spans="1:28" x14ac:dyDescent="0.25">
      <c r="A3517" s="17" t="s">
        <v>10334</v>
      </c>
      <c r="B3517" s="17" t="s">
        <v>70</v>
      </c>
      <c r="C3517" s="17" t="s">
        <v>71</v>
      </c>
      <c r="D3517" t="s">
        <v>10335</v>
      </c>
      <c r="F3517" t="s">
        <v>10336</v>
      </c>
      <c r="J3517" t="s">
        <v>115</v>
      </c>
      <c r="K3517" s="18" t="s">
        <v>10337</v>
      </c>
      <c r="N3517" s="17" t="s">
        <v>77</v>
      </c>
      <c r="O3517" t="s">
        <v>199</v>
      </c>
      <c r="V3517" s="18" t="s">
        <v>10337</v>
      </c>
      <c r="Y3517" t="s">
        <v>1091</v>
      </c>
      <c r="AA3517" t="s">
        <v>115</v>
      </c>
      <c r="AB3517" t="s">
        <v>119</v>
      </c>
    </row>
    <row r="3518" ht="15" customHeight="1" spans="1:22" x14ac:dyDescent="0.25">
      <c r="A3518" s="17" t="s">
        <v>10338</v>
      </c>
      <c r="B3518" s="17" t="s">
        <v>70</v>
      </c>
      <c r="C3518" s="17" t="s">
        <v>71</v>
      </c>
      <c r="D3518" t="s">
        <v>10339</v>
      </c>
      <c r="F3518" t="s">
        <v>10339</v>
      </c>
      <c r="K3518" s="18">
        <f>62816849197</f>
        <v>62816849197</v>
      </c>
      <c r="N3518" s="17" t="s">
        <v>74</v>
      </c>
      <c r="V3518" s="18">
        <f>62816849197</f>
        <v>62816849197</v>
      </c>
    </row>
    <row r="3519" ht="15" customHeight="1" spans="1:22" x14ac:dyDescent="0.25">
      <c r="A3519" s="17" t="s">
        <v>10340</v>
      </c>
      <c r="B3519" s="17" t="s">
        <v>70</v>
      </c>
      <c r="C3519" s="17" t="s">
        <v>71</v>
      </c>
      <c r="D3519" t="s">
        <v>10341</v>
      </c>
      <c r="F3519" t="s">
        <v>10341</v>
      </c>
      <c r="K3519" s="18">
        <f>6282273051000</f>
        <v>6282273051000</v>
      </c>
      <c r="N3519" s="17" t="s">
        <v>81</v>
      </c>
      <c r="V3519" s="18">
        <f>6282273051000</f>
        <v>6282273051000</v>
      </c>
    </row>
    <row r="3520" ht="15" customHeight="1" spans="1:28" x14ac:dyDescent="0.25">
      <c r="A3520" s="17" t="s">
        <v>10342</v>
      </c>
      <c r="B3520" s="17" t="s">
        <v>70</v>
      </c>
      <c r="C3520" s="17" t="s">
        <v>71</v>
      </c>
      <c r="D3520" t="s">
        <v>10343</v>
      </c>
      <c r="F3520" t="s">
        <v>10344</v>
      </c>
      <c r="J3520" t="s">
        <v>10345</v>
      </c>
      <c r="K3520" s="18" t="s">
        <v>10346</v>
      </c>
      <c r="N3520" s="17" t="s">
        <v>74</v>
      </c>
      <c r="O3520" t="s">
        <v>145</v>
      </c>
      <c r="V3520" s="18" t="s">
        <v>10346</v>
      </c>
      <c r="Y3520" t="s">
        <v>190</v>
      </c>
      <c r="AA3520" t="s">
        <v>118</v>
      </c>
      <c r="AB3520" t="s">
        <v>119</v>
      </c>
    </row>
    <row r="3521" ht="15" customHeight="1" spans="1:22" x14ac:dyDescent="0.25">
      <c r="A3521" s="17" t="s">
        <v>10347</v>
      </c>
      <c r="B3521" s="17" t="s">
        <v>70</v>
      </c>
      <c r="C3521" s="17" t="s">
        <v>71</v>
      </c>
      <c r="D3521" t="s">
        <v>10341</v>
      </c>
      <c r="F3521" t="s">
        <v>10348</v>
      </c>
      <c r="K3521" s="18">
        <f>6281809872008</f>
        <v>6281809872008</v>
      </c>
      <c r="N3521" s="17" t="s">
        <v>81</v>
      </c>
      <c r="V3521" s="18">
        <f>6281809872008</f>
        <v>6281809872008</v>
      </c>
    </row>
    <row r="3522" ht="15" customHeight="1" spans="1:22" x14ac:dyDescent="0.25">
      <c r="A3522" s="17" t="s">
        <v>10349</v>
      </c>
      <c r="B3522" s="17" t="s">
        <v>70</v>
      </c>
      <c r="C3522" s="17" t="s">
        <v>71</v>
      </c>
      <c r="D3522" t="s">
        <v>2773</v>
      </c>
      <c r="F3522" t="s">
        <v>2773</v>
      </c>
      <c r="K3522" s="18">
        <f>62811936276</f>
        <v>62811936276</v>
      </c>
      <c r="N3522" s="17" t="s">
        <v>77</v>
      </c>
      <c r="V3522" s="18">
        <f>62811936276</f>
        <v>62811936276</v>
      </c>
    </row>
    <row r="3523" ht="15" customHeight="1" spans="1:22" x14ac:dyDescent="0.25">
      <c r="A3523" s="17" t="s">
        <v>10350</v>
      </c>
      <c r="B3523" s="17" t="s">
        <v>70</v>
      </c>
      <c r="C3523" s="17" t="s">
        <v>71</v>
      </c>
      <c r="D3523" t="s">
        <v>2773</v>
      </c>
      <c r="F3523" t="s">
        <v>6415</v>
      </c>
      <c r="K3523" s="18">
        <f>628788222237</f>
        <v>628788222237</v>
      </c>
      <c r="N3523" s="17" t="s">
        <v>77</v>
      </c>
      <c r="V3523" s="18">
        <f>628788222237</f>
        <v>628788222237</v>
      </c>
    </row>
    <row r="3524" ht="15" customHeight="1" spans="1:28" x14ac:dyDescent="0.25">
      <c r="A3524" s="17" t="s">
        <v>10351</v>
      </c>
      <c r="B3524" s="17" t="s">
        <v>70</v>
      </c>
      <c r="C3524" s="17" t="s">
        <v>71</v>
      </c>
      <c r="D3524" t="s">
        <v>2773</v>
      </c>
      <c r="F3524" t="s">
        <v>6415</v>
      </c>
      <c r="J3524" t="s">
        <v>115</v>
      </c>
      <c r="K3524" s="18" t="s">
        <v>10352</v>
      </c>
      <c r="N3524" s="17" t="s">
        <v>77</v>
      </c>
      <c r="O3524" t="s">
        <v>117</v>
      </c>
      <c r="U3524" s="17"/>
      <c r="V3524" s="18" t="s">
        <v>10352</v>
      </c>
      <c r="W3524" t="s">
        <v>10353</v>
      </c>
      <c r="Y3524" t="s">
        <v>190</v>
      </c>
      <c r="AA3524" t="s">
        <v>118</v>
      </c>
      <c r="AB3524" t="s">
        <v>119</v>
      </c>
    </row>
    <row r="3525" ht="15" customHeight="1" spans="1:22" x14ac:dyDescent="0.25">
      <c r="A3525" s="17" t="s">
        <v>10354</v>
      </c>
      <c r="B3525" s="17" t="s">
        <v>70</v>
      </c>
      <c r="C3525" s="17" t="s">
        <v>71</v>
      </c>
      <c r="D3525" t="s">
        <v>2773</v>
      </c>
      <c r="F3525" t="s">
        <v>10355</v>
      </c>
      <c r="K3525" s="18">
        <f>62811800296</f>
        <v>62811800296</v>
      </c>
      <c r="N3525" s="17" t="s">
        <v>74</v>
      </c>
      <c r="V3525" s="18">
        <f>62811800296</f>
        <v>62811800296</v>
      </c>
    </row>
    <row r="3526" ht="15" customHeight="1" spans="1:28" x14ac:dyDescent="0.25">
      <c r="A3526" s="17" t="s">
        <v>10356</v>
      </c>
      <c r="B3526" s="17" t="s">
        <v>70</v>
      </c>
      <c r="C3526" s="17" t="s">
        <v>71</v>
      </c>
      <c r="D3526" t="s">
        <v>2773</v>
      </c>
      <c r="F3526" t="s">
        <v>4228</v>
      </c>
      <c r="J3526" t="s">
        <v>115</v>
      </c>
      <c r="K3526" s="18" t="s">
        <v>10357</v>
      </c>
      <c r="N3526" s="17" t="s">
        <v>77</v>
      </c>
      <c r="O3526" t="s">
        <v>199</v>
      </c>
      <c r="V3526" s="18" t="s">
        <v>10357</v>
      </c>
      <c r="Y3526" t="s">
        <v>190</v>
      </c>
      <c r="AA3526" t="s">
        <v>118</v>
      </c>
      <c r="AB3526" t="s">
        <v>119</v>
      </c>
    </row>
    <row r="3527" ht="15" customHeight="1" spans="1:23" x14ac:dyDescent="0.25">
      <c r="A3527" s="17" t="s">
        <v>10358</v>
      </c>
      <c r="B3527" s="17" t="s">
        <v>70</v>
      </c>
      <c r="C3527" s="17" t="s">
        <v>71</v>
      </c>
      <c r="D3527" t="s">
        <v>2773</v>
      </c>
      <c r="F3527" t="s">
        <v>10359</v>
      </c>
      <c r="J3527" s="17" t="s">
        <v>10360</v>
      </c>
      <c r="K3527" s="18">
        <f>628121275567</f>
        <v>628121275567</v>
      </c>
      <c r="N3527" s="17" t="s">
        <v>81</v>
      </c>
      <c r="U3527" s="17"/>
      <c r="V3527" s="18">
        <f>628121275567</f>
        <v>628121275567</v>
      </c>
      <c r="W3527" t="s">
        <v>10361</v>
      </c>
    </row>
    <row r="3528" ht="15" customHeight="1" spans="1:22" x14ac:dyDescent="0.25">
      <c r="A3528" s="17" t="s">
        <v>10362</v>
      </c>
      <c r="B3528" s="17" t="s">
        <v>70</v>
      </c>
      <c r="C3528" s="17" t="s">
        <v>71</v>
      </c>
      <c r="D3528" t="s">
        <v>2773</v>
      </c>
      <c r="F3528" t="s">
        <v>5862</v>
      </c>
      <c r="K3528" s="18">
        <f>62811828227</f>
        <v>62811828227</v>
      </c>
      <c r="N3528" s="17" t="s">
        <v>77</v>
      </c>
      <c r="V3528" s="18">
        <f>62811828227</f>
        <v>62811828227</v>
      </c>
    </row>
    <row r="3529" ht="15" customHeight="1" spans="1:22" x14ac:dyDescent="0.25">
      <c r="A3529" s="17" t="s">
        <v>10363</v>
      </c>
      <c r="B3529" s="17" t="s">
        <v>70</v>
      </c>
      <c r="C3529" s="17" t="s">
        <v>71</v>
      </c>
      <c r="D3529" t="s">
        <v>2773</v>
      </c>
      <c r="F3529" t="s">
        <v>10364</v>
      </c>
      <c r="K3529" s="18">
        <f>6282117257275</f>
        <v>6282117257275</v>
      </c>
      <c r="N3529" s="17" t="s">
        <v>81</v>
      </c>
      <c r="V3529" s="18">
        <f>6282117257275</f>
        <v>6282117257275</v>
      </c>
    </row>
    <row r="3530" ht="15" customHeight="1" spans="1:22" x14ac:dyDescent="0.25">
      <c r="A3530" s="17" t="s">
        <v>10365</v>
      </c>
      <c r="B3530" s="17" t="s">
        <v>70</v>
      </c>
      <c r="C3530" s="17" t="s">
        <v>71</v>
      </c>
      <c r="D3530" t="s">
        <v>10366</v>
      </c>
      <c r="F3530" t="s">
        <v>10366</v>
      </c>
      <c r="K3530" s="18">
        <f>6282218882004</f>
        <v>6282218882004</v>
      </c>
      <c r="N3530" s="17" t="s">
        <v>77</v>
      </c>
      <c r="V3530" s="18">
        <f>6282218882004</f>
        <v>6282218882004</v>
      </c>
    </row>
    <row r="3531" ht="15" customHeight="1" spans="1:25" x14ac:dyDescent="0.25">
      <c r="A3531" s="17" t="s">
        <v>10367</v>
      </c>
      <c r="B3531" s="17" t="s">
        <v>70</v>
      </c>
      <c r="C3531" s="17" t="s">
        <v>71</v>
      </c>
      <c r="D3531" t="s">
        <v>10366</v>
      </c>
      <c r="F3531" t="s">
        <v>10366</v>
      </c>
      <c r="K3531" s="18">
        <f>628129997310</f>
        <v>628129997310</v>
      </c>
      <c r="N3531" s="17" t="s">
        <v>77</v>
      </c>
      <c r="U3531" s="17"/>
      <c r="V3531" s="18">
        <f>628129997310</f>
        <v>628129997310</v>
      </c>
      <c r="W3531" t="s">
        <v>10368</v>
      </c>
      <c r="Y3531" s="17" t="s">
        <v>96</v>
      </c>
    </row>
    <row r="3532" ht="15" customHeight="1" spans="1:22" x14ac:dyDescent="0.25">
      <c r="A3532" s="17" t="s">
        <v>10369</v>
      </c>
      <c r="B3532" s="17" t="s">
        <v>70</v>
      </c>
      <c r="C3532" s="17" t="s">
        <v>71</v>
      </c>
      <c r="D3532" t="s">
        <v>10366</v>
      </c>
      <c r="F3532" t="s">
        <v>10366</v>
      </c>
      <c r="K3532" s="18">
        <f>62811919509</f>
        <v>62811919509</v>
      </c>
      <c r="N3532" s="17" t="s">
        <v>77</v>
      </c>
      <c r="V3532" s="18">
        <f>62811919509</f>
        <v>62811919509</v>
      </c>
    </row>
    <row r="3533" ht="15" customHeight="1" spans="1:22" x14ac:dyDescent="0.25">
      <c r="A3533" s="17" t="s">
        <v>10370</v>
      </c>
      <c r="B3533" s="17" t="s">
        <v>70</v>
      </c>
      <c r="C3533" s="17" t="s">
        <v>71</v>
      </c>
      <c r="D3533" t="s">
        <v>10366</v>
      </c>
      <c r="F3533" t="s">
        <v>2788</v>
      </c>
      <c r="K3533" s="18">
        <f>6281218006673</f>
        <v>6281218006673</v>
      </c>
      <c r="N3533" s="17" t="s">
        <v>77</v>
      </c>
      <c r="V3533" s="18">
        <f>6281218006673</f>
        <v>6281218006673</v>
      </c>
    </row>
    <row r="3534" ht="15" customHeight="1" spans="1:27" x14ac:dyDescent="0.25">
      <c r="A3534" s="17" t="s">
        <v>10371</v>
      </c>
      <c r="B3534" s="17" t="s">
        <v>70</v>
      </c>
      <c r="C3534" s="17" t="s">
        <v>71</v>
      </c>
      <c r="D3534" t="s">
        <v>10366</v>
      </c>
      <c r="F3534" t="s">
        <v>10372</v>
      </c>
      <c r="J3534" s="17" t="s">
        <v>10373</v>
      </c>
      <c r="K3534" s="18">
        <f>6281574033805</f>
        <v>6281574033805</v>
      </c>
      <c r="N3534" s="17" t="s">
        <v>77</v>
      </c>
      <c r="U3534" s="17"/>
      <c r="V3534" s="18">
        <f>6281574033805</f>
        <v>6281574033805</v>
      </c>
      <c r="W3534" t="s">
        <v>10374</v>
      </c>
      <c r="Y3534" s="17" t="s">
        <v>90</v>
      </c>
      <c r="AA3534" s="17">
        <v>13450</v>
      </c>
    </row>
    <row r="3535" ht="15" customHeight="1" spans="1:22" x14ac:dyDescent="0.25">
      <c r="A3535" s="17" t="s">
        <v>10375</v>
      </c>
      <c r="B3535" s="17" t="s">
        <v>70</v>
      </c>
      <c r="C3535" s="17" t="s">
        <v>71</v>
      </c>
      <c r="D3535" t="s">
        <v>10366</v>
      </c>
      <c r="F3535" t="s">
        <v>2987</v>
      </c>
      <c r="K3535" s="18">
        <f>6289668922755</f>
        <v>6289668922755</v>
      </c>
      <c r="N3535" s="17" t="s">
        <v>77</v>
      </c>
      <c r="V3535" s="18">
        <f>6289668922755</f>
        <v>6289668922755</v>
      </c>
    </row>
    <row r="3536" ht="15" customHeight="1" spans="1:28" x14ac:dyDescent="0.25">
      <c r="A3536" s="17" t="s">
        <v>10376</v>
      </c>
      <c r="B3536" s="17" t="s">
        <v>70</v>
      </c>
      <c r="C3536" s="17" t="s">
        <v>71</v>
      </c>
      <c r="D3536" t="s">
        <v>10366</v>
      </c>
      <c r="F3536" t="s">
        <v>10377</v>
      </c>
      <c r="J3536" t="s">
        <v>115</v>
      </c>
      <c r="K3536" s="18" t="s">
        <v>10378</v>
      </c>
      <c r="N3536" s="17" t="s">
        <v>77</v>
      </c>
      <c r="O3536" t="s">
        <v>117</v>
      </c>
      <c r="V3536" s="18" t="s">
        <v>10378</v>
      </c>
      <c r="Y3536" t="s">
        <v>190</v>
      </c>
      <c r="AA3536" t="s">
        <v>118</v>
      </c>
      <c r="AB3536" t="s">
        <v>119</v>
      </c>
    </row>
    <row r="3537" ht="15" customHeight="1" spans="1:22" x14ac:dyDescent="0.25">
      <c r="A3537" s="17" t="s">
        <v>10379</v>
      </c>
      <c r="B3537" s="17" t="s">
        <v>70</v>
      </c>
      <c r="C3537" s="17" t="s">
        <v>71</v>
      </c>
      <c r="D3537" t="s">
        <v>10366</v>
      </c>
      <c r="F3537" t="s">
        <v>10380</v>
      </c>
      <c r="K3537" s="18">
        <f>62818123615</f>
        <v>62818123615</v>
      </c>
      <c r="N3537" s="17" t="s">
        <v>81</v>
      </c>
      <c r="V3537" s="18">
        <f>62818123615</f>
        <v>62818123615</v>
      </c>
    </row>
    <row r="3538" ht="15" customHeight="1" spans="1:28" x14ac:dyDescent="0.25">
      <c r="A3538" s="17" t="s">
        <v>10381</v>
      </c>
      <c r="B3538" s="17" t="s">
        <v>70</v>
      </c>
      <c r="C3538" s="17" t="s">
        <v>71</v>
      </c>
      <c r="D3538" t="s">
        <v>10366</v>
      </c>
      <c r="F3538" t="s">
        <v>10382</v>
      </c>
      <c r="J3538" s="17" t="s">
        <v>10383</v>
      </c>
      <c r="K3538" s="18" t="s">
        <v>10384</v>
      </c>
      <c r="N3538" s="17" t="s">
        <v>74</v>
      </c>
      <c r="O3538" t="s">
        <v>489</v>
      </c>
      <c r="U3538" s="17"/>
      <c r="V3538" s="18" t="s">
        <v>10384</v>
      </c>
      <c r="W3538" t="s">
        <v>10385</v>
      </c>
      <c r="Y3538" t="s">
        <v>190</v>
      </c>
      <c r="AA3538" t="s">
        <v>118</v>
      </c>
      <c r="AB3538" t="s">
        <v>119</v>
      </c>
    </row>
    <row r="3539" ht="15" customHeight="1" spans="1:22" x14ac:dyDescent="0.25">
      <c r="A3539" s="17" t="s">
        <v>10386</v>
      </c>
      <c r="B3539" s="17" t="s">
        <v>70</v>
      </c>
      <c r="C3539" s="17" t="s">
        <v>71</v>
      </c>
      <c r="D3539" t="s">
        <v>10366</v>
      </c>
      <c r="F3539" t="s">
        <v>10387</v>
      </c>
      <c r="K3539" s="18">
        <f>6281362637348</f>
        <v>6281362637348</v>
      </c>
      <c r="N3539" s="17" t="s">
        <v>81</v>
      </c>
      <c r="V3539" s="18">
        <f>6281362637348</f>
        <v>6281362637348</v>
      </c>
    </row>
    <row r="3540" ht="15" customHeight="1" spans="1:28" x14ac:dyDescent="0.25">
      <c r="A3540" s="17" t="s">
        <v>10388</v>
      </c>
      <c r="B3540" s="17" t="s">
        <v>70</v>
      </c>
      <c r="C3540" s="17" t="s">
        <v>71</v>
      </c>
      <c r="D3540" t="s">
        <v>10366</v>
      </c>
      <c r="F3540" t="s">
        <v>5518</v>
      </c>
      <c r="J3540" t="s">
        <v>115</v>
      </c>
      <c r="K3540" s="18" t="s">
        <v>10389</v>
      </c>
      <c r="N3540" s="17" t="s">
        <v>77</v>
      </c>
      <c r="O3540" t="s">
        <v>489</v>
      </c>
      <c r="V3540" s="18" t="s">
        <v>10389</v>
      </c>
      <c r="Y3540" t="s">
        <v>90</v>
      </c>
      <c r="AA3540" t="s">
        <v>118</v>
      </c>
      <c r="AB3540" t="s">
        <v>119</v>
      </c>
    </row>
    <row r="3541" ht="15" customHeight="1" spans="1:28" x14ac:dyDescent="0.25">
      <c r="A3541" s="17" t="s">
        <v>10390</v>
      </c>
      <c r="B3541" s="17" t="s">
        <v>70</v>
      </c>
      <c r="C3541" s="17" t="s">
        <v>71</v>
      </c>
      <c r="D3541" t="s">
        <v>10366</v>
      </c>
      <c r="F3541" t="s">
        <v>864</v>
      </c>
      <c r="J3541" t="s">
        <v>115</v>
      </c>
      <c r="K3541" s="18" t="s">
        <v>10391</v>
      </c>
      <c r="N3541" s="17" t="s">
        <v>81</v>
      </c>
      <c r="O3541" t="s">
        <v>117</v>
      </c>
      <c r="V3541" s="18" t="s">
        <v>10391</v>
      </c>
      <c r="Y3541" t="s">
        <v>190</v>
      </c>
      <c r="AA3541" t="s">
        <v>118</v>
      </c>
      <c r="AB3541" t="s">
        <v>119</v>
      </c>
    </row>
    <row r="3542" ht="15" customHeight="1" spans="1:28" x14ac:dyDescent="0.25">
      <c r="A3542" s="17" t="s">
        <v>10392</v>
      </c>
      <c r="B3542" s="17" t="s">
        <v>70</v>
      </c>
      <c r="C3542" s="17" t="s">
        <v>71</v>
      </c>
      <c r="D3542" t="s">
        <v>10366</v>
      </c>
      <c r="F3542" t="s">
        <v>10393</v>
      </c>
      <c r="J3542" t="s">
        <v>115</v>
      </c>
      <c r="K3542" s="18" t="s">
        <v>10394</v>
      </c>
      <c r="N3542" s="17" t="s">
        <v>77</v>
      </c>
      <c r="O3542" t="s">
        <v>117</v>
      </c>
      <c r="V3542" s="18" t="s">
        <v>10394</v>
      </c>
      <c r="Y3542" t="s">
        <v>115</v>
      </c>
      <c r="AA3542" t="s">
        <v>115</v>
      </c>
      <c r="AB3542" t="s">
        <v>119</v>
      </c>
    </row>
    <row r="3543" ht="15" customHeight="1" spans="1:25" x14ac:dyDescent="0.25">
      <c r="A3543" s="17" t="s">
        <v>10395</v>
      </c>
      <c r="B3543" s="17" t="s">
        <v>70</v>
      </c>
      <c r="C3543" s="17" t="s">
        <v>71</v>
      </c>
      <c r="D3543" t="s">
        <v>10366</v>
      </c>
      <c r="F3543" t="s">
        <v>10396</v>
      </c>
      <c r="K3543" s="18">
        <f>62811800477</f>
        <v>62811800477</v>
      </c>
      <c r="N3543" s="17" t="s">
        <v>77</v>
      </c>
      <c r="U3543" s="17"/>
      <c r="V3543" s="18">
        <f>62811800477</f>
        <v>62811800477</v>
      </c>
      <c r="W3543" t="s">
        <v>10397</v>
      </c>
      <c r="Y3543" s="17" t="s">
        <v>96</v>
      </c>
    </row>
    <row r="3544" ht="15" customHeight="1" spans="1:28" x14ac:dyDescent="0.25">
      <c r="A3544" s="17" t="s">
        <v>10398</v>
      </c>
      <c r="B3544" s="17" t="s">
        <v>70</v>
      </c>
      <c r="C3544" s="17" t="s">
        <v>71</v>
      </c>
      <c r="D3544" t="s">
        <v>10366</v>
      </c>
      <c r="F3544" t="s">
        <v>3823</v>
      </c>
      <c r="J3544" t="s">
        <v>10399</v>
      </c>
      <c r="K3544" s="18" t="s">
        <v>10400</v>
      </c>
      <c r="N3544" s="17" t="s">
        <v>77</v>
      </c>
      <c r="O3544" t="s">
        <v>117</v>
      </c>
      <c r="V3544" s="18" t="s">
        <v>10400</v>
      </c>
      <c r="Y3544" t="s">
        <v>190</v>
      </c>
      <c r="AA3544" t="s">
        <v>118</v>
      </c>
      <c r="AB3544" t="s">
        <v>119</v>
      </c>
    </row>
    <row r="3545" ht="15" customHeight="1" spans="1:22" x14ac:dyDescent="0.25">
      <c r="A3545" s="17" t="s">
        <v>10401</v>
      </c>
      <c r="B3545" s="17" t="s">
        <v>70</v>
      </c>
      <c r="C3545" s="17" t="s">
        <v>71</v>
      </c>
      <c r="D3545" t="s">
        <v>10366</v>
      </c>
      <c r="F3545" t="s">
        <v>10402</v>
      </c>
      <c r="K3545" s="18">
        <f>62811929535</f>
        <v>62811929535</v>
      </c>
      <c r="N3545" s="17" t="s">
        <v>81</v>
      </c>
      <c r="V3545" s="18">
        <f>62811929535</f>
        <v>62811929535</v>
      </c>
    </row>
    <row r="3546" ht="15" customHeight="1" spans="1:25" x14ac:dyDescent="0.25">
      <c r="A3546" s="17" t="s">
        <v>10403</v>
      </c>
      <c r="B3546" s="17" t="s">
        <v>70</v>
      </c>
      <c r="C3546" s="17" t="s">
        <v>71</v>
      </c>
      <c r="D3546" t="s">
        <v>10366</v>
      </c>
      <c r="F3546" t="s">
        <v>10404</v>
      </c>
      <c r="K3546" s="18">
        <v>78830505</v>
      </c>
      <c r="N3546" s="17" t="s">
        <v>77</v>
      </c>
      <c r="U3546" s="17"/>
      <c r="V3546" s="18">
        <v>78830505</v>
      </c>
      <c r="W3546" t="s">
        <v>10405</v>
      </c>
      <c r="Y3546" s="17" t="s">
        <v>96</v>
      </c>
    </row>
    <row r="3547" ht="15" customHeight="1" spans="1:22" x14ac:dyDescent="0.25">
      <c r="A3547" s="17" t="s">
        <v>10406</v>
      </c>
      <c r="B3547" s="17" t="s">
        <v>70</v>
      </c>
      <c r="C3547" s="17" t="s">
        <v>71</v>
      </c>
      <c r="D3547" t="s">
        <v>10366</v>
      </c>
      <c r="F3547" t="s">
        <v>10407</v>
      </c>
      <c r="K3547" s="18">
        <f>628128780000</f>
        <v>628128780000</v>
      </c>
      <c r="N3547" s="17" t="s">
        <v>77</v>
      </c>
      <c r="V3547" s="18">
        <f>628128780000</f>
        <v>628128780000</v>
      </c>
    </row>
    <row r="3548" ht="15" customHeight="1" spans="1:23" x14ac:dyDescent="0.25">
      <c r="A3548" s="17" t="s">
        <v>10408</v>
      </c>
      <c r="B3548" s="17" t="s">
        <v>70</v>
      </c>
      <c r="C3548" s="17" t="s">
        <v>71</v>
      </c>
      <c r="D3548" t="s">
        <v>10366</v>
      </c>
      <c r="F3548" t="s">
        <v>5602</v>
      </c>
      <c r="K3548" s="18">
        <f>6281211665648</f>
        <v>6281211665648</v>
      </c>
      <c r="N3548" s="17" t="s">
        <v>81</v>
      </c>
      <c r="U3548" s="17"/>
      <c r="V3548" s="18">
        <f>6281211665648</f>
        <v>6281211665648</v>
      </c>
      <c r="W3548" t="s">
        <v>10409</v>
      </c>
    </row>
    <row r="3549" ht="15" customHeight="1" spans="1:22" x14ac:dyDescent="0.25">
      <c r="A3549" s="17" t="s">
        <v>10410</v>
      </c>
      <c r="B3549" s="17" t="s">
        <v>70</v>
      </c>
      <c r="C3549" s="17" t="s">
        <v>71</v>
      </c>
      <c r="D3549" t="s">
        <v>10366</v>
      </c>
      <c r="F3549" t="s">
        <v>7178</v>
      </c>
      <c r="K3549" s="18">
        <f>6281219311974</f>
        <v>6281219311974</v>
      </c>
      <c r="N3549" s="17" t="s">
        <v>77</v>
      </c>
      <c r="V3549" s="18">
        <f>6281219311974</f>
        <v>6281219311974</v>
      </c>
    </row>
    <row r="3550" ht="15" customHeight="1" spans="1:23" x14ac:dyDescent="0.25">
      <c r="A3550" s="17" t="s">
        <v>10411</v>
      </c>
      <c r="B3550" s="17" t="s">
        <v>70</v>
      </c>
      <c r="C3550" s="17" t="s">
        <v>71</v>
      </c>
      <c r="D3550" t="s">
        <v>10366</v>
      </c>
      <c r="F3550" t="s">
        <v>10412</v>
      </c>
      <c r="K3550" s="18">
        <f>628129952000</f>
        <v>628129952000</v>
      </c>
      <c r="N3550" s="17" t="s">
        <v>74</v>
      </c>
      <c r="U3550" s="17"/>
      <c r="V3550" s="18">
        <f>628129952000</f>
        <v>628129952000</v>
      </c>
      <c r="W3550" t="s">
        <v>10413</v>
      </c>
    </row>
    <row r="3551" ht="15" customHeight="1" spans="1:22" x14ac:dyDescent="0.25">
      <c r="A3551" s="17" t="s">
        <v>10414</v>
      </c>
      <c r="B3551" s="17" t="s">
        <v>70</v>
      </c>
      <c r="C3551" s="17" t="s">
        <v>71</v>
      </c>
      <c r="D3551" t="s">
        <v>10366</v>
      </c>
      <c r="F3551" t="s">
        <v>10415</v>
      </c>
      <c r="K3551" s="18">
        <f>62818144777</f>
        <v>62818144777</v>
      </c>
      <c r="N3551" s="17" t="s">
        <v>77</v>
      </c>
      <c r="V3551" s="18">
        <f>62818144777</f>
        <v>62818144777</v>
      </c>
    </row>
    <row r="3552" ht="15" customHeight="1" spans="1:22" x14ac:dyDescent="0.25">
      <c r="A3552" s="17" t="s">
        <v>10416</v>
      </c>
      <c r="B3552" s="17" t="s">
        <v>70</v>
      </c>
      <c r="C3552" s="17" t="s">
        <v>71</v>
      </c>
      <c r="D3552" t="s">
        <v>10417</v>
      </c>
      <c r="F3552" t="s">
        <v>10418</v>
      </c>
      <c r="K3552" s="18">
        <f>62816911064</f>
        <v>62816911064</v>
      </c>
      <c r="N3552" s="17" t="s">
        <v>74</v>
      </c>
      <c r="V3552" s="18">
        <f>62816911064</f>
        <v>62816911064</v>
      </c>
    </row>
    <row r="3553" ht="15" customHeight="1" spans="1:25" x14ac:dyDescent="0.25">
      <c r="A3553" s="17" t="s">
        <v>10419</v>
      </c>
      <c r="B3553" s="17" t="s">
        <v>70</v>
      </c>
      <c r="C3553" s="17" t="s">
        <v>71</v>
      </c>
      <c r="D3553" t="s">
        <v>10420</v>
      </c>
      <c r="F3553" t="s">
        <v>1704</v>
      </c>
      <c r="K3553" s="18">
        <f>628129429801</f>
        <v>628129429801</v>
      </c>
      <c r="N3553" s="17" t="s">
        <v>77</v>
      </c>
      <c r="V3553" s="18">
        <f>628129429801</f>
        <v>628129429801</v>
      </c>
      <c r="Y3553" s="17" t="s">
        <v>622</v>
      </c>
    </row>
    <row r="3554" ht="15" customHeight="1" spans="1:22" x14ac:dyDescent="0.25">
      <c r="A3554" s="17" t="s">
        <v>10421</v>
      </c>
      <c r="B3554" s="17" t="s">
        <v>70</v>
      </c>
      <c r="C3554" s="17" t="s">
        <v>71</v>
      </c>
      <c r="D3554" t="s">
        <v>10422</v>
      </c>
      <c r="F3554" t="s">
        <v>10422</v>
      </c>
      <c r="K3554" s="18">
        <f>62817835026</f>
        <v>62817835026</v>
      </c>
      <c r="N3554" s="17" t="s">
        <v>77</v>
      </c>
      <c r="V3554" s="18">
        <f>62817835026</f>
        <v>62817835026</v>
      </c>
    </row>
    <row r="3555" ht="15" customHeight="1" spans="1:27" x14ac:dyDescent="0.25">
      <c r="A3555" s="17" t="s">
        <v>10423</v>
      </c>
      <c r="B3555" s="17" t="s">
        <v>70</v>
      </c>
      <c r="C3555" s="17" t="s">
        <v>71</v>
      </c>
      <c r="D3555" t="s">
        <v>10424</v>
      </c>
      <c r="F3555" t="s">
        <v>10192</v>
      </c>
      <c r="K3555" s="18">
        <f>628126262111</f>
        <v>628126262111</v>
      </c>
      <c r="N3555" s="17" t="s">
        <v>77</v>
      </c>
      <c r="U3555" s="17"/>
      <c r="V3555" s="18">
        <f>628126262111</f>
        <v>628126262111</v>
      </c>
      <c r="W3555" t="s">
        <v>10425</v>
      </c>
      <c r="Y3555" s="17" t="s">
        <v>2930</v>
      </c>
      <c r="AA3555" s="17" t="s">
        <v>10426</v>
      </c>
    </row>
    <row r="3556" ht="15" customHeight="1" spans="1:28" x14ac:dyDescent="0.25">
      <c r="A3556" s="17" t="s">
        <v>10427</v>
      </c>
      <c r="B3556" s="17" t="s">
        <v>70</v>
      </c>
      <c r="C3556" s="17" t="s">
        <v>71</v>
      </c>
      <c r="D3556" t="s">
        <v>10428</v>
      </c>
      <c r="F3556" t="s">
        <v>10429</v>
      </c>
      <c r="J3556" s="17" t="s">
        <v>10430</v>
      </c>
      <c r="K3556" s="18" t="s">
        <v>10431</v>
      </c>
      <c r="N3556" s="17" t="s">
        <v>77</v>
      </c>
      <c r="O3556" t="s">
        <v>145</v>
      </c>
      <c r="U3556" s="17"/>
      <c r="V3556" s="18" t="s">
        <v>10431</v>
      </c>
      <c r="W3556" t="s">
        <v>1453</v>
      </c>
      <c r="Y3556" t="s">
        <v>115</v>
      </c>
      <c r="AA3556" t="s">
        <v>115</v>
      </c>
      <c r="AB3556" t="s">
        <v>1453</v>
      </c>
    </row>
    <row r="3557" ht="15" customHeight="1" spans="1:22" x14ac:dyDescent="0.25">
      <c r="A3557" s="17" t="s">
        <v>10432</v>
      </c>
      <c r="B3557" s="17" t="s">
        <v>70</v>
      </c>
      <c r="C3557" s="17" t="s">
        <v>71</v>
      </c>
      <c r="D3557" t="s">
        <v>10433</v>
      </c>
      <c r="F3557" t="s">
        <v>10433</v>
      </c>
      <c r="K3557" s="18">
        <f>6282111106366</f>
        <v>6282111106366</v>
      </c>
      <c r="N3557" s="17" t="s">
        <v>77</v>
      </c>
      <c r="V3557" s="18">
        <f>6282111106366</f>
        <v>6282111106366</v>
      </c>
    </row>
    <row r="3558" ht="15" customHeight="1" spans="1:28" x14ac:dyDescent="0.25">
      <c r="A3558" s="17" t="s">
        <v>10434</v>
      </c>
      <c r="B3558" s="17" t="s">
        <v>70</v>
      </c>
      <c r="C3558" s="17" t="s">
        <v>71</v>
      </c>
      <c r="D3558" t="s">
        <v>10433</v>
      </c>
      <c r="F3558" t="s">
        <v>10435</v>
      </c>
      <c r="J3558" t="s">
        <v>115</v>
      </c>
      <c r="K3558" s="18" t="s">
        <v>10436</v>
      </c>
      <c r="N3558" s="17" t="s">
        <v>77</v>
      </c>
      <c r="O3558" t="s">
        <v>145</v>
      </c>
      <c r="V3558" s="18" t="s">
        <v>10436</v>
      </c>
      <c r="Y3558" t="s">
        <v>90</v>
      </c>
      <c r="AA3558" t="s">
        <v>118</v>
      </c>
      <c r="AB3558" t="s">
        <v>119</v>
      </c>
    </row>
    <row r="3559" ht="15" customHeight="1" spans="1:27" x14ac:dyDescent="0.25">
      <c r="A3559" s="17" t="s">
        <v>10437</v>
      </c>
      <c r="B3559" s="17" t="s">
        <v>70</v>
      </c>
      <c r="C3559" s="17" t="s">
        <v>71</v>
      </c>
      <c r="D3559" t="s">
        <v>10433</v>
      </c>
      <c r="F3559" t="s">
        <v>10438</v>
      </c>
      <c r="J3559" s="17" t="s">
        <v>10439</v>
      </c>
      <c r="K3559" s="18">
        <f>6281393824053</f>
        <v>6281393824053</v>
      </c>
      <c r="N3559" s="17" t="s">
        <v>77</v>
      </c>
      <c r="V3559" s="18">
        <f>6281393824053</f>
        <v>6281393824053</v>
      </c>
      <c r="Y3559" s="17" t="s">
        <v>10440</v>
      </c>
      <c r="AA3559" s="17">
        <v>13850</v>
      </c>
    </row>
    <row r="3560" ht="15" customHeight="1" spans="1:22" x14ac:dyDescent="0.25">
      <c r="A3560" s="17" t="s">
        <v>10441</v>
      </c>
      <c r="B3560" s="17" t="s">
        <v>70</v>
      </c>
      <c r="C3560" s="17" t="s">
        <v>71</v>
      </c>
      <c r="D3560" t="s">
        <v>10433</v>
      </c>
      <c r="F3560" t="s">
        <v>10442</v>
      </c>
      <c r="K3560" s="18">
        <f>6285711185555</f>
        <v>6285711185555</v>
      </c>
      <c r="N3560" s="17" t="s">
        <v>74</v>
      </c>
      <c r="V3560" s="18">
        <f>6285711185555</f>
        <v>6285711185555</v>
      </c>
    </row>
    <row r="3561" ht="15" customHeight="1" spans="1:28" x14ac:dyDescent="0.25">
      <c r="A3561" s="17" t="s">
        <v>10443</v>
      </c>
      <c r="B3561" s="17" t="s">
        <v>70</v>
      </c>
      <c r="C3561" s="17" t="s">
        <v>71</v>
      </c>
      <c r="D3561" t="s">
        <v>7641</v>
      </c>
      <c r="F3561" t="s">
        <v>10444</v>
      </c>
      <c r="J3561" t="s">
        <v>115</v>
      </c>
      <c r="K3561" s="18" t="s">
        <v>10445</v>
      </c>
      <c r="N3561" s="17" t="s">
        <v>77</v>
      </c>
      <c r="O3561" t="s">
        <v>117</v>
      </c>
      <c r="V3561" s="18" t="s">
        <v>10445</v>
      </c>
      <c r="Y3561" t="s">
        <v>115</v>
      </c>
      <c r="AA3561" t="s">
        <v>115</v>
      </c>
      <c r="AB3561" t="s">
        <v>119</v>
      </c>
    </row>
    <row r="3562" ht="15" customHeight="1" spans="1:25" x14ac:dyDescent="0.25">
      <c r="A3562" s="17" t="s">
        <v>10446</v>
      </c>
      <c r="B3562" s="17" t="s">
        <v>70</v>
      </c>
      <c r="C3562" s="17" t="s">
        <v>71</v>
      </c>
      <c r="D3562" t="s">
        <v>10433</v>
      </c>
      <c r="F3562" t="s">
        <v>631</v>
      </c>
      <c r="J3562" s="17" t="s">
        <v>10447</v>
      </c>
      <c r="K3562" s="18">
        <f>8118880358</f>
        <v>8118880358</v>
      </c>
      <c r="N3562" s="17" t="s">
        <v>81</v>
      </c>
      <c r="U3562" s="17"/>
      <c r="V3562" s="18">
        <f>8118880358</f>
        <v>8118880358</v>
      </c>
      <c r="W3562" t="s">
        <v>97</v>
      </c>
      <c r="Y3562" s="17" t="s">
        <v>90</v>
      </c>
    </row>
    <row r="3563" ht="15" customHeight="1" spans="1:22" x14ac:dyDescent="0.25">
      <c r="A3563" s="17" t="s">
        <v>10448</v>
      </c>
      <c r="B3563" s="17" t="s">
        <v>70</v>
      </c>
      <c r="C3563" s="17" t="s">
        <v>71</v>
      </c>
      <c r="D3563" t="s">
        <v>10433</v>
      </c>
      <c r="F3563" t="s">
        <v>10449</v>
      </c>
      <c r="K3563" s="18">
        <f>6281316071996</f>
        <v>6281316071996</v>
      </c>
      <c r="N3563" s="17" t="s">
        <v>81</v>
      </c>
      <c r="V3563" s="18">
        <f>6281316071996</f>
        <v>6281316071996</v>
      </c>
    </row>
    <row r="3564" ht="15" customHeight="1" spans="1:28" x14ac:dyDescent="0.25">
      <c r="A3564" s="17" t="s">
        <v>10450</v>
      </c>
      <c r="B3564" s="17" t="s">
        <v>70</v>
      </c>
      <c r="C3564" s="17" t="s">
        <v>71</v>
      </c>
      <c r="D3564" t="s">
        <v>10433</v>
      </c>
      <c r="F3564" t="s">
        <v>8592</v>
      </c>
      <c r="J3564" t="s">
        <v>115</v>
      </c>
      <c r="K3564" s="18" t="s">
        <v>10451</v>
      </c>
      <c r="N3564" s="17" t="s">
        <v>77</v>
      </c>
      <c r="O3564" t="s">
        <v>145</v>
      </c>
      <c r="U3564" s="17"/>
      <c r="V3564" s="18" t="s">
        <v>10451</v>
      </c>
      <c r="W3564" t="s">
        <v>10452</v>
      </c>
      <c r="Y3564" t="s">
        <v>378</v>
      </c>
      <c r="AA3564" t="s">
        <v>118</v>
      </c>
      <c r="AB3564" t="s">
        <v>119</v>
      </c>
    </row>
    <row r="3565" ht="15" customHeight="1" spans="1:22" x14ac:dyDescent="0.25">
      <c r="A3565" s="17" t="s">
        <v>10453</v>
      </c>
      <c r="B3565" s="17" t="s">
        <v>70</v>
      </c>
      <c r="C3565" s="17" t="s">
        <v>71</v>
      </c>
      <c r="D3565" t="s">
        <v>10454</v>
      </c>
      <c r="F3565" t="s">
        <v>10455</v>
      </c>
      <c r="J3565" s="17" t="s">
        <v>10456</v>
      </c>
      <c r="K3565" s="18">
        <f>62181282472985</f>
        <v>62181282472985</v>
      </c>
      <c r="N3565" s="17" t="s">
        <v>77</v>
      </c>
      <c r="V3565" s="18">
        <f>62181282472985</f>
        <v>62181282472985</v>
      </c>
    </row>
    <row r="3566" ht="15" customHeight="1" spans="1:23" x14ac:dyDescent="0.25">
      <c r="A3566" s="17" t="s">
        <v>10457</v>
      </c>
      <c r="B3566" s="17" t="s">
        <v>70</v>
      </c>
      <c r="C3566" s="17" t="s">
        <v>71</v>
      </c>
      <c r="D3566" t="s">
        <v>10458</v>
      </c>
      <c r="F3566" t="s">
        <v>10459</v>
      </c>
      <c r="J3566" s="17" t="s">
        <v>10460</v>
      </c>
      <c r="K3566" s="18">
        <f>861373907519</f>
        <v>861373907519</v>
      </c>
      <c r="N3566" s="17" t="s">
        <v>77</v>
      </c>
      <c r="U3566" s="17"/>
      <c r="V3566" s="18">
        <f>861373907519</f>
        <v>861373907519</v>
      </c>
      <c r="W3566" t="s">
        <v>3140</v>
      </c>
    </row>
    <row r="3567" ht="15" customHeight="1" spans="1:23" x14ac:dyDescent="0.25">
      <c r="A3567" s="17" t="s">
        <v>10461</v>
      </c>
      <c r="B3567" s="17" t="s">
        <v>70</v>
      </c>
      <c r="C3567" s="17" t="s">
        <v>71</v>
      </c>
      <c r="D3567" t="s">
        <v>10462</v>
      </c>
      <c r="F3567" t="s">
        <v>10459</v>
      </c>
      <c r="J3567" s="17" t="s">
        <v>10460</v>
      </c>
      <c r="K3567" s="18">
        <f>8613713907519</f>
        <v>8613713907519</v>
      </c>
      <c r="N3567" s="17" t="s">
        <v>77</v>
      </c>
      <c r="U3567" s="17"/>
      <c r="V3567" s="18">
        <f>8613713907519</f>
        <v>8613713907519</v>
      </c>
      <c r="W3567" t="s">
        <v>3140</v>
      </c>
    </row>
    <row r="3568" ht="15" customHeight="1" spans="1:22" x14ac:dyDescent="0.25">
      <c r="A3568" s="17" t="s">
        <v>10463</v>
      </c>
      <c r="B3568" s="17" t="s">
        <v>70</v>
      </c>
      <c r="C3568" s="17" t="s">
        <v>71</v>
      </c>
      <c r="D3568" t="s">
        <v>10464</v>
      </c>
      <c r="F3568" t="s">
        <v>10464</v>
      </c>
      <c r="K3568" s="18">
        <f>628111641000</f>
        <v>628111641000</v>
      </c>
      <c r="N3568" s="17" t="s">
        <v>81</v>
      </c>
      <c r="V3568" s="18">
        <f>628111641000</f>
        <v>628111641000</v>
      </c>
    </row>
    <row r="3569" ht="15" customHeight="1" spans="1:22" x14ac:dyDescent="0.25">
      <c r="A3569" s="17" t="s">
        <v>10465</v>
      </c>
      <c r="B3569" s="17" t="s">
        <v>70</v>
      </c>
      <c r="C3569" s="17" t="s">
        <v>71</v>
      </c>
      <c r="D3569" t="s">
        <v>10466</v>
      </c>
      <c r="F3569" t="s">
        <v>10466</v>
      </c>
      <c r="K3569" s="18">
        <f>6281212667892</f>
        <v>6281212667892</v>
      </c>
      <c r="N3569" s="17" t="s">
        <v>77</v>
      </c>
      <c r="V3569" s="18">
        <f>6281212667892</f>
        <v>6281212667892</v>
      </c>
    </row>
    <row r="3570" ht="15" customHeight="1" spans="1:25" x14ac:dyDescent="0.25">
      <c r="A3570" s="17" t="s">
        <v>10467</v>
      </c>
      <c r="B3570" s="17" t="s">
        <v>70</v>
      </c>
      <c r="C3570" s="17" t="s">
        <v>71</v>
      </c>
      <c r="D3570" t="s">
        <v>10466</v>
      </c>
      <c r="F3570" t="s">
        <v>10466</v>
      </c>
      <c r="K3570" s="18">
        <f>62818904979</f>
        <v>62818904979</v>
      </c>
      <c r="N3570" s="17" t="s">
        <v>77</v>
      </c>
      <c r="U3570" s="17"/>
      <c r="V3570" s="18">
        <f>62818904979</f>
        <v>62818904979</v>
      </c>
      <c r="W3570" t="s">
        <v>10468</v>
      </c>
      <c r="Y3570" s="17" t="s">
        <v>90</v>
      </c>
    </row>
    <row r="3571" ht="15" customHeight="1" spans="1:22" x14ac:dyDescent="0.25">
      <c r="A3571" s="17" t="s">
        <v>10469</v>
      </c>
      <c r="B3571" s="17" t="s">
        <v>70</v>
      </c>
      <c r="C3571" s="17" t="s">
        <v>71</v>
      </c>
      <c r="D3571" t="s">
        <v>10466</v>
      </c>
      <c r="F3571" t="s">
        <v>10470</v>
      </c>
      <c r="K3571" s="18">
        <f>6281295051979</f>
        <v>6281295051979</v>
      </c>
      <c r="N3571" s="17" t="s">
        <v>77</v>
      </c>
      <c r="V3571" s="18">
        <f>6281295051979</f>
        <v>6281295051979</v>
      </c>
    </row>
    <row r="3572" ht="15" customHeight="1" spans="1:25" x14ac:dyDescent="0.25">
      <c r="A3572" s="17" t="s">
        <v>10471</v>
      </c>
      <c r="B3572" s="17" t="s">
        <v>70</v>
      </c>
      <c r="C3572" s="17" t="s">
        <v>71</v>
      </c>
      <c r="D3572" t="s">
        <v>10466</v>
      </c>
      <c r="F3572" t="s">
        <v>4866</v>
      </c>
      <c r="J3572" s="17" t="s">
        <v>10472</v>
      </c>
      <c r="K3572" s="18">
        <f>6281210008951</f>
        <v>6281210008951</v>
      </c>
      <c r="N3572" s="17" t="s">
        <v>77</v>
      </c>
      <c r="U3572" s="17"/>
      <c r="V3572" s="18">
        <f>6281210008951</f>
        <v>6281210008951</v>
      </c>
      <c r="W3572" t="s">
        <v>10473</v>
      </c>
      <c r="Y3572" s="17" t="s">
        <v>384</v>
      </c>
    </row>
    <row r="3573" ht="15" customHeight="1" spans="1:28" x14ac:dyDescent="0.25">
      <c r="A3573" s="17" t="s">
        <v>10474</v>
      </c>
      <c r="B3573" s="17" t="s">
        <v>70</v>
      </c>
      <c r="C3573" s="17" t="s">
        <v>71</v>
      </c>
      <c r="D3573" t="s">
        <v>10466</v>
      </c>
      <c r="F3573" t="s">
        <v>3510</v>
      </c>
      <c r="J3573" t="s">
        <v>10475</v>
      </c>
      <c r="K3573" s="18" t="s">
        <v>10476</v>
      </c>
      <c r="N3573" s="17" t="s">
        <v>81</v>
      </c>
      <c r="O3573" t="s">
        <v>261</v>
      </c>
      <c r="V3573" s="18" t="s">
        <v>10476</v>
      </c>
      <c r="Y3573" t="s">
        <v>626</v>
      </c>
      <c r="AA3573" t="s">
        <v>3090</v>
      </c>
      <c r="AB3573" t="s">
        <v>119</v>
      </c>
    </row>
    <row r="3574" ht="15" customHeight="1" spans="1:22" x14ac:dyDescent="0.25">
      <c r="A3574" s="17" t="s">
        <v>10477</v>
      </c>
      <c r="B3574" s="17" t="s">
        <v>70</v>
      </c>
      <c r="C3574" s="17" t="s">
        <v>71</v>
      </c>
      <c r="D3574" t="s">
        <v>10466</v>
      </c>
      <c r="F3574" t="s">
        <v>7709</v>
      </c>
      <c r="K3574" s="18">
        <f>62816734123</f>
        <v>62816734123</v>
      </c>
      <c r="N3574" s="17" t="s">
        <v>77</v>
      </c>
      <c r="V3574" s="18">
        <f>62816734123</f>
        <v>62816734123</v>
      </c>
    </row>
    <row r="3575" ht="15" customHeight="1" spans="1:22" x14ac:dyDescent="0.25">
      <c r="A3575" s="17" t="s">
        <v>10478</v>
      </c>
      <c r="B3575" s="17" t="s">
        <v>70</v>
      </c>
      <c r="C3575" s="17" t="s">
        <v>71</v>
      </c>
      <c r="D3575" t="s">
        <v>10466</v>
      </c>
      <c r="F3575" t="s">
        <v>10479</v>
      </c>
      <c r="K3575" s="18">
        <f>6281585942436</f>
        <v>6281585942436</v>
      </c>
      <c r="N3575" s="17" t="s">
        <v>77</v>
      </c>
      <c r="V3575" s="18">
        <f>6281585942436</f>
        <v>6281585942436</v>
      </c>
    </row>
    <row r="3576" ht="15" customHeight="1" spans="1:22" x14ac:dyDescent="0.25">
      <c r="A3576" s="17" t="s">
        <v>10480</v>
      </c>
      <c r="B3576" s="17" t="s">
        <v>70</v>
      </c>
      <c r="C3576" s="17" t="s">
        <v>71</v>
      </c>
      <c r="D3576" t="s">
        <v>10466</v>
      </c>
      <c r="F3576" t="s">
        <v>10033</v>
      </c>
      <c r="K3576" s="18">
        <f>628161904979</f>
        <v>628161904979</v>
      </c>
      <c r="N3576" s="17" t="s">
        <v>77</v>
      </c>
      <c r="V3576" s="18">
        <f>628161904979</f>
        <v>628161904979</v>
      </c>
    </row>
    <row r="3577" ht="15" customHeight="1" spans="1:22" x14ac:dyDescent="0.25">
      <c r="A3577" s="17" t="s">
        <v>10481</v>
      </c>
      <c r="B3577" s="17" t="s">
        <v>70</v>
      </c>
      <c r="C3577" s="17" t="s">
        <v>71</v>
      </c>
      <c r="D3577" t="s">
        <v>10466</v>
      </c>
      <c r="F3577" t="s">
        <v>6296</v>
      </c>
      <c r="K3577" s="18">
        <f>62811178671</f>
        <v>62811178671</v>
      </c>
      <c r="N3577" s="17" t="s">
        <v>77</v>
      </c>
      <c r="V3577" s="18">
        <f>62811178671</f>
        <v>62811178671</v>
      </c>
    </row>
    <row r="3578" ht="15" customHeight="1" spans="1:22" x14ac:dyDescent="0.25">
      <c r="A3578" s="17" t="s">
        <v>10482</v>
      </c>
      <c r="B3578" s="17" t="s">
        <v>70</v>
      </c>
      <c r="C3578" s="17" t="s">
        <v>71</v>
      </c>
      <c r="D3578" t="s">
        <v>10466</v>
      </c>
      <c r="F3578" t="s">
        <v>10483</v>
      </c>
      <c r="K3578" s="18">
        <f>628121216969</f>
        <v>628121216969</v>
      </c>
      <c r="N3578" s="17" t="s">
        <v>81</v>
      </c>
      <c r="V3578" s="18">
        <f>628121216969</f>
        <v>628121216969</v>
      </c>
    </row>
    <row r="3579" ht="15" customHeight="1" spans="1:28" x14ac:dyDescent="0.25">
      <c r="A3579" s="17" t="s">
        <v>10484</v>
      </c>
      <c r="B3579" s="17" t="s">
        <v>70</v>
      </c>
      <c r="C3579" s="17" t="s">
        <v>71</v>
      </c>
      <c r="D3579" t="s">
        <v>10466</v>
      </c>
      <c r="F3579" t="s">
        <v>10485</v>
      </c>
      <c r="J3579" t="s">
        <v>115</v>
      </c>
      <c r="K3579" s="18" t="s">
        <v>10486</v>
      </c>
      <c r="N3579" s="17" t="s">
        <v>77</v>
      </c>
      <c r="O3579" t="s">
        <v>117</v>
      </c>
      <c r="V3579" s="18" t="s">
        <v>10486</v>
      </c>
      <c r="Y3579" t="s">
        <v>90</v>
      </c>
      <c r="AA3579" t="s">
        <v>118</v>
      </c>
      <c r="AB3579" t="s">
        <v>119</v>
      </c>
    </row>
    <row r="3580" ht="15" customHeight="1" spans="1:28" x14ac:dyDescent="0.25">
      <c r="A3580" s="17" t="s">
        <v>10487</v>
      </c>
      <c r="B3580" s="17" t="s">
        <v>70</v>
      </c>
      <c r="C3580" s="17" t="s">
        <v>71</v>
      </c>
      <c r="D3580" t="s">
        <v>10466</v>
      </c>
      <c r="F3580" t="s">
        <v>10488</v>
      </c>
      <c r="J3580" t="s">
        <v>10489</v>
      </c>
      <c r="K3580" s="18" t="s">
        <v>10490</v>
      </c>
      <c r="N3580" s="17" t="s">
        <v>77</v>
      </c>
      <c r="O3580" t="s">
        <v>199</v>
      </c>
      <c r="V3580" s="18" t="s">
        <v>10490</v>
      </c>
      <c r="Y3580" t="s">
        <v>90</v>
      </c>
      <c r="AA3580" t="s">
        <v>118</v>
      </c>
      <c r="AB3580" t="s">
        <v>119</v>
      </c>
    </row>
    <row r="3581" ht="15" customHeight="1" spans="1:22" x14ac:dyDescent="0.25">
      <c r="A3581" s="17" t="s">
        <v>10491</v>
      </c>
      <c r="B3581" s="17" t="s">
        <v>70</v>
      </c>
      <c r="C3581" s="17" t="s">
        <v>71</v>
      </c>
      <c r="D3581" t="s">
        <v>10466</v>
      </c>
      <c r="F3581" t="s">
        <v>10492</v>
      </c>
      <c r="K3581" s="18">
        <f>62813577577785</f>
        <v>62813577577785</v>
      </c>
      <c r="N3581" s="17" t="s">
        <v>77</v>
      </c>
      <c r="V3581" s="18">
        <f>62813577577785</f>
        <v>62813577577785</v>
      </c>
    </row>
    <row r="3582" ht="15" customHeight="1" spans="1:25" x14ac:dyDescent="0.25">
      <c r="A3582" s="17" t="s">
        <v>10493</v>
      </c>
      <c r="B3582" s="17" t="s">
        <v>70</v>
      </c>
      <c r="C3582" s="17" t="s">
        <v>71</v>
      </c>
      <c r="D3582" t="s">
        <v>10494</v>
      </c>
      <c r="F3582" t="s">
        <v>10495</v>
      </c>
      <c r="K3582" s="18">
        <f>62811950654</f>
        <v>62811950654</v>
      </c>
      <c r="N3582" s="17" t="s">
        <v>77</v>
      </c>
      <c r="U3582" s="17"/>
      <c r="V3582" s="18">
        <f>62811950654</f>
        <v>62811950654</v>
      </c>
      <c r="W3582" t="s">
        <v>10496</v>
      </c>
      <c r="Y3582" s="17" t="s">
        <v>626</v>
      </c>
    </row>
    <row r="3583" ht="15" customHeight="1" spans="1:22" x14ac:dyDescent="0.25">
      <c r="A3583" s="17" t="s">
        <v>10497</v>
      </c>
      <c r="B3583" s="17" t="s">
        <v>70</v>
      </c>
      <c r="C3583" s="17" t="s">
        <v>71</v>
      </c>
      <c r="D3583" t="s">
        <v>10498</v>
      </c>
      <c r="F3583" t="s">
        <v>10498</v>
      </c>
      <c r="K3583" s="18">
        <f>628170070606</f>
        <v>628170070606</v>
      </c>
      <c r="N3583" s="17" t="s">
        <v>77</v>
      </c>
      <c r="V3583" s="18">
        <f>628170070606</f>
        <v>628170070606</v>
      </c>
    </row>
    <row r="3584" ht="15" customHeight="1" spans="1:22" x14ac:dyDescent="0.25">
      <c r="A3584" s="17" t="s">
        <v>10499</v>
      </c>
      <c r="B3584" s="17" t="s">
        <v>70</v>
      </c>
      <c r="C3584" s="17" t="s">
        <v>71</v>
      </c>
      <c r="D3584" t="s">
        <v>10500</v>
      </c>
      <c r="F3584" t="s">
        <v>10501</v>
      </c>
      <c r="J3584" s="17" t="s">
        <v>10502</v>
      </c>
      <c r="K3584" s="18">
        <f>62818188307</f>
        <v>62818188307</v>
      </c>
      <c r="N3584" s="17" t="s">
        <v>77</v>
      </c>
      <c r="V3584" s="18">
        <f>62818188307</f>
        <v>62818188307</v>
      </c>
    </row>
    <row r="3585" ht="15" customHeight="1" spans="1:28" x14ac:dyDescent="0.25">
      <c r="A3585" s="17" t="s">
        <v>10503</v>
      </c>
      <c r="B3585" s="17" t="s">
        <v>70</v>
      </c>
      <c r="C3585" s="17" t="s">
        <v>71</v>
      </c>
      <c r="D3585" t="s">
        <v>10504</v>
      </c>
      <c r="F3585" t="s">
        <v>10505</v>
      </c>
      <c r="J3585" t="s">
        <v>10506</v>
      </c>
      <c r="K3585" s="18" t="s">
        <v>10507</v>
      </c>
      <c r="N3585" s="17" t="s">
        <v>77</v>
      </c>
      <c r="O3585" t="s">
        <v>117</v>
      </c>
      <c r="V3585" s="18" t="s">
        <v>10507</v>
      </c>
      <c r="Y3585" t="s">
        <v>217</v>
      </c>
      <c r="AA3585" t="s">
        <v>218</v>
      </c>
      <c r="AB3585" t="s">
        <v>119</v>
      </c>
    </row>
    <row r="3586" ht="15" customHeight="1" spans="1:22" x14ac:dyDescent="0.25">
      <c r="A3586" s="17" t="s">
        <v>10508</v>
      </c>
      <c r="B3586" s="17" t="s">
        <v>70</v>
      </c>
      <c r="C3586" s="17" t="s">
        <v>71</v>
      </c>
      <c r="D3586" t="s">
        <v>10500</v>
      </c>
      <c r="F3586" t="s">
        <v>10509</v>
      </c>
      <c r="K3586" s="18">
        <f>628119212405</f>
        <v>628119212405</v>
      </c>
      <c r="N3586" s="17" t="s">
        <v>81</v>
      </c>
      <c r="V3586" s="18">
        <f>628119212405</f>
        <v>628119212405</v>
      </c>
    </row>
    <row r="3587" ht="15" customHeight="1" spans="1:25" x14ac:dyDescent="0.25">
      <c r="A3587" s="17" t="s">
        <v>10510</v>
      </c>
      <c r="B3587" s="17" t="s">
        <v>70</v>
      </c>
      <c r="C3587" s="17" t="s">
        <v>71</v>
      </c>
      <c r="D3587" t="s">
        <v>10511</v>
      </c>
      <c r="F3587" t="s">
        <v>10512</v>
      </c>
      <c r="J3587" s="17" t="s">
        <v>10513</v>
      </c>
      <c r="K3587" s="18">
        <f>6281325865778</f>
        <v>6281325865778</v>
      </c>
      <c r="N3587" s="17" t="s">
        <v>77</v>
      </c>
      <c r="U3587" s="17"/>
      <c r="V3587" s="18">
        <f>6281325865778</f>
        <v>6281325865778</v>
      </c>
      <c r="W3587" t="s">
        <v>10514</v>
      </c>
      <c r="Y3587" s="17" t="s">
        <v>410</v>
      </c>
    </row>
    <row r="3588" ht="15" customHeight="1" spans="1:22" x14ac:dyDescent="0.25">
      <c r="A3588" s="17" t="s">
        <v>10515</v>
      </c>
      <c r="B3588" s="17" t="s">
        <v>70</v>
      </c>
      <c r="C3588" s="17" t="s">
        <v>71</v>
      </c>
      <c r="D3588" t="s">
        <v>10516</v>
      </c>
      <c r="F3588" t="s">
        <v>10516</v>
      </c>
      <c r="K3588" s="18">
        <f>628119853818</f>
        <v>628119853818</v>
      </c>
      <c r="N3588" s="17" t="s">
        <v>81</v>
      </c>
      <c r="V3588" s="18">
        <f>628119853818</f>
        <v>628119853818</v>
      </c>
    </row>
    <row r="3589" ht="15" customHeight="1" spans="1:22" x14ac:dyDescent="0.25">
      <c r="A3589" s="17" t="s">
        <v>10517</v>
      </c>
      <c r="B3589" s="17" t="s">
        <v>70</v>
      </c>
      <c r="C3589" s="17" t="s">
        <v>71</v>
      </c>
      <c r="D3589" t="s">
        <v>10518</v>
      </c>
      <c r="F3589" t="s">
        <v>10519</v>
      </c>
      <c r="K3589" s="18">
        <f>62811140433</f>
        <v>62811140433</v>
      </c>
      <c r="N3589" s="17" t="s">
        <v>77</v>
      </c>
      <c r="V3589" s="18">
        <f>62811140433</f>
        <v>62811140433</v>
      </c>
    </row>
    <row r="3590" ht="15" customHeight="1" spans="1:28" x14ac:dyDescent="0.25">
      <c r="A3590" s="17" t="s">
        <v>10520</v>
      </c>
      <c r="B3590" s="17" t="s">
        <v>70</v>
      </c>
      <c r="C3590" s="17" t="s">
        <v>71</v>
      </c>
      <c r="D3590" t="s">
        <v>10521</v>
      </c>
      <c r="F3590" t="s">
        <v>4225</v>
      </c>
      <c r="J3590" t="s">
        <v>10522</v>
      </c>
      <c r="K3590" s="18" t="s">
        <v>10523</v>
      </c>
      <c r="N3590" s="17" t="s">
        <v>77</v>
      </c>
      <c r="O3590" t="s">
        <v>117</v>
      </c>
      <c r="V3590" s="18" t="s">
        <v>10523</v>
      </c>
      <c r="Y3590" t="s">
        <v>190</v>
      </c>
      <c r="AA3590" t="s">
        <v>118</v>
      </c>
      <c r="AB3590" t="s">
        <v>119</v>
      </c>
    </row>
    <row r="3591" ht="15" customHeight="1" spans="1:22" x14ac:dyDescent="0.25">
      <c r="A3591" s="17" t="s">
        <v>10524</v>
      </c>
      <c r="B3591" s="17" t="s">
        <v>70</v>
      </c>
      <c r="C3591" s="17" t="s">
        <v>71</v>
      </c>
      <c r="D3591" t="s">
        <v>10525</v>
      </c>
      <c r="F3591" t="s">
        <v>10525</v>
      </c>
      <c r="K3591" s="18">
        <f>62811147711</f>
        <v>62811147711</v>
      </c>
      <c r="N3591" s="17" t="s">
        <v>74</v>
      </c>
      <c r="V3591" s="18">
        <f>62811147711</f>
        <v>62811147711</v>
      </c>
    </row>
    <row r="3592" ht="15" customHeight="1" spans="1:22" x14ac:dyDescent="0.25">
      <c r="A3592" s="17" t="s">
        <v>10526</v>
      </c>
      <c r="B3592" s="17" t="s">
        <v>70</v>
      </c>
      <c r="C3592" s="17" t="s">
        <v>71</v>
      </c>
      <c r="D3592" t="s">
        <v>10527</v>
      </c>
      <c r="F3592" t="s">
        <v>3546</v>
      </c>
      <c r="K3592" s="18">
        <f>6285881355665</f>
        <v>6285881355665</v>
      </c>
      <c r="N3592" s="17" t="s">
        <v>77</v>
      </c>
      <c r="V3592" s="18">
        <f>6285881355665</f>
        <v>6285881355665</v>
      </c>
    </row>
    <row r="3593" ht="15" customHeight="1" spans="1:22" x14ac:dyDescent="0.25">
      <c r="A3593" s="17" t="s">
        <v>10528</v>
      </c>
      <c r="B3593" s="17" t="s">
        <v>70</v>
      </c>
      <c r="C3593" s="17" t="s">
        <v>71</v>
      </c>
      <c r="D3593" t="s">
        <v>10529</v>
      </c>
      <c r="F3593" t="s">
        <v>10530</v>
      </c>
      <c r="K3593" s="18">
        <f>6281213337335</f>
        <v>6281213337335</v>
      </c>
      <c r="N3593" s="17" t="s">
        <v>77</v>
      </c>
      <c r="V3593" s="18">
        <f>6281213337335</f>
        <v>6281213337335</v>
      </c>
    </row>
    <row r="3594" ht="15" customHeight="1" spans="1:23" x14ac:dyDescent="0.25">
      <c r="A3594" s="17" t="s">
        <v>10531</v>
      </c>
      <c r="B3594" s="17" t="s">
        <v>70</v>
      </c>
      <c r="C3594" s="17" t="s">
        <v>71</v>
      </c>
      <c r="D3594" t="s">
        <v>10532</v>
      </c>
      <c r="F3594" t="s">
        <v>10532</v>
      </c>
      <c r="K3594" s="18">
        <f>6208118820823</f>
        <v>6208118820823</v>
      </c>
      <c r="N3594" s="17" t="s">
        <v>77</v>
      </c>
      <c r="U3594" s="17"/>
      <c r="V3594" s="18">
        <f>6208118820823</f>
        <v>6208118820823</v>
      </c>
      <c r="W3594" t="s">
        <v>10533</v>
      </c>
    </row>
    <row r="3595" ht="15" customHeight="1" spans="1:25" x14ac:dyDescent="0.25">
      <c r="A3595" s="17" t="s">
        <v>10534</v>
      </c>
      <c r="B3595" s="17" t="s">
        <v>70</v>
      </c>
      <c r="C3595" s="17" t="s">
        <v>71</v>
      </c>
      <c r="D3595" t="s">
        <v>10535</v>
      </c>
      <c r="F3595" t="s">
        <v>10536</v>
      </c>
      <c r="K3595" s="18">
        <f>628127734664</f>
        <v>628127734664</v>
      </c>
      <c r="N3595" s="17" t="s">
        <v>74</v>
      </c>
      <c r="U3595" s="17"/>
      <c r="V3595" s="18">
        <f>628127734664</f>
        <v>628127734664</v>
      </c>
      <c r="W3595" t="s">
        <v>10537</v>
      </c>
      <c r="Y3595" s="17" t="s">
        <v>10538</v>
      </c>
    </row>
    <row r="3596" ht="15" customHeight="1" spans="1:28" x14ac:dyDescent="0.25">
      <c r="A3596" s="17" t="s">
        <v>10539</v>
      </c>
      <c r="B3596" s="17" t="s">
        <v>70</v>
      </c>
      <c r="C3596" s="17" t="s">
        <v>71</v>
      </c>
      <c r="D3596" t="s">
        <v>10540</v>
      </c>
      <c r="F3596" t="s">
        <v>10541</v>
      </c>
      <c r="J3596" s="17" t="s">
        <v>10542</v>
      </c>
      <c r="K3596" s="18" t="s">
        <v>10543</v>
      </c>
      <c r="N3596" s="17" t="s">
        <v>77</v>
      </c>
      <c r="O3596" t="s">
        <v>145</v>
      </c>
      <c r="V3596" s="18" t="s">
        <v>10543</v>
      </c>
      <c r="Y3596" t="s">
        <v>190</v>
      </c>
      <c r="AA3596" t="s">
        <v>118</v>
      </c>
      <c r="AB3596" t="s">
        <v>119</v>
      </c>
    </row>
    <row r="3597" ht="15" customHeight="1" spans="1:23" x14ac:dyDescent="0.25">
      <c r="A3597" s="17" t="s">
        <v>10544</v>
      </c>
      <c r="B3597" s="17" t="s">
        <v>70</v>
      </c>
      <c r="C3597" s="17" t="s">
        <v>71</v>
      </c>
      <c r="D3597" t="s">
        <v>10545</v>
      </c>
      <c r="F3597" t="s">
        <v>10546</v>
      </c>
      <c r="J3597" s="17" t="s">
        <v>10547</v>
      </c>
      <c r="K3597" s="18">
        <f>6281258226121</f>
        <v>6281258226121</v>
      </c>
      <c r="N3597" s="17" t="s">
        <v>81</v>
      </c>
      <c r="U3597" s="17"/>
      <c r="V3597" s="18">
        <f>6281258226121</f>
        <v>6281258226121</v>
      </c>
      <c r="W3597" t="s">
        <v>10548</v>
      </c>
    </row>
    <row r="3598" ht="15" customHeight="1" spans="1:23" x14ac:dyDescent="0.25">
      <c r="A3598" s="17" t="s">
        <v>10549</v>
      </c>
      <c r="B3598" s="17" t="s">
        <v>70</v>
      </c>
      <c r="C3598" s="17" t="s">
        <v>71</v>
      </c>
      <c r="D3598" t="s">
        <v>10550</v>
      </c>
      <c r="F3598" t="s">
        <v>10551</v>
      </c>
      <c r="J3598" s="17" t="s">
        <v>10552</v>
      </c>
      <c r="K3598" s="18">
        <f>6281315005307</f>
        <v>6281315005307</v>
      </c>
      <c r="N3598" s="17" t="s">
        <v>81</v>
      </c>
      <c r="U3598" s="17"/>
      <c r="V3598" s="18">
        <f>6281315005307</f>
        <v>6281315005307</v>
      </c>
      <c r="W3598" t="s">
        <v>10553</v>
      </c>
    </row>
    <row r="3599" ht="15" customHeight="1" spans="1:22" x14ac:dyDescent="0.25">
      <c r="A3599" s="17" t="s">
        <v>10554</v>
      </c>
      <c r="B3599" s="17" t="s">
        <v>70</v>
      </c>
      <c r="C3599" s="17" t="s">
        <v>71</v>
      </c>
      <c r="D3599" t="s">
        <v>10555</v>
      </c>
      <c r="F3599" t="s">
        <v>10555</v>
      </c>
      <c r="K3599" s="18">
        <f>628563111135</f>
        <v>628563111135</v>
      </c>
      <c r="N3599" s="17" t="s">
        <v>77</v>
      </c>
      <c r="V3599" s="18">
        <f>628563111135</f>
        <v>628563111135</v>
      </c>
    </row>
    <row r="3600" ht="15" customHeight="1" spans="1:25" x14ac:dyDescent="0.25">
      <c r="A3600" s="17" t="s">
        <v>10556</v>
      </c>
      <c r="B3600" s="17" t="s">
        <v>70</v>
      </c>
      <c r="C3600" s="17" t="s">
        <v>71</v>
      </c>
      <c r="D3600" t="s">
        <v>10555</v>
      </c>
      <c r="F3600" t="s">
        <v>10557</v>
      </c>
      <c r="K3600" s="18">
        <f>6281396461442</f>
        <v>6281396461442</v>
      </c>
      <c r="N3600" s="17" t="s">
        <v>81</v>
      </c>
      <c r="U3600" s="17"/>
      <c r="V3600" s="18">
        <f>6281396461442</f>
        <v>6281396461442</v>
      </c>
      <c r="W3600" t="s">
        <v>10558</v>
      </c>
      <c r="Y3600" s="17" t="s">
        <v>90</v>
      </c>
    </row>
    <row r="3601" ht="15" customHeight="1" spans="1:22" x14ac:dyDescent="0.25">
      <c r="A3601" s="17" t="s">
        <v>10559</v>
      </c>
      <c r="B3601" s="17" t="s">
        <v>70</v>
      </c>
      <c r="C3601" s="17" t="s">
        <v>71</v>
      </c>
      <c r="D3601" t="s">
        <v>10555</v>
      </c>
      <c r="F3601" t="s">
        <v>10560</v>
      </c>
      <c r="K3601" s="18">
        <f>628121906519</f>
        <v>628121906519</v>
      </c>
      <c r="N3601" s="17" t="s">
        <v>77</v>
      </c>
      <c r="V3601" s="18">
        <f>628121906519</f>
        <v>628121906519</v>
      </c>
    </row>
    <row r="3602" ht="15" customHeight="1" spans="1:25" x14ac:dyDescent="0.25">
      <c r="A3602" s="17" t="s">
        <v>10561</v>
      </c>
      <c r="B3602" s="17" t="s">
        <v>70</v>
      </c>
      <c r="C3602" s="17" t="s">
        <v>71</v>
      </c>
      <c r="D3602" t="s">
        <v>10562</v>
      </c>
      <c r="F3602" t="s">
        <v>10563</v>
      </c>
      <c r="K3602" s="18">
        <f>62811164633</f>
        <v>62811164633</v>
      </c>
      <c r="N3602" s="17" t="s">
        <v>77</v>
      </c>
      <c r="U3602" s="17"/>
      <c r="V3602" s="18">
        <f>62811164633</f>
        <v>62811164633</v>
      </c>
      <c r="W3602" t="s">
        <v>10564</v>
      </c>
      <c r="Y3602" s="17" t="s">
        <v>90</v>
      </c>
    </row>
    <row r="3603" ht="15" customHeight="1" spans="1:28" x14ac:dyDescent="0.25">
      <c r="A3603" s="17" t="s">
        <v>10565</v>
      </c>
      <c r="B3603" s="17" t="s">
        <v>70</v>
      </c>
      <c r="C3603" s="17" t="s">
        <v>71</v>
      </c>
      <c r="D3603" t="s">
        <v>10566</v>
      </c>
      <c r="F3603" t="s">
        <v>10567</v>
      </c>
      <c r="J3603" t="s">
        <v>115</v>
      </c>
      <c r="K3603" s="18" t="s">
        <v>10568</v>
      </c>
      <c r="N3603" s="17" t="s">
        <v>77</v>
      </c>
      <c r="O3603" t="s">
        <v>199</v>
      </c>
      <c r="V3603" s="18" t="s">
        <v>10568</v>
      </c>
      <c r="Y3603" t="s">
        <v>90</v>
      </c>
      <c r="AA3603" t="s">
        <v>118</v>
      </c>
      <c r="AB3603" t="s">
        <v>119</v>
      </c>
    </row>
    <row r="3604" ht="15" customHeight="1" spans="1:22" x14ac:dyDescent="0.25">
      <c r="A3604" s="17" t="s">
        <v>10569</v>
      </c>
      <c r="B3604" s="17" t="s">
        <v>70</v>
      </c>
      <c r="C3604" s="17" t="s">
        <v>71</v>
      </c>
      <c r="D3604" t="s">
        <v>10570</v>
      </c>
      <c r="F3604" t="s">
        <v>10570</v>
      </c>
      <c r="K3604" s="18">
        <f>6281299004282</f>
        <v>6281299004282</v>
      </c>
      <c r="N3604" s="17" t="s">
        <v>77</v>
      </c>
      <c r="V3604" s="18">
        <f>6281299004282</f>
        <v>6281299004282</v>
      </c>
    </row>
    <row r="3605" ht="15" customHeight="1" spans="1:22" x14ac:dyDescent="0.25">
      <c r="A3605" s="17" t="s">
        <v>10571</v>
      </c>
      <c r="B3605" s="17" t="s">
        <v>70</v>
      </c>
      <c r="C3605" s="17" t="s">
        <v>71</v>
      </c>
      <c r="D3605" t="s">
        <v>10572</v>
      </c>
      <c r="F3605" t="s">
        <v>10572</v>
      </c>
      <c r="J3605" s="17" t="s">
        <v>10573</v>
      </c>
      <c r="K3605" s="18">
        <f>6281321589252</f>
        <v>6281321589252</v>
      </c>
      <c r="N3605" s="17" t="s">
        <v>77</v>
      </c>
      <c r="V3605" s="18">
        <f>6281321589252</f>
        <v>6281321589252</v>
      </c>
    </row>
    <row r="3606" ht="15" customHeight="1" spans="1:23" x14ac:dyDescent="0.25">
      <c r="A3606" s="17" t="s">
        <v>10574</v>
      </c>
      <c r="B3606" s="17" t="s">
        <v>70</v>
      </c>
      <c r="C3606" s="17" t="s">
        <v>71</v>
      </c>
      <c r="D3606" t="s">
        <v>10572</v>
      </c>
      <c r="F3606" t="s">
        <v>10572</v>
      </c>
      <c r="K3606" s="18">
        <f>6287898165391</f>
        <v>6287898165391</v>
      </c>
      <c r="N3606" s="17" t="s">
        <v>81</v>
      </c>
      <c r="U3606" s="17"/>
      <c r="V3606" s="18">
        <f>6287898165391</f>
        <v>6287898165391</v>
      </c>
      <c r="W3606" t="s">
        <v>10575</v>
      </c>
    </row>
    <row r="3607" ht="15" customHeight="1" spans="1:28" x14ac:dyDescent="0.25">
      <c r="A3607" s="17" t="s">
        <v>10576</v>
      </c>
      <c r="B3607" s="17" t="s">
        <v>70</v>
      </c>
      <c r="C3607" s="17" t="s">
        <v>71</v>
      </c>
      <c r="D3607" t="s">
        <v>10572</v>
      </c>
      <c r="F3607" t="s">
        <v>10577</v>
      </c>
      <c r="J3607" t="s">
        <v>10578</v>
      </c>
      <c r="K3607" s="18" t="s">
        <v>10579</v>
      </c>
      <c r="N3607" s="17" t="s">
        <v>81</v>
      </c>
      <c r="O3607" t="s">
        <v>117</v>
      </c>
      <c r="V3607" s="18" t="s">
        <v>10579</v>
      </c>
      <c r="Y3607" t="s">
        <v>90</v>
      </c>
      <c r="AA3607" t="s">
        <v>118</v>
      </c>
      <c r="AB3607" t="s">
        <v>119</v>
      </c>
    </row>
    <row r="3608" ht="15" customHeight="1" spans="1:28" x14ac:dyDescent="0.25">
      <c r="A3608" s="17" t="s">
        <v>10580</v>
      </c>
      <c r="B3608" s="17" t="s">
        <v>70</v>
      </c>
      <c r="C3608" s="17" t="s">
        <v>71</v>
      </c>
      <c r="D3608" t="s">
        <v>10581</v>
      </c>
      <c r="F3608" t="s">
        <v>10582</v>
      </c>
      <c r="J3608" t="s">
        <v>10583</v>
      </c>
      <c r="K3608" s="18" t="s">
        <v>10584</v>
      </c>
      <c r="N3608" s="17" t="s">
        <v>77</v>
      </c>
      <c r="O3608" t="s">
        <v>117</v>
      </c>
      <c r="V3608" s="18" t="s">
        <v>10584</v>
      </c>
      <c r="Y3608" t="s">
        <v>704</v>
      </c>
      <c r="AA3608" t="s">
        <v>705</v>
      </c>
      <c r="AB3608" t="s">
        <v>119</v>
      </c>
    </row>
    <row r="3609" ht="15" customHeight="1" spans="1:28" x14ac:dyDescent="0.25">
      <c r="A3609" s="17" t="s">
        <v>10585</v>
      </c>
      <c r="B3609" s="17" t="s">
        <v>70</v>
      </c>
      <c r="C3609" s="17" t="s">
        <v>71</v>
      </c>
      <c r="D3609" t="s">
        <v>10586</v>
      </c>
      <c r="F3609" t="s">
        <v>3450</v>
      </c>
      <c r="J3609" t="s">
        <v>115</v>
      </c>
      <c r="K3609" s="18" t="s">
        <v>10587</v>
      </c>
      <c r="N3609" s="17" t="s">
        <v>77</v>
      </c>
      <c r="O3609" t="s">
        <v>117</v>
      </c>
      <c r="U3609" s="17"/>
      <c r="V3609" s="18" t="s">
        <v>10587</v>
      </c>
      <c r="W3609" t="s">
        <v>10588</v>
      </c>
      <c r="Y3609" t="s">
        <v>90</v>
      </c>
      <c r="AA3609" t="s">
        <v>118</v>
      </c>
      <c r="AB3609" t="s">
        <v>119</v>
      </c>
    </row>
    <row r="3610" ht="15" customHeight="1" spans="1:25" x14ac:dyDescent="0.25">
      <c r="A3610" s="17" t="s">
        <v>10589</v>
      </c>
      <c r="B3610" s="17" t="s">
        <v>70</v>
      </c>
      <c r="C3610" s="17" t="s">
        <v>71</v>
      </c>
      <c r="D3610" t="s">
        <v>10590</v>
      </c>
      <c r="F3610" t="s">
        <v>10590</v>
      </c>
      <c r="K3610" s="18">
        <f>628115622113</f>
        <v>628115622113</v>
      </c>
      <c r="N3610" s="17" t="s">
        <v>77</v>
      </c>
      <c r="V3610" s="18">
        <f>628115622113</f>
        <v>628115622113</v>
      </c>
      <c r="Y3610" s="17" t="s">
        <v>4959</v>
      </c>
    </row>
    <row r="3611" ht="15" customHeight="1" spans="1:22" x14ac:dyDescent="0.25">
      <c r="A3611" s="17" t="s">
        <v>10591</v>
      </c>
      <c r="B3611" s="17" t="s">
        <v>70</v>
      </c>
      <c r="C3611" s="17" t="s">
        <v>71</v>
      </c>
      <c r="D3611" t="s">
        <v>10590</v>
      </c>
      <c r="F3611" t="s">
        <v>10592</v>
      </c>
      <c r="K3611" s="18">
        <f>6282225853000</f>
        <v>6282225853000</v>
      </c>
      <c r="N3611" s="17" t="s">
        <v>81</v>
      </c>
      <c r="V3611" s="18">
        <f>6282225853000</f>
        <v>6282225853000</v>
      </c>
    </row>
    <row r="3612" ht="15" customHeight="1" spans="1:28" x14ac:dyDescent="0.25">
      <c r="A3612" s="17" t="s">
        <v>10593</v>
      </c>
      <c r="B3612" s="17" t="s">
        <v>70</v>
      </c>
      <c r="C3612" s="17" t="s">
        <v>71</v>
      </c>
      <c r="D3612" t="s">
        <v>10594</v>
      </c>
      <c r="F3612" t="s">
        <v>9824</v>
      </c>
      <c r="J3612" s="17" t="s">
        <v>10595</v>
      </c>
      <c r="K3612" s="18" t="s">
        <v>10596</v>
      </c>
      <c r="N3612" s="17" t="s">
        <v>81</v>
      </c>
      <c r="O3612" t="s">
        <v>261</v>
      </c>
      <c r="U3612" s="17"/>
      <c r="V3612" s="18" t="s">
        <v>10596</v>
      </c>
      <c r="W3612" t="s">
        <v>704</v>
      </c>
      <c r="Y3612" s="17" t="s">
        <v>704</v>
      </c>
      <c r="AA3612" t="s">
        <v>705</v>
      </c>
      <c r="AB3612" t="s">
        <v>119</v>
      </c>
    </row>
    <row r="3613" ht="15" customHeight="1" spans="1:22" x14ac:dyDescent="0.25">
      <c r="A3613" s="17" t="s">
        <v>10597</v>
      </c>
      <c r="B3613" s="17" t="s">
        <v>70</v>
      </c>
      <c r="C3613" s="17" t="s">
        <v>71</v>
      </c>
      <c r="D3613" t="s">
        <v>10598</v>
      </c>
      <c r="F3613" t="s">
        <v>10598</v>
      </c>
      <c r="K3613" s="18">
        <f>628174720002</f>
        <v>628174720002</v>
      </c>
      <c r="N3613" s="17" t="s">
        <v>77</v>
      </c>
      <c r="V3613" s="18">
        <f>628174720002</f>
        <v>628174720002</v>
      </c>
    </row>
    <row r="3614" ht="15" customHeight="1" spans="1:22" x14ac:dyDescent="0.25">
      <c r="A3614" s="17" t="s">
        <v>10599</v>
      </c>
      <c r="B3614" s="17" t="s">
        <v>70</v>
      </c>
      <c r="C3614" s="17" t="s">
        <v>71</v>
      </c>
      <c r="D3614" t="s">
        <v>821</v>
      </c>
      <c r="F3614" t="s">
        <v>10600</v>
      </c>
      <c r="K3614" s="18">
        <f>62818800881</f>
        <v>62818800881</v>
      </c>
      <c r="N3614" s="17" t="s">
        <v>77</v>
      </c>
      <c r="V3614" s="18">
        <f>62818800881</f>
        <v>62818800881</v>
      </c>
    </row>
    <row r="3615" ht="15" customHeight="1" spans="1:22" x14ac:dyDescent="0.25">
      <c r="A3615" s="17" t="s">
        <v>10601</v>
      </c>
      <c r="B3615" s="17" t="s">
        <v>70</v>
      </c>
      <c r="C3615" s="17" t="s">
        <v>71</v>
      </c>
      <c r="D3615" t="s">
        <v>10602</v>
      </c>
      <c r="F3615" t="s">
        <v>10603</v>
      </c>
      <c r="K3615" s="18">
        <f>6281282968517</f>
        <v>6281282968517</v>
      </c>
      <c r="N3615" s="17" t="s">
        <v>77</v>
      </c>
      <c r="V3615" s="18">
        <f>6281282968517</f>
        <v>6281282968517</v>
      </c>
    </row>
    <row r="3616" ht="15" customHeight="1" spans="1:22" x14ac:dyDescent="0.25">
      <c r="A3616" s="17" t="s">
        <v>10604</v>
      </c>
      <c r="B3616" s="17" t="s">
        <v>70</v>
      </c>
      <c r="C3616" s="17" t="s">
        <v>71</v>
      </c>
      <c r="D3616" t="s">
        <v>10605</v>
      </c>
      <c r="F3616" t="s">
        <v>10605</v>
      </c>
      <c r="K3616" s="18">
        <f>6287884009777</f>
        <v>6287884009777</v>
      </c>
      <c r="N3616" s="17" t="s">
        <v>74</v>
      </c>
      <c r="V3616" s="18">
        <f>6287884009777</f>
        <v>6287884009777</v>
      </c>
    </row>
    <row r="3617" ht="15" customHeight="1" spans="1:22" x14ac:dyDescent="0.25">
      <c r="A3617" s="17" t="s">
        <v>10606</v>
      </c>
      <c r="B3617" s="17" t="s">
        <v>70</v>
      </c>
      <c r="C3617" s="17" t="s">
        <v>71</v>
      </c>
      <c r="D3617" t="s">
        <v>10607</v>
      </c>
      <c r="F3617" t="s">
        <v>10607</v>
      </c>
      <c r="K3617" s="18">
        <f>6287788107655</f>
        <v>6287788107655</v>
      </c>
      <c r="N3617" s="17" t="s">
        <v>81</v>
      </c>
      <c r="V3617" s="18">
        <f>6287788107655</f>
        <v>6287788107655</v>
      </c>
    </row>
    <row r="3618" ht="15" customHeight="1" spans="1:22" x14ac:dyDescent="0.25">
      <c r="A3618" s="17" t="s">
        <v>10608</v>
      </c>
      <c r="B3618" s="17" t="s">
        <v>70</v>
      </c>
      <c r="C3618" s="17" t="s">
        <v>71</v>
      </c>
      <c r="D3618" t="s">
        <v>10609</v>
      </c>
      <c r="F3618" t="s">
        <v>2159</v>
      </c>
      <c r="K3618" s="18">
        <f>6287719895999</f>
        <v>6287719895999</v>
      </c>
      <c r="N3618" s="17" t="s">
        <v>77</v>
      </c>
      <c r="V3618" s="18">
        <f>6287719895999</f>
        <v>6287719895999</v>
      </c>
    </row>
    <row r="3619" ht="15" customHeight="1" spans="1:22" x14ac:dyDescent="0.25">
      <c r="A3619" s="17" t="s">
        <v>10610</v>
      </c>
      <c r="B3619" s="17" t="s">
        <v>70</v>
      </c>
      <c r="C3619" s="17" t="s">
        <v>71</v>
      </c>
      <c r="D3619" t="s">
        <v>10611</v>
      </c>
      <c r="F3619" t="s">
        <v>2593</v>
      </c>
      <c r="K3619" s="18">
        <f>6281399959599</f>
        <v>6281399959599</v>
      </c>
      <c r="N3619" s="17" t="s">
        <v>81</v>
      </c>
      <c r="V3619" s="18">
        <f>6281399959599</f>
        <v>6281399959599</v>
      </c>
    </row>
    <row r="3620" ht="15" customHeight="1" spans="1:22" x14ac:dyDescent="0.25">
      <c r="A3620" s="17" t="s">
        <v>10612</v>
      </c>
      <c r="B3620" s="17" t="s">
        <v>70</v>
      </c>
      <c r="C3620" s="17" t="s">
        <v>71</v>
      </c>
      <c r="D3620" t="s">
        <v>10613</v>
      </c>
      <c r="F3620" t="s">
        <v>10613</v>
      </c>
      <c r="K3620" s="18">
        <f>62816709092</f>
        <v>62816709092</v>
      </c>
      <c r="N3620" s="17" t="s">
        <v>74</v>
      </c>
      <c r="V3620" s="18">
        <f>62816709092</f>
        <v>62816709092</v>
      </c>
    </row>
    <row r="3621" ht="15" customHeight="1" spans="1:23" x14ac:dyDescent="0.25">
      <c r="A3621" s="17" t="s">
        <v>10614</v>
      </c>
      <c r="B3621" s="17" t="s">
        <v>70</v>
      </c>
      <c r="C3621" s="17" t="s">
        <v>71</v>
      </c>
      <c r="D3621" t="s">
        <v>10615</v>
      </c>
      <c r="F3621" t="s">
        <v>4440</v>
      </c>
      <c r="J3621" s="17" t="s">
        <v>10616</v>
      </c>
      <c r="K3621" s="18">
        <f>628139978888</f>
        <v>628139978888</v>
      </c>
      <c r="N3621" s="17" t="s">
        <v>81</v>
      </c>
      <c r="U3621" s="17"/>
      <c r="V3621" s="18">
        <f>628139978888</f>
        <v>628139978888</v>
      </c>
      <c r="W3621" t="s">
        <v>10617</v>
      </c>
    </row>
    <row r="3622" ht="15" customHeight="1" spans="1:23" x14ac:dyDescent="0.25">
      <c r="A3622" s="17" t="s">
        <v>10618</v>
      </c>
      <c r="B3622" s="17" t="s">
        <v>70</v>
      </c>
      <c r="C3622" s="17" t="s">
        <v>71</v>
      </c>
      <c r="D3622" t="s">
        <v>10619</v>
      </c>
      <c r="F3622" t="s">
        <v>10620</v>
      </c>
      <c r="K3622" s="18">
        <f>62816817978</f>
        <v>62816817978</v>
      </c>
      <c r="N3622" s="17" t="s">
        <v>77</v>
      </c>
      <c r="U3622" s="17"/>
      <c r="V3622" s="18">
        <f>62816817978</f>
        <v>62816817978</v>
      </c>
      <c r="W3622" t="s">
        <v>10621</v>
      </c>
    </row>
    <row r="3623" ht="15" customHeight="1" spans="1:27" x14ac:dyDescent="0.25">
      <c r="A3623" s="17" t="s">
        <v>10622</v>
      </c>
      <c r="B3623" s="17" t="s">
        <v>70</v>
      </c>
      <c r="C3623" s="17" t="s">
        <v>71</v>
      </c>
      <c r="D3623" t="s">
        <v>10623</v>
      </c>
      <c r="F3623" t="s">
        <v>548</v>
      </c>
      <c r="J3623" s="17" t="s">
        <v>10624</v>
      </c>
      <c r="K3623" s="18">
        <f>628151625500</f>
        <v>628151625500</v>
      </c>
      <c r="N3623" s="17" t="s">
        <v>77</v>
      </c>
      <c r="U3623" s="17"/>
      <c r="V3623" s="18">
        <f>628151625500</f>
        <v>628151625500</v>
      </c>
      <c r="W3623" t="s">
        <v>10625</v>
      </c>
      <c r="Y3623" s="17" t="s">
        <v>1084</v>
      </c>
      <c r="AA3623" s="17">
        <v>14440</v>
      </c>
    </row>
    <row r="3624" ht="15" customHeight="1" spans="1:22" x14ac:dyDescent="0.25">
      <c r="A3624" s="17" t="s">
        <v>10626</v>
      </c>
      <c r="B3624" s="17" t="s">
        <v>70</v>
      </c>
      <c r="C3624" s="17" t="s">
        <v>71</v>
      </c>
      <c r="D3624" t="s">
        <v>10627</v>
      </c>
      <c r="F3624" t="s">
        <v>10627</v>
      </c>
      <c r="K3624" s="18">
        <f>6281319393939</f>
        <v>6281319393939</v>
      </c>
      <c r="N3624" s="17" t="s">
        <v>81</v>
      </c>
      <c r="V3624" s="18">
        <f>6281319393939</f>
        <v>6281319393939</v>
      </c>
    </row>
    <row r="3625" ht="15" customHeight="1" spans="1:22" x14ac:dyDescent="0.25">
      <c r="A3625" s="17" t="s">
        <v>10628</v>
      </c>
      <c r="B3625" s="17" t="s">
        <v>70</v>
      </c>
      <c r="C3625" s="17" t="s">
        <v>71</v>
      </c>
      <c r="D3625" t="s">
        <v>10627</v>
      </c>
      <c r="F3625" t="s">
        <v>548</v>
      </c>
      <c r="K3625" s="18">
        <f>6285939888899</f>
        <v>6285939888899</v>
      </c>
      <c r="N3625" s="17" t="s">
        <v>77</v>
      </c>
      <c r="V3625" s="18">
        <f>6285939888899</f>
        <v>6285939888899</v>
      </c>
    </row>
    <row r="3626" ht="15" customHeight="1" spans="1:22" x14ac:dyDescent="0.25">
      <c r="A3626" s="17" t="s">
        <v>10629</v>
      </c>
      <c r="B3626" s="17" t="s">
        <v>70</v>
      </c>
      <c r="C3626" s="17" t="s">
        <v>71</v>
      </c>
      <c r="D3626" t="s">
        <v>10627</v>
      </c>
      <c r="F3626" t="s">
        <v>10630</v>
      </c>
      <c r="K3626" s="18">
        <f>628123529685</f>
        <v>628123529685</v>
      </c>
      <c r="N3626" s="17" t="s">
        <v>81</v>
      </c>
      <c r="V3626" s="18">
        <f>628123529685</f>
        <v>628123529685</v>
      </c>
    </row>
    <row r="3627" ht="15" customHeight="1" spans="1:22" x14ac:dyDescent="0.25">
      <c r="A3627" s="17" t="s">
        <v>10631</v>
      </c>
      <c r="B3627" s="17" t="s">
        <v>70</v>
      </c>
      <c r="C3627" s="17" t="s">
        <v>71</v>
      </c>
      <c r="D3627" t="s">
        <v>10627</v>
      </c>
      <c r="F3627" t="s">
        <v>10632</v>
      </c>
      <c r="K3627" s="18">
        <f>628131469566</f>
        <v>628131469566</v>
      </c>
      <c r="N3627" s="17" t="s">
        <v>77</v>
      </c>
      <c r="V3627" s="18">
        <f>628131469566</f>
        <v>628131469566</v>
      </c>
    </row>
    <row r="3628" ht="15" customHeight="1" spans="1:22" x14ac:dyDescent="0.25">
      <c r="A3628" s="17" t="s">
        <v>10633</v>
      </c>
      <c r="B3628" s="17" t="s">
        <v>70</v>
      </c>
      <c r="C3628" s="17" t="s">
        <v>71</v>
      </c>
      <c r="D3628" t="s">
        <v>10627</v>
      </c>
      <c r="F3628" t="s">
        <v>301</v>
      </c>
      <c r="K3628" s="18">
        <f>62818112323</f>
        <v>62818112323</v>
      </c>
      <c r="N3628" s="17" t="s">
        <v>81</v>
      </c>
      <c r="V3628" s="18">
        <f>62818112323</f>
        <v>62818112323</v>
      </c>
    </row>
    <row r="3629" ht="15" customHeight="1" spans="1:27" x14ac:dyDescent="0.25">
      <c r="A3629" s="17" t="s">
        <v>10634</v>
      </c>
      <c r="B3629" s="17" t="s">
        <v>70</v>
      </c>
      <c r="C3629" s="17" t="s">
        <v>71</v>
      </c>
      <c r="D3629" t="s">
        <v>10627</v>
      </c>
      <c r="F3629" t="s">
        <v>3585</v>
      </c>
      <c r="K3629" s="18">
        <f>62811283990</f>
        <v>62811283990</v>
      </c>
      <c r="N3629" s="17" t="s">
        <v>77</v>
      </c>
      <c r="U3629" s="17"/>
      <c r="V3629" s="18">
        <f>62811283990</f>
        <v>62811283990</v>
      </c>
      <c r="W3629" t="s">
        <v>10635</v>
      </c>
      <c r="AA3629" s="17">
        <v>55231</v>
      </c>
    </row>
    <row r="3630" ht="15" customHeight="1" spans="1:23" x14ac:dyDescent="0.25">
      <c r="A3630" s="17" t="s">
        <v>10636</v>
      </c>
      <c r="B3630" s="17" t="s">
        <v>70</v>
      </c>
      <c r="C3630" s="17" t="s">
        <v>71</v>
      </c>
      <c r="D3630" t="s">
        <v>10627</v>
      </c>
      <c r="F3630" t="s">
        <v>10637</v>
      </c>
      <c r="K3630" s="18">
        <f>62811937032</f>
        <v>62811937032</v>
      </c>
      <c r="N3630" s="17" t="s">
        <v>77</v>
      </c>
      <c r="U3630" s="17"/>
      <c r="V3630" s="18">
        <f>62811937032</f>
        <v>62811937032</v>
      </c>
      <c r="W3630" t="s">
        <v>10638</v>
      </c>
    </row>
    <row r="3631" ht="15" customHeight="1" spans="1:27" x14ac:dyDescent="0.25">
      <c r="A3631" s="17" t="s">
        <v>10639</v>
      </c>
      <c r="B3631" s="17" t="s">
        <v>70</v>
      </c>
      <c r="C3631" s="17" t="s">
        <v>71</v>
      </c>
      <c r="D3631" t="s">
        <v>10640</v>
      </c>
      <c r="F3631" t="s">
        <v>10641</v>
      </c>
      <c r="K3631" s="18">
        <f>62215691032</f>
        <v>62215691032</v>
      </c>
      <c r="N3631" s="17" t="s">
        <v>77</v>
      </c>
      <c r="U3631" s="17"/>
      <c r="V3631" s="18">
        <f>62215691032</f>
        <v>62215691032</v>
      </c>
      <c r="W3631" t="s">
        <v>10642</v>
      </c>
      <c r="Y3631" s="17" t="s">
        <v>90</v>
      </c>
      <c r="AA3631" s="17" t="s">
        <v>10643</v>
      </c>
    </row>
    <row r="3632" ht="15" customHeight="1" spans="1:28" x14ac:dyDescent="0.25">
      <c r="A3632" s="17" t="s">
        <v>10644</v>
      </c>
      <c r="B3632" s="17" t="s">
        <v>70</v>
      </c>
      <c r="C3632" s="17" t="s">
        <v>71</v>
      </c>
      <c r="D3632" t="s">
        <v>10645</v>
      </c>
      <c r="F3632" t="s">
        <v>10646</v>
      </c>
      <c r="J3632" t="s">
        <v>115</v>
      </c>
      <c r="K3632" s="18" t="s">
        <v>10647</v>
      </c>
      <c r="N3632" s="17" t="s">
        <v>81</v>
      </c>
      <c r="O3632" t="s">
        <v>489</v>
      </c>
      <c r="V3632" s="18" t="s">
        <v>10647</v>
      </c>
      <c r="Y3632" t="s">
        <v>90</v>
      </c>
      <c r="AA3632" t="s">
        <v>118</v>
      </c>
      <c r="AB3632" t="s">
        <v>119</v>
      </c>
    </row>
    <row r="3633" ht="15" customHeight="1" spans="1:28" x14ac:dyDescent="0.25">
      <c r="A3633" s="17" t="s">
        <v>10648</v>
      </c>
      <c r="B3633" s="17" t="s">
        <v>70</v>
      </c>
      <c r="C3633" s="17" t="s">
        <v>71</v>
      </c>
      <c r="D3633" t="s">
        <v>10649</v>
      </c>
      <c r="F3633" t="s">
        <v>8685</v>
      </c>
      <c r="J3633" t="s">
        <v>115</v>
      </c>
      <c r="K3633" s="18" t="s">
        <v>10650</v>
      </c>
      <c r="N3633" s="17" t="s">
        <v>74</v>
      </c>
      <c r="O3633" t="s">
        <v>261</v>
      </c>
      <c r="U3633" s="17"/>
      <c r="V3633" s="18" t="s">
        <v>10650</v>
      </c>
      <c r="W3633" t="s">
        <v>10651</v>
      </c>
      <c r="Y3633" s="17" t="s">
        <v>378</v>
      </c>
      <c r="AA3633" t="s">
        <v>118</v>
      </c>
      <c r="AB3633" t="s">
        <v>119</v>
      </c>
    </row>
    <row r="3634" ht="15" customHeight="1" spans="1:23" x14ac:dyDescent="0.25">
      <c r="A3634" s="17" t="s">
        <v>10652</v>
      </c>
      <c r="B3634" s="17" t="s">
        <v>70</v>
      </c>
      <c r="C3634" s="17" t="s">
        <v>71</v>
      </c>
      <c r="D3634" t="s">
        <v>10653</v>
      </c>
      <c r="F3634" t="s">
        <v>10654</v>
      </c>
      <c r="J3634" s="17" t="s">
        <v>10655</v>
      </c>
      <c r="K3634" s="18">
        <f>628113456633</f>
        <v>628113456633</v>
      </c>
      <c r="N3634" s="17" t="s">
        <v>74</v>
      </c>
      <c r="U3634" s="17"/>
      <c r="V3634" s="18">
        <f>628113456633</f>
        <v>628113456633</v>
      </c>
      <c r="W3634" t="s">
        <v>10656</v>
      </c>
    </row>
    <row r="3635" ht="15" customHeight="1" spans="1:28" x14ac:dyDescent="0.25">
      <c r="A3635" s="17" t="s">
        <v>10657</v>
      </c>
      <c r="B3635" s="17" t="s">
        <v>70</v>
      </c>
      <c r="C3635" s="17" t="s">
        <v>71</v>
      </c>
      <c r="D3635" t="s">
        <v>10658</v>
      </c>
      <c r="F3635" t="s">
        <v>10659</v>
      </c>
      <c r="J3635" t="s">
        <v>115</v>
      </c>
      <c r="K3635" s="18" t="s">
        <v>10660</v>
      </c>
      <c r="N3635" s="17" t="s">
        <v>77</v>
      </c>
      <c r="O3635" t="s">
        <v>261</v>
      </c>
      <c r="U3635" s="17"/>
      <c r="V3635" s="18" t="s">
        <v>10660</v>
      </c>
      <c r="W3635" t="s">
        <v>10661</v>
      </c>
      <c r="Y3635" s="17" t="s">
        <v>90</v>
      </c>
      <c r="AA3635" s="17" t="s">
        <v>118</v>
      </c>
      <c r="AB3635" t="s">
        <v>119</v>
      </c>
    </row>
    <row r="3636" ht="15" customHeight="1" spans="1:27" x14ac:dyDescent="0.25">
      <c r="A3636" s="17" t="s">
        <v>10662</v>
      </c>
      <c r="B3636" s="17" t="s">
        <v>70</v>
      </c>
      <c r="C3636" s="17" t="s">
        <v>71</v>
      </c>
      <c r="D3636" t="s">
        <v>10663</v>
      </c>
      <c r="F3636" t="s">
        <v>10664</v>
      </c>
      <c r="K3636" s="18">
        <f>62811872288</f>
        <v>62811872288</v>
      </c>
      <c r="N3636" s="17" t="s">
        <v>77</v>
      </c>
      <c r="U3636" s="17"/>
      <c r="V3636" s="18">
        <f>62811872288</f>
        <v>62811872288</v>
      </c>
      <c r="W3636" t="s">
        <v>10665</v>
      </c>
      <c r="Y3636" s="17" t="s">
        <v>1084</v>
      </c>
      <c r="AA3636" s="17" t="s">
        <v>10666</v>
      </c>
    </row>
    <row r="3637" ht="15" customHeight="1" spans="1:22" x14ac:dyDescent="0.25">
      <c r="A3637" s="17" t="s">
        <v>10667</v>
      </c>
      <c r="B3637" s="17" t="s">
        <v>70</v>
      </c>
      <c r="C3637" s="17" t="s">
        <v>71</v>
      </c>
      <c r="D3637" t="s">
        <v>10668</v>
      </c>
      <c r="F3637" t="s">
        <v>10669</v>
      </c>
      <c r="K3637" s="18">
        <f>62816940019</f>
        <v>62816940019</v>
      </c>
      <c r="N3637" s="17" t="s">
        <v>74</v>
      </c>
      <c r="V3637" s="18">
        <f>62816940019</f>
        <v>62816940019</v>
      </c>
    </row>
    <row r="3638" ht="15" customHeight="1" spans="1:22" x14ac:dyDescent="0.25">
      <c r="A3638" s="17" t="s">
        <v>10670</v>
      </c>
      <c r="B3638" s="17" t="s">
        <v>70</v>
      </c>
      <c r="C3638" s="17" t="s">
        <v>71</v>
      </c>
      <c r="D3638" t="s">
        <v>10671</v>
      </c>
      <c r="F3638" t="s">
        <v>10671</v>
      </c>
      <c r="K3638" s="18">
        <f>6281347397858</f>
        <v>6281347397858</v>
      </c>
      <c r="N3638" s="17" t="s">
        <v>81</v>
      </c>
      <c r="V3638" s="18">
        <f>6281347397858</f>
        <v>6281347397858</v>
      </c>
    </row>
    <row r="3639" ht="15" customHeight="1" spans="1:22" x14ac:dyDescent="0.25">
      <c r="A3639" s="17" t="s">
        <v>10672</v>
      </c>
      <c r="B3639" s="17" t="s">
        <v>70</v>
      </c>
      <c r="C3639" s="17" t="s">
        <v>71</v>
      </c>
      <c r="D3639" t="s">
        <v>10673</v>
      </c>
      <c r="F3639" t="s">
        <v>10674</v>
      </c>
      <c r="K3639" s="18">
        <f>628118207224</f>
        <v>628118207224</v>
      </c>
      <c r="N3639" s="17" t="s">
        <v>77</v>
      </c>
      <c r="V3639" s="18">
        <f>628118207224</f>
        <v>628118207224</v>
      </c>
    </row>
    <row r="3640" ht="15" customHeight="1" spans="1:28" x14ac:dyDescent="0.25">
      <c r="A3640" s="17" t="s">
        <v>10675</v>
      </c>
      <c r="B3640" s="17" t="s">
        <v>70</v>
      </c>
      <c r="C3640" s="17" t="s">
        <v>71</v>
      </c>
      <c r="D3640" t="s">
        <v>10676</v>
      </c>
      <c r="F3640" t="s">
        <v>10677</v>
      </c>
      <c r="J3640" s="17" t="s">
        <v>10678</v>
      </c>
      <c r="K3640" s="18" t="s">
        <v>10679</v>
      </c>
      <c r="N3640" s="17" t="s">
        <v>77</v>
      </c>
      <c r="O3640" t="s">
        <v>261</v>
      </c>
      <c r="U3640" s="17"/>
      <c r="V3640" s="18" t="s">
        <v>10679</v>
      </c>
      <c r="W3640" t="s">
        <v>250</v>
      </c>
      <c r="Y3640" t="s">
        <v>250</v>
      </c>
      <c r="AA3640" t="s">
        <v>115</v>
      </c>
      <c r="AB3640" t="s">
        <v>119</v>
      </c>
    </row>
    <row r="3641" ht="15" customHeight="1" spans="1:28" x14ac:dyDescent="0.25">
      <c r="A3641" s="17" t="s">
        <v>10680</v>
      </c>
      <c r="B3641" s="17" t="s">
        <v>70</v>
      </c>
      <c r="C3641" s="17" t="s">
        <v>71</v>
      </c>
      <c r="D3641" t="s">
        <v>10681</v>
      </c>
      <c r="F3641" t="s">
        <v>10682</v>
      </c>
      <c r="J3641" s="17" t="s">
        <v>10683</v>
      </c>
      <c r="K3641" s="18" t="s">
        <v>10684</v>
      </c>
      <c r="N3641" s="17" t="s">
        <v>77</v>
      </c>
      <c r="O3641" t="s">
        <v>145</v>
      </c>
      <c r="U3641" s="17"/>
      <c r="V3641" s="18" t="s">
        <v>10684</v>
      </c>
      <c r="W3641" t="s">
        <v>10685</v>
      </c>
      <c r="Y3641" t="s">
        <v>190</v>
      </c>
      <c r="AA3641" t="s">
        <v>118</v>
      </c>
      <c r="AB3641" t="s">
        <v>2605</v>
      </c>
    </row>
    <row r="3642" ht="15" customHeight="1" spans="1:28" x14ac:dyDescent="0.25">
      <c r="A3642" s="17" t="s">
        <v>10686</v>
      </c>
      <c r="B3642" s="17" t="s">
        <v>70</v>
      </c>
      <c r="C3642" s="17" t="s">
        <v>71</v>
      </c>
      <c r="D3642" t="s">
        <v>10687</v>
      </c>
      <c r="F3642" t="s">
        <v>10688</v>
      </c>
      <c r="J3642" s="17" t="s">
        <v>10689</v>
      </c>
      <c r="K3642" s="18" t="s">
        <v>10690</v>
      </c>
      <c r="N3642" s="17" t="s">
        <v>77</v>
      </c>
      <c r="O3642" t="s">
        <v>489</v>
      </c>
      <c r="V3642" s="18" t="s">
        <v>10690</v>
      </c>
      <c r="Y3642" s="17" t="s">
        <v>10691</v>
      </c>
      <c r="AA3642" t="s">
        <v>115</v>
      </c>
      <c r="AB3642" t="s">
        <v>10691</v>
      </c>
    </row>
    <row r="3643" ht="15" customHeight="1" spans="1:28" x14ac:dyDescent="0.25">
      <c r="A3643" s="17" t="s">
        <v>10692</v>
      </c>
      <c r="B3643" s="17" t="s">
        <v>70</v>
      </c>
      <c r="C3643" s="17" t="s">
        <v>71</v>
      </c>
      <c r="D3643" t="s">
        <v>10693</v>
      </c>
      <c r="F3643" t="s">
        <v>10694</v>
      </c>
      <c r="J3643" s="17" t="s">
        <v>10695</v>
      </c>
      <c r="K3643" s="18" t="s">
        <v>10696</v>
      </c>
      <c r="N3643" s="17" t="s">
        <v>77</v>
      </c>
      <c r="O3643" t="s">
        <v>145</v>
      </c>
      <c r="U3643" s="17"/>
      <c r="V3643" s="18" t="s">
        <v>10696</v>
      </c>
      <c r="W3643" t="s">
        <v>2251</v>
      </c>
      <c r="Y3643" t="s">
        <v>2251</v>
      </c>
      <c r="AA3643" t="s">
        <v>115</v>
      </c>
      <c r="AB3643" t="s">
        <v>119</v>
      </c>
    </row>
    <row r="3644" ht="15" customHeight="1" spans="1:23" x14ac:dyDescent="0.25">
      <c r="A3644" s="17" t="s">
        <v>10697</v>
      </c>
      <c r="B3644" s="17" t="s">
        <v>70</v>
      </c>
      <c r="C3644" s="17" t="s">
        <v>71</v>
      </c>
      <c r="D3644" t="s">
        <v>10698</v>
      </c>
      <c r="F3644" t="s">
        <v>10699</v>
      </c>
      <c r="J3644" s="17" t="s">
        <v>10700</v>
      </c>
      <c r="K3644" s="18">
        <f>610408785212</f>
        <v>610408785212</v>
      </c>
      <c r="N3644" s="17" t="s">
        <v>77</v>
      </c>
      <c r="U3644" s="17"/>
      <c r="V3644" s="18">
        <f>610408785212</f>
        <v>610408785212</v>
      </c>
      <c r="W3644" t="s">
        <v>1903</v>
      </c>
    </row>
    <row r="3645" ht="15" customHeight="1" spans="1:28" x14ac:dyDescent="0.25">
      <c r="A3645" s="17" t="s">
        <v>10701</v>
      </c>
      <c r="B3645" s="17" t="s">
        <v>70</v>
      </c>
      <c r="C3645" s="17" t="s">
        <v>71</v>
      </c>
      <c r="D3645" t="s">
        <v>10702</v>
      </c>
      <c r="F3645" t="s">
        <v>10703</v>
      </c>
      <c r="J3645" s="17" t="s">
        <v>10704</v>
      </c>
      <c r="K3645" s="18" t="s">
        <v>10705</v>
      </c>
      <c r="N3645" s="17" t="s">
        <v>77</v>
      </c>
      <c r="O3645" t="s">
        <v>199</v>
      </c>
      <c r="V3645" s="18" t="s">
        <v>10705</v>
      </c>
      <c r="Y3645" s="17" t="s">
        <v>1903</v>
      </c>
      <c r="AA3645" t="s">
        <v>115</v>
      </c>
      <c r="AB3645" t="s">
        <v>1903</v>
      </c>
    </row>
    <row r="3646" ht="15" customHeight="1" spans="1:23" x14ac:dyDescent="0.25">
      <c r="A3646" s="17" t="s">
        <v>10706</v>
      </c>
      <c r="B3646" s="17" t="s">
        <v>70</v>
      </c>
      <c r="C3646" s="17" t="s">
        <v>71</v>
      </c>
      <c r="D3646" t="s">
        <v>10703</v>
      </c>
      <c r="F3646" t="s">
        <v>10707</v>
      </c>
      <c r="K3646" s="18" t="s">
        <v>10708</v>
      </c>
      <c r="N3646" s="17" t="s">
        <v>77</v>
      </c>
      <c r="U3646" s="17"/>
      <c r="V3646" s="18" t="s">
        <v>10708</v>
      </c>
      <c r="W3646" t="s">
        <v>1903</v>
      </c>
    </row>
    <row r="3647" ht="15" customHeight="1" spans="1:28" x14ac:dyDescent="0.25">
      <c r="A3647" s="17" t="s">
        <v>10709</v>
      </c>
      <c r="B3647" s="17" t="s">
        <v>70</v>
      </c>
      <c r="C3647" s="17" t="s">
        <v>71</v>
      </c>
      <c r="D3647" t="s">
        <v>10710</v>
      </c>
      <c r="F3647" t="s">
        <v>10710</v>
      </c>
      <c r="J3647" t="s">
        <v>115</v>
      </c>
      <c r="K3647" s="18" t="s">
        <v>10711</v>
      </c>
      <c r="N3647" s="17" t="s">
        <v>74</v>
      </c>
      <c r="O3647" t="s">
        <v>117</v>
      </c>
      <c r="V3647" s="18" t="s">
        <v>10711</v>
      </c>
      <c r="Y3647" t="s">
        <v>190</v>
      </c>
      <c r="AA3647" t="s">
        <v>118</v>
      </c>
      <c r="AB3647" t="s">
        <v>119</v>
      </c>
    </row>
    <row r="3648" ht="15" customHeight="1" spans="1:22" x14ac:dyDescent="0.25">
      <c r="A3648" s="17" t="s">
        <v>10712</v>
      </c>
      <c r="B3648" s="17" t="s">
        <v>70</v>
      </c>
      <c r="C3648" s="17" t="s">
        <v>71</v>
      </c>
      <c r="D3648" t="s">
        <v>10710</v>
      </c>
      <c r="F3648" t="s">
        <v>2987</v>
      </c>
      <c r="K3648" s="18">
        <f>6281319707888</f>
        <v>6281319707888</v>
      </c>
      <c r="N3648" s="17" t="s">
        <v>77</v>
      </c>
      <c r="V3648" s="18">
        <f>6281319707888</f>
        <v>6281319707888</v>
      </c>
    </row>
    <row r="3649" ht="15" customHeight="1" spans="1:23" x14ac:dyDescent="0.25">
      <c r="A3649" s="17" t="s">
        <v>10713</v>
      </c>
      <c r="B3649" s="17" t="s">
        <v>70</v>
      </c>
      <c r="C3649" s="17" t="s">
        <v>71</v>
      </c>
      <c r="D3649" t="s">
        <v>10710</v>
      </c>
      <c r="F3649" t="s">
        <v>10714</v>
      </c>
      <c r="K3649" s="18">
        <f>6281382188813</f>
        <v>6281382188813</v>
      </c>
      <c r="N3649" s="17" t="s">
        <v>81</v>
      </c>
      <c r="U3649" s="17"/>
      <c r="V3649" s="18">
        <f>6281382188813</f>
        <v>6281382188813</v>
      </c>
      <c r="W3649" t="s">
        <v>10715</v>
      </c>
    </row>
    <row r="3650" ht="15" customHeight="1" spans="1:27" x14ac:dyDescent="0.25">
      <c r="A3650" s="17" t="s">
        <v>10716</v>
      </c>
      <c r="B3650" s="17" t="s">
        <v>70</v>
      </c>
      <c r="C3650" s="17" t="s">
        <v>71</v>
      </c>
      <c r="D3650" t="s">
        <v>10710</v>
      </c>
      <c r="F3650" t="s">
        <v>2932</v>
      </c>
      <c r="K3650" s="18" t="s">
        <v>10717</v>
      </c>
      <c r="N3650" s="17" t="s">
        <v>77</v>
      </c>
      <c r="U3650" s="17"/>
      <c r="V3650" s="18" t="s">
        <v>10717</v>
      </c>
      <c r="W3650" t="s">
        <v>10718</v>
      </c>
      <c r="Y3650" s="17" t="s">
        <v>96</v>
      </c>
      <c r="AA3650" s="17" t="s">
        <v>97</v>
      </c>
    </row>
    <row r="3651" ht="15" customHeight="1" spans="1:22" x14ac:dyDescent="0.25">
      <c r="A3651" s="17" t="s">
        <v>10719</v>
      </c>
      <c r="B3651" s="17" t="s">
        <v>70</v>
      </c>
      <c r="C3651" s="17" t="s">
        <v>71</v>
      </c>
      <c r="D3651" t="s">
        <v>10710</v>
      </c>
      <c r="F3651" t="s">
        <v>10720</v>
      </c>
      <c r="K3651" s="18">
        <f>6281357573990</f>
        <v>6281357573990</v>
      </c>
      <c r="N3651" s="17" t="s">
        <v>77</v>
      </c>
      <c r="V3651" s="18">
        <f>6281357573990</f>
        <v>6281357573990</v>
      </c>
    </row>
    <row r="3652" ht="15" customHeight="1" spans="1:27" x14ac:dyDescent="0.25">
      <c r="A3652" s="17" t="s">
        <v>10721</v>
      </c>
      <c r="B3652" s="17" t="s">
        <v>70</v>
      </c>
      <c r="C3652" s="17" t="s">
        <v>71</v>
      </c>
      <c r="D3652" t="s">
        <v>10710</v>
      </c>
      <c r="F3652" t="s">
        <v>10722</v>
      </c>
      <c r="K3652" s="18">
        <f>62811858992</f>
        <v>62811858992</v>
      </c>
      <c r="N3652" s="17" t="s">
        <v>74</v>
      </c>
      <c r="U3652" s="17"/>
      <c r="V3652" s="18">
        <f>62811858992</f>
        <v>62811858992</v>
      </c>
      <c r="W3652" t="s">
        <v>10723</v>
      </c>
      <c r="Y3652" s="17" t="s">
        <v>96</v>
      </c>
      <c r="AA3652" s="17" t="s">
        <v>10724</v>
      </c>
    </row>
    <row r="3653" ht="15" customHeight="1" spans="1:22" x14ac:dyDescent="0.25">
      <c r="A3653" s="17" t="s">
        <v>10725</v>
      </c>
      <c r="B3653" s="17" t="s">
        <v>70</v>
      </c>
      <c r="C3653" s="17" t="s">
        <v>71</v>
      </c>
      <c r="D3653" t="s">
        <v>10710</v>
      </c>
      <c r="F3653" t="s">
        <v>2280</v>
      </c>
      <c r="K3653" s="18">
        <f>628128418885</f>
        <v>628128418885</v>
      </c>
      <c r="N3653" s="17" t="s">
        <v>77</v>
      </c>
      <c r="V3653" s="18">
        <f>628128418885</f>
        <v>628128418885</v>
      </c>
    </row>
    <row r="3654" ht="15" customHeight="1" spans="1:22" x14ac:dyDescent="0.25">
      <c r="A3654" s="17" t="s">
        <v>10726</v>
      </c>
      <c r="B3654" s="17" t="s">
        <v>70</v>
      </c>
      <c r="C3654" s="17" t="s">
        <v>71</v>
      </c>
      <c r="D3654" t="s">
        <v>10727</v>
      </c>
      <c r="F3654" t="s">
        <v>10727</v>
      </c>
      <c r="K3654" s="18">
        <f>6287886731738</f>
        <v>6287886731738</v>
      </c>
      <c r="N3654" s="17" t="s">
        <v>77</v>
      </c>
      <c r="V3654" s="18">
        <f>6287886731738</f>
        <v>6287886731738</v>
      </c>
    </row>
    <row r="3655" ht="15" customHeight="1" spans="1:22" x14ac:dyDescent="0.25">
      <c r="A3655" s="17" t="s">
        <v>10728</v>
      </c>
      <c r="B3655" s="17" t="s">
        <v>70</v>
      </c>
      <c r="C3655" s="17" t="s">
        <v>71</v>
      </c>
      <c r="D3655" t="s">
        <v>10727</v>
      </c>
      <c r="F3655" t="s">
        <v>10727</v>
      </c>
      <c r="K3655" s="18">
        <f>628161927844</f>
        <v>628161927844</v>
      </c>
      <c r="N3655" s="17" t="s">
        <v>77</v>
      </c>
      <c r="V3655" s="18">
        <f>628161927844</f>
        <v>628161927844</v>
      </c>
    </row>
    <row r="3656" ht="15" customHeight="1" spans="1:25" x14ac:dyDescent="0.25">
      <c r="A3656" s="17" t="s">
        <v>10729</v>
      </c>
      <c r="B3656" s="17" t="s">
        <v>70</v>
      </c>
      <c r="C3656" s="17" t="s">
        <v>71</v>
      </c>
      <c r="D3656" t="s">
        <v>10727</v>
      </c>
      <c r="F3656" t="s">
        <v>4985</v>
      </c>
      <c r="K3656" s="18">
        <f>62811556670</f>
        <v>62811556670</v>
      </c>
      <c r="N3656" s="17" t="s">
        <v>81</v>
      </c>
      <c r="V3656" s="18">
        <f>62811556670</f>
        <v>62811556670</v>
      </c>
      <c r="Y3656" s="17" t="s">
        <v>622</v>
      </c>
    </row>
    <row r="3657" ht="15" customHeight="1" spans="1:22" x14ac:dyDescent="0.25">
      <c r="A3657" s="17" t="s">
        <v>10730</v>
      </c>
      <c r="B3657" s="17" t="s">
        <v>70</v>
      </c>
      <c r="C3657" s="17" t="s">
        <v>71</v>
      </c>
      <c r="D3657" t="s">
        <v>10731</v>
      </c>
      <c r="F3657" t="s">
        <v>10731</v>
      </c>
      <c r="K3657" s="18">
        <f>6282125103689</f>
        <v>6282125103689</v>
      </c>
      <c r="N3657" s="17" t="s">
        <v>77</v>
      </c>
      <c r="V3657" s="18">
        <f>6282125103689</f>
        <v>6282125103689</v>
      </c>
    </row>
    <row r="3658" ht="15" customHeight="1" spans="1:22" x14ac:dyDescent="0.25">
      <c r="A3658" s="17" t="s">
        <v>10732</v>
      </c>
      <c r="B3658" s="17" t="s">
        <v>70</v>
      </c>
      <c r="C3658" s="17" t="s">
        <v>71</v>
      </c>
      <c r="D3658" t="s">
        <v>10731</v>
      </c>
      <c r="F3658" t="s">
        <v>10733</v>
      </c>
      <c r="K3658" s="18">
        <f>628117170946</f>
        <v>628117170946</v>
      </c>
      <c r="N3658" s="17" t="s">
        <v>81</v>
      </c>
      <c r="V3658" s="18">
        <f>628117170946</f>
        <v>628117170946</v>
      </c>
    </row>
    <row r="3659" ht="15" customHeight="1" spans="1:22" x14ac:dyDescent="0.25">
      <c r="A3659" s="17" t="s">
        <v>10734</v>
      </c>
      <c r="B3659" s="17" t="s">
        <v>70</v>
      </c>
      <c r="C3659" s="17" t="s">
        <v>71</v>
      </c>
      <c r="D3659" t="s">
        <v>10731</v>
      </c>
      <c r="F3659" t="s">
        <v>10735</v>
      </c>
      <c r="K3659" s="18">
        <f>6281333302001</f>
        <v>6281333302001</v>
      </c>
      <c r="N3659" s="17" t="s">
        <v>77</v>
      </c>
      <c r="V3659" s="18">
        <f>6281333302001</f>
        <v>6281333302001</v>
      </c>
    </row>
    <row r="3660" ht="15" customHeight="1" spans="1:23" x14ac:dyDescent="0.25">
      <c r="A3660" s="17" t="s">
        <v>10736</v>
      </c>
      <c r="B3660" s="17" t="s">
        <v>70</v>
      </c>
      <c r="C3660" s="17" t="s">
        <v>71</v>
      </c>
      <c r="D3660" t="s">
        <v>10737</v>
      </c>
      <c r="F3660" t="s">
        <v>1711</v>
      </c>
      <c r="K3660" s="18">
        <f>447703632398</f>
        <v>447703632398</v>
      </c>
      <c r="N3660" s="17" t="s">
        <v>77</v>
      </c>
      <c r="U3660" s="17"/>
      <c r="V3660" s="18">
        <f>447703632398</f>
        <v>447703632398</v>
      </c>
      <c r="W3660" t="s">
        <v>148</v>
      </c>
    </row>
    <row r="3661" ht="15" customHeight="1" spans="1:22" x14ac:dyDescent="0.25">
      <c r="A3661" s="17" t="s">
        <v>10738</v>
      </c>
      <c r="B3661" s="17" t="s">
        <v>70</v>
      </c>
      <c r="C3661" s="17" t="s">
        <v>71</v>
      </c>
      <c r="D3661" t="s">
        <v>10739</v>
      </c>
      <c r="F3661" t="s">
        <v>10740</v>
      </c>
      <c r="K3661" s="18">
        <f>971503798300</f>
        <v>971503798300</v>
      </c>
      <c r="N3661" s="17" t="s">
        <v>77</v>
      </c>
      <c r="V3661" s="18">
        <f>971503798300</f>
        <v>971503798300</v>
      </c>
    </row>
    <row r="3662" ht="15" customHeight="1" spans="1:22" x14ac:dyDescent="0.25">
      <c r="A3662" s="17" t="s">
        <v>10741</v>
      </c>
      <c r="B3662" s="17" t="s">
        <v>70</v>
      </c>
      <c r="C3662" s="17" t="s">
        <v>71</v>
      </c>
      <c r="D3662" t="s">
        <v>10742</v>
      </c>
      <c r="F3662" t="s">
        <v>10742</v>
      </c>
      <c r="K3662" s="18">
        <f>628121901986</f>
        <v>628121901986</v>
      </c>
      <c r="N3662" s="17" t="s">
        <v>81</v>
      </c>
      <c r="V3662" s="18">
        <f>628121901986</f>
        <v>628121901986</v>
      </c>
    </row>
    <row r="3663" ht="15" customHeight="1" spans="1:28" x14ac:dyDescent="0.25">
      <c r="A3663" s="17" t="s">
        <v>10743</v>
      </c>
      <c r="B3663" s="17" t="s">
        <v>70</v>
      </c>
      <c r="C3663" s="17" t="s">
        <v>71</v>
      </c>
      <c r="D3663" t="s">
        <v>10744</v>
      </c>
      <c r="F3663" t="s">
        <v>1470</v>
      </c>
      <c r="J3663" t="s">
        <v>10745</v>
      </c>
      <c r="K3663" s="18" t="s">
        <v>10746</v>
      </c>
      <c r="N3663" s="17" t="s">
        <v>77</v>
      </c>
      <c r="O3663" t="s">
        <v>199</v>
      </c>
      <c r="V3663" s="18" t="s">
        <v>10746</v>
      </c>
      <c r="Y3663" t="s">
        <v>190</v>
      </c>
      <c r="AA3663" t="s">
        <v>118</v>
      </c>
      <c r="AB3663" t="s">
        <v>119</v>
      </c>
    </row>
    <row r="3664" ht="15" customHeight="1" spans="1:22" x14ac:dyDescent="0.25">
      <c r="A3664" s="17" t="s">
        <v>10747</v>
      </c>
      <c r="B3664" s="17" t="s">
        <v>70</v>
      </c>
      <c r="C3664" s="17" t="s">
        <v>71</v>
      </c>
      <c r="D3664" t="s">
        <v>10748</v>
      </c>
      <c r="F3664" t="s">
        <v>1704</v>
      </c>
      <c r="K3664" s="18">
        <f>62818131954</f>
        <v>62818131954</v>
      </c>
      <c r="N3664" s="17" t="s">
        <v>74</v>
      </c>
      <c r="V3664" s="18">
        <f>62818131954</f>
        <v>62818131954</v>
      </c>
    </row>
    <row r="3665" ht="15" customHeight="1" spans="1:22" x14ac:dyDescent="0.25">
      <c r="A3665" s="17" t="s">
        <v>10749</v>
      </c>
      <c r="B3665" s="17" t="s">
        <v>70</v>
      </c>
      <c r="C3665" s="17" t="s">
        <v>71</v>
      </c>
      <c r="D3665" t="s">
        <v>10750</v>
      </c>
      <c r="F3665" t="s">
        <v>10750</v>
      </c>
      <c r="K3665" s="18">
        <f>6285286886333</f>
        <v>6285286886333</v>
      </c>
      <c r="N3665" s="17" t="s">
        <v>81</v>
      </c>
      <c r="V3665" s="18">
        <f>6285286886333</f>
        <v>6285286886333</v>
      </c>
    </row>
    <row r="3666" ht="15" customHeight="1" spans="1:28" x14ac:dyDescent="0.25">
      <c r="A3666" s="17" t="s">
        <v>10751</v>
      </c>
      <c r="B3666" s="17" t="s">
        <v>70</v>
      </c>
      <c r="C3666" s="17" t="s">
        <v>71</v>
      </c>
      <c r="D3666" t="s">
        <v>10750</v>
      </c>
      <c r="F3666" t="s">
        <v>10752</v>
      </c>
      <c r="J3666" t="s">
        <v>115</v>
      </c>
      <c r="K3666" s="18" t="s">
        <v>10753</v>
      </c>
      <c r="N3666" s="17" t="s">
        <v>77</v>
      </c>
      <c r="O3666" t="s">
        <v>117</v>
      </c>
      <c r="V3666" s="18" t="s">
        <v>10753</v>
      </c>
      <c r="Y3666" t="s">
        <v>190</v>
      </c>
      <c r="AA3666" t="s">
        <v>118</v>
      </c>
      <c r="AB3666" t="s">
        <v>119</v>
      </c>
    </row>
    <row r="3667" ht="15" customHeight="1" spans="1:28" x14ac:dyDescent="0.25">
      <c r="A3667" s="17" t="s">
        <v>10754</v>
      </c>
      <c r="B3667" s="17" t="s">
        <v>70</v>
      </c>
      <c r="C3667" s="17" t="s">
        <v>71</v>
      </c>
      <c r="D3667" t="s">
        <v>10755</v>
      </c>
      <c r="F3667" t="s">
        <v>10756</v>
      </c>
      <c r="J3667" s="17" t="s">
        <v>10757</v>
      </c>
      <c r="K3667" s="18" t="s">
        <v>10758</v>
      </c>
      <c r="N3667" s="17" t="s">
        <v>77</v>
      </c>
      <c r="O3667" t="s">
        <v>145</v>
      </c>
      <c r="U3667" s="17"/>
      <c r="V3667" s="18" t="s">
        <v>10758</v>
      </c>
      <c r="W3667" t="s">
        <v>524</v>
      </c>
      <c r="Y3667" t="s">
        <v>115</v>
      </c>
      <c r="AA3667" t="s">
        <v>115</v>
      </c>
      <c r="AB3667" t="s">
        <v>524</v>
      </c>
    </row>
    <row r="3668" ht="15" customHeight="1" spans="1:27" x14ac:dyDescent="0.25">
      <c r="A3668" s="17" t="s">
        <v>10759</v>
      </c>
      <c r="B3668" s="17" t="s">
        <v>70</v>
      </c>
      <c r="C3668" s="17" t="s">
        <v>71</v>
      </c>
      <c r="D3668" t="s">
        <v>10760</v>
      </c>
      <c r="F3668" t="s">
        <v>10761</v>
      </c>
      <c r="K3668" s="18">
        <v>79192625</v>
      </c>
      <c r="N3668" s="17" t="s">
        <v>77</v>
      </c>
      <c r="U3668" s="17"/>
      <c r="V3668" s="18">
        <v>79192625</v>
      </c>
      <c r="W3668" t="s">
        <v>10762</v>
      </c>
      <c r="Y3668" s="17" t="s">
        <v>96</v>
      </c>
      <c r="AA3668" s="17" t="s">
        <v>10763</v>
      </c>
    </row>
    <row r="3669" ht="15" customHeight="1" spans="1:22" x14ac:dyDescent="0.25">
      <c r="A3669" s="17" t="s">
        <v>10764</v>
      </c>
      <c r="B3669" s="17" t="s">
        <v>70</v>
      </c>
      <c r="C3669" s="17" t="s">
        <v>71</v>
      </c>
      <c r="D3669" t="s">
        <v>10765</v>
      </c>
      <c r="F3669" t="s">
        <v>282</v>
      </c>
      <c r="K3669" s="18">
        <f>62811900939</f>
        <v>62811900939</v>
      </c>
      <c r="N3669" s="17" t="s">
        <v>81</v>
      </c>
      <c r="V3669" s="18">
        <f>62811900939</f>
        <v>62811900939</v>
      </c>
    </row>
    <row r="3670" ht="15" customHeight="1" spans="1:25" x14ac:dyDescent="0.25">
      <c r="A3670" s="17" t="s">
        <v>10766</v>
      </c>
      <c r="B3670" s="17" t="s">
        <v>70</v>
      </c>
      <c r="C3670" s="17" t="s">
        <v>71</v>
      </c>
      <c r="D3670" t="s">
        <v>10767</v>
      </c>
      <c r="F3670" t="s">
        <v>10768</v>
      </c>
      <c r="J3670" s="17" t="s">
        <v>10769</v>
      </c>
      <c r="K3670" s="18">
        <f>628111101333</f>
        <v>628111101333</v>
      </c>
      <c r="N3670" s="17" t="s">
        <v>77</v>
      </c>
      <c r="U3670" s="17"/>
      <c r="V3670" s="18">
        <f>628111101333</f>
        <v>628111101333</v>
      </c>
      <c r="W3670" t="s">
        <v>10770</v>
      </c>
      <c r="Y3670" s="17" t="s">
        <v>622</v>
      </c>
    </row>
    <row r="3671" ht="15" customHeight="1" spans="1:22" x14ac:dyDescent="0.25">
      <c r="A3671" s="17" t="s">
        <v>10771</v>
      </c>
      <c r="B3671" s="17" t="s">
        <v>70</v>
      </c>
      <c r="C3671" s="17" t="s">
        <v>71</v>
      </c>
      <c r="D3671" t="s">
        <v>10767</v>
      </c>
      <c r="F3671" t="s">
        <v>8630</v>
      </c>
      <c r="K3671" s="18">
        <f>62811822161</f>
        <v>62811822161</v>
      </c>
      <c r="N3671" s="17" t="s">
        <v>77</v>
      </c>
      <c r="V3671" s="18">
        <f>62811822161</f>
        <v>62811822161</v>
      </c>
    </row>
    <row r="3672" ht="15" customHeight="1" spans="1:22" x14ac:dyDescent="0.25">
      <c r="A3672" s="17" t="s">
        <v>10772</v>
      </c>
      <c r="B3672" s="17" t="s">
        <v>70</v>
      </c>
      <c r="C3672" s="17" t="s">
        <v>71</v>
      </c>
      <c r="D3672" t="s">
        <v>10767</v>
      </c>
      <c r="F3672" t="s">
        <v>301</v>
      </c>
      <c r="K3672" s="18">
        <f>6281280890078</f>
        <v>6281280890078</v>
      </c>
      <c r="N3672" s="17" t="s">
        <v>77</v>
      </c>
      <c r="V3672" s="18">
        <f>6281280890078</f>
        <v>6281280890078</v>
      </c>
    </row>
    <row r="3673" ht="15" customHeight="1" spans="1:23" x14ac:dyDescent="0.25">
      <c r="A3673" s="17" t="s">
        <v>10773</v>
      </c>
      <c r="B3673" s="17" t="s">
        <v>70</v>
      </c>
      <c r="C3673" s="17" t="s">
        <v>71</v>
      </c>
      <c r="D3673" t="s">
        <v>10774</v>
      </c>
      <c r="F3673" t="s">
        <v>2004</v>
      </c>
      <c r="K3673" s="18">
        <f>6281585294888</f>
        <v>6281585294888</v>
      </c>
      <c r="N3673" s="17" t="s">
        <v>77</v>
      </c>
      <c r="U3673" s="17"/>
      <c r="V3673" s="18">
        <f>6281585294888</f>
        <v>6281585294888</v>
      </c>
      <c r="W3673" t="s">
        <v>10775</v>
      </c>
    </row>
    <row r="3674" ht="15" customHeight="1" spans="1:25" x14ac:dyDescent="0.25">
      <c r="A3674" s="17" t="s">
        <v>10776</v>
      </c>
      <c r="B3674" s="17" t="s">
        <v>70</v>
      </c>
      <c r="C3674" s="17" t="s">
        <v>71</v>
      </c>
      <c r="D3674" t="s">
        <v>10777</v>
      </c>
      <c r="F3674" t="s">
        <v>10777</v>
      </c>
      <c r="K3674" s="18">
        <f>628159102011</f>
        <v>628159102011</v>
      </c>
      <c r="N3674" s="17" t="s">
        <v>77</v>
      </c>
      <c r="U3674" s="17"/>
      <c r="V3674" s="18">
        <f>628159102011</f>
        <v>628159102011</v>
      </c>
      <c r="W3674" t="s">
        <v>10778</v>
      </c>
      <c r="Y3674" s="17" t="s">
        <v>626</v>
      </c>
    </row>
    <row r="3675" ht="15" customHeight="1" spans="1:22" x14ac:dyDescent="0.25">
      <c r="A3675" s="17" t="s">
        <v>10779</v>
      </c>
      <c r="B3675" s="17" t="s">
        <v>70</v>
      </c>
      <c r="C3675" s="17" t="s">
        <v>71</v>
      </c>
      <c r="D3675" t="s">
        <v>10780</v>
      </c>
      <c r="F3675" t="s">
        <v>10781</v>
      </c>
      <c r="J3675" s="17" t="s">
        <v>10782</v>
      </c>
      <c r="K3675" s="18">
        <f>6281310943152</f>
        <v>6281310943152</v>
      </c>
      <c r="N3675" s="17" t="s">
        <v>81</v>
      </c>
      <c r="V3675" s="18">
        <f>6281310943152</f>
        <v>6281310943152</v>
      </c>
    </row>
    <row r="3676" ht="15" customHeight="1" spans="1:28" x14ac:dyDescent="0.25">
      <c r="A3676" s="17" t="s">
        <v>10783</v>
      </c>
      <c r="B3676" s="17" t="s">
        <v>70</v>
      </c>
      <c r="C3676" s="17" t="s">
        <v>71</v>
      </c>
      <c r="D3676" t="s">
        <v>10784</v>
      </c>
      <c r="F3676" t="s">
        <v>10785</v>
      </c>
      <c r="J3676" t="s">
        <v>115</v>
      </c>
      <c r="K3676" s="18" t="s">
        <v>10786</v>
      </c>
      <c r="N3676" s="17" t="s">
        <v>77</v>
      </c>
      <c r="O3676" t="s">
        <v>489</v>
      </c>
      <c r="V3676" s="18" t="s">
        <v>10786</v>
      </c>
      <c r="Y3676" t="s">
        <v>3140</v>
      </c>
      <c r="AA3676" t="s">
        <v>115</v>
      </c>
      <c r="AB3676" t="s">
        <v>3140</v>
      </c>
    </row>
    <row r="3677" ht="15" customHeight="1" spans="1:22" x14ac:dyDescent="0.25">
      <c r="A3677" s="17" t="s">
        <v>10787</v>
      </c>
      <c r="B3677" s="17" t="s">
        <v>70</v>
      </c>
      <c r="C3677" s="17" t="s">
        <v>71</v>
      </c>
      <c r="D3677" t="s">
        <v>10784</v>
      </c>
      <c r="F3677" t="s">
        <v>10788</v>
      </c>
      <c r="K3677" s="18">
        <v>13332276666</v>
      </c>
      <c r="N3677" s="17" t="s">
        <v>77</v>
      </c>
      <c r="V3677" s="18">
        <v>13332276666</v>
      </c>
    </row>
    <row r="3678" ht="15" customHeight="1" spans="1:28" x14ac:dyDescent="0.25">
      <c r="A3678" s="17" t="s">
        <v>10789</v>
      </c>
      <c r="B3678" s="17" t="s">
        <v>70</v>
      </c>
      <c r="C3678" s="17" t="s">
        <v>71</v>
      </c>
      <c r="D3678" t="s">
        <v>10790</v>
      </c>
      <c r="F3678" t="s">
        <v>10791</v>
      </c>
      <c r="J3678" t="s">
        <v>10792</v>
      </c>
      <c r="K3678" s="18" t="s">
        <v>10793</v>
      </c>
      <c r="N3678" s="17" t="s">
        <v>77</v>
      </c>
      <c r="O3678" t="s">
        <v>145</v>
      </c>
      <c r="U3678" s="17"/>
      <c r="V3678" s="18" t="s">
        <v>10793</v>
      </c>
      <c r="W3678" t="s">
        <v>7614</v>
      </c>
      <c r="Y3678" t="s">
        <v>7939</v>
      </c>
      <c r="AA3678" t="s">
        <v>115</v>
      </c>
      <c r="AB3678" t="s">
        <v>119</v>
      </c>
    </row>
    <row r="3679" ht="15" customHeight="1" spans="1:28" x14ac:dyDescent="0.25">
      <c r="A3679" s="17" t="s">
        <v>10794</v>
      </c>
      <c r="B3679" s="17" t="s">
        <v>70</v>
      </c>
      <c r="C3679" s="17" t="s">
        <v>71</v>
      </c>
      <c r="D3679" t="s">
        <v>10784</v>
      </c>
      <c r="F3679" t="s">
        <v>10795</v>
      </c>
      <c r="J3679" t="s">
        <v>115</v>
      </c>
      <c r="K3679" s="18" t="s">
        <v>10796</v>
      </c>
      <c r="N3679" s="17" t="s">
        <v>81</v>
      </c>
      <c r="O3679" t="s">
        <v>261</v>
      </c>
      <c r="V3679" s="18" t="s">
        <v>10796</v>
      </c>
      <c r="Y3679" t="s">
        <v>90</v>
      </c>
      <c r="AA3679" t="s">
        <v>118</v>
      </c>
      <c r="AB3679" t="s">
        <v>119</v>
      </c>
    </row>
    <row r="3680" ht="15" customHeight="1" spans="1:22" x14ac:dyDescent="0.25">
      <c r="A3680" s="17" t="s">
        <v>10797</v>
      </c>
      <c r="B3680" s="17" t="s">
        <v>70</v>
      </c>
      <c r="C3680" s="17" t="s">
        <v>71</v>
      </c>
      <c r="D3680" t="s">
        <v>10784</v>
      </c>
      <c r="F3680" t="s">
        <v>10791</v>
      </c>
      <c r="K3680" s="18">
        <f>6281325854197</f>
        <v>6281325854197</v>
      </c>
      <c r="N3680" s="17" t="s">
        <v>77</v>
      </c>
      <c r="V3680" s="18">
        <f>6281325854197</f>
        <v>6281325854197</v>
      </c>
    </row>
    <row r="3681" ht="15" customHeight="1" spans="1:22" x14ac:dyDescent="0.25">
      <c r="A3681" s="17" t="s">
        <v>10798</v>
      </c>
      <c r="B3681" s="17" t="s">
        <v>70</v>
      </c>
      <c r="C3681" s="17" t="s">
        <v>71</v>
      </c>
      <c r="D3681" t="s">
        <v>10784</v>
      </c>
      <c r="F3681" t="s">
        <v>10799</v>
      </c>
      <c r="K3681" s="18">
        <f>6281387865050</f>
        <v>6281387865050</v>
      </c>
      <c r="N3681" s="17" t="s">
        <v>81</v>
      </c>
      <c r="V3681" s="18">
        <f>6281387865050</f>
        <v>6281387865050</v>
      </c>
    </row>
    <row r="3682" ht="15" customHeight="1" spans="1:22" x14ac:dyDescent="0.25">
      <c r="A3682" s="17" t="s">
        <v>10800</v>
      </c>
      <c r="B3682" s="17" t="s">
        <v>70</v>
      </c>
      <c r="C3682" s="17" t="s">
        <v>71</v>
      </c>
      <c r="D3682" t="s">
        <v>10784</v>
      </c>
      <c r="F3682" t="s">
        <v>10801</v>
      </c>
      <c r="K3682" s="18">
        <f>62811518341</f>
        <v>62811518341</v>
      </c>
      <c r="N3682" s="17" t="s">
        <v>74</v>
      </c>
      <c r="V3682" s="18">
        <f>62811518341</f>
        <v>62811518341</v>
      </c>
    </row>
    <row r="3683" ht="15" customHeight="1" spans="1:23" x14ac:dyDescent="0.25">
      <c r="A3683" s="17" t="s">
        <v>10802</v>
      </c>
      <c r="B3683" s="17" t="s">
        <v>70</v>
      </c>
      <c r="C3683" s="17" t="s">
        <v>71</v>
      </c>
      <c r="D3683" t="s">
        <v>10803</v>
      </c>
      <c r="F3683" t="s">
        <v>3866</v>
      </c>
      <c r="K3683" s="18">
        <f>85298685377</f>
        <v>85298685377</v>
      </c>
      <c r="N3683" s="17" t="s">
        <v>77</v>
      </c>
      <c r="U3683" s="17"/>
      <c r="V3683" s="18">
        <f>85298685377</f>
        <v>85298685377</v>
      </c>
      <c r="W3683" t="s">
        <v>10804</v>
      </c>
    </row>
    <row r="3684" ht="15" customHeight="1" spans="1:28" x14ac:dyDescent="0.25">
      <c r="A3684" s="17" t="s">
        <v>10805</v>
      </c>
      <c r="B3684" s="17" t="s">
        <v>70</v>
      </c>
      <c r="C3684" s="17" t="s">
        <v>71</v>
      </c>
      <c r="D3684" t="s">
        <v>10806</v>
      </c>
      <c r="F3684" t="s">
        <v>10791</v>
      </c>
      <c r="J3684" t="s">
        <v>115</v>
      </c>
      <c r="K3684" s="18" t="s">
        <v>10807</v>
      </c>
      <c r="N3684" s="17" t="s">
        <v>81</v>
      </c>
      <c r="O3684" t="s">
        <v>117</v>
      </c>
      <c r="V3684" s="18" t="s">
        <v>10807</v>
      </c>
      <c r="Y3684" t="s">
        <v>190</v>
      </c>
      <c r="AA3684" t="s">
        <v>118</v>
      </c>
      <c r="AB3684" t="s">
        <v>119</v>
      </c>
    </row>
    <row r="3685" ht="15" customHeight="1" spans="1:28" x14ac:dyDescent="0.25">
      <c r="A3685" s="17" t="s">
        <v>10808</v>
      </c>
      <c r="B3685" s="17" t="s">
        <v>70</v>
      </c>
      <c r="C3685" s="17" t="s">
        <v>71</v>
      </c>
      <c r="D3685" t="s">
        <v>10809</v>
      </c>
      <c r="F3685" t="s">
        <v>10788</v>
      </c>
      <c r="J3685" s="17" t="s">
        <v>10810</v>
      </c>
      <c r="K3685" s="18" t="s">
        <v>10811</v>
      </c>
      <c r="N3685" s="17" t="s">
        <v>77</v>
      </c>
      <c r="O3685" t="s">
        <v>199</v>
      </c>
      <c r="V3685" s="18" t="s">
        <v>10811</v>
      </c>
      <c r="Y3685" t="s">
        <v>115</v>
      </c>
      <c r="AA3685" t="s">
        <v>115</v>
      </c>
      <c r="AB3685" t="s">
        <v>3140</v>
      </c>
    </row>
    <row r="3686" ht="15" customHeight="1" spans="1:22" x14ac:dyDescent="0.25">
      <c r="A3686" s="17" t="s">
        <v>10812</v>
      </c>
      <c r="B3686" s="17" t="s">
        <v>70</v>
      </c>
      <c r="C3686" s="17" t="s">
        <v>71</v>
      </c>
      <c r="D3686" t="s">
        <v>10813</v>
      </c>
      <c r="F3686" t="s">
        <v>10813</v>
      </c>
      <c r="K3686" s="18">
        <f>628999999654</f>
        <v>628999999654</v>
      </c>
      <c r="N3686" s="17" t="s">
        <v>77</v>
      </c>
      <c r="V3686" s="18">
        <f>628999999654</f>
        <v>628999999654</v>
      </c>
    </row>
    <row r="3687" ht="15" customHeight="1" spans="1:23" x14ac:dyDescent="0.25">
      <c r="A3687" s="17" t="s">
        <v>10814</v>
      </c>
      <c r="B3687" s="17" t="s">
        <v>70</v>
      </c>
      <c r="C3687" s="17" t="s">
        <v>71</v>
      </c>
      <c r="D3687" t="s">
        <v>10813</v>
      </c>
      <c r="F3687" t="s">
        <v>3002</v>
      </c>
      <c r="K3687" s="18">
        <f>628111678189</f>
        <v>628111678189</v>
      </c>
      <c r="N3687" s="17" t="s">
        <v>77</v>
      </c>
      <c r="U3687" s="17"/>
      <c r="V3687" s="18">
        <f>628111678189</f>
        <v>628111678189</v>
      </c>
      <c r="W3687" t="s">
        <v>10815</v>
      </c>
    </row>
    <row r="3688" ht="15" customHeight="1" spans="1:23" x14ac:dyDescent="0.25">
      <c r="A3688" s="17" t="s">
        <v>10816</v>
      </c>
      <c r="B3688" s="17" t="s">
        <v>70</v>
      </c>
      <c r="C3688" s="17" t="s">
        <v>71</v>
      </c>
      <c r="D3688" t="s">
        <v>10813</v>
      </c>
      <c r="F3688" t="s">
        <v>3002</v>
      </c>
      <c r="K3688" s="18">
        <f>628111898967</f>
        <v>628111898967</v>
      </c>
      <c r="N3688" s="17" t="s">
        <v>81</v>
      </c>
      <c r="U3688" s="17"/>
      <c r="V3688" s="18">
        <f>628111898967</f>
        <v>628111898967</v>
      </c>
      <c r="W3688" t="s">
        <v>10817</v>
      </c>
    </row>
    <row r="3689" ht="15" customHeight="1" spans="1:22" x14ac:dyDescent="0.25">
      <c r="A3689" s="17" t="s">
        <v>10818</v>
      </c>
      <c r="B3689" s="17" t="s">
        <v>70</v>
      </c>
      <c r="C3689" s="17" t="s">
        <v>71</v>
      </c>
      <c r="D3689" t="s">
        <v>10813</v>
      </c>
      <c r="F3689" t="s">
        <v>10819</v>
      </c>
      <c r="K3689" s="18">
        <f>6282125277600</f>
        <v>6282125277600</v>
      </c>
      <c r="N3689" s="17" t="s">
        <v>77</v>
      </c>
      <c r="V3689" s="18">
        <f>6282125277600</f>
        <v>6282125277600</v>
      </c>
    </row>
    <row r="3690" ht="15" customHeight="1" spans="1:28" x14ac:dyDescent="0.25">
      <c r="A3690" s="17" t="s">
        <v>10820</v>
      </c>
      <c r="B3690" s="17" t="s">
        <v>70</v>
      </c>
      <c r="C3690" s="17" t="s">
        <v>71</v>
      </c>
      <c r="D3690" t="s">
        <v>10821</v>
      </c>
      <c r="F3690" t="s">
        <v>10822</v>
      </c>
      <c r="J3690" t="s">
        <v>115</v>
      </c>
      <c r="K3690" s="18" t="s">
        <v>10823</v>
      </c>
      <c r="N3690" s="17" t="s">
        <v>77</v>
      </c>
      <c r="O3690" t="s">
        <v>145</v>
      </c>
      <c r="V3690" s="18" t="s">
        <v>10823</v>
      </c>
      <c r="Y3690" t="s">
        <v>190</v>
      </c>
      <c r="AA3690" t="s">
        <v>118</v>
      </c>
      <c r="AB3690" t="s">
        <v>119</v>
      </c>
    </row>
    <row r="3691" ht="15" customHeight="1" spans="1:28" x14ac:dyDescent="0.25">
      <c r="A3691" s="17" t="s">
        <v>10824</v>
      </c>
      <c r="B3691" s="17" t="s">
        <v>70</v>
      </c>
      <c r="C3691" s="17" t="s">
        <v>71</v>
      </c>
      <c r="D3691" t="s">
        <v>10825</v>
      </c>
      <c r="F3691" t="s">
        <v>10826</v>
      </c>
      <c r="J3691" t="s">
        <v>115</v>
      </c>
      <c r="K3691" s="18" t="s">
        <v>10827</v>
      </c>
      <c r="N3691" s="17" t="s">
        <v>77</v>
      </c>
      <c r="O3691" t="s">
        <v>261</v>
      </c>
      <c r="U3691" s="17"/>
      <c r="V3691" s="18" t="s">
        <v>10827</v>
      </c>
      <c r="W3691" t="s">
        <v>10828</v>
      </c>
      <c r="Y3691" t="s">
        <v>90</v>
      </c>
      <c r="AA3691" s="17" t="s">
        <v>118</v>
      </c>
      <c r="AB3691" t="s">
        <v>119</v>
      </c>
    </row>
    <row r="3692" ht="15" customHeight="1" spans="1:22" x14ac:dyDescent="0.25">
      <c r="A3692" s="17" t="s">
        <v>10829</v>
      </c>
      <c r="B3692" s="17" t="s">
        <v>70</v>
      </c>
      <c r="C3692" s="17" t="s">
        <v>71</v>
      </c>
      <c r="D3692" t="s">
        <v>10825</v>
      </c>
      <c r="F3692" t="s">
        <v>10830</v>
      </c>
      <c r="K3692" s="18">
        <f>628115891111</f>
        <v>628115891111</v>
      </c>
      <c r="N3692" s="17" t="s">
        <v>74</v>
      </c>
      <c r="V3692" s="18">
        <f>628115891111</f>
        <v>628115891111</v>
      </c>
    </row>
    <row r="3693" ht="15" customHeight="1" spans="1:22" x14ac:dyDescent="0.25">
      <c r="A3693" s="17" t="s">
        <v>10831</v>
      </c>
      <c r="B3693" s="17" t="s">
        <v>70</v>
      </c>
      <c r="C3693" s="17" t="s">
        <v>71</v>
      </c>
      <c r="D3693" t="s">
        <v>10825</v>
      </c>
      <c r="F3693" t="s">
        <v>5783</v>
      </c>
      <c r="K3693" s="18">
        <f>6281212794228</f>
        <v>6281212794228</v>
      </c>
      <c r="N3693" s="17" t="s">
        <v>77</v>
      </c>
      <c r="V3693" s="18">
        <f>6281212794228</f>
        <v>6281212794228</v>
      </c>
    </row>
    <row r="3694" ht="15" customHeight="1" spans="1:22" x14ac:dyDescent="0.25">
      <c r="A3694" s="17" t="s">
        <v>10832</v>
      </c>
      <c r="B3694" s="17" t="s">
        <v>70</v>
      </c>
      <c r="C3694" s="17" t="s">
        <v>71</v>
      </c>
      <c r="D3694" t="s">
        <v>10825</v>
      </c>
      <c r="F3694" t="s">
        <v>10833</v>
      </c>
      <c r="K3694" s="18">
        <f>62811139445</f>
        <v>62811139445</v>
      </c>
      <c r="N3694" s="17" t="s">
        <v>77</v>
      </c>
      <c r="V3694" s="18">
        <f>62811139445</f>
        <v>62811139445</v>
      </c>
    </row>
    <row r="3695" ht="15" customHeight="1" spans="1:22" x14ac:dyDescent="0.25">
      <c r="A3695" s="17" t="s">
        <v>10834</v>
      </c>
      <c r="B3695" s="17" t="s">
        <v>70</v>
      </c>
      <c r="C3695" s="17" t="s">
        <v>71</v>
      </c>
      <c r="D3695" t="s">
        <v>10835</v>
      </c>
      <c r="F3695" t="s">
        <v>4129</v>
      </c>
      <c r="K3695" s="18">
        <f>628111668533</f>
        <v>628111668533</v>
      </c>
      <c r="N3695" s="17" t="s">
        <v>81</v>
      </c>
      <c r="V3695" s="18">
        <f>628111668533</f>
        <v>628111668533</v>
      </c>
    </row>
    <row r="3696" ht="15" customHeight="1" spans="1:23" x14ac:dyDescent="0.25">
      <c r="A3696" s="17" t="s">
        <v>10836</v>
      </c>
      <c r="B3696" s="17" t="s">
        <v>70</v>
      </c>
      <c r="C3696" s="17" t="s">
        <v>71</v>
      </c>
      <c r="D3696" t="s">
        <v>10835</v>
      </c>
      <c r="F3696" t="s">
        <v>10837</v>
      </c>
      <c r="K3696" s="18">
        <f>6281298336664</f>
        <v>6281298336664</v>
      </c>
      <c r="N3696" s="17" t="s">
        <v>77</v>
      </c>
      <c r="U3696" s="17"/>
      <c r="V3696" s="18">
        <f>6281298336664</f>
        <v>6281298336664</v>
      </c>
      <c r="W3696" t="s">
        <v>10838</v>
      </c>
    </row>
    <row r="3697" ht="15" customHeight="1" spans="1:23" x14ac:dyDescent="0.25">
      <c r="A3697" s="17" t="s">
        <v>10839</v>
      </c>
      <c r="B3697" s="17" t="s">
        <v>70</v>
      </c>
      <c r="C3697" s="17" t="s">
        <v>71</v>
      </c>
      <c r="D3697" t="s">
        <v>10835</v>
      </c>
      <c r="F3697" t="s">
        <v>10837</v>
      </c>
      <c r="J3697" s="17" t="s">
        <v>10840</v>
      </c>
      <c r="K3697" s="18">
        <f>6281918836664</f>
        <v>6281918836664</v>
      </c>
      <c r="N3697" s="17" t="s">
        <v>74</v>
      </c>
      <c r="U3697" s="17"/>
      <c r="V3697" s="18">
        <f>6281918836664</f>
        <v>6281918836664</v>
      </c>
      <c r="W3697" t="s">
        <v>10841</v>
      </c>
    </row>
    <row r="3698" ht="15" customHeight="1" spans="1:22" x14ac:dyDescent="0.25">
      <c r="A3698" s="17" t="s">
        <v>10842</v>
      </c>
      <c r="B3698" s="17" t="s">
        <v>70</v>
      </c>
      <c r="C3698" s="17" t="s">
        <v>71</v>
      </c>
      <c r="D3698" t="s">
        <v>10843</v>
      </c>
      <c r="F3698" t="s">
        <v>10843</v>
      </c>
      <c r="K3698" s="18">
        <f>628161395879</f>
        <v>628161395879</v>
      </c>
      <c r="N3698" s="17" t="s">
        <v>77</v>
      </c>
      <c r="V3698" s="18">
        <f>628161395879</f>
        <v>628161395879</v>
      </c>
    </row>
    <row r="3699" ht="15" customHeight="1" spans="1:22" x14ac:dyDescent="0.25">
      <c r="A3699" s="17" t="s">
        <v>10844</v>
      </c>
      <c r="B3699" s="17" t="s">
        <v>70</v>
      </c>
      <c r="C3699" s="17" t="s">
        <v>71</v>
      </c>
      <c r="D3699" t="s">
        <v>10843</v>
      </c>
      <c r="F3699" t="s">
        <v>10843</v>
      </c>
      <c r="K3699" s="18">
        <f>6285100972268</f>
        <v>6285100972268</v>
      </c>
      <c r="N3699" s="17" t="s">
        <v>81</v>
      </c>
      <c r="V3699" s="18">
        <f>6285100972268</f>
        <v>6285100972268</v>
      </c>
    </row>
    <row r="3700" ht="15" customHeight="1" spans="1:22" x14ac:dyDescent="0.25">
      <c r="A3700" s="17" t="s">
        <v>10845</v>
      </c>
      <c r="B3700" s="17" t="s">
        <v>70</v>
      </c>
      <c r="C3700" s="17" t="s">
        <v>71</v>
      </c>
      <c r="D3700" t="s">
        <v>10843</v>
      </c>
      <c r="F3700" t="s">
        <v>1982</v>
      </c>
      <c r="K3700" s="18">
        <f>6281310507171</f>
        <v>6281310507171</v>
      </c>
      <c r="N3700" s="17" t="s">
        <v>77</v>
      </c>
      <c r="V3700" s="18">
        <f>6281310507171</f>
        <v>6281310507171</v>
      </c>
    </row>
    <row r="3701" ht="15" customHeight="1" spans="1:23" x14ac:dyDescent="0.25">
      <c r="A3701" s="17" t="s">
        <v>10846</v>
      </c>
      <c r="B3701" s="17" t="s">
        <v>70</v>
      </c>
      <c r="C3701" s="17" t="s">
        <v>71</v>
      </c>
      <c r="D3701" t="s">
        <v>10843</v>
      </c>
      <c r="F3701" t="s">
        <v>10847</v>
      </c>
      <c r="K3701" s="18">
        <f>62816739000</f>
        <v>62816739000</v>
      </c>
      <c r="N3701" s="17" t="s">
        <v>77</v>
      </c>
      <c r="U3701" s="17"/>
      <c r="V3701" s="18">
        <f>62816739000</f>
        <v>62816739000</v>
      </c>
      <c r="W3701" t="s">
        <v>10848</v>
      </c>
    </row>
    <row r="3702" ht="15" customHeight="1" spans="1:22" x14ac:dyDescent="0.25">
      <c r="A3702" s="17" t="s">
        <v>10849</v>
      </c>
      <c r="B3702" s="17" t="s">
        <v>70</v>
      </c>
      <c r="C3702" s="17" t="s">
        <v>71</v>
      </c>
      <c r="D3702" t="s">
        <v>10843</v>
      </c>
      <c r="F3702" t="s">
        <v>10850</v>
      </c>
      <c r="K3702" s="18">
        <f>6281237100320</f>
        <v>6281237100320</v>
      </c>
      <c r="N3702" s="17" t="s">
        <v>81</v>
      </c>
      <c r="V3702" s="18">
        <f>6281237100320</f>
        <v>6281237100320</v>
      </c>
    </row>
    <row r="3703" ht="15" customHeight="1" spans="1:22" x14ac:dyDescent="0.25">
      <c r="A3703" s="17" t="s">
        <v>10851</v>
      </c>
      <c r="B3703" s="17" t="s">
        <v>70</v>
      </c>
      <c r="C3703" s="17" t="s">
        <v>71</v>
      </c>
      <c r="D3703" t="s">
        <v>10852</v>
      </c>
      <c r="F3703" t="s">
        <v>10852</v>
      </c>
      <c r="K3703" s="18">
        <f>628116381119</f>
        <v>628116381119</v>
      </c>
      <c r="N3703" s="17" t="s">
        <v>77</v>
      </c>
      <c r="V3703" s="18">
        <f>628116381119</f>
        <v>628116381119</v>
      </c>
    </row>
    <row r="3704" ht="15" customHeight="1" spans="1:28" x14ac:dyDescent="0.25">
      <c r="A3704" s="17" t="s">
        <v>10853</v>
      </c>
      <c r="B3704" s="17" t="s">
        <v>70</v>
      </c>
      <c r="C3704" s="17" t="s">
        <v>71</v>
      </c>
      <c r="D3704" t="s">
        <v>10852</v>
      </c>
      <c r="F3704" t="s">
        <v>3873</v>
      </c>
      <c r="J3704" t="s">
        <v>115</v>
      </c>
      <c r="K3704" s="18" t="s">
        <v>10854</v>
      </c>
      <c r="N3704" s="17" t="s">
        <v>77</v>
      </c>
      <c r="O3704" t="s">
        <v>117</v>
      </c>
      <c r="V3704" s="18" t="s">
        <v>10854</v>
      </c>
      <c r="Y3704" t="s">
        <v>90</v>
      </c>
      <c r="AA3704" t="s">
        <v>118</v>
      </c>
      <c r="AB3704" t="s">
        <v>119</v>
      </c>
    </row>
    <row r="3705" ht="15" customHeight="1" spans="1:22" x14ac:dyDescent="0.25">
      <c r="A3705" s="17" t="s">
        <v>10855</v>
      </c>
      <c r="B3705" s="17" t="s">
        <v>70</v>
      </c>
      <c r="C3705" s="17" t="s">
        <v>71</v>
      </c>
      <c r="D3705" t="s">
        <v>10852</v>
      </c>
      <c r="F3705" t="s">
        <v>1704</v>
      </c>
      <c r="K3705" s="18">
        <f>62811638119</f>
        <v>62811638119</v>
      </c>
      <c r="N3705" s="17" t="s">
        <v>81</v>
      </c>
      <c r="V3705" s="18">
        <f>62811638119</f>
        <v>62811638119</v>
      </c>
    </row>
    <row r="3706" ht="15" customHeight="1" spans="1:25" x14ac:dyDescent="0.25">
      <c r="A3706" s="17" t="s">
        <v>10856</v>
      </c>
      <c r="B3706" s="17" t="s">
        <v>70</v>
      </c>
      <c r="C3706" s="17" t="s">
        <v>71</v>
      </c>
      <c r="D3706" t="s">
        <v>10857</v>
      </c>
      <c r="F3706" t="s">
        <v>10857</v>
      </c>
      <c r="K3706" s="18">
        <f>62811141312</f>
        <v>62811141312</v>
      </c>
      <c r="N3706" s="17" t="s">
        <v>74</v>
      </c>
      <c r="U3706" s="17"/>
      <c r="V3706" s="18">
        <f>62811141312</f>
        <v>62811141312</v>
      </c>
      <c r="W3706" t="s">
        <v>10858</v>
      </c>
      <c r="Y3706" s="17" t="s">
        <v>96</v>
      </c>
    </row>
    <row r="3707" ht="15" customHeight="1" spans="1:22" x14ac:dyDescent="0.25">
      <c r="A3707" s="17" t="s">
        <v>10859</v>
      </c>
      <c r="B3707" s="17" t="s">
        <v>70</v>
      </c>
      <c r="C3707" s="17" t="s">
        <v>71</v>
      </c>
      <c r="D3707" t="s">
        <v>10860</v>
      </c>
      <c r="F3707" t="s">
        <v>10860</v>
      </c>
      <c r="K3707" s="18">
        <f>628119197923</f>
        <v>628119197923</v>
      </c>
      <c r="N3707" s="17" t="s">
        <v>77</v>
      </c>
      <c r="V3707" s="18">
        <f>628119197923</f>
        <v>628119197923</v>
      </c>
    </row>
    <row r="3708" ht="15" customHeight="1" spans="1:25" x14ac:dyDescent="0.25">
      <c r="A3708" s="17" t="s">
        <v>10861</v>
      </c>
      <c r="B3708" s="17" t="s">
        <v>70</v>
      </c>
      <c r="C3708" s="17" t="s">
        <v>71</v>
      </c>
      <c r="D3708" t="s">
        <v>10860</v>
      </c>
      <c r="F3708" t="s">
        <v>10862</v>
      </c>
      <c r="K3708" s="18">
        <f>62215307537</f>
        <v>62215307537</v>
      </c>
      <c r="N3708" s="17" t="s">
        <v>74</v>
      </c>
      <c r="U3708" s="17"/>
      <c r="V3708" s="18">
        <f>62215307537</f>
        <v>62215307537</v>
      </c>
      <c r="W3708" t="s">
        <v>10863</v>
      </c>
      <c r="Y3708" s="17" t="s">
        <v>90</v>
      </c>
    </row>
    <row r="3709" ht="15" customHeight="1" spans="1:28" x14ac:dyDescent="0.25">
      <c r="A3709" s="17" t="s">
        <v>10864</v>
      </c>
      <c r="B3709" s="17" t="s">
        <v>70</v>
      </c>
      <c r="C3709" s="17" t="s">
        <v>71</v>
      </c>
      <c r="D3709" t="s">
        <v>10865</v>
      </c>
      <c r="F3709" t="s">
        <v>10866</v>
      </c>
      <c r="J3709" s="17" t="s">
        <v>10867</v>
      </c>
      <c r="K3709" s="18" t="s">
        <v>10868</v>
      </c>
      <c r="N3709" s="17" t="s">
        <v>77</v>
      </c>
      <c r="O3709" t="s">
        <v>199</v>
      </c>
      <c r="V3709" s="18" t="s">
        <v>10868</v>
      </c>
      <c r="Y3709" s="17" t="s">
        <v>181</v>
      </c>
      <c r="AA3709" t="s">
        <v>1672</v>
      </c>
      <c r="AB3709" t="s">
        <v>451</v>
      </c>
    </row>
    <row r="3710" ht="15" customHeight="1" spans="1:25" x14ac:dyDescent="0.25">
      <c r="A3710" s="17" t="s">
        <v>10869</v>
      </c>
      <c r="B3710" s="17" t="s">
        <v>70</v>
      </c>
      <c r="C3710" s="17" t="s">
        <v>71</v>
      </c>
      <c r="D3710" t="s">
        <v>10870</v>
      </c>
      <c r="F3710" t="s">
        <v>10871</v>
      </c>
      <c r="K3710" s="18">
        <f>6281319761369</f>
        <v>6281319761369</v>
      </c>
      <c r="N3710" s="17" t="s">
        <v>77</v>
      </c>
      <c r="U3710" s="17"/>
      <c r="V3710" s="18">
        <f>6281319761369</f>
        <v>6281319761369</v>
      </c>
      <c r="W3710" t="s">
        <v>10872</v>
      </c>
      <c r="Y3710" s="17" t="s">
        <v>1084</v>
      </c>
    </row>
    <row r="3711" ht="15" customHeight="1" spans="1:28" x14ac:dyDescent="0.25">
      <c r="A3711" s="17" t="s">
        <v>10873</v>
      </c>
      <c r="B3711" s="17" t="s">
        <v>70</v>
      </c>
      <c r="C3711" s="17" t="s">
        <v>71</v>
      </c>
      <c r="D3711" t="s">
        <v>10874</v>
      </c>
      <c r="F3711" t="s">
        <v>10875</v>
      </c>
      <c r="J3711" t="s">
        <v>115</v>
      </c>
      <c r="K3711" s="18" t="s">
        <v>10876</v>
      </c>
      <c r="N3711" s="17" t="s">
        <v>77</v>
      </c>
      <c r="O3711" t="s">
        <v>199</v>
      </c>
      <c r="V3711" s="18" t="s">
        <v>10876</v>
      </c>
      <c r="Y3711" t="s">
        <v>90</v>
      </c>
      <c r="AA3711" t="s">
        <v>118</v>
      </c>
      <c r="AB3711" t="s">
        <v>119</v>
      </c>
    </row>
    <row r="3712" ht="15" customHeight="1" spans="1:22" x14ac:dyDescent="0.25">
      <c r="A3712" s="17" t="s">
        <v>10877</v>
      </c>
      <c r="B3712" s="17" t="s">
        <v>70</v>
      </c>
      <c r="C3712" s="17" t="s">
        <v>71</v>
      </c>
      <c r="D3712" t="s">
        <v>10878</v>
      </c>
      <c r="F3712" t="s">
        <v>10879</v>
      </c>
      <c r="K3712" s="18">
        <f>62816799072</f>
        <v>62816799072</v>
      </c>
      <c r="N3712" s="17" t="s">
        <v>77</v>
      </c>
      <c r="V3712" s="18">
        <f>62816799072</f>
        <v>62816799072</v>
      </c>
    </row>
    <row r="3713" ht="15" customHeight="1" spans="1:22" x14ac:dyDescent="0.25">
      <c r="A3713" s="17" t="s">
        <v>10880</v>
      </c>
      <c r="B3713" s="17" t="s">
        <v>70</v>
      </c>
      <c r="C3713" s="17" t="s">
        <v>71</v>
      </c>
      <c r="D3713" t="s">
        <v>10881</v>
      </c>
      <c r="F3713" t="s">
        <v>10882</v>
      </c>
      <c r="J3713" s="17" t="s">
        <v>10883</v>
      </c>
      <c r="K3713" s="18">
        <f>6282360405424</f>
        <v>6282360405424</v>
      </c>
      <c r="N3713" s="17" t="s">
        <v>81</v>
      </c>
      <c r="V3713" s="18">
        <f>6282360405424</f>
        <v>6282360405424</v>
      </c>
    </row>
    <row r="3714" ht="15" customHeight="1" spans="1:28" x14ac:dyDescent="0.25">
      <c r="A3714" s="17" t="s">
        <v>10884</v>
      </c>
      <c r="B3714" s="17" t="s">
        <v>70</v>
      </c>
      <c r="C3714" s="17" t="s">
        <v>71</v>
      </c>
      <c r="D3714" t="s">
        <v>10881</v>
      </c>
      <c r="F3714" t="s">
        <v>10885</v>
      </c>
      <c r="J3714" t="s">
        <v>115</v>
      </c>
      <c r="K3714" s="18" t="s">
        <v>10886</v>
      </c>
      <c r="N3714" s="17" t="s">
        <v>77</v>
      </c>
      <c r="O3714" t="s">
        <v>117</v>
      </c>
      <c r="V3714" s="18" t="s">
        <v>10886</v>
      </c>
      <c r="Y3714" t="s">
        <v>90</v>
      </c>
      <c r="AA3714" t="s">
        <v>118</v>
      </c>
      <c r="AB3714" t="s">
        <v>119</v>
      </c>
    </row>
    <row r="3715" ht="15" customHeight="1" spans="1:23" x14ac:dyDescent="0.25">
      <c r="A3715" s="17" t="s">
        <v>10887</v>
      </c>
      <c r="B3715" s="17" t="s">
        <v>70</v>
      </c>
      <c r="C3715" s="17" t="s">
        <v>71</v>
      </c>
      <c r="D3715" t="s">
        <v>10888</v>
      </c>
      <c r="F3715" t="s">
        <v>10889</v>
      </c>
      <c r="K3715" s="18">
        <f>61450996917</f>
        <v>61450996917</v>
      </c>
      <c r="N3715" s="17" t="s">
        <v>77</v>
      </c>
      <c r="U3715" s="17"/>
      <c r="V3715" s="18">
        <f>61450996917</f>
        <v>61450996917</v>
      </c>
      <c r="W3715" t="s">
        <v>1903</v>
      </c>
    </row>
    <row r="3716" ht="15" customHeight="1" spans="1:23" x14ac:dyDescent="0.25">
      <c r="A3716" s="17" t="s">
        <v>10890</v>
      </c>
      <c r="B3716" s="17" t="s">
        <v>70</v>
      </c>
      <c r="C3716" s="17" t="s">
        <v>71</v>
      </c>
      <c r="D3716" t="s">
        <v>10891</v>
      </c>
      <c r="F3716" t="s">
        <v>10892</v>
      </c>
      <c r="K3716" s="18">
        <f>4915143202251</f>
        <v>4915143202251</v>
      </c>
      <c r="N3716" s="17" t="s">
        <v>77</v>
      </c>
      <c r="U3716" s="17"/>
      <c r="V3716" s="18">
        <f>4915143202251</f>
        <v>4915143202251</v>
      </c>
      <c r="W3716" t="s">
        <v>10893</v>
      </c>
    </row>
    <row r="3717" ht="15" customHeight="1" spans="1:28" x14ac:dyDescent="0.25">
      <c r="A3717" s="17" t="s">
        <v>10894</v>
      </c>
      <c r="B3717" s="17" t="s">
        <v>70</v>
      </c>
      <c r="C3717" s="17" t="s">
        <v>71</v>
      </c>
      <c r="D3717" t="s">
        <v>10895</v>
      </c>
      <c r="F3717" t="s">
        <v>10896</v>
      </c>
      <c r="J3717" t="s">
        <v>115</v>
      </c>
      <c r="K3717" s="18" t="s">
        <v>10897</v>
      </c>
      <c r="N3717" s="17" t="s">
        <v>77</v>
      </c>
      <c r="O3717" t="s">
        <v>117</v>
      </c>
      <c r="V3717" s="18" t="s">
        <v>10897</v>
      </c>
      <c r="Y3717" t="s">
        <v>217</v>
      </c>
      <c r="AA3717" t="s">
        <v>218</v>
      </c>
      <c r="AB3717" t="s">
        <v>119</v>
      </c>
    </row>
    <row r="3718" ht="15" customHeight="1" spans="1:23" x14ac:dyDescent="0.25">
      <c r="A3718" s="17" t="s">
        <v>10898</v>
      </c>
      <c r="B3718" s="17" t="s">
        <v>70</v>
      </c>
      <c r="C3718" s="17" t="s">
        <v>71</v>
      </c>
      <c r="D3718" t="s">
        <v>6843</v>
      </c>
      <c r="F3718" t="s">
        <v>10899</v>
      </c>
      <c r="J3718" s="17" t="s">
        <v>10900</v>
      </c>
      <c r="K3718" s="18">
        <f>628121314978</f>
        <v>628121314978</v>
      </c>
      <c r="N3718" s="17" t="s">
        <v>81</v>
      </c>
      <c r="U3718" s="17"/>
      <c r="V3718" s="18">
        <f>628121314978</f>
        <v>628121314978</v>
      </c>
      <c r="W3718" t="s">
        <v>10901</v>
      </c>
    </row>
    <row r="3719" ht="15" customHeight="1" spans="1:22" x14ac:dyDescent="0.25">
      <c r="A3719" s="17" t="s">
        <v>10902</v>
      </c>
      <c r="B3719" s="17" t="s">
        <v>70</v>
      </c>
      <c r="C3719" s="17" t="s">
        <v>71</v>
      </c>
      <c r="D3719" t="s">
        <v>10903</v>
      </c>
      <c r="F3719" t="s">
        <v>2533</v>
      </c>
      <c r="K3719" s="18">
        <f>6281350000103</f>
        <v>6281350000103</v>
      </c>
      <c r="N3719" s="17" t="s">
        <v>77</v>
      </c>
      <c r="V3719" s="18">
        <f>6281350000103</f>
        <v>6281350000103</v>
      </c>
    </row>
    <row r="3720" ht="15" customHeight="1" spans="1:22" x14ac:dyDescent="0.25">
      <c r="A3720" s="17" t="s">
        <v>10904</v>
      </c>
      <c r="B3720" s="17" t="s">
        <v>70</v>
      </c>
      <c r="C3720" s="17" t="s">
        <v>71</v>
      </c>
      <c r="D3720" t="s">
        <v>10903</v>
      </c>
      <c r="F3720" t="s">
        <v>10905</v>
      </c>
      <c r="K3720" s="18">
        <f>62811648335</f>
        <v>62811648335</v>
      </c>
      <c r="N3720" s="17" t="s">
        <v>77</v>
      </c>
      <c r="V3720" s="18">
        <f>62811648335</f>
        <v>62811648335</v>
      </c>
    </row>
    <row r="3721" ht="15" customHeight="1" spans="1:23" x14ac:dyDescent="0.25">
      <c r="A3721" s="17" t="s">
        <v>10906</v>
      </c>
      <c r="B3721" s="17" t="s">
        <v>70</v>
      </c>
      <c r="C3721" s="17" t="s">
        <v>71</v>
      </c>
      <c r="D3721" t="s">
        <v>10903</v>
      </c>
      <c r="F3721" t="s">
        <v>10907</v>
      </c>
      <c r="K3721" s="18">
        <f>628161877417</f>
        <v>628161877417</v>
      </c>
      <c r="N3721" s="17" t="s">
        <v>77</v>
      </c>
      <c r="U3721" s="17"/>
      <c r="V3721" s="18">
        <f>628161877417</f>
        <v>628161877417</v>
      </c>
      <c r="W3721" t="s">
        <v>10908</v>
      </c>
    </row>
    <row r="3722" ht="15" customHeight="1" spans="1:28" x14ac:dyDescent="0.25">
      <c r="A3722" s="17" t="s">
        <v>10909</v>
      </c>
      <c r="B3722" s="17" t="s">
        <v>70</v>
      </c>
      <c r="C3722" s="17" t="s">
        <v>71</v>
      </c>
      <c r="D3722" t="s">
        <v>10910</v>
      </c>
      <c r="F3722" t="s">
        <v>10911</v>
      </c>
      <c r="J3722" s="17" t="s">
        <v>10912</v>
      </c>
      <c r="K3722" s="18" t="s">
        <v>10913</v>
      </c>
      <c r="N3722" s="17" t="s">
        <v>77</v>
      </c>
      <c r="O3722" t="s">
        <v>145</v>
      </c>
      <c r="V3722" s="18" t="s">
        <v>10913</v>
      </c>
      <c r="Y3722" t="s">
        <v>10914</v>
      </c>
      <c r="AA3722" t="s">
        <v>115</v>
      </c>
      <c r="AB3722" t="s">
        <v>119</v>
      </c>
    </row>
    <row r="3723" ht="15" customHeight="1" spans="1:25" x14ac:dyDescent="0.25">
      <c r="A3723" s="17" t="s">
        <v>10915</v>
      </c>
      <c r="B3723" s="17" t="s">
        <v>70</v>
      </c>
      <c r="C3723" s="17" t="s">
        <v>71</v>
      </c>
      <c r="D3723" t="s">
        <v>10903</v>
      </c>
      <c r="F3723" t="s">
        <v>10916</v>
      </c>
      <c r="K3723" s="18">
        <f>60108008080</f>
        <v>60108008080</v>
      </c>
      <c r="N3723" s="17" t="s">
        <v>81</v>
      </c>
      <c r="U3723" s="17"/>
      <c r="V3723" s="18">
        <f>60108008080</f>
        <v>60108008080</v>
      </c>
      <c r="W3723" t="s">
        <v>10917</v>
      </c>
      <c r="Y3723" s="17" t="s">
        <v>10918</v>
      </c>
    </row>
    <row r="3724" ht="15" customHeight="1" spans="1:28" x14ac:dyDescent="0.25">
      <c r="A3724" s="17" t="s">
        <v>10919</v>
      </c>
      <c r="B3724" s="17" t="s">
        <v>70</v>
      </c>
      <c r="C3724" s="17" t="s">
        <v>71</v>
      </c>
      <c r="D3724" t="s">
        <v>3142</v>
      </c>
      <c r="F3724" t="s">
        <v>10920</v>
      </c>
      <c r="J3724" s="17" t="s">
        <v>10921</v>
      </c>
      <c r="K3724" s="18" t="s">
        <v>10922</v>
      </c>
      <c r="N3724" s="17" t="s">
        <v>77</v>
      </c>
      <c r="O3724" t="s">
        <v>145</v>
      </c>
      <c r="V3724" s="18" t="s">
        <v>10922</v>
      </c>
      <c r="Y3724" t="s">
        <v>115</v>
      </c>
      <c r="AA3724" t="s">
        <v>115</v>
      </c>
      <c r="AB3724" t="s">
        <v>5358</v>
      </c>
    </row>
    <row r="3725" ht="15" customHeight="1" spans="1:22" x14ac:dyDescent="0.25">
      <c r="A3725" s="17" t="s">
        <v>10923</v>
      </c>
      <c r="B3725" s="17" t="s">
        <v>70</v>
      </c>
      <c r="C3725" s="17" t="s">
        <v>71</v>
      </c>
      <c r="D3725" t="s">
        <v>10903</v>
      </c>
      <c r="F3725" t="s">
        <v>10924</v>
      </c>
      <c r="K3725" s="18">
        <f>62818677627</f>
        <v>62818677627</v>
      </c>
      <c r="N3725" s="17" t="s">
        <v>77</v>
      </c>
      <c r="V3725" s="18">
        <f>62818677627</f>
        <v>62818677627</v>
      </c>
    </row>
    <row r="3726" ht="15" customHeight="1" spans="1:23" x14ac:dyDescent="0.25">
      <c r="A3726" s="17" t="s">
        <v>10925</v>
      </c>
      <c r="B3726" s="17" t="s">
        <v>70</v>
      </c>
      <c r="C3726" s="17" t="s">
        <v>71</v>
      </c>
      <c r="D3726" t="s">
        <v>10926</v>
      </c>
      <c r="F3726" t="s">
        <v>10927</v>
      </c>
      <c r="K3726" s="18">
        <f>6282140658899</f>
        <v>6282140658899</v>
      </c>
      <c r="N3726" s="17" t="s">
        <v>77</v>
      </c>
      <c r="U3726" s="17"/>
      <c r="V3726" s="18">
        <f>6282140658899</f>
        <v>6282140658899</v>
      </c>
      <c r="W3726" t="s">
        <v>10928</v>
      </c>
    </row>
    <row r="3727" ht="15" customHeight="1" spans="1:27" x14ac:dyDescent="0.25">
      <c r="A3727" s="17" t="s">
        <v>10929</v>
      </c>
      <c r="B3727" s="17" t="s">
        <v>70</v>
      </c>
      <c r="C3727" s="17" t="s">
        <v>71</v>
      </c>
      <c r="D3727" t="s">
        <v>10903</v>
      </c>
      <c r="F3727" t="s">
        <v>10930</v>
      </c>
      <c r="J3727" s="17" t="s">
        <v>10931</v>
      </c>
      <c r="K3727" s="18">
        <f>6287832946296</f>
        <v>6287832946296</v>
      </c>
      <c r="N3727" s="17" t="s">
        <v>77</v>
      </c>
      <c r="U3727" s="17"/>
      <c r="V3727" s="18">
        <f>6287832946296</f>
        <v>6287832946296</v>
      </c>
      <c r="W3727" t="s">
        <v>10932</v>
      </c>
      <c r="Y3727" s="17" t="s">
        <v>410</v>
      </c>
      <c r="AA3727" s="17">
        <v>502312</v>
      </c>
    </row>
    <row r="3728" ht="15" customHeight="1" spans="1:22" x14ac:dyDescent="0.25">
      <c r="A3728" s="17" t="s">
        <v>10933</v>
      </c>
      <c r="B3728" s="17" t="s">
        <v>70</v>
      </c>
      <c r="C3728" s="17" t="s">
        <v>71</v>
      </c>
      <c r="D3728" t="s">
        <v>10926</v>
      </c>
      <c r="F3728" t="s">
        <v>3176</v>
      </c>
      <c r="K3728" s="18">
        <f>62816790954</f>
        <v>62816790954</v>
      </c>
      <c r="N3728" s="17" t="s">
        <v>81</v>
      </c>
      <c r="V3728" s="18">
        <f>62816790954</f>
        <v>62816790954</v>
      </c>
    </row>
    <row r="3729" ht="15" customHeight="1" spans="1:22" x14ac:dyDescent="0.25">
      <c r="A3729" s="17" t="s">
        <v>10934</v>
      </c>
      <c r="B3729" s="17" t="s">
        <v>70</v>
      </c>
      <c r="C3729" s="17" t="s">
        <v>71</v>
      </c>
      <c r="D3729" t="s">
        <v>10903</v>
      </c>
      <c r="F3729" t="s">
        <v>10935</v>
      </c>
      <c r="K3729" s="18">
        <f>6285320158343</f>
        <v>6285320158343</v>
      </c>
      <c r="N3729" s="17" t="s">
        <v>77</v>
      </c>
      <c r="V3729" s="18">
        <f>6285320158343</f>
        <v>6285320158343</v>
      </c>
    </row>
    <row r="3730" ht="15" customHeight="1" spans="1:27" x14ac:dyDescent="0.25">
      <c r="A3730" s="17" t="s">
        <v>10936</v>
      </c>
      <c r="B3730" s="17" t="s">
        <v>70</v>
      </c>
      <c r="C3730" s="17" t="s">
        <v>71</v>
      </c>
      <c r="D3730" t="s">
        <v>10903</v>
      </c>
      <c r="F3730" t="s">
        <v>10937</v>
      </c>
      <c r="K3730" s="18">
        <f>62811875667</f>
        <v>62811875667</v>
      </c>
      <c r="N3730" s="17" t="s">
        <v>77</v>
      </c>
      <c r="U3730" s="17"/>
      <c r="V3730" s="18">
        <f>62811875667</f>
        <v>62811875667</v>
      </c>
      <c r="W3730" t="s">
        <v>10938</v>
      </c>
      <c r="AA3730" s="17">
        <v>13260</v>
      </c>
    </row>
    <row r="3731" ht="15" customHeight="1" spans="1:25" x14ac:dyDescent="0.25">
      <c r="A3731" s="17" t="s">
        <v>10939</v>
      </c>
      <c r="B3731" s="17" t="s">
        <v>70</v>
      </c>
      <c r="C3731" s="17" t="s">
        <v>71</v>
      </c>
      <c r="D3731" t="s">
        <v>10903</v>
      </c>
      <c r="F3731" t="s">
        <v>115</v>
      </c>
      <c r="K3731" s="18">
        <f>628126575288</f>
        <v>628126575288</v>
      </c>
      <c r="N3731" s="17" t="s">
        <v>74</v>
      </c>
      <c r="U3731" s="17"/>
      <c r="V3731" s="18">
        <f>628126575288</f>
        <v>628126575288</v>
      </c>
      <c r="W3731" t="s">
        <v>10940</v>
      </c>
      <c r="Y3731" s="17" t="s">
        <v>1157</v>
      </c>
    </row>
    <row r="3732" ht="15" customHeight="1" spans="1:25" x14ac:dyDescent="0.25">
      <c r="A3732" s="17" t="s">
        <v>10941</v>
      </c>
      <c r="B3732" s="17" t="s">
        <v>70</v>
      </c>
      <c r="C3732" s="17" t="s">
        <v>71</v>
      </c>
      <c r="D3732" t="s">
        <v>10942</v>
      </c>
      <c r="F3732" t="s">
        <v>10943</v>
      </c>
      <c r="J3732" s="17" t="s">
        <v>10944</v>
      </c>
      <c r="K3732" s="18">
        <f>628161654255</f>
        <v>628161654255</v>
      </c>
      <c r="N3732" s="17" t="s">
        <v>77</v>
      </c>
      <c r="U3732" s="17"/>
      <c r="V3732" s="18">
        <f>628161654255</f>
        <v>628161654255</v>
      </c>
      <c r="W3732" t="s">
        <v>10945</v>
      </c>
      <c r="Y3732" s="17" t="s">
        <v>6246</v>
      </c>
    </row>
    <row r="3733" ht="15" customHeight="1" spans="1:28" x14ac:dyDescent="0.25">
      <c r="A3733" s="17" t="s">
        <v>10946</v>
      </c>
      <c r="B3733" s="17" t="s">
        <v>70</v>
      </c>
      <c r="C3733" s="17" t="s">
        <v>71</v>
      </c>
      <c r="D3733" t="s">
        <v>10947</v>
      </c>
      <c r="F3733" t="s">
        <v>10948</v>
      </c>
      <c r="J3733" t="s">
        <v>115</v>
      </c>
      <c r="K3733" s="18" t="s">
        <v>10949</v>
      </c>
      <c r="N3733" s="17" t="s">
        <v>77</v>
      </c>
      <c r="O3733" t="s">
        <v>145</v>
      </c>
      <c r="V3733" s="18" t="s">
        <v>10949</v>
      </c>
      <c r="Y3733" t="s">
        <v>1091</v>
      </c>
      <c r="AA3733" t="s">
        <v>115</v>
      </c>
      <c r="AB3733" t="s">
        <v>119</v>
      </c>
    </row>
    <row r="3734" ht="15" customHeight="1" spans="1:22" x14ac:dyDescent="0.25">
      <c r="A3734" s="17" t="s">
        <v>10950</v>
      </c>
      <c r="B3734" s="17" t="s">
        <v>70</v>
      </c>
      <c r="C3734" s="17" t="s">
        <v>71</v>
      </c>
      <c r="D3734" t="s">
        <v>10951</v>
      </c>
      <c r="F3734" t="s">
        <v>4479</v>
      </c>
      <c r="K3734" s="18">
        <f>6281381377733</f>
        <v>6281381377733</v>
      </c>
      <c r="N3734" s="17" t="s">
        <v>74</v>
      </c>
      <c r="V3734" s="18">
        <f>6281381377733</f>
        <v>6281381377733</v>
      </c>
    </row>
    <row r="3735" ht="15" customHeight="1" spans="1:22" x14ac:dyDescent="0.25">
      <c r="A3735" s="17" t="s">
        <v>10952</v>
      </c>
      <c r="B3735" s="17" t="s">
        <v>70</v>
      </c>
      <c r="C3735" s="17" t="s">
        <v>71</v>
      </c>
      <c r="D3735" t="s">
        <v>10953</v>
      </c>
      <c r="F3735" t="s">
        <v>10954</v>
      </c>
      <c r="K3735" s="18">
        <f>6281218468430</f>
        <v>6281218468430</v>
      </c>
      <c r="N3735" s="17" t="s">
        <v>77</v>
      </c>
      <c r="V3735" s="18">
        <f>6281218468430</f>
        <v>6281218468430</v>
      </c>
    </row>
    <row r="3736" ht="15" customHeight="1" spans="1:22" x14ac:dyDescent="0.25">
      <c r="A3736" s="17" t="s">
        <v>10955</v>
      </c>
      <c r="B3736" s="17" t="s">
        <v>70</v>
      </c>
      <c r="C3736" s="17" t="s">
        <v>71</v>
      </c>
      <c r="D3736" t="s">
        <v>10956</v>
      </c>
      <c r="F3736" t="s">
        <v>10957</v>
      </c>
      <c r="K3736" s="18">
        <f>491715040176</f>
        <v>491715040176</v>
      </c>
      <c r="N3736" s="17" t="s">
        <v>81</v>
      </c>
      <c r="V3736" s="18">
        <f>491715040176</f>
        <v>491715040176</v>
      </c>
    </row>
    <row r="3737" ht="15" customHeight="1" spans="1:23" x14ac:dyDescent="0.25">
      <c r="A3737" s="17" t="s">
        <v>10958</v>
      </c>
      <c r="B3737" s="17" t="s">
        <v>70</v>
      </c>
      <c r="C3737" s="17" t="s">
        <v>71</v>
      </c>
      <c r="D3737" t="s">
        <v>10959</v>
      </c>
      <c r="F3737" t="s">
        <v>10960</v>
      </c>
      <c r="K3737" s="18">
        <f>6281288882730</f>
        <v>6281288882730</v>
      </c>
      <c r="N3737" s="17" t="s">
        <v>77</v>
      </c>
      <c r="U3737" s="17"/>
      <c r="V3737" s="18">
        <f>6281288882730</f>
        <v>6281288882730</v>
      </c>
      <c r="W3737" t="s">
        <v>10961</v>
      </c>
    </row>
    <row r="3738" ht="15" customHeight="1" spans="1:22" x14ac:dyDescent="0.25">
      <c r="A3738" s="17" t="s">
        <v>10962</v>
      </c>
      <c r="B3738" s="17" t="s">
        <v>70</v>
      </c>
      <c r="C3738" s="17" t="s">
        <v>71</v>
      </c>
      <c r="D3738" t="s">
        <v>10963</v>
      </c>
      <c r="F3738" t="s">
        <v>10964</v>
      </c>
      <c r="K3738" s="18">
        <f>628161335314</f>
        <v>628161335314</v>
      </c>
      <c r="N3738" s="17" t="s">
        <v>77</v>
      </c>
      <c r="V3738" s="18">
        <f>628161335314</f>
        <v>628161335314</v>
      </c>
    </row>
    <row r="3739" ht="15" customHeight="1" spans="1:25" x14ac:dyDescent="0.25">
      <c r="A3739" s="17" t="s">
        <v>10965</v>
      </c>
      <c r="B3739" s="17" t="s">
        <v>70</v>
      </c>
      <c r="C3739" s="17" t="s">
        <v>71</v>
      </c>
      <c r="D3739" t="s">
        <v>10966</v>
      </c>
      <c r="F3739" t="s">
        <v>10967</v>
      </c>
      <c r="K3739" s="18">
        <f>628119999007</f>
        <v>628119999007</v>
      </c>
      <c r="N3739" s="17" t="s">
        <v>81</v>
      </c>
      <c r="U3739" s="17"/>
      <c r="V3739" s="18">
        <f>628119999007</f>
        <v>628119999007</v>
      </c>
      <c r="W3739" t="s">
        <v>10968</v>
      </c>
      <c r="Y3739" s="17" t="s">
        <v>515</v>
      </c>
    </row>
    <row r="3740" ht="15" customHeight="1" spans="1:22" x14ac:dyDescent="0.25">
      <c r="A3740" s="17" t="s">
        <v>10969</v>
      </c>
      <c r="B3740" s="17" t="s">
        <v>70</v>
      </c>
      <c r="C3740" s="17" t="s">
        <v>71</v>
      </c>
      <c r="D3740" t="s">
        <v>10970</v>
      </c>
      <c r="F3740" t="s">
        <v>10971</v>
      </c>
      <c r="K3740" s="18">
        <f>628125509167</f>
        <v>628125509167</v>
      </c>
      <c r="N3740" s="17" t="s">
        <v>81</v>
      </c>
      <c r="V3740" s="18">
        <f>628125509167</f>
        <v>628125509167</v>
      </c>
    </row>
    <row r="3741" ht="15" customHeight="1" spans="1:25" x14ac:dyDescent="0.25">
      <c r="A3741" s="17" t="s">
        <v>10972</v>
      </c>
      <c r="B3741" s="17" t="s">
        <v>70</v>
      </c>
      <c r="C3741" s="17" t="s">
        <v>71</v>
      </c>
      <c r="D3741" t="s">
        <v>10970</v>
      </c>
      <c r="F3741" t="s">
        <v>10973</v>
      </c>
      <c r="K3741" s="18">
        <f>62811902088</f>
        <v>62811902088</v>
      </c>
      <c r="N3741" s="17" t="s">
        <v>77</v>
      </c>
      <c r="U3741" s="17"/>
      <c r="V3741" s="18">
        <f>62811902088</f>
        <v>62811902088</v>
      </c>
      <c r="W3741" t="s">
        <v>10974</v>
      </c>
      <c r="Y3741" s="17" t="s">
        <v>2930</v>
      </c>
    </row>
    <row r="3742" ht="15" customHeight="1" spans="1:22" x14ac:dyDescent="0.25">
      <c r="A3742" s="17" t="s">
        <v>10975</v>
      </c>
      <c r="B3742" s="17" t="s">
        <v>70</v>
      </c>
      <c r="C3742" s="17" t="s">
        <v>71</v>
      </c>
      <c r="D3742" t="s">
        <v>10976</v>
      </c>
      <c r="F3742" t="s">
        <v>10976</v>
      </c>
      <c r="K3742" s="18">
        <f>6281339903333</f>
        <v>6281339903333</v>
      </c>
      <c r="N3742" s="17" t="s">
        <v>74</v>
      </c>
      <c r="V3742" s="18">
        <f>6281339903333</f>
        <v>6281339903333</v>
      </c>
    </row>
    <row r="3743" ht="15" customHeight="1" spans="1:28" x14ac:dyDescent="0.25">
      <c r="A3743" s="17" t="s">
        <v>10977</v>
      </c>
      <c r="B3743" s="17" t="s">
        <v>70</v>
      </c>
      <c r="C3743" s="17" t="s">
        <v>71</v>
      </c>
      <c r="D3743" t="s">
        <v>10978</v>
      </c>
      <c r="F3743" t="s">
        <v>10979</v>
      </c>
      <c r="J3743" s="17" t="s">
        <v>10980</v>
      </c>
      <c r="K3743" s="18" t="s">
        <v>10981</v>
      </c>
      <c r="N3743" s="17" t="s">
        <v>77</v>
      </c>
      <c r="O3743" t="s">
        <v>145</v>
      </c>
      <c r="V3743" s="18" t="s">
        <v>10981</v>
      </c>
      <c r="Y3743" s="17" t="s">
        <v>1909</v>
      </c>
      <c r="AA3743" t="s">
        <v>115</v>
      </c>
      <c r="AB3743" t="s">
        <v>1909</v>
      </c>
    </row>
    <row r="3744" ht="15" customHeight="1" spans="1:22" x14ac:dyDescent="0.25">
      <c r="A3744" s="17" t="s">
        <v>10982</v>
      </c>
      <c r="B3744" s="17" t="s">
        <v>70</v>
      </c>
      <c r="C3744" s="17" t="s">
        <v>71</v>
      </c>
      <c r="D3744" t="s">
        <v>10983</v>
      </c>
      <c r="F3744" t="s">
        <v>10984</v>
      </c>
      <c r="K3744" s="18">
        <f>62818607007</f>
        <v>62818607007</v>
      </c>
      <c r="N3744" s="17" t="s">
        <v>81</v>
      </c>
      <c r="V3744" s="18">
        <f>62818607007</f>
        <v>62818607007</v>
      </c>
    </row>
    <row r="3745" ht="15" customHeight="1" spans="1:22" x14ac:dyDescent="0.25">
      <c r="A3745" s="17" t="s">
        <v>10985</v>
      </c>
      <c r="B3745" s="17" t="s">
        <v>70</v>
      </c>
      <c r="C3745" s="17" t="s">
        <v>71</v>
      </c>
      <c r="D3745" t="s">
        <v>10986</v>
      </c>
      <c r="F3745" t="s">
        <v>10986</v>
      </c>
      <c r="K3745" s="18">
        <f>628118110942</f>
        <v>628118110942</v>
      </c>
      <c r="N3745" s="17" t="s">
        <v>81</v>
      </c>
      <c r="V3745" s="18">
        <f>628118110942</f>
        <v>628118110942</v>
      </c>
    </row>
    <row r="3746" ht="15" customHeight="1" spans="1:23" x14ac:dyDescent="0.25">
      <c r="A3746" s="17" t="s">
        <v>10987</v>
      </c>
      <c r="B3746" s="17" t="s">
        <v>70</v>
      </c>
      <c r="C3746" s="17" t="s">
        <v>71</v>
      </c>
      <c r="D3746" t="s">
        <v>10986</v>
      </c>
      <c r="F3746" t="s">
        <v>10988</v>
      </c>
      <c r="K3746" s="18">
        <f>4915222530316</f>
        <v>4915222530316</v>
      </c>
      <c r="N3746" s="17" t="s">
        <v>77</v>
      </c>
      <c r="U3746" s="17"/>
      <c r="V3746" s="18">
        <f>4915222530316</f>
        <v>4915222530316</v>
      </c>
      <c r="W3746" t="s">
        <v>5358</v>
      </c>
    </row>
    <row r="3747" ht="15" customHeight="1" spans="1:28" x14ac:dyDescent="0.25">
      <c r="A3747" s="17" t="s">
        <v>10989</v>
      </c>
      <c r="B3747" s="17" t="s">
        <v>70</v>
      </c>
      <c r="C3747" s="17" t="s">
        <v>71</v>
      </c>
      <c r="D3747" t="s">
        <v>10990</v>
      </c>
      <c r="F3747" t="s">
        <v>10991</v>
      </c>
      <c r="J3747" s="17" t="s">
        <v>10992</v>
      </c>
      <c r="K3747" s="18" t="s">
        <v>10993</v>
      </c>
      <c r="N3747" s="17" t="s">
        <v>77</v>
      </c>
      <c r="O3747" t="s">
        <v>199</v>
      </c>
      <c r="V3747" s="18" t="s">
        <v>10993</v>
      </c>
      <c r="Y3747" t="s">
        <v>115</v>
      </c>
      <c r="AA3747" t="s">
        <v>115</v>
      </c>
      <c r="AB3747" t="s">
        <v>10994</v>
      </c>
    </row>
    <row r="3748" ht="15" customHeight="1" spans="1:28" x14ac:dyDescent="0.25">
      <c r="A3748" s="17" t="s">
        <v>10995</v>
      </c>
      <c r="B3748" s="17" t="s">
        <v>70</v>
      </c>
      <c r="C3748" s="17" t="s">
        <v>71</v>
      </c>
      <c r="D3748" t="s">
        <v>10996</v>
      </c>
      <c r="F3748" t="s">
        <v>10997</v>
      </c>
      <c r="J3748" s="17" t="s">
        <v>10998</v>
      </c>
      <c r="K3748" s="18" t="s">
        <v>10999</v>
      </c>
      <c r="N3748" s="17" t="s">
        <v>77</v>
      </c>
      <c r="O3748" t="s">
        <v>261</v>
      </c>
      <c r="U3748" s="17"/>
      <c r="V3748" s="18" t="s">
        <v>10999</v>
      </c>
      <c r="W3748" t="s">
        <v>11000</v>
      </c>
      <c r="Y3748" t="s">
        <v>3140</v>
      </c>
      <c r="AA3748" t="s">
        <v>115</v>
      </c>
      <c r="AB3748" t="s">
        <v>3140</v>
      </c>
    </row>
    <row r="3749" ht="15" customHeight="1" spans="1:25" x14ac:dyDescent="0.25">
      <c r="A3749" s="17" t="s">
        <v>11001</v>
      </c>
      <c r="B3749" s="17" t="s">
        <v>70</v>
      </c>
      <c r="C3749" s="17" t="s">
        <v>71</v>
      </c>
      <c r="D3749" t="s">
        <v>11002</v>
      </c>
      <c r="F3749" t="s">
        <v>7093</v>
      </c>
      <c r="J3749" s="17" t="s">
        <v>11003</v>
      </c>
      <c r="K3749" s="18">
        <f>628118140660</f>
        <v>628118140660</v>
      </c>
      <c r="N3749" s="17" t="s">
        <v>81</v>
      </c>
      <c r="U3749" s="17"/>
      <c r="V3749" s="18">
        <f>628118140660</f>
        <v>628118140660</v>
      </c>
      <c r="W3749" t="s">
        <v>11004</v>
      </c>
      <c r="Y3749" s="17" t="s">
        <v>90</v>
      </c>
    </row>
    <row r="3750" ht="15" customHeight="1" spans="1:22" x14ac:dyDescent="0.25">
      <c r="A3750" s="17" t="s">
        <v>11005</v>
      </c>
      <c r="B3750" s="17" t="s">
        <v>70</v>
      </c>
      <c r="C3750" s="17" t="s">
        <v>71</v>
      </c>
      <c r="D3750" t="s">
        <v>11006</v>
      </c>
      <c r="F3750" t="s">
        <v>11007</v>
      </c>
      <c r="K3750" s="18">
        <f>6287880169199</f>
        <v>6287880169199</v>
      </c>
      <c r="N3750" s="17" t="s">
        <v>77</v>
      </c>
      <c r="V3750" s="18">
        <f>6287880169199</f>
        <v>6287880169199</v>
      </c>
    </row>
    <row r="3751" ht="15" customHeight="1" spans="1:22" x14ac:dyDescent="0.25">
      <c r="A3751" s="17" t="s">
        <v>11008</v>
      </c>
      <c r="B3751" s="17" t="s">
        <v>70</v>
      </c>
      <c r="C3751" s="17" t="s">
        <v>71</v>
      </c>
      <c r="D3751" t="s">
        <v>11009</v>
      </c>
      <c r="F3751" t="s">
        <v>11009</v>
      </c>
      <c r="K3751" s="18">
        <f>6281380597778</f>
        <v>6281380597778</v>
      </c>
      <c r="N3751" s="17" t="s">
        <v>77</v>
      </c>
      <c r="V3751" s="18">
        <f>6281380597778</f>
        <v>6281380597778</v>
      </c>
    </row>
    <row r="3752" ht="15" customHeight="1" spans="1:22" x14ac:dyDescent="0.25">
      <c r="A3752" s="17" t="s">
        <v>11010</v>
      </c>
      <c r="B3752" s="17" t="s">
        <v>70</v>
      </c>
      <c r="C3752" s="17" t="s">
        <v>71</v>
      </c>
      <c r="D3752" t="s">
        <v>11011</v>
      </c>
      <c r="F3752" t="s">
        <v>11012</v>
      </c>
      <c r="K3752" s="18">
        <f>628189779919</f>
        <v>628189779919</v>
      </c>
      <c r="N3752" s="17" t="s">
        <v>74</v>
      </c>
      <c r="V3752" s="18">
        <f>628189779919</f>
        <v>628189779919</v>
      </c>
    </row>
    <row r="3753" ht="15" customHeight="1" spans="1:28" x14ac:dyDescent="0.25">
      <c r="A3753" s="17" t="s">
        <v>11013</v>
      </c>
      <c r="B3753" s="17" t="s">
        <v>70</v>
      </c>
      <c r="C3753" s="17" t="s">
        <v>71</v>
      </c>
      <c r="D3753" t="s">
        <v>11014</v>
      </c>
      <c r="F3753" t="s">
        <v>11015</v>
      </c>
      <c r="J3753" s="17" t="s">
        <v>11016</v>
      </c>
      <c r="K3753" s="18" t="s">
        <v>11017</v>
      </c>
      <c r="N3753" s="17" t="s">
        <v>77</v>
      </c>
      <c r="O3753" t="s">
        <v>117</v>
      </c>
      <c r="U3753" s="17"/>
      <c r="V3753" s="18" t="s">
        <v>11017</v>
      </c>
      <c r="W3753" t="s">
        <v>11018</v>
      </c>
      <c r="Y3753" t="s">
        <v>11019</v>
      </c>
      <c r="AA3753" t="s">
        <v>115</v>
      </c>
      <c r="AB3753" t="s">
        <v>11019</v>
      </c>
    </row>
    <row r="3754" ht="15" customHeight="1" spans="1:25" x14ac:dyDescent="0.25">
      <c r="A3754" s="17" t="s">
        <v>11020</v>
      </c>
      <c r="B3754" s="17" t="s">
        <v>70</v>
      </c>
      <c r="C3754" s="17" t="s">
        <v>71</v>
      </c>
      <c r="D3754" t="s">
        <v>11021</v>
      </c>
      <c r="F3754" t="s">
        <v>3823</v>
      </c>
      <c r="K3754" s="18">
        <f>6281321009493</f>
        <v>6281321009493</v>
      </c>
      <c r="N3754" s="17" t="s">
        <v>77</v>
      </c>
      <c r="U3754" s="17"/>
      <c r="V3754" s="18">
        <f>6281321009493</f>
        <v>6281321009493</v>
      </c>
      <c r="W3754" t="s">
        <v>11022</v>
      </c>
      <c r="Y3754" s="17" t="s">
        <v>500</v>
      </c>
    </row>
    <row r="3755" ht="15" customHeight="1" spans="1:22" x14ac:dyDescent="0.25">
      <c r="A3755" s="17" t="s">
        <v>11023</v>
      </c>
      <c r="B3755" s="17" t="s">
        <v>70</v>
      </c>
      <c r="C3755" s="17" t="s">
        <v>71</v>
      </c>
      <c r="D3755" t="s">
        <v>11024</v>
      </c>
      <c r="F3755" t="s">
        <v>11024</v>
      </c>
      <c r="K3755" s="18">
        <f>6281122334455</f>
        <v>6281122334455</v>
      </c>
      <c r="N3755" s="17" t="s">
        <v>77</v>
      </c>
      <c r="V3755" s="18">
        <f>6281122334455</f>
        <v>6281122334455</v>
      </c>
    </row>
    <row r="3756" ht="15" customHeight="1" spans="1:28" x14ac:dyDescent="0.25">
      <c r="A3756" s="17" t="s">
        <v>11025</v>
      </c>
      <c r="B3756" s="17" t="s">
        <v>70</v>
      </c>
      <c r="C3756" s="17" t="s">
        <v>71</v>
      </c>
      <c r="D3756" t="s">
        <v>11026</v>
      </c>
      <c r="F3756" t="s">
        <v>11027</v>
      </c>
      <c r="J3756" s="17" t="s">
        <v>11028</v>
      </c>
      <c r="K3756" s="18" t="s">
        <v>11029</v>
      </c>
      <c r="N3756" s="17" t="s">
        <v>77</v>
      </c>
      <c r="O3756" t="s">
        <v>489</v>
      </c>
      <c r="U3756" s="17"/>
      <c r="V3756" s="18" t="s">
        <v>11029</v>
      </c>
      <c r="W3756" t="s">
        <v>930</v>
      </c>
      <c r="Y3756" t="s">
        <v>930</v>
      </c>
      <c r="AA3756" t="s">
        <v>115</v>
      </c>
      <c r="AB3756" t="s">
        <v>930</v>
      </c>
    </row>
    <row r="3757" ht="15" customHeight="1" spans="1:28" x14ac:dyDescent="0.25">
      <c r="A3757" s="17" t="s">
        <v>11030</v>
      </c>
      <c r="B3757" s="17" t="s">
        <v>70</v>
      </c>
      <c r="C3757" s="17" t="s">
        <v>71</v>
      </c>
      <c r="D3757" t="s">
        <v>11031</v>
      </c>
      <c r="F3757" t="s">
        <v>11032</v>
      </c>
      <c r="J3757" t="s">
        <v>115</v>
      </c>
      <c r="K3757" s="18" t="s">
        <v>11033</v>
      </c>
      <c r="N3757" s="17" t="s">
        <v>74</v>
      </c>
      <c r="O3757" t="s">
        <v>117</v>
      </c>
      <c r="V3757" s="18" t="s">
        <v>11033</v>
      </c>
      <c r="Y3757" t="s">
        <v>90</v>
      </c>
      <c r="AA3757" t="s">
        <v>118</v>
      </c>
      <c r="AB3757" t="s">
        <v>119</v>
      </c>
    </row>
    <row r="3758" ht="15" customHeight="1" spans="1:22" x14ac:dyDescent="0.25">
      <c r="A3758" s="17" t="s">
        <v>11034</v>
      </c>
      <c r="B3758" s="17" t="s">
        <v>70</v>
      </c>
      <c r="C3758" s="17" t="s">
        <v>71</v>
      </c>
      <c r="D3758" t="s">
        <v>11031</v>
      </c>
      <c r="F3758" t="s">
        <v>11035</v>
      </c>
      <c r="K3758" s="18">
        <f>62816194505</f>
        <v>62816194505</v>
      </c>
      <c r="N3758" s="17" t="s">
        <v>77</v>
      </c>
      <c r="V3758" s="18">
        <f>62816194505</f>
        <v>62816194505</v>
      </c>
    </row>
    <row r="3759" ht="15" customHeight="1" spans="1:28" x14ac:dyDescent="0.25">
      <c r="A3759" s="17" t="s">
        <v>11036</v>
      </c>
      <c r="B3759" s="17" t="s">
        <v>70</v>
      </c>
      <c r="C3759" s="17" t="s">
        <v>71</v>
      </c>
      <c r="D3759" t="s">
        <v>11037</v>
      </c>
      <c r="F3759" t="s">
        <v>11037</v>
      </c>
      <c r="J3759" t="s">
        <v>115</v>
      </c>
      <c r="K3759" s="18" t="s">
        <v>11038</v>
      </c>
      <c r="N3759" s="17" t="s">
        <v>77</v>
      </c>
      <c r="O3759" t="s">
        <v>145</v>
      </c>
      <c r="V3759" s="18" t="s">
        <v>11038</v>
      </c>
      <c r="Y3759" t="s">
        <v>190</v>
      </c>
      <c r="AA3759" t="s">
        <v>118</v>
      </c>
      <c r="AB3759" t="s">
        <v>119</v>
      </c>
    </row>
    <row r="3760" ht="15" customHeight="1" spans="1:22" x14ac:dyDescent="0.25">
      <c r="A3760" s="17" t="s">
        <v>11039</v>
      </c>
      <c r="B3760" s="17" t="s">
        <v>70</v>
      </c>
      <c r="C3760" s="17" t="s">
        <v>71</v>
      </c>
      <c r="D3760" t="s">
        <v>11040</v>
      </c>
      <c r="F3760" t="s">
        <v>11040</v>
      </c>
      <c r="K3760" s="18">
        <f>6281383097392</f>
        <v>6281383097392</v>
      </c>
      <c r="N3760" s="17" t="s">
        <v>81</v>
      </c>
      <c r="V3760" s="18">
        <f>6281383097392</f>
        <v>6281383097392</v>
      </c>
    </row>
    <row r="3761" ht="15" customHeight="1" spans="1:22" x14ac:dyDescent="0.25">
      <c r="A3761" s="17" t="s">
        <v>11041</v>
      </c>
      <c r="B3761" s="17" t="s">
        <v>70</v>
      </c>
      <c r="C3761" s="17" t="s">
        <v>71</v>
      </c>
      <c r="D3761" t="s">
        <v>11042</v>
      </c>
      <c r="F3761" t="s">
        <v>11042</v>
      </c>
      <c r="K3761" s="18">
        <f>628158702432</f>
        <v>628158702432</v>
      </c>
      <c r="N3761" s="17" t="s">
        <v>81</v>
      </c>
      <c r="V3761" s="18">
        <f>628158702432</f>
        <v>628158702432</v>
      </c>
    </row>
    <row r="3762" ht="15" customHeight="1" spans="1:27" x14ac:dyDescent="0.25">
      <c r="A3762" s="17" t="s">
        <v>11043</v>
      </c>
      <c r="B3762" s="17" t="s">
        <v>70</v>
      </c>
      <c r="C3762" s="17" t="s">
        <v>71</v>
      </c>
      <c r="D3762" t="s">
        <v>11042</v>
      </c>
      <c r="F3762" t="s">
        <v>4792</v>
      </c>
      <c r="K3762" s="18">
        <f>62214522886</f>
        <v>62214522886</v>
      </c>
      <c r="N3762" s="17" t="s">
        <v>77</v>
      </c>
      <c r="U3762" s="17"/>
      <c r="V3762" s="18">
        <f>62214522886</f>
        <v>62214522886</v>
      </c>
      <c r="W3762" t="s">
        <v>11044</v>
      </c>
      <c r="AA3762" s="17" t="s">
        <v>5003</v>
      </c>
    </row>
    <row r="3763" ht="15" customHeight="1" spans="1:25" x14ac:dyDescent="0.25">
      <c r="A3763" s="17" t="s">
        <v>11045</v>
      </c>
      <c r="B3763" s="17" t="s">
        <v>70</v>
      </c>
      <c r="C3763" s="17" t="s">
        <v>71</v>
      </c>
      <c r="D3763" t="s">
        <v>11042</v>
      </c>
      <c r="F3763" t="s">
        <v>3393</v>
      </c>
      <c r="K3763" s="18">
        <f>62818701270</f>
        <v>62818701270</v>
      </c>
      <c r="N3763" s="17" t="s">
        <v>77</v>
      </c>
      <c r="U3763" s="17"/>
      <c r="V3763" s="18">
        <f>62818701270</f>
        <v>62818701270</v>
      </c>
      <c r="W3763" t="s">
        <v>11046</v>
      </c>
      <c r="Y3763" s="17" t="s">
        <v>90</v>
      </c>
    </row>
    <row r="3764" ht="15" customHeight="1" spans="1:28" x14ac:dyDescent="0.25">
      <c r="A3764" s="17" t="s">
        <v>11047</v>
      </c>
      <c r="B3764" s="17" t="s">
        <v>70</v>
      </c>
      <c r="C3764" s="17" t="s">
        <v>71</v>
      </c>
      <c r="D3764" t="s">
        <v>11048</v>
      </c>
      <c r="F3764" t="s">
        <v>11049</v>
      </c>
      <c r="J3764" t="s">
        <v>115</v>
      </c>
      <c r="K3764" s="18" t="s">
        <v>11050</v>
      </c>
      <c r="N3764" s="17" t="s">
        <v>77</v>
      </c>
      <c r="O3764" t="s">
        <v>489</v>
      </c>
      <c r="U3764" s="17"/>
      <c r="V3764" s="18" t="s">
        <v>11050</v>
      </c>
      <c r="W3764" t="s">
        <v>7956</v>
      </c>
      <c r="Y3764" s="17" t="s">
        <v>1084</v>
      </c>
      <c r="AA3764" t="s">
        <v>3146</v>
      </c>
      <c r="AB3764" t="s">
        <v>119</v>
      </c>
    </row>
    <row r="3765" ht="15" customHeight="1" spans="1:22" x14ac:dyDescent="0.25">
      <c r="A3765" s="17" t="s">
        <v>11051</v>
      </c>
      <c r="B3765" s="17" t="s">
        <v>70</v>
      </c>
      <c r="C3765" s="17" t="s">
        <v>71</v>
      </c>
      <c r="D3765" t="s">
        <v>11042</v>
      </c>
      <c r="F3765" t="s">
        <v>11052</v>
      </c>
      <c r="K3765" s="18">
        <f>6287882703422</f>
        <v>6287882703422</v>
      </c>
      <c r="N3765" s="17" t="s">
        <v>81</v>
      </c>
      <c r="V3765" s="18">
        <f>6287882703422</f>
        <v>6287882703422</v>
      </c>
    </row>
    <row r="3766" ht="15" customHeight="1" spans="1:28" x14ac:dyDescent="0.25">
      <c r="A3766" s="17" t="s">
        <v>11053</v>
      </c>
      <c r="B3766" s="17" t="s">
        <v>70</v>
      </c>
      <c r="C3766" s="17" t="s">
        <v>71</v>
      </c>
      <c r="D3766" t="s">
        <v>11042</v>
      </c>
      <c r="F3766" t="s">
        <v>11054</v>
      </c>
      <c r="J3766" t="s">
        <v>115</v>
      </c>
      <c r="K3766" s="18" t="s">
        <v>11055</v>
      </c>
      <c r="N3766" s="17" t="s">
        <v>81</v>
      </c>
      <c r="O3766" t="s">
        <v>199</v>
      </c>
      <c r="U3766" s="17"/>
      <c r="V3766" s="18" t="s">
        <v>11055</v>
      </c>
      <c r="W3766" t="s">
        <v>11056</v>
      </c>
      <c r="Y3766" t="s">
        <v>190</v>
      </c>
      <c r="AA3766" s="17" t="s">
        <v>118</v>
      </c>
      <c r="AB3766" t="s">
        <v>119</v>
      </c>
    </row>
    <row r="3767" ht="15" customHeight="1" spans="1:22" x14ac:dyDescent="0.25">
      <c r="A3767" s="17" t="s">
        <v>11057</v>
      </c>
      <c r="B3767" s="17" t="s">
        <v>70</v>
      </c>
      <c r="C3767" s="17" t="s">
        <v>71</v>
      </c>
      <c r="D3767" t="s">
        <v>11042</v>
      </c>
      <c r="F3767" t="s">
        <v>11058</v>
      </c>
      <c r="K3767" s="18">
        <f>628161879673</f>
        <v>628161879673</v>
      </c>
      <c r="N3767" s="17" t="s">
        <v>81</v>
      </c>
      <c r="V3767" s="18">
        <f>628161879673</f>
        <v>628161879673</v>
      </c>
    </row>
    <row r="3768" ht="15" customHeight="1" spans="1:28" x14ac:dyDescent="0.25">
      <c r="A3768" s="17" t="s">
        <v>11059</v>
      </c>
      <c r="B3768" s="17" t="s">
        <v>70</v>
      </c>
      <c r="C3768" s="17" t="s">
        <v>71</v>
      </c>
      <c r="D3768" t="s">
        <v>11042</v>
      </c>
      <c r="F3768" t="s">
        <v>11060</v>
      </c>
      <c r="J3768" t="s">
        <v>115</v>
      </c>
      <c r="K3768" s="18" t="s">
        <v>11061</v>
      </c>
      <c r="N3768" s="17" t="s">
        <v>77</v>
      </c>
      <c r="O3768" t="s">
        <v>145</v>
      </c>
      <c r="V3768" s="18" t="s">
        <v>11061</v>
      </c>
      <c r="Y3768" t="s">
        <v>90</v>
      </c>
      <c r="AA3768" t="s">
        <v>118</v>
      </c>
      <c r="AB3768" t="s">
        <v>119</v>
      </c>
    </row>
    <row r="3769" ht="15" customHeight="1" spans="1:22" x14ac:dyDescent="0.25">
      <c r="A3769" s="17" t="s">
        <v>11062</v>
      </c>
      <c r="B3769" s="17" t="s">
        <v>70</v>
      </c>
      <c r="C3769" s="17" t="s">
        <v>71</v>
      </c>
      <c r="D3769" t="s">
        <v>11042</v>
      </c>
      <c r="F3769" t="s">
        <v>7709</v>
      </c>
      <c r="K3769" s="18">
        <f>6281399217789</f>
        <v>6281399217789</v>
      </c>
      <c r="N3769" s="17" t="s">
        <v>77</v>
      </c>
      <c r="V3769" s="18">
        <f>6281399217789</f>
        <v>6281399217789</v>
      </c>
    </row>
    <row r="3770" ht="15" customHeight="1" spans="1:22" x14ac:dyDescent="0.25">
      <c r="A3770" s="17" t="s">
        <v>11063</v>
      </c>
      <c r="B3770" s="17" t="s">
        <v>70</v>
      </c>
      <c r="C3770" s="17" t="s">
        <v>71</v>
      </c>
      <c r="D3770" t="s">
        <v>11042</v>
      </c>
      <c r="F3770" t="s">
        <v>2938</v>
      </c>
      <c r="K3770" s="18">
        <f>6281280085700</f>
        <v>6281280085700</v>
      </c>
      <c r="N3770" s="17" t="s">
        <v>81</v>
      </c>
      <c r="V3770" s="18">
        <f>6281280085700</f>
        <v>6281280085700</v>
      </c>
    </row>
    <row r="3771" ht="15" customHeight="1" spans="1:28" x14ac:dyDescent="0.25">
      <c r="A3771" s="17" t="s">
        <v>11064</v>
      </c>
      <c r="B3771" s="17" t="s">
        <v>70</v>
      </c>
      <c r="C3771" s="17" t="s">
        <v>71</v>
      </c>
      <c r="D3771" t="s">
        <v>11042</v>
      </c>
      <c r="F3771" t="s">
        <v>11065</v>
      </c>
      <c r="J3771" t="s">
        <v>115</v>
      </c>
      <c r="K3771" s="18" t="s">
        <v>11066</v>
      </c>
      <c r="N3771" s="17" t="s">
        <v>81</v>
      </c>
      <c r="O3771" t="s">
        <v>117</v>
      </c>
      <c r="V3771" s="18" t="s">
        <v>11066</v>
      </c>
      <c r="Y3771" t="s">
        <v>115</v>
      </c>
      <c r="AA3771" t="s">
        <v>115</v>
      </c>
      <c r="AB3771" t="s">
        <v>119</v>
      </c>
    </row>
    <row r="3772" ht="15" customHeight="1" spans="1:22" x14ac:dyDescent="0.25">
      <c r="A3772" s="17" t="s">
        <v>11067</v>
      </c>
      <c r="B3772" s="17" t="s">
        <v>70</v>
      </c>
      <c r="C3772" s="17" t="s">
        <v>71</v>
      </c>
      <c r="D3772" t="s">
        <v>11042</v>
      </c>
      <c r="F3772" t="s">
        <v>1385</v>
      </c>
      <c r="K3772" s="18">
        <f>6281333932003</f>
        <v>6281333932003</v>
      </c>
      <c r="N3772" s="17" t="s">
        <v>81</v>
      </c>
      <c r="V3772" s="18">
        <f>6281333932003</f>
        <v>6281333932003</v>
      </c>
    </row>
    <row r="3773" ht="15" customHeight="1" spans="1:28" x14ac:dyDescent="0.25">
      <c r="A3773" s="17" t="s">
        <v>11068</v>
      </c>
      <c r="B3773" s="17" t="s">
        <v>70</v>
      </c>
      <c r="C3773" s="17" t="s">
        <v>71</v>
      </c>
      <c r="D3773" t="s">
        <v>11042</v>
      </c>
      <c r="F3773" t="s">
        <v>10833</v>
      </c>
      <c r="J3773" t="s">
        <v>115</v>
      </c>
      <c r="K3773" s="18" t="s">
        <v>11069</v>
      </c>
      <c r="N3773" s="17" t="s">
        <v>81</v>
      </c>
      <c r="O3773" t="s">
        <v>117</v>
      </c>
      <c r="V3773" s="18" t="s">
        <v>11069</v>
      </c>
      <c r="Y3773" t="s">
        <v>90</v>
      </c>
      <c r="AA3773" t="s">
        <v>118</v>
      </c>
      <c r="AB3773" t="s">
        <v>119</v>
      </c>
    </row>
    <row r="3774" ht="15" customHeight="1" spans="1:22" x14ac:dyDescent="0.25">
      <c r="A3774" s="17" t="s">
        <v>11070</v>
      </c>
      <c r="B3774" s="17" t="s">
        <v>70</v>
      </c>
      <c r="C3774" s="17" t="s">
        <v>71</v>
      </c>
      <c r="D3774" t="s">
        <v>11042</v>
      </c>
      <c r="F3774" t="s">
        <v>2527</v>
      </c>
      <c r="K3774" s="18">
        <f>6281908080992</f>
        <v>6281908080992</v>
      </c>
      <c r="N3774" s="17" t="s">
        <v>81</v>
      </c>
      <c r="V3774" s="18">
        <f>6281908080992</f>
        <v>6281908080992</v>
      </c>
    </row>
    <row r="3775" ht="15" customHeight="1" spans="1:28" x14ac:dyDescent="0.25">
      <c r="A3775" s="17" t="s">
        <v>11071</v>
      </c>
      <c r="B3775" s="17" t="s">
        <v>70</v>
      </c>
      <c r="C3775" s="17" t="s">
        <v>71</v>
      </c>
      <c r="D3775" t="s">
        <v>11042</v>
      </c>
      <c r="F3775" t="s">
        <v>2527</v>
      </c>
      <c r="J3775" t="s">
        <v>115</v>
      </c>
      <c r="K3775" s="18" t="s">
        <v>11072</v>
      </c>
      <c r="N3775" s="17" t="s">
        <v>81</v>
      </c>
      <c r="O3775" t="s">
        <v>117</v>
      </c>
      <c r="V3775" s="18" t="s">
        <v>11072</v>
      </c>
      <c r="Y3775" t="s">
        <v>190</v>
      </c>
      <c r="AA3775" t="s">
        <v>118</v>
      </c>
      <c r="AB3775" t="s">
        <v>119</v>
      </c>
    </row>
    <row r="3776" ht="15" customHeight="1" spans="1:22" x14ac:dyDescent="0.25">
      <c r="A3776" s="17" t="s">
        <v>11073</v>
      </c>
      <c r="B3776" s="17" t="s">
        <v>70</v>
      </c>
      <c r="C3776" s="17" t="s">
        <v>71</v>
      </c>
      <c r="D3776" t="s">
        <v>11042</v>
      </c>
      <c r="F3776" t="s">
        <v>11074</v>
      </c>
      <c r="K3776" s="18">
        <f>62816800946</f>
        <v>62816800946</v>
      </c>
      <c r="N3776" s="17" t="s">
        <v>77</v>
      </c>
      <c r="V3776" s="18">
        <f>62816800946</f>
        <v>62816800946</v>
      </c>
    </row>
    <row r="3777" ht="15" customHeight="1" spans="1:22" x14ac:dyDescent="0.25">
      <c r="A3777" s="17" t="s">
        <v>11075</v>
      </c>
      <c r="B3777" s="17" t="s">
        <v>70</v>
      </c>
      <c r="C3777" s="17" t="s">
        <v>71</v>
      </c>
      <c r="D3777" t="s">
        <v>11042</v>
      </c>
      <c r="F3777" t="s">
        <v>11076</v>
      </c>
      <c r="K3777" s="18">
        <f>6281238182000</f>
        <v>6281238182000</v>
      </c>
      <c r="N3777" s="17" t="s">
        <v>81</v>
      </c>
      <c r="V3777" s="18">
        <f>6281238182000</f>
        <v>6281238182000</v>
      </c>
    </row>
    <row r="3778" ht="15" customHeight="1" spans="1:22" x14ac:dyDescent="0.25">
      <c r="A3778" s="17" t="s">
        <v>11077</v>
      </c>
      <c r="B3778" s="17" t="s">
        <v>70</v>
      </c>
      <c r="C3778" s="17" t="s">
        <v>71</v>
      </c>
      <c r="D3778" t="s">
        <v>11042</v>
      </c>
      <c r="F3778" t="s">
        <v>11078</v>
      </c>
      <c r="K3778" s="18">
        <f>62811985944</f>
        <v>62811985944</v>
      </c>
      <c r="N3778" s="17" t="s">
        <v>77</v>
      </c>
      <c r="V3778" s="18">
        <f>62811985944</f>
        <v>62811985944</v>
      </c>
    </row>
    <row r="3779" ht="15" customHeight="1" spans="1:28" x14ac:dyDescent="0.25">
      <c r="A3779" s="17" t="s">
        <v>11079</v>
      </c>
      <c r="B3779" s="17" t="s">
        <v>70</v>
      </c>
      <c r="C3779" s="17" t="s">
        <v>71</v>
      </c>
      <c r="D3779" t="s">
        <v>11042</v>
      </c>
      <c r="F3779" t="s">
        <v>7657</v>
      </c>
      <c r="J3779" t="s">
        <v>115</v>
      </c>
      <c r="K3779" s="18" t="s">
        <v>11080</v>
      </c>
      <c r="N3779" s="17" t="s">
        <v>77</v>
      </c>
      <c r="O3779" t="s">
        <v>117</v>
      </c>
      <c r="V3779" s="18" t="s">
        <v>11080</v>
      </c>
      <c r="Y3779" t="s">
        <v>190</v>
      </c>
      <c r="AA3779" t="s">
        <v>118</v>
      </c>
      <c r="AB3779" t="s">
        <v>119</v>
      </c>
    </row>
    <row r="3780" ht="15" customHeight="1" spans="1:28" x14ac:dyDescent="0.25">
      <c r="A3780" s="17" t="s">
        <v>11081</v>
      </c>
      <c r="B3780" s="17" t="s">
        <v>70</v>
      </c>
      <c r="C3780" s="17" t="s">
        <v>71</v>
      </c>
      <c r="D3780" t="s">
        <v>11042</v>
      </c>
      <c r="F3780" t="s">
        <v>11082</v>
      </c>
      <c r="J3780" t="s">
        <v>115</v>
      </c>
      <c r="K3780" s="18" t="s">
        <v>11083</v>
      </c>
      <c r="N3780" s="17" t="s">
        <v>81</v>
      </c>
      <c r="O3780" t="s">
        <v>489</v>
      </c>
      <c r="U3780" s="17"/>
      <c r="V3780" s="18" t="s">
        <v>11083</v>
      </c>
      <c r="W3780" t="s">
        <v>11084</v>
      </c>
      <c r="Y3780" t="s">
        <v>1084</v>
      </c>
      <c r="AA3780" t="s">
        <v>3146</v>
      </c>
      <c r="AB3780" t="s">
        <v>119</v>
      </c>
    </row>
    <row r="3781" ht="15" customHeight="1" spans="1:28" x14ac:dyDescent="0.25">
      <c r="A3781" s="17" t="s">
        <v>11085</v>
      </c>
      <c r="B3781" s="17" t="s">
        <v>70</v>
      </c>
      <c r="C3781" s="17" t="s">
        <v>71</v>
      </c>
      <c r="D3781" t="s">
        <v>11042</v>
      </c>
      <c r="F3781" t="s">
        <v>11086</v>
      </c>
      <c r="J3781" t="s">
        <v>115</v>
      </c>
      <c r="K3781" s="18" t="s">
        <v>11087</v>
      </c>
      <c r="N3781" s="17" t="s">
        <v>81</v>
      </c>
      <c r="O3781" t="s">
        <v>261</v>
      </c>
      <c r="U3781" s="17"/>
      <c r="V3781" s="18" t="s">
        <v>11087</v>
      </c>
      <c r="W3781" t="s">
        <v>11088</v>
      </c>
      <c r="Y3781" t="s">
        <v>626</v>
      </c>
      <c r="AA3781" s="17" t="s">
        <v>3090</v>
      </c>
      <c r="AB3781" t="s">
        <v>119</v>
      </c>
    </row>
    <row r="3782" ht="15" customHeight="1" spans="1:23" x14ac:dyDescent="0.25">
      <c r="A3782" s="17" t="s">
        <v>11089</v>
      </c>
      <c r="B3782" s="17" t="s">
        <v>70</v>
      </c>
      <c r="C3782" s="17" t="s">
        <v>71</v>
      </c>
      <c r="D3782" t="s">
        <v>11042</v>
      </c>
      <c r="F3782" t="s">
        <v>1525</v>
      </c>
      <c r="K3782" s="18">
        <f>6281287152772</f>
        <v>6281287152772</v>
      </c>
      <c r="N3782" s="17" t="s">
        <v>81</v>
      </c>
      <c r="U3782" s="17"/>
      <c r="V3782" s="18">
        <f>6281287152772</f>
        <v>6281287152772</v>
      </c>
      <c r="W3782" t="s">
        <v>11090</v>
      </c>
    </row>
    <row r="3783" ht="15" customHeight="1" spans="1:22" x14ac:dyDescent="0.25">
      <c r="A3783" s="17" t="s">
        <v>11091</v>
      </c>
      <c r="B3783" s="17" t="s">
        <v>70</v>
      </c>
      <c r="C3783" s="17" t="s">
        <v>71</v>
      </c>
      <c r="D3783" t="s">
        <v>11042</v>
      </c>
      <c r="F3783" t="s">
        <v>11092</v>
      </c>
      <c r="K3783" s="18">
        <f>62811838536</f>
        <v>62811838536</v>
      </c>
      <c r="N3783" s="17" t="s">
        <v>77</v>
      </c>
      <c r="V3783" s="18">
        <f>62811838536</f>
        <v>62811838536</v>
      </c>
    </row>
    <row r="3784" ht="15" customHeight="1" spans="1:23" x14ac:dyDescent="0.25">
      <c r="A3784" s="17" t="s">
        <v>11093</v>
      </c>
      <c r="B3784" s="17" t="s">
        <v>70</v>
      </c>
      <c r="C3784" s="17" t="s">
        <v>71</v>
      </c>
      <c r="D3784" t="s">
        <v>11042</v>
      </c>
      <c r="F3784" t="s">
        <v>11094</v>
      </c>
      <c r="K3784" s="18">
        <f>62816864602</f>
        <v>62816864602</v>
      </c>
      <c r="N3784" s="17" t="s">
        <v>81</v>
      </c>
      <c r="U3784" s="17"/>
      <c r="V3784" s="18">
        <f>62816864602</f>
        <v>62816864602</v>
      </c>
      <c r="W3784" t="s">
        <v>11095</v>
      </c>
    </row>
    <row r="3785" ht="15" customHeight="1" spans="1:28" x14ac:dyDescent="0.25">
      <c r="A3785" s="17" t="s">
        <v>11096</v>
      </c>
      <c r="B3785" s="17" t="s">
        <v>70</v>
      </c>
      <c r="C3785" s="17" t="s">
        <v>71</v>
      </c>
      <c r="D3785" t="s">
        <v>11097</v>
      </c>
      <c r="F3785" t="s">
        <v>11098</v>
      </c>
      <c r="J3785" t="s">
        <v>115</v>
      </c>
      <c r="K3785" s="18" t="s">
        <v>11099</v>
      </c>
      <c r="N3785" s="17" t="s">
        <v>77</v>
      </c>
      <c r="O3785" t="s">
        <v>145</v>
      </c>
      <c r="V3785" s="18" t="s">
        <v>11099</v>
      </c>
      <c r="Y3785" t="s">
        <v>181</v>
      </c>
      <c r="AA3785" t="s">
        <v>1672</v>
      </c>
      <c r="AB3785" t="s">
        <v>119</v>
      </c>
    </row>
    <row r="3786" ht="15" customHeight="1" spans="1:22" x14ac:dyDescent="0.25">
      <c r="A3786" s="17" t="s">
        <v>11100</v>
      </c>
      <c r="B3786" s="17" t="s">
        <v>70</v>
      </c>
      <c r="C3786" s="17" t="s">
        <v>71</v>
      </c>
      <c r="D3786" t="s">
        <v>11101</v>
      </c>
      <c r="F3786" t="s">
        <v>11102</v>
      </c>
      <c r="K3786" s="18">
        <f>62811439899</f>
        <v>62811439899</v>
      </c>
      <c r="N3786" s="17" t="s">
        <v>77</v>
      </c>
      <c r="V3786" s="18">
        <f>62811439899</f>
        <v>62811439899</v>
      </c>
    </row>
    <row r="3787" ht="15" customHeight="1" spans="1:22" x14ac:dyDescent="0.25">
      <c r="A3787" s="17" t="s">
        <v>11103</v>
      </c>
      <c r="B3787" s="17" t="s">
        <v>70</v>
      </c>
      <c r="C3787" s="17" t="s">
        <v>71</v>
      </c>
      <c r="D3787" t="s">
        <v>11104</v>
      </c>
      <c r="F3787" t="s">
        <v>11104</v>
      </c>
      <c r="K3787" s="18">
        <f>6281280130049</f>
        <v>6281280130049</v>
      </c>
      <c r="N3787" s="17" t="s">
        <v>77</v>
      </c>
      <c r="V3787" s="18">
        <f>6281280130049</f>
        <v>6281280130049</v>
      </c>
    </row>
    <row r="3788" ht="15" customHeight="1" spans="1:25" x14ac:dyDescent="0.25">
      <c r="A3788" s="17" t="s">
        <v>11105</v>
      </c>
      <c r="B3788" s="17" t="s">
        <v>70</v>
      </c>
      <c r="C3788" s="17" t="s">
        <v>71</v>
      </c>
      <c r="D3788" t="s">
        <v>11106</v>
      </c>
      <c r="F3788" t="s">
        <v>2258</v>
      </c>
      <c r="K3788" s="18">
        <f>6282188499990</f>
        <v>6282188499990</v>
      </c>
      <c r="N3788" s="17" t="s">
        <v>77</v>
      </c>
      <c r="U3788" s="17"/>
      <c r="V3788" s="18">
        <f>6282188499990</f>
        <v>6282188499990</v>
      </c>
      <c r="W3788" t="s">
        <v>11107</v>
      </c>
      <c r="Y3788" s="17" t="s">
        <v>500</v>
      </c>
    </row>
    <row r="3789" ht="15" customHeight="1" spans="1:28" x14ac:dyDescent="0.25">
      <c r="A3789" s="17" t="s">
        <v>11108</v>
      </c>
      <c r="B3789" s="17" t="s">
        <v>70</v>
      </c>
      <c r="C3789" s="17" t="s">
        <v>71</v>
      </c>
      <c r="D3789" t="s">
        <v>11109</v>
      </c>
      <c r="F3789" t="s">
        <v>2258</v>
      </c>
      <c r="J3789" t="s">
        <v>115</v>
      </c>
      <c r="K3789" s="18" t="s">
        <v>11110</v>
      </c>
      <c r="N3789" s="17" t="s">
        <v>77</v>
      </c>
      <c r="O3789" t="s">
        <v>261</v>
      </c>
      <c r="U3789" s="17"/>
      <c r="V3789" s="18" t="s">
        <v>11110</v>
      </c>
      <c r="W3789" t="s">
        <v>11111</v>
      </c>
      <c r="Y3789" t="s">
        <v>90</v>
      </c>
      <c r="AA3789" t="s">
        <v>118</v>
      </c>
      <c r="AB3789" t="s">
        <v>119</v>
      </c>
    </row>
    <row r="3790" ht="15" customHeight="1" spans="1:22" x14ac:dyDescent="0.25">
      <c r="A3790" s="17" t="s">
        <v>11112</v>
      </c>
      <c r="B3790" s="17" t="s">
        <v>70</v>
      </c>
      <c r="C3790" s="17" t="s">
        <v>71</v>
      </c>
      <c r="D3790" t="s">
        <v>11113</v>
      </c>
      <c r="F3790" t="s">
        <v>11114</v>
      </c>
      <c r="K3790" s="18">
        <f>6282339341579</f>
        <v>6282339341579</v>
      </c>
      <c r="N3790" s="17" t="s">
        <v>81</v>
      </c>
      <c r="V3790" s="18">
        <f>6282339341579</f>
        <v>6282339341579</v>
      </c>
    </row>
    <row r="3791" ht="15" customHeight="1" spans="1:28" x14ac:dyDescent="0.25">
      <c r="A3791" s="17" t="s">
        <v>11115</v>
      </c>
      <c r="B3791" s="17" t="s">
        <v>70</v>
      </c>
      <c r="C3791" s="17" t="s">
        <v>71</v>
      </c>
      <c r="D3791" t="s">
        <v>11116</v>
      </c>
      <c r="F3791" t="s">
        <v>9606</v>
      </c>
      <c r="J3791" t="s">
        <v>115</v>
      </c>
      <c r="K3791" s="18" t="s">
        <v>11117</v>
      </c>
      <c r="N3791" s="17" t="s">
        <v>77</v>
      </c>
      <c r="O3791" t="s">
        <v>261</v>
      </c>
      <c r="U3791" s="17"/>
      <c r="V3791" s="18" t="s">
        <v>11117</v>
      </c>
      <c r="W3791" t="s">
        <v>11118</v>
      </c>
      <c r="Y3791" t="s">
        <v>397</v>
      </c>
      <c r="AA3791" t="s">
        <v>1199</v>
      </c>
      <c r="AB3791" t="s">
        <v>119</v>
      </c>
    </row>
    <row r="3792" ht="15" customHeight="1" spans="1:22" x14ac:dyDescent="0.25">
      <c r="A3792" s="17" t="s">
        <v>11119</v>
      </c>
      <c r="B3792" s="17" t="s">
        <v>70</v>
      </c>
      <c r="C3792" s="17" t="s">
        <v>71</v>
      </c>
      <c r="D3792" t="s">
        <v>11120</v>
      </c>
      <c r="F3792" t="s">
        <v>11120</v>
      </c>
      <c r="K3792" s="18">
        <v>811102423</v>
      </c>
      <c r="N3792" s="17" t="s">
        <v>77</v>
      </c>
      <c r="V3792" s="18">
        <v>811102423</v>
      </c>
    </row>
    <row r="3793" ht="15" customHeight="1" spans="1:22" x14ac:dyDescent="0.25">
      <c r="A3793" s="17" t="s">
        <v>11121</v>
      </c>
      <c r="B3793" s="17" t="s">
        <v>70</v>
      </c>
      <c r="C3793" s="17" t="s">
        <v>71</v>
      </c>
      <c r="D3793" t="s">
        <v>11120</v>
      </c>
      <c r="F3793" t="s">
        <v>4866</v>
      </c>
      <c r="K3793" s="18">
        <f>628151637745</f>
        <v>628151637745</v>
      </c>
      <c r="N3793" s="17" t="s">
        <v>77</v>
      </c>
      <c r="V3793" s="18">
        <f>628151637745</f>
        <v>628151637745</v>
      </c>
    </row>
    <row r="3794" ht="15" customHeight="1" spans="1:28" x14ac:dyDescent="0.25">
      <c r="A3794" s="17" t="s">
        <v>11122</v>
      </c>
      <c r="B3794" s="17" t="s">
        <v>70</v>
      </c>
      <c r="C3794" s="17" t="s">
        <v>71</v>
      </c>
      <c r="D3794" t="s">
        <v>11120</v>
      </c>
      <c r="F3794" t="s">
        <v>11123</v>
      </c>
      <c r="J3794" t="s">
        <v>115</v>
      </c>
      <c r="K3794" s="18" t="s">
        <v>11124</v>
      </c>
      <c r="N3794" s="17" t="s">
        <v>74</v>
      </c>
      <c r="O3794" t="s">
        <v>117</v>
      </c>
      <c r="V3794" s="18" t="s">
        <v>11124</v>
      </c>
      <c r="Y3794" t="s">
        <v>190</v>
      </c>
      <c r="AA3794" t="s">
        <v>118</v>
      </c>
      <c r="AB3794" t="s">
        <v>119</v>
      </c>
    </row>
    <row r="3795" ht="15" customHeight="1" spans="1:25" x14ac:dyDescent="0.25">
      <c r="A3795" s="17" t="s">
        <v>11125</v>
      </c>
      <c r="B3795" s="17" t="s">
        <v>70</v>
      </c>
      <c r="C3795" s="17" t="s">
        <v>71</v>
      </c>
      <c r="D3795" t="s">
        <v>11120</v>
      </c>
      <c r="F3795" t="s">
        <v>11126</v>
      </c>
      <c r="K3795" s="18">
        <f>628179231303</f>
        <v>628179231303</v>
      </c>
      <c r="N3795" s="17" t="s">
        <v>77</v>
      </c>
      <c r="U3795" s="17"/>
      <c r="V3795" s="18">
        <f>628179231303</f>
        <v>628179231303</v>
      </c>
      <c r="W3795" t="s">
        <v>11127</v>
      </c>
      <c r="Y3795" s="17" t="s">
        <v>11128</v>
      </c>
    </row>
    <row r="3796" ht="15" customHeight="1" spans="1:22" x14ac:dyDescent="0.25">
      <c r="A3796" s="17" t="s">
        <v>11129</v>
      </c>
      <c r="B3796" s="17" t="s">
        <v>70</v>
      </c>
      <c r="C3796" s="17" t="s">
        <v>71</v>
      </c>
      <c r="D3796" t="s">
        <v>11120</v>
      </c>
      <c r="F3796" t="s">
        <v>11130</v>
      </c>
      <c r="K3796" s="18">
        <f>628139722008</f>
        <v>628139722008</v>
      </c>
      <c r="N3796" s="17" t="s">
        <v>74</v>
      </c>
      <c r="V3796" s="18">
        <f>628139722008</f>
        <v>628139722008</v>
      </c>
    </row>
    <row r="3797" ht="15" customHeight="1" spans="1:23" x14ac:dyDescent="0.25">
      <c r="A3797" s="17" t="s">
        <v>11131</v>
      </c>
      <c r="B3797" s="17" t="s">
        <v>70</v>
      </c>
      <c r="C3797" s="17" t="s">
        <v>71</v>
      </c>
      <c r="D3797" t="s">
        <v>11120</v>
      </c>
      <c r="F3797" t="s">
        <v>11132</v>
      </c>
      <c r="K3797" s="18">
        <f>628159814763</f>
        <v>628159814763</v>
      </c>
      <c r="N3797" s="17" t="s">
        <v>77</v>
      </c>
      <c r="U3797" s="17"/>
      <c r="V3797" s="18">
        <f>628159814763</f>
        <v>628159814763</v>
      </c>
      <c r="W3797" t="s">
        <v>11133</v>
      </c>
    </row>
    <row r="3798" ht="15" customHeight="1" spans="1:28" x14ac:dyDescent="0.25">
      <c r="A3798" s="17" t="s">
        <v>11134</v>
      </c>
      <c r="B3798" s="17" t="s">
        <v>70</v>
      </c>
      <c r="C3798" s="17" t="s">
        <v>71</v>
      </c>
      <c r="D3798" t="s">
        <v>11120</v>
      </c>
      <c r="F3798" t="s">
        <v>11135</v>
      </c>
      <c r="J3798" t="s">
        <v>115</v>
      </c>
      <c r="K3798" s="18" t="s">
        <v>11136</v>
      </c>
      <c r="N3798" s="17" t="s">
        <v>77</v>
      </c>
      <c r="O3798" t="s">
        <v>117</v>
      </c>
      <c r="V3798" s="18" t="s">
        <v>11136</v>
      </c>
      <c r="Y3798" t="s">
        <v>90</v>
      </c>
      <c r="AA3798" t="s">
        <v>118</v>
      </c>
      <c r="AB3798" t="s">
        <v>119</v>
      </c>
    </row>
    <row r="3799" ht="15" customHeight="1" spans="1:22" x14ac:dyDescent="0.25">
      <c r="A3799" s="17" t="s">
        <v>11137</v>
      </c>
      <c r="B3799" s="17" t="s">
        <v>70</v>
      </c>
      <c r="C3799" s="17" t="s">
        <v>71</v>
      </c>
      <c r="D3799" t="s">
        <v>11120</v>
      </c>
      <c r="F3799" t="s">
        <v>11138</v>
      </c>
      <c r="K3799" s="18">
        <f>628888011111</f>
        <v>628888011111</v>
      </c>
      <c r="N3799" s="17" t="s">
        <v>77</v>
      </c>
      <c r="V3799" s="18">
        <f>628888011111</f>
        <v>628888011111</v>
      </c>
    </row>
    <row r="3800" ht="15" customHeight="1" spans="1:23" x14ac:dyDescent="0.25">
      <c r="A3800" s="17" t="s">
        <v>11139</v>
      </c>
      <c r="B3800" s="17" t="s">
        <v>70</v>
      </c>
      <c r="C3800" s="17" t="s">
        <v>71</v>
      </c>
      <c r="D3800" t="s">
        <v>11120</v>
      </c>
      <c r="F3800" t="s">
        <v>11140</v>
      </c>
      <c r="K3800" s="18">
        <f>628122122880</f>
        <v>628122122880</v>
      </c>
      <c r="N3800" s="17" t="s">
        <v>77</v>
      </c>
      <c r="U3800" s="17"/>
      <c r="V3800" s="18">
        <f>628122122880</f>
        <v>628122122880</v>
      </c>
      <c r="W3800" t="s">
        <v>11141</v>
      </c>
    </row>
    <row r="3801" ht="15" customHeight="1" spans="1:28" x14ac:dyDescent="0.25">
      <c r="A3801" s="17" t="s">
        <v>11142</v>
      </c>
      <c r="B3801" s="17" t="s">
        <v>70</v>
      </c>
      <c r="C3801" s="17" t="s">
        <v>71</v>
      </c>
      <c r="D3801" t="s">
        <v>11120</v>
      </c>
      <c r="F3801" t="s">
        <v>11143</v>
      </c>
      <c r="J3801" t="s">
        <v>115</v>
      </c>
      <c r="K3801" s="18" t="s">
        <v>11144</v>
      </c>
      <c r="N3801" s="17" t="s">
        <v>81</v>
      </c>
      <c r="O3801" t="s">
        <v>489</v>
      </c>
      <c r="U3801" s="17"/>
      <c r="V3801" s="18" t="s">
        <v>11144</v>
      </c>
      <c r="W3801" t="s">
        <v>11145</v>
      </c>
      <c r="Y3801" s="17" t="s">
        <v>90</v>
      </c>
      <c r="AA3801" t="s">
        <v>118</v>
      </c>
      <c r="AB3801" t="s">
        <v>119</v>
      </c>
    </row>
    <row r="3802" ht="15" customHeight="1" spans="1:22" x14ac:dyDescent="0.25">
      <c r="A3802" s="17" t="s">
        <v>11146</v>
      </c>
      <c r="B3802" s="17" t="s">
        <v>70</v>
      </c>
      <c r="C3802" s="17" t="s">
        <v>71</v>
      </c>
      <c r="D3802" t="s">
        <v>11120</v>
      </c>
      <c r="F3802" t="s">
        <v>7657</v>
      </c>
      <c r="K3802" s="18">
        <f>62811951376</f>
        <v>62811951376</v>
      </c>
      <c r="N3802" s="17" t="s">
        <v>81</v>
      </c>
      <c r="V3802" s="18">
        <f>62811951376</f>
        <v>62811951376</v>
      </c>
    </row>
    <row r="3803" ht="15" customHeight="1" spans="1:22" x14ac:dyDescent="0.25">
      <c r="A3803" s="17" t="s">
        <v>11147</v>
      </c>
      <c r="B3803" s="17" t="s">
        <v>70</v>
      </c>
      <c r="C3803" s="17" t="s">
        <v>71</v>
      </c>
      <c r="D3803" t="s">
        <v>11148</v>
      </c>
      <c r="F3803" t="s">
        <v>11148</v>
      </c>
      <c r="K3803" s="18">
        <f>62811925133</f>
        <v>62811925133</v>
      </c>
      <c r="N3803" s="17" t="s">
        <v>81</v>
      </c>
      <c r="V3803" s="18">
        <f>62811925133</f>
        <v>62811925133</v>
      </c>
    </row>
    <row r="3804" ht="15" customHeight="1" spans="1:22" x14ac:dyDescent="0.25">
      <c r="A3804" s="17" t="s">
        <v>11149</v>
      </c>
      <c r="B3804" s="17" t="s">
        <v>70</v>
      </c>
      <c r="C3804" s="17" t="s">
        <v>71</v>
      </c>
      <c r="D3804" t="s">
        <v>11150</v>
      </c>
      <c r="F3804" t="s">
        <v>11151</v>
      </c>
      <c r="K3804" s="18">
        <f>6281283333370</f>
        <v>6281283333370</v>
      </c>
      <c r="N3804" s="17" t="s">
        <v>77</v>
      </c>
      <c r="V3804" s="18">
        <f>6281283333370</f>
        <v>6281283333370</v>
      </c>
    </row>
    <row r="3805" ht="15" customHeight="1" spans="1:23" x14ac:dyDescent="0.25">
      <c r="A3805" s="17" t="s">
        <v>11152</v>
      </c>
      <c r="B3805" s="17" t="s">
        <v>70</v>
      </c>
      <c r="C3805" s="17" t="s">
        <v>71</v>
      </c>
      <c r="D3805" t="s">
        <v>11153</v>
      </c>
      <c r="F3805" t="s">
        <v>301</v>
      </c>
      <c r="K3805" s="18">
        <f>628159301766</f>
        <v>628159301766</v>
      </c>
      <c r="N3805" s="17" t="s">
        <v>81</v>
      </c>
      <c r="U3805" s="17"/>
      <c r="V3805" s="18">
        <f>628159301766</f>
        <v>628159301766</v>
      </c>
      <c r="W3805" t="s">
        <v>11154</v>
      </c>
    </row>
    <row r="3806" ht="15" customHeight="1" spans="1:22" x14ac:dyDescent="0.25">
      <c r="A3806" s="17" t="s">
        <v>11155</v>
      </c>
      <c r="B3806" s="17" t="s">
        <v>70</v>
      </c>
      <c r="C3806" s="17" t="s">
        <v>71</v>
      </c>
      <c r="D3806" t="s">
        <v>11153</v>
      </c>
      <c r="F3806" t="s">
        <v>11156</v>
      </c>
      <c r="K3806" s="18">
        <v>7137025909</v>
      </c>
      <c r="N3806" s="17" t="s">
        <v>77</v>
      </c>
      <c r="V3806" s="18">
        <v>7137025909</v>
      </c>
    </row>
    <row r="3807" ht="15" customHeight="1" spans="1:23" x14ac:dyDescent="0.25">
      <c r="A3807" s="17" t="s">
        <v>11157</v>
      </c>
      <c r="B3807" s="17" t="s">
        <v>70</v>
      </c>
      <c r="C3807" s="17" t="s">
        <v>71</v>
      </c>
      <c r="D3807" t="s">
        <v>11158</v>
      </c>
      <c r="F3807" t="s">
        <v>11159</v>
      </c>
      <c r="K3807" s="18">
        <f>628176809900</f>
        <v>628176809900</v>
      </c>
      <c r="N3807" s="17" t="s">
        <v>81</v>
      </c>
      <c r="U3807" s="17"/>
      <c r="V3807" s="18">
        <f>628176809900</f>
        <v>628176809900</v>
      </c>
      <c r="W3807" t="s">
        <v>11160</v>
      </c>
    </row>
    <row r="3808" ht="15" customHeight="1" spans="1:27" x14ac:dyDescent="0.25">
      <c r="A3808" s="17" t="s">
        <v>11161</v>
      </c>
      <c r="B3808" s="17" t="s">
        <v>70</v>
      </c>
      <c r="C3808" s="17" t="s">
        <v>71</v>
      </c>
      <c r="D3808" t="s">
        <v>11162</v>
      </c>
      <c r="F3808" t="s">
        <v>11163</v>
      </c>
      <c r="K3808" s="18">
        <f>628111894444</f>
        <v>628111894444</v>
      </c>
      <c r="N3808" s="17" t="s">
        <v>77</v>
      </c>
      <c r="U3808" s="17"/>
      <c r="V3808" s="18">
        <f>628111894444</f>
        <v>628111894444</v>
      </c>
      <c r="W3808" t="s">
        <v>11164</v>
      </c>
      <c r="Y3808" s="17" t="s">
        <v>96</v>
      </c>
      <c r="AA3808" s="17" t="s">
        <v>11165</v>
      </c>
    </row>
    <row r="3809" ht="15" customHeight="1" spans="1:22" x14ac:dyDescent="0.25">
      <c r="A3809" s="17" t="s">
        <v>11166</v>
      </c>
      <c r="B3809" s="17" t="s">
        <v>70</v>
      </c>
      <c r="C3809" s="17" t="s">
        <v>71</v>
      </c>
      <c r="D3809" t="s">
        <v>11167</v>
      </c>
      <c r="F3809" t="s">
        <v>4858</v>
      </c>
      <c r="K3809" s="18">
        <f>628170000173</f>
        <v>628170000173</v>
      </c>
      <c r="N3809" s="17" t="s">
        <v>81</v>
      </c>
      <c r="V3809" s="18">
        <f>628170000173</f>
        <v>628170000173</v>
      </c>
    </row>
    <row r="3810" ht="15" customHeight="1" spans="1:22" x14ac:dyDescent="0.25">
      <c r="A3810" s="17" t="s">
        <v>11168</v>
      </c>
      <c r="B3810" s="17" t="s">
        <v>70</v>
      </c>
      <c r="C3810" s="17" t="s">
        <v>71</v>
      </c>
      <c r="D3810" t="s">
        <v>11169</v>
      </c>
      <c r="F3810" t="s">
        <v>11169</v>
      </c>
      <c r="K3810" s="18">
        <f>6281314509994</f>
        <v>6281314509994</v>
      </c>
      <c r="N3810" s="17" t="s">
        <v>77</v>
      </c>
      <c r="V3810" s="18">
        <f>6281314509994</f>
        <v>6281314509994</v>
      </c>
    </row>
    <row r="3811" ht="15" customHeight="1" spans="1:22" x14ac:dyDescent="0.25">
      <c r="A3811" s="17" t="s">
        <v>11170</v>
      </c>
      <c r="B3811" s="17" t="s">
        <v>70</v>
      </c>
      <c r="C3811" s="17" t="s">
        <v>71</v>
      </c>
      <c r="D3811" t="s">
        <v>11171</v>
      </c>
      <c r="F3811" t="s">
        <v>669</v>
      </c>
      <c r="K3811" s="18">
        <f>628153904370</f>
        <v>628153904370</v>
      </c>
      <c r="N3811" s="17" t="s">
        <v>77</v>
      </c>
      <c r="V3811" s="18">
        <f>628153904370</f>
        <v>628153904370</v>
      </c>
    </row>
    <row r="3812" ht="15" customHeight="1" spans="1:22" x14ac:dyDescent="0.25">
      <c r="A3812" s="17" t="s">
        <v>11172</v>
      </c>
      <c r="B3812" s="17" t="s">
        <v>70</v>
      </c>
      <c r="C3812" s="17" t="s">
        <v>71</v>
      </c>
      <c r="D3812" t="s">
        <v>11173</v>
      </c>
      <c r="F3812" t="s">
        <v>11173</v>
      </c>
      <c r="K3812" s="18">
        <f>62811916732</f>
        <v>62811916732</v>
      </c>
      <c r="N3812" s="17" t="s">
        <v>77</v>
      </c>
      <c r="V3812" s="18">
        <f>62811916732</f>
        <v>62811916732</v>
      </c>
    </row>
    <row r="3813" ht="15" customHeight="1" spans="1:22" x14ac:dyDescent="0.25">
      <c r="A3813" s="17" t="s">
        <v>11174</v>
      </c>
      <c r="B3813" s="17" t="s">
        <v>70</v>
      </c>
      <c r="C3813" s="17" t="s">
        <v>71</v>
      </c>
      <c r="D3813" t="s">
        <v>11175</v>
      </c>
      <c r="F3813" t="s">
        <v>11176</v>
      </c>
      <c r="K3813" s="18">
        <f>628127511684</f>
        <v>628127511684</v>
      </c>
      <c r="N3813" s="17" t="s">
        <v>81</v>
      </c>
      <c r="V3813" s="18">
        <f>628127511684</f>
        <v>628127511684</v>
      </c>
    </row>
    <row r="3814" ht="15" customHeight="1" spans="1:25" x14ac:dyDescent="0.25">
      <c r="A3814" s="17" t="s">
        <v>11177</v>
      </c>
      <c r="B3814" s="17" t="s">
        <v>70</v>
      </c>
      <c r="C3814" s="17" t="s">
        <v>71</v>
      </c>
      <c r="D3814" t="s">
        <v>11178</v>
      </c>
      <c r="F3814" t="s">
        <v>8492</v>
      </c>
      <c r="K3814" s="18" t="s">
        <v>11179</v>
      </c>
      <c r="N3814" s="17" t="s">
        <v>77</v>
      </c>
      <c r="U3814" s="17"/>
      <c r="V3814" s="18" t="s">
        <v>11179</v>
      </c>
      <c r="W3814" t="s">
        <v>11180</v>
      </c>
      <c r="Y3814" s="17" t="s">
        <v>11181</v>
      </c>
    </row>
    <row r="3815" ht="15" customHeight="1" spans="1:28" x14ac:dyDescent="0.25">
      <c r="A3815" s="17" t="s">
        <v>11182</v>
      </c>
      <c r="B3815" s="17" t="s">
        <v>70</v>
      </c>
      <c r="C3815" s="17" t="s">
        <v>71</v>
      </c>
      <c r="D3815" t="s">
        <v>11183</v>
      </c>
      <c r="F3815" t="s">
        <v>11184</v>
      </c>
      <c r="J3815" s="17" t="s">
        <v>11185</v>
      </c>
      <c r="K3815" s="18" t="s">
        <v>11186</v>
      </c>
      <c r="N3815" s="17" t="s">
        <v>77</v>
      </c>
      <c r="O3815" t="s">
        <v>145</v>
      </c>
      <c r="U3815" s="17"/>
      <c r="V3815" s="18" t="s">
        <v>11186</v>
      </c>
      <c r="W3815" t="s">
        <v>11187</v>
      </c>
      <c r="Y3815" t="s">
        <v>1084</v>
      </c>
      <c r="AA3815" t="s">
        <v>3146</v>
      </c>
      <c r="AB3815" t="s">
        <v>119</v>
      </c>
    </row>
    <row r="3816" ht="15" customHeight="1" spans="1:22" x14ac:dyDescent="0.25">
      <c r="A3816" s="17" t="s">
        <v>11188</v>
      </c>
      <c r="B3816" s="17" t="s">
        <v>70</v>
      </c>
      <c r="C3816" s="17" t="s">
        <v>71</v>
      </c>
      <c r="D3816" t="s">
        <v>11189</v>
      </c>
      <c r="F3816" t="s">
        <v>11189</v>
      </c>
      <c r="K3816" s="18">
        <f>628568525666</f>
        <v>628568525666</v>
      </c>
      <c r="N3816" s="17" t="s">
        <v>77</v>
      </c>
      <c r="V3816" s="18">
        <f>628568525666</f>
        <v>628568525666</v>
      </c>
    </row>
    <row r="3817" ht="15" customHeight="1" spans="1:25" x14ac:dyDescent="0.25">
      <c r="A3817" s="17" t="s">
        <v>11190</v>
      </c>
      <c r="B3817" s="17" t="s">
        <v>70</v>
      </c>
      <c r="C3817" s="17" t="s">
        <v>71</v>
      </c>
      <c r="D3817" t="s">
        <v>11189</v>
      </c>
      <c r="F3817" t="s">
        <v>11189</v>
      </c>
      <c r="K3817" s="18">
        <f>6281266022525</f>
        <v>6281266022525</v>
      </c>
      <c r="N3817" s="17" t="s">
        <v>77</v>
      </c>
      <c r="U3817" s="17"/>
      <c r="V3817" s="18">
        <f>6281266022525</f>
        <v>6281266022525</v>
      </c>
      <c r="W3817" t="s">
        <v>11191</v>
      </c>
      <c r="Y3817" s="17" t="s">
        <v>6412</v>
      </c>
    </row>
    <row r="3818" ht="15" customHeight="1" spans="1:28" x14ac:dyDescent="0.25">
      <c r="A3818" s="17" t="s">
        <v>11192</v>
      </c>
      <c r="B3818" s="17" t="s">
        <v>70</v>
      </c>
      <c r="C3818" s="17" t="s">
        <v>71</v>
      </c>
      <c r="D3818" t="s">
        <v>11189</v>
      </c>
      <c r="F3818" t="s">
        <v>11193</v>
      </c>
      <c r="J3818" t="s">
        <v>115</v>
      </c>
      <c r="K3818" s="18" t="s">
        <v>11194</v>
      </c>
      <c r="N3818" s="17" t="s">
        <v>81</v>
      </c>
      <c r="O3818" t="s">
        <v>261</v>
      </c>
      <c r="V3818" s="18" t="s">
        <v>11194</v>
      </c>
      <c r="Y3818" t="s">
        <v>90</v>
      </c>
      <c r="AA3818" t="s">
        <v>118</v>
      </c>
      <c r="AB3818" t="s">
        <v>119</v>
      </c>
    </row>
    <row r="3819" ht="15" customHeight="1" spans="1:22" x14ac:dyDescent="0.25">
      <c r="A3819" s="17" t="s">
        <v>11195</v>
      </c>
      <c r="B3819" s="17" t="s">
        <v>70</v>
      </c>
      <c r="C3819" s="17" t="s">
        <v>71</v>
      </c>
      <c r="D3819" t="s">
        <v>11196</v>
      </c>
      <c r="F3819" t="s">
        <v>2057</v>
      </c>
      <c r="K3819" s="18">
        <f>34610513528</f>
        <v>34610513528</v>
      </c>
      <c r="N3819" s="17" t="s">
        <v>81</v>
      </c>
      <c r="V3819" s="18">
        <f>34610513528</f>
        <v>34610513528</v>
      </c>
    </row>
    <row r="3820" ht="15" customHeight="1" spans="1:22" x14ac:dyDescent="0.25">
      <c r="A3820" s="17" t="s">
        <v>11197</v>
      </c>
      <c r="B3820" s="17" t="s">
        <v>70</v>
      </c>
      <c r="C3820" s="17" t="s">
        <v>71</v>
      </c>
      <c r="D3820" t="s">
        <v>11198</v>
      </c>
      <c r="F3820" t="s">
        <v>11198</v>
      </c>
      <c r="K3820" s="18">
        <f>62811817722</f>
        <v>62811817722</v>
      </c>
      <c r="N3820" s="17" t="s">
        <v>77</v>
      </c>
      <c r="V3820" s="18">
        <f>62811817722</f>
        <v>62811817722</v>
      </c>
    </row>
    <row r="3821" ht="15" customHeight="1" spans="1:22" x14ac:dyDescent="0.25">
      <c r="A3821" s="17" t="s">
        <v>11199</v>
      </c>
      <c r="B3821" s="17" t="s">
        <v>70</v>
      </c>
      <c r="C3821" s="17" t="s">
        <v>71</v>
      </c>
      <c r="D3821" t="s">
        <v>11200</v>
      </c>
      <c r="F3821" t="s">
        <v>11200</v>
      </c>
      <c r="K3821" s="18">
        <f>6281310886418</f>
        <v>6281310886418</v>
      </c>
      <c r="N3821" s="17" t="s">
        <v>81</v>
      </c>
      <c r="V3821" s="18">
        <f>6281310886418</f>
        <v>6281310886418</v>
      </c>
    </row>
    <row r="3822" ht="15" customHeight="1" spans="1:23" x14ac:dyDescent="0.25">
      <c r="A3822" s="17" t="s">
        <v>11201</v>
      </c>
      <c r="B3822" s="17" t="s">
        <v>70</v>
      </c>
      <c r="C3822" s="17" t="s">
        <v>71</v>
      </c>
      <c r="D3822" t="s">
        <v>11202</v>
      </c>
      <c r="F3822" t="s">
        <v>6028</v>
      </c>
      <c r="J3822" s="17" t="s">
        <v>11203</v>
      </c>
      <c r="K3822" s="18">
        <f>6281252516888</f>
        <v>6281252516888</v>
      </c>
      <c r="N3822" s="17" t="s">
        <v>77</v>
      </c>
      <c r="U3822" s="17"/>
      <c r="V3822" s="18">
        <f>6281252516888</f>
        <v>6281252516888</v>
      </c>
      <c r="W3822" t="s">
        <v>704</v>
      </c>
    </row>
    <row r="3823" ht="15" customHeight="1" spans="1:23" x14ac:dyDescent="0.25">
      <c r="A3823" s="17" t="s">
        <v>11204</v>
      </c>
      <c r="B3823" s="17" t="s">
        <v>70</v>
      </c>
      <c r="C3823" s="17" t="s">
        <v>71</v>
      </c>
      <c r="D3823" t="s">
        <v>11205</v>
      </c>
      <c r="F3823" t="s">
        <v>8213</v>
      </c>
      <c r="K3823" s="18">
        <f>628158000570</f>
        <v>628158000570</v>
      </c>
      <c r="N3823" s="17" t="s">
        <v>77</v>
      </c>
      <c r="U3823" s="17"/>
      <c r="V3823" s="18">
        <f>628158000570</f>
        <v>628158000570</v>
      </c>
      <c r="W3823" t="s">
        <v>11206</v>
      </c>
    </row>
    <row r="3824" ht="15" customHeight="1" spans="1:22" x14ac:dyDescent="0.25">
      <c r="A3824" s="17" t="s">
        <v>11207</v>
      </c>
      <c r="B3824" s="17" t="s">
        <v>70</v>
      </c>
      <c r="C3824" s="17" t="s">
        <v>71</v>
      </c>
      <c r="D3824" t="s">
        <v>11208</v>
      </c>
      <c r="F3824" t="s">
        <v>5777</v>
      </c>
      <c r="K3824" s="18">
        <f>62811605520</f>
        <v>62811605520</v>
      </c>
      <c r="N3824" s="17" t="s">
        <v>81</v>
      </c>
      <c r="V3824" s="18">
        <f>62811605520</f>
        <v>62811605520</v>
      </c>
    </row>
    <row r="3825" ht="15" customHeight="1" spans="1:22" x14ac:dyDescent="0.25">
      <c r="A3825" s="17" t="s">
        <v>11209</v>
      </c>
      <c r="B3825" s="17" t="s">
        <v>70</v>
      </c>
      <c r="C3825" s="17" t="s">
        <v>71</v>
      </c>
      <c r="D3825" t="s">
        <v>11210</v>
      </c>
      <c r="F3825" t="s">
        <v>2384</v>
      </c>
      <c r="J3825" s="17" t="s">
        <v>11211</v>
      </c>
      <c r="K3825" s="18">
        <f>6282260288464</f>
        <v>6282260288464</v>
      </c>
      <c r="N3825" s="17" t="s">
        <v>77</v>
      </c>
      <c r="V3825" s="18">
        <f>6282260288464</f>
        <v>6282260288464</v>
      </c>
    </row>
    <row r="3826" ht="15" customHeight="1" spans="1:22" x14ac:dyDescent="0.25">
      <c r="A3826" s="17" t="s">
        <v>11212</v>
      </c>
      <c r="B3826" s="17" t="s">
        <v>70</v>
      </c>
      <c r="C3826" s="17" t="s">
        <v>71</v>
      </c>
      <c r="D3826" t="s">
        <v>11213</v>
      </c>
      <c r="F3826" t="s">
        <v>11213</v>
      </c>
      <c r="K3826" s="18">
        <f>62811101223</f>
        <v>62811101223</v>
      </c>
      <c r="N3826" s="17" t="s">
        <v>74</v>
      </c>
      <c r="V3826" s="18">
        <f>62811101223</f>
        <v>62811101223</v>
      </c>
    </row>
    <row r="3827" ht="15" customHeight="1" spans="1:28" x14ac:dyDescent="0.25">
      <c r="A3827" s="17" t="s">
        <v>11214</v>
      </c>
      <c r="B3827" s="17" t="s">
        <v>70</v>
      </c>
      <c r="C3827" s="17" t="s">
        <v>71</v>
      </c>
      <c r="D3827" t="s">
        <v>11215</v>
      </c>
      <c r="F3827" t="s">
        <v>11216</v>
      </c>
      <c r="J3827" s="17" t="s">
        <v>11217</v>
      </c>
      <c r="K3827" s="18" t="s">
        <v>11218</v>
      </c>
      <c r="N3827" s="17" t="s">
        <v>74</v>
      </c>
      <c r="O3827" t="s">
        <v>199</v>
      </c>
      <c r="U3827" s="17"/>
      <c r="V3827" s="18" t="s">
        <v>11218</v>
      </c>
      <c r="W3827" t="s">
        <v>11219</v>
      </c>
      <c r="Y3827" t="s">
        <v>90</v>
      </c>
      <c r="AA3827" t="s">
        <v>118</v>
      </c>
      <c r="AB3827" t="s">
        <v>119</v>
      </c>
    </row>
    <row r="3828" ht="15" customHeight="1" spans="1:22" x14ac:dyDescent="0.25">
      <c r="A3828" s="17" t="s">
        <v>11220</v>
      </c>
      <c r="B3828" s="17" t="s">
        <v>70</v>
      </c>
      <c r="C3828" s="17" t="s">
        <v>71</v>
      </c>
      <c r="D3828" t="s">
        <v>11221</v>
      </c>
      <c r="F3828" t="s">
        <v>11221</v>
      </c>
      <c r="K3828" s="18">
        <v>8129302172</v>
      </c>
      <c r="N3828" s="17" t="s">
        <v>77</v>
      </c>
      <c r="V3828" s="18">
        <v>8129302172</v>
      </c>
    </row>
    <row r="3829" ht="15" customHeight="1" spans="1:28" x14ac:dyDescent="0.25">
      <c r="A3829" s="17" t="s">
        <v>11222</v>
      </c>
      <c r="B3829" s="17" t="s">
        <v>70</v>
      </c>
      <c r="C3829" s="17" t="s">
        <v>71</v>
      </c>
      <c r="D3829" t="s">
        <v>11221</v>
      </c>
      <c r="F3829" t="s">
        <v>11221</v>
      </c>
      <c r="J3829" t="s">
        <v>115</v>
      </c>
      <c r="K3829" s="18" t="s">
        <v>11223</v>
      </c>
      <c r="N3829" s="17" t="s">
        <v>77</v>
      </c>
      <c r="O3829" t="s">
        <v>145</v>
      </c>
      <c r="V3829" s="18" t="s">
        <v>11223</v>
      </c>
      <c r="Y3829" t="s">
        <v>90</v>
      </c>
      <c r="AA3829" t="s">
        <v>118</v>
      </c>
      <c r="AB3829" t="s">
        <v>119</v>
      </c>
    </row>
    <row r="3830" ht="15" customHeight="1" spans="1:28" x14ac:dyDescent="0.25">
      <c r="A3830" s="17" t="s">
        <v>11224</v>
      </c>
      <c r="B3830" s="17" t="s">
        <v>70</v>
      </c>
      <c r="C3830" s="17" t="s">
        <v>71</v>
      </c>
      <c r="D3830" t="s">
        <v>11225</v>
      </c>
      <c r="F3830" t="s">
        <v>3129</v>
      </c>
      <c r="J3830" t="s">
        <v>115</v>
      </c>
      <c r="K3830" s="18" t="s">
        <v>11226</v>
      </c>
      <c r="N3830" s="17" t="s">
        <v>74</v>
      </c>
      <c r="O3830" t="s">
        <v>199</v>
      </c>
      <c r="V3830" s="18" t="s">
        <v>11226</v>
      </c>
      <c r="Y3830" t="s">
        <v>181</v>
      </c>
      <c r="AA3830" t="s">
        <v>1672</v>
      </c>
      <c r="AB3830" t="s">
        <v>119</v>
      </c>
    </row>
    <row r="3831" ht="15" customHeight="1" spans="1:27" x14ac:dyDescent="0.25">
      <c r="A3831" s="17" t="s">
        <v>11227</v>
      </c>
      <c r="B3831" s="17" t="s">
        <v>70</v>
      </c>
      <c r="C3831" s="17" t="s">
        <v>71</v>
      </c>
      <c r="D3831" t="s">
        <v>11221</v>
      </c>
      <c r="F3831" t="s">
        <v>5946</v>
      </c>
      <c r="J3831" s="17" t="s">
        <v>11228</v>
      </c>
      <c r="K3831" s="18">
        <f>628161802873</f>
        <v>628161802873</v>
      </c>
      <c r="N3831" s="17" t="s">
        <v>77</v>
      </c>
      <c r="U3831" s="17"/>
      <c r="V3831" s="18">
        <f>628161802873</f>
        <v>628161802873</v>
      </c>
      <c r="W3831" t="s">
        <v>11229</v>
      </c>
      <c r="AA3831" s="17">
        <v>12140</v>
      </c>
    </row>
    <row r="3832" ht="15" customHeight="1" spans="1:25" x14ac:dyDescent="0.25">
      <c r="A3832" s="17" t="s">
        <v>11230</v>
      </c>
      <c r="B3832" s="17" t="s">
        <v>70</v>
      </c>
      <c r="C3832" s="17" t="s">
        <v>71</v>
      </c>
      <c r="D3832" t="s">
        <v>11221</v>
      </c>
      <c r="F3832" t="s">
        <v>6450</v>
      </c>
      <c r="K3832" s="18">
        <f>62811175467</f>
        <v>62811175467</v>
      </c>
      <c r="N3832" s="17" t="s">
        <v>77</v>
      </c>
      <c r="U3832" s="17"/>
      <c r="V3832" s="18">
        <f>62811175467</f>
        <v>62811175467</v>
      </c>
      <c r="W3832" t="s">
        <v>11231</v>
      </c>
      <c r="Y3832" s="17" t="s">
        <v>11232</v>
      </c>
    </row>
    <row r="3833" ht="15" customHeight="1" spans="1:22" x14ac:dyDescent="0.25">
      <c r="A3833" s="17" t="s">
        <v>11233</v>
      </c>
      <c r="B3833" s="17" t="s">
        <v>70</v>
      </c>
      <c r="C3833" s="17" t="s">
        <v>71</v>
      </c>
      <c r="D3833" t="s">
        <v>11221</v>
      </c>
      <c r="F3833" t="s">
        <v>11234</v>
      </c>
      <c r="K3833" s="18">
        <f>62811664463</f>
        <v>62811664463</v>
      </c>
      <c r="N3833" s="17" t="s">
        <v>77</v>
      </c>
      <c r="V3833" s="18">
        <f>62811664463</f>
        <v>62811664463</v>
      </c>
    </row>
    <row r="3834" ht="15" customHeight="1" spans="1:22" x14ac:dyDescent="0.25">
      <c r="A3834" s="17" t="s">
        <v>11235</v>
      </c>
      <c r="B3834" s="17" t="s">
        <v>70</v>
      </c>
      <c r="C3834" s="17" t="s">
        <v>71</v>
      </c>
      <c r="D3834" t="s">
        <v>11221</v>
      </c>
      <c r="F3834" t="s">
        <v>618</v>
      </c>
      <c r="J3834" s="17" t="s">
        <v>11236</v>
      </c>
      <c r="K3834" s="18">
        <f>62818107070</f>
        <v>62818107070</v>
      </c>
      <c r="N3834" s="17" t="s">
        <v>81</v>
      </c>
      <c r="V3834" s="18">
        <f>62818107070</f>
        <v>62818107070</v>
      </c>
    </row>
    <row r="3835" ht="15" customHeight="1" spans="1:23" x14ac:dyDescent="0.25">
      <c r="A3835" s="17" t="s">
        <v>11237</v>
      </c>
      <c r="B3835" s="17" t="s">
        <v>70</v>
      </c>
      <c r="C3835" s="17" t="s">
        <v>71</v>
      </c>
      <c r="D3835" t="s">
        <v>11221</v>
      </c>
      <c r="F3835" t="s">
        <v>167</v>
      </c>
      <c r="K3835" s="18">
        <f>62818435958</f>
        <v>62818435958</v>
      </c>
      <c r="N3835" s="17" t="s">
        <v>77</v>
      </c>
      <c r="U3835" s="17"/>
      <c r="V3835" s="18">
        <f>62818435958</f>
        <v>62818435958</v>
      </c>
      <c r="W3835" t="s">
        <v>11238</v>
      </c>
    </row>
    <row r="3836" ht="15" customHeight="1" spans="1:28" x14ac:dyDescent="0.25">
      <c r="A3836" s="17" t="s">
        <v>11239</v>
      </c>
      <c r="B3836" s="17" t="s">
        <v>70</v>
      </c>
      <c r="C3836" s="17" t="s">
        <v>71</v>
      </c>
      <c r="D3836" t="s">
        <v>11221</v>
      </c>
      <c r="F3836" t="s">
        <v>11240</v>
      </c>
      <c r="J3836" t="s">
        <v>115</v>
      </c>
      <c r="K3836" s="18" t="s">
        <v>11241</v>
      </c>
      <c r="N3836" s="17" t="s">
        <v>81</v>
      </c>
      <c r="O3836" t="s">
        <v>489</v>
      </c>
      <c r="V3836" s="18" t="s">
        <v>11241</v>
      </c>
      <c r="Y3836" t="s">
        <v>78</v>
      </c>
      <c r="AA3836" t="s">
        <v>115</v>
      </c>
      <c r="AB3836" t="s">
        <v>119</v>
      </c>
    </row>
    <row r="3837" ht="15" customHeight="1" spans="1:27" x14ac:dyDescent="0.25">
      <c r="A3837" s="17" t="s">
        <v>11242</v>
      </c>
      <c r="B3837" s="17" t="s">
        <v>70</v>
      </c>
      <c r="C3837" s="17" t="s">
        <v>71</v>
      </c>
      <c r="D3837" t="s">
        <v>11221</v>
      </c>
      <c r="F3837" t="s">
        <v>1159</v>
      </c>
      <c r="K3837" s="18">
        <f>62818126664</f>
        <v>62818126664</v>
      </c>
      <c r="N3837" s="17" t="s">
        <v>74</v>
      </c>
      <c r="U3837" s="17"/>
      <c r="V3837" s="18">
        <f>62818126664</f>
        <v>62818126664</v>
      </c>
      <c r="W3837" t="s">
        <v>11243</v>
      </c>
      <c r="Y3837" s="17" t="s">
        <v>626</v>
      </c>
      <c r="AA3837" s="17" t="s">
        <v>11244</v>
      </c>
    </row>
    <row r="3838" ht="15" customHeight="1" spans="1:23" x14ac:dyDescent="0.25">
      <c r="A3838" s="17" t="s">
        <v>11245</v>
      </c>
      <c r="B3838" s="17" t="s">
        <v>70</v>
      </c>
      <c r="C3838" s="17" t="s">
        <v>71</v>
      </c>
      <c r="D3838" t="s">
        <v>11221</v>
      </c>
      <c r="F3838" t="s">
        <v>2885</v>
      </c>
      <c r="K3838" s="18">
        <f>628121099668</f>
        <v>628121099668</v>
      </c>
      <c r="N3838" s="17" t="s">
        <v>77</v>
      </c>
      <c r="U3838" s="17"/>
      <c r="V3838" s="18">
        <f>628121099668</f>
        <v>628121099668</v>
      </c>
      <c r="W3838" t="s">
        <v>11246</v>
      </c>
    </row>
    <row r="3839" ht="15" customHeight="1" spans="1:27" x14ac:dyDescent="0.25">
      <c r="A3839" s="17" t="s">
        <v>11247</v>
      </c>
      <c r="B3839" s="17" t="s">
        <v>70</v>
      </c>
      <c r="C3839" s="17" t="s">
        <v>71</v>
      </c>
      <c r="D3839" t="s">
        <v>11221</v>
      </c>
      <c r="F3839" t="s">
        <v>11248</v>
      </c>
      <c r="J3839" s="17" t="s">
        <v>11249</v>
      </c>
      <c r="K3839" s="18">
        <f>6281225262712</f>
        <v>6281225262712</v>
      </c>
      <c r="N3839" s="17" t="s">
        <v>77</v>
      </c>
      <c r="U3839" s="17"/>
      <c r="V3839" s="18">
        <f>6281225262712</f>
        <v>6281225262712</v>
      </c>
      <c r="W3839" t="s">
        <v>11250</v>
      </c>
      <c r="Y3839" s="17" t="s">
        <v>90</v>
      </c>
      <c r="AA3839" s="17">
        <v>11460</v>
      </c>
    </row>
    <row r="3840" ht="15" customHeight="1" spans="1:22" x14ac:dyDescent="0.25">
      <c r="A3840" s="17" t="s">
        <v>11251</v>
      </c>
      <c r="B3840" s="17" t="s">
        <v>70</v>
      </c>
      <c r="C3840" s="17" t="s">
        <v>71</v>
      </c>
      <c r="D3840" t="s">
        <v>11221</v>
      </c>
      <c r="F3840" t="s">
        <v>11252</v>
      </c>
      <c r="K3840" s="18">
        <f>62817814792</f>
        <v>62817814792</v>
      </c>
      <c r="N3840" s="17" t="s">
        <v>74</v>
      </c>
      <c r="V3840" s="18">
        <f>62817814792</f>
        <v>62817814792</v>
      </c>
    </row>
    <row r="3841" ht="15" customHeight="1" spans="1:22" x14ac:dyDescent="0.25">
      <c r="A3841" s="17" t="s">
        <v>11253</v>
      </c>
      <c r="B3841" s="17" t="s">
        <v>70</v>
      </c>
      <c r="C3841" s="17" t="s">
        <v>71</v>
      </c>
      <c r="D3841" t="s">
        <v>11221</v>
      </c>
      <c r="F3841" t="s">
        <v>1147</v>
      </c>
      <c r="K3841" s="18">
        <f>622198612045</f>
        <v>622198612045</v>
      </c>
      <c r="N3841" s="17" t="s">
        <v>74</v>
      </c>
      <c r="V3841" s="18">
        <f>622198612045</f>
        <v>622198612045</v>
      </c>
    </row>
    <row r="3842" ht="15" customHeight="1" spans="1:28" x14ac:dyDescent="0.25">
      <c r="A3842" s="17" t="s">
        <v>11254</v>
      </c>
      <c r="B3842" s="17" t="s">
        <v>70</v>
      </c>
      <c r="C3842" s="17" t="s">
        <v>71</v>
      </c>
      <c r="D3842" t="s">
        <v>11221</v>
      </c>
      <c r="F3842" t="s">
        <v>1147</v>
      </c>
      <c r="J3842" t="s">
        <v>115</v>
      </c>
      <c r="K3842" s="18" t="s">
        <v>11255</v>
      </c>
      <c r="N3842" s="17" t="s">
        <v>77</v>
      </c>
      <c r="O3842" t="s">
        <v>117</v>
      </c>
      <c r="V3842" s="18" t="s">
        <v>11255</v>
      </c>
      <c r="Y3842" t="s">
        <v>90</v>
      </c>
      <c r="AA3842" t="s">
        <v>118</v>
      </c>
      <c r="AB3842" t="s">
        <v>119</v>
      </c>
    </row>
    <row r="3843" ht="15" customHeight="1" spans="1:23" x14ac:dyDescent="0.25">
      <c r="A3843" s="17" t="s">
        <v>11256</v>
      </c>
      <c r="B3843" s="17" t="s">
        <v>70</v>
      </c>
      <c r="C3843" s="17" t="s">
        <v>71</v>
      </c>
      <c r="D3843" t="s">
        <v>11221</v>
      </c>
      <c r="F3843" t="s">
        <v>1169</v>
      </c>
      <c r="J3843" s="17" t="s">
        <v>11257</v>
      </c>
      <c r="K3843" s="18">
        <f>6285711151115</f>
        <v>6285711151115</v>
      </c>
      <c r="N3843" s="17" t="s">
        <v>81</v>
      </c>
      <c r="U3843" s="17"/>
      <c r="V3843" s="18">
        <f>6285711151115</f>
        <v>6285711151115</v>
      </c>
      <c r="W3843" t="s">
        <v>11258</v>
      </c>
    </row>
    <row r="3844" ht="15" customHeight="1" spans="1:22" x14ac:dyDescent="0.25">
      <c r="A3844" s="17" t="s">
        <v>11259</v>
      </c>
      <c r="B3844" s="17" t="s">
        <v>70</v>
      </c>
      <c r="C3844" s="17" t="s">
        <v>71</v>
      </c>
      <c r="D3844" t="s">
        <v>11221</v>
      </c>
      <c r="F3844" t="s">
        <v>11260</v>
      </c>
      <c r="K3844" s="18">
        <f>62816611765</f>
        <v>62816611765</v>
      </c>
      <c r="N3844" s="17" t="s">
        <v>81</v>
      </c>
      <c r="V3844" s="18">
        <f>62816611765</f>
        <v>62816611765</v>
      </c>
    </row>
    <row r="3845" ht="15" customHeight="1" spans="1:22" x14ac:dyDescent="0.25">
      <c r="A3845" s="17" t="s">
        <v>11261</v>
      </c>
      <c r="B3845" s="17" t="s">
        <v>70</v>
      </c>
      <c r="C3845" s="17" t="s">
        <v>71</v>
      </c>
      <c r="D3845" t="s">
        <v>11221</v>
      </c>
      <c r="F3845" t="s">
        <v>672</v>
      </c>
      <c r="K3845" s="18">
        <f>62811150877</f>
        <v>62811150877</v>
      </c>
      <c r="N3845" s="17" t="s">
        <v>77</v>
      </c>
      <c r="V3845" s="18">
        <f>62811150877</f>
        <v>62811150877</v>
      </c>
    </row>
    <row r="3846" ht="15" customHeight="1" spans="1:28" x14ac:dyDescent="0.25">
      <c r="A3846" s="17" t="s">
        <v>11262</v>
      </c>
      <c r="B3846" s="17" t="s">
        <v>70</v>
      </c>
      <c r="C3846" s="17" t="s">
        <v>71</v>
      </c>
      <c r="D3846" t="s">
        <v>11263</v>
      </c>
      <c r="F3846" t="s">
        <v>11264</v>
      </c>
      <c r="J3846" t="s">
        <v>115</v>
      </c>
      <c r="K3846" s="18" t="s">
        <v>11265</v>
      </c>
      <c r="N3846" s="17" t="s">
        <v>77</v>
      </c>
      <c r="O3846" t="s">
        <v>145</v>
      </c>
      <c r="V3846" s="18" t="s">
        <v>11265</v>
      </c>
      <c r="Y3846" t="s">
        <v>90</v>
      </c>
      <c r="AA3846" t="s">
        <v>118</v>
      </c>
      <c r="AB3846" t="s">
        <v>119</v>
      </c>
    </row>
    <row r="3847" ht="15" customHeight="1" spans="1:22" x14ac:dyDescent="0.25">
      <c r="A3847" s="17" t="s">
        <v>11266</v>
      </c>
      <c r="B3847" s="17" t="s">
        <v>70</v>
      </c>
      <c r="C3847" s="17" t="s">
        <v>71</v>
      </c>
      <c r="D3847" t="s">
        <v>11267</v>
      </c>
      <c r="F3847" t="s">
        <v>11267</v>
      </c>
      <c r="K3847" s="18">
        <f>628999195386</f>
        <v>628999195386</v>
      </c>
      <c r="N3847" s="17" t="s">
        <v>77</v>
      </c>
      <c r="V3847" s="18">
        <f>628999195386</f>
        <v>628999195386</v>
      </c>
    </row>
    <row r="3848" ht="15" customHeight="1" spans="1:22" x14ac:dyDescent="0.25">
      <c r="A3848" s="17" t="s">
        <v>11268</v>
      </c>
      <c r="B3848" s="17" t="s">
        <v>70</v>
      </c>
      <c r="C3848" s="17" t="s">
        <v>71</v>
      </c>
      <c r="D3848" t="s">
        <v>11269</v>
      </c>
      <c r="F3848" t="s">
        <v>11270</v>
      </c>
      <c r="K3848" s="18">
        <f>62811932138</f>
        <v>62811932138</v>
      </c>
      <c r="N3848" s="17" t="s">
        <v>77</v>
      </c>
      <c r="V3848" s="18">
        <f>62811932138</f>
        <v>62811932138</v>
      </c>
    </row>
    <row r="3849" ht="15" customHeight="1" spans="1:22" x14ac:dyDescent="0.25">
      <c r="A3849" s="17" t="s">
        <v>11271</v>
      </c>
      <c r="B3849" s="17" t="s">
        <v>70</v>
      </c>
      <c r="C3849" s="17" t="s">
        <v>71</v>
      </c>
      <c r="D3849" t="s">
        <v>11269</v>
      </c>
      <c r="F3849" t="s">
        <v>11272</v>
      </c>
      <c r="K3849" s="18">
        <f>62816870244</f>
        <v>62816870244</v>
      </c>
      <c r="N3849" s="17" t="s">
        <v>77</v>
      </c>
      <c r="V3849" s="18">
        <f>62816870244</f>
        <v>62816870244</v>
      </c>
    </row>
    <row r="3850" ht="15" customHeight="1" spans="1:23" x14ac:dyDescent="0.25">
      <c r="A3850" s="17" t="s">
        <v>11273</v>
      </c>
      <c r="B3850" s="17" t="s">
        <v>70</v>
      </c>
      <c r="C3850" s="17" t="s">
        <v>71</v>
      </c>
      <c r="D3850" t="s">
        <v>11269</v>
      </c>
      <c r="F3850" t="s">
        <v>114</v>
      </c>
      <c r="K3850" s="18">
        <f>62816995632</f>
        <v>62816995632</v>
      </c>
      <c r="N3850" s="17" t="s">
        <v>81</v>
      </c>
      <c r="U3850" s="17"/>
      <c r="V3850" s="18">
        <f>62816995632</f>
        <v>62816995632</v>
      </c>
      <c r="W3850" t="s">
        <v>11274</v>
      </c>
    </row>
    <row r="3851" ht="15" customHeight="1" spans="1:22" x14ac:dyDescent="0.25">
      <c r="A3851" s="17" t="s">
        <v>11275</v>
      </c>
      <c r="B3851" s="17" t="s">
        <v>70</v>
      </c>
      <c r="C3851" s="17" t="s">
        <v>71</v>
      </c>
      <c r="D3851" t="s">
        <v>11269</v>
      </c>
      <c r="F3851" t="s">
        <v>11276</v>
      </c>
      <c r="K3851" s="18">
        <f>628561161161</f>
        <v>628561161161</v>
      </c>
      <c r="N3851" s="17" t="s">
        <v>74</v>
      </c>
      <c r="V3851" s="18">
        <f>628561161161</f>
        <v>628561161161</v>
      </c>
    </row>
    <row r="3852" ht="15" customHeight="1" spans="1:28" x14ac:dyDescent="0.25">
      <c r="A3852" s="17" t="s">
        <v>11277</v>
      </c>
      <c r="B3852" s="17" t="s">
        <v>70</v>
      </c>
      <c r="C3852" s="17" t="s">
        <v>71</v>
      </c>
      <c r="D3852" t="s">
        <v>11269</v>
      </c>
      <c r="F3852" t="s">
        <v>871</v>
      </c>
      <c r="J3852" t="s">
        <v>115</v>
      </c>
      <c r="K3852" s="18" t="s">
        <v>11278</v>
      </c>
      <c r="N3852" s="17" t="s">
        <v>77</v>
      </c>
      <c r="O3852" t="s">
        <v>199</v>
      </c>
      <c r="V3852" s="18" t="s">
        <v>11278</v>
      </c>
      <c r="Y3852" t="s">
        <v>90</v>
      </c>
      <c r="AA3852" t="s">
        <v>118</v>
      </c>
      <c r="AB3852" t="s">
        <v>119</v>
      </c>
    </row>
    <row r="3853" ht="15" customHeight="1" spans="1:28" x14ac:dyDescent="0.25">
      <c r="A3853" s="17" t="s">
        <v>11279</v>
      </c>
      <c r="B3853" s="17" t="s">
        <v>70</v>
      </c>
      <c r="C3853" s="17" t="s">
        <v>71</v>
      </c>
      <c r="D3853" t="s">
        <v>11269</v>
      </c>
      <c r="F3853" t="s">
        <v>11280</v>
      </c>
      <c r="J3853" t="s">
        <v>11281</v>
      </c>
      <c r="K3853" s="18" t="s">
        <v>11282</v>
      </c>
      <c r="N3853" s="17" t="s">
        <v>77</v>
      </c>
      <c r="O3853" t="s">
        <v>199</v>
      </c>
      <c r="U3853" s="17"/>
      <c r="V3853" s="18" t="s">
        <v>11282</v>
      </c>
      <c r="W3853" t="s">
        <v>11283</v>
      </c>
      <c r="Y3853" t="s">
        <v>90</v>
      </c>
      <c r="AA3853" s="17" t="s">
        <v>118</v>
      </c>
      <c r="AB3853" t="s">
        <v>119</v>
      </c>
    </row>
    <row r="3854" ht="15" customHeight="1" spans="1:28" x14ac:dyDescent="0.25">
      <c r="A3854" s="17" t="s">
        <v>11284</v>
      </c>
      <c r="B3854" s="17" t="s">
        <v>70</v>
      </c>
      <c r="C3854" s="17" t="s">
        <v>71</v>
      </c>
      <c r="D3854" t="s">
        <v>11269</v>
      </c>
      <c r="F3854" t="s">
        <v>282</v>
      </c>
      <c r="J3854" t="s">
        <v>115</v>
      </c>
      <c r="K3854" s="18" t="s">
        <v>11285</v>
      </c>
      <c r="N3854" s="17" t="s">
        <v>81</v>
      </c>
      <c r="O3854" t="s">
        <v>117</v>
      </c>
      <c r="U3854" s="17"/>
      <c r="V3854" s="18" t="s">
        <v>11285</v>
      </c>
      <c r="W3854" t="s">
        <v>11286</v>
      </c>
      <c r="Y3854" t="s">
        <v>1084</v>
      </c>
      <c r="AA3854" t="s">
        <v>3146</v>
      </c>
      <c r="AB3854" t="s">
        <v>119</v>
      </c>
    </row>
    <row r="3855" ht="15" customHeight="1" spans="1:28" x14ac:dyDescent="0.25">
      <c r="A3855" s="17" t="s">
        <v>11287</v>
      </c>
      <c r="B3855" s="17" t="s">
        <v>70</v>
      </c>
      <c r="C3855" s="17" t="s">
        <v>71</v>
      </c>
      <c r="D3855" t="s">
        <v>11269</v>
      </c>
      <c r="F3855" t="s">
        <v>11288</v>
      </c>
      <c r="J3855" t="s">
        <v>115</v>
      </c>
      <c r="K3855" s="18" t="s">
        <v>11289</v>
      </c>
      <c r="N3855" s="17" t="s">
        <v>77</v>
      </c>
      <c r="O3855" t="s">
        <v>117</v>
      </c>
      <c r="V3855" s="18" t="s">
        <v>11289</v>
      </c>
      <c r="Y3855" t="s">
        <v>217</v>
      </c>
      <c r="AA3855" t="s">
        <v>218</v>
      </c>
      <c r="AB3855" t="s">
        <v>119</v>
      </c>
    </row>
    <row r="3856" ht="15" customHeight="1" spans="1:22" x14ac:dyDescent="0.25">
      <c r="A3856" s="17" t="s">
        <v>11290</v>
      </c>
      <c r="B3856" s="17" t="s">
        <v>70</v>
      </c>
      <c r="C3856" s="17" t="s">
        <v>71</v>
      </c>
      <c r="D3856" t="s">
        <v>11269</v>
      </c>
      <c r="F3856" t="s">
        <v>11291</v>
      </c>
      <c r="K3856" s="18">
        <f>62811193117</f>
        <v>62811193117</v>
      </c>
      <c r="N3856" s="17" t="s">
        <v>81</v>
      </c>
      <c r="V3856" s="18">
        <f>62811193117</f>
        <v>62811193117</v>
      </c>
    </row>
    <row r="3857" ht="15" customHeight="1" spans="1:22" x14ac:dyDescent="0.25">
      <c r="A3857" s="17" t="s">
        <v>11292</v>
      </c>
      <c r="B3857" s="17" t="s">
        <v>70</v>
      </c>
      <c r="C3857" s="17" t="s">
        <v>71</v>
      </c>
      <c r="D3857" t="s">
        <v>11269</v>
      </c>
      <c r="F3857" t="s">
        <v>3740</v>
      </c>
      <c r="K3857" s="18">
        <f>628123130333</f>
        <v>628123130333</v>
      </c>
      <c r="N3857" s="17" t="s">
        <v>77</v>
      </c>
      <c r="V3857" s="18">
        <f>628123130333</f>
        <v>628123130333</v>
      </c>
    </row>
    <row r="3858" ht="15" customHeight="1" spans="1:25" x14ac:dyDescent="0.25">
      <c r="A3858" s="17" t="s">
        <v>11293</v>
      </c>
      <c r="B3858" s="17" t="s">
        <v>70</v>
      </c>
      <c r="C3858" s="17" t="s">
        <v>71</v>
      </c>
      <c r="D3858" t="s">
        <v>11294</v>
      </c>
      <c r="F3858" t="s">
        <v>11295</v>
      </c>
      <c r="K3858" s="18">
        <v>317346088</v>
      </c>
      <c r="N3858" s="17" t="s">
        <v>77</v>
      </c>
      <c r="U3858" s="17"/>
      <c r="V3858" s="18">
        <v>317346088</v>
      </c>
      <c r="W3858" t="s">
        <v>11296</v>
      </c>
      <c r="Y3858" s="17" t="s">
        <v>704</v>
      </c>
    </row>
    <row r="3859" ht="15" customHeight="1" spans="1:22" x14ac:dyDescent="0.25">
      <c r="A3859" s="17" t="s">
        <v>11297</v>
      </c>
      <c r="B3859" s="17" t="s">
        <v>70</v>
      </c>
      <c r="C3859" s="17" t="s">
        <v>71</v>
      </c>
      <c r="D3859" t="s">
        <v>11298</v>
      </c>
      <c r="F3859" t="s">
        <v>11298</v>
      </c>
      <c r="K3859" s="18">
        <f>628153825365</f>
        <v>628153825365</v>
      </c>
      <c r="N3859" s="17" t="s">
        <v>81</v>
      </c>
      <c r="V3859" s="18">
        <f>628153825365</f>
        <v>628153825365</v>
      </c>
    </row>
    <row r="3860" ht="15" customHeight="1" spans="1:27" x14ac:dyDescent="0.25">
      <c r="A3860" s="17" t="s">
        <v>11299</v>
      </c>
      <c r="B3860" s="17" t="s">
        <v>70</v>
      </c>
      <c r="C3860" s="17" t="s">
        <v>71</v>
      </c>
      <c r="D3860" t="s">
        <v>11298</v>
      </c>
      <c r="F3860" t="s">
        <v>3481</v>
      </c>
      <c r="K3860" s="18">
        <f>62818667111</f>
        <v>62818667111</v>
      </c>
      <c r="N3860" s="17" t="s">
        <v>81</v>
      </c>
      <c r="U3860" s="17"/>
      <c r="V3860" s="18">
        <f>62818667111</f>
        <v>62818667111</v>
      </c>
      <c r="W3860" t="s">
        <v>11300</v>
      </c>
      <c r="Y3860" s="17" t="s">
        <v>90</v>
      </c>
      <c r="AA3860" s="17">
        <v>14450</v>
      </c>
    </row>
    <row r="3861" ht="15" customHeight="1" spans="1:22" x14ac:dyDescent="0.25">
      <c r="A3861" s="17" t="s">
        <v>11301</v>
      </c>
      <c r="B3861" s="17" t="s">
        <v>70</v>
      </c>
      <c r="C3861" s="17" t="s">
        <v>71</v>
      </c>
      <c r="D3861" t="s">
        <v>11302</v>
      </c>
      <c r="F3861" t="s">
        <v>11303</v>
      </c>
      <c r="K3861" s="18">
        <f>628159111556</f>
        <v>628159111556</v>
      </c>
      <c r="N3861" s="17" t="s">
        <v>77</v>
      </c>
      <c r="V3861" s="18">
        <f>628159111556</f>
        <v>628159111556</v>
      </c>
    </row>
    <row r="3862" ht="15" customHeight="1" spans="1:22" x14ac:dyDescent="0.25">
      <c r="A3862" s="17" t="s">
        <v>11304</v>
      </c>
      <c r="B3862" s="17" t="s">
        <v>70</v>
      </c>
      <c r="C3862" s="17" t="s">
        <v>71</v>
      </c>
      <c r="D3862" t="s">
        <v>11302</v>
      </c>
      <c r="F3862" t="s">
        <v>11305</v>
      </c>
      <c r="K3862" s="18">
        <f>62811130351</f>
        <v>62811130351</v>
      </c>
      <c r="N3862" s="17" t="s">
        <v>77</v>
      </c>
      <c r="V3862" s="18">
        <f>62811130351</f>
        <v>62811130351</v>
      </c>
    </row>
    <row r="3863" ht="15" customHeight="1" spans="1:23" x14ac:dyDescent="0.25">
      <c r="A3863" s="17" t="s">
        <v>11306</v>
      </c>
      <c r="B3863" s="17" t="s">
        <v>70</v>
      </c>
      <c r="C3863" s="17" t="s">
        <v>71</v>
      </c>
      <c r="D3863" t="s">
        <v>11307</v>
      </c>
      <c r="F3863" t="s">
        <v>1169</v>
      </c>
      <c r="K3863" s="18">
        <f>62816881475</f>
        <v>62816881475</v>
      </c>
      <c r="N3863" s="17" t="s">
        <v>74</v>
      </c>
      <c r="U3863" s="17"/>
      <c r="V3863" s="18">
        <f>62816881475</f>
        <v>62816881475</v>
      </c>
      <c r="W3863" t="s">
        <v>11308</v>
      </c>
    </row>
    <row r="3864" ht="15" customHeight="1" spans="1:22" x14ac:dyDescent="0.25">
      <c r="A3864" s="17" t="s">
        <v>11309</v>
      </c>
      <c r="B3864" s="17" t="s">
        <v>70</v>
      </c>
      <c r="C3864" s="17" t="s">
        <v>71</v>
      </c>
      <c r="D3864" t="s">
        <v>11310</v>
      </c>
      <c r="F3864" t="s">
        <v>11310</v>
      </c>
      <c r="K3864" s="18">
        <f>62818335413</f>
        <v>62818335413</v>
      </c>
      <c r="N3864" s="17" t="s">
        <v>74</v>
      </c>
      <c r="V3864" s="18">
        <f>62818335413</f>
        <v>62818335413</v>
      </c>
    </row>
    <row r="3865" ht="15" customHeight="1" spans="1:22" x14ac:dyDescent="0.25">
      <c r="A3865" s="17" t="s">
        <v>11311</v>
      </c>
      <c r="B3865" s="17" t="s">
        <v>70</v>
      </c>
      <c r="C3865" s="17" t="s">
        <v>71</v>
      </c>
      <c r="D3865" t="s">
        <v>11312</v>
      </c>
      <c r="F3865" t="s">
        <v>1533</v>
      </c>
      <c r="J3865" s="17" t="s">
        <v>11313</v>
      </c>
      <c r="K3865" s="18">
        <f>6282189862990</f>
        <v>6282189862990</v>
      </c>
      <c r="N3865" s="17" t="s">
        <v>81</v>
      </c>
      <c r="V3865" s="18">
        <f>6282189862990</f>
        <v>6282189862990</v>
      </c>
    </row>
    <row r="3866" ht="15" customHeight="1" spans="1:25" x14ac:dyDescent="0.25">
      <c r="A3866" s="17" t="s">
        <v>11314</v>
      </c>
      <c r="B3866" s="17" t="s">
        <v>70</v>
      </c>
      <c r="C3866" s="17" t="s">
        <v>71</v>
      </c>
      <c r="D3866" t="s">
        <v>11315</v>
      </c>
      <c r="F3866" t="s">
        <v>11315</v>
      </c>
      <c r="K3866" s="18">
        <f>62818515413</f>
        <v>62818515413</v>
      </c>
      <c r="N3866" s="17" t="s">
        <v>77</v>
      </c>
      <c r="U3866" s="17"/>
      <c r="V3866" s="18">
        <f>62818515413</f>
        <v>62818515413</v>
      </c>
      <c r="W3866" t="s">
        <v>11316</v>
      </c>
      <c r="Y3866" s="17" t="s">
        <v>704</v>
      </c>
    </row>
    <row r="3867" ht="15" customHeight="1" spans="1:28" x14ac:dyDescent="0.25">
      <c r="A3867" s="17" t="s">
        <v>11317</v>
      </c>
      <c r="B3867" s="17" t="s">
        <v>70</v>
      </c>
      <c r="C3867" s="17" t="s">
        <v>71</v>
      </c>
      <c r="D3867" t="s">
        <v>11318</v>
      </c>
      <c r="F3867" t="s">
        <v>1064</v>
      </c>
      <c r="J3867" s="17" t="s">
        <v>11319</v>
      </c>
      <c r="K3867" s="18" t="s">
        <v>11320</v>
      </c>
      <c r="N3867" s="17" t="s">
        <v>74</v>
      </c>
      <c r="O3867" t="s">
        <v>145</v>
      </c>
      <c r="U3867" s="17"/>
      <c r="V3867" s="18" t="s">
        <v>11320</v>
      </c>
      <c r="W3867" t="s">
        <v>11321</v>
      </c>
      <c r="Y3867" t="s">
        <v>90</v>
      </c>
      <c r="AA3867" t="s">
        <v>118</v>
      </c>
      <c r="AB3867" t="s">
        <v>119</v>
      </c>
    </row>
    <row r="3868" ht="15" customHeight="1" spans="1:28" x14ac:dyDescent="0.25">
      <c r="A3868" s="17" t="s">
        <v>11322</v>
      </c>
      <c r="B3868" s="17" t="s">
        <v>70</v>
      </c>
      <c r="C3868" s="17" t="s">
        <v>71</v>
      </c>
      <c r="D3868" t="s">
        <v>11323</v>
      </c>
      <c r="F3868" t="s">
        <v>11324</v>
      </c>
      <c r="J3868" t="s">
        <v>115</v>
      </c>
      <c r="K3868" s="18" t="s">
        <v>11325</v>
      </c>
      <c r="N3868" s="17" t="s">
        <v>77</v>
      </c>
      <c r="O3868" t="s">
        <v>117</v>
      </c>
      <c r="U3868" s="17"/>
      <c r="V3868" s="18" t="s">
        <v>11325</v>
      </c>
      <c r="W3868" t="s">
        <v>11326</v>
      </c>
      <c r="Y3868" s="17" t="s">
        <v>90</v>
      </c>
      <c r="AA3868" t="s">
        <v>118</v>
      </c>
      <c r="AB3868" t="s">
        <v>119</v>
      </c>
    </row>
    <row r="3869" ht="15" customHeight="1" spans="1:28" x14ac:dyDescent="0.25">
      <c r="A3869" s="17" t="s">
        <v>11327</v>
      </c>
      <c r="B3869" s="17" t="s">
        <v>70</v>
      </c>
      <c r="C3869" s="17" t="s">
        <v>71</v>
      </c>
      <c r="D3869" t="s">
        <v>11318</v>
      </c>
      <c r="F3869" t="s">
        <v>3585</v>
      </c>
      <c r="J3869" t="s">
        <v>115</v>
      </c>
      <c r="K3869" s="18" t="s">
        <v>11328</v>
      </c>
      <c r="N3869" s="17" t="s">
        <v>77</v>
      </c>
      <c r="O3869" t="s">
        <v>145</v>
      </c>
      <c r="V3869" s="18" t="s">
        <v>11328</v>
      </c>
      <c r="Y3869" t="s">
        <v>115</v>
      </c>
      <c r="AA3869" t="s">
        <v>115</v>
      </c>
      <c r="AB3869" t="s">
        <v>119</v>
      </c>
    </row>
    <row r="3870" ht="15" customHeight="1" spans="1:28" x14ac:dyDescent="0.25">
      <c r="A3870" s="17" t="s">
        <v>11329</v>
      </c>
      <c r="B3870" s="17" t="s">
        <v>70</v>
      </c>
      <c r="C3870" s="17" t="s">
        <v>71</v>
      </c>
      <c r="D3870" t="s">
        <v>11330</v>
      </c>
      <c r="F3870" t="s">
        <v>4155</v>
      </c>
      <c r="J3870" s="17" t="s">
        <v>11331</v>
      </c>
      <c r="K3870" s="18" t="s">
        <v>11332</v>
      </c>
      <c r="N3870" s="17" t="s">
        <v>77</v>
      </c>
      <c r="O3870" t="s">
        <v>489</v>
      </c>
      <c r="U3870" s="17"/>
      <c r="V3870" s="18" t="s">
        <v>11332</v>
      </c>
      <c r="W3870" t="s">
        <v>11333</v>
      </c>
      <c r="Y3870" t="s">
        <v>90</v>
      </c>
      <c r="AA3870" s="17" t="s">
        <v>118</v>
      </c>
      <c r="AB3870" t="s">
        <v>119</v>
      </c>
    </row>
    <row r="3871" ht="15" customHeight="1" spans="1:22" x14ac:dyDescent="0.25">
      <c r="A3871" s="17" t="s">
        <v>11334</v>
      </c>
      <c r="B3871" s="17" t="s">
        <v>70</v>
      </c>
      <c r="C3871" s="17" t="s">
        <v>71</v>
      </c>
      <c r="D3871" t="s">
        <v>11335</v>
      </c>
      <c r="F3871" t="s">
        <v>11335</v>
      </c>
      <c r="K3871" s="18">
        <f>6281386625000</f>
        <v>6281386625000</v>
      </c>
      <c r="N3871" s="17" t="s">
        <v>77</v>
      </c>
      <c r="V3871" s="18">
        <f>6281386625000</f>
        <v>6281386625000</v>
      </c>
    </row>
    <row r="3872" ht="15" customHeight="1" spans="1:25" x14ac:dyDescent="0.25">
      <c r="A3872" s="17" t="s">
        <v>11336</v>
      </c>
      <c r="B3872" s="17" t="s">
        <v>70</v>
      </c>
      <c r="C3872" s="17" t="s">
        <v>71</v>
      </c>
      <c r="D3872" t="s">
        <v>11337</v>
      </c>
      <c r="F3872" t="s">
        <v>584</v>
      </c>
      <c r="J3872" s="17" t="s">
        <v>11338</v>
      </c>
      <c r="K3872" s="18">
        <f>628117105550</f>
        <v>628117105550</v>
      </c>
      <c r="N3872" s="17" t="s">
        <v>81</v>
      </c>
      <c r="U3872" s="17"/>
      <c r="V3872" s="18">
        <f>628117105550</f>
        <v>628117105550</v>
      </c>
      <c r="W3872" t="s">
        <v>11339</v>
      </c>
      <c r="Y3872" s="17" t="s">
        <v>2953</v>
      </c>
    </row>
    <row r="3873" ht="15" customHeight="1" spans="1:22" x14ac:dyDescent="0.25">
      <c r="A3873" s="17" t="s">
        <v>11340</v>
      </c>
      <c r="B3873" s="17" t="s">
        <v>70</v>
      </c>
      <c r="C3873" s="17" t="s">
        <v>71</v>
      </c>
      <c r="D3873" t="s">
        <v>11341</v>
      </c>
      <c r="F3873" t="s">
        <v>11341</v>
      </c>
      <c r="K3873" s="18">
        <f>62811874200</f>
        <v>62811874200</v>
      </c>
      <c r="N3873" s="17" t="s">
        <v>77</v>
      </c>
      <c r="V3873" s="18">
        <f>62811874200</f>
        <v>62811874200</v>
      </c>
    </row>
    <row r="3874" ht="15" customHeight="1" spans="1:22" x14ac:dyDescent="0.25">
      <c r="A3874" s="17" t="s">
        <v>11342</v>
      </c>
      <c r="B3874" s="17" t="s">
        <v>70</v>
      </c>
      <c r="C3874" s="17" t="s">
        <v>71</v>
      </c>
      <c r="D3874" t="s">
        <v>11341</v>
      </c>
      <c r="F3874" t="s">
        <v>3134</v>
      </c>
      <c r="J3874" s="17" t="s">
        <v>11343</v>
      </c>
      <c r="K3874" s="18">
        <f>6281383880019</f>
        <v>6281383880019</v>
      </c>
      <c r="N3874" s="17" t="s">
        <v>77</v>
      </c>
      <c r="V3874" s="18">
        <f>6281383880019</f>
        <v>6281383880019</v>
      </c>
    </row>
    <row r="3875" ht="15" customHeight="1" spans="1:22" x14ac:dyDescent="0.25">
      <c r="A3875" s="17" t="s">
        <v>11344</v>
      </c>
      <c r="B3875" s="17" t="s">
        <v>70</v>
      </c>
      <c r="C3875" s="17" t="s">
        <v>71</v>
      </c>
      <c r="D3875" t="s">
        <v>11341</v>
      </c>
      <c r="F3875" t="s">
        <v>11345</v>
      </c>
      <c r="K3875" s="18">
        <f>79671001000</f>
        <v>79671001000</v>
      </c>
      <c r="N3875" s="17" t="s">
        <v>77</v>
      </c>
      <c r="V3875" s="18">
        <f>79671001000</f>
        <v>79671001000</v>
      </c>
    </row>
    <row r="3876" ht="15" customHeight="1" spans="1:25" x14ac:dyDescent="0.25">
      <c r="A3876" s="17" t="s">
        <v>11346</v>
      </c>
      <c r="B3876" s="17" t="s">
        <v>70</v>
      </c>
      <c r="C3876" s="17" t="s">
        <v>71</v>
      </c>
      <c r="D3876" t="s">
        <v>11341</v>
      </c>
      <c r="F3876" t="s">
        <v>11347</v>
      </c>
      <c r="K3876" s="18">
        <f>6281219390808</f>
        <v>6281219390808</v>
      </c>
      <c r="N3876" s="17" t="s">
        <v>77</v>
      </c>
      <c r="U3876" s="17"/>
      <c r="V3876" s="18">
        <f>6281219390808</f>
        <v>6281219390808</v>
      </c>
      <c r="W3876" t="s">
        <v>11348</v>
      </c>
      <c r="Y3876" s="17" t="s">
        <v>96</v>
      </c>
    </row>
    <row r="3877" ht="15" customHeight="1" spans="1:22" x14ac:dyDescent="0.25">
      <c r="A3877" s="17" t="s">
        <v>11349</v>
      </c>
      <c r="B3877" s="17" t="s">
        <v>70</v>
      </c>
      <c r="C3877" s="17" t="s">
        <v>71</v>
      </c>
      <c r="D3877" t="s">
        <v>11341</v>
      </c>
      <c r="F3877" t="s">
        <v>11347</v>
      </c>
      <c r="K3877" s="18">
        <f>628111880445</f>
        <v>628111880445</v>
      </c>
      <c r="N3877" s="17" t="s">
        <v>81</v>
      </c>
      <c r="V3877" s="18">
        <f>628111880445</f>
        <v>628111880445</v>
      </c>
    </row>
    <row r="3878" ht="15" customHeight="1" spans="1:27" x14ac:dyDescent="0.25">
      <c r="A3878" s="17" t="s">
        <v>11350</v>
      </c>
      <c r="B3878" s="17" t="s">
        <v>70</v>
      </c>
      <c r="C3878" s="17" t="s">
        <v>71</v>
      </c>
      <c r="D3878" t="s">
        <v>11341</v>
      </c>
      <c r="F3878" t="s">
        <v>212</v>
      </c>
      <c r="K3878" s="18">
        <f>62818149181</f>
        <v>62818149181</v>
      </c>
      <c r="N3878" s="17" t="s">
        <v>81</v>
      </c>
      <c r="U3878" s="17"/>
      <c r="V3878" s="18">
        <f>62818149181</f>
        <v>62818149181</v>
      </c>
      <c r="W3878" t="s">
        <v>11351</v>
      </c>
      <c r="AA3878" s="17">
        <v>11520</v>
      </c>
    </row>
    <row r="3879" ht="15" customHeight="1" spans="1:23" x14ac:dyDescent="0.25">
      <c r="A3879" s="17" t="s">
        <v>11352</v>
      </c>
      <c r="B3879" s="17" t="s">
        <v>70</v>
      </c>
      <c r="C3879" s="17" t="s">
        <v>71</v>
      </c>
      <c r="D3879" t="s">
        <v>11341</v>
      </c>
      <c r="F3879" t="s">
        <v>11240</v>
      </c>
      <c r="K3879" s="18">
        <f>628121109000</f>
        <v>628121109000</v>
      </c>
      <c r="N3879" s="17" t="s">
        <v>77</v>
      </c>
      <c r="U3879" s="17"/>
      <c r="V3879" s="18">
        <f>628121109000</f>
        <v>628121109000</v>
      </c>
      <c r="W3879" t="s">
        <v>11353</v>
      </c>
    </row>
    <row r="3880" ht="15" customHeight="1" spans="1:27" x14ac:dyDescent="0.25">
      <c r="A3880" s="17" t="s">
        <v>11354</v>
      </c>
      <c r="B3880" s="17" t="s">
        <v>70</v>
      </c>
      <c r="C3880" s="17" t="s">
        <v>71</v>
      </c>
      <c r="D3880" t="s">
        <v>11341</v>
      </c>
      <c r="F3880" t="s">
        <v>11355</v>
      </c>
      <c r="K3880" s="18">
        <f>628161900818</f>
        <v>628161900818</v>
      </c>
      <c r="N3880" s="17" t="s">
        <v>74</v>
      </c>
      <c r="U3880" s="17"/>
      <c r="V3880" s="18">
        <f>628161900818</f>
        <v>628161900818</v>
      </c>
      <c r="W3880" t="s">
        <v>11356</v>
      </c>
      <c r="Y3880" s="17" t="s">
        <v>378</v>
      </c>
      <c r="AA3880" s="17" t="s">
        <v>7565</v>
      </c>
    </row>
    <row r="3881" ht="15" customHeight="1" spans="1:23" x14ac:dyDescent="0.25">
      <c r="A3881" s="17" t="s">
        <v>11357</v>
      </c>
      <c r="B3881" s="17" t="s">
        <v>70</v>
      </c>
      <c r="C3881" s="17" t="s">
        <v>71</v>
      </c>
      <c r="D3881" t="s">
        <v>11341</v>
      </c>
      <c r="F3881" t="s">
        <v>153</v>
      </c>
      <c r="K3881" s="18">
        <f>6281283079979</f>
        <v>6281283079979</v>
      </c>
      <c r="N3881" s="17" t="s">
        <v>77</v>
      </c>
      <c r="U3881" s="17"/>
      <c r="V3881" s="18">
        <f>6281283079979</f>
        <v>6281283079979</v>
      </c>
      <c r="W3881" t="s">
        <v>11358</v>
      </c>
    </row>
    <row r="3882" ht="15" customHeight="1" spans="1:28" x14ac:dyDescent="0.25">
      <c r="A3882" s="17" t="s">
        <v>11359</v>
      </c>
      <c r="B3882" s="17" t="s">
        <v>70</v>
      </c>
      <c r="C3882" s="17" t="s">
        <v>71</v>
      </c>
      <c r="D3882" t="s">
        <v>11341</v>
      </c>
      <c r="F3882" t="s">
        <v>11360</v>
      </c>
      <c r="J3882" s="17" t="s">
        <v>11361</v>
      </c>
      <c r="K3882" s="18" t="s">
        <v>11362</v>
      </c>
      <c r="N3882" s="17" t="s">
        <v>81</v>
      </c>
      <c r="O3882" t="s">
        <v>117</v>
      </c>
      <c r="V3882" s="18" t="s">
        <v>11362</v>
      </c>
      <c r="Y3882" t="s">
        <v>930</v>
      </c>
      <c r="AA3882" t="s">
        <v>115</v>
      </c>
      <c r="AB3882" t="s">
        <v>930</v>
      </c>
    </row>
    <row r="3883" ht="15" customHeight="1" spans="1:27" x14ac:dyDescent="0.25">
      <c r="A3883" s="17" t="s">
        <v>11363</v>
      </c>
      <c r="B3883" s="17" t="s">
        <v>70</v>
      </c>
      <c r="C3883" s="17" t="s">
        <v>71</v>
      </c>
      <c r="D3883" t="s">
        <v>11364</v>
      </c>
      <c r="F3883" t="s">
        <v>11364</v>
      </c>
      <c r="K3883" s="18">
        <f>628161455577</f>
        <v>628161455577</v>
      </c>
      <c r="N3883" s="17" t="s">
        <v>77</v>
      </c>
      <c r="U3883" s="17"/>
      <c r="V3883" s="18">
        <f>628161455577</f>
        <v>628161455577</v>
      </c>
      <c r="W3883" t="s">
        <v>11365</v>
      </c>
      <c r="Y3883" s="17" t="s">
        <v>515</v>
      </c>
      <c r="AA3883" s="17" t="s">
        <v>9329</v>
      </c>
    </row>
    <row r="3884" ht="15" customHeight="1" spans="1:22" x14ac:dyDescent="0.25">
      <c r="A3884" s="17" t="s">
        <v>11366</v>
      </c>
      <c r="B3884" s="17" t="s">
        <v>70</v>
      </c>
      <c r="C3884" s="17" t="s">
        <v>71</v>
      </c>
      <c r="D3884" t="s">
        <v>11364</v>
      </c>
      <c r="F3884" t="s">
        <v>11364</v>
      </c>
      <c r="K3884" s="18">
        <f>62811680356</f>
        <v>62811680356</v>
      </c>
      <c r="N3884" s="17" t="s">
        <v>77</v>
      </c>
      <c r="V3884" s="18">
        <f>62811680356</f>
        <v>62811680356</v>
      </c>
    </row>
    <row r="3885" ht="15" customHeight="1" spans="1:25" x14ac:dyDescent="0.25">
      <c r="A3885" s="17" t="s">
        <v>11367</v>
      </c>
      <c r="B3885" s="17" t="s">
        <v>70</v>
      </c>
      <c r="C3885" s="17" t="s">
        <v>71</v>
      </c>
      <c r="D3885" t="s">
        <v>11364</v>
      </c>
      <c r="F3885" t="s">
        <v>11368</v>
      </c>
      <c r="K3885" s="18">
        <f>6281293291925</f>
        <v>6281293291925</v>
      </c>
      <c r="N3885" s="17" t="s">
        <v>77</v>
      </c>
      <c r="U3885" s="17"/>
      <c r="V3885" s="18">
        <f>6281293291925</f>
        <v>6281293291925</v>
      </c>
      <c r="W3885" t="s">
        <v>11369</v>
      </c>
      <c r="Y3885" s="17" t="s">
        <v>3320</v>
      </c>
    </row>
    <row r="3886" ht="15" customHeight="1" spans="1:25" x14ac:dyDescent="0.25">
      <c r="A3886" s="17" t="s">
        <v>11370</v>
      </c>
      <c r="B3886" s="17" t="s">
        <v>70</v>
      </c>
      <c r="C3886" s="17" t="s">
        <v>71</v>
      </c>
      <c r="D3886" t="s">
        <v>11364</v>
      </c>
      <c r="F3886" t="s">
        <v>11371</v>
      </c>
      <c r="J3886" s="17" t="s">
        <v>11372</v>
      </c>
      <c r="K3886" s="18">
        <f>6282220333234</f>
        <v>6282220333234</v>
      </c>
      <c r="N3886" s="17" t="s">
        <v>77</v>
      </c>
      <c r="U3886" s="17"/>
      <c r="V3886" s="18">
        <f>6282220333234</f>
        <v>6282220333234</v>
      </c>
      <c r="W3886" t="s">
        <v>11373</v>
      </c>
      <c r="Y3886" s="17" t="s">
        <v>96</v>
      </c>
    </row>
    <row r="3887" ht="15" customHeight="1" spans="1:22" x14ac:dyDescent="0.25">
      <c r="A3887" s="17" t="s">
        <v>11374</v>
      </c>
      <c r="B3887" s="17" t="s">
        <v>70</v>
      </c>
      <c r="C3887" s="17" t="s">
        <v>71</v>
      </c>
      <c r="D3887" t="s">
        <v>11364</v>
      </c>
      <c r="F3887" t="s">
        <v>3559</v>
      </c>
      <c r="K3887" s="18">
        <f>628811680356</f>
        <v>628811680356</v>
      </c>
      <c r="N3887" s="17" t="s">
        <v>77</v>
      </c>
      <c r="V3887" s="18">
        <f>628811680356</f>
        <v>628811680356</v>
      </c>
    </row>
    <row r="3888" ht="15" customHeight="1" spans="1:22" x14ac:dyDescent="0.25">
      <c r="A3888" s="17" t="s">
        <v>11375</v>
      </c>
      <c r="B3888" s="17" t="s">
        <v>70</v>
      </c>
      <c r="C3888" s="17" t="s">
        <v>71</v>
      </c>
      <c r="D3888" t="s">
        <v>11364</v>
      </c>
      <c r="F3888" t="s">
        <v>11376</v>
      </c>
      <c r="K3888" s="18">
        <f>62859106778801</f>
        <v>62859106778801</v>
      </c>
      <c r="N3888" s="17" t="s">
        <v>81</v>
      </c>
      <c r="V3888" s="18">
        <f>62859106778801</f>
        <v>62859106778801</v>
      </c>
    </row>
    <row r="3889" ht="15" customHeight="1" spans="1:22" x14ac:dyDescent="0.25">
      <c r="A3889" s="17" t="s">
        <v>11377</v>
      </c>
      <c r="B3889" s="17" t="s">
        <v>70</v>
      </c>
      <c r="C3889" s="17" t="s">
        <v>71</v>
      </c>
      <c r="D3889" t="s">
        <v>11364</v>
      </c>
      <c r="F3889" t="s">
        <v>11378</v>
      </c>
      <c r="K3889" s="18">
        <f>6281315499814</f>
        <v>6281315499814</v>
      </c>
      <c r="N3889" s="17" t="s">
        <v>77</v>
      </c>
      <c r="V3889" s="18">
        <f>6281315499814</f>
        <v>6281315499814</v>
      </c>
    </row>
    <row r="3890" ht="15" customHeight="1" spans="1:23" x14ac:dyDescent="0.25">
      <c r="A3890" s="17" t="s">
        <v>11379</v>
      </c>
      <c r="B3890" s="17" t="s">
        <v>70</v>
      </c>
      <c r="C3890" s="17" t="s">
        <v>71</v>
      </c>
      <c r="D3890" t="s">
        <v>11364</v>
      </c>
      <c r="F3890" t="s">
        <v>11380</v>
      </c>
      <c r="J3890" s="17" t="s">
        <v>11381</v>
      </c>
      <c r="K3890" s="18">
        <f>6282352377777</f>
        <v>6282352377777</v>
      </c>
      <c r="N3890" s="17" t="s">
        <v>81</v>
      </c>
      <c r="U3890" s="17"/>
      <c r="V3890" s="18">
        <f>6282352377777</f>
        <v>6282352377777</v>
      </c>
      <c r="W3890" t="s">
        <v>11382</v>
      </c>
    </row>
    <row r="3891" ht="15" customHeight="1" spans="1:22" x14ac:dyDescent="0.25">
      <c r="A3891" s="17" t="s">
        <v>11383</v>
      </c>
      <c r="B3891" s="17" t="s">
        <v>70</v>
      </c>
      <c r="C3891" s="17" t="s">
        <v>71</v>
      </c>
      <c r="D3891" t="s">
        <v>11364</v>
      </c>
      <c r="F3891" t="s">
        <v>11384</v>
      </c>
      <c r="K3891" s="18">
        <f>6281286233911</f>
        <v>6281286233911</v>
      </c>
      <c r="N3891" s="17" t="s">
        <v>81</v>
      </c>
      <c r="V3891" s="18">
        <f>6281286233911</f>
        <v>6281286233911</v>
      </c>
    </row>
    <row r="3892" ht="15" customHeight="1" spans="1:22" x14ac:dyDescent="0.25">
      <c r="A3892" s="17" t="s">
        <v>11385</v>
      </c>
      <c r="B3892" s="17" t="s">
        <v>70</v>
      </c>
      <c r="C3892" s="17" t="s">
        <v>71</v>
      </c>
      <c r="D3892" t="s">
        <v>11364</v>
      </c>
      <c r="F3892" t="s">
        <v>11386</v>
      </c>
      <c r="K3892" s="18">
        <f>62817776658096</f>
        <v>62817776658096</v>
      </c>
      <c r="N3892" s="17" t="s">
        <v>77</v>
      </c>
      <c r="V3892" s="18">
        <f>62817776658096</f>
        <v>62817776658096</v>
      </c>
    </row>
    <row r="3893" ht="15" customHeight="1" spans="1:23" x14ac:dyDescent="0.25">
      <c r="A3893" s="17" t="s">
        <v>11387</v>
      </c>
      <c r="B3893" s="17" t="s">
        <v>70</v>
      </c>
      <c r="C3893" s="17" t="s">
        <v>71</v>
      </c>
      <c r="D3893" t="s">
        <v>11364</v>
      </c>
      <c r="F3893" t="s">
        <v>11388</v>
      </c>
      <c r="K3893" s="18">
        <f>628119880047</f>
        <v>628119880047</v>
      </c>
      <c r="N3893" s="17" t="s">
        <v>81</v>
      </c>
      <c r="U3893" s="17"/>
      <c r="V3893" s="18">
        <f>628119880047</f>
        <v>628119880047</v>
      </c>
      <c r="W3893" t="s">
        <v>11389</v>
      </c>
    </row>
    <row r="3894" ht="15" customHeight="1" spans="1:28" x14ac:dyDescent="0.25">
      <c r="A3894" s="17" t="s">
        <v>11390</v>
      </c>
      <c r="B3894" s="17" t="s">
        <v>70</v>
      </c>
      <c r="C3894" s="17" t="s">
        <v>71</v>
      </c>
      <c r="D3894" t="s">
        <v>11391</v>
      </c>
      <c r="F3894" t="s">
        <v>11392</v>
      </c>
      <c r="J3894" t="s">
        <v>115</v>
      </c>
      <c r="K3894" s="18" t="s">
        <v>11393</v>
      </c>
      <c r="N3894" s="17" t="s">
        <v>81</v>
      </c>
      <c r="O3894" t="s">
        <v>261</v>
      </c>
      <c r="U3894" s="17"/>
      <c r="V3894" s="18" t="s">
        <v>11393</v>
      </c>
      <c r="W3894" t="s">
        <v>11394</v>
      </c>
      <c r="Y3894" s="17" t="s">
        <v>90</v>
      </c>
      <c r="AA3894" t="s">
        <v>115</v>
      </c>
      <c r="AB3894" t="s">
        <v>119</v>
      </c>
    </row>
    <row r="3895" ht="15" customHeight="1" spans="1:22" x14ac:dyDescent="0.25">
      <c r="A3895" s="17" t="s">
        <v>11395</v>
      </c>
      <c r="B3895" s="17" t="s">
        <v>70</v>
      </c>
      <c r="C3895" s="17" t="s">
        <v>71</v>
      </c>
      <c r="D3895" t="s">
        <v>11396</v>
      </c>
      <c r="F3895" t="s">
        <v>11396</v>
      </c>
      <c r="K3895" s="18">
        <f>62817837883</f>
        <v>62817837883</v>
      </c>
      <c r="N3895" s="17" t="s">
        <v>77</v>
      </c>
      <c r="V3895" s="18">
        <f>62817837883</f>
        <v>62817837883</v>
      </c>
    </row>
    <row r="3896" ht="15" customHeight="1" spans="1:22" x14ac:dyDescent="0.25">
      <c r="A3896" s="17" t="s">
        <v>11397</v>
      </c>
      <c r="B3896" s="17" t="s">
        <v>70</v>
      </c>
      <c r="C3896" s="17" t="s">
        <v>71</v>
      </c>
      <c r="D3896" t="s">
        <v>11396</v>
      </c>
      <c r="F3896" t="s">
        <v>8916</v>
      </c>
      <c r="K3896" s="18">
        <f>62811938308</f>
        <v>62811938308</v>
      </c>
      <c r="N3896" s="17" t="s">
        <v>81</v>
      </c>
      <c r="V3896" s="18">
        <f>62811938308</f>
        <v>62811938308</v>
      </c>
    </row>
    <row r="3897" ht="15" customHeight="1" spans="1:25" x14ac:dyDescent="0.25">
      <c r="A3897" s="17" t="s">
        <v>11398</v>
      </c>
      <c r="B3897" s="17" t="s">
        <v>70</v>
      </c>
      <c r="C3897" s="17" t="s">
        <v>71</v>
      </c>
      <c r="D3897" t="s">
        <v>11396</v>
      </c>
      <c r="F3897" t="s">
        <v>11399</v>
      </c>
      <c r="J3897" s="17" t="s">
        <v>11400</v>
      </c>
      <c r="K3897" s="18">
        <f>62811827036</f>
        <v>62811827036</v>
      </c>
      <c r="N3897" s="17" t="s">
        <v>77</v>
      </c>
      <c r="U3897" s="17"/>
      <c r="V3897" s="18">
        <f>62811827036</f>
        <v>62811827036</v>
      </c>
      <c r="W3897" t="s">
        <v>11401</v>
      </c>
      <c r="Y3897" s="17" t="s">
        <v>626</v>
      </c>
    </row>
    <row r="3898" ht="15" customHeight="1" spans="1:22" x14ac:dyDescent="0.25">
      <c r="A3898" s="17" t="s">
        <v>11402</v>
      </c>
      <c r="B3898" s="17" t="s">
        <v>70</v>
      </c>
      <c r="C3898" s="17" t="s">
        <v>71</v>
      </c>
      <c r="D3898" t="s">
        <v>11396</v>
      </c>
      <c r="F3898" t="s">
        <v>11403</v>
      </c>
      <c r="K3898" s="18">
        <f>628112271068</f>
        <v>628112271068</v>
      </c>
      <c r="N3898" s="17" t="s">
        <v>81</v>
      </c>
      <c r="V3898" s="18">
        <f>628112271068</f>
        <v>628112271068</v>
      </c>
    </row>
    <row r="3899" ht="15" customHeight="1" spans="1:22" x14ac:dyDescent="0.25">
      <c r="A3899" s="17" t="s">
        <v>11404</v>
      </c>
      <c r="B3899" s="17" t="s">
        <v>70</v>
      </c>
      <c r="C3899" s="17" t="s">
        <v>71</v>
      </c>
      <c r="D3899" t="s">
        <v>11396</v>
      </c>
      <c r="F3899" t="s">
        <v>3585</v>
      </c>
      <c r="K3899" s="18">
        <f>6282112950205</f>
        <v>6282112950205</v>
      </c>
      <c r="N3899" s="17" t="s">
        <v>77</v>
      </c>
      <c r="V3899" s="18">
        <f>6282112950205</f>
        <v>6282112950205</v>
      </c>
    </row>
    <row r="3900" ht="15" customHeight="1" spans="1:22" x14ac:dyDescent="0.25">
      <c r="A3900" s="17" t="s">
        <v>11405</v>
      </c>
      <c r="B3900" s="17" t="s">
        <v>70</v>
      </c>
      <c r="C3900" s="17" t="s">
        <v>71</v>
      </c>
      <c r="D3900" t="s">
        <v>11396</v>
      </c>
      <c r="F3900" t="s">
        <v>1147</v>
      </c>
      <c r="K3900" s="18">
        <f>62217201159</f>
        <v>62217201159</v>
      </c>
      <c r="N3900" s="17" t="s">
        <v>77</v>
      </c>
      <c r="V3900" s="18">
        <f>62217201159</f>
        <v>62217201159</v>
      </c>
    </row>
    <row r="3901" ht="15" customHeight="1" spans="1:22" x14ac:dyDescent="0.25">
      <c r="A3901" s="17" t="s">
        <v>11406</v>
      </c>
      <c r="B3901" s="17" t="s">
        <v>70</v>
      </c>
      <c r="C3901" s="17" t="s">
        <v>71</v>
      </c>
      <c r="D3901" t="s">
        <v>11407</v>
      </c>
      <c r="F3901" t="s">
        <v>11408</v>
      </c>
      <c r="K3901" s="18">
        <f>62811806805</f>
        <v>62811806805</v>
      </c>
      <c r="N3901" s="17" t="s">
        <v>74</v>
      </c>
      <c r="V3901" s="18">
        <f>62811806805</f>
        <v>62811806805</v>
      </c>
    </row>
    <row r="3902" ht="15" customHeight="1" spans="1:28" x14ac:dyDescent="0.25">
      <c r="A3902" s="17" t="s">
        <v>11409</v>
      </c>
      <c r="B3902" s="17" t="s">
        <v>70</v>
      </c>
      <c r="C3902" s="17" t="s">
        <v>71</v>
      </c>
      <c r="D3902" t="s">
        <v>11410</v>
      </c>
      <c r="F3902" t="s">
        <v>8055</v>
      </c>
      <c r="J3902" t="s">
        <v>115</v>
      </c>
      <c r="K3902" s="18" t="s">
        <v>11411</v>
      </c>
      <c r="N3902" s="17" t="s">
        <v>81</v>
      </c>
      <c r="O3902" t="s">
        <v>489</v>
      </c>
      <c r="V3902" s="18" t="s">
        <v>11411</v>
      </c>
      <c r="Y3902" t="s">
        <v>190</v>
      </c>
      <c r="AA3902" t="s">
        <v>118</v>
      </c>
      <c r="AB3902" t="s">
        <v>119</v>
      </c>
    </row>
    <row r="3903" ht="15" customHeight="1" spans="1:22" x14ac:dyDescent="0.25">
      <c r="A3903" s="17" t="s">
        <v>11412</v>
      </c>
      <c r="B3903" s="17" t="s">
        <v>70</v>
      </c>
      <c r="C3903" s="17" t="s">
        <v>71</v>
      </c>
      <c r="D3903" t="s">
        <v>11413</v>
      </c>
      <c r="F3903" t="s">
        <v>11413</v>
      </c>
      <c r="K3903" s="18">
        <f>62811591765</f>
        <v>62811591765</v>
      </c>
      <c r="N3903" s="17" t="s">
        <v>77</v>
      </c>
      <c r="V3903" s="18">
        <f>62811591765</f>
        <v>62811591765</v>
      </c>
    </row>
    <row r="3904" ht="15" customHeight="1" spans="1:25" x14ac:dyDescent="0.25">
      <c r="A3904" s="17" t="s">
        <v>11414</v>
      </c>
      <c r="B3904" s="17" t="s">
        <v>70</v>
      </c>
      <c r="C3904" s="17" t="s">
        <v>71</v>
      </c>
      <c r="D3904" t="s">
        <v>11415</v>
      </c>
      <c r="F3904" t="s">
        <v>212</v>
      </c>
      <c r="J3904" s="17" t="s">
        <v>11416</v>
      </c>
      <c r="K3904" s="18">
        <f>628126576767</f>
        <v>628126576767</v>
      </c>
      <c r="N3904" s="17" t="s">
        <v>77</v>
      </c>
      <c r="U3904" s="17"/>
      <c r="V3904" s="18">
        <f>628126576767</f>
        <v>628126576767</v>
      </c>
      <c r="W3904" t="s">
        <v>11417</v>
      </c>
      <c r="Y3904" s="17" t="s">
        <v>1157</v>
      </c>
    </row>
    <row r="3905" ht="15" customHeight="1" spans="1:22" x14ac:dyDescent="0.25">
      <c r="A3905" s="17" t="s">
        <v>11418</v>
      </c>
      <c r="B3905" s="17" t="s">
        <v>70</v>
      </c>
      <c r="C3905" s="17" t="s">
        <v>71</v>
      </c>
      <c r="D3905" t="s">
        <v>6205</v>
      </c>
      <c r="F3905" t="s">
        <v>307</v>
      </c>
      <c r="K3905" s="18">
        <f>628119698998</f>
        <v>628119698998</v>
      </c>
      <c r="N3905" s="17" t="s">
        <v>81</v>
      </c>
      <c r="V3905" s="18">
        <f>628119698998</f>
        <v>628119698998</v>
      </c>
    </row>
    <row r="3906" ht="15" customHeight="1" spans="1:22" x14ac:dyDescent="0.25">
      <c r="A3906" s="17" t="s">
        <v>11419</v>
      </c>
      <c r="B3906" s="17" t="s">
        <v>70</v>
      </c>
      <c r="C3906" s="17" t="s">
        <v>71</v>
      </c>
      <c r="D3906" t="s">
        <v>11420</v>
      </c>
      <c r="F3906" t="s">
        <v>11420</v>
      </c>
      <c r="K3906" s="18">
        <f>6285732716909</f>
        <v>6285732716909</v>
      </c>
      <c r="N3906" s="17" t="s">
        <v>81</v>
      </c>
      <c r="V3906" s="18">
        <f>6285732716909</f>
        <v>6285732716909</v>
      </c>
    </row>
    <row r="3907" ht="15" customHeight="1" spans="1:25" x14ac:dyDescent="0.25">
      <c r="A3907" s="17" t="s">
        <v>11421</v>
      </c>
      <c r="B3907" s="17" t="s">
        <v>70</v>
      </c>
      <c r="C3907" s="17" t="s">
        <v>71</v>
      </c>
      <c r="D3907" t="s">
        <v>84</v>
      </c>
      <c r="F3907" t="s">
        <v>150</v>
      </c>
      <c r="K3907" s="18">
        <f>62215824515</f>
        <v>62215824515</v>
      </c>
      <c r="N3907" s="17" t="s">
        <v>81</v>
      </c>
      <c r="U3907" s="17"/>
      <c r="V3907" s="18">
        <f>62215824515</f>
        <v>62215824515</v>
      </c>
      <c r="W3907" t="s">
        <v>11422</v>
      </c>
      <c r="Y3907" s="17" t="s">
        <v>90</v>
      </c>
    </row>
    <row r="3908" ht="15" customHeight="1" spans="1:25" x14ac:dyDescent="0.25">
      <c r="A3908" s="17" t="s">
        <v>11423</v>
      </c>
      <c r="B3908" s="17" t="s">
        <v>70</v>
      </c>
      <c r="C3908" s="17" t="s">
        <v>71</v>
      </c>
      <c r="D3908" t="s">
        <v>84</v>
      </c>
      <c r="F3908" t="s">
        <v>150</v>
      </c>
      <c r="J3908" s="17" t="s">
        <v>11424</v>
      </c>
      <c r="K3908" s="18">
        <f>628159315531</f>
        <v>628159315531</v>
      </c>
      <c r="N3908" s="17" t="s">
        <v>77</v>
      </c>
      <c r="U3908" s="17"/>
      <c r="V3908" s="18">
        <f>628159315531</f>
        <v>628159315531</v>
      </c>
      <c r="W3908" t="s">
        <v>11425</v>
      </c>
      <c r="Y3908" s="17" t="s">
        <v>626</v>
      </c>
    </row>
    <row r="3909" ht="15" customHeight="1" spans="1:22" x14ac:dyDescent="0.25">
      <c r="A3909" s="17" t="s">
        <v>11426</v>
      </c>
      <c r="B3909" s="17" t="s">
        <v>70</v>
      </c>
      <c r="C3909" s="17" t="s">
        <v>71</v>
      </c>
      <c r="D3909" t="s">
        <v>11427</v>
      </c>
      <c r="F3909" t="s">
        <v>11428</v>
      </c>
      <c r="K3909" s="18">
        <f>6281333125604</f>
        <v>6281333125604</v>
      </c>
      <c r="N3909" s="17" t="s">
        <v>81</v>
      </c>
      <c r="V3909" s="18">
        <f>6281333125604</f>
        <v>6281333125604</v>
      </c>
    </row>
    <row r="3910" ht="15" customHeight="1" spans="1:22" x14ac:dyDescent="0.25">
      <c r="A3910" s="17" t="s">
        <v>11429</v>
      </c>
      <c r="B3910" s="17" t="s">
        <v>70</v>
      </c>
      <c r="C3910" s="17" t="s">
        <v>71</v>
      </c>
      <c r="D3910" t="s">
        <v>11430</v>
      </c>
      <c r="F3910" t="s">
        <v>11430</v>
      </c>
      <c r="K3910" s="18">
        <f>62811626221</f>
        <v>62811626221</v>
      </c>
      <c r="N3910" s="17" t="s">
        <v>81</v>
      </c>
      <c r="V3910" s="18">
        <f>62811626221</f>
        <v>62811626221</v>
      </c>
    </row>
    <row r="3911" ht="15" customHeight="1" spans="1:22" x14ac:dyDescent="0.25">
      <c r="A3911" s="17" t="s">
        <v>11431</v>
      </c>
      <c r="B3911" s="17" t="s">
        <v>70</v>
      </c>
      <c r="C3911" s="17" t="s">
        <v>71</v>
      </c>
      <c r="D3911" t="s">
        <v>11430</v>
      </c>
      <c r="F3911" t="s">
        <v>11432</v>
      </c>
      <c r="K3911" s="18">
        <f>628122874102</f>
        <v>628122874102</v>
      </c>
      <c r="N3911" s="17" t="s">
        <v>74</v>
      </c>
      <c r="V3911" s="18">
        <f>628122874102</f>
        <v>628122874102</v>
      </c>
    </row>
    <row r="3912" ht="15" customHeight="1" spans="1:25" x14ac:dyDescent="0.25">
      <c r="A3912" s="17" t="s">
        <v>11433</v>
      </c>
      <c r="B3912" s="17" t="s">
        <v>70</v>
      </c>
      <c r="C3912" s="17" t="s">
        <v>71</v>
      </c>
      <c r="D3912" t="s">
        <v>11434</v>
      </c>
      <c r="F3912" t="s">
        <v>3585</v>
      </c>
      <c r="J3912" s="17" t="s">
        <v>11435</v>
      </c>
      <c r="K3912" s="18">
        <f>62811461755</f>
        <v>62811461755</v>
      </c>
      <c r="N3912" s="17" t="s">
        <v>77</v>
      </c>
      <c r="U3912" s="17"/>
      <c r="V3912" s="18">
        <f>62811461755</f>
        <v>62811461755</v>
      </c>
      <c r="W3912" t="s">
        <v>11436</v>
      </c>
      <c r="Y3912" s="17" t="s">
        <v>7143</v>
      </c>
    </row>
    <row r="3913" ht="15" customHeight="1" spans="1:28" x14ac:dyDescent="0.25">
      <c r="A3913" s="17" t="s">
        <v>11437</v>
      </c>
      <c r="B3913" s="17" t="s">
        <v>70</v>
      </c>
      <c r="C3913" s="17" t="s">
        <v>71</v>
      </c>
      <c r="D3913" t="s">
        <v>11438</v>
      </c>
      <c r="F3913" t="s">
        <v>11439</v>
      </c>
      <c r="J3913" s="17" t="s">
        <v>11440</v>
      </c>
      <c r="K3913" s="18" t="s">
        <v>11441</v>
      </c>
      <c r="N3913" s="17" t="s">
        <v>77</v>
      </c>
      <c r="O3913" t="s">
        <v>489</v>
      </c>
      <c r="U3913" s="17"/>
      <c r="V3913" s="18" t="s">
        <v>11441</v>
      </c>
      <c r="W3913" t="s">
        <v>1908</v>
      </c>
      <c r="Y3913" t="s">
        <v>115</v>
      </c>
      <c r="AA3913" t="s">
        <v>115</v>
      </c>
      <c r="AB3913" t="s">
        <v>2605</v>
      </c>
    </row>
    <row r="3914" ht="15" customHeight="1" spans="1:25" x14ac:dyDescent="0.25">
      <c r="A3914" s="17" t="s">
        <v>11442</v>
      </c>
      <c r="B3914" s="17" t="s">
        <v>70</v>
      </c>
      <c r="C3914" s="17" t="s">
        <v>71</v>
      </c>
      <c r="D3914" t="s">
        <v>11443</v>
      </c>
      <c r="F3914" t="s">
        <v>11444</v>
      </c>
      <c r="K3914" s="18">
        <f>62811932039</f>
        <v>62811932039</v>
      </c>
      <c r="N3914" s="17" t="s">
        <v>81</v>
      </c>
      <c r="U3914" s="17"/>
      <c r="V3914" s="18">
        <f>62811932039</f>
        <v>62811932039</v>
      </c>
      <c r="W3914" t="s">
        <v>11445</v>
      </c>
      <c r="Y3914" s="17" t="s">
        <v>90</v>
      </c>
    </row>
    <row r="3915" ht="15" customHeight="1" spans="1:28" x14ac:dyDescent="0.25">
      <c r="A3915" s="17" t="s">
        <v>11446</v>
      </c>
      <c r="B3915" s="17" t="s">
        <v>70</v>
      </c>
      <c r="C3915" s="17" t="s">
        <v>71</v>
      </c>
      <c r="D3915" t="s">
        <v>11447</v>
      </c>
      <c r="F3915" t="s">
        <v>11448</v>
      </c>
      <c r="J3915" s="17" t="s">
        <v>11449</v>
      </c>
      <c r="K3915" s="18" t="s">
        <v>11450</v>
      </c>
      <c r="N3915" s="17" t="s">
        <v>77</v>
      </c>
      <c r="O3915" t="s">
        <v>145</v>
      </c>
      <c r="V3915" s="18" t="s">
        <v>11450</v>
      </c>
      <c r="Y3915" s="17" t="s">
        <v>11451</v>
      </c>
      <c r="AA3915" t="s">
        <v>115</v>
      </c>
      <c r="AB3915" t="s">
        <v>119</v>
      </c>
    </row>
    <row r="3916" ht="15" customHeight="1" spans="1:27" x14ac:dyDescent="0.25">
      <c r="A3916" s="17" t="s">
        <v>11452</v>
      </c>
      <c r="B3916" s="17" t="s">
        <v>70</v>
      </c>
      <c r="C3916" s="17" t="s">
        <v>71</v>
      </c>
      <c r="D3916" t="s">
        <v>11453</v>
      </c>
      <c r="F3916" t="s">
        <v>11454</v>
      </c>
      <c r="K3916" s="18">
        <f>6281317775655</f>
        <v>6281317775655</v>
      </c>
      <c r="N3916" s="17" t="s">
        <v>77</v>
      </c>
      <c r="U3916" s="17"/>
      <c r="V3916" s="18">
        <f>6281317775655</f>
        <v>6281317775655</v>
      </c>
      <c r="W3916" t="s">
        <v>11455</v>
      </c>
      <c r="Y3916" s="17" t="s">
        <v>515</v>
      </c>
      <c r="AA3916" s="17">
        <v>13840</v>
      </c>
    </row>
    <row r="3917" ht="15" customHeight="1" spans="1:25" x14ac:dyDescent="0.25">
      <c r="A3917" s="17" t="s">
        <v>11456</v>
      </c>
      <c r="B3917" s="17" t="s">
        <v>70</v>
      </c>
      <c r="C3917" s="17" t="s">
        <v>71</v>
      </c>
      <c r="D3917" t="s">
        <v>11457</v>
      </c>
      <c r="F3917" t="s">
        <v>11457</v>
      </c>
      <c r="K3917" s="18">
        <f>6281321552222</f>
        <v>6281321552222</v>
      </c>
      <c r="N3917" s="17" t="s">
        <v>77</v>
      </c>
      <c r="U3917" s="17"/>
      <c r="V3917" s="18">
        <f>6281321552222</f>
        <v>6281321552222</v>
      </c>
      <c r="W3917" t="s">
        <v>11458</v>
      </c>
      <c r="Y3917" s="17" t="s">
        <v>1794</v>
      </c>
    </row>
    <row r="3918" ht="15" customHeight="1" spans="1:28" x14ac:dyDescent="0.25">
      <c r="A3918" s="17" t="s">
        <v>11459</v>
      </c>
      <c r="B3918" s="17" t="s">
        <v>70</v>
      </c>
      <c r="C3918" s="17" t="s">
        <v>71</v>
      </c>
      <c r="D3918" t="s">
        <v>11457</v>
      </c>
      <c r="F3918" t="s">
        <v>11460</v>
      </c>
      <c r="J3918" s="17" t="s">
        <v>11461</v>
      </c>
      <c r="K3918" s="18" t="s">
        <v>11462</v>
      </c>
      <c r="N3918" s="17" t="s">
        <v>77</v>
      </c>
      <c r="O3918" t="s">
        <v>199</v>
      </c>
      <c r="U3918" s="17"/>
      <c r="V3918" s="18" t="s">
        <v>11462</v>
      </c>
      <c r="W3918" t="s">
        <v>500</v>
      </c>
      <c r="Y3918" t="s">
        <v>500</v>
      </c>
      <c r="AA3918" t="s">
        <v>501</v>
      </c>
      <c r="AB3918" t="s">
        <v>119</v>
      </c>
    </row>
    <row r="3919" ht="15" customHeight="1" spans="1:22" x14ac:dyDescent="0.25">
      <c r="A3919" s="17" t="s">
        <v>11463</v>
      </c>
      <c r="B3919" s="17" t="s">
        <v>70</v>
      </c>
      <c r="C3919" s="17" t="s">
        <v>71</v>
      </c>
      <c r="D3919" t="s">
        <v>11457</v>
      </c>
      <c r="F3919" t="s">
        <v>11464</v>
      </c>
      <c r="K3919" s="18">
        <f>628111393392</f>
        <v>628111393392</v>
      </c>
      <c r="N3919" s="17" t="s">
        <v>77</v>
      </c>
      <c r="V3919" s="18">
        <f>628111393392</f>
        <v>628111393392</v>
      </c>
    </row>
    <row r="3920" ht="15" customHeight="1" spans="1:22" x14ac:dyDescent="0.25">
      <c r="A3920" s="17" t="s">
        <v>11465</v>
      </c>
      <c r="B3920" s="17" t="s">
        <v>70</v>
      </c>
      <c r="C3920" s="17" t="s">
        <v>71</v>
      </c>
      <c r="D3920" t="s">
        <v>11466</v>
      </c>
      <c r="F3920" t="s">
        <v>5819</v>
      </c>
      <c r="K3920" s="18">
        <f>628119891440</f>
        <v>628119891440</v>
      </c>
      <c r="N3920" s="17" t="s">
        <v>77</v>
      </c>
      <c r="V3920" s="18">
        <f>628119891440</f>
        <v>628119891440</v>
      </c>
    </row>
    <row r="3921" ht="15" customHeight="1" spans="1:28" x14ac:dyDescent="0.25">
      <c r="A3921" s="17" t="s">
        <v>11467</v>
      </c>
      <c r="B3921" s="17" t="s">
        <v>70</v>
      </c>
      <c r="C3921" s="17" t="s">
        <v>71</v>
      </c>
      <c r="D3921" t="s">
        <v>11468</v>
      </c>
      <c r="F3921" t="s">
        <v>11469</v>
      </c>
      <c r="J3921" t="s">
        <v>115</v>
      </c>
      <c r="K3921" s="18" t="s">
        <v>11470</v>
      </c>
      <c r="N3921" s="17" t="s">
        <v>77</v>
      </c>
      <c r="O3921" t="s">
        <v>199</v>
      </c>
      <c r="V3921" s="18" t="s">
        <v>11470</v>
      </c>
      <c r="Y3921" t="s">
        <v>115</v>
      </c>
      <c r="AA3921" t="s">
        <v>115</v>
      </c>
      <c r="AB3921" t="s">
        <v>1298</v>
      </c>
    </row>
    <row r="3922" ht="15" customHeight="1" spans="1:22" x14ac:dyDescent="0.25">
      <c r="A3922" s="17" t="s">
        <v>11471</v>
      </c>
      <c r="B3922" s="17" t="s">
        <v>70</v>
      </c>
      <c r="C3922" s="17" t="s">
        <v>71</v>
      </c>
      <c r="D3922" t="s">
        <v>10699</v>
      </c>
      <c r="F3922" t="s">
        <v>150</v>
      </c>
      <c r="J3922" s="17" t="s">
        <v>11472</v>
      </c>
      <c r="K3922" s="18">
        <f>6591772187</f>
        <v>6591772187</v>
      </c>
      <c r="N3922" s="17" t="s">
        <v>81</v>
      </c>
      <c r="V3922" s="18">
        <f>6591772187</f>
        <v>6591772187</v>
      </c>
    </row>
    <row r="3923" ht="15" customHeight="1" spans="1:28" x14ac:dyDescent="0.25">
      <c r="A3923" s="17" t="s">
        <v>11473</v>
      </c>
      <c r="B3923" s="17" t="s">
        <v>70</v>
      </c>
      <c r="C3923" s="17" t="s">
        <v>71</v>
      </c>
      <c r="D3923" t="s">
        <v>11474</v>
      </c>
      <c r="F3923" t="s">
        <v>11475</v>
      </c>
      <c r="J3923" s="17" t="s">
        <v>11476</v>
      </c>
      <c r="K3923" s="18" t="s">
        <v>11477</v>
      </c>
      <c r="N3923" s="17" t="s">
        <v>77</v>
      </c>
      <c r="O3923" t="s">
        <v>199</v>
      </c>
      <c r="U3923" s="17"/>
      <c r="V3923" s="18" t="s">
        <v>11477</v>
      </c>
      <c r="W3923" t="s">
        <v>11478</v>
      </c>
      <c r="Y3923" t="s">
        <v>115</v>
      </c>
      <c r="AA3923" t="s">
        <v>115</v>
      </c>
      <c r="AB3923" t="s">
        <v>451</v>
      </c>
    </row>
    <row r="3924" ht="15" customHeight="1" spans="1:28" x14ac:dyDescent="0.25">
      <c r="A3924" s="17" t="s">
        <v>11479</v>
      </c>
      <c r="B3924" s="17" t="s">
        <v>70</v>
      </c>
      <c r="C3924" s="17" t="s">
        <v>71</v>
      </c>
      <c r="D3924" t="s">
        <v>11480</v>
      </c>
      <c r="F3924" t="s">
        <v>7492</v>
      </c>
      <c r="J3924" s="17" t="s">
        <v>11481</v>
      </c>
      <c r="K3924" s="18" t="s">
        <v>11482</v>
      </c>
      <c r="N3924" s="17" t="s">
        <v>77</v>
      </c>
      <c r="O3924" t="s">
        <v>489</v>
      </c>
      <c r="V3924" s="18" t="s">
        <v>11482</v>
      </c>
      <c r="Y3924" s="17" t="s">
        <v>397</v>
      </c>
      <c r="AA3924" t="s">
        <v>1199</v>
      </c>
      <c r="AB3924" t="s">
        <v>119</v>
      </c>
    </row>
    <row r="3925" ht="15" customHeight="1" spans="1:28" x14ac:dyDescent="0.25">
      <c r="A3925" s="17" t="s">
        <v>11483</v>
      </c>
      <c r="B3925" s="17" t="s">
        <v>70</v>
      </c>
      <c r="C3925" s="17" t="s">
        <v>71</v>
      </c>
      <c r="D3925" t="s">
        <v>11484</v>
      </c>
      <c r="F3925" t="s">
        <v>11484</v>
      </c>
      <c r="J3925" t="s">
        <v>115</v>
      </c>
      <c r="K3925" s="18" t="s">
        <v>11485</v>
      </c>
      <c r="N3925" s="17" t="s">
        <v>77</v>
      </c>
      <c r="O3925" t="s">
        <v>489</v>
      </c>
      <c r="V3925" s="18" t="s">
        <v>11485</v>
      </c>
      <c r="Y3925" t="s">
        <v>115</v>
      </c>
      <c r="AA3925" t="s">
        <v>115</v>
      </c>
      <c r="AB3925" t="s">
        <v>119</v>
      </c>
    </row>
    <row r="3926" ht="15" customHeight="1" spans="1:22" x14ac:dyDescent="0.25">
      <c r="A3926" s="17" t="s">
        <v>11486</v>
      </c>
      <c r="B3926" s="17" t="s">
        <v>70</v>
      </c>
      <c r="C3926" s="17" t="s">
        <v>71</v>
      </c>
      <c r="D3926" t="s">
        <v>2566</v>
      </c>
      <c r="F3926" t="s">
        <v>2566</v>
      </c>
      <c r="K3926" s="18">
        <f>6281806532335</f>
        <v>6281806532335</v>
      </c>
      <c r="N3926" s="17" t="s">
        <v>81</v>
      </c>
      <c r="V3926" s="18">
        <f>6281806532335</f>
        <v>6281806532335</v>
      </c>
    </row>
    <row r="3927" ht="15" customHeight="1" spans="1:22" x14ac:dyDescent="0.25">
      <c r="A3927" s="17" t="s">
        <v>11487</v>
      </c>
      <c r="B3927" s="17" t="s">
        <v>70</v>
      </c>
      <c r="C3927" s="17" t="s">
        <v>71</v>
      </c>
      <c r="D3927" t="s">
        <v>2566</v>
      </c>
      <c r="F3927" t="s">
        <v>11488</v>
      </c>
      <c r="K3927" s="18">
        <f>6282197767184</f>
        <v>6282197767184</v>
      </c>
      <c r="N3927" s="17" t="s">
        <v>77</v>
      </c>
      <c r="V3927" s="18">
        <f>6282197767184</f>
        <v>6282197767184</v>
      </c>
    </row>
    <row r="3928" ht="15" customHeight="1" spans="1:22" x14ac:dyDescent="0.25">
      <c r="A3928" s="17" t="s">
        <v>11489</v>
      </c>
      <c r="B3928" s="17" t="s">
        <v>70</v>
      </c>
      <c r="C3928" s="17" t="s">
        <v>71</v>
      </c>
      <c r="D3928" t="s">
        <v>2566</v>
      </c>
      <c r="F3928" t="s">
        <v>2987</v>
      </c>
      <c r="K3928" s="18">
        <f>628551101978</f>
        <v>628551101978</v>
      </c>
      <c r="N3928" s="17" t="s">
        <v>81</v>
      </c>
      <c r="V3928" s="18">
        <f>628551101978</f>
        <v>628551101978</v>
      </c>
    </row>
    <row r="3929" ht="15" customHeight="1" spans="1:22" x14ac:dyDescent="0.25">
      <c r="A3929" s="17" t="s">
        <v>11490</v>
      </c>
      <c r="B3929" s="17" t="s">
        <v>70</v>
      </c>
      <c r="C3929" s="17" t="s">
        <v>71</v>
      </c>
      <c r="D3929" t="s">
        <v>2566</v>
      </c>
      <c r="F3929" t="s">
        <v>11491</v>
      </c>
      <c r="K3929" s="18">
        <f>62816851747</f>
        <v>62816851747</v>
      </c>
      <c r="N3929" s="17" t="s">
        <v>74</v>
      </c>
      <c r="V3929" s="18">
        <f>62816851747</f>
        <v>62816851747</v>
      </c>
    </row>
    <row r="3930" ht="15" customHeight="1" spans="1:28" x14ac:dyDescent="0.25">
      <c r="A3930" s="17" t="s">
        <v>11492</v>
      </c>
      <c r="B3930" s="17" t="s">
        <v>70</v>
      </c>
      <c r="C3930" s="17" t="s">
        <v>71</v>
      </c>
      <c r="D3930" t="s">
        <v>11493</v>
      </c>
      <c r="F3930" t="s">
        <v>11494</v>
      </c>
      <c r="J3930" t="s">
        <v>115</v>
      </c>
      <c r="K3930" s="18" t="s">
        <v>11495</v>
      </c>
      <c r="N3930" s="17" t="s">
        <v>81</v>
      </c>
      <c r="O3930" t="s">
        <v>117</v>
      </c>
      <c r="V3930" s="18" t="s">
        <v>11495</v>
      </c>
      <c r="Y3930" t="s">
        <v>11496</v>
      </c>
      <c r="AA3930" t="s">
        <v>1969</v>
      </c>
      <c r="AB3930" t="s">
        <v>119</v>
      </c>
    </row>
    <row r="3931" ht="15" customHeight="1" spans="1:28" x14ac:dyDescent="0.25">
      <c r="A3931" s="17" t="s">
        <v>11497</v>
      </c>
      <c r="B3931" s="17" t="s">
        <v>70</v>
      </c>
      <c r="C3931" s="17" t="s">
        <v>71</v>
      </c>
      <c r="D3931" t="s">
        <v>2566</v>
      </c>
      <c r="F3931" t="s">
        <v>11498</v>
      </c>
      <c r="J3931" t="s">
        <v>115</v>
      </c>
      <c r="K3931" s="18" t="s">
        <v>11499</v>
      </c>
      <c r="N3931" s="17" t="s">
        <v>81</v>
      </c>
      <c r="O3931" t="s">
        <v>489</v>
      </c>
      <c r="U3931" s="17"/>
      <c r="V3931" s="18" t="s">
        <v>11499</v>
      </c>
      <c r="W3931" t="s">
        <v>11500</v>
      </c>
      <c r="Y3931" s="17" t="s">
        <v>90</v>
      </c>
      <c r="AA3931" t="s">
        <v>118</v>
      </c>
      <c r="AB3931" t="s">
        <v>119</v>
      </c>
    </row>
    <row r="3932" ht="15" customHeight="1" spans="1:22" x14ac:dyDescent="0.25">
      <c r="A3932" s="17" t="s">
        <v>11501</v>
      </c>
      <c r="B3932" s="17" t="s">
        <v>70</v>
      </c>
      <c r="C3932" s="17" t="s">
        <v>71</v>
      </c>
      <c r="D3932" t="s">
        <v>2566</v>
      </c>
      <c r="F3932" t="s">
        <v>3181</v>
      </c>
      <c r="K3932" s="18">
        <f>6285810309306</f>
        <v>6285810309306</v>
      </c>
      <c r="N3932" s="17" t="s">
        <v>77</v>
      </c>
      <c r="V3932" s="18">
        <f>6285810309306</f>
        <v>6285810309306</v>
      </c>
    </row>
    <row r="3933" ht="15" customHeight="1" spans="1:25" x14ac:dyDescent="0.25">
      <c r="A3933" s="17" t="s">
        <v>11502</v>
      </c>
      <c r="B3933" s="17" t="s">
        <v>70</v>
      </c>
      <c r="C3933" s="17" t="s">
        <v>71</v>
      </c>
      <c r="D3933" t="s">
        <v>2566</v>
      </c>
      <c r="F3933" t="s">
        <v>4059</v>
      </c>
      <c r="J3933" s="17" t="s">
        <v>11503</v>
      </c>
      <c r="K3933" s="18">
        <f>628119182000</f>
        <v>628119182000</v>
      </c>
      <c r="N3933" s="17" t="s">
        <v>81</v>
      </c>
      <c r="U3933" s="17"/>
      <c r="V3933" s="18">
        <f>628119182000</f>
        <v>628119182000</v>
      </c>
      <c r="W3933" t="s">
        <v>11504</v>
      </c>
      <c r="Y3933" s="17" t="s">
        <v>96</v>
      </c>
    </row>
    <row r="3934" ht="15" customHeight="1" spans="1:25" x14ac:dyDescent="0.25">
      <c r="A3934" s="17" t="s">
        <v>11505</v>
      </c>
      <c r="B3934" s="17" t="s">
        <v>70</v>
      </c>
      <c r="C3934" s="17" t="s">
        <v>71</v>
      </c>
      <c r="D3934" t="s">
        <v>2566</v>
      </c>
      <c r="F3934" t="s">
        <v>7043</v>
      </c>
      <c r="K3934" s="18">
        <f>62811826088</f>
        <v>62811826088</v>
      </c>
      <c r="N3934" s="17" t="s">
        <v>77</v>
      </c>
      <c r="U3934" s="17"/>
      <c r="V3934" s="18">
        <f>62811826088</f>
        <v>62811826088</v>
      </c>
      <c r="W3934" t="s">
        <v>11506</v>
      </c>
      <c r="Y3934" s="17" t="s">
        <v>90</v>
      </c>
    </row>
    <row r="3935" ht="15" customHeight="1" spans="1:22" x14ac:dyDescent="0.25">
      <c r="A3935" s="17" t="s">
        <v>11507</v>
      </c>
      <c r="B3935" s="17" t="s">
        <v>70</v>
      </c>
      <c r="C3935" s="17" t="s">
        <v>71</v>
      </c>
      <c r="D3935" t="s">
        <v>2566</v>
      </c>
      <c r="F3935" t="s">
        <v>4736</v>
      </c>
      <c r="K3935" s="18">
        <f>6281288811745</f>
        <v>6281288811745</v>
      </c>
      <c r="N3935" s="17" t="s">
        <v>77</v>
      </c>
      <c r="V3935" s="18">
        <f>6281288811745</f>
        <v>6281288811745</v>
      </c>
    </row>
    <row r="3936" ht="15" customHeight="1" spans="1:23" x14ac:dyDescent="0.25">
      <c r="A3936" s="17" t="s">
        <v>11508</v>
      </c>
      <c r="B3936" s="17" t="s">
        <v>70</v>
      </c>
      <c r="C3936" s="17" t="s">
        <v>71</v>
      </c>
      <c r="D3936" t="s">
        <v>2566</v>
      </c>
      <c r="F3936" t="s">
        <v>3121</v>
      </c>
      <c r="J3936" s="17" t="s">
        <v>11509</v>
      </c>
      <c r="K3936" s="18">
        <f>62811214288</f>
        <v>62811214288</v>
      </c>
      <c r="N3936" s="17" t="s">
        <v>81</v>
      </c>
      <c r="U3936" s="17"/>
      <c r="V3936" s="18">
        <f>62811214288</f>
        <v>62811214288</v>
      </c>
      <c r="W3936" t="s">
        <v>11510</v>
      </c>
    </row>
    <row r="3937" ht="15" customHeight="1" spans="1:28" x14ac:dyDescent="0.25">
      <c r="A3937" s="17" t="s">
        <v>11511</v>
      </c>
      <c r="B3937" s="17" t="s">
        <v>70</v>
      </c>
      <c r="C3937" s="17" t="s">
        <v>71</v>
      </c>
      <c r="D3937" t="s">
        <v>2566</v>
      </c>
      <c r="F3937" t="s">
        <v>11512</v>
      </c>
      <c r="J3937" s="17" t="s">
        <v>11513</v>
      </c>
      <c r="K3937" s="18" t="s">
        <v>11514</v>
      </c>
      <c r="N3937" s="17" t="s">
        <v>77</v>
      </c>
      <c r="O3937" t="s">
        <v>145</v>
      </c>
      <c r="U3937" s="17"/>
      <c r="V3937" s="18" t="s">
        <v>11514</v>
      </c>
      <c r="W3937" t="s">
        <v>11515</v>
      </c>
      <c r="Y3937" t="s">
        <v>190</v>
      </c>
      <c r="AA3937" s="17" t="s">
        <v>118</v>
      </c>
      <c r="AB3937" t="s">
        <v>119</v>
      </c>
    </row>
    <row r="3938" ht="15" customHeight="1" spans="1:23" x14ac:dyDescent="0.25">
      <c r="A3938" s="17" t="s">
        <v>11516</v>
      </c>
      <c r="B3938" s="17" t="s">
        <v>70</v>
      </c>
      <c r="C3938" s="17" t="s">
        <v>71</v>
      </c>
      <c r="D3938" t="s">
        <v>2566</v>
      </c>
      <c r="F3938" t="s">
        <v>11517</v>
      </c>
      <c r="K3938" s="18">
        <v>67861116805</v>
      </c>
      <c r="N3938" s="17" t="s">
        <v>77</v>
      </c>
      <c r="U3938" s="17"/>
      <c r="V3938" s="18">
        <v>67861116805</v>
      </c>
      <c r="W3938" t="s">
        <v>11518</v>
      </c>
    </row>
    <row r="3939" ht="15" customHeight="1" spans="1:22" x14ac:dyDescent="0.25">
      <c r="A3939" s="17" t="s">
        <v>11519</v>
      </c>
      <c r="B3939" s="17" t="s">
        <v>70</v>
      </c>
      <c r="C3939" s="17" t="s">
        <v>71</v>
      </c>
      <c r="D3939" t="s">
        <v>2566</v>
      </c>
      <c r="F3939" t="s">
        <v>11520</v>
      </c>
      <c r="K3939" s="18">
        <f>62816800031</f>
        <v>62816800031</v>
      </c>
      <c r="N3939" s="17" t="s">
        <v>81</v>
      </c>
      <c r="V3939" s="18">
        <f>62816800031</f>
        <v>62816800031</v>
      </c>
    </row>
    <row r="3940" ht="15" customHeight="1" spans="1:27" x14ac:dyDescent="0.25">
      <c r="A3940" s="17" t="s">
        <v>11521</v>
      </c>
      <c r="B3940" s="17" t="s">
        <v>70</v>
      </c>
      <c r="C3940" s="17" t="s">
        <v>71</v>
      </c>
      <c r="D3940" t="s">
        <v>2566</v>
      </c>
      <c r="F3940" t="s">
        <v>11522</v>
      </c>
      <c r="J3940" s="17" t="s">
        <v>11523</v>
      </c>
      <c r="K3940" s="18">
        <f>628161809328</f>
        <v>628161809328</v>
      </c>
      <c r="N3940" s="17" t="s">
        <v>77</v>
      </c>
      <c r="U3940" s="17"/>
      <c r="V3940" s="18">
        <f>628161809328</f>
        <v>628161809328</v>
      </c>
      <c r="W3940" t="s">
        <v>11524</v>
      </c>
      <c r="Y3940" s="17" t="s">
        <v>1084</v>
      </c>
      <c r="AA3940" s="17">
        <v>14450</v>
      </c>
    </row>
    <row r="3941" ht="15" customHeight="1" spans="1:28" x14ac:dyDescent="0.25">
      <c r="A3941" s="17" t="s">
        <v>11525</v>
      </c>
      <c r="B3941" s="17" t="s">
        <v>70</v>
      </c>
      <c r="C3941" s="17" t="s">
        <v>71</v>
      </c>
      <c r="D3941" t="s">
        <v>2566</v>
      </c>
      <c r="F3941" t="s">
        <v>11526</v>
      </c>
      <c r="J3941" s="17" t="s">
        <v>11527</v>
      </c>
      <c r="K3941" s="18" t="s">
        <v>11528</v>
      </c>
      <c r="N3941" s="17" t="s">
        <v>77</v>
      </c>
      <c r="O3941" t="s">
        <v>261</v>
      </c>
      <c r="U3941" s="17"/>
      <c r="V3941" s="18" t="s">
        <v>11528</v>
      </c>
      <c r="W3941" t="s">
        <v>11529</v>
      </c>
      <c r="Y3941" s="17" t="s">
        <v>90</v>
      </c>
      <c r="AA3941" s="17" t="s">
        <v>118</v>
      </c>
      <c r="AB3941" t="s">
        <v>119</v>
      </c>
    </row>
    <row r="3942" ht="15" customHeight="1" spans="1:22" x14ac:dyDescent="0.25">
      <c r="A3942" s="17" t="s">
        <v>11530</v>
      </c>
      <c r="B3942" s="17" t="s">
        <v>70</v>
      </c>
      <c r="C3942" s="17" t="s">
        <v>71</v>
      </c>
      <c r="D3942" t="s">
        <v>2566</v>
      </c>
      <c r="F3942" t="s">
        <v>10320</v>
      </c>
      <c r="K3942" s="18">
        <f>6285373433627</f>
        <v>6285373433627</v>
      </c>
      <c r="N3942" s="17" t="s">
        <v>81</v>
      </c>
      <c r="V3942" s="18">
        <f>6285373433627</f>
        <v>6285373433627</v>
      </c>
    </row>
    <row r="3943" ht="15" customHeight="1" spans="1:22" x14ac:dyDescent="0.25">
      <c r="A3943" s="17" t="s">
        <v>11531</v>
      </c>
      <c r="B3943" s="17" t="s">
        <v>70</v>
      </c>
      <c r="C3943" s="17" t="s">
        <v>71</v>
      </c>
      <c r="D3943" t="s">
        <v>2566</v>
      </c>
      <c r="F3943" t="s">
        <v>11532</v>
      </c>
      <c r="K3943" s="18">
        <f>62811148083</f>
        <v>62811148083</v>
      </c>
      <c r="N3943" s="17" t="s">
        <v>74</v>
      </c>
      <c r="V3943" s="18">
        <f>62811148083</f>
        <v>62811148083</v>
      </c>
    </row>
    <row r="3944" ht="15" customHeight="1" spans="1:23" x14ac:dyDescent="0.25">
      <c r="A3944" s="17" t="s">
        <v>11533</v>
      </c>
      <c r="B3944" s="17" t="s">
        <v>70</v>
      </c>
      <c r="C3944" s="17" t="s">
        <v>71</v>
      </c>
      <c r="D3944" t="s">
        <v>2566</v>
      </c>
      <c r="F3944" t="s">
        <v>11534</v>
      </c>
      <c r="K3944" s="18">
        <f>628128867669</f>
        <v>628128867669</v>
      </c>
      <c r="N3944" s="17" t="s">
        <v>81</v>
      </c>
      <c r="U3944" s="17"/>
      <c r="V3944" s="18">
        <f>628128867669</f>
        <v>628128867669</v>
      </c>
      <c r="W3944" t="s">
        <v>2953</v>
      </c>
    </row>
    <row r="3945" ht="15" customHeight="1" spans="1:28" x14ac:dyDescent="0.25">
      <c r="A3945" s="17" t="s">
        <v>11535</v>
      </c>
      <c r="B3945" s="17" t="s">
        <v>70</v>
      </c>
      <c r="C3945" s="17" t="s">
        <v>71</v>
      </c>
      <c r="D3945" t="s">
        <v>2566</v>
      </c>
      <c r="F3945" t="s">
        <v>11536</v>
      </c>
      <c r="J3945" s="17" t="s">
        <v>11537</v>
      </c>
      <c r="K3945" s="18" t="s">
        <v>11538</v>
      </c>
      <c r="N3945" s="17" t="s">
        <v>77</v>
      </c>
      <c r="O3945" t="s">
        <v>199</v>
      </c>
      <c r="U3945" s="17"/>
      <c r="V3945" s="18" t="s">
        <v>11538</v>
      </c>
      <c r="W3945" t="s">
        <v>11539</v>
      </c>
      <c r="Y3945" t="s">
        <v>190</v>
      </c>
      <c r="AA3945" t="s">
        <v>118</v>
      </c>
      <c r="AB3945" t="s">
        <v>119</v>
      </c>
    </row>
    <row r="3946" ht="15" customHeight="1" spans="1:28" x14ac:dyDescent="0.25">
      <c r="A3946" s="17" t="s">
        <v>11540</v>
      </c>
      <c r="B3946" s="17" t="s">
        <v>70</v>
      </c>
      <c r="C3946" s="17" t="s">
        <v>71</v>
      </c>
      <c r="D3946" t="s">
        <v>2566</v>
      </c>
      <c r="F3946" t="s">
        <v>5602</v>
      </c>
      <c r="J3946" t="s">
        <v>115</v>
      </c>
      <c r="K3946" s="18" t="s">
        <v>11541</v>
      </c>
      <c r="N3946" s="17" t="s">
        <v>77</v>
      </c>
      <c r="O3946" t="s">
        <v>145</v>
      </c>
      <c r="V3946" s="18" t="s">
        <v>11541</v>
      </c>
      <c r="Y3946" t="s">
        <v>181</v>
      </c>
      <c r="AA3946" t="s">
        <v>1672</v>
      </c>
      <c r="AB3946" t="s">
        <v>119</v>
      </c>
    </row>
    <row r="3947" ht="15" customHeight="1" spans="1:27" x14ac:dyDescent="0.25">
      <c r="A3947" s="17" t="s">
        <v>11542</v>
      </c>
      <c r="B3947" s="17" t="s">
        <v>70</v>
      </c>
      <c r="C3947" s="17" t="s">
        <v>71</v>
      </c>
      <c r="D3947" t="s">
        <v>2566</v>
      </c>
      <c r="F3947" t="s">
        <v>11543</v>
      </c>
      <c r="K3947" s="18">
        <f>62818980905</f>
        <v>62818980905</v>
      </c>
      <c r="N3947" s="17" t="s">
        <v>81</v>
      </c>
      <c r="U3947" s="17"/>
      <c r="V3947" s="18">
        <f>62818980905</f>
        <v>62818980905</v>
      </c>
      <c r="W3947" t="s">
        <v>11544</v>
      </c>
      <c r="Y3947" s="17" t="s">
        <v>96</v>
      </c>
      <c r="AA3947" s="17">
        <v>12870</v>
      </c>
    </row>
    <row r="3948" ht="15" customHeight="1" spans="1:28" x14ac:dyDescent="0.25">
      <c r="A3948" s="17" t="s">
        <v>11545</v>
      </c>
      <c r="B3948" s="17" t="s">
        <v>70</v>
      </c>
      <c r="C3948" s="17" t="s">
        <v>71</v>
      </c>
      <c r="D3948" t="s">
        <v>2566</v>
      </c>
      <c r="F3948" t="s">
        <v>9553</v>
      </c>
      <c r="J3948" t="s">
        <v>115</v>
      </c>
      <c r="K3948" s="18" t="s">
        <v>11546</v>
      </c>
      <c r="N3948" s="17" t="s">
        <v>74</v>
      </c>
      <c r="O3948" t="s">
        <v>489</v>
      </c>
      <c r="U3948" s="17"/>
      <c r="V3948" s="18" t="s">
        <v>11546</v>
      </c>
      <c r="W3948" t="s">
        <v>11547</v>
      </c>
      <c r="Y3948" t="s">
        <v>515</v>
      </c>
      <c r="AA3948" t="s">
        <v>1614</v>
      </c>
      <c r="AB3948" t="s">
        <v>119</v>
      </c>
    </row>
    <row r="3949" ht="15" customHeight="1" spans="1:27" x14ac:dyDescent="0.25">
      <c r="A3949" s="17" t="s">
        <v>11548</v>
      </c>
      <c r="B3949" s="17" t="s">
        <v>70</v>
      </c>
      <c r="C3949" s="17" t="s">
        <v>71</v>
      </c>
      <c r="D3949" t="s">
        <v>2566</v>
      </c>
      <c r="F3949" t="s">
        <v>11549</v>
      </c>
      <c r="K3949" s="18">
        <f>628127022015</f>
        <v>628127022015</v>
      </c>
      <c r="N3949" s="17" t="s">
        <v>77</v>
      </c>
      <c r="U3949" s="17"/>
      <c r="V3949" s="18">
        <f>628127022015</f>
        <v>628127022015</v>
      </c>
      <c r="W3949" t="s">
        <v>11550</v>
      </c>
      <c r="Y3949" s="17" t="s">
        <v>96</v>
      </c>
      <c r="AA3949" s="17" t="s">
        <v>11551</v>
      </c>
    </row>
    <row r="3950" ht="15" customHeight="1" spans="1:22" x14ac:dyDescent="0.25">
      <c r="A3950" s="17" t="s">
        <v>11552</v>
      </c>
      <c r="B3950" s="17" t="s">
        <v>70</v>
      </c>
      <c r="C3950" s="17" t="s">
        <v>71</v>
      </c>
      <c r="D3950" t="s">
        <v>2566</v>
      </c>
      <c r="F3950" t="s">
        <v>9975</v>
      </c>
      <c r="K3950" s="18">
        <f>6281287759944</f>
        <v>6281287759944</v>
      </c>
      <c r="N3950" s="17" t="s">
        <v>81</v>
      </c>
      <c r="V3950" s="18">
        <f>6281287759944</f>
        <v>6281287759944</v>
      </c>
    </row>
    <row r="3951" ht="15" customHeight="1" spans="1:27" x14ac:dyDescent="0.25">
      <c r="A3951" s="17" t="s">
        <v>11553</v>
      </c>
      <c r="B3951" s="17" t="s">
        <v>70</v>
      </c>
      <c r="C3951" s="17" t="s">
        <v>71</v>
      </c>
      <c r="D3951" t="s">
        <v>2566</v>
      </c>
      <c r="F3951" t="s">
        <v>11554</v>
      </c>
      <c r="K3951" s="18">
        <f>62816848953</f>
        <v>62816848953</v>
      </c>
      <c r="N3951" s="17" t="s">
        <v>77</v>
      </c>
      <c r="U3951" s="17"/>
      <c r="V3951" s="18">
        <f>62816848953</f>
        <v>62816848953</v>
      </c>
      <c r="W3951" t="s">
        <v>11555</v>
      </c>
      <c r="Y3951" s="17" t="s">
        <v>96</v>
      </c>
      <c r="AA3951" s="17" t="s">
        <v>97</v>
      </c>
    </row>
    <row r="3952" ht="15" customHeight="1" spans="1:22" x14ac:dyDescent="0.25">
      <c r="A3952" s="17" t="s">
        <v>11556</v>
      </c>
      <c r="B3952" s="17" t="s">
        <v>70</v>
      </c>
      <c r="C3952" s="17" t="s">
        <v>71</v>
      </c>
      <c r="D3952" t="s">
        <v>2566</v>
      </c>
      <c r="F3952" t="s">
        <v>11557</v>
      </c>
      <c r="K3952" s="18">
        <f>6282218788888</f>
        <v>6282218788888</v>
      </c>
      <c r="N3952" s="17" t="s">
        <v>81</v>
      </c>
      <c r="V3952" s="18">
        <f>6282218788888</f>
        <v>6282218788888</v>
      </c>
    </row>
    <row r="3953" ht="15" customHeight="1" spans="1:28" x14ac:dyDescent="0.25">
      <c r="A3953" s="17" t="s">
        <v>11558</v>
      </c>
      <c r="B3953" s="17" t="s">
        <v>70</v>
      </c>
      <c r="C3953" s="17" t="s">
        <v>71</v>
      </c>
      <c r="D3953" t="s">
        <v>2566</v>
      </c>
      <c r="F3953" t="s">
        <v>11559</v>
      </c>
      <c r="J3953" s="17" t="s">
        <v>11560</v>
      </c>
      <c r="K3953" s="18" t="s">
        <v>11561</v>
      </c>
      <c r="N3953" s="17" t="s">
        <v>77</v>
      </c>
      <c r="O3953" t="s">
        <v>145</v>
      </c>
      <c r="V3953" s="18" t="s">
        <v>11561</v>
      </c>
      <c r="Y3953" t="s">
        <v>881</v>
      </c>
      <c r="AA3953" t="s">
        <v>115</v>
      </c>
      <c r="AB3953" t="s">
        <v>119</v>
      </c>
    </row>
    <row r="3954" ht="15" customHeight="1" spans="1:22" x14ac:dyDescent="0.25">
      <c r="A3954" s="17" t="s">
        <v>11562</v>
      </c>
      <c r="B3954" s="17" t="s">
        <v>70</v>
      </c>
      <c r="C3954" s="17" t="s">
        <v>71</v>
      </c>
      <c r="D3954" t="s">
        <v>11563</v>
      </c>
      <c r="F3954" t="s">
        <v>11563</v>
      </c>
      <c r="K3954" s="18">
        <f>628118400698</f>
        <v>628118400698</v>
      </c>
      <c r="N3954" s="17" t="s">
        <v>81</v>
      </c>
      <c r="V3954" s="18">
        <f>628118400698</f>
        <v>628118400698</v>
      </c>
    </row>
    <row r="3955" ht="15" customHeight="1" spans="1:27" x14ac:dyDescent="0.25">
      <c r="A3955" s="17" t="s">
        <v>11564</v>
      </c>
      <c r="B3955" s="17" t="s">
        <v>70</v>
      </c>
      <c r="C3955" s="17" t="s">
        <v>71</v>
      </c>
      <c r="D3955" t="s">
        <v>11565</v>
      </c>
      <c r="F3955" t="s">
        <v>11566</v>
      </c>
      <c r="J3955" s="17" t="s">
        <v>11567</v>
      </c>
      <c r="K3955" s="18">
        <f>6281383970000</f>
        <v>6281383970000</v>
      </c>
      <c r="N3955" s="17" t="s">
        <v>77</v>
      </c>
      <c r="U3955" s="17"/>
      <c r="V3955" s="18">
        <f>6281383970000</f>
        <v>6281383970000</v>
      </c>
      <c r="W3955" t="s">
        <v>11568</v>
      </c>
      <c r="Y3955" s="17" t="s">
        <v>90</v>
      </c>
      <c r="AA3955" s="17">
        <v>11230</v>
      </c>
    </row>
    <row r="3956" ht="15" customHeight="1" spans="1:28" x14ac:dyDescent="0.25">
      <c r="A3956" s="17" t="s">
        <v>11569</v>
      </c>
      <c r="B3956" s="17" t="s">
        <v>70</v>
      </c>
      <c r="C3956" s="17" t="s">
        <v>71</v>
      </c>
      <c r="D3956" t="s">
        <v>2566</v>
      </c>
      <c r="F3956" t="s">
        <v>1208</v>
      </c>
      <c r="J3956" t="s">
        <v>115</v>
      </c>
      <c r="K3956" s="18" t="s">
        <v>11570</v>
      </c>
      <c r="N3956" s="17" t="s">
        <v>77</v>
      </c>
      <c r="O3956" t="s">
        <v>117</v>
      </c>
      <c r="V3956" s="18" t="s">
        <v>11570</v>
      </c>
      <c r="Y3956" t="s">
        <v>500</v>
      </c>
      <c r="AA3956" t="s">
        <v>501</v>
      </c>
      <c r="AB3956" t="s">
        <v>119</v>
      </c>
    </row>
    <row r="3957" ht="15" customHeight="1" spans="1:22" x14ac:dyDescent="0.25">
      <c r="A3957" s="17" t="s">
        <v>11571</v>
      </c>
      <c r="B3957" s="17" t="s">
        <v>70</v>
      </c>
      <c r="C3957" s="17" t="s">
        <v>71</v>
      </c>
      <c r="D3957" t="s">
        <v>11572</v>
      </c>
      <c r="F3957" t="s">
        <v>11573</v>
      </c>
      <c r="K3957" s="18">
        <f>628179246999</f>
        <v>628179246999</v>
      </c>
      <c r="N3957" s="17" t="s">
        <v>77</v>
      </c>
      <c r="V3957" s="18">
        <f>628179246999</f>
        <v>628179246999</v>
      </c>
    </row>
    <row r="3958" ht="15" customHeight="1" spans="1:22" x14ac:dyDescent="0.25">
      <c r="A3958" s="17" t="s">
        <v>11574</v>
      </c>
      <c r="B3958" s="17" t="s">
        <v>70</v>
      </c>
      <c r="C3958" s="17" t="s">
        <v>71</v>
      </c>
      <c r="D3958" t="s">
        <v>11575</v>
      </c>
      <c r="F3958" t="s">
        <v>11576</v>
      </c>
      <c r="K3958" s="18">
        <f>79101523681</f>
        <v>79101523681</v>
      </c>
      <c r="N3958" s="17" t="s">
        <v>77</v>
      </c>
      <c r="V3958" s="18">
        <f>79101523681</f>
        <v>79101523681</v>
      </c>
    </row>
    <row r="3959" ht="15" customHeight="1" spans="1:28" x14ac:dyDescent="0.25">
      <c r="A3959" s="17" t="s">
        <v>11577</v>
      </c>
      <c r="B3959" s="17" t="s">
        <v>70</v>
      </c>
      <c r="C3959" s="17" t="s">
        <v>71</v>
      </c>
      <c r="D3959" t="s">
        <v>11575</v>
      </c>
      <c r="F3959" t="s">
        <v>11578</v>
      </c>
      <c r="J3959" t="s">
        <v>115</v>
      </c>
      <c r="K3959" s="18" t="s">
        <v>11579</v>
      </c>
      <c r="N3959" s="17" t="s">
        <v>77</v>
      </c>
      <c r="O3959" t="s">
        <v>145</v>
      </c>
      <c r="V3959" s="18" t="s">
        <v>11579</v>
      </c>
      <c r="Y3959" s="17" t="s">
        <v>181</v>
      </c>
      <c r="AA3959" t="s">
        <v>1672</v>
      </c>
      <c r="AB3959" t="s">
        <v>119</v>
      </c>
    </row>
    <row r="3960" ht="15" customHeight="1" spans="1:27" x14ac:dyDescent="0.25">
      <c r="A3960" s="17" t="s">
        <v>11580</v>
      </c>
      <c r="B3960" s="17" t="s">
        <v>70</v>
      </c>
      <c r="C3960" s="17" t="s">
        <v>71</v>
      </c>
      <c r="D3960" t="s">
        <v>10127</v>
      </c>
      <c r="F3960" t="s">
        <v>4197</v>
      </c>
      <c r="K3960" s="18">
        <f>6281283874670</f>
        <v>6281283874670</v>
      </c>
      <c r="N3960" s="17" t="s">
        <v>77</v>
      </c>
      <c r="U3960" s="17"/>
      <c r="V3960" s="18">
        <f>6281283874670</f>
        <v>6281283874670</v>
      </c>
      <c r="W3960" t="s">
        <v>11581</v>
      </c>
      <c r="Y3960" s="17" t="s">
        <v>11582</v>
      </c>
      <c r="AA3960" s="17" t="s">
        <v>4548</v>
      </c>
    </row>
    <row r="3961" ht="15" customHeight="1" spans="1:22" x14ac:dyDescent="0.25">
      <c r="A3961" s="17" t="s">
        <v>11583</v>
      </c>
      <c r="B3961" s="17" t="s">
        <v>70</v>
      </c>
      <c r="C3961" s="17" t="s">
        <v>71</v>
      </c>
      <c r="D3961" t="s">
        <v>11584</v>
      </c>
      <c r="F3961" t="s">
        <v>11585</v>
      </c>
      <c r="K3961" s="18">
        <f>6281311342506</f>
        <v>6281311342506</v>
      </c>
      <c r="N3961" s="17" t="s">
        <v>81</v>
      </c>
      <c r="V3961" s="18">
        <f>6281311342506</f>
        <v>6281311342506</v>
      </c>
    </row>
    <row r="3962" ht="15" customHeight="1" spans="1:22" x14ac:dyDescent="0.25">
      <c r="A3962" s="17" t="s">
        <v>11586</v>
      </c>
      <c r="B3962" s="17" t="s">
        <v>70</v>
      </c>
      <c r="C3962" s="17" t="s">
        <v>71</v>
      </c>
      <c r="D3962" t="s">
        <v>11587</v>
      </c>
      <c r="F3962" t="s">
        <v>11587</v>
      </c>
      <c r="K3962" s="18">
        <f>6281295969638</f>
        <v>6281295969638</v>
      </c>
      <c r="N3962" s="17" t="s">
        <v>81</v>
      </c>
      <c r="V3962" s="18">
        <f>6281295969638</f>
        <v>6281295969638</v>
      </c>
    </row>
    <row r="3963" ht="15" customHeight="1" spans="1:23" x14ac:dyDescent="0.25">
      <c r="A3963" s="17" t="s">
        <v>11588</v>
      </c>
      <c r="B3963" s="17" t="s">
        <v>70</v>
      </c>
      <c r="C3963" s="17" t="s">
        <v>71</v>
      </c>
      <c r="D3963" t="s">
        <v>11587</v>
      </c>
      <c r="F3963" t="s">
        <v>11587</v>
      </c>
      <c r="K3963" s="18">
        <f>6285778860000</f>
        <v>6285778860000</v>
      </c>
      <c r="N3963" s="17" t="s">
        <v>81</v>
      </c>
      <c r="U3963" s="17"/>
      <c r="V3963" s="18">
        <f>6285778860000</f>
        <v>6285778860000</v>
      </c>
      <c r="W3963" t="s">
        <v>11589</v>
      </c>
    </row>
    <row r="3964" ht="15" customHeight="1" spans="1:27" x14ac:dyDescent="0.25">
      <c r="A3964" s="17" t="s">
        <v>11590</v>
      </c>
      <c r="B3964" s="17" t="s">
        <v>70</v>
      </c>
      <c r="C3964" s="17" t="s">
        <v>71</v>
      </c>
      <c r="D3964" t="s">
        <v>11587</v>
      </c>
      <c r="F3964" t="s">
        <v>11591</v>
      </c>
      <c r="J3964" s="17" t="s">
        <v>11592</v>
      </c>
      <c r="K3964" s="18">
        <f>6281935468986</f>
        <v>6281935468986</v>
      </c>
      <c r="N3964" s="17" t="s">
        <v>77</v>
      </c>
      <c r="U3964" s="17"/>
      <c r="V3964" s="18">
        <f>6281935468986</f>
        <v>6281935468986</v>
      </c>
      <c r="W3964" t="s">
        <v>11593</v>
      </c>
      <c r="Y3964" s="17" t="s">
        <v>96</v>
      </c>
      <c r="AA3964" s="17">
        <v>12440</v>
      </c>
    </row>
    <row r="3965" ht="15" customHeight="1" spans="1:22" x14ac:dyDescent="0.25">
      <c r="A3965" s="17" t="s">
        <v>11594</v>
      </c>
      <c r="B3965" s="17" t="s">
        <v>70</v>
      </c>
      <c r="C3965" s="17" t="s">
        <v>71</v>
      </c>
      <c r="D3965" t="s">
        <v>11587</v>
      </c>
      <c r="F3965" t="s">
        <v>11595</v>
      </c>
      <c r="K3965" s="18">
        <f>628588517588</f>
        <v>628588517588</v>
      </c>
      <c r="N3965" s="17" t="s">
        <v>77</v>
      </c>
      <c r="V3965" s="18">
        <f>628588517588</f>
        <v>628588517588</v>
      </c>
    </row>
    <row r="3966" ht="15" customHeight="1" spans="1:28" x14ac:dyDescent="0.25">
      <c r="A3966" s="17" t="s">
        <v>11596</v>
      </c>
      <c r="B3966" s="17" t="s">
        <v>70</v>
      </c>
      <c r="C3966" s="17" t="s">
        <v>71</v>
      </c>
      <c r="D3966" t="s">
        <v>11597</v>
      </c>
      <c r="F3966" t="s">
        <v>4291</v>
      </c>
      <c r="J3966" t="s">
        <v>115</v>
      </c>
      <c r="K3966" s="18" t="s">
        <v>11598</v>
      </c>
      <c r="N3966" s="17" t="s">
        <v>77</v>
      </c>
      <c r="O3966" t="s">
        <v>199</v>
      </c>
      <c r="V3966" s="18" t="s">
        <v>11598</v>
      </c>
      <c r="Y3966" t="s">
        <v>1968</v>
      </c>
      <c r="AA3966" t="s">
        <v>1969</v>
      </c>
      <c r="AB3966" t="s">
        <v>119</v>
      </c>
    </row>
    <row r="3967" ht="15" customHeight="1" spans="1:28" x14ac:dyDescent="0.25">
      <c r="A3967" s="17" t="s">
        <v>11599</v>
      </c>
      <c r="B3967" s="17" t="s">
        <v>70</v>
      </c>
      <c r="C3967" s="17" t="s">
        <v>71</v>
      </c>
      <c r="D3967" t="s">
        <v>11587</v>
      </c>
      <c r="F3967" t="s">
        <v>4291</v>
      </c>
      <c r="J3967" t="s">
        <v>115</v>
      </c>
      <c r="K3967" s="18" t="s">
        <v>11600</v>
      </c>
      <c r="N3967" s="17" t="s">
        <v>77</v>
      </c>
      <c r="O3967" t="s">
        <v>117</v>
      </c>
      <c r="V3967" s="18" t="s">
        <v>11600</v>
      </c>
      <c r="Y3967" t="s">
        <v>90</v>
      </c>
      <c r="AA3967" t="s">
        <v>118</v>
      </c>
      <c r="AB3967" t="s">
        <v>119</v>
      </c>
    </row>
    <row r="3968" ht="15" customHeight="1" spans="1:28" x14ac:dyDescent="0.25">
      <c r="A3968" s="17" t="s">
        <v>11601</v>
      </c>
      <c r="B3968" s="17" t="s">
        <v>70</v>
      </c>
      <c r="C3968" s="17" t="s">
        <v>71</v>
      </c>
      <c r="D3968" t="s">
        <v>11587</v>
      </c>
      <c r="F3968" t="s">
        <v>2938</v>
      </c>
      <c r="J3968" t="s">
        <v>115</v>
      </c>
      <c r="K3968" s="18" t="s">
        <v>11602</v>
      </c>
      <c r="N3968" s="17" t="s">
        <v>77</v>
      </c>
      <c r="O3968" t="s">
        <v>199</v>
      </c>
      <c r="V3968" s="18" t="s">
        <v>11602</v>
      </c>
      <c r="Y3968" t="s">
        <v>115</v>
      </c>
      <c r="AA3968" t="s">
        <v>115</v>
      </c>
      <c r="AB3968" t="s">
        <v>119</v>
      </c>
    </row>
    <row r="3969" ht="15" customHeight="1" spans="1:28" x14ac:dyDescent="0.25">
      <c r="A3969" s="17" t="s">
        <v>11603</v>
      </c>
      <c r="B3969" s="17" t="s">
        <v>70</v>
      </c>
      <c r="C3969" s="17" t="s">
        <v>71</v>
      </c>
      <c r="D3969" t="s">
        <v>11587</v>
      </c>
      <c r="F3969" t="s">
        <v>11604</v>
      </c>
      <c r="J3969" t="s">
        <v>115</v>
      </c>
      <c r="K3969" s="18" t="s">
        <v>11605</v>
      </c>
      <c r="N3969" s="17" t="s">
        <v>77</v>
      </c>
      <c r="O3969" t="s">
        <v>261</v>
      </c>
      <c r="V3969" s="18" t="s">
        <v>11605</v>
      </c>
      <c r="Y3969" t="s">
        <v>90</v>
      </c>
      <c r="AA3969" t="s">
        <v>118</v>
      </c>
      <c r="AB3969" t="s">
        <v>119</v>
      </c>
    </row>
    <row r="3970" ht="15" customHeight="1" spans="1:28" x14ac:dyDescent="0.25">
      <c r="A3970" s="17" t="s">
        <v>11606</v>
      </c>
      <c r="B3970" s="17" t="s">
        <v>70</v>
      </c>
      <c r="C3970" s="17" t="s">
        <v>71</v>
      </c>
      <c r="D3970" t="s">
        <v>11587</v>
      </c>
      <c r="F3970" t="s">
        <v>1064</v>
      </c>
      <c r="J3970" t="s">
        <v>115</v>
      </c>
      <c r="K3970" s="18" t="s">
        <v>11607</v>
      </c>
      <c r="N3970" s="17" t="s">
        <v>77</v>
      </c>
      <c r="O3970" t="s">
        <v>117</v>
      </c>
      <c r="V3970" s="18" t="s">
        <v>11607</v>
      </c>
      <c r="Y3970" t="s">
        <v>190</v>
      </c>
      <c r="AA3970" t="s">
        <v>118</v>
      </c>
      <c r="AB3970" t="s">
        <v>119</v>
      </c>
    </row>
    <row r="3971" ht="15" customHeight="1" spans="1:22" x14ac:dyDescent="0.25">
      <c r="A3971" s="17" t="s">
        <v>11608</v>
      </c>
      <c r="B3971" s="17" t="s">
        <v>70</v>
      </c>
      <c r="C3971" s="17" t="s">
        <v>71</v>
      </c>
      <c r="D3971" t="s">
        <v>11587</v>
      </c>
      <c r="F3971" t="s">
        <v>11609</v>
      </c>
      <c r="K3971" s="18">
        <f>6281379788777</f>
        <v>6281379788777</v>
      </c>
      <c r="N3971" s="17" t="s">
        <v>81</v>
      </c>
      <c r="V3971" s="18">
        <f>6281379788777</f>
        <v>6281379788777</v>
      </c>
    </row>
    <row r="3972" ht="15" customHeight="1" spans="1:22" x14ac:dyDescent="0.25">
      <c r="A3972" s="17" t="s">
        <v>11610</v>
      </c>
      <c r="B3972" s="17" t="s">
        <v>70</v>
      </c>
      <c r="C3972" s="17" t="s">
        <v>71</v>
      </c>
      <c r="D3972" t="s">
        <v>11587</v>
      </c>
      <c r="F3972" t="s">
        <v>11611</v>
      </c>
      <c r="K3972" s="18">
        <f>628557891108</f>
        <v>628557891108</v>
      </c>
      <c r="N3972" s="17" t="s">
        <v>77</v>
      </c>
      <c r="V3972" s="18">
        <f>628557891108</f>
        <v>628557891108</v>
      </c>
    </row>
    <row r="3973" ht="15" customHeight="1" spans="1:22" x14ac:dyDescent="0.25">
      <c r="A3973" s="17" t="s">
        <v>11612</v>
      </c>
      <c r="B3973" s="17" t="s">
        <v>70</v>
      </c>
      <c r="C3973" s="17" t="s">
        <v>71</v>
      </c>
      <c r="D3973" t="s">
        <v>11587</v>
      </c>
      <c r="F3973" t="s">
        <v>10192</v>
      </c>
      <c r="K3973" s="18">
        <f>6287775466427</f>
        <v>6287775466427</v>
      </c>
      <c r="N3973" s="17" t="s">
        <v>81</v>
      </c>
      <c r="V3973" s="18">
        <f>6287775466427</f>
        <v>6287775466427</v>
      </c>
    </row>
    <row r="3974" ht="15" customHeight="1" spans="1:22" x14ac:dyDescent="0.25">
      <c r="A3974" s="17" t="s">
        <v>11613</v>
      </c>
      <c r="B3974" s="17" t="s">
        <v>70</v>
      </c>
      <c r="C3974" s="17" t="s">
        <v>71</v>
      </c>
      <c r="D3974" t="s">
        <v>11587</v>
      </c>
      <c r="F3974" t="s">
        <v>282</v>
      </c>
      <c r="K3974" s="18">
        <f>6283871222917</f>
        <v>6283871222917</v>
      </c>
      <c r="N3974" s="17" t="s">
        <v>81</v>
      </c>
      <c r="V3974" s="18">
        <f>6283871222917</f>
        <v>6283871222917</v>
      </c>
    </row>
    <row r="3975" ht="15" customHeight="1" spans="1:28" x14ac:dyDescent="0.25">
      <c r="A3975" s="17" t="s">
        <v>11614</v>
      </c>
      <c r="B3975" s="17" t="s">
        <v>70</v>
      </c>
      <c r="C3975" s="17" t="s">
        <v>71</v>
      </c>
      <c r="D3975" t="s">
        <v>11615</v>
      </c>
      <c r="F3975" t="s">
        <v>1564</v>
      </c>
      <c r="J3975" s="17" t="s">
        <v>11616</v>
      </c>
      <c r="K3975" s="18" t="s">
        <v>11617</v>
      </c>
      <c r="N3975" s="17" t="s">
        <v>77</v>
      </c>
      <c r="O3975" t="s">
        <v>145</v>
      </c>
      <c r="V3975" s="18" t="s">
        <v>11617</v>
      </c>
      <c r="Y3975" t="s">
        <v>96</v>
      </c>
      <c r="AA3975" t="s">
        <v>693</v>
      </c>
      <c r="AB3975" t="s">
        <v>119</v>
      </c>
    </row>
    <row r="3976" ht="15" customHeight="1" spans="1:23" x14ac:dyDescent="0.25">
      <c r="A3976" s="17" t="s">
        <v>11618</v>
      </c>
      <c r="B3976" s="17" t="s">
        <v>70</v>
      </c>
      <c r="C3976" s="17" t="s">
        <v>71</v>
      </c>
      <c r="D3976" t="s">
        <v>11587</v>
      </c>
      <c r="F3976" t="s">
        <v>1564</v>
      </c>
      <c r="J3976" s="17" t="s">
        <v>11619</v>
      </c>
      <c r="K3976" s="18">
        <f>6281574447888</f>
        <v>6281574447888</v>
      </c>
      <c r="N3976" s="17" t="s">
        <v>81</v>
      </c>
      <c r="U3976" s="17"/>
      <c r="V3976" s="18">
        <f>6281574447888</f>
        <v>6281574447888</v>
      </c>
      <c r="W3976" t="s">
        <v>11620</v>
      </c>
    </row>
    <row r="3977" ht="15" customHeight="1" spans="1:22" x14ac:dyDescent="0.25">
      <c r="A3977" s="17" t="s">
        <v>11621</v>
      </c>
      <c r="B3977" s="17" t="s">
        <v>70</v>
      </c>
      <c r="C3977" s="17" t="s">
        <v>71</v>
      </c>
      <c r="D3977" t="s">
        <v>11587</v>
      </c>
      <c r="F3977" t="s">
        <v>11622</v>
      </c>
      <c r="K3977" s="18">
        <f>62818819427</f>
        <v>62818819427</v>
      </c>
      <c r="N3977" s="17" t="s">
        <v>77</v>
      </c>
      <c r="V3977" s="18">
        <f>62818819427</f>
        <v>62818819427</v>
      </c>
    </row>
    <row r="3978" ht="15" customHeight="1" spans="1:27" x14ac:dyDescent="0.25">
      <c r="A3978" s="17" t="s">
        <v>11623</v>
      </c>
      <c r="B3978" s="17" t="s">
        <v>70</v>
      </c>
      <c r="C3978" s="17" t="s">
        <v>71</v>
      </c>
      <c r="D3978" t="s">
        <v>11624</v>
      </c>
      <c r="F3978" t="s">
        <v>11624</v>
      </c>
      <c r="K3978" s="18">
        <f>6281382818170</f>
        <v>6281382818170</v>
      </c>
      <c r="N3978" s="17" t="s">
        <v>77</v>
      </c>
      <c r="U3978" s="17"/>
      <c r="V3978" s="18">
        <f>6281382818170</f>
        <v>6281382818170</v>
      </c>
      <c r="W3978" t="s">
        <v>11625</v>
      </c>
      <c r="Y3978" s="17" t="s">
        <v>90</v>
      </c>
      <c r="AA3978" s="17">
        <v>13260</v>
      </c>
    </row>
    <row r="3979" ht="15" customHeight="1" spans="1:23" x14ac:dyDescent="0.25">
      <c r="A3979" s="17" t="s">
        <v>11626</v>
      </c>
      <c r="B3979" s="17" t="s">
        <v>70</v>
      </c>
      <c r="C3979" s="17" t="s">
        <v>71</v>
      </c>
      <c r="D3979" t="s">
        <v>11627</v>
      </c>
      <c r="F3979" t="s">
        <v>11628</v>
      </c>
      <c r="K3979" s="18">
        <f>35796396665</f>
        <v>35796396665</v>
      </c>
      <c r="N3979" s="17" t="s">
        <v>77</v>
      </c>
      <c r="U3979" s="17"/>
      <c r="V3979" s="18">
        <f>35796396665</f>
        <v>35796396665</v>
      </c>
      <c r="W3979" t="s">
        <v>5358</v>
      </c>
    </row>
    <row r="3980" ht="15" customHeight="1" spans="1:22" x14ac:dyDescent="0.25">
      <c r="A3980" s="17" t="s">
        <v>11629</v>
      </c>
      <c r="B3980" s="17" t="s">
        <v>70</v>
      </c>
      <c r="C3980" s="17" t="s">
        <v>71</v>
      </c>
      <c r="D3980" t="s">
        <v>11630</v>
      </c>
      <c r="F3980" t="s">
        <v>11630</v>
      </c>
      <c r="K3980" s="18">
        <f>6281255564222</f>
        <v>6281255564222</v>
      </c>
      <c r="N3980" s="17" t="s">
        <v>77</v>
      </c>
      <c r="V3980" s="18">
        <f>6281255564222</f>
        <v>6281255564222</v>
      </c>
    </row>
    <row r="3981" ht="15" customHeight="1" spans="1:22" x14ac:dyDescent="0.25">
      <c r="A3981" s="17" t="s">
        <v>11631</v>
      </c>
      <c r="B3981" s="17" t="s">
        <v>70</v>
      </c>
      <c r="C3981" s="17" t="s">
        <v>71</v>
      </c>
      <c r="D3981" t="s">
        <v>11630</v>
      </c>
      <c r="F3981" t="s">
        <v>1713</v>
      </c>
      <c r="K3981" s="18">
        <f>62811800844</f>
        <v>62811800844</v>
      </c>
      <c r="N3981" s="17" t="s">
        <v>77</v>
      </c>
      <c r="V3981" s="18">
        <f>62811800844</f>
        <v>62811800844</v>
      </c>
    </row>
    <row r="3982" ht="15" customHeight="1" spans="1:22" x14ac:dyDescent="0.25">
      <c r="A3982" s="17" t="s">
        <v>11632</v>
      </c>
      <c r="B3982" s="17" t="s">
        <v>70</v>
      </c>
      <c r="C3982" s="17" t="s">
        <v>71</v>
      </c>
      <c r="D3982" t="s">
        <v>7884</v>
      </c>
      <c r="F3982" t="s">
        <v>153</v>
      </c>
      <c r="K3982" s="18">
        <f>628119780096</f>
        <v>628119780096</v>
      </c>
      <c r="N3982" s="17" t="s">
        <v>77</v>
      </c>
      <c r="V3982" s="18">
        <f>628119780096</f>
        <v>628119780096</v>
      </c>
    </row>
    <row r="3983" ht="15" customHeight="1" spans="1:22" x14ac:dyDescent="0.25">
      <c r="A3983" s="17" t="s">
        <v>11633</v>
      </c>
      <c r="B3983" s="17" t="s">
        <v>70</v>
      </c>
      <c r="C3983" s="17" t="s">
        <v>71</v>
      </c>
      <c r="D3983" t="s">
        <v>11634</v>
      </c>
      <c r="F3983" t="s">
        <v>11635</v>
      </c>
      <c r="K3983" s="18">
        <f>62816708217</f>
        <v>62816708217</v>
      </c>
      <c r="N3983" s="17" t="s">
        <v>77</v>
      </c>
      <c r="V3983" s="18">
        <f>62816708217</f>
        <v>62816708217</v>
      </c>
    </row>
    <row r="3984" ht="15" customHeight="1" spans="1:23" x14ac:dyDescent="0.25">
      <c r="A3984" s="17" t="s">
        <v>11636</v>
      </c>
      <c r="B3984" s="17" t="s">
        <v>70</v>
      </c>
      <c r="C3984" s="17" t="s">
        <v>71</v>
      </c>
      <c r="D3984" t="s">
        <v>11637</v>
      </c>
      <c r="F3984" t="s">
        <v>11638</v>
      </c>
      <c r="K3984" s="18">
        <f>6287878142288</f>
        <v>6287878142288</v>
      </c>
      <c r="N3984" s="17" t="s">
        <v>81</v>
      </c>
      <c r="U3984" s="17"/>
      <c r="V3984" s="18">
        <f>6287878142288</f>
        <v>6287878142288</v>
      </c>
      <c r="W3984" t="s">
        <v>11639</v>
      </c>
    </row>
    <row r="3985" ht="15" customHeight="1" spans="1:28" x14ac:dyDescent="0.25">
      <c r="A3985" s="17" t="s">
        <v>11640</v>
      </c>
      <c r="B3985" s="17" t="s">
        <v>70</v>
      </c>
      <c r="C3985" s="17" t="s">
        <v>71</v>
      </c>
      <c r="D3985" t="s">
        <v>11641</v>
      </c>
      <c r="F3985" t="s">
        <v>11642</v>
      </c>
      <c r="J3985" t="s">
        <v>115</v>
      </c>
      <c r="K3985" s="18" t="s">
        <v>11643</v>
      </c>
      <c r="N3985" s="17" t="s">
        <v>74</v>
      </c>
      <c r="O3985" t="s">
        <v>489</v>
      </c>
      <c r="U3985" s="17"/>
      <c r="V3985" s="18" t="s">
        <v>11643</v>
      </c>
      <c r="W3985" t="s">
        <v>11644</v>
      </c>
      <c r="Y3985" t="s">
        <v>90</v>
      </c>
      <c r="AA3985" t="s">
        <v>118</v>
      </c>
      <c r="AB3985" t="s">
        <v>119</v>
      </c>
    </row>
    <row r="3986" ht="15" customHeight="1" spans="1:28" x14ac:dyDescent="0.25">
      <c r="A3986" s="17" t="s">
        <v>11645</v>
      </c>
      <c r="B3986" s="17" t="s">
        <v>70</v>
      </c>
      <c r="C3986" s="17" t="s">
        <v>71</v>
      </c>
      <c r="D3986" t="s">
        <v>7264</v>
      </c>
      <c r="F3986" t="s">
        <v>11646</v>
      </c>
      <c r="J3986" t="s">
        <v>115</v>
      </c>
      <c r="K3986" s="18" t="s">
        <v>11647</v>
      </c>
      <c r="N3986" s="17" t="s">
        <v>77</v>
      </c>
      <c r="O3986" t="s">
        <v>117</v>
      </c>
      <c r="V3986" s="18" t="s">
        <v>11647</v>
      </c>
      <c r="Y3986" t="s">
        <v>90</v>
      </c>
      <c r="AA3986" t="s">
        <v>118</v>
      </c>
      <c r="AB3986" t="s">
        <v>119</v>
      </c>
    </row>
    <row r="3987" ht="15" customHeight="1" spans="1:22" x14ac:dyDescent="0.25">
      <c r="A3987" s="17" t="s">
        <v>11648</v>
      </c>
      <c r="B3987" s="17" t="s">
        <v>70</v>
      </c>
      <c r="C3987" s="17" t="s">
        <v>71</v>
      </c>
      <c r="D3987" t="s">
        <v>11649</v>
      </c>
      <c r="F3987" t="s">
        <v>11649</v>
      </c>
      <c r="K3987" s="18">
        <f>6282114486429</f>
        <v>6282114486429</v>
      </c>
      <c r="N3987" s="17" t="s">
        <v>77</v>
      </c>
      <c r="V3987" s="18">
        <f>6282114486429</f>
        <v>6282114486429</v>
      </c>
    </row>
    <row r="3988" ht="15" customHeight="1" spans="1:22" x14ac:dyDescent="0.25">
      <c r="A3988" s="17" t="s">
        <v>11650</v>
      </c>
      <c r="B3988" s="17" t="s">
        <v>70</v>
      </c>
      <c r="C3988" s="17" t="s">
        <v>71</v>
      </c>
      <c r="D3988" t="s">
        <v>11651</v>
      </c>
      <c r="F3988" t="s">
        <v>11652</v>
      </c>
      <c r="K3988" s="18">
        <f>6281281942917</f>
        <v>6281281942917</v>
      </c>
      <c r="N3988" s="17" t="s">
        <v>77</v>
      </c>
      <c r="V3988" s="18">
        <f>6281281942917</f>
        <v>6281281942917</v>
      </c>
    </row>
    <row r="3989" ht="15" customHeight="1" spans="1:28" x14ac:dyDescent="0.25">
      <c r="A3989" s="17" t="s">
        <v>11653</v>
      </c>
      <c r="B3989" s="17" t="s">
        <v>70</v>
      </c>
      <c r="C3989" s="17" t="s">
        <v>71</v>
      </c>
      <c r="D3989" t="s">
        <v>11651</v>
      </c>
      <c r="F3989" t="s">
        <v>11654</v>
      </c>
      <c r="J3989" s="17" t="s">
        <v>11655</v>
      </c>
      <c r="K3989" s="18" t="s">
        <v>11656</v>
      </c>
      <c r="N3989" s="17" t="s">
        <v>77</v>
      </c>
      <c r="O3989" t="s">
        <v>199</v>
      </c>
      <c r="V3989" s="18" t="s">
        <v>11656</v>
      </c>
      <c r="Y3989" t="s">
        <v>115</v>
      </c>
      <c r="AA3989" t="s">
        <v>115</v>
      </c>
      <c r="AB3989" t="s">
        <v>119</v>
      </c>
    </row>
    <row r="3990" ht="15" customHeight="1" spans="1:22" x14ac:dyDescent="0.25">
      <c r="A3990" s="17" t="s">
        <v>11657</v>
      </c>
      <c r="B3990" s="17" t="s">
        <v>70</v>
      </c>
      <c r="C3990" s="17" t="s">
        <v>71</v>
      </c>
      <c r="D3990" t="s">
        <v>11651</v>
      </c>
      <c r="F3990" t="s">
        <v>11658</v>
      </c>
      <c r="K3990" s="18">
        <f>6281317573399</f>
        <v>6281317573399</v>
      </c>
      <c r="N3990" s="17" t="s">
        <v>81</v>
      </c>
      <c r="V3990" s="18">
        <f>6281317573399</f>
        <v>6281317573399</v>
      </c>
    </row>
    <row r="3991" ht="15" customHeight="1" spans="1:22" x14ac:dyDescent="0.25">
      <c r="A3991" s="17" t="s">
        <v>11659</v>
      </c>
      <c r="B3991" s="17" t="s">
        <v>70</v>
      </c>
      <c r="C3991" s="17" t="s">
        <v>71</v>
      </c>
      <c r="D3991" t="s">
        <v>11660</v>
      </c>
      <c r="F3991" t="s">
        <v>11661</v>
      </c>
      <c r="K3991" s="18">
        <f>628128126366</f>
        <v>628128126366</v>
      </c>
      <c r="N3991" s="17" t="s">
        <v>81</v>
      </c>
      <c r="V3991" s="18">
        <f>628128126366</f>
        <v>628128126366</v>
      </c>
    </row>
    <row r="3992" ht="15" customHeight="1" spans="1:22" x14ac:dyDescent="0.25">
      <c r="A3992" s="17" t="s">
        <v>11662</v>
      </c>
      <c r="B3992" s="17" t="s">
        <v>70</v>
      </c>
      <c r="C3992" s="17" t="s">
        <v>71</v>
      </c>
      <c r="D3992" t="s">
        <v>11663</v>
      </c>
      <c r="F3992" t="s">
        <v>11663</v>
      </c>
      <c r="K3992" s="18">
        <f>6281282627672</f>
        <v>6281282627672</v>
      </c>
      <c r="N3992" s="17" t="s">
        <v>74</v>
      </c>
      <c r="V3992" s="18">
        <f>6281282627672</f>
        <v>6281282627672</v>
      </c>
    </row>
    <row r="3993" ht="15" customHeight="1" spans="1:22" x14ac:dyDescent="0.25">
      <c r="A3993" s="17" t="s">
        <v>11664</v>
      </c>
      <c r="B3993" s="17" t="s">
        <v>70</v>
      </c>
      <c r="C3993" s="17" t="s">
        <v>71</v>
      </c>
      <c r="D3993" t="s">
        <v>11663</v>
      </c>
      <c r="F3993" t="s">
        <v>4918</v>
      </c>
      <c r="K3993" s="18">
        <f>62812826627672</f>
        <v>62812826627672</v>
      </c>
      <c r="N3993" s="17" t="s">
        <v>74</v>
      </c>
      <c r="V3993" s="18">
        <f>62812826627672</f>
        <v>62812826627672</v>
      </c>
    </row>
    <row r="3994" ht="15" customHeight="1" spans="1:22" x14ac:dyDescent="0.25">
      <c r="A3994" s="17" t="s">
        <v>11665</v>
      </c>
      <c r="B3994" s="17" t="s">
        <v>70</v>
      </c>
      <c r="C3994" s="17" t="s">
        <v>71</v>
      </c>
      <c r="D3994" t="s">
        <v>11666</v>
      </c>
      <c r="F3994" t="s">
        <v>11666</v>
      </c>
      <c r="K3994" s="18">
        <f>6281210198751</f>
        <v>6281210198751</v>
      </c>
      <c r="N3994" s="17" t="s">
        <v>81</v>
      </c>
      <c r="V3994" s="18">
        <f>6281210198751</f>
        <v>6281210198751</v>
      </c>
    </row>
    <row r="3995" ht="15" customHeight="1" spans="1:22" x14ac:dyDescent="0.25">
      <c r="A3995" s="17" t="s">
        <v>11667</v>
      </c>
      <c r="B3995" s="17" t="s">
        <v>70</v>
      </c>
      <c r="C3995" s="17" t="s">
        <v>71</v>
      </c>
      <c r="D3995" t="s">
        <v>11668</v>
      </c>
      <c r="F3995" t="s">
        <v>618</v>
      </c>
      <c r="K3995" s="18">
        <f>62811191507</f>
        <v>62811191507</v>
      </c>
      <c r="N3995" s="17" t="s">
        <v>74</v>
      </c>
      <c r="V3995" s="18">
        <f>62811191507</f>
        <v>62811191507</v>
      </c>
    </row>
    <row r="3996" ht="15" customHeight="1" spans="1:23" x14ac:dyDescent="0.25">
      <c r="A3996" s="17" t="s">
        <v>11669</v>
      </c>
      <c r="B3996" s="17" t="s">
        <v>70</v>
      </c>
      <c r="C3996" s="17" t="s">
        <v>71</v>
      </c>
      <c r="D3996" t="s">
        <v>11670</v>
      </c>
      <c r="F3996" t="s">
        <v>11671</v>
      </c>
      <c r="K3996" s="18">
        <f>62818843990</f>
        <v>62818843990</v>
      </c>
      <c r="N3996" s="17" t="s">
        <v>81</v>
      </c>
      <c r="U3996" s="17"/>
      <c r="V3996" s="18">
        <f>62818843990</f>
        <v>62818843990</v>
      </c>
      <c r="W3996" t="s">
        <v>11672</v>
      </c>
    </row>
    <row r="3997" ht="15" customHeight="1" spans="1:28" x14ac:dyDescent="0.25">
      <c r="A3997" s="17" t="s">
        <v>11673</v>
      </c>
      <c r="B3997" s="17" t="s">
        <v>70</v>
      </c>
      <c r="C3997" s="17" t="s">
        <v>71</v>
      </c>
      <c r="D3997" t="s">
        <v>11670</v>
      </c>
      <c r="F3997" t="s">
        <v>11674</v>
      </c>
      <c r="J3997" t="s">
        <v>115</v>
      </c>
      <c r="K3997" s="18" t="s">
        <v>11675</v>
      </c>
      <c r="N3997" s="17" t="s">
        <v>77</v>
      </c>
      <c r="O3997" t="s">
        <v>199</v>
      </c>
      <c r="V3997" s="18" t="s">
        <v>11675</v>
      </c>
      <c r="Y3997" t="s">
        <v>90</v>
      </c>
      <c r="AA3997" t="s">
        <v>118</v>
      </c>
      <c r="AB3997" t="s">
        <v>119</v>
      </c>
    </row>
    <row r="3998" ht="15" customHeight="1" spans="1:22" x14ac:dyDescent="0.25">
      <c r="A3998" s="17" t="s">
        <v>11676</v>
      </c>
      <c r="B3998" s="17" t="s">
        <v>70</v>
      </c>
      <c r="C3998" s="17" t="s">
        <v>71</v>
      </c>
      <c r="D3998" t="s">
        <v>11677</v>
      </c>
      <c r="F3998" t="s">
        <v>11678</v>
      </c>
      <c r="K3998" s="18">
        <f>5281290050019</f>
        <v>5281290050019</v>
      </c>
      <c r="N3998" s="17" t="s">
        <v>81</v>
      </c>
      <c r="V3998" s="18">
        <f>5281290050019</f>
        <v>5281290050019</v>
      </c>
    </row>
    <row r="3999" ht="15" customHeight="1" spans="1:22" x14ac:dyDescent="0.25">
      <c r="A3999" s="17" t="s">
        <v>11679</v>
      </c>
      <c r="B3999" s="17" t="s">
        <v>70</v>
      </c>
      <c r="C3999" s="17" t="s">
        <v>71</v>
      </c>
      <c r="D3999" t="s">
        <v>11680</v>
      </c>
      <c r="F3999" t="s">
        <v>11680</v>
      </c>
      <c r="K3999" s="18">
        <f>628126001318</f>
        <v>628126001318</v>
      </c>
      <c r="N3999" s="17" t="s">
        <v>81</v>
      </c>
      <c r="V3999" s="18">
        <f>628126001318</f>
        <v>628126001318</v>
      </c>
    </row>
    <row r="4000" ht="15" customHeight="1" spans="1:28" x14ac:dyDescent="0.25">
      <c r="A4000" s="17" t="s">
        <v>11681</v>
      </c>
      <c r="B4000" s="17" t="s">
        <v>70</v>
      </c>
      <c r="C4000" s="17" t="s">
        <v>71</v>
      </c>
      <c r="D4000" t="s">
        <v>11680</v>
      </c>
      <c r="F4000" t="s">
        <v>212</v>
      </c>
      <c r="J4000" t="s">
        <v>115</v>
      </c>
      <c r="K4000" s="18" t="s">
        <v>11682</v>
      </c>
      <c r="N4000" s="17" t="s">
        <v>77</v>
      </c>
      <c r="O4000" t="s">
        <v>117</v>
      </c>
      <c r="U4000" s="17"/>
      <c r="V4000" s="18" t="s">
        <v>11682</v>
      </c>
      <c r="W4000" t="s">
        <v>11683</v>
      </c>
      <c r="Y4000" t="s">
        <v>90</v>
      </c>
      <c r="AA4000" t="s">
        <v>118</v>
      </c>
      <c r="AB4000" t="s">
        <v>119</v>
      </c>
    </row>
    <row r="4001" ht="15" customHeight="1" spans="1:25" x14ac:dyDescent="0.25">
      <c r="A4001" s="17" t="s">
        <v>11684</v>
      </c>
      <c r="B4001" s="17" t="s">
        <v>70</v>
      </c>
      <c r="C4001" s="17" t="s">
        <v>71</v>
      </c>
      <c r="D4001" t="s">
        <v>11680</v>
      </c>
      <c r="F4001" t="s">
        <v>301</v>
      </c>
      <c r="J4001" s="17" t="s">
        <v>11685</v>
      </c>
      <c r="K4001" s="18">
        <f>6281316616147</f>
        <v>6281316616147</v>
      </c>
      <c r="N4001" s="17" t="s">
        <v>74</v>
      </c>
      <c r="U4001" s="17"/>
      <c r="V4001" s="18">
        <f>6281316616147</f>
        <v>6281316616147</v>
      </c>
      <c r="W4001" t="s">
        <v>11686</v>
      </c>
      <c r="Y4001" s="17" t="s">
        <v>96</v>
      </c>
    </row>
    <row r="4002" ht="15" customHeight="1" spans="1:28" x14ac:dyDescent="0.25">
      <c r="A4002" s="17" t="s">
        <v>11687</v>
      </c>
      <c r="B4002" s="17" t="s">
        <v>70</v>
      </c>
      <c r="C4002" s="17" t="s">
        <v>71</v>
      </c>
      <c r="D4002" t="s">
        <v>11688</v>
      </c>
      <c r="F4002" t="s">
        <v>11688</v>
      </c>
      <c r="J4002" t="s">
        <v>11689</v>
      </c>
      <c r="K4002" s="18" t="s">
        <v>11690</v>
      </c>
      <c r="N4002" s="17" t="s">
        <v>77</v>
      </c>
      <c r="O4002" t="s">
        <v>261</v>
      </c>
      <c r="U4002" s="17"/>
      <c r="V4002" s="18" t="s">
        <v>11690</v>
      </c>
      <c r="W4002" t="s">
        <v>626</v>
      </c>
      <c r="Y4002" t="s">
        <v>4054</v>
      </c>
      <c r="AA4002" t="s">
        <v>115</v>
      </c>
      <c r="AB4002" t="s">
        <v>119</v>
      </c>
    </row>
    <row r="4003" ht="15" customHeight="1" spans="1:25" x14ac:dyDescent="0.25">
      <c r="A4003" s="17" t="s">
        <v>11691</v>
      </c>
      <c r="B4003" s="17" t="s">
        <v>70</v>
      </c>
      <c r="C4003" s="17" t="s">
        <v>71</v>
      </c>
      <c r="D4003" t="s">
        <v>11692</v>
      </c>
      <c r="F4003" t="s">
        <v>11692</v>
      </c>
      <c r="K4003" s="18">
        <f>628112050503</f>
        <v>628112050503</v>
      </c>
      <c r="N4003" s="17" t="s">
        <v>81</v>
      </c>
      <c r="U4003" s="17"/>
      <c r="V4003" s="18">
        <f>628112050503</f>
        <v>628112050503</v>
      </c>
      <c r="W4003" t="s">
        <v>11693</v>
      </c>
      <c r="Y4003" s="17" t="s">
        <v>11128</v>
      </c>
    </row>
    <row r="4004" ht="15" customHeight="1" spans="1:28" x14ac:dyDescent="0.25">
      <c r="A4004" s="17" t="s">
        <v>11694</v>
      </c>
      <c r="B4004" s="17" t="s">
        <v>70</v>
      </c>
      <c r="C4004" s="17" t="s">
        <v>71</v>
      </c>
      <c r="D4004" t="s">
        <v>11695</v>
      </c>
      <c r="F4004" t="s">
        <v>8925</v>
      </c>
      <c r="J4004" t="s">
        <v>115</v>
      </c>
      <c r="K4004" s="18" t="s">
        <v>11696</v>
      </c>
      <c r="N4004" s="17" t="s">
        <v>77</v>
      </c>
      <c r="O4004" t="s">
        <v>145</v>
      </c>
      <c r="V4004" s="18" t="s">
        <v>11696</v>
      </c>
      <c r="Y4004" t="s">
        <v>217</v>
      </c>
      <c r="AA4004" t="s">
        <v>218</v>
      </c>
      <c r="AB4004" t="s">
        <v>119</v>
      </c>
    </row>
    <row r="4005" ht="15" customHeight="1" spans="1:22" x14ac:dyDescent="0.25">
      <c r="A4005" s="17" t="s">
        <v>11697</v>
      </c>
      <c r="B4005" s="17" t="s">
        <v>70</v>
      </c>
      <c r="C4005" s="17" t="s">
        <v>71</v>
      </c>
      <c r="D4005" t="s">
        <v>11698</v>
      </c>
      <c r="F4005" t="s">
        <v>11698</v>
      </c>
      <c r="K4005" s="18">
        <f>6281319812272</f>
        <v>6281319812272</v>
      </c>
      <c r="N4005" s="17" t="s">
        <v>77</v>
      </c>
      <c r="V4005" s="18">
        <f>6281319812272</f>
        <v>6281319812272</v>
      </c>
    </row>
    <row r="4006" ht="15" customHeight="1" spans="1:28" x14ac:dyDescent="0.25">
      <c r="A4006" s="17" t="s">
        <v>11699</v>
      </c>
      <c r="B4006" s="17" t="s">
        <v>70</v>
      </c>
      <c r="C4006" s="17" t="s">
        <v>71</v>
      </c>
      <c r="D4006" t="s">
        <v>11698</v>
      </c>
      <c r="F4006" t="s">
        <v>11698</v>
      </c>
      <c r="J4006" t="s">
        <v>115</v>
      </c>
      <c r="K4006" s="18" t="s">
        <v>11700</v>
      </c>
      <c r="N4006" s="17" t="s">
        <v>77</v>
      </c>
      <c r="O4006" t="s">
        <v>145</v>
      </c>
      <c r="V4006" s="18" t="s">
        <v>11700</v>
      </c>
      <c r="Y4006" t="s">
        <v>90</v>
      </c>
      <c r="AA4006" t="s">
        <v>118</v>
      </c>
      <c r="AB4006" t="s">
        <v>119</v>
      </c>
    </row>
    <row r="4007" ht="15" customHeight="1" spans="1:27" x14ac:dyDescent="0.25">
      <c r="A4007" s="17" t="s">
        <v>11701</v>
      </c>
      <c r="B4007" s="17" t="s">
        <v>70</v>
      </c>
      <c r="C4007" s="17" t="s">
        <v>71</v>
      </c>
      <c r="D4007" t="s">
        <v>11698</v>
      </c>
      <c r="F4007" t="s">
        <v>472</v>
      </c>
      <c r="K4007" s="18">
        <f>6281316446009</f>
        <v>6281316446009</v>
      </c>
      <c r="N4007" s="17" t="s">
        <v>77</v>
      </c>
      <c r="U4007" s="17"/>
      <c r="V4007" s="18">
        <f>6281316446009</f>
        <v>6281316446009</v>
      </c>
      <c r="W4007" t="s">
        <v>11702</v>
      </c>
      <c r="AA4007" s="17">
        <v>15138</v>
      </c>
    </row>
    <row r="4008" ht="15" customHeight="1" spans="1:28" x14ac:dyDescent="0.25">
      <c r="A4008" s="17" t="s">
        <v>11703</v>
      </c>
      <c r="B4008" s="17" t="s">
        <v>70</v>
      </c>
      <c r="C4008" s="17" t="s">
        <v>71</v>
      </c>
      <c r="D4008" t="s">
        <v>11698</v>
      </c>
      <c r="F4008" t="s">
        <v>7499</v>
      </c>
      <c r="J4008" t="s">
        <v>11704</v>
      </c>
      <c r="K4008" s="18" t="s">
        <v>11705</v>
      </c>
      <c r="N4008" s="17" t="s">
        <v>77</v>
      </c>
      <c r="O4008" t="s">
        <v>145</v>
      </c>
      <c r="V4008" s="18" t="s">
        <v>11705</v>
      </c>
      <c r="Y4008" t="s">
        <v>190</v>
      </c>
      <c r="AA4008" t="s">
        <v>118</v>
      </c>
      <c r="AB4008" t="s">
        <v>3140</v>
      </c>
    </row>
    <row r="4009" ht="15" customHeight="1" spans="1:28" x14ac:dyDescent="0.25">
      <c r="A4009" s="17" t="s">
        <v>11706</v>
      </c>
      <c r="B4009" s="17" t="s">
        <v>70</v>
      </c>
      <c r="C4009" s="17" t="s">
        <v>71</v>
      </c>
      <c r="D4009" t="s">
        <v>11707</v>
      </c>
      <c r="F4009" t="s">
        <v>11708</v>
      </c>
      <c r="J4009" t="s">
        <v>115</v>
      </c>
      <c r="K4009" s="18" t="s">
        <v>11709</v>
      </c>
      <c r="N4009" s="17" t="s">
        <v>77</v>
      </c>
      <c r="O4009" t="s">
        <v>489</v>
      </c>
      <c r="U4009" s="17"/>
      <c r="V4009" s="18" t="s">
        <v>11709</v>
      </c>
      <c r="W4009" t="s">
        <v>11710</v>
      </c>
      <c r="Y4009" t="s">
        <v>90</v>
      </c>
      <c r="AA4009" t="s">
        <v>118</v>
      </c>
      <c r="AB4009" t="s">
        <v>119</v>
      </c>
    </row>
    <row r="4010" ht="15" customHeight="1" spans="1:25" x14ac:dyDescent="0.25">
      <c r="A4010" s="17" t="s">
        <v>11711</v>
      </c>
      <c r="B4010" s="17" t="s">
        <v>70</v>
      </c>
      <c r="C4010" s="17" t="s">
        <v>71</v>
      </c>
      <c r="D4010" t="s">
        <v>11712</v>
      </c>
      <c r="F4010" t="s">
        <v>11712</v>
      </c>
      <c r="K4010" s="18">
        <f>622155960265</f>
        <v>622155960265</v>
      </c>
      <c r="N4010" s="17" t="s">
        <v>77</v>
      </c>
      <c r="U4010" s="17"/>
      <c r="V4010" s="18">
        <f>622155960265</f>
        <v>622155960265</v>
      </c>
      <c r="W4010" t="s">
        <v>11713</v>
      </c>
      <c r="Y4010" s="17" t="s">
        <v>626</v>
      </c>
    </row>
    <row r="4011" ht="15" customHeight="1" spans="1:22" x14ac:dyDescent="0.25">
      <c r="A4011" s="17" t="s">
        <v>11714</v>
      </c>
      <c r="B4011" s="17" t="s">
        <v>70</v>
      </c>
      <c r="C4011" s="17" t="s">
        <v>71</v>
      </c>
      <c r="D4011" t="s">
        <v>11712</v>
      </c>
      <c r="F4011" t="s">
        <v>11715</v>
      </c>
      <c r="K4011" s="18">
        <f>79161677831</f>
        <v>79161677831</v>
      </c>
      <c r="N4011" s="17" t="s">
        <v>81</v>
      </c>
      <c r="V4011" s="18">
        <f>79161677831</f>
        <v>79161677831</v>
      </c>
    </row>
    <row r="4012" ht="15" customHeight="1" spans="1:28" x14ac:dyDescent="0.25">
      <c r="A4012" s="17" t="s">
        <v>11716</v>
      </c>
      <c r="B4012" s="17" t="s">
        <v>70</v>
      </c>
      <c r="C4012" s="17" t="s">
        <v>71</v>
      </c>
      <c r="D4012" t="s">
        <v>11712</v>
      </c>
      <c r="F4012" t="s">
        <v>11717</v>
      </c>
      <c r="J4012" s="17" t="s">
        <v>11718</v>
      </c>
      <c r="K4012" s="18" t="s">
        <v>11719</v>
      </c>
      <c r="N4012" s="17" t="s">
        <v>77</v>
      </c>
      <c r="O4012" t="s">
        <v>199</v>
      </c>
      <c r="V4012" s="18" t="s">
        <v>11719</v>
      </c>
      <c r="Y4012" t="s">
        <v>1909</v>
      </c>
      <c r="AA4012" t="s">
        <v>115</v>
      </c>
      <c r="AB4012" t="s">
        <v>1909</v>
      </c>
    </row>
    <row r="4013" ht="15" customHeight="1" spans="1:28" x14ac:dyDescent="0.25">
      <c r="A4013" s="17" t="s">
        <v>11720</v>
      </c>
      <c r="B4013" s="17" t="s">
        <v>70</v>
      </c>
      <c r="C4013" s="17" t="s">
        <v>71</v>
      </c>
      <c r="D4013" t="s">
        <v>11721</v>
      </c>
      <c r="F4013" t="s">
        <v>1169</v>
      </c>
      <c r="J4013" t="s">
        <v>115</v>
      </c>
      <c r="K4013" s="18" t="s">
        <v>11722</v>
      </c>
      <c r="N4013" s="17" t="s">
        <v>77</v>
      </c>
      <c r="O4013" t="s">
        <v>117</v>
      </c>
      <c r="V4013" s="18" t="s">
        <v>11722</v>
      </c>
      <c r="Y4013" t="s">
        <v>90</v>
      </c>
      <c r="AA4013" t="s">
        <v>118</v>
      </c>
      <c r="AB4013" t="s">
        <v>119</v>
      </c>
    </row>
    <row r="4014" ht="15" customHeight="1" spans="1:22" x14ac:dyDescent="0.25">
      <c r="A4014" s="17" t="s">
        <v>11723</v>
      </c>
      <c r="B4014" s="17" t="s">
        <v>70</v>
      </c>
      <c r="C4014" s="17" t="s">
        <v>71</v>
      </c>
      <c r="D4014" t="s">
        <v>11724</v>
      </c>
      <c r="F4014" t="s">
        <v>2159</v>
      </c>
      <c r="K4014" s="18">
        <f>6281341081081</f>
        <v>6281341081081</v>
      </c>
      <c r="N4014" s="17" t="s">
        <v>77</v>
      </c>
      <c r="V4014" s="18">
        <f>6281341081081</f>
        <v>6281341081081</v>
      </c>
    </row>
    <row r="4015" ht="15" customHeight="1" spans="1:22" x14ac:dyDescent="0.25">
      <c r="A4015" s="17" t="s">
        <v>11725</v>
      </c>
      <c r="B4015" s="17" t="s">
        <v>70</v>
      </c>
      <c r="C4015" s="17" t="s">
        <v>71</v>
      </c>
      <c r="D4015" t="s">
        <v>11724</v>
      </c>
      <c r="F4015" t="s">
        <v>11726</v>
      </c>
      <c r="K4015" s="18">
        <f>628118872029</f>
        <v>628118872029</v>
      </c>
      <c r="N4015" s="17" t="s">
        <v>81</v>
      </c>
      <c r="V4015" s="18">
        <f>628118872029</f>
        <v>628118872029</v>
      </c>
    </row>
    <row r="4016" ht="15" customHeight="1" spans="1:25" x14ac:dyDescent="0.25">
      <c r="A4016" s="17" t="s">
        <v>11727</v>
      </c>
      <c r="B4016" s="17" t="s">
        <v>70</v>
      </c>
      <c r="C4016" s="17" t="s">
        <v>71</v>
      </c>
      <c r="D4016" t="s">
        <v>11724</v>
      </c>
      <c r="F4016" t="s">
        <v>11728</v>
      </c>
      <c r="K4016" s="18">
        <f>628161806928</f>
        <v>628161806928</v>
      </c>
      <c r="N4016" s="17" t="s">
        <v>77</v>
      </c>
      <c r="U4016" s="17"/>
      <c r="V4016" s="18">
        <f>628161806928</f>
        <v>628161806928</v>
      </c>
      <c r="W4016" t="s">
        <v>11729</v>
      </c>
      <c r="Y4016" s="17" t="s">
        <v>96</v>
      </c>
    </row>
    <row r="4017" ht="15" customHeight="1" spans="1:28" x14ac:dyDescent="0.25">
      <c r="A4017" s="17" t="s">
        <v>11730</v>
      </c>
      <c r="B4017" s="17" t="s">
        <v>70</v>
      </c>
      <c r="C4017" s="17" t="s">
        <v>71</v>
      </c>
      <c r="D4017" t="s">
        <v>11724</v>
      </c>
      <c r="F4017" t="s">
        <v>11731</v>
      </c>
      <c r="J4017" t="s">
        <v>115</v>
      </c>
      <c r="K4017" s="18" t="s">
        <v>11732</v>
      </c>
      <c r="N4017" s="17" t="s">
        <v>77</v>
      </c>
      <c r="O4017" t="s">
        <v>117</v>
      </c>
      <c r="U4017" s="17"/>
      <c r="V4017" s="18" t="s">
        <v>11732</v>
      </c>
      <c r="W4017" t="s">
        <v>11733</v>
      </c>
      <c r="Y4017" s="17" t="s">
        <v>90</v>
      </c>
      <c r="AA4017" s="17" t="s">
        <v>118</v>
      </c>
      <c r="AB4017" t="s">
        <v>119</v>
      </c>
    </row>
    <row r="4018" ht="15" customHeight="1" spans="1:22" x14ac:dyDescent="0.25">
      <c r="A4018" s="17" t="s">
        <v>11734</v>
      </c>
      <c r="B4018" s="17" t="s">
        <v>70</v>
      </c>
      <c r="C4018" s="17" t="s">
        <v>71</v>
      </c>
      <c r="D4018" t="s">
        <v>11724</v>
      </c>
      <c r="F4018" t="s">
        <v>11735</v>
      </c>
      <c r="K4018" s="18">
        <f>6281331965657</f>
        <v>6281331965657</v>
      </c>
      <c r="N4018" s="17" t="s">
        <v>81</v>
      </c>
      <c r="V4018" s="18">
        <f>6281331965657</f>
        <v>6281331965657</v>
      </c>
    </row>
    <row r="4019" ht="15" customHeight="1" spans="1:23" x14ac:dyDescent="0.25">
      <c r="A4019" s="17" t="s">
        <v>11736</v>
      </c>
      <c r="B4019" s="17" t="s">
        <v>70</v>
      </c>
      <c r="C4019" s="17" t="s">
        <v>71</v>
      </c>
      <c r="D4019" t="s">
        <v>11724</v>
      </c>
      <c r="F4019" t="s">
        <v>11737</v>
      </c>
      <c r="K4019" s="18">
        <f>628164830397</f>
        <v>628164830397</v>
      </c>
      <c r="N4019" s="17" t="s">
        <v>81</v>
      </c>
      <c r="U4019" s="17"/>
      <c r="V4019" s="18">
        <f>628164830397</f>
        <v>628164830397</v>
      </c>
      <c r="W4019" t="s">
        <v>11738</v>
      </c>
    </row>
    <row r="4020" ht="15" customHeight="1" spans="1:22" x14ac:dyDescent="0.25">
      <c r="A4020" s="17" t="s">
        <v>11739</v>
      </c>
      <c r="B4020" s="17" t="s">
        <v>70</v>
      </c>
      <c r="C4020" s="17" t="s">
        <v>71</v>
      </c>
      <c r="D4020" t="s">
        <v>11740</v>
      </c>
      <c r="F4020" t="s">
        <v>11740</v>
      </c>
      <c r="K4020" s="18">
        <f>6281377286156</f>
        <v>6281377286156</v>
      </c>
      <c r="N4020" s="17" t="s">
        <v>74</v>
      </c>
      <c r="V4020" s="18">
        <f>6281377286156</f>
        <v>6281377286156</v>
      </c>
    </row>
    <row r="4021" ht="15" customHeight="1" spans="1:22" x14ac:dyDescent="0.25">
      <c r="A4021" s="17" t="s">
        <v>11741</v>
      </c>
      <c r="B4021" s="17" t="s">
        <v>70</v>
      </c>
      <c r="C4021" s="17" t="s">
        <v>71</v>
      </c>
      <c r="D4021" t="s">
        <v>11740</v>
      </c>
      <c r="F4021" t="s">
        <v>11742</v>
      </c>
      <c r="K4021" s="18">
        <f>628111075553</f>
        <v>628111075553</v>
      </c>
      <c r="N4021" s="17" t="s">
        <v>81</v>
      </c>
      <c r="V4021" s="18">
        <f>628111075553</f>
        <v>628111075553</v>
      </c>
    </row>
    <row r="4022" ht="15" customHeight="1" spans="1:28" x14ac:dyDescent="0.25">
      <c r="A4022" s="17" t="s">
        <v>11743</v>
      </c>
      <c r="B4022" s="17" t="s">
        <v>70</v>
      </c>
      <c r="C4022" s="17" t="s">
        <v>71</v>
      </c>
      <c r="D4022" t="s">
        <v>11744</v>
      </c>
      <c r="F4022" t="s">
        <v>11745</v>
      </c>
      <c r="J4022" t="s">
        <v>115</v>
      </c>
      <c r="K4022" s="18" t="s">
        <v>11746</v>
      </c>
      <c r="N4022" s="17" t="s">
        <v>77</v>
      </c>
      <c r="O4022" t="s">
        <v>199</v>
      </c>
      <c r="V4022" s="18" t="s">
        <v>11746</v>
      </c>
      <c r="Y4022" t="s">
        <v>190</v>
      </c>
      <c r="AA4022" t="s">
        <v>118</v>
      </c>
      <c r="AB4022" t="s">
        <v>119</v>
      </c>
    </row>
    <row r="4023" ht="15" customHeight="1" spans="1:22" x14ac:dyDescent="0.25">
      <c r="A4023" s="17" t="s">
        <v>11747</v>
      </c>
      <c r="B4023" s="17" t="s">
        <v>70</v>
      </c>
      <c r="C4023" s="17" t="s">
        <v>71</v>
      </c>
      <c r="D4023" t="s">
        <v>11740</v>
      </c>
      <c r="F4023" t="s">
        <v>11748</v>
      </c>
      <c r="K4023" s="18">
        <f>628158889996</f>
        <v>628158889996</v>
      </c>
      <c r="N4023" s="17" t="s">
        <v>77</v>
      </c>
      <c r="V4023" s="18">
        <f>628158889996</f>
        <v>628158889996</v>
      </c>
    </row>
    <row r="4024" ht="15" customHeight="1" spans="1:23" x14ac:dyDescent="0.25">
      <c r="A4024" s="17" t="s">
        <v>11749</v>
      </c>
      <c r="B4024" s="17" t="s">
        <v>70</v>
      </c>
      <c r="C4024" s="17" t="s">
        <v>71</v>
      </c>
      <c r="D4024" t="s">
        <v>11740</v>
      </c>
      <c r="F4024" t="s">
        <v>11750</v>
      </c>
      <c r="J4024" s="17" t="s">
        <v>11751</v>
      </c>
      <c r="K4024" s="18">
        <f>6285810833221</f>
        <v>6285810833221</v>
      </c>
      <c r="N4024" s="17" t="s">
        <v>77</v>
      </c>
      <c r="U4024" s="17"/>
      <c r="V4024" s="18">
        <f>6285810833221</f>
        <v>6285810833221</v>
      </c>
      <c r="W4024" t="s">
        <v>11752</v>
      </c>
    </row>
    <row r="4025" ht="15" customHeight="1" spans="1:27" x14ac:dyDescent="0.25">
      <c r="A4025" s="17" t="s">
        <v>11753</v>
      </c>
      <c r="B4025" s="17" t="s">
        <v>70</v>
      </c>
      <c r="C4025" s="17" t="s">
        <v>71</v>
      </c>
      <c r="D4025" t="s">
        <v>11740</v>
      </c>
      <c r="F4025" t="s">
        <v>1657</v>
      </c>
      <c r="J4025" s="17" t="s">
        <v>11754</v>
      </c>
      <c r="K4025" s="18">
        <f>628170755595</f>
        <v>628170755595</v>
      </c>
      <c r="N4025" s="17" t="s">
        <v>77</v>
      </c>
      <c r="U4025" s="17"/>
      <c r="V4025" s="18">
        <f>628170755595</f>
        <v>628170755595</v>
      </c>
      <c r="W4025" t="s">
        <v>11755</v>
      </c>
      <c r="Y4025" s="17" t="s">
        <v>217</v>
      </c>
      <c r="AA4025" s="17">
        <v>15810</v>
      </c>
    </row>
    <row r="4026" ht="15" customHeight="1" spans="1:28" x14ac:dyDescent="0.25">
      <c r="A4026" s="17" t="s">
        <v>11756</v>
      </c>
      <c r="B4026" s="17" t="s">
        <v>70</v>
      </c>
      <c r="C4026" s="17" t="s">
        <v>71</v>
      </c>
      <c r="D4026" t="s">
        <v>11757</v>
      </c>
      <c r="F4026" t="s">
        <v>11758</v>
      </c>
      <c r="J4026" s="17" t="s">
        <v>11759</v>
      </c>
      <c r="K4026" s="18" t="s">
        <v>11760</v>
      </c>
      <c r="N4026" s="17" t="s">
        <v>77</v>
      </c>
      <c r="O4026" t="s">
        <v>145</v>
      </c>
      <c r="V4026" s="18" t="s">
        <v>11760</v>
      </c>
      <c r="Y4026" t="s">
        <v>190</v>
      </c>
      <c r="AA4026" t="s">
        <v>118</v>
      </c>
      <c r="AB4026" t="s">
        <v>119</v>
      </c>
    </row>
    <row r="4027" ht="15" customHeight="1" spans="1:22" x14ac:dyDescent="0.25">
      <c r="A4027" s="17" t="s">
        <v>11761</v>
      </c>
      <c r="B4027" s="17" t="s">
        <v>70</v>
      </c>
      <c r="C4027" s="17" t="s">
        <v>71</v>
      </c>
      <c r="D4027" t="s">
        <v>9023</v>
      </c>
      <c r="F4027" t="s">
        <v>10146</v>
      </c>
      <c r="K4027" s="18">
        <f>6281808883023</f>
        <v>6281808883023</v>
      </c>
      <c r="N4027" s="17" t="s">
        <v>81</v>
      </c>
      <c r="V4027" s="18">
        <f>6281808883023</f>
        <v>6281808883023</v>
      </c>
    </row>
    <row r="4028" ht="15" customHeight="1" spans="1:22" x14ac:dyDescent="0.25">
      <c r="A4028" s="17" t="s">
        <v>11762</v>
      </c>
      <c r="B4028" s="17" t="s">
        <v>70</v>
      </c>
      <c r="C4028" s="17" t="s">
        <v>71</v>
      </c>
      <c r="D4028" t="s">
        <v>9023</v>
      </c>
      <c r="F4028" t="s">
        <v>11763</v>
      </c>
      <c r="K4028" s="18">
        <f>6281282012348</f>
        <v>6281282012348</v>
      </c>
      <c r="N4028" s="17" t="s">
        <v>81</v>
      </c>
      <c r="V4028" s="18">
        <f>6281282012348</f>
        <v>6281282012348</v>
      </c>
    </row>
    <row r="4029" ht="15" customHeight="1" spans="1:22" x14ac:dyDescent="0.25">
      <c r="A4029" s="17" t="s">
        <v>11764</v>
      </c>
      <c r="B4029" s="17" t="s">
        <v>70</v>
      </c>
      <c r="C4029" s="17" t="s">
        <v>71</v>
      </c>
      <c r="D4029" t="s">
        <v>9023</v>
      </c>
      <c r="F4029" t="s">
        <v>11765</v>
      </c>
      <c r="K4029" s="18">
        <f>6281285319444</f>
        <v>6281285319444</v>
      </c>
      <c r="N4029" s="17" t="s">
        <v>77</v>
      </c>
      <c r="V4029" s="18">
        <f>6281285319444</f>
        <v>6281285319444</v>
      </c>
    </row>
    <row r="4030" ht="15" customHeight="1" spans="1:23" x14ac:dyDescent="0.25">
      <c r="A4030" s="17" t="s">
        <v>11766</v>
      </c>
      <c r="B4030" s="17" t="s">
        <v>70</v>
      </c>
      <c r="C4030" s="17" t="s">
        <v>71</v>
      </c>
      <c r="D4030" t="s">
        <v>11767</v>
      </c>
      <c r="F4030" t="s">
        <v>11767</v>
      </c>
      <c r="K4030" s="18">
        <f>6285271599432</f>
        <v>6285271599432</v>
      </c>
      <c r="N4030" s="17" t="s">
        <v>81</v>
      </c>
      <c r="U4030" s="17"/>
      <c r="V4030" s="18">
        <f>6285271599432</f>
        <v>6285271599432</v>
      </c>
      <c r="W4030" t="s">
        <v>11768</v>
      </c>
    </row>
    <row r="4031" ht="15" customHeight="1" spans="1:27" x14ac:dyDescent="0.25">
      <c r="A4031" s="17" t="s">
        <v>11769</v>
      </c>
      <c r="B4031" s="17" t="s">
        <v>70</v>
      </c>
      <c r="C4031" s="17" t="s">
        <v>71</v>
      </c>
      <c r="D4031" t="s">
        <v>11770</v>
      </c>
      <c r="F4031" t="s">
        <v>11771</v>
      </c>
      <c r="J4031" s="17" t="s">
        <v>11772</v>
      </c>
      <c r="K4031" s="18">
        <f>62817850979</f>
        <v>62817850979</v>
      </c>
      <c r="N4031" s="17" t="s">
        <v>77</v>
      </c>
      <c r="U4031" s="17"/>
      <c r="V4031" s="18">
        <f>62817850979</f>
        <v>62817850979</v>
      </c>
      <c r="W4031" t="s">
        <v>11773</v>
      </c>
      <c r="Y4031" s="17" t="s">
        <v>11774</v>
      </c>
      <c r="AA4031" s="17">
        <v>15321</v>
      </c>
    </row>
    <row r="4032" ht="15" customHeight="1" spans="1:27" x14ac:dyDescent="0.25">
      <c r="A4032" s="17" t="s">
        <v>11775</v>
      </c>
      <c r="B4032" s="17" t="s">
        <v>70</v>
      </c>
      <c r="C4032" s="17" t="s">
        <v>71</v>
      </c>
      <c r="D4032" t="s">
        <v>11776</v>
      </c>
      <c r="F4032" t="s">
        <v>7922</v>
      </c>
      <c r="K4032" s="18">
        <f>6281382258881</f>
        <v>6281382258881</v>
      </c>
      <c r="N4032" s="17" t="s">
        <v>81</v>
      </c>
      <c r="U4032" s="17"/>
      <c r="V4032" s="18">
        <f>6281382258881</f>
        <v>6281382258881</v>
      </c>
      <c r="W4032" t="s">
        <v>11777</v>
      </c>
      <c r="Y4032" s="17" t="s">
        <v>90</v>
      </c>
      <c r="AA4032" s="17">
        <v>14460</v>
      </c>
    </row>
    <row r="4033" ht="15" customHeight="1" spans="1:28" x14ac:dyDescent="0.25">
      <c r="A4033" s="17" t="s">
        <v>11778</v>
      </c>
      <c r="B4033" s="17" t="s">
        <v>70</v>
      </c>
      <c r="C4033" s="17" t="s">
        <v>71</v>
      </c>
      <c r="D4033" t="s">
        <v>11779</v>
      </c>
      <c r="F4033" t="s">
        <v>11780</v>
      </c>
      <c r="J4033" s="17" t="s">
        <v>11781</v>
      </c>
      <c r="K4033" s="18" t="s">
        <v>11782</v>
      </c>
      <c r="N4033" s="17" t="s">
        <v>77</v>
      </c>
      <c r="O4033" t="s">
        <v>261</v>
      </c>
      <c r="U4033" s="17"/>
      <c r="V4033" s="18" t="s">
        <v>11782</v>
      </c>
      <c r="W4033" t="s">
        <v>11783</v>
      </c>
      <c r="Y4033" s="17" t="s">
        <v>190</v>
      </c>
      <c r="AA4033" s="17" t="s">
        <v>118</v>
      </c>
      <c r="AB4033" t="s">
        <v>119</v>
      </c>
    </row>
    <row r="4034" ht="15" customHeight="1" spans="1:22" x14ac:dyDescent="0.25">
      <c r="A4034" s="17" t="s">
        <v>11784</v>
      </c>
      <c r="B4034" s="17" t="s">
        <v>70</v>
      </c>
      <c r="C4034" s="17" t="s">
        <v>71</v>
      </c>
      <c r="D4034" t="s">
        <v>6864</v>
      </c>
      <c r="F4034" t="s">
        <v>6864</v>
      </c>
      <c r="K4034" s="18">
        <f>628119399998</f>
        <v>628119399998</v>
      </c>
      <c r="N4034" s="17" t="s">
        <v>77</v>
      </c>
      <c r="V4034" s="18">
        <f>628119399998</f>
        <v>628119399998</v>
      </c>
    </row>
    <row r="4035" ht="15" customHeight="1" spans="1:22" x14ac:dyDescent="0.25">
      <c r="A4035" s="17" t="s">
        <v>11785</v>
      </c>
      <c r="B4035" s="17" t="s">
        <v>70</v>
      </c>
      <c r="C4035" s="17" t="s">
        <v>71</v>
      </c>
      <c r="D4035" t="s">
        <v>6864</v>
      </c>
      <c r="F4035" t="s">
        <v>1679</v>
      </c>
      <c r="K4035" s="18">
        <f>6281170100</f>
        <v>6281170100</v>
      </c>
      <c r="N4035" s="17" t="s">
        <v>77</v>
      </c>
      <c r="V4035" s="18">
        <f>6281170100</f>
        <v>6281170100</v>
      </c>
    </row>
    <row r="4036" ht="15" customHeight="1" spans="1:27" x14ac:dyDescent="0.25">
      <c r="A4036" s="17" t="s">
        <v>11786</v>
      </c>
      <c r="B4036" s="17" t="s">
        <v>70</v>
      </c>
      <c r="C4036" s="17" t="s">
        <v>71</v>
      </c>
      <c r="D4036" t="s">
        <v>6864</v>
      </c>
      <c r="F4036" t="s">
        <v>8160</v>
      </c>
      <c r="J4036" s="17" t="s">
        <v>11787</v>
      </c>
      <c r="K4036" s="18">
        <f>6281806180200</f>
        <v>6281806180200</v>
      </c>
      <c r="N4036" s="17" t="s">
        <v>77</v>
      </c>
      <c r="U4036" s="17"/>
      <c r="V4036" s="18">
        <f>6281806180200</f>
        <v>6281806180200</v>
      </c>
      <c r="W4036" t="s">
        <v>11788</v>
      </c>
      <c r="Y4036" s="17" t="s">
        <v>1084</v>
      </c>
      <c r="AA4036" s="17">
        <v>14450</v>
      </c>
    </row>
    <row r="4037" ht="15" customHeight="1" spans="1:22" x14ac:dyDescent="0.25">
      <c r="A4037" s="17" t="s">
        <v>11789</v>
      </c>
      <c r="B4037" s="17" t="s">
        <v>70</v>
      </c>
      <c r="C4037" s="17" t="s">
        <v>71</v>
      </c>
      <c r="D4037" t="s">
        <v>6864</v>
      </c>
      <c r="F4037" t="s">
        <v>11790</v>
      </c>
      <c r="K4037" s="18">
        <f>628121056575</f>
        <v>628121056575</v>
      </c>
      <c r="N4037" s="17" t="s">
        <v>77</v>
      </c>
      <c r="V4037" s="18">
        <f>628121056575</f>
        <v>628121056575</v>
      </c>
    </row>
    <row r="4038" ht="15" customHeight="1" spans="1:28" x14ac:dyDescent="0.25">
      <c r="A4038" s="17" t="s">
        <v>11791</v>
      </c>
      <c r="B4038" s="17" t="s">
        <v>70</v>
      </c>
      <c r="C4038" s="17" t="s">
        <v>71</v>
      </c>
      <c r="D4038" t="s">
        <v>11792</v>
      </c>
      <c r="F4038" t="s">
        <v>618</v>
      </c>
      <c r="J4038" t="s">
        <v>11793</v>
      </c>
      <c r="K4038" s="18" t="s">
        <v>11794</v>
      </c>
      <c r="N4038" s="17" t="s">
        <v>81</v>
      </c>
      <c r="O4038" t="s">
        <v>117</v>
      </c>
      <c r="V4038" s="18" t="s">
        <v>11794</v>
      </c>
      <c r="Y4038" t="s">
        <v>190</v>
      </c>
      <c r="AA4038" t="s">
        <v>118</v>
      </c>
      <c r="AB4038" t="s">
        <v>119</v>
      </c>
    </row>
    <row r="4039" ht="15" customHeight="1" spans="1:23" x14ac:dyDescent="0.25">
      <c r="A4039" s="17" t="s">
        <v>11795</v>
      </c>
      <c r="B4039" s="17" t="s">
        <v>70</v>
      </c>
      <c r="C4039" s="17" t="s">
        <v>71</v>
      </c>
      <c r="D4039" t="s">
        <v>6864</v>
      </c>
      <c r="F4039" t="s">
        <v>11796</v>
      </c>
      <c r="K4039" s="18">
        <f>62811136030</f>
        <v>62811136030</v>
      </c>
      <c r="N4039" s="17" t="s">
        <v>77</v>
      </c>
      <c r="U4039" s="17"/>
      <c r="V4039" s="18">
        <f>62811136030</f>
        <v>62811136030</v>
      </c>
      <c r="W4039" t="s">
        <v>11797</v>
      </c>
    </row>
    <row r="4040" ht="15" customHeight="1" spans="1:22" x14ac:dyDescent="0.25">
      <c r="A4040" s="17" t="s">
        <v>11798</v>
      </c>
      <c r="B4040" s="17" t="s">
        <v>70</v>
      </c>
      <c r="C4040" s="17" t="s">
        <v>71</v>
      </c>
      <c r="D4040" t="s">
        <v>11744</v>
      </c>
      <c r="F4040" t="s">
        <v>11744</v>
      </c>
      <c r="K4040" s="18">
        <f>6281223030101</f>
        <v>6281223030101</v>
      </c>
      <c r="N4040" s="17" t="s">
        <v>81</v>
      </c>
      <c r="V4040" s="18">
        <f>6281223030101</f>
        <v>6281223030101</v>
      </c>
    </row>
    <row r="4041" ht="15" customHeight="1" spans="1:22" x14ac:dyDescent="0.25">
      <c r="A4041" s="17" t="s">
        <v>11799</v>
      </c>
      <c r="B4041" s="17" t="s">
        <v>70</v>
      </c>
      <c r="C4041" s="17" t="s">
        <v>71</v>
      </c>
      <c r="D4041" t="s">
        <v>11744</v>
      </c>
      <c r="F4041" t="s">
        <v>11744</v>
      </c>
      <c r="K4041" s="18">
        <f>628158886606</f>
        <v>628158886606</v>
      </c>
      <c r="N4041" s="17" t="s">
        <v>77</v>
      </c>
      <c r="V4041" s="18">
        <f>628158886606</f>
        <v>628158886606</v>
      </c>
    </row>
    <row r="4042" ht="15" customHeight="1" spans="1:22" x14ac:dyDescent="0.25">
      <c r="A4042" s="17" t="s">
        <v>11800</v>
      </c>
      <c r="B4042" s="17" t="s">
        <v>70</v>
      </c>
      <c r="C4042" s="17" t="s">
        <v>71</v>
      </c>
      <c r="D4042" t="s">
        <v>11744</v>
      </c>
      <c r="F4042" t="s">
        <v>11744</v>
      </c>
      <c r="K4042" s="18">
        <f>16278384636</f>
        <v>16278384636</v>
      </c>
      <c r="N4042" s="17" t="s">
        <v>77</v>
      </c>
      <c r="V4042" s="18">
        <f>16278384636</f>
        <v>16278384636</v>
      </c>
    </row>
    <row r="4043" ht="15" customHeight="1" spans="1:22" x14ac:dyDescent="0.25">
      <c r="A4043" s="17" t="s">
        <v>11801</v>
      </c>
      <c r="B4043" s="17" t="s">
        <v>70</v>
      </c>
      <c r="C4043" s="17" t="s">
        <v>71</v>
      </c>
      <c r="D4043" t="s">
        <v>11744</v>
      </c>
      <c r="F4043" t="s">
        <v>11802</v>
      </c>
      <c r="K4043" s="18">
        <f>6281218513000</f>
        <v>6281218513000</v>
      </c>
      <c r="N4043" s="17" t="s">
        <v>74</v>
      </c>
      <c r="V4043" s="18">
        <f>6281218513000</f>
        <v>6281218513000</v>
      </c>
    </row>
    <row r="4044" ht="15" customHeight="1" spans="1:22" x14ac:dyDescent="0.25">
      <c r="A4044" s="17" t="s">
        <v>11803</v>
      </c>
      <c r="B4044" s="17" t="s">
        <v>70</v>
      </c>
      <c r="C4044" s="17" t="s">
        <v>71</v>
      </c>
      <c r="D4044" t="s">
        <v>11744</v>
      </c>
      <c r="F4044" t="s">
        <v>11804</v>
      </c>
      <c r="K4044" s="18">
        <f>62818133733</f>
        <v>62818133733</v>
      </c>
      <c r="N4044" s="17" t="s">
        <v>81</v>
      </c>
      <c r="V4044" s="18">
        <f>62818133733</f>
        <v>62818133733</v>
      </c>
    </row>
    <row r="4045" ht="15" customHeight="1" spans="1:22" x14ac:dyDescent="0.25">
      <c r="A4045" s="17" t="s">
        <v>11805</v>
      </c>
      <c r="B4045" s="17" t="s">
        <v>70</v>
      </c>
      <c r="C4045" s="17" t="s">
        <v>71</v>
      </c>
      <c r="D4045" t="s">
        <v>11744</v>
      </c>
      <c r="F4045" t="s">
        <v>11806</v>
      </c>
      <c r="K4045" s="18">
        <f>628111803399</f>
        <v>628111803399</v>
      </c>
      <c r="N4045" s="17" t="s">
        <v>77</v>
      </c>
      <c r="V4045" s="18">
        <f>628111803399</f>
        <v>628111803399</v>
      </c>
    </row>
    <row r="4046" ht="15" customHeight="1" spans="1:27" x14ac:dyDescent="0.25">
      <c r="A4046" s="17" t="s">
        <v>11807</v>
      </c>
      <c r="B4046" s="17" t="s">
        <v>70</v>
      </c>
      <c r="C4046" s="17" t="s">
        <v>71</v>
      </c>
      <c r="D4046" t="s">
        <v>11744</v>
      </c>
      <c r="F4046" t="s">
        <v>11808</v>
      </c>
      <c r="J4046" s="17" t="s">
        <v>11809</v>
      </c>
      <c r="K4046" s="18">
        <f>5511999765206</f>
        <v>5511999765206</v>
      </c>
      <c r="N4046" s="17" t="s">
        <v>77</v>
      </c>
      <c r="U4046" s="17"/>
      <c r="V4046" s="18">
        <f>5511999765206</f>
        <v>5511999765206</v>
      </c>
      <c r="W4046" t="s">
        <v>11810</v>
      </c>
      <c r="Y4046" s="17" t="s">
        <v>11811</v>
      </c>
      <c r="AA4046" s="17">
        <v>4080.01</v>
      </c>
    </row>
    <row r="4047" ht="15" customHeight="1" spans="1:28" x14ac:dyDescent="0.25">
      <c r="A4047" s="17" t="s">
        <v>11812</v>
      </c>
      <c r="B4047" s="17" t="s">
        <v>70</v>
      </c>
      <c r="C4047" s="17" t="s">
        <v>71</v>
      </c>
      <c r="D4047" t="s">
        <v>11744</v>
      </c>
      <c r="F4047" t="s">
        <v>11813</v>
      </c>
      <c r="J4047" t="s">
        <v>115</v>
      </c>
      <c r="K4047" s="18" t="s">
        <v>11814</v>
      </c>
      <c r="N4047" s="17" t="s">
        <v>81</v>
      </c>
      <c r="O4047" t="s">
        <v>261</v>
      </c>
      <c r="U4047" s="17"/>
      <c r="V4047" s="18" t="s">
        <v>11814</v>
      </c>
      <c r="W4047" t="s">
        <v>11815</v>
      </c>
      <c r="Y4047" t="s">
        <v>217</v>
      </c>
      <c r="AA4047" t="s">
        <v>218</v>
      </c>
      <c r="AB4047" t="s">
        <v>119</v>
      </c>
    </row>
    <row r="4048" ht="15" customHeight="1" spans="1:22" x14ac:dyDescent="0.25">
      <c r="A4048" s="17" t="s">
        <v>11816</v>
      </c>
      <c r="B4048" s="17" t="s">
        <v>70</v>
      </c>
      <c r="C4048" s="17" t="s">
        <v>71</v>
      </c>
      <c r="D4048" t="s">
        <v>11744</v>
      </c>
      <c r="F4048" t="s">
        <v>11817</v>
      </c>
      <c r="K4048" s="18">
        <f>622125554448</f>
        <v>622125554448</v>
      </c>
      <c r="N4048" s="17" t="s">
        <v>77</v>
      </c>
      <c r="V4048" s="18">
        <f>622125554448</f>
        <v>622125554448</v>
      </c>
    </row>
    <row r="4049" ht="15" customHeight="1" spans="1:28" x14ac:dyDescent="0.25">
      <c r="A4049" s="17" t="s">
        <v>11818</v>
      </c>
      <c r="B4049" s="17" t="s">
        <v>70</v>
      </c>
      <c r="C4049" s="17" t="s">
        <v>71</v>
      </c>
      <c r="D4049" t="s">
        <v>11819</v>
      </c>
      <c r="F4049" t="s">
        <v>11820</v>
      </c>
      <c r="J4049" t="s">
        <v>11821</v>
      </c>
      <c r="K4049" s="18" t="s">
        <v>11822</v>
      </c>
      <c r="N4049" s="17" t="s">
        <v>77</v>
      </c>
      <c r="O4049" t="s">
        <v>117</v>
      </c>
      <c r="V4049" s="18" t="s">
        <v>11822</v>
      </c>
      <c r="Y4049" s="17" t="s">
        <v>181</v>
      </c>
      <c r="AA4049" t="s">
        <v>1672</v>
      </c>
      <c r="AB4049" t="s">
        <v>2605</v>
      </c>
    </row>
    <row r="4050" ht="15" customHeight="1" spans="1:22" x14ac:dyDescent="0.25">
      <c r="A4050" s="17" t="s">
        <v>11823</v>
      </c>
      <c r="B4050" s="17" t="s">
        <v>70</v>
      </c>
      <c r="C4050" s="17" t="s">
        <v>71</v>
      </c>
      <c r="D4050" t="s">
        <v>11824</v>
      </c>
      <c r="F4050" t="s">
        <v>1238</v>
      </c>
      <c r="K4050" s="18">
        <f>6285888734533</f>
        <v>6285888734533</v>
      </c>
      <c r="N4050" s="17" t="s">
        <v>77</v>
      </c>
      <c r="V4050" s="18">
        <f>6285888734533</f>
        <v>6285888734533</v>
      </c>
    </row>
    <row r="4051" ht="15" customHeight="1" spans="1:22" x14ac:dyDescent="0.25">
      <c r="A4051" s="17" t="s">
        <v>11825</v>
      </c>
      <c r="B4051" s="17" t="s">
        <v>70</v>
      </c>
      <c r="C4051" s="17" t="s">
        <v>71</v>
      </c>
      <c r="D4051" t="s">
        <v>11826</v>
      </c>
      <c r="F4051" t="s">
        <v>11826</v>
      </c>
      <c r="K4051" s="18">
        <f>81316256422</f>
        <v>81316256422</v>
      </c>
      <c r="N4051" s="17" t="s">
        <v>77</v>
      </c>
      <c r="V4051" s="18">
        <f>81316256422</f>
        <v>81316256422</v>
      </c>
    </row>
    <row r="4052" ht="15" customHeight="1" spans="1:22" x14ac:dyDescent="0.25">
      <c r="A4052" s="17" t="s">
        <v>11827</v>
      </c>
      <c r="B4052" s="17" t="s">
        <v>70</v>
      </c>
      <c r="C4052" s="17" t="s">
        <v>71</v>
      </c>
      <c r="D4052" t="s">
        <v>11826</v>
      </c>
      <c r="F4052" t="s">
        <v>11828</v>
      </c>
      <c r="K4052" s="18">
        <f>622129551888</f>
        <v>622129551888</v>
      </c>
      <c r="N4052" s="17" t="s">
        <v>77</v>
      </c>
      <c r="V4052" s="18">
        <f>622129551888</f>
        <v>622129551888</v>
      </c>
    </row>
    <row r="4053" ht="15" customHeight="1" spans="1:22" x14ac:dyDescent="0.25">
      <c r="A4053" s="17" t="s">
        <v>11829</v>
      </c>
      <c r="B4053" s="17" t="s">
        <v>70</v>
      </c>
      <c r="C4053" s="17" t="s">
        <v>71</v>
      </c>
      <c r="D4053" t="s">
        <v>11826</v>
      </c>
      <c r="F4053" t="s">
        <v>11830</v>
      </c>
      <c r="K4053" s="18">
        <f>62811536998</f>
        <v>62811536998</v>
      </c>
      <c r="N4053" s="17" t="s">
        <v>81</v>
      </c>
      <c r="V4053" s="18">
        <f>62811536998</f>
        <v>62811536998</v>
      </c>
    </row>
    <row r="4054" ht="15" customHeight="1" spans="1:28" x14ac:dyDescent="0.25">
      <c r="A4054" s="17" t="s">
        <v>11831</v>
      </c>
      <c r="B4054" s="17" t="s">
        <v>70</v>
      </c>
      <c r="C4054" s="17" t="s">
        <v>71</v>
      </c>
      <c r="D4054" t="s">
        <v>11826</v>
      </c>
      <c r="F4054" t="s">
        <v>2262</v>
      </c>
      <c r="J4054" s="17" t="s">
        <v>11832</v>
      </c>
      <c r="K4054" s="18" t="s">
        <v>11833</v>
      </c>
      <c r="N4054" s="17" t="s">
        <v>77</v>
      </c>
      <c r="O4054" t="s">
        <v>117</v>
      </c>
      <c r="U4054" s="17"/>
      <c r="V4054" s="18" t="s">
        <v>11833</v>
      </c>
      <c r="W4054" t="s">
        <v>11834</v>
      </c>
      <c r="Y4054" s="17" t="s">
        <v>90</v>
      </c>
      <c r="AA4054" t="s">
        <v>118</v>
      </c>
      <c r="AB4054" t="s">
        <v>119</v>
      </c>
    </row>
    <row r="4055" ht="15" customHeight="1" spans="1:22" x14ac:dyDescent="0.25">
      <c r="A4055" s="17" t="s">
        <v>11835</v>
      </c>
      <c r="B4055" s="17" t="s">
        <v>70</v>
      </c>
      <c r="C4055" s="17" t="s">
        <v>71</v>
      </c>
      <c r="D4055" t="s">
        <v>11826</v>
      </c>
      <c r="F4055" t="s">
        <v>10444</v>
      </c>
      <c r="K4055" s="18">
        <f>62811959261</f>
        <v>62811959261</v>
      </c>
      <c r="N4055" s="17" t="s">
        <v>77</v>
      </c>
      <c r="V4055" s="18">
        <f>62811959261</f>
        <v>62811959261</v>
      </c>
    </row>
    <row r="4056" ht="15" customHeight="1" spans="1:23" x14ac:dyDescent="0.25">
      <c r="A4056" s="17" t="s">
        <v>11836</v>
      </c>
      <c r="B4056" s="17" t="s">
        <v>70</v>
      </c>
      <c r="C4056" s="17" t="s">
        <v>71</v>
      </c>
      <c r="D4056" t="s">
        <v>11826</v>
      </c>
      <c r="F4056" t="s">
        <v>11837</v>
      </c>
      <c r="K4056" s="18">
        <f>62816766499</f>
        <v>62816766499</v>
      </c>
      <c r="N4056" s="17" t="s">
        <v>74</v>
      </c>
      <c r="U4056" s="17"/>
      <c r="V4056" s="18">
        <f>62816766499</f>
        <v>62816766499</v>
      </c>
      <c r="W4056" t="s">
        <v>11838</v>
      </c>
    </row>
    <row r="4057" ht="15" customHeight="1" spans="1:22" x14ac:dyDescent="0.25">
      <c r="A4057" s="17" t="s">
        <v>11839</v>
      </c>
      <c r="B4057" s="17" t="s">
        <v>70</v>
      </c>
      <c r="C4057" s="17" t="s">
        <v>71</v>
      </c>
      <c r="D4057" t="s">
        <v>11840</v>
      </c>
      <c r="F4057" t="s">
        <v>11840</v>
      </c>
      <c r="K4057" s="18">
        <f>6281280009813</f>
        <v>6281280009813</v>
      </c>
      <c r="N4057" s="17" t="s">
        <v>74</v>
      </c>
      <c r="V4057" s="18">
        <f>6281280009813</f>
        <v>6281280009813</v>
      </c>
    </row>
    <row r="4058" ht="15" customHeight="1" spans="1:27" x14ac:dyDescent="0.25">
      <c r="A4058" s="17" t="s">
        <v>11841</v>
      </c>
      <c r="B4058" s="17" t="s">
        <v>70</v>
      </c>
      <c r="C4058" s="17" t="s">
        <v>71</v>
      </c>
      <c r="D4058" t="s">
        <v>11842</v>
      </c>
      <c r="F4058" t="s">
        <v>230</v>
      </c>
      <c r="J4058" s="17" t="s">
        <v>11843</v>
      </c>
      <c r="K4058" s="18">
        <f>62811824111</f>
        <v>62811824111</v>
      </c>
      <c r="N4058" s="17" t="s">
        <v>77</v>
      </c>
      <c r="U4058" s="17"/>
      <c r="V4058" s="18">
        <f>62811824111</f>
        <v>62811824111</v>
      </c>
      <c r="W4058" t="s">
        <v>11844</v>
      </c>
      <c r="Y4058" s="17" t="s">
        <v>96</v>
      </c>
      <c r="AA4058" s="17">
        <v>12430</v>
      </c>
    </row>
    <row r="4059" ht="15" customHeight="1" spans="1:22" x14ac:dyDescent="0.25">
      <c r="A4059" s="17" t="s">
        <v>11845</v>
      </c>
      <c r="B4059" s="17" t="s">
        <v>70</v>
      </c>
      <c r="C4059" s="17" t="s">
        <v>71</v>
      </c>
      <c r="D4059" t="s">
        <v>11846</v>
      </c>
      <c r="F4059" t="s">
        <v>11846</v>
      </c>
      <c r="K4059" s="18">
        <f>628557818188</f>
        <v>628557818188</v>
      </c>
      <c r="N4059" s="17" t="s">
        <v>81</v>
      </c>
      <c r="V4059" s="18">
        <f>628557818188</f>
        <v>628557818188</v>
      </c>
    </row>
    <row r="4060" ht="15" customHeight="1" spans="1:23" x14ac:dyDescent="0.25">
      <c r="A4060" s="17" t="s">
        <v>11847</v>
      </c>
      <c r="B4060" s="17" t="s">
        <v>70</v>
      </c>
      <c r="C4060" s="17" t="s">
        <v>71</v>
      </c>
      <c r="D4060" t="s">
        <v>11846</v>
      </c>
      <c r="F4060" t="s">
        <v>11846</v>
      </c>
      <c r="K4060" s="18">
        <f>6281290253428</f>
        <v>6281290253428</v>
      </c>
      <c r="N4060" s="17" t="s">
        <v>77</v>
      </c>
      <c r="U4060" s="17"/>
      <c r="V4060" s="18">
        <f>6281290253428</f>
        <v>6281290253428</v>
      </c>
      <c r="W4060" t="s">
        <v>11848</v>
      </c>
    </row>
    <row r="4061" ht="15" customHeight="1" spans="1:22" x14ac:dyDescent="0.25">
      <c r="A4061" s="17" t="s">
        <v>11849</v>
      </c>
      <c r="B4061" s="17" t="s">
        <v>70</v>
      </c>
      <c r="C4061" s="17" t="s">
        <v>71</v>
      </c>
      <c r="D4061" t="s">
        <v>11846</v>
      </c>
      <c r="F4061" t="s">
        <v>11846</v>
      </c>
      <c r="K4061" s="18">
        <f>6281905150005</f>
        <v>6281905150005</v>
      </c>
      <c r="N4061" s="17" t="s">
        <v>81</v>
      </c>
      <c r="V4061" s="18">
        <f>6281905150005</f>
        <v>6281905150005</v>
      </c>
    </row>
    <row r="4062" ht="15" customHeight="1" spans="1:27" x14ac:dyDescent="0.25">
      <c r="A4062" s="17" t="s">
        <v>11850</v>
      </c>
      <c r="B4062" s="17" t="s">
        <v>70</v>
      </c>
      <c r="C4062" s="17" t="s">
        <v>71</v>
      </c>
      <c r="D4062" t="s">
        <v>11846</v>
      </c>
      <c r="F4062" t="s">
        <v>11303</v>
      </c>
      <c r="K4062" s="18">
        <f>62816930888</f>
        <v>62816930888</v>
      </c>
      <c r="N4062" s="17" t="s">
        <v>77</v>
      </c>
      <c r="U4062" s="17"/>
      <c r="V4062" s="18">
        <f>62816930888</f>
        <v>62816930888</v>
      </c>
      <c r="W4062" t="s">
        <v>11851</v>
      </c>
      <c r="Y4062" s="17" t="s">
        <v>96</v>
      </c>
      <c r="AA4062" s="17">
        <v>12190</v>
      </c>
    </row>
    <row r="4063" ht="15" customHeight="1" spans="1:28" x14ac:dyDescent="0.25">
      <c r="A4063" s="17" t="s">
        <v>11852</v>
      </c>
      <c r="B4063" s="17" t="s">
        <v>70</v>
      </c>
      <c r="C4063" s="17" t="s">
        <v>71</v>
      </c>
      <c r="D4063" t="s">
        <v>11846</v>
      </c>
      <c r="F4063" t="s">
        <v>11853</v>
      </c>
      <c r="J4063" t="s">
        <v>115</v>
      </c>
      <c r="K4063" s="18" t="s">
        <v>11854</v>
      </c>
      <c r="N4063" s="17" t="s">
        <v>77</v>
      </c>
      <c r="O4063" t="s">
        <v>261</v>
      </c>
      <c r="V4063" s="18" t="s">
        <v>11854</v>
      </c>
      <c r="Y4063" t="s">
        <v>190</v>
      </c>
      <c r="AA4063" t="s">
        <v>118</v>
      </c>
      <c r="AB4063" t="s">
        <v>119</v>
      </c>
    </row>
    <row r="4064" ht="15" customHeight="1" spans="1:22" x14ac:dyDescent="0.25">
      <c r="A4064" s="17" t="s">
        <v>11855</v>
      </c>
      <c r="B4064" s="17" t="s">
        <v>70</v>
      </c>
      <c r="C4064" s="17" t="s">
        <v>71</v>
      </c>
      <c r="D4064" t="s">
        <v>11846</v>
      </c>
      <c r="F4064" t="s">
        <v>5736</v>
      </c>
      <c r="K4064" s="18">
        <f>6281298389773</f>
        <v>6281298389773</v>
      </c>
      <c r="N4064" s="17" t="s">
        <v>81</v>
      </c>
      <c r="V4064" s="18">
        <f>6281298389773</f>
        <v>6281298389773</v>
      </c>
    </row>
    <row r="4065" ht="15" customHeight="1" spans="1:28" x14ac:dyDescent="0.25">
      <c r="A4065" s="17" t="s">
        <v>11856</v>
      </c>
      <c r="B4065" s="17" t="s">
        <v>70</v>
      </c>
      <c r="C4065" s="17" t="s">
        <v>71</v>
      </c>
      <c r="D4065" t="s">
        <v>11857</v>
      </c>
      <c r="F4065" t="s">
        <v>1564</v>
      </c>
      <c r="J4065" t="s">
        <v>115</v>
      </c>
      <c r="K4065" s="18" t="s">
        <v>11858</v>
      </c>
      <c r="N4065" s="17" t="s">
        <v>77</v>
      </c>
      <c r="O4065" t="s">
        <v>199</v>
      </c>
      <c r="V4065" s="18" t="s">
        <v>11858</v>
      </c>
      <c r="Y4065" t="s">
        <v>190</v>
      </c>
      <c r="AA4065" t="s">
        <v>118</v>
      </c>
      <c r="AB4065" t="s">
        <v>119</v>
      </c>
    </row>
    <row r="4066" ht="15" customHeight="1" spans="1:22" x14ac:dyDescent="0.25">
      <c r="A4066" s="17" t="s">
        <v>11859</v>
      </c>
      <c r="B4066" s="17" t="s">
        <v>70</v>
      </c>
      <c r="C4066" s="17" t="s">
        <v>71</v>
      </c>
      <c r="D4066" t="s">
        <v>11860</v>
      </c>
      <c r="F4066" t="s">
        <v>11860</v>
      </c>
      <c r="K4066" s="18">
        <f>6282114725388</f>
        <v>6282114725388</v>
      </c>
      <c r="N4066" s="17" t="s">
        <v>81</v>
      </c>
      <c r="V4066" s="18">
        <f>6282114725388</f>
        <v>6282114725388</v>
      </c>
    </row>
    <row r="4067" ht="15" customHeight="1" spans="1:28" x14ac:dyDescent="0.25">
      <c r="A4067" s="17" t="s">
        <v>11861</v>
      </c>
      <c r="B4067" s="17" t="s">
        <v>70</v>
      </c>
      <c r="C4067" s="17" t="s">
        <v>71</v>
      </c>
      <c r="D4067" t="s">
        <v>11860</v>
      </c>
      <c r="F4067" t="s">
        <v>8135</v>
      </c>
      <c r="J4067" t="s">
        <v>115</v>
      </c>
      <c r="K4067" s="18" t="s">
        <v>11862</v>
      </c>
      <c r="N4067" s="17" t="s">
        <v>74</v>
      </c>
      <c r="O4067" t="s">
        <v>489</v>
      </c>
      <c r="V4067" s="18" t="s">
        <v>11862</v>
      </c>
      <c r="Y4067" t="s">
        <v>90</v>
      </c>
      <c r="AA4067" t="s">
        <v>118</v>
      </c>
      <c r="AB4067" t="s">
        <v>119</v>
      </c>
    </row>
    <row r="4068" ht="15" customHeight="1" spans="1:23" x14ac:dyDescent="0.25">
      <c r="A4068" s="17" t="s">
        <v>11863</v>
      </c>
      <c r="B4068" s="17" t="s">
        <v>70</v>
      </c>
      <c r="C4068" s="17" t="s">
        <v>71</v>
      </c>
      <c r="D4068" t="s">
        <v>11860</v>
      </c>
      <c r="F4068" t="s">
        <v>11864</v>
      </c>
      <c r="K4068" s="18">
        <f>62218717447</f>
        <v>62218717447</v>
      </c>
      <c r="N4068" s="17" t="s">
        <v>77</v>
      </c>
      <c r="U4068" s="17"/>
      <c r="V4068" s="18">
        <f>62218717447</f>
        <v>62218717447</v>
      </c>
      <c r="W4068" t="s">
        <v>11865</v>
      </c>
    </row>
    <row r="4069" ht="15" customHeight="1" spans="1:22" x14ac:dyDescent="0.25">
      <c r="A4069" s="17" t="s">
        <v>11866</v>
      </c>
      <c r="B4069" s="17" t="s">
        <v>70</v>
      </c>
      <c r="C4069" s="17" t="s">
        <v>71</v>
      </c>
      <c r="D4069" t="s">
        <v>11867</v>
      </c>
      <c r="F4069" t="s">
        <v>1169</v>
      </c>
      <c r="K4069" s="18">
        <f>6281387473609</f>
        <v>6281387473609</v>
      </c>
      <c r="N4069" s="17" t="s">
        <v>77</v>
      </c>
      <c r="V4069" s="18">
        <f>6281387473609</f>
        <v>6281387473609</v>
      </c>
    </row>
    <row r="4070" ht="15" customHeight="1" spans="1:28" x14ac:dyDescent="0.25">
      <c r="A4070" s="17" t="s">
        <v>11868</v>
      </c>
      <c r="B4070" s="17" t="s">
        <v>70</v>
      </c>
      <c r="C4070" s="17" t="s">
        <v>71</v>
      </c>
      <c r="D4070" t="s">
        <v>11869</v>
      </c>
      <c r="F4070" t="s">
        <v>11870</v>
      </c>
      <c r="J4070" t="s">
        <v>115</v>
      </c>
      <c r="K4070" s="18" t="s">
        <v>11871</v>
      </c>
      <c r="N4070" s="17" t="s">
        <v>77</v>
      </c>
      <c r="O4070" t="s">
        <v>1188</v>
      </c>
      <c r="V4070" s="18" t="s">
        <v>11871</v>
      </c>
      <c r="Y4070" t="s">
        <v>190</v>
      </c>
      <c r="AA4070" t="s">
        <v>118</v>
      </c>
      <c r="AB4070" t="s">
        <v>119</v>
      </c>
    </row>
    <row r="4071" ht="15" customHeight="1" spans="1:25" x14ac:dyDescent="0.25">
      <c r="A4071" s="17" t="s">
        <v>11872</v>
      </c>
      <c r="B4071" s="17" t="s">
        <v>70</v>
      </c>
      <c r="C4071" s="17" t="s">
        <v>71</v>
      </c>
      <c r="D4071" t="s">
        <v>11873</v>
      </c>
      <c r="F4071" t="s">
        <v>6521</v>
      </c>
      <c r="K4071" s="18">
        <f>62895364798125</f>
        <v>62895364798125</v>
      </c>
      <c r="N4071" s="17" t="s">
        <v>77</v>
      </c>
      <c r="U4071" s="17"/>
      <c r="V4071" s="18">
        <f>62895364798125</f>
        <v>62895364798125</v>
      </c>
      <c r="W4071" t="s">
        <v>11874</v>
      </c>
      <c r="Y4071" s="17" t="s">
        <v>90</v>
      </c>
    </row>
    <row r="4072" ht="15" customHeight="1" spans="1:22" x14ac:dyDescent="0.25">
      <c r="A4072" s="17" t="s">
        <v>11875</v>
      </c>
      <c r="B4072" s="17" t="s">
        <v>70</v>
      </c>
      <c r="C4072" s="17" t="s">
        <v>71</v>
      </c>
      <c r="D4072" t="s">
        <v>11876</v>
      </c>
      <c r="F4072" t="s">
        <v>11876</v>
      </c>
      <c r="K4072" s="18">
        <f>62811655559</f>
        <v>62811655559</v>
      </c>
      <c r="N4072" s="17" t="s">
        <v>77</v>
      </c>
      <c r="V4072" s="18">
        <f>62811655559</f>
        <v>62811655559</v>
      </c>
    </row>
    <row r="4073" ht="15" customHeight="1" spans="1:28" x14ac:dyDescent="0.25">
      <c r="A4073" s="17" t="s">
        <v>11877</v>
      </c>
      <c r="B4073" s="17" t="s">
        <v>70</v>
      </c>
      <c r="C4073" s="17" t="s">
        <v>71</v>
      </c>
      <c r="D4073" t="s">
        <v>11878</v>
      </c>
      <c r="F4073" t="s">
        <v>1169</v>
      </c>
      <c r="J4073" s="17" t="s">
        <v>11879</v>
      </c>
      <c r="K4073" s="18" t="s">
        <v>11880</v>
      </c>
      <c r="N4073" s="17" t="s">
        <v>77</v>
      </c>
      <c r="O4073" t="s">
        <v>145</v>
      </c>
      <c r="U4073" s="17"/>
      <c r="V4073" s="18" t="s">
        <v>11880</v>
      </c>
      <c r="W4073" t="s">
        <v>11881</v>
      </c>
      <c r="Y4073" s="17" t="s">
        <v>622</v>
      </c>
      <c r="AA4073" t="s">
        <v>623</v>
      </c>
      <c r="AB4073" t="s">
        <v>119</v>
      </c>
    </row>
    <row r="4074" ht="15" customHeight="1" spans="1:28" x14ac:dyDescent="0.25">
      <c r="A4074" s="17" t="s">
        <v>11882</v>
      </c>
      <c r="B4074" s="17" t="s">
        <v>70</v>
      </c>
      <c r="C4074" s="17" t="s">
        <v>71</v>
      </c>
      <c r="D4074" t="s">
        <v>11740</v>
      </c>
      <c r="F4074" t="s">
        <v>9147</v>
      </c>
      <c r="J4074" t="s">
        <v>115</v>
      </c>
      <c r="K4074" s="18" t="s">
        <v>11883</v>
      </c>
      <c r="N4074" s="17" t="s">
        <v>81</v>
      </c>
      <c r="O4074" t="s">
        <v>145</v>
      </c>
      <c r="V4074" s="18" t="s">
        <v>11883</v>
      </c>
      <c r="Y4074" t="s">
        <v>90</v>
      </c>
      <c r="AA4074" t="s">
        <v>118</v>
      </c>
      <c r="AB4074" t="s">
        <v>119</v>
      </c>
    </row>
    <row r="4075" ht="15" customHeight="1" spans="1:22" x14ac:dyDescent="0.25">
      <c r="A4075" s="17" t="s">
        <v>11884</v>
      </c>
      <c r="B4075" s="17" t="s">
        <v>70</v>
      </c>
      <c r="C4075" s="17" t="s">
        <v>71</v>
      </c>
      <c r="D4075" t="s">
        <v>11885</v>
      </c>
      <c r="F4075" t="s">
        <v>11885</v>
      </c>
      <c r="K4075" s="18">
        <f>6281959111123</f>
        <v>6281959111123</v>
      </c>
      <c r="N4075" s="17" t="s">
        <v>77</v>
      </c>
      <c r="V4075" s="18">
        <f>6281959111123</f>
        <v>6281959111123</v>
      </c>
    </row>
    <row r="4076" ht="15" customHeight="1" spans="1:22" x14ac:dyDescent="0.25">
      <c r="A4076" s="17" t="s">
        <v>11886</v>
      </c>
      <c r="B4076" s="17" t="s">
        <v>70</v>
      </c>
      <c r="C4076" s="17" t="s">
        <v>71</v>
      </c>
      <c r="D4076" t="s">
        <v>11887</v>
      </c>
      <c r="F4076" t="s">
        <v>6028</v>
      </c>
      <c r="K4076" s="18">
        <f>6281383699111</f>
        <v>6281383699111</v>
      </c>
      <c r="N4076" s="17" t="s">
        <v>77</v>
      </c>
      <c r="V4076" s="18">
        <f>6281383699111</f>
        <v>6281383699111</v>
      </c>
    </row>
    <row r="4077" ht="15" customHeight="1" spans="1:22" x14ac:dyDescent="0.25">
      <c r="A4077" s="17" t="s">
        <v>11888</v>
      </c>
      <c r="B4077" s="17" t="s">
        <v>70</v>
      </c>
      <c r="C4077" s="17" t="s">
        <v>71</v>
      </c>
      <c r="D4077" t="s">
        <v>11889</v>
      </c>
      <c r="F4077" t="s">
        <v>11889</v>
      </c>
      <c r="K4077" s="18">
        <f>6281288251883</f>
        <v>6281288251883</v>
      </c>
      <c r="N4077" s="17" t="s">
        <v>74</v>
      </c>
      <c r="V4077" s="18">
        <f>6281288251883</f>
        <v>6281288251883</v>
      </c>
    </row>
    <row r="4078" ht="15" customHeight="1" spans="1:27" x14ac:dyDescent="0.25">
      <c r="A4078" s="17" t="s">
        <v>11890</v>
      </c>
      <c r="B4078" s="17" t="s">
        <v>70</v>
      </c>
      <c r="C4078" s="17" t="s">
        <v>71</v>
      </c>
      <c r="D4078" t="s">
        <v>11889</v>
      </c>
      <c r="F4078" t="s">
        <v>3008</v>
      </c>
      <c r="K4078" s="18">
        <f>62818136508</f>
        <v>62818136508</v>
      </c>
      <c r="N4078" s="17" t="s">
        <v>74</v>
      </c>
      <c r="U4078" s="17"/>
      <c r="V4078" s="18">
        <f>62818136508</f>
        <v>62818136508</v>
      </c>
      <c r="W4078" t="s">
        <v>11891</v>
      </c>
      <c r="Y4078" s="17" t="s">
        <v>90</v>
      </c>
      <c r="AA4078" s="17">
        <v>12610</v>
      </c>
    </row>
    <row r="4079" ht="15" customHeight="1" spans="1:28" x14ac:dyDescent="0.25">
      <c r="A4079" s="17" t="s">
        <v>11892</v>
      </c>
      <c r="B4079" s="17" t="s">
        <v>70</v>
      </c>
      <c r="C4079" s="17" t="s">
        <v>71</v>
      </c>
      <c r="D4079" t="s">
        <v>11889</v>
      </c>
      <c r="F4079" t="s">
        <v>11893</v>
      </c>
      <c r="J4079" t="s">
        <v>115</v>
      </c>
      <c r="K4079" s="18" t="s">
        <v>11894</v>
      </c>
      <c r="N4079" s="17" t="s">
        <v>81</v>
      </c>
      <c r="O4079" t="s">
        <v>117</v>
      </c>
      <c r="V4079" s="18" t="s">
        <v>11894</v>
      </c>
      <c r="Y4079" t="s">
        <v>90</v>
      </c>
      <c r="AA4079" t="s">
        <v>118</v>
      </c>
      <c r="AB4079" t="s">
        <v>119</v>
      </c>
    </row>
    <row r="4080" ht="15" customHeight="1" spans="1:22" x14ac:dyDescent="0.25">
      <c r="A4080" s="17" t="s">
        <v>11895</v>
      </c>
      <c r="B4080" s="17" t="s">
        <v>70</v>
      </c>
      <c r="C4080" s="17" t="s">
        <v>71</v>
      </c>
      <c r="D4080" t="s">
        <v>11889</v>
      </c>
      <c r="F4080" t="s">
        <v>7824</v>
      </c>
      <c r="K4080" s="18">
        <f>62816812448</f>
        <v>62816812448</v>
      </c>
      <c r="N4080" s="17" t="s">
        <v>74</v>
      </c>
      <c r="V4080" s="18">
        <f>62816812448</f>
        <v>62816812448</v>
      </c>
    </row>
    <row r="4081" ht="15" customHeight="1" spans="1:22" x14ac:dyDescent="0.25">
      <c r="A4081" s="17" t="s">
        <v>11896</v>
      </c>
      <c r="B4081" s="17" t="s">
        <v>70</v>
      </c>
      <c r="C4081" s="17" t="s">
        <v>71</v>
      </c>
      <c r="D4081" t="s">
        <v>11889</v>
      </c>
      <c r="F4081" t="s">
        <v>11897</v>
      </c>
      <c r="K4081" s="18">
        <f>628161953996</f>
        <v>628161953996</v>
      </c>
      <c r="N4081" s="17" t="s">
        <v>77</v>
      </c>
      <c r="V4081" s="18">
        <f>628161953996</f>
        <v>628161953996</v>
      </c>
    </row>
    <row r="4082" ht="15" customHeight="1" spans="1:22" x14ac:dyDescent="0.25">
      <c r="A4082" s="17" t="s">
        <v>11898</v>
      </c>
      <c r="B4082" s="17" t="s">
        <v>70</v>
      </c>
      <c r="C4082" s="17" t="s">
        <v>71</v>
      </c>
      <c r="D4082" t="s">
        <v>11889</v>
      </c>
      <c r="F4082" t="s">
        <v>11899</v>
      </c>
      <c r="K4082" s="18">
        <f>628161953896</f>
        <v>628161953896</v>
      </c>
      <c r="N4082" s="17" t="s">
        <v>81</v>
      </c>
      <c r="V4082" s="18">
        <f>628161953896</f>
        <v>628161953896</v>
      </c>
    </row>
    <row r="4083" ht="15" customHeight="1" spans="1:28" x14ac:dyDescent="0.25">
      <c r="A4083" s="17" t="s">
        <v>11900</v>
      </c>
      <c r="B4083" s="17" t="s">
        <v>70</v>
      </c>
      <c r="C4083" s="17" t="s">
        <v>71</v>
      </c>
      <c r="D4083" t="s">
        <v>11889</v>
      </c>
      <c r="F4083" t="s">
        <v>2527</v>
      </c>
      <c r="J4083" t="s">
        <v>115</v>
      </c>
      <c r="K4083" s="18" t="s">
        <v>11901</v>
      </c>
      <c r="N4083" s="17" t="s">
        <v>74</v>
      </c>
      <c r="O4083" t="s">
        <v>145</v>
      </c>
      <c r="V4083" s="18" t="s">
        <v>11901</v>
      </c>
      <c r="Y4083" t="s">
        <v>190</v>
      </c>
      <c r="AA4083" t="s">
        <v>118</v>
      </c>
      <c r="AB4083" t="s">
        <v>119</v>
      </c>
    </row>
    <row r="4084" ht="15" customHeight="1" spans="1:23" x14ac:dyDescent="0.25">
      <c r="A4084" s="17" t="s">
        <v>11902</v>
      </c>
      <c r="B4084" s="17" t="s">
        <v>70</v>
      </c>
      <c r="C4084" s="17" t="s">
        <v>71</v>
      </c>
      <c r="D4084" t="s">
        <v>11889</v>
      </c>
      <c r="F4084" t="s">
        <v>11903</v>
      </c>
      <c r="K4084" s="18">
        <f>628161408727</f>
        <v>628161408727</v>
      </c>
      <c r="N4084" s="17" t="s">
        <v>81</v>
      </c>
      <c r="U4084" s="17"/>
      <c r="V4084" s="18">
        <f>628161408727</f>
        <v>628161408727</v>
      </c>
      <c r="W4084" t="s">
        <v>11904</v>
      </c>
    </row>
    <row r="4085" ht="15" customHeight="1" spans="1:22" x14ac:dyDescent="0.25">
      <c r="A4085" s="17" t="s">
        <v>11905</v>
      </c>
      <c r="B4085" s="17" t="s">
        <v>70</v>
      </c>
      <c r="C4085" s="17" t="s">
        <v>71</v>
      </c>
      <c r="D4085" t="s">
        <v>11889</v>
      </c>
      <c r="F4085" t="s">
        <v>11906</v>
      </c>
      <c r="K4085" s="18">
        <f>62819703516</f>
        <v>62819703516</v>
      </c>
      <c r="N4085" s="17" t="s">
        <v>81</v>
      </c>
      <c r="V4085" s="18">
        <f>62819703516</f>
        <v>62819703516</v>
      </c>
    </row>
    <row r="4086" ht="15" customHeight="1" spans="1:22" x14ac:dyDescent="0.25">
      <c r="A4086" s="17" t="s">
        <v>11907</v>
      </c>
      <c r="B4086" s="17" t="s">
        <v>70</v>
      </c>
      <c r="C4086" s="17" t="s">
        <v>71</v>
      </c>
      <c r="D4086" t="s">
        <v>11889</v>
      </c>
      <c r="F4086" t="s">
        <v>11908</v>
      </c>
      <c r="K4086" s="18">
        <f>62811684286</f>
        <v>62811684286</v>
      </c>
      <c r="N4086" s="17" t="s">
        <v>74</v>
      </c>
      <c r="V4086" s="18">
        <f>62811684286</f>
        <v>62811684286</v>
      </c>
    </row>
    <row r="4087" ht="15" customHeight="1" spans="1:25" x14ac:dyDescent="0.25">
      <c r="A4087" s="17" t="s">
        <v>11909</v>
      </c>
      <c r="B4087" s="17" t="s">
        <v>70</v>
      </c>
      <c r="C4087" s="17" t="s">
        <v>71</v>
      </c>
      <c r="D4087" t="s">
        <v>11889</v>
      </c>
      <c r="F4087" t="s">
        <v>4918</v>
      </c>
      <c r="K4087" s="18">
        <f>62816984516</f>
        <v>62816984516</v>
      </c>
      <c r="N4087" s="17" t="s">
        <v>77</v>
      </c>
      <c r="U4087" s="17"/>
      <c r="V4087" s="18">
        <f>62816984516</f>
        <v>62816984516</v>
      </c>
      <c r="W4087" t="s">
        <v>11910</v>
      </c>
      <c r="Y4087" s="17" t="s">
        <v>626</v>
      </c>
    </row>
    <row r="4088" ht="15" customHeight="1" spans="1:23" x14ac:dyDescent="0.25">
      <c r="A4088" s="17" t="s">
        <v>11911</v>
      </c>
      <c r="B4088" s="17" t="s">
        <v>70</v>
      </c>
      <c r="C4088" s="17" t="s">
        <v>71</v>
      </c>
      <c r="D4088" t="s">
        <v>11889</v>
      </c>
      <c r="F4088" t="s">
        <v>11912</v>
      </c>
      <c r="J4088" s="17" t="s">
        <v>11913</v>
      </c>
      <c r="K4088" s="18">
        <f>628170702499</f>
        <v>628170702499</v>
      </c>
      <c r="N4088" s="17" t="s">
        <v>77</v>
      </c>
      <c r="U4088" s="17"/>
      <c r="V4088" s="18">
        <f>628170702499</f>
        <v>628170702499</v>
      </c>
      <c r="W4088" t="s">
        <v>11914</v>
      </c>
    </row>
    <row r="4089" ht="15" customHeight="1" spans="1:22" x14ac:dyDescent="0.25">
      <c r="A4089" s="17" t="s">
        <v>11915</v>
      </c>
      <c r="B4089" s="17" t="s">
        <v>70</v>
      </c>
      <c r="C4089" s="17" t="s">
        <v>71</v>
      </c>
      <c r="D4089" t="s">
        <v>11889</v>
      </c>
      <c r="F4089" t="s">
        <v>7172</v>
      </c>
      <c r="K4089" s="18">
        <f>62816817412</f>
        <v>62816817412</v>
      </c>
      <c r="N4089" s="17" t="s">
        <v>77</v>
      </c>
      <c r="V4089" s="18">
        <f>62816817412</f>
        <v>62816817412</v>
      </c>
    </row>
    <row r="4090" ht="15" customHeight="1" spans="1:22" x14ac:dyDescent="0.25">
      <c r="A4090" s="17" t="s">
        <v>11916</v>
      </c>
      <c r="B4090" s="17" t="s">
        <v>70</v>
      </c>
      <c r="C4090" s="17" t="s">
        <v>71</v>
      </c>
      <c r="D4090" t="s">
        <v>11889</v>
      </c>
      <c r="F4090" t="s">
        <v>4704</v>
      </c>
      <c r="K4090" s="18">
        <f>628151000571</f>
        <v>628151000571</v>
      </c>
      <c r="N4090" s="17" t="s">
        <v>81</v>
      </c>
      <c r="V4090" s="18">
        <f>628151000571</f>
        <v>628151000571</v>
      </c>
    </row>
    <row r="4091" ht="15" customHeight="1" spans="1:22" x14ac:dyDescent="0.25">
      <c r="A4091" s="17" t="s">
        <v>11917</v>
      </c>
      <c r="B4091" s="17" t="s">
        <v>70</v>
      </c>
      <c r="C4091" s="17" t="s">
        <v>71</v>
      </c>
      <c r="D4091" t="s">
        <v>3619</v>
      </c>
      <c r="F4091" t="s">
        <v>11918</v>
      </c>
      <c r="K4091" s="18">
        <f>6281229789789</f>
        <v>6281229789789</v>
      </c>
      <c r="N4091" s="17" t="s">
        <v>81</v>
      </c>
      <c r="V4091" s="18">
        <f>6281229789789</f>
        <v>6281229789789</v>
      </c>
    </row>
    <row r="4092" ht="15" customHeight="1" spans="1:28" x14ac:dyDescent="0.25">
      <c r="A4092" s="17" t="s">
        <v>11919</v>
      </c>
      <c r="B4092" s="17" t="s">
        <v>70</v>
      </c>
      <c r="C4092" s="17" t="s">
        <v>71</v>
      </c>
      <c r="D4092" t="s">
        <v>11920</v>
      </c>
      <c r="F4092" t="s">
        <v>11920</v>
      </c>
      <c r="J4092" s="17" t="s">
        <v>11921</v>
      </c>
      <c r="K4092" s="18" t="s">
        <v>11922</v>
      </c>
      <c r="N4092" s="17" t="s">
        <v>77</v>
      </c>
      <c r="O4092" t="s">
        <v>117</v>
      </c>
      <c r="V4092" s="18" t="s">
        <v>11922</v>
      </c>
      <c r="Y4092" t="s">
        <v>115</v>
      </c>
      <c r="AA4092" t="s">
        <v>115</v>
      </c>
      <c r="AB4092" t="s">
        <v>119</v>
      </c>
    </row>
    <row r="4093" ht="15" customHeight="1" spans="1:23" x14ac:dyDescent="0.25">
      <c r="A4093" s="17" t="s">
        <v>11923</v>
      </c>
      <c r="B4093" s="17" t="s">
        <v>70</v>
      </c>
      <c r="C4093" s="17" t="s">
        <v>71</v>
      </c>
      <c r="D4093" t="s">
        <v>11924</v>
      </c>
      <c r="F4093" t="s">
        <v>11924</v>
      </c>
      <c r="K4093" s="18">
        <f>628128048634</f>
        <v>628128048634</v>
      </c>
      <c r="N4093" s="17" t="s">
        <v>77</v>
      </c>
      <c r="U4093" s="17"/>
      <c r="V4093" s="18">
        <f>628128048634</f>
        <v>628128048634</v>
      </c>
      <c r="W4093" t="s">
        <v>119</v>
      </c>
    </row>
    <row r="4094" ht="15" customHeight="1" spans="1:25" x14ac:dyDescent="0.25">
      <c r="A4094" s="17" t="s">
        <v>11925</v>
      </c>
      <c r="B4094" s="17" t="s">
        <v>70</v>
      </c>
      <c r="C4094" s="17" t="s">
        <v>71</v>
      </c>
      <c r="D4094" t="s">
        <v>11926</v>
      </c>
      <c r="F4094" t="s">
        <v>11927</v>
      </c>
      <c r="K4094" s="18">
        <f>62816900567</f>
        <v>62816900567</v>
      </c>
      <c r="N4094" s="17" t="s">
        <v>77</v>
      </c>
      <c r="U4094" s="17"/>
      <c r="V4094" s="18">
        <f>62816900567</f>
        <v>62816900567</v>
      </c>
      <c r="W4094" t="s">
        <v>11928</v>
      </c>
      <c r="Y4094" s="17" t="s">
        <v>90</v>
      </c>
    </row>
    <row r="4095" ht="15" customHeight="1" spans="1:28" x14ac:dyDescent="0.25">
      <c r="A4095" s="17" t="s">
        <v>11929</v>
      </c>
      <c r="B4095" s="17" t="s">
        <v>70</v>
      </c>
      <c r="C4095" s="17" t="s">
        <v>71</v>
      </c>
      <c r="D4095" t="s">
        <v>11930</v>
      </c>
      <c r="F4095" t="s">
        <v>7950</v>
      </c>
      <c r="J4095" t="s">
        <v>115</v>
      </c>
      <c r="K4095" s="18" t="s">
        <v>11931</v>
      </c>
      <c r="N4095" s="17" t="s">
        <v>77</v>
      </c>
      <c r="O4095" t="s">
        <v>199</v>
      </c>
      <c r="U4095" s="17"/>
      <c r="V4095" s="18" t="s">
        <v>11931</v>
      </c>
      <c r="W4095" t="s">
        <v>6179</v>
      </c>
      <c r="Y4095" s="17" t="s">
        <v>1084</v>
      </c>
      <c r="AA4095" t="s">
        <v>3146</v>
      </c>
      <c r="AB4095" t="s">
        <v>119</v>
      </c>
    </row>
    <row r="4096" ht="15" customHeight="1" spans="1:25" x14ac:dyDescent="0.25">
      <c r="A4096" s="17" t="s">
        <v>11932</v>
      </c>
      <c r="B4096" s="17" t="s">
        <v>70</v>
      </c>
      <c r="C4096" s="17" t="s">
        <v>71</v>
      </c>
      <c r="D4096" t="s">
        <v>11933</v>
      </c>
      <c r="F4096" t="s">
        <v>11933</v>
      </c>
      <c r="K4096" s="18">
        <f>62811678976</f>
        <v>62811678976</v>
      </c>
      <c r="N4096" s="17" t="s">
        <v>77</v>
      </c>
      <c r="U4096" s="17"/>
      <c r="V4096" s="18">
        <f>62811678976</f>
        <v>62811678976</v>
      </c>
      <c r="W4096" t="s">
        <v>11934</v>
      </c>
      <c r="Y4096" s="17" t="s">
        <v>90</v>
      </c>
    </row>
    <row r="4097" ht="15" customHeight="1" spans="1:22" x14ac:dyDescent="0.25">
      <c r="A4097" s="17" t="s">
        <v>11935</v>
      </c>
      <c r="B4097" s="17" t="s">
        <v>70</v>
      </c>
      <c r="C4097" s="17" t="s">
        <v>71</v>
      </c>
      <c r="D4097" t="s">
        <v>11936</v>
      </c>
      <c r="F4097" t="s">
        <v>11936</v>
      </c>
      <c r="K4097" s="18">
        <f>62816774129</f>
        <v>62816774129</v>
      </c>
      <c r="N4097" s="17" t="s">
        <v>81</v>
      </c>
      <c r="V4097" s="18">
        <f>62816774129</f>
        <v>62816774129</v>
      </c>
    </row>
    <row r="4098" ht="15" customHeight="1" spans="1:28" x14ac:dyDescent="0.25">
      <c r="A4098" s="17" t="s">
        <v>11937</v>
      </c>
      <c r="B4098" s="17" t="s">
        <v>70</v>
      </c>
      <c r="C4098" s="17" t="s">
        <v>71</v>
      </c>
      <c r="D4098" t="s">
        <v>11936</v>
      </c>
      <c r="F4098" t="s">
        <v>11936</v>
      </c>
      <c r="J4098" t="s">
        <v>115</v>
      </c>
      <c r="K4098" s="18" t="s">
        <v>11938</v>
      </c>
      <c r="N4098" s="17" t="s">
        <v>77</v>
      </c>
      <c r="O4098" t="s">
        <v>117</v>
      </c>
      <c r="V4098" s="18" t="s">
        <v>11938</v>
      </c>
      <c r="Y4098" t="s">
        <v>90</v>
      </c>
      <c r="AA4098" t="s">
        <v>118</v>
      </c>
      <c r="AB4098" t="s">
        <v>119</v>
      </c>
    </row>
    <row r="4099" ht="15" customHeight="1" spans="1:22" x14ac:dyDescent="0.25">
      <c r="A4099" s="17" t="s">
        <v>11939</v>
      </c>
      <c r="B4099" s="17" t="s">
        <v>70</v>
      </c>
      <c r="C4099" s="17" t="s">
        <v>71</v>
      </c>
      <c r="D4099" t="s">
        <v>11936</v>
      </c>
      <c r="F4099" t="s">
        <v>11940</v>
      </c>
      <c r="K4099" s="18">
        <f>6281285900188</f>
        <v>6281285900188</v>
      </c>
      <c r="N4099" s="17" t="s">
        <v>77</v>
      </c>
      <c r="V4099" s="18">
        <f>6281285900188</f>
        <v>6281285900188</v>
      </c>
    </row>
    <row r="4100" ht="15" customHeight="1" spans="1:28" x14ac:dyDescent="0.25">
      <c r="A4100" s="17" t="s">
        <v>11941</v>
      </c>
      <c r="B4100" s="17" t="s">
        <v>70</v>
      </c>
      <c r="C4100" s="17" t="s">
        <v>71</v>
      </c>
      <c r="D4100" t="s">
        <v>11936</v>
      </c>
      <c r="F4100" t="s">
        <v>11942</v>
      </c>
      <c r="J4100" s="17" t="s">
        <v>11943</v>
      </c>
      <c r="K4100" s="18" t="s">
        <v>11944</v>
      </c>
      <c r="N4100" s="17" t="s">
        <v>77</v>
      </c>
      <c r="O4100" t="s">
        <v>489</v>
      </c>
      <c r="U4100" s="17"/>
      <c r="V4100" s="18" t="s">
        <v>11944</v>
      </c>
      <c r="W4100" t="s">
        <v>11945</v>
      </c>
      <c r="Y4100" s="17" t="s">
        <v>90</v>
      </c>
      <c r="AA4100" t="s">
        <v>118</v>
      </c>
      <c r="AB4100" t="s">
        <v>119</v>
      </c>
    </row>
    <row r="4101" ht="15" customHeight="1" spans="1:25" x14ac:dyDescent="0.25">
      <c r="A4101" s="17" t="s">
        <v>11946</v>
      </c>
      <c r="B4101" s="17" t="s">
        <v>70</v>
      </c>
      <c r="C4101" s="17" t="s">
        <v>71</v>
      </c>
      <c r="D4101" t="s">
        <v>11936</v>
      </c>
      <c r="F4101" t="s">
        <v>11947</v>
      </c>
      <c r="K4101" s="18">
        <f>628119505192</f>
        <v>628119505192</v>
      </c>
      <c r="N4101" s="17" t="s">
        <v>77</v>
      </c>
      <c r="U4101" s="17"/>
      <c r="V4101" s="18">
        <f>628119505192</f>
        <v>628119505192</v>
      </c>
      <c r="W4101" t="s">
        <v>11948</v>
      </c>
      <c r="Y4101" s="17" t="s">
        <v>96</v>
      </c>
    </row>
    <row r="4102" ht="15" customHeight="1" spans="1:22" x14ac:dyDescent="0.25">
      <c r="A4102" s="17" t="s">
        <v>11949</v>
      </c>
      <c r="B4102" s="17" t="s">
        <v>70</v>
      </c>
      <c r="C4102" s="17" t="s">
        <v>71</v>
      </c>
      <c r="D4102" t="s">
        <v>11936</v>
      </c>
      <c r="F4102" t="s">
        <v>1070</v>
      </c>
      <c r="K4102" s="18">
        <f>6282225556608</f>
        <v>6282225556608</v>
      </c>
      <c r="N4102" s="17" t="s">
        <v>81</v>
      </c>
      <c r="V4102" s="18">
        <f>6282225556608</f>
        <v>6282225556608</v>
      </c>
    </row>
    <row r="4103" ht="15" customHeight="1" spans="1:28" x14ac:dyDescent="0.25">
      <c r="A4103" s="17" t="s">
        <v>11950</v>
      </c>
      <c r="B4103" s="17" t="s">
        <v>70</v>
      </c>
      <c r="C4103" s="17" t="s">
        <v>71</v>
      </c>
      <c r="D4103" t="s">
        <v>11936</v>
      </c>
      <c r="F4103" t="s">
        <v>11951</v>
      </c>
      <c r="J4103" t="s">
        <v>115</v>
      </c>
      <c r="K4103" s="18" t="s">
        <v>11952</v>
      </c>
      <c r="N4103" s="17" t="s">
        <v>81</v>
      </c>
      <c r="O4103" t="s">
        <v>261</v>
      </c>
      <c r="U4103" s="17"/>
      <c r="V4103" s="18" t="s">
        <v>11952</v>
      </c>
      <c r="W4103" t="s">
        <v>11953</v>
      </c>
      <c r="Y4103" t="s">
        <v>90</v>
      </c>
      <c r="AA4103" t="s">
        <v>118</v>
      </c>
      <c r="AB4103" t="s">
        <v>119</v>
      </c>
    </row>
    <row r="4104" ht="15" customHeight="1" spans="1:22" x14ac:dyDescent="0.25">
      <c r="A4104" s="17" t="s">
        <v>11954</v>
      </c>
      <c r="B4104" s="17" t="s">
        <v>70</v>
      </c>
      <c r="C4104" s="17" t="s">
        <v>71</v>
      </c>
      <c r="D4104" t="s">
        <v>11955</v>
      </c>
      <c r="F4104" t="s">
        <v>11956</v>
      </c>
      <c r="K4104" s="18">
        <f>628161965659</f>
        <v>628161965659</v>
      </c>
      <c r="N4104" s="17" t="s">
        <v>77</v>
      </c>
      <c r="V4104" s="18">
        <f>628161965659</f>
        <v>628161965659</v>
      </c>
    </row>
    <row r="4105" ht="15" customHeight="1" spans="1:28" x14ac:dyDescent="0.25">
      <c r="A4105" s="17" t="s">
        <v>11957</v>
      </c>
      <c r="B4105" s="17" t="s">
        <v>70</v>
      </c>
      <c r="C4105" s="17" t="s">
        <v>71</v>
      </c>
      <c r="D4105" t="s">
        <v>11958</v>
      </c>
      <c r="F4105" t="s">
        <v>11959</v>
      </c>
      <c r="J4105" t="s">
        <v>115</v>
      </c>
      <c r="K4105" s="18" t="s">
        <v>11960</v>
      </c>
      <c r="N4105" s="17" t="s">
        <v>77</v>
      </c>
      <c r="O4105" t="s">
        <v>145</v>
      </c>
      <c r="U4105" s="17"/>
      <c r="V4105" s="18" t="s">
        <v>11960</v>
      </c>
      <c r="W4105" t="s">
        <v>11961</v>
      </c>
      <c r="Y4105" s="17" t="s">
        <v>490</v>
      </c>
      <c r="AA4105" t="s">
        <v>115</v>
      </c>
      <c r="AB4105" t="s">
        <v>119</v>
      </c>
    </row>
    <row r="4106" ht="15" customHeight="1" spans="1:28" x14ac:dyDescent="0.25">
      <c r="A4106" s="17" t="s">
        <v>11962</v>
      </c>
      <c r="B4106" s="17" t="s">
        <v>70</v>
      </c>
      <c r="C4106" s="17" t="s">
        <v>71</v>
      </c>
      <c r="D4106" t="s">
        <v>11963</v>
      </c>
      <c r="F4106" t="s">
        <v>1750</v>
      </c>
      <c r="J4106" s="17" t="s">
        <v>11964</v>
      </c>
      <c r="K4106" s="18" t="s">
        <v>11965</v>
      </c>
      <c r="N4106" s="17" t="s">
        <v>74</v>
      </c>
      <c r="O4106" t="s">
        <v>145</v>
      </c>
      <c r="V4106" s="18" t="s">
        <v>11965</v>
      </c>
      <c r="Y4106" t="s">
        <v>190</v>
      </c>
      <c r="AA4106" t="s">
        <v>118</v>
      </c>
      <c r="AB4106" t="s">
        <v>119</v>
      </c>
    </row>
    <row r="4107" ht="15" customHeight="1" spans="1:28" x14ac:dyDescent="0.25">
      <c r="A4107" s="17" t="s">
        <v>11966</v>
      </c>
      <c r="B4107" s="17" t="s">
        <v>70</v>
      </c>
      <c r="C4107" s="17" t="s">
        <v>71</v>
      </c>
      <c r="D4107" t="s">
        <v>11967</v>
      </c>
      <c r="F4107" t="s">
        <v>10572</v>
      </c>
      <c r="J4107" s="17" t="s">
        <v>11968</v>
      </c>
      <c r="K4107" s="18" t="s">
        <v>11969</v>
      </c>
      <c r="N4107" s="17" t="s">
        <v>81</v>
      </c>
      <c r="O4107" t="s">
        <v>261</v>
      </c>
      <c r="V4107" s="18" t="s">
        <v>11969</v>
      </c>
      <c r="Y4107" t="s">
        <v>90</v>
      </c>
      <c r="AA4107" t="s">
        <v>118</v>
      </c>
      <c r="AB4107" t="s">
        <v>119</v>
      </c>
    </row>
    <row r="4108" ht="15" customHeight="1" spans="1:23" x14ac:dyDescent="0.25">
      <c r="A4108" s="17" t="s">
        <v>11970</v>
      </c>
      <c r="B4108" s="17" t="s">
        <v>70</v>
      </c>
      <c r="C4108" s="17" t="s">
        <v>71</v>
      </c>
      <c r="D4108" t="s">
        <v>11971</v>
      </c>
      <c r="F4108" t="s">
        <v>11386</v>
      </c>
      <c r="K4108" s="18">
        <f>6281366556677</f>
        <v>6281366556677</v>
      </c>
      <c r="N4108" s="17" t="s">
        <v>77</v>
      </c>
      <c r="U4108" s="17"/>
      <c r="V4108" s="18">
        <f>6281366556677</f>
        <v>6281366556677</v>
      </c>
      <c r="W4108" t="s">
        <v>11972</v>
      </c>
    </row>
    <row r="4109" ht="15" customHeight="1" spans="1:28" x14ac:dyDescent="0.25">
      <c r="A4109" s="17" t="s">
        <v>11973</v>
      </c>
      <c r="B4109" s="17" t="s">
        <v>70</v>
      </c>
      <c r="C4109" s="17" t="s">
        <v>71</v>
      </c>
      <c r="D4109" t="s">
        <v>11974</v>
      </c>
      <c r="F4109" t="s">
        <v>11975</v>
      </c>
      <c r="J4109" s="17" t="s">
        <v>11976</v>
      </c>
      <c r="K4109" s="18" t="s">
        <v>11977</v>
      </c>
      <c r="N4109" s="17" t="s">
        <v>77</v>
      </c>
      <c r="O4109" t="s">
        <v>199</v>
      </c>
      <c r="V4109" s="18" t="s">
        <v>11977</v>
      </c>
      <c r="Y4109" t="s">
        <v>181</v>
      </c>
      <c r="AA4109" t="s">
        <v>1672</v>
      </c>
      <c r="AB4109" t="s">
        <v>119</v>
      </c>
    </row>
    <row r="4110" ht="15" customHeight="1" spans="1:22" x14ac:dyDescent="0.25">
      <c r="A4110" s="17" t="s">
        <v>11978</v>
      </c>
      <c r="B4110" s="17" t="s">
        <v>70</v>
      </c>
      <c r="C4110" s="17" t="s">
        <v>71</v>
      </c>
      <c r="D4110" t="s">
        <v>11979</v>
      </c>
      <c r="F4110" t="s">
        <v>11980</v>
      </c>
      <c r="K4110" s="18">
        <f>6281291629669</f>
        <v>6281291629669</v>
      </c>
      <c r="N4110" s="17" t="s">
        <v>81</v>
      </c>
      <c r="V4110" s="18">
        <f>6281291629669</f>
        <v>6281291629669</v>
      </c>
    </row>
    <row r="4111" ht="15" customHeight="1" spans="1:22" x14ac:dyDescent="0.25">
      <c r="A4111" s="17" t="s">
        <v>11981</v>
      </c>
      <c r="B4111" s="17" t="s">
        <v>70</v>
      </c>
      <c r="C4111" s="17" t="s">
        <v>71</v>
      </c>
      <c r="D4111" t="s">
        <v>11979</v>
      </c>
      <c r="F4111" t="s">
        <v>2320</v>
      </c>
      <c r="K4111" s="18">
        <f>628161946790</f>
        <v>628161946790</v>
      </c>
      <c r="N4111" s="17" t="s">
        <v>77</v>
      </c>
      <c r="V4111" s="18">
        <f>628161946790</f>
        <v>628161946790</v>
      </c>
    </row>
    <row r="4112" ht="15" customHeight="1" spans="1:28" x14ac:dyDescent="0.25">
      <c r="A4112" s="17" t="s">
        <v>11982</v>
      </c>
      <c r="B4112" s="17" t="s">
        <v>70</v>
      </c>
      <c r="C4112" s="17" t="s">
        <v>71</v>
      </c>
      <c r="D4112" t="s">
        <v>11983</v>
      </c>
      <c r="F4112" t="s">
        <v>11983</v>
      </c>
      <c r="J4112" t="s">
        <v>115</v>
      </c>
      <c r="K4112" s="18" t="s">
        <v>11984</v>
      </c>
      <c r="N4112" s="17" t="s">
        <v>77</v>
      </c>
      <c r="O4112" t="s">
        <v>145</v>
      </c>
      <c r="U4112" s="17"/>
      <c r="V4112" s="18" t="s">
        <v>11984</v>
      </c>
      <c r="W4112" t="s">
        <v>1157</v>
      </c>
      <c r="Y4112" s="17" t="s">
        <v>1157</v>
      </c>
      <c r="AA4112" t="s">
        <v>5957</v>
      </c>
      <c r="AB4112" t="s">
        <v>119</v>
      </c>
    </row>
    <row r="4113" ht="15" customHeight="1" spans="1:22" x14ac:dyDescent="0.25">
      <c r="A4113" s="17" t="s">
        <v>11985</v>
      </c>
      <c r="B4113" s="17" t="s">
        <v>70</v>
      </c>
      <c r="C4113" s="17" t="s">
        <v>71</v>
      </c>
      <c r="D4113" t="s">
        <v>11986</v>
      </c>
      <c r="F4113" t="s">
        <v>11987</v>
      </c>
      <c r="K4113" s="18">
        <f>628128116676</f>
        <v>628128116676</v>
      </c>
      <c r="N4113" s="17" t="s">
        <v>81</v>
      </c>
      <c r="V4113" s="18">
        <f>628128116676</f>
        <v>628128116676</v>
      </c>
    </row>
    <row r="4114" ht="15" customHeight="1" spans="1:22" x14ac:dyDescent="0.25">
      <c r="A4114" s="17" t="s">
        <v>11988</v>
      </c>
      <c r="B4114" s="17" t="s">
        <v>70</v>
      </c>
      <c r="C4114" s="17" t="s">
        <v>71</v>
      </c>
      <c r="D4114" t="s">
        <v>11989</v>
      </c>
      <c r="F4114" t="s">
        <v>3099</v>
      </c>
      <c r="K4114" s="18">
        <f>62816730866</f>
        <v>62816730866</v>
      </c>
      <c r="N4114" s="17" t="s">
        <v>77</v>
      </c>
      <c r="V4114" s="18">
        <f>62816730866</f>
        <v>62816730866</v>
      </c>
    </row>
    <row r="4115" ht="15" customHeight="1" spans="1:28" x14ac:dyDescent="0.25">
      <c r="A4115" s="17" t="s">
        <v>11990</v>
      </c>
      <c r="B4115" s="17" t="s">
        <v>70</v>
      </c>
      <c r="C4115" s="17" t="s">
        <v>71</v>
      </c>
      <c r="D4115" t="s">
        <v>11991</v>
      </c>
      <c r="F4115" t="s">
        <v>3873</v>
      </c>
      <c r="J4115" t="s">
        <v>115</v>
      </c>
      <c r="K4115" s="18" t="s">
        <v>11992</v>
      </c>
      <c r="N4115" s="17" t="s">
        <v>77</v>
      </c>
      <c r="O4115" t="s">
        <v>145</v>
      </c>
      <c r="V4115" s="18" t="s">
        <v>11992</v>
      </c>
      <c r="Y4115" t="s">
        <v>190</v>
      </c>
      <c r="AA4115" t="s">
        <v>118</v>
      </c>
      <c r="AB4115" t="s">
        <v>119</v>
      </c>
    </row>
    <row r="4116" ht="15" customHeight="1" spans="1:25" x14ac:dyDescent="0.25">
      <c r="A4116" s="17" t="s">
        <v>11993</v>
      </c>
      <c r="B4116" s="17" t="s">
        <v>70</v>
      </c>
      <c r="C4116" s="17" t="s">
        <v>71</v>
      </c>
      <c r="D4116" t="s">
        <v>11994</v>
      </c>
      <c r="F4116" t="s">
        <v>11995</v>
      </c>
      <c r="J4116" s="17" t="s">
        <v>11996</v>
      </c>
      <c r="K4116" s="18">
        <f>6282110104218</f>
        <v>6282110104218</v>
      </c>
      <c r="N4116" s="17" t="s">
        <v>81</v>
      </c>
      <c r="U4116" s="17"/>
      <c r="V4116" s="18">
        <f>6282110104218</f>
        <v>6282110104218</v>
      </c>
      <c r="W4116" t="s">
        <v>11997</v>
      </c>
      <c r="Y4116" s="17" t="s">
        <v>1084</v>
      </c>
    </row>
    <row r="4117" ht="15" customHeight="1" spans="1:28" x14ac:dyDescent="0.25">
      <c r="A4117" s="17" t="s">
        <v>11998</v>
      </c>
      <c r="B4117" s="17" t="s">
        <v>70</v>
      </c>
      <c r="C4117" s="17" t="s">
        <v>71</v>
      </c>
      <c r="D4117" t="s">
        <v>11999</v>
      </c>
      <c r="F4117" t="s">
        <v>12000</v>
      </c>
      <c r="J4117" t="s">
        <v>115</v>
      </c>
      <c r="K4117" s="18" t="s">
        <v>12001</v>
      </c>
      <c r="N4117" s="17" t="s">
        <v>77</v>
      </c>
      <c r="O4117" t="s">
        <v>117</v>
      </c>
      <c r="V4117" s="18" t="s">
        <v>12001</v>
      </c>
      <c r="Y4117" t="s">
        <v>115</v>
      </c>
      <c r="AA4117" t="s">
        <v>115</v>
      </c>
      <c r="AB4117" t="s">
        <v>119</v>
      </c>
    </row>
    <row r="4118" ht="15" customHeight="1" spans="1:25" x14ac:dyDescent="0.25">
      <c r="A4118" s="17" t="s">
        <v>12002</v>
      </c>
      <c r="B4118" s="17" t="s">
        <v>70</v>
      </c>
      <c r="C4118" s="17" t="s">
        <v>71</v>
      </c>
      <c r="D4118" t="s">
        <v>11999</v>
      </c>
      <c r="F4118" t="s">
        <v>12003</v>
      </c>
      <c r="K4118" s="18">
        <f>628161808662</f>
        <v>628161808662</v>
      </c>
      <c r="N4118" s="17" t="s">
        <v>77</v>
      </c>
      <c r="U4118" s="17"/>
      <c r="V4118" s="18">
        <f>628161808662</f>
        <v>628161808662</v>
      </c>
      <c r="W4118" t="s">
        <v>12004</v>
      </c>
      <c r="Y4118" s="17" t="s">
        <v>96</v>
      </c>
    </row>
    <row r="4119" ht="15" customHeight="1" spans="1:22" x14ac:dyDescent="0.25">
      <c r="A4119" s="17" t="s">
        <v>12005</v>
      </c>
      <c r="B4119" s="17" t="s">
        <v>70</v>
      </c>
      <c r="C4119" s="17" t="s">
        <v>71</v>
      </c>
      <c r="D4119" t="s">
        <v>11999</v>
      </c>
      <c r="F4119" t="s">
        <v>12006</v>
      </c>
      <c r="K4119" s="18">
        <f>628118607268</f>
        <v>628118607268</v>
      </c>
      <c r="N4119" s="17" t="s">
        <v>77</v>
      </c>
      <c r="V4119" s="18">
        <f>628118607268</f>
        <v>628118607268</v>
      </c>
    </row>
    <row r="4120" ht="15" customHeight="1" spans="1:22" x14ac:dyDescent="0.25">
      <c r="A4120" s="17" t="s">
        <v>12007</v>
      </c>
      <c r="B4120" s="17" t="s">
        <v>70</v>
      </c>
      <c r="C4120" s="17" t="s">
        <v>71</v>
      </c>
      <c r="D4120" t="s">
        <v>12008</v>
      </c>
      <c r="F4120" t="s">
        <v>12009</v>
      </c>
      <c r="K4120" s="18">
        <f>628111554609</f>
        <v>628111554609</v>
      </c>
      <c r="N4120" s="17" t="s">
        <v>77</v>
      </c>
      <c r="V4120" s="18">
        <f>628111554609</f>
        <v>628111554609</v>
      </c>
    </row>
    <row r="4121" ht="15" customHeight="1" spans="1:22" x14ac:dyDescent="0.25">
      <c r="A4121" s="17" t="s">
        <v>12010</v>
      </c>
      <c r="B4121" s="17" t="s">
        <v>70</v>
      </c>
      <c r="C4121" s="17" t="s">
        <v>71</v>
      </c>
      <c r="D4121" t="s">
        <v>12008</v>
      </c>
      <c r="F4121" t="s">
        <v>12011</v>
      </c>
      <c r="K4121" s="18">
        <f>6281808044867</f>
        <v>6281808044867</v>
      </c>
      <c r="N4121" s="17" t="s">
        <v>77</v>
      </c>
      <c r="V4121" s="18">
        <f>6281808044867</f>
        <v>6281808044867</v>
      </c>
    </row>
    <row r="4122" ht="15" customHeight="1" spans="1:28" x14ac:dyDescent="0.25">
      <c r="A4122" s="17" t="s">
        <v>12012</v>
      </c>
      <c r="B4122" s="17" t="s">
        <v>70</v>
      </c>
      <c r="C4122" s="17" t="s">
        <v>71</v>
      </c>
      <c r="D4122" t="s">
        <v>12013</v>
      </c>
      <c r="F4122" t="s">
        <v>3767</v>
      </c>
      <c r="J4122" s="17" t="s">
        <v>12014</v>
      </c>
      <c r="K4122" s="18" t="s">
        <v>12015</v>
      </c>
      <c r="N4122" s="17" t="s">
        <v>81</v>
      </c>
      <c r="O4122" t="s">
        <v>117</v>
      </c>
      <c r="V4122" s="18" t="s">
        <v>12015</v>
      </c>
      <c r="Y4122" t="s">
        <v>6155</v>
      </c>
      <c r="AA4122" t="s">
        <v>115</v>
      </c>
      <c r="AB4122" t="s">
        <v>119</v>
      </c>
    </row>
    <row r="4123" ht="15" customHeight="1" spans="1:22" x14ac:dyDescent="0.25">
      <c r="A4123" s="17" t="s">
        <v>12016</v>
      </c>
      <c r="B4123" s="17" t="s">
        <v>70</v>
      </c>
      <c r="C4123" s="17" t="s">
        <v>71</v>
      </c>
      <c r="D4123" t="s">
        <v>12017</v>
      </c>
      <c r="F4123" t="s">
        <v>12018</v>
      </c>
      <c r="K4123" s="18">
        <f>6281339964598</f>
        <v>6281339964598</v>
      </c>
      <c r="N4123" s="17" t="s">
        <v>81</v>
      </c>
      <c r="V4123" s="18">
        <f>6281339964598</f>
        <v>6281339964598</v>
      </c>
    </row>
    <row r="4124" ht="15" customHeight="1" spans="1:23" x14ac:dyDescent="0.25">
      <c r="A4124" s="17" t="s">
        <v>12019</v>
      </c>
      <c r="B4124" s="17" t="s">
        <v>70</v>
      </c>
      <c r="C4124" s="17" t="s">
        <v>71</v>
      </c>
      <c r="D4124" t="s">
        <v>12017</v>
      </c>
      <c r="F4124" t="s">
        <v>12020</v>
      </c>
      <c r="K4124" s="18">
        <f>6287881379406</f>
        <v>6287881379406</v>
      </c>
      <c r="N4124" s="17" t="s">
        <v>77</v>
      </c>
      <c r="U4124" s="17"/>
      <c r="V4124" s="18">
        <f>6287881379406</f>
        <v>6287881379406</v>
      </c>
      <c r="W4124" t="s">
        <v>12021</v>
      </c>
    </row>
    <row r="4125" ht="15" customHeight="1" spans="1:23" x14ac:dyDescent="0.25">
      <c r="A4125" s="17" t="s">
        <v>12022</v>
      </c>
      <c r="B4125" s="17" t="s">
        <v>70</v>
      </c>
      <c r="C4125" s="17" t="s">
        <v>71</v>
      </c>
      <c r="D4125" t="s">
        <v>12017</v>
      </c>
      <c r="F4125" t="s">
        <v>3661</v>
      </c>
      <c r="K4125" s="18">
        <f>6281381179686</f>
        <v>6281381179686</v>
      </c>
      <c r="N4125" s="17" t="s">
        <v>77</v>
      </c>
      <c r="U4125" s="17"/>
      <c r="V4125" s="18">
        <f>6281381179686</f>
        <v>6281381179686</v>
      </c>
      <c r="W4125" t="s">
        <v>12023</v>
      </c>
    </row>
    <row r="4126" ht="15" customHeight="1" spans="1:22" x14ac:dyDescent="0.25">
      <c r="A4126" s="17" t="s">
        <v>12024</v>
      </c>
      <c r="B4126" s="17" t="s">
        <v>70</v>
      </c>
      <c r="C4126" s="17" t="s">
        <v>71</v>
      </c>
      <c r="D4126" t="s">
        <v>12025</v>
      </c>
      <c r="F4126" t="s">
        <v>12025</v>
      </c>
      <c r="K4126" s="18">
        <f>628161376123</f>
        <v>628161376123</v>
      </c>
      <c r="N4126" s="17" t="s">
        <v>77</v>
      </c>
      <c r="V4126" s="18">
        <f>628161376123</f>
        <v>628161376123</v>
      </c>
    </row>
    <row r="4127" ht="15" customHeight="1" spans="1:25" x14ac:dyDescent="0.25">
      <c r="A4127" s="17" t="s">
        <v>12026</v>
      </c>
      <c r="B4127" s="17" t="s">
        <v>70</v>
      </c>
      <c r="C4127" s="17" t="s">
        <v>71</v>
      </c>
      <c r="D4127" t="s">
        <v>12027</v>
      </c>
      <c r="F4127" t="s">
        <v>12028</v>
      </c>
      <c r="K4127" s="18">
        <f>6281332435456</f>
        <v>6281332435456</v>
      </c>
      <c r="N4127" s="17" t="s">
        <v>81</v>
      </c>
      <c r="U4127" s="17"/>
      <c r="V4127" s="18">
        <f>6281332435456</f>
        <v>6281332435456</v>
      </c>
      <c r="W4127" t="s">
        <v>12029</v>
      </c>
      <c r="Y4127" s="17" t="s">
        <v>704</v>
      </c>
    </row>
    <row r="4128" ht="15" customHeight="1" spans="1:28" x14ac:dyDescent="0.25">
      <c r="A4128" s="17" t="s">
        <v>12030</v>
      </c>
      <c r="B4128" s="17" t="s">
        <v>70</v>
      </c>
      <c r="C4128" s="17" t="s">
        <v>71</v>
      </c>
      <c r="D4128" t="s">
        <v>12031</v>
      </c>
      <c r="F4128" t="s">
        <v>631</v>
      </c>
      <c r="J4128" t="s">
        <v>115</v>
      </c>
      <c r="K4128" s="18" t="s">
        <v>12032</v>
      </c>
      <c r="N4128" s="17" t="s">
        <v>77</v>
      </c>
      <c r="O4128" t="s">
        <v>199</v>
      </c>
      <c r="V4128" s="18" t="s">
        <v>12032</v>
      </c>
      <c r="Y4128" t="s">
        <v>190</v>
      </c>
      <c r="AA4128" t="s">
        <v>118</v>
      </c>
      <c r="AB4128" t="s">
        <v>119</v>
      </c>
    </row>
    <row r="4129" ht="15" customHeight="1" spans="1:22" x14ac:dyDescent="0.25">
      <c r="A4129" s="17" t="s">
        <v>12033</v>
      </c>
      <c r="B4129" s="17" t="s">
        <v>70</v>
      </c>
      <c r="C4129" s="17" t="s">
        <v>71</v>
      </c>
      <c r="D4129" t="s">
        <v>12034</v>
      </c>
      <c r="F4129" t="s">
        <v>12008</v>
      </c>
      <c r="K4129" s="18">
        <f>628112211178</f>
        <v>628112211178</v>
      </c>
      <c r="N4129" s="17" t="s">
        <v>77</v>
      </c>
      <c r="V4129" s="18">
        <f>628112211178</f>
        <v>628112211178</v>
      </c>
    </row>
    <row r="4130" ht="15" customHeight="1" spans="1:22" x14ac:dyDescent="0.25">
      <c r="A4130" s="17" t="s">
        <v>12035</v>
      </c>
      <c r="B4130" s="17" t="s">
        <v>70</v>
      </c>
      <c r="C4130" s="17" t="s">
        <v>71</v>
      </c>
      <c r="D4130" t="s">
        <v>12036</v>
      </c>
      <c r="F4130" t="s">
        <v>2957</v>
      </c>
      <c r="K4130" s="18">
        <f>628129022860</f>
        <v>628129022860</v>
      </c>
      <c r="N4130" s="17" t="s">
        <v>77</v>
      </c>
      <c r="V4130" s="18">
        <f>628129022860</f>
        <v>628129022860</v>
      </c>
    </row>
    <row r="4131" ht="15" customHeight="1" spans="1:23" x14ac:dyDescent="0.25">
      <c r="A4131" s="17" t="s">
        <v>12037</v>
      </c>
      <c r="B4131" s="17" t="s">
        <v>70</v>
      </c>
      <c r="C4131" s="17" t="s">
        <v>71</v>
      </c>
      <c r="D4131" t="s">
        <v>12038</v>
      </c>
      <c r="F4131" t="s">
        <v>153</v>
      </c>
      <c r="K4131" s="18">
        <f>628116108588</f>
        <v>628116108588</v>
      </c>
      <c r="N4131" s="17" t="s">
        <v>77</v>
      </c>
      <c r="U4131" s="17"/>
      <c r="V4131" s="18">
        <f>628116108588</f>
        <v>628116108588</v>
      </c>
      <c r="W4131" t="s">
        <v>1157</v>
      </c>
    </row>
    <row r="4132" ht="15" customHeight="1" spans="1:25" x14ac:dyDescent="0.25">
      <c r="A4132" s="17" t="s">
        <v>12039</v>
      </c>
      <c r="B4132" s="17" t="s">
        <v>70</v>
      </c>
      <c r="C4132" s="17" t="s">
        <v>71</v>
      </c>
      <c r="D4132" t="s">
        <v>12040</v>
      </c>
      <c r="F4132" t="s">
        <v>12041</v>
      </c>
      <c r="K4132" s="18">
        <f>6281399381818</f>
        <v>6281399381818</v>
      </c>
      <c r="N4132" s="17" t="s">
        <v>77</v>
      </c>
      <c r="U4132" s="17"/>
      <c r="V4132" s="18">
        <f>6281399381818</f>
        <v>6281399381818</v>
      </c>
      <c r="W4132" t="s">
        <v>12042</v>
      </c>
      <c r="Y4132" s="17" t="s">
        <v>12043</v>
      </c>
    </row>
    <row r="4133" ht="15" customHeight="1" spans="1:23" x14ac:dyDescent="0.25">
      <c r="A4133" s="17" t="s">
        <v>12044</v>
      </c>
      <c r="B4133" s="17" t="s">
        <v>70</v>
      </c>
      <c r="C4133" s="17" t="s">
        <v>71</v>
      </c>
      <c r="D4133" t="s">
        <v>12045</v>
      </c>
      <c r="F4133" t="s">
        <v>8683</v>
      </c>
      <c r="K4133" s="18">
        <f>62215865566</f>
        <v>62215865566</v>
      </c>
      <c r="N4133" s="17" t="s">
        <v>77</v>
      </c>
      <c r="U4133" s="17"/>
      <c r="V4133" s="18">
        <f>62215865566</f>
        <v>62215865566</v>
      </c>
      <c r="W4133" t="s">
        <v>12046</v>
      </c>
    </row>
    <row r="4134" ht="15" customHeight="1" spans="1:22" x14ac:dyDescent="0.25">
      <c r="A4134" s="17" t="s">
        <v>12047</v>
      </c>
      <c r="B4134" s="17" t="s">
        <v>70</v>
      </c>
      <c r="C4134" s="17" t="s">
        <v>71</v>
      </c>
      <c r="D4134" t="s">
        <v>12048</v>
      </c>
      <c r="F4134" t="s">
        <v>12048</v>
      </c>
      <c r="K4134" s="18">
        <f>6287883183179</f>
        <v>6287883183179</v>
      </c>
      <c r="N4134" s="17" t="s">
        <v>77</v>
      </c>
      <c r="V4134" s="18">
        <f>6287883183179</f>
        <v>6287883183179</v>
      </c>
    </row>
    <row r="4135" ht="15" customHeight="1" spans="1:25" x14ac:dyDescent="0.25">
      <c r="A4135" s="17" t="s">
        <v>12049</v>
      </c>
      <c r="B4135" s="17" t="s">
        <v>70</v>
      </c>
      <c r="C4135" s="17" t="s">
        <v>71</v>
      </c>
      <c r="D4135" t="s">
        <v>12048</v>
      </c>
      <c r="F4135" t="s">
        <v>12050</v>
      </c>
      <c r="K4135" s="18">
        <f>6287889191993</f>
        <v>6287889191993</v>
      </c>
      <c r="N4135" s="17" t="s">
        <v>81</v>
      </c>
      <c r="U4135" s="17"/>
      <c r="V4135" s="18">
        <f>6287889191993</f>
        <v>6287889191993</v>
      </c>
      <c r="W4135" t="s">
        <v>12051</v>
      </c>
      <c r="Y4135" s="17" t="s">
        <v>90</v>
      </c>
    </row>
    <row r="4136" ht="15" customHeight="1" spans="1:22" x14ac:dyDescent="0.25">
      <c r="A4136" s="17" t="s">
        <v>12052</v>
      </c>
      <c r="B4136" s="17" t="s">
        <v>70</v>
      </c>
      <c r="C4136" s="17" t="s">
        <v>71</v>
      </c>
      <c r="D4136" t="s">
        <v>12053</v>
      </c>
      <c r="F4136" t="s">
        <v>12054</v>
      </c>
      <c r="K4136" s="18">
        <f>6281319552111</f>
        <v>6281319552111</v>
      </c>
      <c r="N4136" s="17" t="s">
        <v>81</v>
      </c>
      <c r="V4136" s="18">
        <f>6281319552111</f>
        <v>6281319552111</v>
      </c>
    </row>
    <row r="4137" ht="15" customHeight="1" spans="1:22" x14ac:dyDescent="0.25">
      <c r="A4137" s="17" t="s">
        <v>12055</v>
      </c>
      <c r="B4137" s="17" t="s">
        <v>70</v>
      </c>
      <c r="C4137" s="17" t="s">
        <v>71</v>
      </c>
      <c r="D4137" t="s">
        <v>12056</v>
      </c>
      <c r="F4137" t="s">
        <v>370</v>
      </c>
      <c r="K4137" s="18">
        <f>628129172555</f>
        <v>628129172555</v>
      </c>
      <c r="N4137" s="17" t="s">
        <v>77</v>
      </c>
      <c r="V4137" s="18">
        <f>628129172555</f>
        <v>628129172555</v>
      </c>
    </row>
    <row r="4138" ht="15" customHeight="1" spans="1:22" x14ac:dyDescent="0.25">
      <c r="A4138" s="17" t="s">
        <v>12057</v>
      </c>
      <c r="B4138" s="17" t="s">
        <v>70</v>
      </c>
      <c r="C4138" s="17" t="s">
        <v>71</v>
      </c>
      <c r="D4138" t="s">
        <v>12058</v>
      </c>
      <c r="F4138" t="s">
        <v>12058</v>
      </c>
      <c r="K4138" s="18">
        <f>62816907046</f>
        <v>62816907046</v>
      </c>
      <c r="N4138" s="17" t="s">
        <v>77</v>
      </c>
      <c r="V4138" s="18">
        <f>62816907046</f>
        <v>62816907046</v>
      </c>
    </row>
    <row r="4139" ht="15" customHeight="1" spans="1:27" x14ac:dyDescent="0.25">
      <c r="A4139" s="17" t="s">
        <v>12059</v>
      </c>
      <c r="B4139" s="17" t="s">
        <v>70</v>
      </c>
      <c r="C4139" s="17" t="s">
        <v>71</v>
      </c>
      <c r="D4139" t="s">
        <v>12060</v>
      </c>
      <c r="F4139" t="s">
        <v>12061</v>
      </c>
      <c r="K4139" s="18">
        <f>62818803223</f>
        <v>62818803223</v>
      </c>
      <c r="N4139" s="17" t="s">
        <v>77</v>
      </c>
      <c r="U4139" s="17"/>
      <c r="V4139" s="18">
        <f>62818803223</f>
        <v>62818803223</v>
      </c>
      <c r="W4139" t="s">
        <v>12062</v>
      </c>
      <c r="Y4139" s="17" t="s">
        <v>90</v>
      </c>
      <c r="AA4139" s="17">
        <v>12870</v>
      </c>
    </row>
    <row r="4140" ht="15" customHeight="1" spans="1:28" x14ac:dyDescent="0.25">
      <c r="A4140" s="17" t="s">
        <v>12063</v>
      </c>
      <c r="B4140" s="17" t="s">
        <v>70</v>
      </c>
      <c r="C4140" s="17" t="s">
        <v>71</v>
      </c>
      <c r="D4140" t="s">
        <v>12064</v>
      </c>
      <c r="F4140" t="s">
        <v>12065</v>
      </c>
      <c r="J4140" s="17" t="s">
        <v>12066</v>
      </c>
      <c r="K4140" s="18" t="s">
        <v>12067</v>
      </c>
      <c r="N4140" s="17" t="s">
        <v>77</v>
      </c>
      <c r="O4140" t="s">
        <v>145</v>
      </c>
      <c r="U4140" s="17"/>
      <c r="V4140" s="18" t="s">
        <v>12067</v>
      </c>
      <c r="W4140" t="s">
        <v>12068</v>
      </c>
      <c r="Y4140" t="s">
        <v>90</v>
      </c>
      <c r="AA4140" t="s">
        <v>118</v>
      </c>
      <c r="AB4140" t="s">
        <v>119</v>
      </c>
    </row>
    <row r="4141" ht="15" customHeight="1" spans="1:22" x14ac:dyDescent="0.25">
      <c r="A4141" s="17" t="s">
        <v>12069</v>
      </c>
      <c r="B4141" s="17" t="s">
        <v>70</v>
      </c>
      <c r="C4141" s="17" t="s">
        <v>71</v>
      </c>
      <c r="D4141" t="s">
        <v>12070</v>
      </c>
      <c r="F4141" t="s">
        <v>12071</v>
      </c>
      <c r="K4141" s="18">
        <f>966566866300</f>
        <v>966566866300</v>
      </c>
      <c r="N4141" s="17" t="s">
        <v>77</v>
      </c>
      <c r="V4141" s="18">
        <f>966566866300</f>
        <v>966566866300</v>
      </c>
    </row>
    <row r="4142" ht="15" customHeight="1" spans="1:28" x14ac:dyDescent="0.25">
      <c r="A4142" s="17" t="s">
        <v>12072</v>
      </c>
      <c r="B4142" s="17" t="s">
        <v>70</v>
      </c>
      <c r="C4142" s="17" t="s">
        <v>71</v>
      </c>
      <c r="D4142" t="s">
        <v>12073</v>
      </c>
      <c r="F4142" t="s">
        <v>12073</v>
      </c>
      <c r="J4142" t="s">
        <v>115</v>
      </c>
      <c r="K4142" s="18" t="s">
        <v>12074</v>
      </c>
      <c r="N4142" s="17" t="s">
        <v>74</v>
      </c>
      <c r="O4142" t="s">
        <v>117</v>
      </c>
      <c r="V4142" s="18" t="s">
        <v>12074</v>
      </c>
      <c r="Y4142" t="s">
        <v>90</v>
      </c>
      <c r="AA4142" t="s">
        <v>118</v>
      </c>
      <c r="AB4142" t="s">
        <v>119</v>
      </c>
    </row>
    <row r="4143" ht="15" customHeight="1" spans="1:25" x14ac:dyDescent="0.25">
      <c r="A4143" s="17" t="s">
        <v>12075</v>
      </c>
      <c r="B4143" s="17" t="s">
        <v>70</v>
      </c>
      <c r="C4143" s="17" t="s">
        <v>71</v>
      </c>
      <c r="D4143" t="s">
        <v>12076</v>
      </c>
      <c r="F4143" t="s">
        <v>12077</v>
      </c>
      <c r="K4143" s="18">
        <f>6281584442086</f>
        <v>6281584442086</v>
      </c>
      <c r="N4143" s="17" t="s">
        <v>77</v>
      </c>
      <c r="U4143" s="17"/>
      <c r="V4143" s="18">
        <f>6281584442086</f>
        <v>6281584442086</v>
      </c>
      <c r="W4143" t="s">
        <v>12078</v>
      </c>
      <c r="Y4143" s="17" t="s">
        <v>90</v>
      </c>
    </row>
    <row r="4144" ht="15" customHeight="1" spans="1:22" x14ac:dyDescent="0.25">
      <c r="A4144" s="17" t="s">
        <v>12079</v>
      </c>
      <c r="B4144" s="17" t="s">
        <v>70</v>
      </c>
      <c r="C4144" s="17" t="s">
        <v>71</v>
      </c>
      <c r="D4144" t="s">
        <v>12080</v>
      </c>
      <c r="F4144" t="s">
        <v>2412</v>
      </c>
      <c r="K4144" s="18">
        <f>628121039968</f>
        <v>628121039968</v>
      </c>
      <c r="N4144" s="17" t="s">
        <v>77</v>
      </c>
      <c r="V4144" s="18">
        <f>628121039968</f>
        <v>628121039968</v>
      </c>
    </row>
    <row r="4145" ht="15" customHeight="1" spans="1:23" x14ac:dyDescent="0.25">
      <c r="A4145" s="17" t="s">
        <v>12081</v>
      </c>
      <c r="B4145" s="17" t="s">
        <v>70</v>
      </c>
      <c r="C4145" s="17" t="s">
        <v>71</v>
      </c>
      <c r="D4145" t="s">
        <v>12082</v>
      </c>
      <c r="F4145" t="s">
        <v>12083</v>
      </c>
      <c r="K4145" s="18">
        <f>628115802226</f>
        <v>628115802226</v>
      </c>
      <c r="N4145" s="17" t="s">
        <v>81</v>
      </c>
      <c r="U4145" s="17"/>
      <c r="V4145" s="18">
        <f>628115802226</f>
        <v>628115802226</v>
      </c>
      <c r="W4145" t="s">
        <v>12084</v>
      </c>
    </row>
    <row r="4146" ht="15" customHeight="1" spans="1:28" x14ac:dyDescent="0.25">
      <c r="A4146" s="17" t="s">
        <v>12085</v>
      </c>
      <c r="B4146" s="17" t="s">
        <v>70</v>
      </c>
      <c r="C4146" s="17" t="s">
        <v>71</v>
      </c>
      <c r="D4146" t="s">
        <v>3415</v>
      </c>
      <c r="F4146" t="s">
        <v>12086</v>
      </c>
      <c r="J4146" t="s">
        <v>115</v>
      </c>
      <c r="K4146" s="18" t="s">
        <v>12087</v>
      </c>
      <c r="N4146" s="17" t="s">
        <v>81</v>
      </c>
      <c r="O4146" t="s">
        <v>117</v>
      </c>
      <c r="V4146" s="18" t="s">
        <v>12087</v>
      </c>
      <c r="Y4146" t="s">
        <v>190</v>
      </c>
      <c r="AA4146" t="s">
        <v>118</v>
      </c>
      <c r="AB4146" t="s">
        <v>119</v>
      </c>
    </row>
    <row r="4147" ht="15" customHeight="1" spans="1:23" x14ac:dyDescent="0.25">
      <c r="A4147" s="17" t="s">
        <v>12088</v>
      </c>
      <c r="B4147" s="17" t="s">
        <v>70</v>
      </c>
      <c r="C4147" s="17" t="s">
        <v>71</v>
      </c>
      <c r="D4147" t="s">
        <v>3415</v>
      </c>
      <c r="F4147" t="s">
        <v>12089</v>
      </c>
      <c r="K4147" s="18">
        <f>62217397951</f>
        <v>62217397951</v>
      </c>
      <c r="N4147" s="17" t="s">
        <v>77</v>
      </c>
      <c r="U4147" s="17"/>
      <c r="V4147" s="18">
        <f>62217397951</f>
        <v>62217397951</v>
      </c>
      <c r="W4147" t="s">
        <v>12090</v>
      </c>
    </row>
    <row r="4148" ht="15" customHeight="1" spans="1:27" x14ac:dyDescent="0.25">
      <c r="A4148" s="17" t="s">
        <v>12091</v>
      </c>
      <c r="B4148" s="17" t="s">
        <v>70</v>
      </c>
      <c r="C4148" s="17" t="s">
        <v>71</v>
      </c>
      <c r="D4148" t="s">
        <v>12092</v>
      </c>
      <c r="F4148" t="s">
        <v>285</v>
      </c>
      <c r="K4148" s="18">
        <f>62811112908</f>
        <v>62811112908</v>
      </c>
      <c r="N4148" s="17" t="s">
        <v>77</v>
      </c>
      <c r="U4148" s="17"/>
      <c r="V4148" s="18">
        <f>62811112908</f>
        <v>62811112908</v>
      </c>
      <c r="W4148" t="s">
        <v>12093</v>
      </c>
      <c r="Y4148" s="17" t="s">
        <v>96</v>
      </c>
      <c r="AA4148" s="17" t="s">
        <v>12094</v>
      </c>
    </row>
    <row r="4149" ht="15" customHeight="1" spans="1:22" x14ac:dyDescent="0.25">
      <c r="A4149" s="17" t="s">
        <v>12095</v>
      </c>
      <c r="B4149" s="17" t="s">
        <v>70</v>
      </c>
      <c r="C4149" s="17" t="s">
        <v>71</v>
      </c>
      <c r="D4149" t="s">
        <v>12092</v>
      </c>
      <c r="F4149" t="s">
        <v>285</v>
      </c>
      <c r="K4149" s="18">
        <f>62818112908</f>
        <v>62818112908</v>
      </c>
      <c r="N4149" s="17" t="s">
        <v>81</v>
      </c>
      <c r="V4149" s="18">
        <f>62818112908</f>
        <v>62818112908</v>
      </c>
    </row>
    <row r="4150" ht="15" customHeight="1" spans="1:27" x14ac:dyDescent="0.25">
      <c r="A4150" s="17" t="s">
        <v>12096</v>
      </c>
      <c r="B4150" s="17" t="s">
        <v>70</v>
      </c>
      <c r="C4150" s="17" t="s">
        <v>71</v>
      </c>
      <c r="D4150" t="s">
        <v>12092</v>
      </c>
      <c r="F4150" t="s">
        <v>2320</v>
      </c>
      <c r="J4150" s="17" t="s">
        <v>12097</v>
      </c>
      <c r="K4150" s="18">
        <f>6281327555666</f>
        <v>6281327555666</v>
      </c>
      <c r="N4150" s="17" t="s">
        <v>77</v>
      </c>
      <c r="U4150" s="17"/>
      <c r="V4150" s="18">
        <f>6281327555666</f>
        <v>6281327555666</v>
      </c>
      <c r="W4150" t="s">
        <v>12098</v>
      </c>
      <c r="Y4150" s="17" t="s">
        <v>90</v>
      </c>
      <c r="AA4150" s="17">
        <v>12450</v>
      </c>
    </row>
    <row r="4151" ht="15" customHeight="1" spans="1:22" x14ac:dyDescent="0.25">
      <c r="A4151" s="17" t="s">
        <v>12099</v>
      </c>
      <c r="B4151" s="17" t="s">
        <v>70</v>
      </c>
      <c r="C4151" s="17" t="s">
        <v>71</v>
      </c>
      <c r="D4151" t="s">
        <v>10826</v>
      </c>
      <c r="F4151" t="s">
        <v>10826</v>
      </c>
      <c r="K4151" s="18">
        <f>6282340844888</f>
        <v>6282340844888</v>
      </c>
      <c r="N4151" s="17" t="s">
        <v>77</v>
      </c>
      <c r="V4151" s="18">
        <f>6282340844888</f>
        <v>6282340844888</v>
      </c>
    </row>
    <row r="4152" ht="15" customHeight="1" spans="1:25" x14ac:dyDescent="0.25">
      <c r="A4152" s="17" t="s">
        <v>12100</v>
      </c>
      <c r="B4152" s="17" t="s">
        <v>70</v>
      </c>
      <c r="C4152" s="17" t="s">
        <v>71</v>
      </c>
      <c r="D4152" t="s">
        <v>10826</v>
      </c>
      <c r="F4152" t="s">
        <v>10826</v>
      </c>
      <c r="K4152" s="18">
        <f>628115211288</f>
        <v>628115211288</v>
      </c>
      <c r="N4152" s="17" t="s">
        <v>77</v>
      </c>
      <c r="U4152" s="17"/>
      <c r="V4152" s="18">
        <f>628115211288</f>
        <v>628115211288</v>
      </c>
      <c r="W4152" t="s">
        <v>12101</v>
      </c>
      <c r="Y4152" s="17" t="s">
        <v>4959</v>
      </c>
    </row>
    <row r="4153" ht="15" customHeight="1" spans="1:22" x14ac:dyDescent="0.25">
      <c r="A4153" s="17" t="s">
        <v>12102</v>
      </c>
      <c r="B4153" s="17" t="s">
        <v>70</v>
      </c>
      <c r="C4153" s="17" t="s">
        <v>71</v>
      </c>
      <c r="D4153" t="s">
        <v>10826</v>
      </c>
      <c r="F4153" t="s">
        <v>466</v>
      </c>
      <c r="K4153" s="18">
        <f>628567891778</f>
        <v>628567891778</v>
      </c>
      <c r="N4153" s="17" t="s">
        <v>81</v>
      </c>
      <c r="V4153" s="18">
        <f>628567891778</f>
        <v>628567891778</v>
      </c>
    </row>
    <row r="4154" ht="15" customHeight="1" spans="1:22" x14ac:dyDescent="0.25">
      <c r="A4154" s="17" t="s">
        <v>12103</v>
      </c>
      <c r="B4154" s="17" t="s">
        <v>70</v>
      </c>
      <c r="C4154" s="17" t="s">
        <v>71</v>
      </c>
      <c r="D4154" t="s">
        <v>10826</v>
      </c>
      <c r="F4154" t="s">
        <v>12104</v>
      </c>
      <c r="K4154" s="18">
        <f>6281218033854</f>
        <v>6281218033854</v>
      </c>
      <c r="N4154" s="17" t="s">
        <v>77</v>
      </c>
      <c r="V4154" s="18">
        <f>6281218033854</f>
        <v>6281218033854</v>
      </c>
    </row>
    <row r="4155" ht="15" customHeight="1" spans="1:23" x14ac:dyDescent="0.25">
      <c r="A4155" s="17" t="s">
        <v>12105</v>
      </c>
      <c r="B4155" s="17" t="s">
        <v>70</v>
      </c>
      <c r="C4155" s="17" t="s">
        <v>71</v>
      </c>
      <c r="D4155" t="s">
        <v>10826</v>
      </c>
      <c r="F4155" t="s">
        <v>3242</v>
      </c>
      <c r="K4155" s="18">
        <f>6281233333623</f>
        <v>6281233333623</v>
      </c>
      <c r="N4155" s="17" t="s">
        <v>77</v>
      </c>
      <c r="U4155" s="17"/>
      <c r="V4155" s="18">
        <f>6281233333623</f>
        <v>6281233333623</v>
      </c>
      <c r="W4155" t="s">
        <v>12106</v>
      </c>
    </row>
    <row r="4156" ht="15" customHeight="1" spans="1:28" x14ac:dyDescent="0.25">
      <c r="A4156" s="17" t="s">
        <v>12107</v>
      </c>
      <c r="B4156" s="17" t="s">
        <v>70</v>
      </c>
      <c r="C4156" s="17" t="s">
        <v>71</v>
      </c>
      <c r="D4156" t="s">
        <v>10826</v>
      </c>
      <c r="F4156" t="s">
        <v>12108</v>
      </c>
      <c r="J4156" t="s">
        <v>115</v>
      </c>
      <c r="K4156" s="18" t="s">
        <v>12109</v>
      </c>
      <c r="N4156" s="17" t="s">
        <v>77</v>
      </c>
      <c r="O4156" t="s">
        <v>489</v>
      </c>
      <c r="U4156" s="17"/>
      <c r="V4156" s="18" t="s">
        <v>12109</v>
      </c>
      <c r="W4156" t="s">
        <v>12110</v>
      </c>
      <c r="Y4156" s="17" t="s">
        <v>190</v>
      </c>
      <c r="AA4156" t="s">
        <v>118</v>
      </c>
      <c r="AB4156" t="s">
        <v>119</v>
      </c>
    </row>
    <row r="4157" ht="15" customHeight="1" spans="1:22" x14ac:dyDescent="0.25">
      <c r="A4157" s="17" t="s">
        <v>12111</v>
      </c>
      <c r="B4157" s="17" t="s">
        <v>70</v>
      </c>
      <c r="C4157" s="17" t="s">
        <v>71</v>
      </c>
      <c r="D4157" t="s">
        <v>10826</v>
      </c>
      <c r="F4157" t="s">
        <v>12112</v>
      </c>
      <c r="K4157" s="18">
        <f>62818677788</f>
        <v>62818677788</v>
      </c>
      <c r="N4157" s="17" t="s">
        <v>81</v>
      </c>
      <c r="V4157" s="18">
        <f>62818677788</f>
        <v>62818677788</v>
      </c>
    </row>
    <row r="4158" ht="15" customHeight="1" spans="1:28" x14ac:dyDescent="0.25">
      <c r="A4158" s="17" t="s">
        <v>12113</v>
      </c>
      <c r="B4158" s="17" t="s">
        <v>70</v>
      </c>
      <c r="C4158" s="17" t="s">
        <v>71</v>
      </c>
      <c r="D4158" t="s">
        <v>12114</v>
      </c>
      <c r="F4158" t="s">
        <v>12114</v>
      </c>
      <c r="J4158" t="s">
        <v>115</v>
      </c>
      <c r="K4158" s="18" t="s">
        <v>12115</v>
      </c>
      <c r="N4158" s="17" t="s">
        <v>77</v>
      </c>
      <c r="O4158" t="s">
        <v>117</v>
      </c>
      <c r="V4158" s="18" t="s">
        <v>12115</v>
      </c>
      <c r="Y4158" t="s">
        <v>90</v>
      </c>
      <c r="AA4158" t="s">
        <v>118</v>
      </c>
      <c r="AB4158" t="s">
        <v>119</v>
      </c>
    </row>
    <row r="4159" ht="15" customHeight="1" spans="1:22" x14ac:dyDescent="0.25">
      <c r="A4159" s="17" t="s">
        <v>12116</v>
      </c>
      <c r="B4159" s="17" t="s">
        <v>70</v>
      </c>
      <c r="C4159" s="17" t="s">
        <v>71</v>
      </c>
      <c r="D4159" t="s">
        <v>10826</v>
      </c>
      <c r="F4159" t="s">
        <v>12117</v>
      </c>
      <c r="K4159" s="18">
        <f>628129058882</f>
        <v>628129058882</v>
      </c>
      <c r="N4159" s="17" t="s">
        <v>77</v>
      </c>
      <c r="V4159" s="18">
        <f>628129058882</f>
        <v>628129058882</v>
      </c>
    </row>
    <row r="4160" ht="15" customHeight="1" spans="1:28" x14ac:dyDescent="0.25">
      <c r="A4160" s="17" t="s">
        <v>12118</v>
      </c>
      <c r="B4160" s="17" t="s">
        <v>70</v>
      </c>
      <c r="C4160" s="17" t="s">
        <v>71</v>
      </c>
      <c r="D4160" t="s">
        <v>10826</v>
      </c>
      <c r="F4160" t="s">
        <v>12119</v>
      </c>
      <c r="J4160" t="s">
        <v>115</v>
      </c>
      <c r="K4160" s="18" t="s">
        <v>12120</v>
      </c>
      <c r="N4160" s="17" t="s">
        <v>77</v>
      </c>
      <c r="O4160" t="s">
        <v>145</v>
      </c>
      <c r="U4160" s="17"/>
      <c r="V4160" s="18" t="s">
        <v>12120</v>
      </c>
      <c r="W4160" t="s">
        <v>181</v>
      </c>
      <c r="Y4160" t="s">
        <v>181</v>
      </c>
      <c r="AA4160" t="s">
        <v>1672</v>
      </c>
      <c r="AB4160" t="s">
        <v>119</v>
      </c>
    </row>
    <row r="4161" ht="15" customHeight="1" spans="1:22" x14ac:dyDescent="0.25">
      <c r="A4161" s="17" t="s">
        <v>12121</v>
      </c>
      <c r="B4161" s="17" t="s">
        <v>70</v>
      </c>
      <c r="C4161" s="17" t="s">
        <v>71</v>
      </c>
      <c r="D4161" t="s">
        <v>12122</v>
      </c>
      <c r="F4161" t="s">
        <v>12123</v>
      </c>
      <c r="K4161" s="18">
        <f>62818918527</f>
        <v>62818918527</v>
      </c>
      <c r="N4161" s="17" t="s">
        <v>81</v>
      </c>
      <c r="V4161" s="18">
        <f>62818918527</f>
        <v>62818918527</v>
      </c>
    </row>
    <row r="4162" ht="15" customHeight="1" spans="1:25" x14ac:dyDescent="0.25">
      <c r="A4162" s="17" t="s">
        <v>12124</v>
      </c>
      <c r="B4162" s="17" t="s">
        <v>70</v>
      </c>
      <c r="C4162" s="17" t="s">
        <v>71</v>
      </c>
      <c r="D4162" t="s">
        <v>12122</v>
      </c>
      <c r="F4162" t="s">
        <v>12125</v>
      </c>
      <c r="K4162" s="18">
        <f>628119936068</f>
        <v>628119936068</v>
      </c>
      <c r="N4162" s="17" t="s">
        <v>81</v>
      </c>
      <c r="U4162" s="17"/>
      <c r="V4162" s="18">
        <f>628119936068</f>
        <v>628119936068</v>
      </c>
      <c r="W4162" t="s">
        <v>12126</v>
      </c>
      <c r="Y4162" s="17" t="s">
        <v>90</v>
      </c>
    </row>
    <row r="4163" ht="15" customHeight="1" spans="1:22" x14ac:dyDescent="0.25">
      <c r="A4163" s="17" t="s">
        <v>12127</v>
      </c>
      <c r="B4163" s="17" t="s">
        <v>70</v>
      </c>
      <c r="C4163" s="17" t="s">
        <v>71</v>
      </c>
      <c r="D4163" t="s">
        <v>12128</v>
      </c>
      <c r="F4163" t="s">
        <v>12128</v>
      </c>
      <c r="K4163" s="18">
        <f>628111991191</f>
        <v>628111991191</v>
      </c>
      <c r="N4163" s="17" t="s">
        <v>81</v>
      </c>
      <c r="V4163" s="18">
        <f>628111991191</f>
        <v>628111991191</v>
      </c>
    </row>
    <row r="4164" ht="15" customHeight="1" spans="1:25" x14ac:dyDescent="0.25">
      <c r="A4164" s="17" t="s">
        <v>12129</v>
      </c>
      <c r="B4164" s="17" t="s">
        <v>70</v>
      </c>
      <c r="C4164" s="17" t="s">
        <v>71</v>
      </c>
      <c r="D4164" t="s">
        <v>12128</v>
      </c>
      <c r="F4164" t="s">
        <v>12130</v>
      </c>
      <c r="J4164" s="17" t="s">
        <v>12131</v>
      </c>
      <c r="K4164" s="18">
        <f>6281239446667</f>
        <v>6281239446667</v>
      </c>
      <c r="N4164" s="17" t="s">
        <v>77</v>
      </c>
      <c r="U4164" s="17"/>
      <c r="V4164" s="18">
        <f>6281239446667</f>
        <v>6281239446667</v>
      </c>
      <c r="W4164" t="s">
        <v>12132</v>
      </c>
      <c r="Y4164" s="17" t="s">
        <v>96</v>
      </c>
    </row>
    <row r="4165" ht="15" customHeight="1" spans="1:22" x14ac:dyDescent="0.25">
      <c r="A4165" s="17" t="s">
        <v>12133</v>
      </c>
      <c r="B4165" s="17" t="s">
        <v>70</v>
      </c>
      <c r="C4165" s="17" t="s">
        <v>71</v>
      </c>
      <c r="D4165" t="s">
        <v>12134</v>
      </c>
      <c r="F4165" t="s">
        <v>12134</v>
      </c>
      <c r="K4165" s="18">
        <f>6285866666666</f>
        <v>6285866666666</v>
      </c>
      <c r="N4165" s="17" t="s">
        <v>81</v>
      </c>
      <c r="V4165" s="18">
        <f>6285866666666</f>
        <v>6285866666666</v>
      </c>
    </row>
    <row r="4166" ht="15" customHeight="1" spans="1:22" x14ac:dyDescent="0.25">
      <c r="A4166" s="17" t="s">
        <v>12135</v>
      </c>
      <c r="B4166" s="17" t="s">
        <v>70</v>
      </c>
      <c r="C4166" s="17" t="s">
        <v>71</v>
      </c>
      <c r="D4166" t="s">
        <v>12134</v>
      </c>
      <c r="F4166" t="s">
        <v>12134</v>
      </c>
      <c r="K4166" s="18">
        <f>62816877515</f>
        <v>62816877515</v>
      </c>
      <c r="N4166" s="17" t="s">
        <v>81</v>
      </c>
      <c r="V4166" s="18">
        <f>62816877515</f>
        <v>62816877515</v>
      </c>
    </row>
    <row r="4167" ht="15" customHeight="1" spans="1:22" x14ac:dyDescent="0.25">
      <c r="A4167" s="17" t="s">
        <v>12136</v>
      </c>
      <c r="B4167" s="17" t="s">
        <v>70</v>
      </c>
      <c r="C4167" s="17" t="s">
        <v>71</v>
      </c>
      <c r="D4167" t="s">
        <v>12137</v>
      </c>
      <c r="F4167" t="s">
        <v>12137</v>
      </c>
      <c r="K4167" s="18">
        <f>628119770124</f>
        <v>628119770124</v>
      </c>
      <c r="N4167" s="17" t="s">
        <v>81</v>
      </c>
      <c r="V4167" s="18">
        <f>628119770124</f>
        <v>628119770124</v>
      </c>
    </row>
    <row r="4168" ht="15" customHeight="1" spans="1:25" x14ac:dyDescent="0.25">
      <c r="A4168" s="17" t="s">
        <v>12138</v>
      </c>
      <c r="B4168" s="17" t="s">
        <v>70</v>
      </c>
      <c r="C4168" s="17" t="s">
        <v>71</v>
      </c>
      <c r="D4168" t="s">
        <v>12137</v>
      </c>
      <c r="F4168" t="s">
        <v>12139</v>
      </c>
      <c r="K4168" s="18">
        <f>447309844170</f>
        <v>447309844170</v>
      </c>
      <c r="N4168" s="17" t="s">
        <v>81</v>
      </c>
      <c r="U4168" s="17"/>
      <c r="V4168" s="18">
        <f>447309844170</f>
        <v>447309844170</v>
      </c>
      <c r="W4168" t="s">
        <v>12140</v>
      </c>
      <c r="Y4168" s="17" t="s">
        <v>12141</v>
      </c>
    </row>
    <row r="4169" ht="15" customHeight="1" spans="1:22" x14ac:dyDescent="0.25">
      <c r="A4169" s="17" t="s">
        <v>12142</v>
      </c>
      <c r="B4169" s="17" t="s">
        <v>70</v>
      </c>
      <c r="C4169" s="17" t="s">
        <v>71</v>
      </c>
      <c r="D4169" t="s">
        <v>12137</v>
      </c>
      <c r="F4169" t="s">
        <v>2384</v>
      </c>
      <c r="J4169" s="17" t="s">
        <v>12143</v>
      </c>
      <c r="K4169" s="18">
        <f>628151811135</f>
        <v>628151811135</v>
      </c>
      <c r="N4169" s="17" t="s">
        <v>81</v>
      </c>
      <c r="V4169" s="18">
        <f>628151811135</f>
        <v>628151811135</v>
      </c>
    </row>
    <row r="4170" ht="15" customHeight="1" spans="1:22" x14ac:dyDescent="0.25">
      <c r="A4170" s="17" t="s">
        <v>12144</v>
      </c>
      <c r="B4170" s="17" t="s">
        <v>70</v>
      </c>
      <c r="C4170" s="17" t="s">
        <v>71</v>
      </c>
      <c r="D4170" t="s">
        <v>12137</v>
      </c>
      <c r="F4170" t="s">
        <v>672</v>
      </c>
      <c r="K4170" s="18">
        <f>6281325893122</f>
        <v>6281325893122</v>
      </c>
      <c r="N4170" s="17" t="s">
        <v>77</v>
      </c>
      <c r="V4170" s="18">
        <f>6281325893122</f>
        <v>6281325893122</v>
      </c>
    </row>
    <row r="4171" ht="15" customHeight="1" spans="1:22" x14ac:dyDescent="0.25">
      <c r="A4171" s="17" t="s">
        <v>12145</v>
      </c>
      <c r="B4171" s="17" t="s">
        <v>70</v>
      </c>
      <c r="C4171" s="17" t="s">
        <v>71</v>
      </c>
      <c r="D4171" t="s">
        <v>12146</v>
      </c>
      <c r="F4171" t="s">
        <v>12147</v>
      </c>
      <c r="K4171" s="18">
        <f>62817899328</f>
        <v>62817899328</v>
      </c>
      <c r="N4171" s="17" t="s">
        <v>77</v>
      </c>
      <c r="V4171" s="18">
        <f>62817899328</f>
        <v>62817899328</v>
      </c>
    </row>
    <row r="4172" ht="15" customHeight="1" spans="1:22" x14ac:dyDescent="0.25">
      <c r="A4172" s="17" t="s">
        <v>12148</v>
      </c>
      <c r="B4172" s="17" t="s">
        <v>70</v>
      </c>
      <c r="C4172" s="17" t="s">
        <v>71</v>
      </c>
      <c r="D4172" t="s">
        <v>12149</v>
      </c>
      <c r="F4172" t="s">
        <v>868</v>
      </c>
      <c r="K4172" s="18">
        <f>6281932074078</f>
        <v>6281932074078</v>
      </c>
      <c r="N4172" s="17" t="s">
        <v>77</v>
      </c>
      <c r="V4172" s="18">
        <f>6281932074078</f>
        <v>6281932074078</v>
      </c>
    </row>
    <row r="4173" ht="15" customHeight="1" spans="1:22" x14ac:dyDescent="0.25">
      <c r="A4173" s="17" t="s">
        <v>12150</v>
      </c>
      <c r="B4173" s="17" t="s">
        <v>70</v>
      </c>
      <c r="C4173" s="17" t="s">
        <v>71</v>
      </c>
      <c r="D4173" t="s">
        <v>12151</v>
      </c>
      <c r="F4173" t="s">
        <v>12151</v>
      </c>
      <c r="K4173" s="18">
        <f>62811171174</f>
        <v>62811171174</v>
      </c>
      <c r="N4173" s="17" t="s">
        <v>77</v>
      </c>
      <c r="V4173" s="18">
        <f>62811171174</f>
        <v>62811171174</v>
      </c>
    </row>
    <row r="4174" ht="15" customHeight="1" spans="1:22" x14ac:dyDescent="0.25">
      <c r="A4174" s="17" t="s">
        <v>12152</v>
      </c>
      <c r="B4174" s="17" t="s">
        <v>70</v>
      </c>
      <c r="C4174" s="17" t="s">
        <v>71</v>
      </c>
      <c r="D4174" t="s">
        <v>12153</v>
      </c>
      <c r="F4174" t="s">
        <v>12153</v>
      </c>
      <c r="K4174" s="18">
        <f>6281231163126</f>
        <v>6281231163126</v>
      </c>
      <c r="N4174" s="17" t="s">
        <v>81</v>
      </c>
      <c r="V4174" s="18">
        <f>6281231163126</f>
        <v>6281231163126</v>
      </c>
    </row>
    <row r="4175" ht="15" customHeight="1" spans="1:22" x14ac:dyDescent="0.25">
      <c r="A4175" s="17" t="s">
        <v>12154</v>
      </c>
      <c r="B4175" s="17" t="s">
        <v>70</v>
      </c>
      <c r="C4175" s="17" t="s">
        <v>71</v>
      </c>
      <c r="D4175" t="s">
        <v>12153</v>
      </c>
      <c r="F4175" t="s">
        <v>12153</v>
      </c>
      <c r="K4175" s="18">
        <f>628161302858</f>
        <v>628161302858</v>
      </c>
      <c r="N4175" s="17" t="s">
        <v>81</v>
      </c>
      <c r="V4175" s="18">
        <f>628161302858</f>
        <v>628161302858</v>
      </c>
    </row>
    <row r="4176" ht="15" customHeight="1" spans="1:28" x14ac:dyDescent="0.25">
      <c r="A4176" s="17" t="s">
        <v>12155</v>
      </c>
      <c r="B4176" s="17" t="s">
        <v>70</v>
      </c>
      <c r="C4176" s="17" t="s">
        <v>71</v>
      </c>
      <c r="D4176" t="s">
        <v>12153</v>
      </c>
      <c r="F4176" t="s">
        <v>6415</v>
      </c>
      <c r="J4176" t="s">
        <v>12156</v>
      </c>
      <c r="K4176" s="18" t="s">
        <v>12157</v>
      </c>
      <c r="N4176" s="17" t="s">
        <v>77</v>
      </c>
      <c r="O4176" t="s">
        <v>117</v>
      </c>
      <c r="V4176" s="18" t="s">
        <v>12157</v>
      </c>
      <c r="Y4176" t="s">
        <v>90</v>
      </c>
      <c r="AA4176" t="s">
        <v>118</v>
      </c>
      <c r="AB4176" t="s">
        <v>119</v>
      </c>
    </row>
    <row r="4177" ht="15" customHeight="1" spans="1:28" x14ac:dyDescent="0.25">
      <c r="A4177" s="17" t="s">
        <v>12158</v>
      </c>
      <c r="B4177" s="17" t="s">
        <v>70</v>
      </c>
      <c r="C4177" s="17" t="s">
        <v>71</v>
      </c>
      <c r="D4177" t="s">
        <v>12153</v>
      </c>
      <c r="F4177" t="s">
        <v>7315</v>
      </c>
      <c r="J4177" t="s">
        <v>115</v>
      </c>
      <c r="K4177" s="18" t="s">
        <v>12159</v>
      </c>
      <c r="N4177" s="17" t="s">
        <v>74</v>
      </c>
      <c r="O4177" t="s">
        <v>117</v>
      </c>
      <c r="U4177" s="17"/>
      <c r="V4177" s="18" t="s">
        <v>12159</v>
      </c>
      <c r="W4177" t="s">
        <v>12160</v>
      </c>
      <c r="Y4177" s="17" t="s">
        <v>90</v>
      </c>
      <c r="AA4177" t="s">
        <v>118</v>
      </c>
      <c r="AB4177" t="s">
        <v>119</v>
      </c>
    </row>
    <row r="4178" ht="15" customHeight="1" spans="1:22" x14ac:dyDescent="0.25">
      <c r="A4178" s="17" t="s">
        <v>12161</v>
      </c>
      <c r="B4178" s="17" t="s">
        <v>70</v>
      </c>
      <c r="C4178" s="17" t="s">
        <v>71</v>
      </c>
      <c r="D4178" t="s">
        <v>12162</v>
      </c>
      <c r="F4178" t="s">
        <v>12162</v>
      </c>
      <c r="K4178" s="18">
        <f>62818907046</f>
        <v>62818907046</v>
      </c>
      <c r="N4178" s="17" t="s">
        <v>77</v>
      </c>
      <c r="V4178" s="18">
        <f>62818907046</f>
        <v>62818907046</v>
      </c>
    </row>
    <row r="4179" ht="15" customHeight="1" spans="1:23" x14ac:dyDescent="0.25">
      <c r="A4179" s="17" t="s">
        <v>12163</v>
      </c>
      <c r="B4179" s="17" t="s">
        <v>70</v>
      </c>
      <c r="C4179" s="17" t="s">
        <v>71</v>
      </c>
      <c r="D4179" t="s">
        <v>12162</v>
      </c>
      <c r="F4179" t="s">
        <v>12164</v>
      </c>
      <c r="J4179" s="17" t="s">
        <v>12165</v>
      </c>
      <c r="K4179" s="18">
        <f>6281285947777</f>
        <v>6281285947777</v>
      </c>
      <c r="N4179" s="17" t="s">
        <v>77</v>
      </c>
      <c r="U4179" s="17"/>
      <c r="V4179" s="18">
        <f>6281285947777</f>
        <v>6281285947777</v>
      </c>
      <c r="W4179" t="s">
        <v>12166</v>
      </c>
    </row>
    <row r="4180" ht="15" customHeight="1" spans="1:28" x14ac:dyDescent="0.25">
      <c r="A4180" s="17" t="s">
        <v>12167</v>
      </c>
      <c r="B4180" s="17" t="s">
        <v>70</v>
      </c>
      <c r="C4180" s="17" t="s">
        <v>71</v>
      </c>
      <c r="D4180" t="s">
        <v>12168</v>
      </c>
      <c r="F4180" t="s">
        <v>12168</v>
      </c>
      <c r="J4180" t="s">
        <v>115</v>
      </c>
      <c r="K4180" s="18" t="s">
        <v>12169</v>
      </c>
      <c r="N4180" s="17" t="s">
        <v>81</v>
      </c>
      <c r="O4180" t="s">
        <v>117</v>
      </c>
      <c r="V4180" s="18" t="s">
        <v>12169</v>
      </c>
      <c r="Y4180" t="s">
        <v>190</v>
      </c>
      <c r="AA4180" t="s">
        <v>118</v>
      </c>
      <c r="AB4180" t="s">
        <v>119</v>
      </c>
    </row>
    <row r="4181" ht="15" customHeight="1" spans="1:25" x14ac:dyDescent="0.25">
      <c r="A4181" s="17" t="s">
        <v>12170</v>
      </c>
      <c r="B4181" s="17" t="s">
        <v>70</v>
      </c>
      <c r="C4181" s="17" t="s">
        <v>71</v>
      </c>
      <c r="D4181" t="s">
        <v>12168</v>
      </c>
      <c r="F4181" t="s">
        <v>12171</v>
      </c>
      <c r="J4181" s="17" t="s">
        <v>12172</v>
      </c>
      <c r="K4181" s="18">
        <f>62811956385</f>
        <v>62811956385</v>
      </c>
      <c r="N4181" s="17" t="s">
        <v>81</v>
      </c>
      <c r="U4181" s="17"/>
      <c r="V4181" s="18">
        <f>62811956385</f>
        <v>62811956385</v>
      </c>
      <c r="W4181" t="s">
        <v>12173</v>
      </c>
      <c r="Y4181" s="17" t="s">
        <v>90</v>
      </c>
    </row>
    <row r="4182" ht="15" customHeight="1" spans="1:28" x14ac:dyDescent="0.25">
      <c r="A4182" s="17" t="s">
        <v>12174</v>
      </c>
      <c r="B4182" s="17" t="s">
        <v>70</v>
      </c>
      <c r="C4182" s="17" t="s">
        <v>71</v>
      </c>
      <c r="D4182" t="s">
        <v>12168</v>
      </c>
      <c r="F4182" t="s">
        <v>12175</v>
      </c>
      <c r="J4182" t="s">
        <v>115</v>
      </c>
      <c r="K4182" s="18" t="s">
        <v>12176</v>
      </c>
      <c r="N4182" s="17" t="s">
        <v>77</v>
      </c>
      <c r="O4182" t="s">
        <v>117</v>
      </c>
      <c r="U4182" s="17"/>
      <c r="V4182" s="18" t="s">
        <v>12176</v>
      </c>
      <c r="W4182" t="s">
        <v>12177</v>
      </c>
      <c r="Y4182" t="s">
        <v>90</v>
      </c>
      <c r="AA4182" t="s">
        <v>118</v>
      </c>
      <c r="AB4182" t="s">
        <v>119</v>
      </c>
    </row>
    <row r="4183" ht="15" customHeight="1" spans="1:28" x14ac:dyDescent="0.25">
      <c r="A4183" s="17" t="s">
        <v>12178</v>
      </c>
      <c r="B4183" s="17" t="s">
        <v>70</v>
      </c>
      <c r="C4183" s="17" t="s">
        <v>71</v>
      </c>
      <c r="D4183" t="s">
        <v>12168</v>
      </c>
      <c r="F4183" t="s">
        <v>2517</v>
      </c>
      <c r="J4183" t="s">
        <v>115</v>
      </c>
      <c r="K4183" s="18" t="s">
        <v>12179</v>
      </c>
      <c r="N4183" s="17" t="s">
        <v>77</v>
      </c>
      <c r="O4183" t="s">
        <v>117</v>
      </c>
      <c r="V4183" s="18" t="s">
        <v>12179</v>
      </c>
      <c r="Y4183" t="s">
        <v>90</v>
      </c>
      <c r="AA4183" t="s">
        <v>118</v>
      </c>
      <c r="AB4183" t="s">
        <v>119</v>
      </c>
    </row>
    <row r="4184" ht="15" customHeight="1" spans="1:22" x14ac:dyDescent="0.25">
      <c r="A4184" s="17" t="s">
        <v>12180</v>
      </c>
      <c r="B4184" s="17" t="s">
        <v>70</v>
      </c>
      <c r="C4184" s="17" t="s">
        <v>71</v>
      </c>
      <c r="D4184" t="s">
        <v>12168</v>
      </c>
      <c r="F4184" t="s">
        <v>12181</v>
      </c>
      <c r="K4184" s="18">
        <f>62816805414</f>
        <v>62816805414</v>
      </c>
      <c r="N4184" s="17" t="s">
        <v>77</v>
      </c>
      <c r="V4184" s="18">
        <f>62816805414</f>
        <v>62816805414</v>
      </c>
    </row>
    <row r="4185" ht="15" customHeight="1" spans="1:22" x14ac:dyDescent="0.25">
      <c r="A4185" s="17" t="s">
        <v>12182</v>
      </c>
      <c r="B4185" s="17" t="s">
        <v>70</v>
      </c>
      <c r="C4185" s="17" t="s">
        <v>71</v>
      </c>
      <c r="D4185" t="s">
        <v>12168</v>
      </c>
      <c r="F4185" t="s">
        <v>12183</v>
      </c>
      <c r="K4185" s="18">
        <f>62811909285</f>
        <v>62811909285</v>
      </c>
      <c r="N4185" s="17" t="s">
        <v>77</v>
      </c>
      <c r="V4185" s="18">
        <f>62811909285</f>
        <v>62811909285</v>
      </c>
    </row>
    <row r="4186" ht="15" customHeight="1" spans="1:22" x14ac:dyDescent="0.25">
      <c r="A4186" s="17" t="s">
        <v>12184</v>
      </c>
      <c r="B4186" s="17" t="s">
        <v>70</v>
      </c>
      <c r="C4186" s="17" t="s">
        <v>71</v>
      </c>
      <c r="D4186" t="s">
        <v>12185</v>
      </c>
      <c r="F4186" t="s">
        <v>12186</v>
      </c>
      <c r="K4186" s="18">
        <f>62817792816</f>
        <v>62817792816</v>
      </c>
      <c r="N4186" s="17" t="s">
        <v>74</v>
      </c>
      <c r="V4186" s="18">
        <f>62817792816</f>
        <v>62817792816</v>
      </c>
    </row>
    <row r="4187" ht="15" customHeight="1" spans="1:22" x14ac:dyDescent="0.25">
      <c r="A4187" s="17" t="s">
        <v>12187</v>
      </c>
      <c r="B4187" s="17" t="s">
        <v>70</v>
      </c>
      <c r="C4187" s="17" t="s">
        <v>71</v>
      </c>
      <c r="D4187" t="s">
        <v>12188</v>
      </c>
      <c r="F4187" t="s">
        <v>12189</v>
      </c>
      <c r="K4187" s="18">
        <v>225233353</v>
      </c>
      <c r="N4187" s="17" t="s">
        <v>77</v>
      </c>
      <c r="V4187" s="18">
        <v>225233353</v>
      </c>
    </row>
    <row r="4188" ht="15" customHeight="1" spans="1:22" x14ac:dyDescent="0.25">
      <c r="A4188" s="17" t="s">
        <v>12190</v>
      </c>
      <c r="B4188" s="17" t="s">
        <v>70</v>
      </c>
      <c r="C4188" s="17" t="s">
        <v>71</v>
      </c>
      <c r="D4188" t="s">
        <v>12191</v>
      </c>
      <c r="F4188" t="s">
        <v>10891</v>
      </c>
      <c r="K4188" s="18">
        <f>6285363821796</f>
        <v>6285363821796</v>
      </c>
      <c r="N4188" s="17" t="s">
        <v>77</v>
      </c>
      <c r="V4188" s="18">
        <f>6285363821796</f>
        <v>6285363821796</v>
      </c>
    </row>
    <row r="4189" ht="15" customHeight="1" spans="1:22" x14ac:dyDescent="0.25">
      <c r="A4189" s="17" t="s">
        <v>12192</v>
      </c>
      <c r="B4189" s="17" t="s">
        <v>70</v>
      </c>
      <c r="C4189" s="17" t="s">
        <v>71</v>
      </c>
      <c r="D4189" t="s">
        <v>12193</v>
      </c>
      <c r="F4189" t="s">
        <v>3114</v>
      </c>
      <c r="K4189" s="18">
        <f>628121056779</f>
        <v>628121056779</v>
      </c>
      <c r="N4189" s="17" t="s">
        <v>77</v>
      </c>
      <c r="V4189" s="18">
        <f>628121056779</f>
        <v>628121056779</v>
      </c>
    </row>
    <row r="4190" ht="15" customHeight="1" spans="1:23" x14ac:dyDescent="0.25">
      <c r="A4190" s="17" t="s">
        <v>12194</v>
      </c>
      <c r="B4190" s="17" t="s">
        <v>70</v>
      </c>
      <c r="C4190" s="17" t="s">
        <v>71</v>
      </c>
      <c r="D4190" t="s">
        <v>4830</v>
      </c>
      <c r="F4190" t="s">
        <v>4830</v>
      </c>
      <c r="K4190" s="18">
        <f>6282123455048</f>
        <v>6282123455048</v>
      </c>
      <c r="N4190" s="17" t="s">
        <v>81</v>
      </c>
      <c r="U4190" s="17"/>
      <c r="V4190" s="18">
        <f>6282123455048</f>
        <v>6282123455048</v>
      </c>
      <c r="W4190" t="s">
        <v>12195</v>
      </c>
    </row>
    <row r="4191" ht="15" customHeight="1" spans="1:28" x14ac:dyDescent="0.25">
      <c r="A4191" s="17" t="s">
        <v>12196</v>
      </c>
      <c r="B4191" s="17" t="s">
        <v>70</v>
      </c>
      <c r="C4191" s="17" t="s">
        <v>71</v>
      </c>
      <c r="D4191" t="s">
        <v>4830</v>
      </c>
      <c r="F4191" t="s">
        <v>12197</v>
      </c>
      <c r="J4191" t="s">
        <v>115</v>
      </c>
      <c r="K4191" s="18" t="s">
        <v>12198</v>
      </c>
      <c r="N4191" s="17" t="s">
        <v>81</v>
      </c>
      <c r="O4191" t="s">
        <v>199</v>
      </c>
      <c r="U4191" s="17"/>
      <c r="V4191" s="18" t="s">
        <v>12198</v>
      </c>
      <c r="W4191" t="s">
        <v>12199</v>
      </c>
      <c r="Y4191" s="17" t="s">
        <v>515</v>
      </c>
      <c r="AA4191" t="s">
        <v>1614</v>
      </c>
      <c r="AB4191" t="s">
        <v>119</v>
      </c>
    </row>
    <row r="4192" ht="15" customHeight="1" spans="1:22" x14ac:dyDescent="0.25">
      <c r="A4192" s="17" t="s">
        <v>12200</v>
      </c>
      <c r="B4192" s="17" t="s">
        <v>70</v>
      </c>
      <c r="C4192" s="17" t="s">
        <v>71</v>
      </c>
      <c r="D4192" t="s">
        <v>4830</v>
      </c>
      <c r="F4192" t="s">
        <v>12201</v>
      </c>
      <c r="K4192" s="18">
        <f>6281380288305</f>
        <v>6281380288305</v>
      </c>
      <c r="N4192" s="17" t="s">
        <v>77</v>
      </c>
      <c r="V4192" s="18">
        <f>6281380288305</f>
        <v>6281380288305</v>
      </c>
    </row>
    <row r="4193" ht="15" customHeight="1" spans="1:22" x14ac:dyDescent="0.25">
      <c r="A4193" s="17" t="s">
        <v>12202</v>
      </c>
      <c r="B4193" s="17" t="s">
        <v>70</v>
      </c>
      <c r="C4193" s="17" t="s">
        <v>71</v>
      </c>
      <c r="D4193" t="s">
        <v>4830</v>
      </c>
      <c r="F4193" t="s">
        <v>4858</v>
      </c>
      <c r="K4193" s="18">
        <f>62817775575</f>
        <v>62817775575</v>
      </c>
      <c r="N4193" s="17" t="s">
        <v>77</v>
      </c>
      <c r="V4193" s="18">
        <f>62817775575</f>
        <v>62817775575</v>
      </c>
    </row>
    <row r="4194" ht="15" customHeight="1" spans="1:28" x14ac:dyDescent="0.25">
      <c r="A4194" s="17" t="s">
        <v>12203</v>
      </c>
      <c r="B4194" s="17" t="s">
        <v>70</v>
      </c>
      <c r="C4194" s="17" t="s">
        <v>71</v>
      </c>
      <c r="D4194" t="s">
        <v>2468</v>
      </c>
      <c r="F4194" t="s">
        <v>12204</v>
      </c>
      <c r="J4194" t="s">
        <v>115</v>
      </c>
      <c r="K4194" s="18" t="s">
        <v>12205</v>
      </c>
      <c r="N4194" s="17" t="s">
        <v>81</v>
      </c>
      <c r="O4194" t="s">
        <v>145</v>
      </c>
      <c r="U4194" s="17"/>
      <c r="V4194" s="18" t="s">
        <v>12205</v>
      </c>
      <c r="W4194" t="s">
        <v>12206</v>
      </c>
      <c r="Y4194" t="s">
        <v>1084</v>
      </c>
      <c r="AA4194" t="s">
        <v>3146</v>
      </c>
      <c r="AB4194" t="s">
        <v>119</v>
      </c>
    </row>
    <row r="4195" ht="15" customHeight="1" spans="1:25" x14ac:dyDescent="0.25">
      <c r="A4195" s="17" t="s">
        <v>12207</v>
      </c>
      <c r="B4195" s="17" t="s">
        <v>70</v>
      </c>
      <c r="C4195" s="17" t="s">
        <v>71</v>
      </c>
      <c r="D4195" t="s">
        <v>2468</v>
      </c>
      <c r="F4195" t="s">
        <v>12208</v>
      </c>
      <c r="K4195" s="18">
        <f>628118110099</f>
        <v>628118110099</v>
      </c>
      <c r="N4195" s="17" t="s">
        <v>74</v>
      </c>
      <c r="U4195" s="17"/>
      <c r="V4195" s="18">
        <f>628118110099</f>
        <v>628118110099</v>
      </c>
      <c r="W4195" t="s">
        <v>12209</v>
      </c>
      <c r="Y4195" s="17" t="s">
        <v>6246</v>
      </c>
    </row>
    <row r="4196" ht="15" customHeight="1" spans="1:23" x14ac:dyDescent="0.25">
      <c r="A4196" s="17" t="s">
        <v>12210</v>
      </c>
      <c r="B4196" s="17" t="s">
        <v>70</v>
      </c>
      <c r="C4196" s="17" t="s">
        <v>71</v>
      </c>
      <c r="D4196" t="s">
        <v>2468</v>
      </c>
      <c r="F4196" t="s">
        <v>12211</v>
      </c>
      <c r="K4196" s="18">
        <f>62218355353</f>
        <v>62218355353</v>
      </c>
      <c r="N4196" s="17" t="s">
        <v>77</v>
      </c>
      <c r="U4196" s="17"/>
      <c r="V4196" s="18">
        <f>62218355353</f>
        <v>62218355353</v>
      </c>
      <c r="W4196" t="s">
        <v>12212</v>
      </c>
    </row>
    <row r="4197" ht="15" customHeight="1" spans="1:23" x14ac:dyDescent="0.25">
      <c r="A4197" s="17" t="s">
        <v>12213</v>
      </c>
      <c r="B4197" s="17" t="s">
        <v>70</v>
      </c>
      <c r="C4197" s="17" t="s">
        <v>71</v>
      </c>
      <c r="D4197" t="s">
        <v>2468</v>
      </c>
      <c r="F4197" t="s">
        <v>1499</v>
      </c>
      <c r="K4197" s="18">
        <f>6287877684496</f>
        <v>6287877684496</v>
      </c>
      <c r="N4197" s="17" t="s">
        <v>81</v>
      </c>
      <c r="U4197" s="17"/>
      <c r="V4197" s="18">
        <f>6287877684496</f>
        <v>6287877684496</v>
      </c>
      <c r="W4197" t="s">
        <v>12214</v>
      </c>
    </row>
    <row r="4198" ht="15" customHeight="1" spans="1:22" x14ac:dyDescent="0.25">
      <c r="A4198" s="17" t="s">
        <v>12215</v>
      </c>
      <c r="B4198" s="17" t="s">
        <v>70</v>
      </c>
      <c r="C4198" s="17" t="s">
        <v>71</v>
      </c>
      <c r="D4198" t="s">
        <v>2468</v>
      </c>
      <c r="F4198" t="s">
        <v>12216</v>
      </c>
      <c r="K4198" s="18">
        <f>628121906253</f>
        <v>628121906253</v>
      </c>
      <c r="N4198" s="17" t="s">
        <v>77</v>
      </c>
      <c r="V4198" s="18">
        <f>628121906253</f>
        <v>628121906253</v>
      </c>
    </row>
    <row r="4199" ht="15" customHeight="1" spans="1:22" x14ac:dyDescent="0.25">
      <c r="A4199" s="17" t="s">
        <v>12217</v>
      </c>
      <c r="B4199" s="17" t="s">
        <v>70</v>
      </c>
      <c r="C4199" s="17" t="s">
        <v>71</v>
      </c>
      <c r="D4199" t="s">
        <v>2468</v>
      </c>
      <c r="F4199" t="s">
        <v>5545</v>
      </c>
      <c r="K4199" s="18">
        <f>6281293243978</f>
        <v>6281293243978</v>
      </c>
      <c r="N4199" s="17" t="s">
        <v>77</v>
      </c>
      <c r="V4199" s="18">
        <f>6281293243978</f>
        <v>6281293243978</v>
      </c>
    </row>
    <row r="4200" ht="15" customHeight="1" spans="1:22" x14ac:dyDescent="0.25">
      <c r="A4200" s="17" t="s">
        <v>12218</v>
      </c>
      <c r="B4200" s="17" t="s">
        <v>70</v>
      </c>
      <c r="C4200" s="17" t="s">
        <v>71</v>
      </c>
      <c r="D4200" t="s">
        <v>2468</v>
      </c>
      <c r="F4200" t="s">
        <v>12219</v>
      </c>
      <c r="K4200" s="18">
        <f>628161887216</f>
        <v>628161887216</v>
      </c>
      <c r="N4200" s="17" t="s">
        <v>77</v>
      </c>
      <c r="V4200" s="18">
        <f>628161887216</f>
        <v>628161887216</v>
      </c>
    </row>
    <row r="4201" ht="15" customHeight="1" spans="1:22" x14ac:dyDescent="0.25">
      <c r="A4201" s="17" t="s">
        <v>12220</v>
      </c>
      <c r="B4201" s="17" t="s">
        <v>70</v>
      </c>
      <c r="C4201" s="17" t="s">
        <v>71</v>
      </c>
      <c r="D4201" t="s">
        <v>2468</v>
      </c>
      <c r="F4201" t="s">
        <v>12221</v>
      </c>
      <c r="K4201" s="18">
        <f>62811865819</f>
        <v>62811865819</v>
      </c>
      <c r="N4201" s="17" t="s">
        <v>74</v>
      </c>
      <c r="V4201" s="18">
        <f>62811865819</f>
        <v>62811865819</v>
      </c>
    </row>
    <row r="4202" ht="15" customHeight="1" spans="1:25" x14ac:dyDescent="0.25">
      <c r="A4202" s="17" t="s">
        <v>12222</v>
      </c>
      <c r="B4202" s="17" t="s">
        <v>70</v>
      </c>
      <c r="C4202" s="17" t="s">
        <v>71</v>
      </c>
      <c r="D4202" t="s">
        <v>2468</v>
      </c>
      <c r="F4202" t="s">
        <v>12223</v>
      </c>
      <c r="J4202" s="17" t="s">
        <v>12224</v>
      </c>
      <c r="K4202" s="18">
        <f>6287882211007</f>
        <v>6287882211007</v>
      </c>
      <c r="N4202" s="17" t="s">
        <v>77</v>
      </c>
      <c r="U4202" s="17"/>
      <c r="V4202" s="18">
        <f>6287882211007</f>
        <v>6287882211007</v>
      </c>
      <c r="W4202" t="s">
        <v>12225</v>
      </c>
      <c r="Y4202" s="17" t="s">
        <v>96</v>
      </c>
    </row>
    <row r="4203" ht="15" customHeight="1" spans="1:28" x14ac:dyDescent="0.25">
      <c r="A4203" s="17" t="s">
        <v>12226</v>
      </c>
      <c r="B4203" s="17" t="s">
        <v>70</v>
      </c>
      <c r="C4203" s="17" t="s">
        <v>71</v>
      </c>
      <c r="D4203" t="s">
        <v>2468</v>
      </c>
      <c r="F4203" t="s">
        <v>12227</v>
      </c>
      <c r="J4203" t="s">
        <v>115</v>
      </c>
      <c r="K4203" s="18" t="s">
        <v>12228</v>
      </c>
      <c r="N4203" s="17" t="s">
        <v>77</v>
      </c>
      <c r="O4203" t="s">
        <v>117</v>
      </c>
      <c r="V4203" s="18" t="s">
        <v>12228</v>
      </c>
      <c r="Y4203" t="s">
        <v>190</v>
      </c>
      <c r="AA4203" t="s">
        <v>118</v>
      </c>
      <c r="AB4203" t="s">
        <v>119</v>
      </c>
    </row>
    <row r="4204" ht="15" customHeight="1" spans="1:22" x14ac:dyDescent="0.25">
      <c r="A4204" s="17" t="s">
        <v>12229</v>
      </c>
      <c r="B4204" s="17" t="s">
        <v>70</v>
      </c>
      <c r="C4204" s="17" t="s">
        <v>71</v>
      </c>
      <c r="D4204" t="s">
        <v>2468</v>
      </c>
      <c r="F4204" t="s">
        <v>12230</v>
      </c>
      <c r="K4204" s="18">
        <f>62816832904</f>
        <v>62816832904</v>
      </c>
      <c r="N4204" s="17" t="s">
        <v>81</v>
      </c>
      <c r="V4204" s="18">
        <f>62816832904</f>
        <v>62816832904</v>
      </c>
    </row>
    <row r="4205" ht="15" customHeight="1" spans="1:22" x14ac:dyDescent="0.25">
      <c r="A4205" s="17" t="s">
        <v>12231</v>
      </c>
      <c r="B4205" s="17" t="s">
        <v>70</v>
      </c>
      <c r="C4205" s="17" t="s">
        <v>71</v>
      </c>
      <c r="D4205" t="s">
        <v>2468</v>
      </c>
      <c r="F4205" t="s">
        <v>12232</v>
      </c>
      <c r="K4205" s="18">
        <f>628161351889</f>
        <v>628161351889</v>
      </c>
      <c r="N4205" s="17" t="s">
        <v>77</v>
      </c>
      <c r="V4205" s="18">
        <f>628161351889</f>
        <v>628161351889</v>
      </c>
    </row>
    <row r="4206" ht="15" customHeight="1" spans="1:28" x14ac:dyDescent="0.25">
      <c r="A4206" s="17" t="s">
        <v>12233</v>
      </c>
      <c r="B4206" s="17" t="s">
        <v>70</v>
      </c>
      <c r="C4206" s="17" t="s">
        <v>71</v>
      </c>
      <c r="D4206" t="s">
        <v>2468</v>
      </c>
      <c r="F4206" t="s">
        <v>12234</v>
      </c>
      <c r="J4206" t="s">
        <v>115</v>
      </c>
      <c r="K4206" s="18" t="s">
        <v>12235</v>
      </c>
      <c r="N4206" s="17" t="s">
        <v>77</v>
      </c>
      <c r="O4206" t="s">
        <v>117</v>
      </c>
      <c r="V4206" s="18" t="s">
        <v>12235</v>
      </c>
      <c r="Y4206" t="s">
        <v>190</v>
      </c>
      <c r="AA4206" t="s">
        <v>118</v>
      </c>
      <c r="AB4206" t="s">
        <v>119</v>
      </c>
    </row>
    <row r="4207" ht="15" customHeight="1" spans="1:22" x14ac:dyDescent="0.25">
      <c r="A4207" s="17" t="s">
        <v>12236</v>
      </c>
      <c r="B4207" s="17" t="s">
        <v>70</v>
      </c>
      <c r="C4207" s="17" t="s">
        <v>71</v>
      </c>
      <c r="D4207" t="s">
        <v>2468</v>
      </c>
      <c r="F4207" t="s">
        <v>12237</v>
      </c>
      <c r="K4207" s="18">
        <f>6281384848888</f>
        <v>6281384848888</v>
      </c>
      <c r="N4207" s="17" t="s">
        <v>74</v>
      </c>
      <c r="V4207" s="18">
        <f>6281384848888</f>
        <v>6281384848888</v>
      </c>
    </row>
    <row r="4208" ht="15" customHeight="1" spans="1:27" x14ac:dyDescent="0.25">
      <c r="A4208" s="17" t="s">
        <v>12238</v>
      </c>
      <c r="B4208" s="17" t="s">
        <v>70</v>
      </c>
      <c r="C4208" s="17" t="s">
        <v>71</v>
      </c>
      <c r="D4208" t="s">
        <v>2468</v>
      </c>
      <c r="F4208" t="s">
        <v>12239</v>
      </c>
      <c r="K4208" s="18">
        <f>62818744665</f>
        <v>62818744665</v>
      </c>
      <c r="N4208" s="17" t="s">
        <v>77</v>
      </c>
      <c r="U4208" s="17"/>
      <c r="V4208" s="18">
        <f>62818744665</f>
        <v>62818744665</v>
      </c>
      <c r="W4208" t="s">
        <v>12240</v>
      </c>
      <c r="Y4208" s="17" t="s">
        <v>596</v>
      </c>
      <c r="AA4208" s="17">
        <v>15227</v>
      </c>
    </row>
    <row r="4209" ht="15" customHeight="1" spans="1:22" x14ac:dyDescent="0.25">
      <c r="A4209" s="17" t="s">
        <v>12241</v>
      </c>
      <c r="B4209" s="17" t="s">
        <v>70</v>
      </c>
      <c r="C4209" s="17" t="s">
        <v>71</v>
      </c>
      <c r="D4209" t="s">
        <v>12242</v>
      </c>
      <c r="F4209" t="s">
        <v>12243</v>
      </c>
      <c r="K4209" s="18">
        <f>6281328723003</f>
        <v>6281328723003</v>
      </c>
      <c r="N4209" s="17" t="s">
        <v>81</v>
      </c>
      <c r="V4209" s="18">
        <f>6281328723003</f>
        <v>6281328723003</v>
      </c>
    </row>
    <row r="4210" ht="15" customHeight="1" spans="1:22" x14ac:dyDescent="0.25">
      <c r="A4210" s="17" t="s">
        <v>12244</v>
      </c>
      <c r="B4210" s="17" t="s">
        <v>70</v>
      </c>
      <c r="C4210" s="17" t="s">
        <v>71</v>
      </c>
      <c r="D4210" t="s">
        <v>2468</v>
      </c>
      <c r="F4210" t="s">
        <v>12245</v>
      </c>
      <c r="K4210" s="18">
        <f>62816851185</f>
        <v>62816851185</v>
      </c>
      <c r="N4210" s="17" t="s">
        <v>74</v>
      </c>
      <c r="V4210" s="18">
        <f>62816851185</f>
        <v>62816851185</v>
      </c>
    </row>
    <row r="4211" ht="15" customHeight="1" spans="1:27" x14ac:dyDescent="0.25">
      <c r="A4211" s="17" t="s">
        <v>12246</v>
      </c>
      <c r="B4211" s="17" t="s">
        <v>70</v>
      </c>
      <c r="C4211" s="17" t="s">
        <v>71</v>
      </c>
      <c r="D4211" t="s">
        <v>12247</v>
      </c>
      <c r="F4211" t="s">
        <v>12247</v>
      </c>
      <c r="K4211" s="18">
        <v>63866385</v>
      </c>
      <c r="N4211" s="17" t="s">
        <v>77</v>
      </c>
      <c r="U4211" s="17"/>
      <c r="V4211" s="18">
        <v>63866385</v>
      </c>
      <c r="W4211" t="s">
        <v>12248</v>
      </c>
      <c r="Y4211" s="17" t="s">
        <v>378</v>
      </c>
      <c r="AA4211" s="17" t="s">
        <v>12249</v>
      </c>
    </row>
    <row r="4212" ht="15" customHeight="1" spans="1:22" x14ac:dyDescent="0.25">
      <c r="A4212" s="17" t="s">
        <v>12250</v>
      </c>
      <c r="B4212" s="17" t="s">
        <v>70</v>
      </c>
      <c r="C4212" s="17" t="s">
        <v>71</v>
      </c>
      <c r="D4212" t="s">
        <v>12251</v>
      </c>
      <c r="F4212" t="s">
        <v>12252</v>
      </c>
      <c r="K4212" s="18">
        <f>6282261881980</f>
        <v>6282261881980</v>
      </c>
      <c r="N4212" s="17" t="s">
        <v>77</v>
      </c>
      <c r="V4212" s="18">
        <f>6282261881980</f>
        <v>6282261881980</v>
      </c>
    </row>
    <row r="4213" ht="15" customHeight="1" spans="1:22" x14ac:dyDescent="0.25">
      <c r="A4213" s="17" t="s">
        <v>12253</v>
      </c>
      <c r="B4213" s="17" t="s">
        <v>70</v>
      </c>
      <c r="C4213" s="17" t="s">
        <v>71</v>
      </c>
      <c r="D4213" t="s">
        <v>12254</v>
      </c>
      <c r="F4213" t="s">
        <v>12255</v>
      </c>
      <c r="J4213" s="17" t="s">
        <v>12256</v>
      </c>
      <c r="K4213" s="18">
        <f>6281717170386</f>
        <v>6281717170386</v>
      </c>
      <c r="N4213" s="17" t="s">
        <v>77</v>
      </c>
      <c r="V4213" s="18">
        <f>6281717170386</f>
        <v>6281717170386</v>
      </c>
    </row>
    <row r="4214" ht="15" customHeight="1" spans="1:22" x14ac:dyDescent="0.25">
      <c r="A4214" s="17" t="s">
        <v>12257</v>
      </c>
      <c r="B4214" s="17" t="s">
        <v>70</v>
      </c>
      <c r="C4214" s="17" t="s">
        <v>71</v>
      </c>
      <c r="D4214" t="s">
        <v>12258</v>
      </c>
      <c r="F4214" t="s">
        <v>12258</v>
      </c>
      <c r="K4214" s="18">
        <f>6281297409124</f>
        <v>6281297409124</v>
      </c>
      <c r="N4214" s="17" t="s">
        <v>77</v>
      </c>
      <c r="V4214" s="18">
        <f>6281297409124</f>
        <v>6281297409124</v>
      </c>
    </row>
    <row r="4215" ht="15" customHeight="1" spans="1:22" x14ac:dyDescent="0.25">
      <c r="A4215" s="17" t="s">
        <v>12259</v>
      </c>
      <c r="B4215" s="17" t="s">
        <v>70</v>
      </c>
      <c r="C4215" s="17" t="s">
        <v>71</v>
      </c>
      <c r="D4215" t="s">
        <v>12260</v>
      </c>
      <c r="F4215" t="s">
        <v>1564</v>
      </c>
      <c r="K4215" s="18">
        <f>6281314181835</f>
        <v>6281314181835</v>
      </c>
      <c r="N4215" s="17" t="s">
        <v>77</v>
      </c>
      <c r="V4215" s="18">
        <f>6281314181835</f>
        <v>6281314181835</v>
      </c>
    </row>
    <row r="4216" ht="15" customHeight="1" spans="1:22" x14ac:dyDescent="0.25">
      <c r="A4216" s="17" t="s">
        <v>12261</v>
      </c>
      <c r="B4216" s="17" t="s">
        <v>70</v>
      </c>
      <c r="C4216" s="17" t="s">
        <v>71</v>
      </c>
      <c r="D4216" t="s">
        <v>12262</v>
      </c>
      <c r="F4216" t="s">
        <v>12262</v>
      </c>
      <c r="K4216" s="18">
        <f>62811941475</f>
        <v>62811941475</v>
      </c>
      <c r="N4216" s="17" t="s">
        <v>77</v>
      </c>
      <c r="V4216" s="18">
        <f>62811941475</f>
        <v>62811941475</v>
      </c>
    </row>
    <row r="4217" ht="15" customHeight="1" spans="1:22" x14ac:dyDescent="0.25">
      <c r="A4217" s="17" t="s">
        <v>12263</v>
      </c>
      <c r="B4217" s="17" t="s">
        <v>70</v>
      </c>
      <c r="C4217" s="17" t="s">
        <v>71</v>
      </c>
      <c r="D4217" t="s">
        <v>12262</v>
      </c>
      <c r="F4217" t="s">
        <v>12264</v>
      </c>
      <c r="K4217" s="18">
        <f>628151132561</f>
        <v>628151132561</v>
      </c>
      <c r="N4217" s="17" t="s">
        <v>77</v>
      </c>
      <c r="V4217" s="18">
        <f>628151132561</f>
        <v>628151132561</v>
      </c>
    </row>
    <row r="4218" ht="15" customHeight="1" spans="1:22" x14ac:dyDescent="0.25">
      <c r="A4218" s="17" t="s">
        <v>12265</v>
      </c>
      <c r="B4218" s="17" t="s">
        <v>70</v>
      </c>
      <c r="C4218" s="17" t="s">
        <v>71</v>
      </c>
      <c r="D4218" t="s">
        <v>12266</v>
      </c>
      <c r="F4218" t="s">
        <v>12266</v>
      </c>
      <c r="K4218" s="18">
        <f>628179145959</f>
        <v>628179145959</v>
      </c>
      <c r="N4218" s="17" t="s">
        <v>81</v>
      </c>
      <c r="V4218" s="18">
        <f>628179145959</f>
        <v>628179145959</v>
      </c>
    </row>
    <row r="4219" ht="15" customHeight="1" spans="1:28" x14ac:dyDescent="0.25">
      <c r="A4219" s="17" t="s">
        <v>12267</v>
      </c>
      <c r="B4219" s="17" t="s">
        <v>70</v>
      </c>
      <c r="C4219" s="17" t="s">
        <v>71</v>
      </c>
      <c r="D4219" t="s">
        <v>12268</v>
      </c>
      <c r="F4219" t="s">
        <v>12269</v>
      </c>
      <c r="J4219" t="s">
        <v>115</v>
      </c>
      <c r="K4219" s="18" t="s">
        <v>12270</v>
      </c>
      <c r="N4219" s="17" t="s">
        <v>77</v>
      </c>
      <c r="O4219" t="s">
        <v>145</v>
      </c>
      <c r="V4219" s="18" t="s">
        <v>12270</v>
      </c>
      <c r="Y4219" t="s">
        <v>190</v>
      </c>
      <c r="AA4219" t="s">
        <v>118</v>
      </c>
      <c r="AB4219" t="s">
        <v>119</v>
      </c>
    </row>
    <row r="4220" ht="15" customHeight="1" spans="1:22" x14ac:dyDescent="0.25">
      <c r="A4220" s="17" t="s">
        <v>12271</v>
      </c>
      <c r="B4220" s="17" t="s">
        <v>70</v>
      </c>
      <c r="C4220" s="17" t="s">
        <v>71</v>
      </c>
      <c r="D4220" t="s">
        <v>12272</v>
      </c>
      <c r="F4220" t="s">
        <v>12273</v>
      </c>
      <c r="K4220" s="18">
        <f>62817775999</f>
        <v>62817775999</v>
      </c>
      <c r="N4220" s="17" t="s">
        <v>77</v>
      </c>
      <c r="V4220" s="18">
        <f>62817775999</f>
        <v>62817775999</v>
      </c>
    </row>
    <row r="4221" ht="15" customHeight="1" spans="1:23" x14ac:dyDescent="0.25">
      <c r="A4221" s="17" t="s">
        <v>12274</v>
      </c>
      <c r="B4221" s="17" t="s">
        <v>70</v>
      </c>
      <c r="C4221" s="17" t="s">
        <v>71</v>
      </c>
      <c r="D4221" t="s">
        <v>12275</v>
      </c>
      <c r="F4221" t="s">
        <v>11058</v>
      </c>
      <c r="K4221" s="18">
        <f>6282148888765</f>
        <v>6282148888765</v>
      </c>
      <c r="N4221" s="17" t="s">
        <v>81</v>
      </c>
      <c r="U4221" s="17"/>
      <c r="V4221" s="18">
        <f>6282148888765</f>
        <v>6282148888765</v>
      </c>
      <c r="W4221" t="s">
        <v>12276</v>
      </c>
    </row>
    <row r="4222" ht="15" customHeight="1" spans="1:22" x14ac:dyDescent="0.25">
      <c r="A4222" s="17" t="s">
        <v>12277</v>
      </c>
      <c r="B4222" s="17" t="s">
        <v>70</v>
      </c>
      <c r="C4222" s="17" t="s">
        <v>71</v>
      </c>
      <c r="D4222" t="s">
        <v>12278</v>
      </c>
      <c r="F4222" t="s">
        <v>12279</v>
      </c>
      <c r="K4222" s="18">
        <f>62811964049</f>
        <v>62811964049</v>
      </c>
      <c r="N4222" s="17" t="s">
        <v>77</v>
      </c>
      <c r="V4222" s="18">
        <f>62811964049</f>
        <v>62811964049</v>
      </c>
    </row>
    <row r="4223" ht="15" customHeight="1" spans="1:22" x14ac:dyDescent="0.25">
      <c r="A4223" s="17" t="s">
        <v>12280</v>
      </c>
      <c r="B4223" s="17" t="s">
        <v>70</v>
      </c>
      <c r="C4223" s="17" t="s">
        <v>71</v>
      </c>
      <c r="D4223" t="s">
        <v>12278</v>
      </c>
      <c r="F4223" t="s">
        <v>12281</v>
      </c>
      <c r="K4223" s="18">
        <f>62818219293</f>
        <v>62818219293</v>
      </c>
      <c r="N4223" s="17" t="s">
        <v>77</v>
      </c>
      <c r="V4223" s="18">
        <f>62818219293</f>
        <v>62818219293</v>
      </c>
    </row>
    <row r="4224" ht="15" customHeight="1" spans="1:22" x14ac:dyDescent="0.25">
      <c r="A4224" s="17" t="s">
        <v>12282</v>
      </c>
      <c r="B4224" s="17" t="s">
        <v>70</v>
      </c>
      <c r="C4224" s="17" t="s">
        <v>71</v>
      </c>
      <c r="D4224" t="s">
        <v>12278</v>
      </c>
      <c r="F4224" t="s">
        <v>12283</v>
      </c>
      <c r="K4224" s="18">
        <f>628161147104</f>
        <v>628161147104</v>
      </c>
      <c r="N4224" s="17" t="s">
        <v>77</v>
      </c>
      <c r="V4224" s="18">
        <f>628161147104</f>
        <v>628161147104</v>
      </c>
    </row>
    <row r="4225" ht="15" customHeight="1" spans="1:28" x14ac:dyDescent="0.25">
      <c r="A4225" s="17" t="s">
        <v>12284</v>
      </c>
      <c r="B4225" s="17" t="s">
        <v>70</v>
      </c>
      <c r="C4225" s="17" t="s">
        <v>71</v>
      </c>
      <c r="D4225" t="s">
        <v>12285</v>
      </c>
      <c r="F4225" t="s">
        <v>12286</v>
      </c>
      <c r="J4225" t="s">
        <v>115</v>
      </c>
      <c r="K4225" s="18" t="s">
        <v>12287</v>
      </c>
      <c r="N4225" s="17" t="s">
        <v>77</v>
      </c>
      <c r="O4225" t="s">
        <v>199</v>
      </c>
      <c r="V4225" s="18" t="s">
        <v>12287</v>
      </c>
      <c r="Y4225" t="s">
        <v>190</v>
      </c>
      <c r="AA4225" t="s">
        <v>118</v>
      </c>
      <c r="AB4225" t="s">
        <v>119</v>
      </c>
    </row>
    <row r="4226" ht="15" customHeight="1" spans="1:28" x14ac:dyDescent="0.25">
      <c r="A4226" s="17" t="s">
        <v>12288</v>
      </c>
      <c r="B4226" s="17" t="s">
        <v>70</v>
      </c>
      <c r="C4226" s="17" t="s">
        <v>71</v>
      </c>
      <c r="D4226" t="s">
        <v>12289</v>
      </c>
      <c r="F4226" t="s">
        <v>12290</v>
      </c>
      <c r="J4226" t="s">
        <v>115</v>
      </c>
      <c r="K4226" s="18" t="s">
        <v>12291</v>
      </c>
      <c r="N4226" s="17" t="s">
        <v>81</v>
      </c>
      <c r="O4226" t="s">
        <v>199</v>
      </c>
      <c r="U4226" s="17"/>
      <c r="V4226" s="18" t="s">
        <v>12291</v>
      </c>
      <c r="W4226" t="s">
        <v>12292</v>
      </c>
      <c r="Y4226" t="s">
        <v>115</v>
      </c>
      <c r="AA4226" t="s">
        <v>115</v>
      </c>
      <c r="AB4226" t="s">
        <v>119</v>
      </c>
    </row>
    <row r="4227" ht="15" customHeight="1" spans="1:22" x14ac:dyDescent="0.25">
      <c r="A4227" s="17" t="s">
        <v>12293</v>
      </c>
      <c r="B4227" s="17" t="s">
        <v>70</v>
      </c>
      <c r="C4227" s="17" t="s">
        <v>71</v>
      </c>
      <c r="D4227" t="s">
        <v>12294</v>
      </c>
      <c r="F4227" t="s">
        <v>12294</v>
      </c>
      <c r="K4227" s="18">
        <f>62816901927</f>
        <v>62816901927</v>
      </c>
      <c r="N4227" s="17" t="s">
        <v>77</v>
      </c>
      <c r="V4227" s="18">
        <f>62816901927</f>
        <v>62816901927</v>
      </c>
    </row>
    <row r="4228" ht="15" customHeight="1" spans="1:22" x14ac:dyDescent="0.25">
      <c r="A4228" s="17" t="s">
        <v>12295</v>
      </c>
      <c r="B4228" s="17" t="s">
        <v>70</v>
      </c>
      <c r="C4228" s="17" t="s">
        <v>71</v>
      </c>
      <c r="D4228" t="s">
        <v>12296</v>
      </c>
      <c r="F4228" t="s">
        <v>12297</v>
      </c>
      <c r="K4228" s="18">
        <f>628161410708</f>
        <v>628161410708</v>
      </c>
      <c r="N4228" s="17" t="s">
        <v>77</v>
      </c>
      <c r="V4228" s="18">
        <f>628161410708</f>
        <v>628161410708</v>
      </c>
    </row>
    <row r="4229" ht="15" customHeight="1" spans="1:22" x14ac:dyDescent="0.25">
      <c r="A4229" s="17" t="s">
        <v>12298</v>
      </c>
      <c r="B4229" s="17" t="s">
        <v>70</v>
      </c>
      <c r="C4229" s="17" t="s">
        <v>71</v>
      </c>
      <c r="D4229" t="s">
        <v>12299</v>
      </c>
      <c r="F4229" t="s">
        <v>12300</v>
      </c>
      <c r="J4229" s="17" t="s">
        <v>12301</v>
      </c>
      <c r="K4229" s="18">
        <f>6281111112665</f>
        <v>6281111112665</v>
      </c>
      <c r="N4229" s="17" t="s">
        <v>77</v>
      </c>
      <c r="V4229" s="18">
        <f>6281111112665</f>
        <v>6281111112665</v>
      </c>
    </row>
    <row r="4230" ht="15" customHeight="1" spans="1:22" x14ac:dyDescent="0.25">
      <c r="A4230" s="17" t="s">
        <v>12302</v>
      </c>
      <c r="B4230" s="17" t="s">
        <v>70</v>
      </c>
      <c r="C4230" s="17" t="s">
        <v>71</v>
      </c>
      <c r="D4230" t="s">
        <v>12303</v>
      </c>
      <c r="F4230" t="s">
        <v>12303</v>
      </c>
      <c r="K4230" s="18">
        <f>628988353975</f>
        <v>628988353975</v>
      </c>
      <c r="N4230" s="17" t="s">
        <v>77</v>
      </c>
      <c r="V4230" s="18">
        <f>628988353975</f>
        <v>628988353975</v>
      </c>
    </row>
    <row r="4231" ht="15" customHeight="1" spans="1:22" x14ac:dyDescent="0.25">
      <c r="A4231" s="17" t="s">
        <v>12304</v>
      </c>
      <c r="B4231" s="17" t="s">
        <v>70</v>
      </c>
      <c r="C4231" s="17" t="s">
        <v>71</v>
      </c>
      <c r="D4231" t="s">
        <v>3253</v>
      </c>
      <c r="F4231" t="s">
        <v>3253</v>
      </c>
      <c r="K4231" s="18">
        <f>628176999960</f>
        <v>628176999960</v>
      </c>
      <c r="N4231" s="17" t="s">
        <v>77</v>
      </c>
      <c r="V4231" s="18">
        <f>628176999960</f>
        <v>628176999960</v>
      </c>
    </row>
    <row r="4232" ht="15" customHeight="1" spans="1:28" x14ac:dyDescent="0.25">
      <c r="A4232" s="17" t="s">
        <v>12305</v>
      </c>
      <c r="B4232" s="17" t="s">
        <v>70</v>
      </c>
      <c r="C4232" s="17" t="s">
        <v>71</v>
      </c>
      <c r="D4232" t="s">
        <v>12306</v>
      </c>
      <c r="F4232" t="s">
        <v>1186</v>
      </c>
      <c r="J4232" t="s">
        <v>115</v>
      </c>
      <c r="K4232" s="18" t="s">
        <v>12307</v>
      </c>
      <c r="N4232" s="17" t="s">
        <v>77</v>
      </c>
      <c r="O4232" t="s">
        <v>117</v>
      </c>
      <c r="U4232" s="17"/>
      <c r="V4232" s="18" t="s">
        <v>12307</v>
      </c>
      <c r="W4232" t="s">
        <v>12308</v>
      </c>
      <c r="Y4232" t="s">
        <v>90</v>
      </c>
      <c r="AA4232" t="s">
        <v>118</v>
      </c>
      <c r="AB4232" t="s">
        <v>119</v>
      </c>
    </row>
    <row r="4233" ht="15" customHeight="1" spans="1:22" x14ac:dyDescent="0.25">
      <c r="A4233" s="17" t="s">
        <v>12309</v>
      </c>
      <c r="B4233" s="17" t="s">
        <v>70</v>
      </c>
      <c r="C4233" s="17" t="s">
        <v>71</v>
      </c>
      <c r="D4233" t="s">
        <v>3253</v>
      </c>
      <c r="F4233" t="s">
        <v>8630</v>
      </c>
      <c r="K4233" s="18">
        <f>62816746953</f>
        <v>62816746953</v>
      </c>
      <c r="N4233" s="17" t="s">
        <v>77</v>
      </c>
      <c r="V4233" s="18">
        <f>62816746953</f>
        <v>62816746953</v>
      </c>
    </row>
    <row r="4234" ht="15" customHeight="1" spans="1:23" x14ac:dyDescent="0.25">
      <c r="A4234" s="17" t="s">
        <v>12310</v>
      </c>
      <c r="B4234" s="17" t="s">
        <v>70</v>
      </c>
      <c r="C4234" s="17" t="s">
        <v>71</v>
      </c>
      <c r="D4234" t="s">
        <v>3253</v>
      </c>
      <c r="F4234" t="s">
        <v>8630</v>
      </c>
      <c r="K4234" s="18">
        <f>62217193527</f>
        <v>62217193527</v>
      </c>
      <c r="N4234" s="17" t="s">
        <v>74</v>
      </c>
      <c r="U4234" s="17"/>
      <c r="V4234" s="18">
        <f>62217193527</f>
        <v>62217193527</v>
      </c>
      <c r="W4234" t="s">
        <v>12311</v>
      </c>
    </row>
    <row r="4235" ht="15" customHeight="1" spans="1:23" x14ac:dyDescent="0.25">
      <c r="A4235" s="17" t="s">
        <v>12312</v>
      </c>
      <c r="B4235" s="17" t="s">
        <v>70</v>
      </c>
      <c r="C4235" s="17" t="s">
        <v>71</v>
      </c>
      <c r="D4235" t="s">
        <v>3253</v>
      </c>
      <c r="F4235" t="s">
        <v>12313</v>
      </c>
      <c r="K4235" s="18">
        <f>62816975805</f>
        <v>62816975805</v>
      </c>
      <c r="N4235" s="17" t="s">
        <v>77</v>
      </c>
      <c r="U4235" s="17"/>
      <c r="V4235" s="18">
        <f>62816975805</f>
        <v>62816975805</v>
      </c>
      <c r="W4235" t="s">
        <v>12314</v>
      </c>
    </row>
    <row r="4236" ht="15" customHeight="1" spans="1:28" x14ac:dyDescent="0.25">
      <c r="A4236" s="17" t="s">
        <v>12315</v>
      </c>
      <c r="B4236" s="17" t="s">
        <v>70</v>
      </c>
      <c r="C4236" s="17" t="s">
        <v>71</v>
      </c>
      <c r="D4236" t="s">
        <v>12316</v>
      </c>
      <c r="F4236" t="s">
        <v>12317</v>
      </c>
      <c r="J4236" t="s">
        <v>115</v>
      </c>
      <c r="K4236" s="18" t="s">
        <v>12318</v>
      </c>
      <c r="N4236" s="17" t="s">
        <v>77</v>
      </c>
      <c r="O4236" t="s">
        <v>145</v>
      </c>
      <c r="U4236" s="17"/>
      <c r="V4236" s="18" t="s">
        <v>12318</v>
      </c>
      <c r="W4236" t="s">
        <v>12319</v>
      </c>
      <c r="Y4236" s="17" t="s">
        <v>90</v>
      </c>
      <c r="AA4236" t="s">
        <v>118</v>
      </c>
      <c r="AB4236" t="s">
        <v>119</v>
      </c>
    </row>
    <row r="4237" ht="15" customHeight="1" spans="1:28" x14ac:dyDescent="0.25">
      <c r="A4237" s="17" t="s">
        <v>12320</v>
      </c>
      <c r="B4237" s="17" t="s">
        <v>70</v>
      </c>
      <c r="C4237" s="17" t="s">
        <v>71</v>
      </c>
      <c r="D4237" t="s">
        <v>12321</v>
      </c>
      <c r="F4237" t="s">
        <v>12322</v>
      </c>
      <c r="J4237" t="s">
        <v>12323</v>
      </c>
      <c r="K4237" s="18" t="s">
        <v>12324</v>
      </c>
      <c r="N4237" s="17" t="s">
        <v>81</v>
      </c>
      <c r="O4237" t="s">
        <v>261</v>
      </c>
      <c r="U4237" s="17"/>
      <c r="V4237" s="18" t="s">
        <v>12324</v>
      </c>
      <c r="W4237" t="s">
        <v>12325</v>
      </c>
      <c r="Y4237" t="s">
        <v>1349</v>
      </c>
      <c r="AA4237" t="s">
        <v>115</v>
      </c>
      <c r="AB4237" t="s">
        <v>1349</v>
      </c>
    </row>
    <row r="4238" ht="15" customHeight="1" spans="1:28" x14ac:dyDescent="0.25">
      <c r="A4238" s="17" t="s">
        <v>12326</v>
      </c>
      <c r="B4238" s="17" t="s">
        <v>70</v>
      </c>
      <c r="C4238" s="17" t="s">
        <v>71</v>
      </c>
      <c r="D4238" t="s">
        <v>12327</v>
      </c>
      <c r="F4238" t="s">
        <v>12328</v>
      </c>
      <c r="J4238" t="s">
        <v>115</v>
      </c>
      <c r="K4238" s="18" t="s">
        <v>12329</v>
      </c>
      <c r="N4238" s="17" t="s">
        <v>77</v>
      </c>
      <c r="O4238" t="s">
        <v>117</v>
      </c>
      <c r="U4238" s="17"/>
      <c r="V4238" s="18" t="s">
        <v>12329</v>
      </c>
      <c r="W4238" t="s">
        <v>12330</v>
      </c>
      <c r="Y4238" s="17" t="s">
        <v>90</v>
      </c>
      <c r="AA4238" t="s">
        <v>118</v>
      </c>
      <c r="AB4238" t="s">
        <v>119</v>
      </c>
    </row>
    <row r="4239" ht="15" customHeight="1" spans="1:22" x14ac:dyDescent="0.25">
      <c r="A4239" s="17" t="s">
        <v>12331</v>
      </c>
      <c r="B4239" s="17" t="s">
        <v>70</v>
      </c>
      <c r="C4239" s="17" t="s">
        <v>71</v>
      </c>
      <c r="D4239" t="s">
        <v>12332</v>
      </c>
      <c r="F4239" t="s">
        <v>12333</v>
      </c>
      <c r="K4239" s="18">
        <v>8129002121</v>
      </c>
      <c r="N4239" s="17" t="s">
        <v>81</v>
      </c>
      <c r="V4239" s="18">
        <v>8129002121</v>
      </c>
    </row>
    <row r="4240" ht="15" customHeight="1" spans="1:22" x14ac:dyDescent="0.25">
      <c r="A4240" s="17" t="s">
        <v>12334</v>
      </c>
      <c r="B4240" s="17" t="s">
        <v>70</v>
      </c>
      <c r="C4240" s="17" t="s">
        <v>71</v>
      </c>
      <c r="D4240" t="s">
        <v>12332</v>
      </c>
      <c r="F4240" t="s">
        <v>12335</v>
      </c>
      <c r="K4240" s="18">
        <f>628159876077</f>
        <v>628159876077</v>
      </c>
      <c r="N4240" s="17" t="s">
        <v>77</v>
      </c>
      <c r="V4240" s="18">
        <f>628159876077</f>
        <v>628159876077</v>
      </c>
    </row>
    <row r="4241" ht="15" customHeight="1" spans="1:22" x14ac:dyDescent="0.25">
      <c r="A4241" s="17" t="s">
        <v>12336</v>
      </c>
      <c r="B4241" s="17" t="s">
        <v>70</v>
      </c>
      <c r="C4241" s="17" t="s">
        <v>71</v>
      </c>
      <c r="D4241" t="s">
        <v>12337</v>
      </c>
      <c r="F4241" t="s">
        <v>12338</v>
      </c>
      <c r="K4241" s="18">
        <f>6287877316267</f>
        <v>6287877316267</v>
      </c>
      <c r="N4241" s="17" t="s">
        <v>77</v>
      </c>
      <c r="V4241" s="18">
        <f>6287877316267</f>
        <v>6287877316267</v>
      </c>
    </row>
    <row r="4242" ht="15" customHeight="1" spans="1:22" x14ac:dyDescent="0.25">
      <c r="A4242" s="17" t="s">
        <v>12339</v>
      </c>
      <c r="B4242" s="17" t="s">
        <v>70</v>
      </c>
      <c r="C4242" s="17" t="s">
        <v>71</v>
      </c>
      <c r="D4242" t="s">
        <v>12340</v>
      </c>
      <c r="F4242" t="s">
        <v>12117</v>
      </c>
      <c r="K4242" s="18">
        <f>618126090313</f>
        <v>618126090313</v>
      </c>
      <c r="N4242" s="17" t="s">
        <v>77</v>
      </c>
      <c r="V4242" s="18">
        <f>618126090313</f>
        <v>618126090313</v>
      </c>
    </row>
    <row r="4243" ht="15" customHeight="1" spans="1:28" x14ac:dyDescent="0.25">
      <c r="A4243" s="17" t="s">
        <v>12341</v>
      </c>
      <c r="B4243" s="17" t="s">
        <v>70</v>
      </c>
      <c r="C4243" s="17" t="s">
        <v>71</v>
      </c>
      <c r="D4243" t="s">
        <v>12342</v>
      </c>
      <c r="F4243" t="s">
        <v>3025</v>
      </c>
      <c r="J4243" s="17" t="s">
        <v>12343</v>
      </c>
      <c r="K4243" s="18" t="s">
        <v>12344</v>
      </c>
      <c r="N4243" s="17" t="s">
        <v>74</v>
      </c>
      <c r="O4243" t="s">
        <v>117</v>
      </c>
      <c r="U4243" s="17"/>
      <c r="V4243" s="18" t="s">
        <v>12344</v>
      </c>
      <c r="W4243" t="s">
        <v>12345</v>
      </c>
      <c r="Y4243" s="17" t="s">
        <v>90</v>
      </c>
      <c r="AA4243" t="s">
        <v>118</v>
      </c>
      <c r="AB4243" t="s">
        <v>119</v>
      </c>
    </row>
    <row r="4244" ht="15" customHeight="1" spans="1:28" x14ac:dyDescent="0.25">
      <c r="A4244" s="17" t="s">
        <v>12346</v>
      </c>
      <c r="B4244" s="17" t="s">
        <v>70</v>
      </c>
      <c r="C4244" s="17" t="s">
        <v>71</v>
      </c>
      <c r="D4244" t="s">
        <v>12342</v>
      </c>
      <c r="F4244" t="s">
        <v>8968</v>
      </c>
      <c r="J4244" s="17" t="s">
        <v>12347</v>
      </c>
      <c r="K4244" s="18" t="s">
        <v>12348</v>
      </c>
      <c r="N4244" s="17" t="s">
        <v>74</v>
      </c>
      <c r="O4244" t="s">
        <v>117</v>
      </c>
      <c r="U4244" s="17"/>
      <c r="V4244" s="18" t="s">
        <v>12348</v>
      </c>
      <c r="W4244" t="s">
        <v>12349</v>
      </c>
      <c r="Y4244" s="17" t="s">
        <v>1042</v>
      </c>
      <c r="AA4244" t="s">
        <v>115</v>
      </c>
      <c r="AB4244" t="s">
        <v>119</v>
      </c>
    </row>
    <row r="4245" ht="15" customHeight="1" spans="1:27" x14ac:dyDescent="0.25">
      <c r="A4245" s="17" t="s">
        <v>12350</v>
      </c>
      <c r="B4245" s="17" t="s">
        <v>70</v>
      </c>
      <c r="C4245" s="17" t="s">
        <v>71</v>
      </c>
      <c r="D4245" t="s">
        <v>12342</v>
      </c>
      <c r="F4245" t="s">
        <v>12351</v>
      </c>
      <c r="K4245" s="18">
        <f>628121068759</f>
        <v>628121068759</v>
      </c>
      <c r="N4245" s="17" t="s">
        <v>74</v>
      </c>
      <c r="U4245" s="17"/>
      <c r="V4245" s="18">
        <f>628121068759</f>
        <v>628121068759</v>
      </c>
      <c r="W4245" t="s">
        <v>12352</v>
      </c>
      <c r="Y4245" s="17" t="s">
        <v>96</v>
      </c>
      <c r="AA4245" s="17" t="s">
        <v>12353</v>
      </c>
    </row>
    <row r="4246" ht="15" customHeight="1" spans="1:28" x14ac:dyDescent="0.25">
      <c r="A4246" s="17" t="s">
        <v>12354</v>
      </c>
      <c r="B4246" s="17" t="s">
        <v>70</v>
      </c>
      <c r="C4246" s="17" t="s">
        <v>71</v>
      </c>
      <c r="D4246" t="s">
        <v>12342</v>
      </c>
      <c r="F4246" t="s">
        <v>12355</v>
      </c>
      <c r="J4246" s="17" t="s">
        <v>12356</v>
      </c>
      <c r="K4246" s="18" t="s">
        <v>12357</v>
      </c>
      <c r="N4246" s="17" t="s">
        <v>77</v>
      </c>
      <c r="O4246" t="s">
        <v>489</v>
      </c>
      <c r="U4246" s="17"/>
      <c r="V4246" s="18" t="s">
        <v>12357</v>
      </c>
      <c r="W4246" t="s">
        <v>12358</v>
      </c>
      <c r="Y4246" t="s">
        <v>12359</v>
      </c>
      <c r="AA4246" t="s">
        <v>115</v>
      </c>
      <c r="AB4246" t="s">
        <v>119</v>
      </c>
    </row>
    <row r="4247" ht="15" customHeight="1" spans="1:25" x14ac:dyDescent="0.25">
      <c r="A4247" s="17" t="s">
        <v>12360</v>
      </c>
      <c r="B4247" s="17" t="s">
        <v>70</v>
      </c>
      <c r="C4247" s="17" t="s">
        <v>71</v>
      </c>
      <c r="D4247" t="s">
        <v>12361</v>
      </c>
      <c r="F4247" t="s">
        <v>12362</v>
      </c>
      <c r="K4247" s="18">
        <f>62214508787</f>
        <v>62214508787</v>
      </c>
      <c r="N4247" s="17" t="s">
        <v>77</v>
      </c>
      <c r="U4247" s="17"/>
      <c r="V4247" s="18">
        <f>62214508787</f>
        <v>62214508787</v>
      </c>
      <c r="W4247" t="s">
        <v>12363</v>
      </c>
      <c r="Y4247" s="17" t="s">
        <v>90</v>
      </c>
    </row>
    <row r="4248" ht="15" customHeight="1" spans="1:22" x14ac:dyDescent="0.25">
      <c r="A4248" s="17" t="s">
        <v>12364</v>
      </c>
      <c r="B4248" s="17" t="s">
        <v>70</v>
      </c>
      <c r="C4248" s="17" t="s">
        <v>71</v>
      </c>
      <c r="D4248" t="s">
        <v>12365</v>
      </c>
      <c r="F4248" t="s">
        <v>12362</v>
      </c>
      <c r="K4248" s="18">
        <f>62816871636</f>
        <v>62816871636</v>
      </c>
      <c r="N4248" s="17" t="s">
        <v>77</v>
      </c>
      <c r="V4248" s="18">
        <f>62816871636</f>
        <v>62816871636</v>
      </c>
    </row>
    <row r="4249" ht="15" customHeight="1" spans="1:22" x14ac:dyDescent="0.25">
      <c r="A4249" s="17" t="s">
        <v>12366</v>
      </c>
      <c r="B4249" s="17" t="s">
        <v>70</v>
      </c>
      <c r="C4249" s="17" t="s">
        <v>71</v>
      </c>
      <c r="D4249" t="s">
        <v>12367</v>
      </c>
      <c r="F4249" t="s">
        <v>12368</v>
      </c>
      <c r="K4249" s="18">
        <f>6281212785878</f>
        <v>6281212785878</v>
      </c>
      <c r="N4249" s="17" t="s">
        <v>81</v>
      </c>
      <c r="V4249" s="18">
        <f>6281212785878</f>
        <v>6281212785878</v>
      </c>
    </row>
    <row r="4250" ht="15" customHeight="1" spans="1:22" x14ac:dyDescent="0.25">
      <c r="A4250" s="17" t="s">
        <v>12369</v>
      </c>
      <c r="B4250" s="17" t="s">
        <v>70</v>
      </c>
      <c r="C4250" s="17" t="s">
        <v>71</v>
      </c>
      <c r="D4250" t="s">
        <v>12370</v>
      </c>
      <c r="F4250" t="s">
        <v>12370</v>
      </c>
      <c r="K4250" s="18">
        <f>628126040223</f>
        <v>628126040223</v>
      </c>
      <c r="N4250" s="17" t="s">
        <v>81</v>
      </c>
      <c r="V4250" s="18">
        <f>628126040223</f>
        <v>628126040223</v>
      </c>
    </row>
    <row r="4251" ht="15" customHeight="1" spans="1:22" x14ac:dyDescent="0.25">
      <c r="A4251" s="17" t="s">
        <v>12371</v>
      </c>
      <c r="B4251" s="17" t="s">
        <v>70</v>
      </c>
      <c r="C4251" s="17" t="s">
        <v>71</v>
      </c>
      <c r="D4251" t="s">
        <v>12372</v>
      </c>
      <c r="F4251" t="s">
        <v>8871</v>
      </c>
      <c r="K4251" s="18">
        <f>62818796790</f>
        <v>62818796790</v>
      </c>
      <c r="N4251" s="17" t="s">
        <v>81</v>
      </c>
      <c r="V4251" s="18">
        <f>62818796790</f>
        <v>62818796790</v>
      </c>
    </row>
    <row r="4252" ht="15" customHeight="1" spans="1:25" x14ac:dyDescent="0.25">
      <c r="A4252" s="17" t="s">
        <v>12373</v>
      </c>
      <c r="B4252" s="17" t="s">
        <v>70</v>
      </c>
      <c r="C4252" s="17" t="s">
        <v>71</v>
      </c>
      <c r="D4252" t="s">
        <v>12374</v>
      </c>
      <c r="F4252" t="s">
        <v>12375</v>
      </c>
      <c r="K4252" s="18">
        <f>628126025344</f>
        <v>628126025344</v>
      </c>
      <c r="N4252" s="17" t="s">
        <v>77</v>
      </c>
      <c r="U4252" s="17"/>
      <c r="V4252" s="18">
        <f>628126025344</f>
        <v>628126025344</v>
      </c>
      <c r="W4252" t="s">
        <v>12376</v>
      </c>
      <c r="Y4252" s="17" t="s">
        <v>3028</v>
      </c>
    </row>
    <row r="4253" ht="15" customHeight="1" spans="1:25" x14ac:dyDescent="0.25">
      <c r="A4253" s="17" t="s">
        <v>12377</v>
      </c>
      <c r="B4253" s="17" t="s">
        <v>70</v>
      </c>
      <c r="C4253" s="17" t="s">
        <v>71</v>
      </c>
      <c r="D4253" t="s">
        <v>12378</v>
      </c>
      <c r="F4253" t="s">
        <v>12378</v>
      </c>
      <c r="K4253" s="18">
        <f>62811954444</f>
        <v>62811954444</v>
      </c>
      <c r="N4253" s="17" t="s">
        <v>77</v>
      </c>
      <c r="U4253" s="17"/>
      <c r="V4253" s="18">
        <f>62811954444</f>
        <v>62811954444</v>
      </c>
      <c r="W4253" t="s">
        <v>12379</v>
      </c>
      <c r="Y4253" s="17" t="s">
        <v>96</v>
      </c>
    </row>
    <row r="4254" ht="15" customHeight="1" spans="1:28" x14ac:dyDescent="0.25">
      <c r="A4254" s="17" t="s">
        <v>12380</v>
      </c>
      <c r="B4254" s="17" t="s">
        <v>70</v>
      </c>
      <c r="C4254" s="17" t="s">
        <v>71</v>
      </c>
      <c r="D4254" t="s">
        <v>12381</v>
      </c>
      <c r="F4254" t="s">
        <v>12382</v>
      </c>
      <c r="J4254" s="17" t="s">
        <v>12383</v>
      </c>
      <c r="K4254" s="18" t="s">
        <v>12384</v>
      </c>
      <c r="N4254" s="17" t="s">
        <v>77</v>
      </c>
      <c r="O4254" t="s">
        <v>145</v>
      </c>
      <c r="V4254" s="18" t="s">
        <v>12384</v>
      </c>
      <c r="Y4254" t="s">
        <v>115</v>
      </c>
      <c r="AA4254" t="s">
        <v>115</v>
      </c>
      <c r="AB4254" t="s">
        <v>119</v>
      </c>
    </row>
    <row r="4255" ht="15" customHeight="1" spans="1:22" x14ac:dyDescent="0.25">
      <c r="A4255" s="17" t="s">
        <v>12385</v>
      </c>
      <c r="B4255" s="17" t="s">
        <v>70</v>
      </c>
      <c r="C4255" s="17" t="s">
        <v>71</v>
      </c>
      <c r="D4255" t="s">
        <v>12386</v>
      </c>
      <c r="F4255" t="s">
        <v>12387</v>
      </c>
      <c r="J4255" s="17" t="s">
        <v>12388</v>
      </c>
      <c r="K4255" s="18">
        <f>628777717038</f>
        <v>628777717038</v>
      </c>
      <c r="N4255" s="17" t="s">
        <v>77</v>
      </c>
      <c r="V4255" s="18">
        <f>628777717038</f>
        <v>628777717038</v>
      </c>
    </row>
    <row r="4256" ht="15" customHeight="1" spans="1:22" x14ac:dyDescent="0.25">
      <c r="A4256" s="17" t="s">
        <v>12389</v>
      </c>
      <c r="B4256" s="17" t="s">
        <v>70</v>
      </c>
      <c r="C4256" s="17" t="s">
        <v>71</v>
      </c>
      <c r="D4256" t="s">
        <v>12390</v>
      </c>
      <c r="F4256" t="s">
        <v>12391</v>
      </c>
      <c r="K4256" s="18">
        <f>6281231317333</f>
        <v>6281231317333</v>
      </c>
      <c r="N4256" s="17" t="s">
        <v>77</v>
      </c>
      <c r="V4256" s="18">
        <f>6281231317333</f>
        <v>6281231317333</v>
      </c>
    </row>
    <row r="4257" ht="15" customHeight="1" spans="1:22" x14ac:dyDescent="0.25">
      <c r="A4257" s="17" t="s">
        <v>12392</v>
      </c>
      <c r="B4257" s="17" t="s">
        <v>70</v>
      </c>
      <c r="C4257" s="17" t="s">
        <v>71</v>
      </c>
      <c r="D4257" t="s">
        <v>12393</v>
      </c>
      <c r="F4257" t="s">
        <v>12393</v>
      </c>
      <c r="K4257" s="18">
        <f>62811878118</f>
        <v>62811878118</v>
      </c>
      <c r="N4257" s="17" t="s">
        <v>77</v>
      </c>
      <c r="V4257" s="18">
        <f>62811878118</f>
        <v>62811878118</v>
      </c>
    </row>
    <row r="4258" ht="15" customHeight="1" spans="1:22" x14ac:dyDescent="0.25">
      <c r="A4258" s="17" t="s">
        <v>12394</v>
      </c>
      <c r="B4258" s="17" t="s">
        <v>70</v>
      </c>
      <c r="C4258" s="17" t="s">
        <v>71</v>
      </c>
      <c r="D4258" t="s">
        <v>12393</v>
      </c>
      <c r="F4258" t="s">
        <v>12393</v>
      </c>
      <c r="K4258" s="18">
        <f>6281398082322</f>
        <v>6281398082322</v>
      </c>
      <c r="N4258" s="17" t="s">
        <v>77</v>
      </c>
      <c r="V4258" s="18">
        <f>6281398082322</f>
        <v>6281398082322</v>
      </c>
    </row>
    <row r="4259" ht="15" customHeight="1" spans="1:22" x14ac:dyDescent="0.25">
      <c r="A4259" s="17" t="s">
        <v>12395</v>
      </c>
      <c r="B4259" s="17" t="s">
        <v>70</v>
      </c>
      <c r="C4259" s="17" t="s">
        <v>71</v>
      </c>
      <c r="D4259" t="s">
        <v>12393</v>
      </c>
      <c r="F4259" t="s">
        <v>12396</v>
      </c>
      <c r="K4259" s="18">
        <f>6281311001402</f>
        <v>6281311001402</v>
      </c>
      <c r="N4259" s="17" t="s">
        <v>77</v>
      </c>
      <c r="V4259" s="18">
        <f>6281311001402</f>
        <v>6281311001402</v>
      </c>
    </row>
    <row r="4260" ht="15" customHeight="1" spans="1:22" x14ac:dyDescent="0.25">
      <c r="A4260" s="17" t="s">
        <v>12397</v>
      </c>
      <c r="B4260" s="17" t="s">
        <v>70</v>
      </c>
      <c r="C4260" s="17" t="s">
        <v>71</v>
      </c>
      <c r="D4260" t="s">
        <v>12393</v>
      </c>
      <c r="F4260" t="s">
        <v>12398</v>
      </c>
      <c r="J4260" s="17" t="s">
        <v>12399</v>
      </c>
      <c r="K4260" s="18">
        <f>62816850024</f>
        <v>62816850024</v>
      </c>
      <c r="N4260" s="17" t="s">
        <v>77</v>
      </c>
      <c r="V4260" s="18">
        <f>62816850024</f>
        <v>62816850024</v>
      </c>
    </row>
    <row r="4261" ht="15" customHeight="1" spans="1:22" x14ac:dyDescent="0.25">
      <c r="A4261" s="17" t="s">
        <v>12400</v>
      </c>
      <c r="B4261" s="17" t="s">
        <v>70</v>
      </c>
      <c r="C4261" s="17" t="s">
        <v>71</v>
      </c>
      <c r="D4261" t="s">
        <v>12393</v>
      </c>
      <c r="F4261" t="s">
        <v>12401</v>
      </c>
      <c r="J4261" s="17" t="s">
        <v>12402</v>
      </c>
      <c r="K4261" s="18">
        <f>6281380333818</f>
        <v>6281380333818</v>
      </c>
      <c r="N4261" s="17" t="s">
        <v>77</v>
      </c>
      <c r="V4261" s="18">
        <f>6281380333818</f>
        <v>6281380333818</v>
      </c>
    </row>
    <row r="4262" ht="15" customHeight="1" spans="1:28" x14ac:dyDescent="0.25">
      <c r="A4262" s="17" t="s">
        <v>12403</v>
      </c>
      <c r="B4262" s="17" t="s">
        <v>70</v>
      </c>
      <c r="C4262" s="17" t="s">
        <v>71</v>
      </c>
      <c r="D4262" t="s">
        <v>12393</v>
      </c>
      <c r="F4262" t="s">
        <v>12404</v>
      </c>
      <c r="J4262" t="s">
        <v>115</v>
      </c>
      <c r="K4262" s="18" t="s">
        <v>12405</v>
      </c>
      <c r="N4262" s="17" t="s">
        <v>77</v>
      </c>
      <c r="O4262" t="s">
        <v>145</v>
      </c>
      <c r="U4262" s="17"/>
      <c r="V4262" s="18" t="s">
        <v>12405</v>
      </c>
      <c r="W4262" t="s">
        <v>7956</v>
      </c>
      <c r="Y4262" t="s">
        <v>90</v>
      </c>
      <c r="AA4262" t="s">
        <v>118</v>
      </c>
      <c r="AB4262" t="s">
        <v>119</v>
      </c>
    </row>
    <row r="4263" ht="15" customHeight="1" spans="1:25" x14ac:dyDescent="0.25">
      <c r="A4263" s="17" t="s">
        <v>12406</v>
      </c>
      <c r="B4263" s="17" t="s">
        <v>70</v>
      </c>
      <c r="C4263" s="17" t="s">
        <v>71</v>
      </c>
      <c r="D4263" t="s">
        <v>12393</v>
      </c>
      <c r="F4263" t="s">
        <v>618</v>
      </c>
      <c r="J4263" s="17" t="s">
        <v>12407</v>
      </c>
      <c r="K4263" s="18">
        <f>628121120000</f>
        <v>628121120000</v>
      </c>
      <c r="N4263" s="17" t="s">
        <v>77</v>
      </c>
      <c r="U4263" s="17"/>
      <c r="V4263" s="18">
        <f>628121120000</f>
        <v>628121120000</v>
      </c>
      <c r="W4263" t="s">
        <v>12408</v>
      </c>
      <c r="Y4263" s="17" t="s">
        <v>1084</v>
      </c>
    </row>
    <row r="4264" ht="15" customHeight="1" spans="1:23" x14ac:dyDescent="0.25">
      <c r="A4264" s="17" t="s">
        <v>12409</v>
      </c>
      <c r="B4264" s="17" t="s">
        <v>70</v>
      </c>
      <c r="C4264" s="17" t="s">
        <v>71</v>
      </c>
      <c r="D4264" t="s">
        <v>12393</v>
      </c>
      <c r="F4264" t="s">
        <v>11240</v>
      </c>
      <c r="K4264" s="18">
        <f>628111377288</f>
        <v>628111377288</v>
      </c>
      <c r="N4264" s="17" t="s">
        <v>77</v>
      </c>
      <c r="U4264" s="17"/>
      <c r="V4264" s="18">
        <f>628111377288</f>
        <v>628111377288</v>
      </c>
      <c r="W4264" t="s">
        <v>90</v>
      </c>
    </row>
    <row r="4265" ht="15" customHeight="1" spans="1:22" x14ac:dyDescent="0.25">
      <c r="A4265" s="17" t="s">
        <v>12410</v>
      </c>
      <c r="B4265" s="17" t="s">
        <v>70</v>
      </c>
      <c r="C4265" s="17" t="s">
        <v>71</v>
      </c>
      <c r="D4265" t="s">
        <v>12393</v>
      </c>
      <c r="F4265" t="s">
        <v>1642</v>
      </c>
      <c r="K4265" s="18">
        <f>6285885277816</f>
        <v>6285885277816</v>
      </c>
      <c r="N4265" s="17" t="s">
        <v>81</v>
      </c>
      <c r="V4265" s="18">
        <f>6285885277816</f>
        <v>6285885277816</v>
      </c>
    </row>
    <row r="4266" ht="15" customHeight="1" spans="1:22" x14ac:dyDescent="0.25">
      <c r="A4266" s="17" t="s">
        <v>12411</v>
      </c>
      <c r="B4266" s="17" t="s">
        <v>70</v>
      </c>
      <c r="C4266" s="17" t="s">
        <v>71</v>
      </c>
      <c r="D4266" t="s">
        <v>12393</v>
      </c>
      <c r="F4266" t="s">
        <v>12412</v>
      </c>
      <c r="K4266" s="18">
        <f>6281905993999</f>
        <v>6281905993999</v>
      </c>
      <c r="N4266" s="17" t="s">
        <v>77</v>
      </c>
      <c r="V4266" s="18">
        <f>6281905993999</f>
        <v>6281905993999</v>
      </c>
    </row>
    <row r="4267" ht="15" customHeight="1" spans="1:27" x14ac:dyDescent="0.25">
      <c r="A4267" s="17" t="s">
        <v>12413</v>
      </c>
      <c r="B4267" s="17" t="s">
        <v>70</v>
      </c>
      <c r="C4267" s="17" t="s">
        <v>71</v>
      </c>
      <c r="D4267" t="s">
        <v>12393</v>
      </c>
      <c r="F4267" t="s">
        <v>12414</v>
      </c>
      <c r="J4267" s="17" t="s">
        <v>12415</v>
      </c>
      <c r="K4267" s="18">
        <f>6287880571011</f>
        <v>6287880571011</v>
      </c>
      <c r="N4267" s="17" t="s">
        <v>77</v>
      </c>
      <c r="U4267" s="17"/>
      <c r="V4267" s="18">
        <f>6287880571011</f>
        <v>6287880571011</v>
      </c>
      <c r="W4267" t="s">
        <v>12416</v>
      </c>
      <c r="AA4267" s="17">
        <v>11250</v>
      </c>
    </row>
    <row r="4268" ht="15" customHeight="1" spans="1:28" x14ac:dyDescent="0.25">
      <c r="A4268" s="17" t="s">
        <v>12417</v>
      </c>
      <c r="B4268" s="17" t="s">
        <v>70</v>
      </c>
      <c r="C4268" s="17" t="s">
        <v>71</v>
      </c>
      <c r="D4268" t="s">
        <v>12418</v>
      </c>
      <c r="F4268" t="s">
        <v>672</v>
      </c>
      <c r="J4268" s="17" t="s">
        <v>12419</v>
      </c>
      <c r="K4268" s="18" t="s">
        <v>12420</v>
      </c>
      <c r="N4268" s="17" t="s">
        <v>77</v>
      </c>
      <c r="O4268" t="s">
        <v>117</v>
      </c>
      <c r="U4268" s="17"/>
      <c r="V4268" s="18" t="s">
        <v>12420</v>
      </c>
      <c r="W4268" t="s">
        <v>12421</v>
      </c>
      <c r="Y4268" s="17" t="s">
        <v>90</v>
      </c>
      <c r="AA4268" t="s">
        <v>118</v>
      </c>
      <c r="AB4268" t="s">
        <v>119</v>
      </c>
    </row>
    <row r="4269" ht="15" customHeight="1" spans="1:28" x14ac:dyDescent="0.25">
      <c r="A4269" s="17" t="s">
        <v>12422</v>
      </c>
      <c r="B4269" s="17" t="s">
        <v>70</v>
      </c>
      <c r="C4269" s="17" t="s">
        <v>71</v>
      </c>
      <c r="D4269" t="s">
        <v>12393</v>
      </c>
      <c r="F4269" t="s">
        <v>12423</v>
      </c>
      <c r="J4269" s="17" t="s">
        <v>12424</v>
      </c>
      <c r="K4269" s="18" t="s">
        <v>12425</v>
      </c>
      <c r="N4269" s="17" t="s">
        <v>77</v>
      </c>
      <c r="O4269" t="s">
        <v>199</v>
      </c>
      <c r="U4269" s="17"/>
      <c r="V4269" s="18" t="s">
        <v>12425</v>
      </c>
      <c r="W4269" t="s">
        <v>12426</v>
      </c>
      <c r="Y4269" t="s">
        <v>90</v>
      </c>
      <c r="AA4269" s="17" t="s">
        <v>118</v>
      </c>
      <c r="AB4269" t="s">
        <v>119</v>
      </c>
    </row>
    <row r="4270" ht="15" customHeight="1" spans="1:22" x14ac:dyDescent="0.25">
      <c r="A4270" s="17" t="s">
        <v>12427</v>
      </c>
      <c r="B4270" s="17" t="s">
        <v>70</v>
      </c>
      <c r="C4270" s="17" t="s">
        <v>71</v>
      </c>
      <c r="D4270" t="s">
        <v>12393</v>
      </c>
      <c r="F4270" t="s">
        <v>2730</v>
      </c>
      <c r="K4270" s="18">
        <f>62818521112</f>
        <v>62818521112</v>
      </c>
      <c r="N4270" s="17" t="s">
        <v>77</v>
      </c>
      <c r="V4270" s="18">
        <f>62818521112</f>
        <v>62818521112</v>
      </c>
    </row>
    <row r="4271" ht="15" customHeight="1" spans="1:22" x14ac:dyDescent="0.25">
      <c r="A4271" s="17" t="s">
        <v>12428</v>
      </c>
      <c r="B4271" s="17" t="s">
        <v>70</v>
      </c>
      <c r="C4271" s="17" t="s">
        <v>71</v>
      </c>
      <c r="D4271" t="s">
        <v>12393</v>
      </c>
      <c r="F4271" t="s">
        <v>653</v>
      </c>
      <c r="K4271" s="18">
        <f>62811870480</f>
        <v>62811870480</v>
      </c>
      <c r="N4271" s="17" t="s">
        <v>77</v>
      </c>
      <c r="V4271" s="18">
        <f>62811870480</f>
        <v>62811870480</v>
      </c>
    </row>
    <row r="4272" ht="15" customHeight="1" spans="1:28" x14ac:dyDescent="0.25">
      <c r="A4272" s="17" t="s">
        <v>12429</v>
      </c>
      <c r="B4272" s="17" t="s">
        <v>70</v>
      </c>
      <c r="C4272" s="17" t="s">
        <v>71</v>
      </c>
      <c r="D4272" t="s">
        <v>12430</v>
      </c>
      <c r="F4272" t="s">
        <v>4340</v>
      </c>
      <c r="J4272" t="s">
        <v>115</v>
      </c>
      <c r="K4272" s="18" t="s">
        <v>12431</v>
      </c>
      <c r="N4272" s="17" t="s">
        <v>81</v>
      </c>
      <c r="O4272" t="s">
        <v>117</v>
      </c>
      <c r="V4272" s="18" t="s">
        <v>12431</v>
      </c>
      <c r="Y4272" t="s">
        <v>90</v>
      </c>
      <c r="AA4272" t="s">
        <v>118</v>
      </c>
      <c r="AB4272" t="s">
        <v>119</v>
      </c>
    </row>
    <row r="4273" ht="15" customHeight="1" spans="1:27" x14ac:dyDescent="0.25">
      <c r="A4273" s="17" t="s">
        <v>12432</v>
      </c>
      <c r="B4273" s="17" t="s">
        <v>70</v>
      </c>
      <c r="C4273" s="17" t="s">
        <v>71</v>
      </c>
      <c r="D4273" t="s">
        <v>12393</v>
      </c>
      <c r="F4273" t="s">
        <v>12433</v>
      </c>
      <c r="J4273" s="17" t="s">
        <v>12434</v>
      </c>
      <c r="K4273" s="18">
        <f>628119202686</f>
        <v>628119202686</v>
      </c>
      <c r="N4273" s="17" t="s">
        <v>77</v>
      </c>
      <c r="U4273" s="17"/>
      <c r="V4273" s="18">
        <f>628119202686</f>
        <v>628119202686</v>
      </c>
      <c r="W4273" t="s">
        <v>12435</v>
      </c>
      <c r="Y4273" s="17" t="s">
        <v>90</v>
      </c>
      <c r="AA4273" s="17">
        <v>14450</v>
      </c>
    </row>
    <row r="4274" ht="15" customHeight="1" spans="1:22" x14ac:dyDescent="0.25">
      <c r="A4274" s="17" t="s">
        <v>12436</v>
      </c>
      <c r="B4274" s="17" t="s">
        <v>70</v>
      </c>
      <c r="C4274" s="17" t="s">
        <v>71</v>
      </c>
      <c r="D4274" t="s">
        <v>12393</v>
      </c>
      <c r="F4274" t="s">
        <v>1169</v>
      </c>
      <c r="K4274" s="18">
        <f>628179168178</f>
        <v>628179168178</v>
      </c>
      <c r="N4274" s="17" t="s">
        <v>77</v>
      </c>
      <c r="V4274" s="18">
        <f>628179168178</f>
        <v>628179168178</v>
      </c>
    </row>
    <row r="4275" ht="15" customHeight="1" spans="1:22" x14ac:dyDescent="0.25">
      <c r="A4275" s="17" t="s">
        <v>12437</v>
      </c>
      <c r="B4275" s="17" t="s">
        <v>70</v>
      </c>
      <c r="C4275" s="17" t="s">
        <v>71</v>
      </c>
      <c r="D4275" t="s">
        <v>12438</v>
      </c>
      <c r="F4275" t="s">
        <v>12438</v>
      </c>
      <c r="K4275" s="18">
        <f>6285716273043</f>
        <v>6285716273043</v>
      </c>
      <c r="N4275" s="17" t="s">
        <v>77</v>
      </c>
      <c r="V4275" s="18">
        <f>6285716273043</f>
        <v>6285716273043</v>
      </c>
    </row>
    <row r="4276" ht="15" customHeight="1" spans="1:22" x14ac:dyDescent="0.25">
      <c r="A4276" s="17" t="s">
        <v>12439</v>
      </c>
      <c r="B4276" s="17" t="s">
        <v>70</v>
      </c>
      <c r="C4276" s="17" t="s">
        <v>71</v>
      </c>
      <c r="D4276" t="s">
        <v>12440</v>
      </c>
      <c r="F4276" t="s">
        <v>5115</v>
      </c>
      <c r="K4276" s="18">
        <f>6281337280082</f>
        <v>6281337280082</v>
      </c>
      <c r="N4276" s="17" t="s">
        <v>81</v>
      </c>
      <c r="V4276" s="18">
        <f>6281337280082</f>
        <v>6281337280082</v>
      </c>
    </row>
    <row r="4277" ht="15" customHeight="1" spans="1:23" x14ac:dyDescent="0.25">
      <c r="A4277" s="17" t="s">
        <v>12441</v>
      </c>
      <c r="B4277" s="17" t="s">
        <v>70</v>
      </c>
      <c r="C4277" s="17" t="s">
        <v>71</v>
      </c>
      <c r="D4277" t="s">
        <v>12442</v>
      </c>
      <c r="F4277" t="s">
        <v>6028</v>
      </c>
      <c r="J4277" s="17" t="s">
        <v>12443</v>
      </c>
      <c r="K4277" s="18">
        <f>628119890789</f>
        <v>628119890789</v>
      </c>
      <c r="N4277" s="17" t="s">
        <v>77</v>
      </c>
      <c r="U4277" s="17"/>
      <c r="V4277" s="18">
        <f>628119890789</f>
        <v>628119890789</v>
      </c>
      <c r="W4277" t="s">
        <v>12444</v>
      </c>
    </row>
    <row r="4278" ht="15" customHeight="1" spans="1:22" x14ac:dyDescent="0.25">
      <c r="A4278" s="17" t="s">
        <v>12445</v>
      </c>
      <c r="B4278" s="17" t="s">
        <v>70</v>
      </c>
      <c r="C4278" s="17" t="s">
        <v>71</v>
      </c>
      <c r="D4278" t="s">
        <v>12446</v>
      </c>
      <c r="F4278" t="s">
        <v>12447</v>
      </c>
      <c r="K4278" s="18">
        <f>62816800103</f>
        <v>62816800103</v>
      </c>
      <c r="N4278" s="17" t="s">
        <v>74</v>
      </c>
      <c r="V4278" s="18">
        <f>62816800103</f>
        <v>62816800103</v>
      </c>
    </row>
    <row r="4279" ht="15" customHeight="1" spans="1:23" x14ac:dyDescent="0.25">
      <c r="A4279" s="17" t="s">
        <v>12448</v>
      </c>
      <c r="B4279" s="17" t="s">
        <v>70</v>
      </c>
      <c r="C4279" s="17" t="s">
        <v>71</v>
      </c>
      <c r="D4279" t="s">
        <v>12449</v>
      </c>
      <c r="F4279" t="s">
        <v>12450</v>
      </c>
      <c r="K4279" s="18">
        <f>6281511031111</f>
        <v>6281511031111</v>
      </c>
      <c r="N4279" s="17" t="s">
        <v>77</v>
      </c>
      <c r="U4279" s="17"/>
      <c r="V4279" s="18">
        <f>6281511031111</f>
        <v>6281511031111</v>
      </c>
      <c r="W4279" t="s">
        <v>12451</v>
      </c>
    </row>
    <row r="4280" ht="15" customHeight="1" spans="1:23" x14ac:dyDescent="0.25">
      <c r="A4280" s="17" t="s">
        <v>12452</v>
      </c>
      <c r="B4280" s="17" t="s">
        <v>70</v>
      </c>
      <c r="C4280" s="17" t="s">
        <v>71</v>
      </c>
      <c r="D4280" t="s">
        <v>12418</v>
      </c>
      <c r="F4280" t="s">
        <v>11341</v>
      </c>
      <c r="K4280" s="18">
        <f>6281935188299</f>
        <v>6281935188299</v>
      </c>
      <c r="N4280" s="17" t="s">
        <v>77</v>
      </c>
      <c r="U4280" s="17"/>
      <c r="V4280" s="18">
        <f>6281935188299</f>
        <v>6281935188299</v>
      </c>
      <c r="W4280" t="s">
        <v>12453</v>
      </c>
    </row>
    <row r="4281" ht="15" customHeight="1" spans="1:22" x14ac:dyDescent="0.25">
      <c r="A4281" s="17" t="s">
        <v>12454</v>
      </c>
      <c r="B4281" s="17" t="s">
        <v>70</v>
      </c>
      <c r="C4281" s="17" t="s">
        <v>71</v>
      </c>
      <c r="D4281" t="s">
        <v>12418</v>
      </c>
      <c r="F4281" t="s">
        <v>12455</v>
      </c>
      <c r="K4281" s="18">
        <f>628161686101</f>
        <v>628161686101</v>
      </c>
      <c r="N4281" s="17" t="s">
        <v>81</v>
      </c>
      <c r="V4281" s="18">
        <f>628161686101</f>
        <v>628161686101</v>
      </c>
    </row>
    <row r="4282" ht="15" customHeight="1" spans="1:22" x14ac:dyDescent="0.25">
      <c r="A4282" s="17" t="s">
        <v>12456</v>
      </c>
      <c r="B4282" s="17" t="s">
        <v>70</v>
      </c>
      <c r="C4282" s="17" t="s">
        <v>71</v>
      </c>
      <c r="D4282" t="s">
        <v>12418</v>
      </c>
      <c r="F4282" t="s">
        <v>8041</v>
      </c>
      <c r="K4282" s="18">
        <f>628128703434</f>
        <v>628128703434</v>
      </c>
      <c r="N4282" s="17" t="s">
        <v>77</v>
      </c>
      <c r="V4282" s="18">
        <f>628128703434</f>
        <v>628128703434</v>
      </c>
    </row>
    <row r="4283" ht="15" customHeight="1" spans="1:22" x14ac:dyDescent="0.25">
      <c r="A4283" s="17" t="s">
        <v>12457</v>
      </c>
      <c r="B4283" s="17" t="s">
        <v>70</v>
      </c>
      <c r="C4283" s="17" t="s">
        <v>71</v>
      </c>
      <c r="D4283" t="s">
        <v>12418</v>
      </c>
      <c r="F4283" t="s">
        <v>10033</v>
      </c>
      <c r="K4283" s="18">
        <f>628179884598</f>
        <v>628179884598</v>
      </c>
      <c r="N4283" s="17" t="s">
        <v>77</v>
      </c>
      <c r="V4283" s="18">
        <f>628179884598</f>
        <v>628179884598</v>
      </c>
    </row>
    <row r="4284" ht="15" customHeight="1" spans="1:28" x14ac:dyDescent="0.25">
      <c r="A4284" s="17" t="s">
        <v>12458</v>
      </c>
      <c r="B4284" s="17" t="s">
        <v>70</v>
      </c>
      <c r="C4284" s="17" t="s">
        <v>71</v>
      </c>
      <c r="D4284" t="s">
        <v>12418</v>
      </c>
      <c r="F4284" t="s">
        <v>12459</v>
      </c>
      <c r="J4284" t="s">
        <v>115</v>
      </c>
      <c r="K4284" s="18" t="s">
        <v>12460</v>
      </c>
      <c r="N4284" s="17" t="s">
        <v>81</v>
      </c>
      <c r="O4284" t="s">
        <v>117</v>
      </c>
      <c r="V4284" s="18" t="s">
        <v>12460</v>
      </c>
      <c r="Y4284" t="s">
        <v>90</v>
      </c>
      <c r="AA4284" t="s">
        <v>118</v>
      </c>
      <c r="AB4284" t="s">
        <v>119</v>
      </c>
    </row>
    <row r="4285" ht="15" customHeight="1" spans="1:25" x14ac:dyDescent="0.25">
      <c r="A4285" s="17" t="s">
        <v>12461</v>
      </c>
      <c r="B4285" s="17" t="s">
        <v>70</v>
      </c>
      <c r="C4285" s="17" t="s">
        <v>71</v>
      </c>
      <c r="D4285" t="s">
        <v>12418</v>
      </c>
      <c r="F4285" t="s">
        <v>8871</v>
      </c>
      <c r="J4285" s="17" t="s">
        <v>12462</v>
      </c>
      <c r="K4285" s="18">
        <f>628111648111</f>
        <v>628111648111</v>
      </c>
      <c r="N4285" s="17" t="s">
        <v>77</v>
      </c>
      <c r="U4285" s="17"/>
      <c r="V4285" s="18">
        <f>628111648111</f>
        <v>628111648111</v>
      </c>
      <c r="W4285" t="s">
        <v>12463</v>
      </c>
      <c r="Y4285" s="17" t="s">
        <v>397</v>
      </c>
    </row>
    <row r="4286" ht="15" customHeight="1" spans="1:27" x14ac:dyDescent="0.25">
      <c r="A4286" s="17" t="s">
        <v>12464</v>
      </c>
      <c r="B4286" s="17" t="s">
        <v>70</v>
      </c>
      <c r="C4286" s="17" t="s">
        <v>71</v>
      </c>
      <c r="D4286" t="s">
        <v>12465</v>
      </c>
      <c r="F4286" t="s">
        <v>12466</v>
      </c>
      <c r="J4286" s="17" t="s">
        <v>12467</v>
      </c>
      <c r="K4286" s="18">
        <f>628117450510</f>
        <v>628117450510</v>
      </c>
      <c r="N4286" s="17" t="s">
        <v>77</v>
      </c>
      <c r="U4286" s="17"/>
      <c r="V4286" s="18">
        <f>628117450510</f>
        <v>628117450510</v>
      </c>
      <c r="W4286" t="s">
        <v>5003</v>
      </c>
      <c r="Y4286" s="17" t="s">
        <v>1084</v>
      </c>
      <c r="AA4286" s="17">
        <v>14240</v>
      </c>
    </row>
    <row r="4287" ht="15" customHeight="1" spans="1:28" x14ac:dyDescent="0.25">
      <c r="A4287" s="17" t="s">
        <v>12468</v>
      </c>
      <c r="B4287" s="17" t="s">
        <v>70</v>
      </c>
      <c r="C4287" s="17" t="s">
        <v>71</v>
      </c>
      <c r="D4287" t="s">
        <v>12469</v>
      </c>
      <c r="F4287" t="s">
        <v>509</v>
      </c>
      <c r="J4287" t="s">
        <v>115</v>
      </c>
      <c r="K4287" s="18" t="s">
        <v>12470</v>
      </c>
      <c r="N4287" s="17" t="s">
        <v>81</v>
      </c>
      <c r="O4287" t="s">
        <v>117</v>
      </c>
      <c r="V4287" s="18" t="s">
        <v>12470</v>
      </c>
      <c r="Y4287" t="s">
        <v>90</v>
      </c>
      <c r="AA4287" t="s">
        <v>118</v>
      </c>
      <c r="AB4287" t="s">
        <v>119</v>
      </c>
    </row>
    <row r="4288" ht="15" customHeight="1" spans="1:28" x14ac:dyDescent="0.25">
      <c r="A4288" s="17" t="s">
        <v>12471</v>
      </c>
      <c r="B4288" s="17" t="s">
        <v>70</v>
      </c>
      <c r="C4288" s="17" t="s">
        <v>71</v>
      </c>
      <c r="D4288" t="s">
        <v>12472</v>
      </c>
      <c r="F4288" t="s">
        <v>12473</v>
      </c>
      <c r="J4288" s="17" t="s">
        <v>12474</v>
      </c>
      <c r="K4288" s="18" t="s">
        <v>12475</v>
      </c>
      <c r="N4288" s="17" t="s">
        <v>77</v>
      </c>
      <c r="O4288" t="s">
        <v>117</v>
      </c>
      <c r="V4288" s="18" t="s">
        <v>12475</v>
      </c>
      <c r="Y4288" t="s">
        <v>704</v>
      </c>
      <c r="AA4288" t="s">
        <v>705</v>
      </c>
      <c r="AB4288" t="s">
        <v>119</v>
      </c>
    </row>
    <row r="4289" ht="15" customHeight="1" spans="1:25" x14ac:dyDescent="0.25">
      <c r="A4289" s="17" t="s">
        <v>12476</v>
      </c>
      <c r="B4289" s="17" t="s">
        <v>70</v>
      </c>
      <c r="C4289" s="17" t="s">
        <v>71</v>
      </c>
      <c r="D4289" t="s">
        <v>162</v>
      </c>
      <c r="F4289" t="s">
        <v>7089</v>
      </c>
      <c r="J4289" s="17" t="s">
        <v>12477</v>
      </c>
      <c r="K4289" s="18">
        <f>6287877748994</f>
        <v>6287877748994</v>
      </c>
      <c r="N4289" s="17" t="s">
        <v>77</v>
      </c>
      <c r="U4289" s="17"/>
      <c r="V4289" s="18">
        <f>6287877748994</f>
        <v>6287877748994</v>
      </c>
      <c r="W4289" t="s">
        <v>12478</v>
      </c>
      <c r="Y4289" s="17" t="s">
        <v>5003</v>
      </c>
    </row>
    <row r="4290" ht="15" customHeight="1" spans="1:23" x14ac:dyDescent="0.25">
      <c r="A4290" s="17" t="s">
        <v>12479</v>
      </c>
      <c r="B4290" s="17" t="s">
        <v>70</v>
      </c>
      <c r="C4290" s="17" t="s">
        <v>71</v>
      </c>
      <c r="D4290" t="s">
        <v>162</v>
      </c>
      <c r="F4290" t="s">
        <v>1064</v>
      </c>
      <c r="J4290" s="17" t="s">
        <v>12480</v>
      </c>
      <c r="K4290" s="18">
        <f>62811320268</f>
        <v>62811320268</v>
      </c>
      <c r="N4290" s="17" t="s">
        <v>81</v>
      </c>
      <c r="U4290" s="17"/>
      <c r="V4290" s="18">
        <f>62811320268</f>
        <v>62811320268</v>
      </c>
      <c r="W4290" t="s">
        <v>704</v>
      </c>
    </row>
    <row r="4291" ht="15" customHeight="1" spans="1:28" x14ac:dyDescent="0.25">
      <c r="A4291" s="17" t="s">
        <v>12481</v>
      </c>
      <c r="B4291" s="17" t="s">
        <v>70</v>
      </c>
      <c r="C4291" s="17" t="s">
        <v>71</v>
      </c>
      <c r="D4291" t="s">
        <v>162</v>
      </c>
      <c r="F4291" t="s">
        <v>355</v>
      </c>
      <c r="J4291" t="s">
        <v>115</v>
      </c>
      <c r="K4291" s="18" t="s">
        <v>12482</v>
      </c>
      <c r="N4291" s="17" t="s">
        <v>74</v>
      </c>
      <c r="O4291" t="s">
        <v>117</v>
      </c>
      <c r="V4291" s="18" t="s">
        <v>12482</v>
      </c>
      <c r="Y4291" t="s">
        <v>90</v>
      </c>
      <c r="AA4291" t="s">
        <v>118</v>
      </c>
      <c r="AB4291" t="s">
        <v>119</v>
      </c>
    </row>
    <row r="4292" ht="15" customHeight="1" spans="1:22" x14ac:dyDescent="0.25">
      <c r="A4292" s="17" t="s">
        <v>12483</v>
      </c>
      <c r="B4292" s="17" t="s">
        <v>70</v>
      </c>
      <c r="C4292" s="17" t="s">
        <v>71</v>
      </c>
      <c r="D4292" t="s">
        <v>162</v>
      </c>
      <c r="F4292" t="s">
        <v>12484</v>
      </c>
      <c r="J4292" s="17" t="s">
        <v>12485</v>
      </c>
      <c r="K4292" s="18">
        <f>628111751211</f>
        <v>628111751211</v>
      </c>
      <c r="N4292" s="17" t="s">
        <v>74</v>
      </c>
      <c r="V4292" s="18">
        <f>628111751211</f>
        <v>628111751211</v>
      </c>
    </row>
    <row r="4293" ht="15" customHeight="1" spans="1:25" x14ac:dyDescent="0.25">
      <c r="A4293" s="17" t="s">
        <v>12486</v>
      </c>
      <c r="B4293" s="17" t="s">
        <v>70</v>
      </c>
      <c r="C4293" s="17" t="s">
        <v>71</v>
      </c>
      <c r="D4293" t="s">
        <v>162</v>
      </c>
      <c r="F4293" t="s">
        <v>301</v>
      </c>
      <c r="K4293" s="18">
        <f>628551436369</f>
        <v>628551436369</v>
      </c>
      <c r="N4293" s="17" t="s">
        <v>81</v>
      </c>
      <c r="V4293" s="18">
        <f>628551436369</f>
        <v>628551436369</v>
      </c>
      <c r="Y4293" s="17" t="s">
        <v>96</v>
      </c>
    </row>
    <row r="4294" ht="15" customHeight="1" spans="1:22" x14ac:dyDescent="0.25">
      <c r="A4294" s="17" t="s">
        <v>12487</v>
      </c>
      <c r="B4294" s="17" t="s">
        <v>70</v>
      </c>
      <c r="C4294" s="17" t="s">
        <v>71</v>
      </c>
      <c r="D4294" t="s">
        <v>162</v>
      </c>
      <c r="F4294" t="s">
        <v>669</v>
      </c>
      <c r="K4294" s="18">
        <f>62818101010</f>
        <v>62818101010</v>
      </c>
      <c r="N4294" s="17" t="s">
        <v>81</v>
      </c>
      <c r="V4294" s="18">
        <f>62818101010</f>
        <v>62818101010</v>
      </c>
    </row>
    <row r="4295" ht="15" customHeight="1" spans="1:28" x14ac:dyDescent="0.25">
      <c r="A4295" s="17" t="s">
        <v>12488</v>
      </c>
      <c r="B4295" s="17" t="s">
        <v>70</v>
      </c>
      <c r="C4295" s="17" t="s">
        <v>71</v>
      </c>
      <c r="D4295" t="s">
        <v>12489</v>
      </c>
      <c r="F4295" t="s">
        <v>12490</v>
      </c>
      <c r="J4295" t="s">
        <v>115</v>
      </c>
      <c r="K4295" s="18" t="s">
        <v>12491</v>
      </c>
      <c r="N4295" s="17" t="s">
        <v>74</v>
      </c>
      <c r="O4295" t="s">
        <v>1188</v>
      </c>
      <c r="U4295" s="17"/>
      <c r="V4295" s="18" t="s">
        <v>12491</v>
      </c>
      <c r="W4295" t="s">
        <v>12492</v>
      </c>
      <c r="Y4295" s="17" t="s">
        <v>190</v>
      </c>
      <c r="AA4295" t="s">
        <v>118</v>
      </c>
      <c r="AB4295" t="s">
        <v>119</v>
      </c>
    </row>
    <row r="4296" ht="15" customHeight="1" spans="1:22" x14ac:dyDescent="0.25">
      <c r="A4296" s="17" t="s">
        <v>12493</v>
      </c>
      <c r="B4296" s="17" t="s">
        <v>70</v>
      </c>
      <c r="C4296" s="17" t="s">
        <v>71</v>
      </c>
      <c r="D4296" t="s">
        <v>12489</v>
      </c>
      <c r="F4296" t="s">
        <v>10121</v>
      </c>
      <c r="K4296" s="18">
        <f>6287882100009</f>
        <v>6287882100009</v>
      </c>
      <c r="N4296" s="17" t="s">
        <v>81</v>
      </c>
      <c r="V4296" s="18">
        <f>6287882100009</f>
        <v>6287882100009</v>
      </c>
    </row>
    <row r="4297" ht="15" customHeight="1" spans="1:22" x14ac:dyDescent="0.25">
      <c r="A4297" s="17" t="s">
        <v>12494</v>
      </c>
      <c r="B4297" s="17" t="s">
        <v>70</v>
      </c>
      <c r="C4297" s="17" t="s">
        <v>71</v>
      </c>
      <c r="D4297" t="s">
        <v>12489</v>
      </c>
      <c r="F4297" t="s">
        <v>12495</v>
      </c>
      <c r="K4297" s="18">
        <f>628111577566</f>
        <v>628111577566</v>
      </c>
      <c r="N4297" s="17" t="s">
        <v>77</v>
      </c>
      <c r="V4297" s="18">
        <f>628111577566</f>
        <v>628111577566</v>
      </c>
    </row>
    <row r="4298" ht="15" customHeight="1" spans="1:28" x14ac:dyDescent="0.25">
      <c r="A4298" s="17" t="s">
        <v>12496</v>
      </c>
      <c r="B4298" s="17" t="s">
        <v>70</v>
      </c>
      <c r="C4298" s="17" t="s">
        <v>71</v>
      </c>
      <c r="D4298" t="s">
        <v>12497</v>
      </c>
      <c r="F4298" t="s">
        <v>12498</v>
      </c>
      <c r="J4298" t="s">
        <v>115</v>
      </c>
      <c r="K4298" s="18" t="s">
        <v>12499</v>
      </c>
      <c r="N4298" s="17" t="s">
        <v>77</v>
      </c>
      <c r="O4298" t="s">
        <v>145</v>
      </c>
      <c r="V4298" s="18" t="s">
        <v>12499</v>
      </c>
      <c r="Y4298" t="s">
        <v>78</v>
      </c>
      <c r="AA4298" t="s">
        <v>115</v>
      </c>
      <c r="AB4298" t="s">
        <v>119</v>
      </c>
    </row>
    <row r="4299" ht="15" customHeight="1" spans="1:22" x14ac:dyDescent="0.25">
      <c r="A4299" s="17" t="s">
        <v>12500</v>
      </c>
      <c r="B4299" s="17" t="s">
        <v>70</v>
      </c>
      <c r="C4299" s="17" t="s">
        <v>71</v>
      </c>
      <c r="D4299" t="s">
        <v>12489</v>
      </c>
      <c r="F4299" t="s">
        <v>4107</v>
      </c>
      <c r="K4299" s="18">
        <f>628111774207</f>
        <v>628111774207</v>
      </c>
      <c r="N4299" s="17" t="s">
        <v>77</v>
      </c>
      <c r="V4299" s="18">
        <f>628111774207</f>
        <v>628111774207</v>
      </c>
    </row>
    <row r="4300" ht="15" customHeight="1" spans="1:22" x14ac:dyDescent="0.25">
      <c r="A4300" s="17" t="s">
        <v>12501</v>
      </c>
      <c r="B4300" s="17" t="s">
        <v>70</v>
      </c>
      <c r="C4300" s="17" t="s">
        <v>71</v>
      </c>
      <c r="D4300" t="s">
        <v>12489</v>
      </c>
      <c r="F4300" t="s">
        <v>5819</v>
      </c>
      <c r="K4300" s="18">
        <f>628119780158</f>
        <v>628119780158</v>
      </c>
      <c r="N4300" s="17" t="s">
        <v>77</v>
      </c>
      <c r="V4300" s="18">
        <f>628119780158</f>
        <v>628119780158</v>
      </c>
    </row>
    <row r="4301" ht="15" customHeight="1" spans="1:23" x14ac:dyDescent="0.25">
      <c r="A4301" s="17" t="s">
        <v>12502</v>
      </c>
      <c r="B4301" s="17" t="s">
        <v>70</v>
      </c>
      <c r="C4301" s="17" t="s">
        <v>71</v>
      </c>
      <c r="D4301" t="s">
        <v>12489</v>
      </c>
      <c r="F4301" t="s">
        <v>12503</v>
      </c>
      <c r="K4301" s="18">
        <f>6281399001100</f>
        <v>6281399001100</v>
      </c>
      <c r="N4301" s="17" t="s">
        <v>81</v>
      </c>
      <c r="U4301" s="17"/>
      <c r="V4301" s="18">
        <f>6281399001100</f>
        <v>6281399001100</v>
      </c>
      <c r="W4301" t="s">
        <v>12504</v>
      </c>
    </row>
    <row r="4302" ht="15" customHeight="1" spans="1:22" x14ac:dyDescent="0.25">
      <c r="A4302" s="17" t="s">
        <v>12505</v>
      </c>
      <c r="B4302" s="17" t="s">
        <v>70</v>
      </c>
      <c r="C4302" s="17" t="s">
        <v>71</v>
      </c>
      <c r="D4302" t="s">
        <v>12506</v>
      </c>
      <c r="F4302" t="s">
        <v>12506</v>
      </c>
      <c r="K4302" s="18">
        <f>6281386262777</f>
        <v>6281386262777</v>
      </c>
      <c r="N4302" s="17" t="s">
        <v>77</v>
      </c>
      <c r="V4302" s="18">
        <f>6281386262777</f>
        <v>6281386262777</v>
      </c>
    </row>
    <row r="4303" ht="15" customHeight="1" spans="1:22" x14ac:dyDescent="0.25">
      <c r="A4303" s="17" t="s">
        <v>12507</v>
      </c>
      <c r="B4303" s="17" t="s">
        <v>70</v>
      </c>
      <c r="C4303" s="17" t="s">
        <v>71</v>
      </c>
      <c r="D4303" t="s">
        <v>12506</v>
      </c>
      <c r="F4303" t="s">
        <v>7914</v>
      </c>
      <c r="K4303" s="18">
        <f>6285880310001</f>
        <v>6285880310001</v>
      </c>
      <c r="N4303" s="17" t="s">
        <v>81</v>
      </c>
      <c r="V4303" s="18">
        <f>6285880310001</f>
        <v>6285880310001</v>
      </c>
    </row>
    <row r="4304" ht="15" customHeight="1" spans="1:22" x14ac:dyDescent="0.25">
      <c r="A4304" s="17" t="s">
        <v>12508</v>
      </c>
      <c r="B4304" s="17" t="s">
        <v>70</v>
      </c>
      <c r="C4304" s="17" t="s">
        <v>71</v>
      </c>
      <c r="D4304" t="s">
        <v>12509</v>
      </c>
      <c r="F4304" t="s">
        <v>12509</v>
      </c>
      <c r="K4304" s="18">
        <f>628557871181</f>
        <v>628557871181</v>
      </c>
      <c r="N4304" s="17" t="s">
        <v>81</v>
      </c>
      <c r="V4304" s="18">
        <f>628557871181</f>
        <v>628557871181</v>
      </c>
    </row>
    <row r="4305" ht="15" customHeight="1" spans="1:25" x14ac:dyDescent="0.25">
      <c r="A4305" s="17" t="s">
        <v>12510</v>
      </c>
      <c r="B4305" s="17" t="s">
        <v>70</v>
      </c>
      <c r="C4305" s="17" t="s">
        <v>71</v>
      </c>
      <c r="D4305" t="s">
        <v>12511</v>
      </c>
      <c r="F4305" t="s">
        <v>12511</v>
      </c>
      <c r="K4305" s="18">
        <f>628161623461</f>
        <v>628161623461</v>
      </c>
      <c r="N4305" s="17" t="s">
        <v>77</v>
      </c>
      <c r="U4305" s="17"/>
      <c r="V4305" s="18">
        <f>628161623461</f>
        <v>628161623461</v>
      </c>
      <c r="W4305" t="s">
        <v>12512</v>
      </c>
      <c r="Y4305" s="17" t="s">
        <v>626</v>
      </c>
    </row>
    <row r="4306" ht="15" customHeight="1" spans="1:22" x14ac:dyDescent="0.25">
      <c r="A4306" s="17" t="s">
        <v>12513</v>
      </c>
      <c r="B4306" s="17" t="s">
        <v>70</v>
      </c>
      <c r="C4306" s="17" t="s">
        <v>71</v>
      </c>
      <c r="D4306" t="s">
        <v>12514</v>
      </c>
      <c r="F4306" t="s">
        <v>12515</v>
      </c>
      <c r="K4306" s="18">
        <f>62812366766</f>
        <v>62812366766</v>
      </c>
      <c r="N4306" s="17" t="s">
        <v>77</v>
      </c>
      <c r="V4306" s="18">
        <f>62812366766</f>
        <v>62812366766</v>
      </c>
    </row>
    <row r="4307" ht="15" customHeight="1" spans="1:25" x14ac:dyDescent="0.25">
      <c r="A4307" s="17" t="s">
        <v>12516</v>
      </c>
      <c r="B4307" s="17" t="s">
        <v>70</v>
      </c>
      <c r="C4307" s="17" t="s">
        <v>71</v>
      </c>
      <c r="D4307" t="s">
        <v>12517</v>
      </c>
      <c r="F4307" t="s">
        <v>12391</v>
      </c>
      <c r="K4307" s="18">
        <f>6281227664760</f>
        <v>6281227664760</v>
      </c>
      <c r="N4307" s="17" t="s">
        <v>77</v>
      </c>
      <c r="U4307" s="17"/>
      <c r="V4307" s="18">
        <f>6281227664760</f>
        <v>6281227664760</v>
      </c>
      <c r="W4307" t="s">
        <v>12518</v>
      </c>
      <c r="Y4307" s="17" t="s">
        <v>96</v>
      </c>
    </row>
    <row r="4308" ht="15" customHeight="1" spans="1:22" x14ac:dyDescent="0.25">
      <c r="A4308" s="17" t="s">
        <v>12519</v>
      </c>
      <c r="B4308" s="17" t="s">
        <v>70</v>
      </c>
      <c r="C4308" s="17" t="s">
        <v>71</v>
      </c>
      <c r="D4308" t="s">
        <v>12520</v>
      </c>
      <c r="F4308" t="s">
        <v>12520</v>
      </c>
      <c r="K4308" s="18">
        <f>62811935312</f>
        <v>62811935312</v>
      </c>
      <c r="N4308" s="17" t="s">
        <v>77</v>
      </c>
      <c r="V4308" s="18">
        <f>62811935312</f>
        <v>62811935312</v>
      </c>
    </row>
    <row r="4309" ht="15" customHeight="1" spans="1:28" x14ac:dyDescent="0.25">
      <c r="A4309" s="17" t="s">
        <v>12521</v>
      </c>
      <c r="B4309" s="17" t="s">
        <v>70</v>
      </c>
      <c r="C4309" s="17" t="s">
        <v>71</v>
      </c>
      <c r="D4309" t="s">
        <v>12520</v>
      </c>
      <c r="F4309" t="s">
        <v>492</v>
      </c>
      <c r="J4309" t="s">
        <v>115</v>
      </c>
      <c r="K4309" s="18" t="s">
        <v>12522</v>
      </c>
      <c r="N4309" s="17" t="s">
        <v>77</v>
      </c>
      <c r="O4309" t="s">
        <v>199</v>
      </c>
      <c r="V4309" s="18" t="s">
        <v>12522</v>
      </c>
      <c r="Y4309" t="s">
        <v>90</v>
      </c>
      <c r="AA4309" t="s">
        <v>118</v>
      </c>
      <c r="AB4309" t="s">
        <v>119</v>
      </c>
    </row>
    <row r="4310" ht="15" customHeight="1" spans="1:25" x14ac:dyDescent="0.25">
      <c r="A4310" s="17" t="s">
        <v>12523</v>
      </c>
      <c r="B4310" s="17" t="s">
        <v>70</v>
      </c>
      <c r="C4310" s="17" t="s">
        <v>71</v>
      </c>
      <c r="D4310" t="s">
        <v>12524</v>
      </c>
      <c r="F4310" t="s">
        <v>12524</v>
      </c>
      <c r="K4310" s="18">
        <f>62816883064</f>
        <v>62816883064</v>
      </c>
      <c r="N4310" s="17" t="s">
        <v>77</v>
      </c>
      <c r="U4310" s="17"/>
      <c r="V4310" s="18">
        <f>62816883064</f>
        <v>62816883064</v>
      </c>
      <c r="W4310" t="s">
        <v>12525</v>
      </c>
      <c r="Y4310" s="17" t="s">
        <v>12526</v>
      </c>
    </row>
    <row r="4311" ht="15" customHeight="1" spans="1:28" x14ac:dyDescent="0.25">
      <c r="A4311" s="17" t="s">
        <v>12527</v>
      </c>
      <c r="B4311" s="17" t="s">
        <v>70</v>
      </c>
      <c r="C4311" s="17" t="s">
        <v>71</v>
      </c>
      <c r="D4311" t="s">
        <v>12528</v>
      </c>
      <c r="F4311" t="s">
        <v>12529</v>
      </c>
      <c r="J4311" s="17" t="s">
        <v>12530</v>
      </c>
      <c r="K4311" s="18" t="s">
        <v>12531</v>
      </c>
      <c r="N4311" s="17" t="s">
        <v>77</v>
      </c>
      <c r="O4311" t="s">
        <v>199</v>
      </c>
      <c r="V4311" s="18" t="s">
        <v>12531</v>
      </c>
      <c r="Y4311" t="s">
        <v>217</v>
      </c>
      <c r="AA4311" t="s">
        <v>218</v>
      </c>
      <c r="AB4311" t="s">
        <v>119</v>
      </c>
    </row>
    <row r="4312" ht="15" customHeight="1" spans="1:22" x14ac:dyDescent="0.25">
      <c r="A4312" s="17" t="s">
        <v>12532</v>
      </c>
      <c r="B4312" s="17" t="s">
        <v>70</v>
      </c>
      <c r="C4312" s="17" t="s">
        <v>71</v>
      </c>
      <c r="D4312" t="s">
        <v>12533</v>
      </c>
      <c r="F4312" t="s">
        <v>12533</v>
      </c>
      <c r="K4312" s="18">
        <f>628123243414</f>
        <v>628123243414</v>
      </c>
      <c r="N4312" s="17" t="s">
        <v>81</v>
      </c>
      <c r="V4312" s="18">
        <f>628123243414</f>
        <v>628123243414</v>
      </c>
    </row>
    <row r="4313" ht="15" customHeight="1" spans="1:22" x14ac:dyDescent="0.25">
      <c r="A4313" s="17" t="s">
        <v>12534</v>
      </c>
      <c r="B4313" s="17" t="s">
        <v>70</v>
      </c>
      <c r="C4313" s="17" t="s">
        <v>71</v>
      </c>
      <c r="D4313" t="s">
        <v>12535</v>
      </c>
      <c r="F4313" t="s">
        <v>12535</v>
      </c>
      <c r="K4313" s="18">
        <f>62878207775161</f>
        <v>62878207775161</v>
      </c>
      <c r="N4313" s="17" t="s">
        <v>81</v>
      </c>
      <c r="V4313" s="18">
        <f>62878207775161</f>
        <v>62878207775161</v>
      </c>
    </row>
    <row r="4314" ht="15" customHeight="1" spans="1:22" x14ac:dyDescent="0.25">
      <c r="A4314" s="17" t="s">
        <v>12536</v>
      </c>
      <c r="B4314" s="17" t="s">
        <v>70</v>
      </c>
      <c r="C4314" s="17" t="s">
        <v>71</v>
      </c>
      <c r="D4314" t="s">
        <v>12537</v>
      </c>
      <c r="F4314" t="s">
        <v>12537</v>
      </c>
      <c r="K4314" s="18">
        <f>6281385069999</f>
        <v>6281385069999</v>
      </c>
      <c r="N4314" s="17" t="s">
        <v>77</v>
      </c>
      <c r="V4314" s="18">
        <f>6281385069999</f>
        <v>6281385069999</v>
      </c>
    </row>
    <row r="4315" ht="15" customHeight="1" spans="1:22" x14ac:dyDescent="0.25">
      <c r="A4315" s="17" t="s">
        <v>12538</v>
      </c>
      <c r="B4315" s="17" t="s">
        <v>70</v>
      </c>
      <c r="C4315" s="17" t="s">
        <v>71</v>
      </c>
      <c r="D4315" t="s">
        <v>12539</v>
      </c>
      <c r="F4315" t="s">
        <v>12539</v>
      </c>
      <c r="K4315" s="18">
        <f>6281298591418</f>
        <v>6281298591418</v>
      </c>
      <c r="N4315" s="17" t="s">
        <v>81</v>
      </c>
      <c r="V4315" s="18">
        <f>6281298591418</f>
        <v>6281298591418</v>
      </c>
    </row>
    <row r="4316" ht="15" customHeight="1" spans="1:23" x14ac:dyDescent="0.25">
      <c r="A4316" s="17" t="s">
        <v>12540</v>
      </c>
      <c r="B4316" s="17" t="s">
        <v>70</v>
      </c>
      <c r="C4316" s="17" t="s">
        <v>71</v>
      </c>
      <c r="D4316" t="s">
        <v>12539</v>
      </c>
      <c r="F4316" t="s">
        <v>12539</v>
      </c>
      <c r="K4316" s="18">
        <f>628121119000</f>
        <v>628121119000</v>
      </c>
      <c r="N4316" s="17" t="s">
        <v>81</v>
      </c>
      <c r="U4316" s="17"/>
      <c r="V4316" s="18">
        <f>628121119000</f>
        <v>628121119000</v>
      </c>
      <c r="W4316" t="s">
        <v>12541</v>
      </c>
    </row>
    <row r="4317" ht="15" customHeight="1" spans="1:25" x14ac:dyDescent="0.25">
      <c r="A4317" s="17" t="s">
        <v>12542</v>
      </c>
      <c r="B4317" s="17" t="s">
        <v>70</v>
      </c>
      <c r="C4317" s="17" t="s">
        <v>71</v>
      </c>
      <c r="D4317" t="s">
        <v>12539</v>
      </c>
      <c r="F4317" t="s">
        <v>12543</v>
      </c>
      <c r="K4317" s="18">
        <f>622172789508</f>
        <v>622172789508</v>
      </c>
      <c r="N4317" s="17" t="s">
        <v>77</v>
      </c>
      <c r="U4317" s="17"/>
      <c r="V4317" s="18">
        <f>622172789508</f>
        <v>622172789508</v>
      </c>
      <c r="W4317" t="s">
        <v>12544</v>
      </c>
      <c r="Y4317" s="17" t="s">
        <v>96</v>
      </c>
    </row>
    <row r="4318" ht="15" customHeight="1" spans="1:22" x14ac:dyDescent="0.25">
      <c r="A4318" s="17" t="s">
        <v>12545</v>
      </c>
      <c r="B4318" s="17" t="s">
        <v>70</v>
      </c>
      <c r="C4318" s="17" t="s">
        <v>71</v>
      </c>
      <c r="D4318" t="s">
        <v>12539</v>
      </c>
      <c r="F4318" t="s">
        <v>12543</v>
      </c>
      <c r="K4318" s="18">
        <f>6281218531160</f>
        <v>6281218531160</v>
      </c>
      <c r="N4318" s="17" t="s">
        <v>81</v>
      </c>
      <c r="V4318" s="18">
        <f>6281218531160</f>
        <v>6281218531160</v>
      </c>
    </row>
    <row r="4319" ht="15" customHeight="1" spans="1:28" x14ac:dyDescent="0.25">
      <c r="A4319" s="17" t="s">
        <v>12546</v>
      </c>
      <c r="B4319" s="17" t="s">
        <v>70</v>
      </c>
      <c r="C4319" s="17" t="s">
        <v>71</v>
      </c>
      <c r="D4319" t="s">
        <v>12539</v>
      </c>
      <c r="F4319" t="s">
        <v>12547</v>
      </c>
      <c r="J4319" t="s">
        <v>115</v>
      </c>
      <c r="K4319" s="18" t="s">
        <v>12548</v>
      </c>
      <c r="N4319" s="17" t="s">
        <v>77</v>
      </c>
      <c r="O4319" t="s">
        <v>145</v>
      </c>
      <c r="V4319" s="18" t="s">
        <v>12548</v>
      </c>
      <c r="Y4319" t="s">
        <v>1084</v>
      </c>
      <c r="AA4319" t="s">
        <v>3146</v>
      </c>
      <c r="AB4319" t="s">
        <v>119</v>
      </c>
    </row>
    <row r="4320" ht="15" customHeight="1" spans="1:23" x14ac:dyDescent="0.25">
      <c r="A4320" s="17" t="s">
        <v>12549</v>
      </c>
      <c r="B4320" s="17" t="s">
        <v>70</v>
      </c>
      <c r="C4320" s="17" t="s">
        <v>71</v>
      </c>
      <c r="D4320" t="s">
        <v>12539</v>
      </c>
      <c r="F4320" t="s">
        <v>12550</v>
      </c>
      <c r="K4320" s="18">
        <f>6287877569618</f>
        <v>6287877569618</v>
      </c>
      <c r="N4320" s="17" t="s">
        <v>81</v>
      </c>
      <c r="U4320" s="17"/>
      <c r="V4320" s="18">
        <f>6287877569618</f>
        <v>6287877569618</v>
      </c>
      <c r="W4320" t="s">
        <v>12551</v>
      </c>
    </row>
    <row r="4321" ht="15" customHeight="1" spans="1:22" x14ac:dyDescent="0.25">
      <c r="A4321" s="17" t="s">
        <v>12552</v>
      </c>
      <c r="B4321" s="17" t="s">
        <v>70</v>
      </c>
      <c r="C4321" s="17" t="s">
        <v>71</v>
      </c>
      <c r="D4321" t="s">
        <v>12553</v>
      </c>
      <c r="F4321" t="s">
        <v>12554</v>
      </c>
      <c r="K4321" s="18">
        <f>628178543613</f>
        <v>628178543613</v>
      </c>
      <c r="N4321" s="17" t="s">
        <v>77</v>
      </c>
      <c r="V4321" s="18">
        <f>628178543613</f>
        <v>628178543613</v>
      </c>
    </row>
    <row r="4322" ht="15" customHeight="1" spans="1:22" x14ac:dyDescent="0.25">
      <c r="A4322" s="17" t="s">
        <v>12555</v>
      </c>
      <c r="B4322" s="17" t="s">
        <v>70</v>
      </c>
      <c r="C4322" s="17" t="s">
        <v>71</v>
      </c>
      <c r="D4322" t="s">
        <v>12556</v>
      </c>
      <c r="F4322" t="s">
        <v>12556</v>
      </c>
      <c r="K4322" s="18">
        <f>6287885930656</f>
        <v>6287885930656</v>
      </c>
      <c r="N4322" s="17" t="s">
        <v>77</v>
      </c>
      <c r="V4322" s="18">
        <f>6287885930656</f>
        <v>6287885930656</v>
      </c>
    </row>
    <row r="4323" ht="15" customHeight="1" spans="1:27" x14ac:dyDescent="0.25">
      <c r="A4323" s="17" t="s">
        <v>12557</v>
      </c>
      <c r="B4323" s="17" t="s">
        <v>70</v>
      </c>
      <c r="C4323" s="17" t="s">
        <v>71</v>
      </c>
      <c r="D4323" t="s">
        <v>12558</v>
      </c>
      <c r="F4323" t="s">
        <v>12559</v>
      </c>
      <c r="K4323" s="18">
        <f>6281513311388</f>
        <v>6281513311388</v>
      </c>
      <c r="N4323" s="17" t="s">
        <v>77</v>
      </c>
      <c r="U4323" s="17"/>
      <c r="V4323" s="18">
        <f>6281513311388</f>
        <v>6281513311388</v>
      </c>
      <c r="W4323" t="s">
        <v>12560</v>
      </c>
      <c r="AA4323" s="17">
        <v>12170</v>
      </c>
    </row>
    <row r="4324" ht="15" customHeight="1" spans="1:28" x14ac:dyDescent="0.25">
      <c r="A4324" s="17" t="s">
        <v>12561</v>
      </c>
      <c r="B4324" s="17" t="s">
        <v>70</v>
      </c>
      <c r="C4324" s="17" t="s">
        <v>71</v>
      </c>
      <c r="D4324" t="s">
        <v>12562</v>
      </c>
      <c r="F4324" t="s">
        <v>12563</v>
      </c>
      <c r="J4324" t="s">
        <v>12564</v>
      </c>
      <c r="K4324" s="18" t="s">
        <v>12565</v>
      </c>
      <c r="N4324" s="17" t="s">
        <v>81</v>
      </c>
      <c r="O4324" t="s">
        <v>145</v>
      </c>
      <c r="U4324" s="17"/>
      <c r="V4324" s="18" t="s">
        <v>12565</v>
      </c>
      <c r="W4324" t="s">
        <v>12566</v>
      </c>
      <c r="Y4324" t="s">
        <v>1084</v>
      </c>
      <c r="AA4324" t="s">
        <v>3146</v>
      </c>
      <c r="AB4324" t="s">
        <v>119</v>
      </c>
    </row>
    <row r="4325" ht="15" customHeight="1" spans="1:28" x14ac:dyDescent="0.25">
      <c r="A4325" s="17" t="s">
        <v>12567</v>
      </c>
      <c r="B4325" s="17" t="s">
        <v>70</v>
      </c>
      <c r="C4325" s="17" t="s">
        <v>71</v>
      </c>
      <c r="D4325" t="s">
        <v>12568</v>
      </c>
      <c r="F4325" t="s">
        <v>12569</v>
      </c>
      <c r="J4325" s="17" t="s">
        <v>12570</v>
      </c>
      <c r="K4325" s="18" t="s">
        <v>12571</v>
      </c>
      <c r="N4325" s="17" t="s">
        <v>77</v>
      </c>
      <c r="O4325" t="s">
        <v>199</v>
      </c>
      <c r="U4325" s="17"/>
      <c r="V4325" s="18" t="s">
        <v>12571</v>
      </c>
      <c r="W4325" t="s">
        <v>12572</v>
      </c>
      <c r="Y4325" s="17" t="s">
        <v>90</v>
      </c>
      <c r="AA4325" t="s">
        <v>118</v>
      </c>
      <c r="AB4325" t="s">
        <v>119</v>
      </c>
    </row>
    <row r="4326" ht="15" customHeight="1" spans="1:22" x14ac:dyDescent="0.25">
      <c r="A4326" s="17" t="s">
        <v>12573</v>
      </c>
      <c r="B4326" s="17" t="s">
        <v>70</v>
      </c>
      <c r="C4326" s="17" t="s">
        <v>71</v>
      </c>
      <c r="D4326" t="s">
        <v>12574</v>
      </c>
      <c r="F4326" t="s">
        <v>12574</v>
      </c>
      <c r="K4326" s="18">
        <f>6281310797008</f>
        <v>6281310797008</v>
      </c>
      <c r="N4326" s="17" t="s">
        <v>77</v>
      </c>
      <c r="V4326" s="18">
        <f>6281310797008</f>
        <v>6281310797008</v>
      </c>
    </row>
    <row r="4327" ht="15" customHeight="1" spans="1:22" x14ac:dyDescent="0.25">
      <c r="A4327" s="17" t="s">
        <v>12575</v>
      </c>
      <c r="B4327" s="17" t="s">
        <v>70</v>
      </c>
      <c r="C4327" s="17" t="s">
        <v>71</v>
      </c>
      <c r="D4327" t="s">
        <v>12574</v>
      </c>
      <c r="F4327" t="s">
        <v>12576</v>
      </c>
      <c r="K4327" s="18">
        <f>628161649999</f>
        <v>628161649999</v>
      </c>
      <c r="N4327" s="17" t="s">
        <v>81</v>
      </c>
      <c r="V4327" s="18">
        <f>628161649999</f>
        <v>628161649999</v>
      </c>
    </row>
    <row r="4328" ht="15" customHeight="1" spans="1:22" x14ac:dyDescent="0.25">
      <c r="A4328" s="17" t="s">
        <v>12577</v>
      </c>
      <c r="B4328" s="17" t="s">
        <v>70</v>
      </c>
      <c r="C4328" s="17" t="s">
        <v>71</v>
      </c>
      <c r="D4328" t="s">
        <v>12574</v>
      </c>
      <c r="F4328" t="s">
        <v>12578</v>
      </c>
      <c r="K4328" s="18">
        <f>62811100329</f>
        <v>62811100329</v>
      </c>
      <c r="N4328" s="17" t="s">
        <v>81</v>
      </c>
      <c r="V4328" s="18">
        <f>62811100329</f>
        <v>62811100329</v>
      </c>
    </row>
    <row r="4329" ht="15" customHeight="1" spans="1:22" x14ac:dyDescent="0.25">
      <c r="A4329" s="17" t="s">
        <v>12579</v>
      </c>
      <c r="B4329" s="17" t="s">
        <v>70</v>
      </c>
      <c r="C4329" s="17" t="s">
        <v>71</v>
      </c>
      <c r="D4329" t="s">
        <v>12580</v>
      </c>
      <c r="F4329" t="s">
        <v>12580</v>
      </c>
      <c r="K4329" s="18">
        <f>62818160004</f>
        <v>62818160004</v>
      </c>
      <c r="N4329" s="17" t="s">
        <v>74</v>
      </c>
      <c r="V4329" s="18">
        <f>62818160004</f>
        <v>62818160004</v>
      </c>
    </row>
    <row r="4330" ht="15" customHeight="1" spans="1:22" x14ac:dyDescent="0.25">
      <c r="A4330" s="17" t="s">
        <v>12581</v>
      </c>
      <c r="B4330" s="17" t="s">
        <v>70</v>
      </c>
      <c r="C4330" s="17" t="s">
        <v>71</v>
      </c>
      <c r="D4330" t="s">
        <v>12582</v>
      </c>
      <c r="F4330" t="s">
        <v>12582</v>
      </c>
      <c r="K4330" s="18">
        <f>6285693959698</f>
        <v>6285693959698</v>
      </c>
      <c r="N4330" s="17" t="s">
        <v>77</v>
      </c>
      <c r="V4330" s="18">
        <f>6285693959698</f>
        <v>6285693959698</v>
      </c>
    </row>
    <row r="4331" ht="15" customHeight="1" spans="1:22" x14ac:dyDescent="0.25">
      <c r="A4331" s="17" t="s">
        <v>12583</v>
      </c>
      <c r="B4331" s="17" t="s">
        <v>70</v>
      </c>
      <c r="C4331" s="17" t="s">
        <v>71</v>
      </c>
      <c r="D4331" t="s">
        <v>12584</v>
      </c>
      <c r="F4331" t="s">
        <v>12585</v>
      </c>
      <c r="K4331" s="18">
        <f>62816726499</f>
        <v>62816726499</v>
      </c>
      <c r="N4331" s="17" t="s">
        <v>81</v>
      </c>
      <c r="V4331" s="18">
        <f>62816726499</f>
        <v>62816726499</v>
      </c>
    </row>
    <row r="4332" ht="15" customHeight="1" spans="1:23" x14ac:dyDescent="0.25">
      <c r="A4332" s="17" t="s">
        <v>12586</v>
      </c>
      <c r="B4332" s="17" t="s">
        <v>70</v>
      </c>
      <c r="C4332" s="17" t="s">
        <v>71</v>
      </c>
      <c r="D4332" t="s">
        <v>12587</v>
      </c>
      <c r="F4332" t="s">
        <v>12587</v>
      </c>
      <c r="K4332" s="18">
        <f>628211616874</f>
        <v>628211616874</v>
      </c>
      <c r="N4332" s="17" t="s">
        <v>81</v>
      </c>
      <c r="U4332" s="17"/>
      <c r="V4332" s="18">
        <f>628211616874</f>
        <v>628211616874</v>
      </c>
      <c r="W4332" t="s">
        <v>12588</v>
      </c>
    </row>
    <row r="4333" ht="15" customHeight="1" spans="1:22" x14ac:dyDescent="0.25">
      <c r="A4333" s="17" t="s">
        <v>12589</v>
      </c>
      <c r="B4333" s="17" t="s">
        <v>70</v>
      </c>
      <c r="C4333" s="17" t="s">
        <v>71</v>
      </c>
      <c r="D4333" t="s">
        <v>12587</v>
      </c>
      <c r="F4333" t="s">
        <v>12587</v>
      </c>
      <c r="K4333" s="18">
        <f>628129559982</f>
        <v>628129559982</v>
      </c>
      <c r="N4333" s="17" t="s">
        <v>77</v>
      </c>
      <c r="V4333" s="18">
        <f>628129559982</f>
        <v>628129559982</v>
      </c>
    </row>
    <row r="4334" ht="15" customHeight="1" spans="1:22" x14ac:dyDescent="0.25">
      <c r="A4334" s="17" t="s">
        <v>12590</v>
      </c>
      <c r="B4334" s="17" t="s">
        <v>70</v>
      </c>
      <c r="C4334" s="17" t="s">
        <v>71</v>
      </c>
      <c r="D4334" t="s">
        <v>12587</v>
      </c>
      <c r="F4334" t="s">
        <v>12591</v>
      </c>
      <c r="K4334" s="18">
        <f>6287813848354</f>
        <v>6287813848354</v>
      </c>
      <c r="N4334" s="17" t="s">
        <v>77</v>
      </c>
      <c r="V4334" s="18">
        <f>6287813848354</f>
        <v>6287813848354</v>
      </c>
    </row>
    <row r="4335" ht="15" customHeight="1" spans="1:28" x14ac:dyDescent="0.25">
      <c r="A4335" s="17" t="s">
        <v>12592</v>
      </c>
      <c r="B4335" s="17" t="s">
        <v>70</v>
      </c>
      <c r="C4335" s="17" t="s">
        <v>71</v>
      </c>
      <c r="D4335" t="s">
        <v>12587</v>
      </c>
      <c r="F4335" t="s">
        <v>12593</v>
      </c>
      <c r="J4335" t="s">
        <v>115</v>
      </c>
      <c r="K4335" s="18" t="s">
        <v>12594</v>
      </c>
      <c r="N4335" s="17" t="s">
        <v>77</v>
      </c>
      <c r="O4335" t="s">
        <v>489</v>
      </c>
      <c r="V4335" s="18" t="s">
        <v>12594</v>
      </c>
      <c r="Y4335" t="s">
        <v>190</v>
      </c>
      <c r="AA4335" t="s">
        <v>118</v>
      </c>
      <c r="AB4335" t="s">
        <v>119</v>
      </c>
    </row>
    <row r="4336" ht="15" customHeight="1" spans="1:25" x14ac:dyDescent="0.25">
      <c r="A4336" s="17" t="s">
        <v>12595</v>
      </c>
      <c r="B4336" s="17" t="s">
        <v>70</v>
      </c>
      <c r="C4336" s="17" t="s">
        <v>71</v>
      </c>
      <c r="D4336" t="s">
        <v>12587</v>
      </c>
      <c r="F4336" t="s">
        <v>472</v>
      </c>
      <c r="K4336" s="18">
        <f>6281212269494</f>
        <v>6281212269494</v>
      </c>
      <c r="N4336" s="17" t="s">
        <v>77</v>
      </c>
      <c r="U4336" s="17"/>
      <c r="V4336" s="18">
        <f>6281212269494</f>
        <v>6281212269494</v>
      </c>
      <c r="W4336" t="s">
        <v>12596</v>
      </c>
      <c r="Y4336" s="17" t="s">
        <v>217</v>
      </c>
    </row>
    <row r="4337" ht="15" customHeight="1" spans="1:27" x14ac:dyDescent="0.25">
      <c r="A4337" s="17" t="s">
        <v>12597</v>
      </c>
      <c r="B4337" s="17" t="s">
        <v>70</v>
      </c>
      <c r="C4337" s="17" t="s">
        <v>71</v>
      </c>
      <c r="D4337" t="s">
        <v>12587</v>
      </c>
      <c r="F4337" t="s">
        <v>2730</v>
      </c>
      <c r="J4337" s="17" t="s">
        <v>12598</v>
      </c>
      <c r="K4337" s="18">
        <f>6281328002727</f>
        <v>6281328002727</v>
      </c>
      <c r="N4337" s="17" t="s">
        <v>77</v>
      </c>
      <c r="U4337" s="17"/>
      <c r="V4337" s="18">
        <f>6281328002727</f>
        <v>6281328002727</v>
      </c>
      <c r="W4337" t="s">
        <v>12599</v>
      </c>
      <c r="Y4337" s="17" t="s">
        <v>12600</v>
      </c>
      <c r="AA4337" s="17">
        <v>55000</v>
      </c>
    </row>
    <row r="4338" ht="15" customHeight="1" spans="1:23" x14ac:dyDescent="0.25">
      <c r="A4338" s="17" t="s">
        <v>12601</v>
      </c>
      <c r="B4338" s="17" t="s">
        <v>70</v>
      </c>
      <c r="C4338" s="17" t="s">
        <v>71</v>
      </c>
      <c r="D4338" t="s">
        <v>12587</v>
      </c>
      <c r="F4338" t="s">
        <v>12602</v>
      </c>
      <c r="K4338" s="18">
        <f>628121270967</f>
        <v>628121270967</v>
      </c>
      <c r="N4338" s="17" t="s">
        <v>81</v>
      </c>
      <c r="U4338" s="17"/>
      <c r="V4338" s="18">
        <f>628121270967</f>
        <v>628121270967</v>
      </c>
      <c r="W4338" t="s">
        <v>12603</v>
      </c>
    </row>
    <row r="4339" ht="15" customHeight="1" spans="1:22" x14ac:dyDescent="0.25">
      <c r="A4339" s="17" t="s">
        <v>12604</v>
      </c>
      <c r="B4339" s="17" t="s">
        <v>70</v>
      </c>
      <c r="C4339" s="17" t="s">
        <v>71</v>
      </c>
      <c r="D4339" t="s">
        <v>12587</v>
      </c>
      <c r="F4339" t="s">
        <v>12605</v>
      </c>
      <c r="K4339" s="18">
        <f>62811171530</f>
        <v>62811171530</v>
      </c>
      <c r="N4339" s="17" t="s">
        <v>74</v>
      </c>
      <c r="V4339" s="18">
        <f>62811171530</f>
        <v>62811171530</v>
      </c>
    </row>
    <row r="4340" ht="15" customHeight="1" spans="1:22" x14ac:dyDescent="0.25">
      <c r="A4340" s="17" t="s">
        <v>12606</v>
      </c>
      <c r="B4340" s="17" t="s">
        <v>70</v>
      </c>
      <c r="C4340" s="17" t="s">
        <v>71</v>
      </c>
      <c r="D4340" t="s">
        <v>12587</v>
      </c>
      <c r="F4340" t="s">
        <v>12607</v>
      </c>
      <c r="K4340" s="18">
        <f>628119917745</f>
        <v>628119917745</v>
      </c>
      <c r="N4340" s="17" t="s">
        <v>74</v>
      </c>
      <c r="V4340" s="18">
        <f>628119917745</f>
        <v>628119917745</v>
      </c>
    </row>
    <row r="4341" ht="15" customHeight="1" spans="1:28" x14ac:dyDescent="0.25">
      <c r="A4341" s="17" t="s">
        <v>12608</v>
      </c>
      <c r="B4341" s="17" t="s">
        <v>70</v>
      </c>
      <c r="C4341" s="17" t="s">
        <v>71</v>
      </c>
      <c r="D4341" t="s">
        <v>12609</v>
      </c>
      <c r="F4341" t="s">
        <v>12610</v>
      </c>
      <c r="J4341" t="s">
        <v>115</v>
      </c>
      <c r="K4341" s="18" t="s">
        <v>12611</v>
      </c>
      <c r="N4341" s="17" t="s">
        <v>77</v>
      </c>
      <c r="O4341" t="s">
        <v>199</v>
      </c>
      <c r="U4341" s="17"/>
      <c r="V4341" s="18" t="s">
        <v>12611</v>
      </c>
      <c r="W4341" t="s">
        <v>12612</v>
      </c>
      <c r="Y4341" s="17" t="s">
        <v>90</v>
      </c>
      <c r="AA4341" t="s">
        <v>118</v>
      </c>
      <c r="AB4341" t="s">
        <v>119</v>
      </c>
    </row>
    <row r="4342" ht="15" customHeight="1" spans="1:28" x14ac:dyDescent="0.25">
      <c r="A4342" s="17" t="s">
        <v>12613</v>
      </c>
      <c r="B4342" s="17" t="s">
        <v>70</v>
      </c>
      <c r="C4342" s="17" t="s">
        <v>71</v>
      </c>
      <c r="D4342" t="s">
        <v>12614</v>
      </c>
      <c r="F4342" t="s">
        <v>12615</v>
      </c>
      <c r="J4342" t="s">
        <v>115</v>
      </c>
      <c r="K4342" s="18" t="s">
        <v>12616</v>
      </c>
      <c r="N4342" s="17" t="s">
        <v>74</v>
      </c>
      <c r="O4342" t="s">
        <v>117</v>
      </c>
      <c r="U4342" s="17"/>
      <c r="V4342" s="18" t="s">
        <v>12616</v>
      </c>
      <c r="W4342" t="s">
        <v>12617</v>
      </c>
      <c r="Y4342" t="s">
        <v>90</v>
      </c>
      <c r="AA4342" t="s">
        <v>118</v>
      </c>
      <c r="AB4342" t="s">
        <v>119</v>
      </c>
    </row>
    <row r="4343" ht="15" customHeight="1" spans="1:28" x14ac:dyDescent="0.25">
      <c r="A4343" s="17" t="s">
        <v>12618</v>
      </c>
      <c r="B4343" s="17" t="s">
        <v>70</v>
      </c>
      <c r="C4343" s="17" t="s">
        <v>71</v>
      </c>
      <c r="D4343" t="s">
        <v>12614</v>
      </c>
      <c r="F4343" t="s">
        <v>9399</v>
      </c>
      <c r="J4343" t="s">
        <v>115</v>
      </c>
      <c r="K4343" s="18" t="s">
        <v>12619</v>
      </c>
      <c r="N4343" s="17" t="s">
        <v>77</v>
      </c>
      <c r="O4343" t="s">
        <v>145</v>
      </c>
      <c r="V4343" s="18" t="s">
        <v>12619</v>
      </c>
      <c r="Y4343" t="s">
        <v>1084</v>
      </c>
      <c r="AA4343" t="s">
        <v>3146</v>
      </c>
      <c r="AB4343" t="s">
        <v>119</v>
      </c>
    </row>
    <row r="4344" ht="15" customHeight="1" spans="1:22" x14ac:dyDescent="0.25">
      <c r="A4344" s="17" t="s">
        <v>12620</v>
      </c>
      <c r="B4344" s="17" t="s">
        <v>70</v>
      </c>
      <c r="C4344" s="17" t="s">
        <v>71</v>
      </c>
      <c r="D4344" t="s">
        <v>12614</v>
      </c>
      <c r="F4344" t="s">
        <v>5783</v>
      </c>
      <c r="K4344" s="18">
        <f>62811293819686</f>
        <v>62811293819686</v>
      </c>
      <c r="N4344" s="17" t="s">
        <v>77</v>
      </c>
      <c r="V4344" s="18">
        <f>62811293819686</f>
        <v>62811293819686</v>
      </c>
    </row>
    <row r="4345" ht="15" customHeight="1" spans="1:22" x14ac:dyDescent="0.25">
      <c r="A4345" s="17" t="s">
        <v>12621</v>
      </c>
      <c r="B4345" s="17" t="s">
        <v>70</v>
      </c>
      <c r="C4345" s="17" t="s">
        <v>71</v>
      </c>
      <c r="D4345" t="s">
        <v>12614</v>
      </c>
      <c r="F4345" t="s">
        <v>12622</v>
      </c>
      <c r="K4345" s="18">
        <f>628111105989</f>
        <v>628111105989</v>
      </c>
      <c r="N4345" s="17" t="s">
        <v>74</v>
      </c>
      <c r="V4345" s="18">
        <f>628111105989</f>
        <v>628111105989</v>
      </c>
    </row>
    <row r="4346" ht="15" customHeight="1" spans="1:22" x14ac:dyDescent="0.25">
      <c r="A4346" s="17" t="s">
        <v>12623</v>
      </c>
      <c r="B4346" s="17" t="s">
        <v>70</v>
      </c>
      <c r="C4346" s="17" t="s">
        <v>71</v>
      </c>
      <c r="D4346" t="s">
        <v>12624</v>
      </c>
      <c r="F4346" t="s">
        <v>12625</v>
      </c>
      <c r="K4346" s="18">
        <f>628161420101</f>
        <v>628161420101</v>
      </c>
      <c r="N4346" s="17" t="s">
        <v>77</v>
      </c>
      <c r="V4346" s="18">
        <f>628161420101</f>
        <v>628161420101</v>
      </c>
    </row>
    <row r="4347" ht="15" customHeight="1" spans="1:28" x14ac:dyDescent="0.25">
      <c r="A4347" s="17" t="s">
        <v>12626</v>
      </c>
      <c r="B4347" s="17" t="s">
        <v>70</v>
      </c>
      <c r="C4347" s="17" t="s">
        <v>71</v>
      </c>
      <c r="D4347" t="s">
        <v>12627</v>
      </c>
      <c r="F4347" t="s">
        <v>12627</v>
      </c>
      <c r="J4347" t="s">
        <v>115</v>
      </c>
      <c r="K4347" s="18" t="s">
        <v>12628</v>
      </c>
      <c r="N4347" s="17" t="s">
        <v>77</v>
      </c>
      <c r="O4347" t="s">
        <v>489</v>
      </c>
      <c r="U4347" s="17"/>
      <c r="V4347" s="18" t="s">
        <v>12628</v>
      </c>
      <c r="W4347" t="s">
        <v>12629</v>
      </c>
      <c r="Y4347" t="s">
        <v>1707</v>
      </c>
      <c r="AA4347" s="17" t="s">
        <v>12630</v>
      </c>
      <c r="AB4347" t="s">
        <v>119</v>
      </c>
    </row>
    <row r="4348" ht="15" customHeight="1" spans="1:22" x14ac:dyDescent="0.25">
      <c r="A4348" s="17" t="s">
        <v>12631</v>
      </c>
      <c r="B4348" s="17" t="s">
        <v>70</v>
      </c>
      <c r="C4348" s="17" t="s">
        <v>71</v>
      </c>
      <c r="D4348" t="s">
        <v>12627</v>
      </c>
      <c r="F4348" t="s">
        <v>12632</v>
      </c>
      <c r="K4348" s="18">
        <f>628158369364</f>
        <v>628158369364</v>
      </c>
      <c r="N4348" s="17" t="s">
        <v>77</v>
      </c>
      <c r="V4348" s="18">
        <f>628158369364</f>
        <v>628158369364</v>
      </c>
    </row>
    <row r="4349" ht="15" customHeight="1" spans="1:23" x14ac:dyDescent="0.25">
      <c r="A4349" s="17" t="s">
        <v>12633</v>
      </c>
      <c r="B4349" s="17" t="s">
        <v>70</v>
      </c>
      <c r="C4349" s="17" t="s">
        <v>71</v>
      </c>
      <c r="D4349" t="s">
        <v>12609</v>
      </c>
      <c r="F4349" t="s">
        <v>12609</v>
      </c>
      <c r="K4349" s="18">
        <v>81901111683</v>
      </c>
      <c r="N4349" s="17" t="s">
        <v>81</v>
      </c>
      <c r="U4349" s="17"/>
      <c r="V4349" s="18">
        <v>81901111683</v>
      </c>
      <c r="W4349" t="s">
        <v>12634</v>
      </c>
    </row>
    <row r="4350" ht="15" customHeight="1" spans="1:22" x14ac:dyDescent="0.25">
      <c r="A4350" s="17" t="s">
        <v>12635</v>
      </c>
      <c r="B4350" s="17" t="s">
        <v>70</v>
      </c>
      <c r="C4350" s="17" t="s">
        <v>71</v>
      </c>
      <c r="D4350" t="s">
        <v>12609</v>
      </c>
      <c r="F4350" t="s">
        <v>12636</v>
      </c>
      <c r="K4350" s="18">
        <f>628118117219</f>
        <v>628118117219</v>
      </c>
      <c r="N4350" s="17" t="s">
        <v>81</v>
      </c>
      <c r="V4350" s="18">
        <f>628118117219</f>
        <v>628118117219</v>
      </c>
    </row>
    <row r="4351" ht="15" customHeight="1" spans="1:23" x14ac:dyDescent="0.25">
      <c r="A4351" s="17" t="s">
        <v>12637</v>
      </c>
      <c r="B4351" s="17" t="s">
        <v>70</v>
      </c>
      <c r="C4351" s="17" t="s">
        <v>71</v>
      </c>
      <c r="D4351" t="s">
        <v>12609</v>
      </c>
      <c r="F4351" t="s">
        <v>5777</v>
      </c>
      <c r="K4351" s="18">
        <f>6281586752626</f>
        <v>6281586752626</v>
      </c>
      <c r="N4351" s="17" t="s">
        <v>81</v>
      </c>
      <c r="U4351" s="17"/>
      <c r="V4351" s="18">
        <f>6281586752626</f>
        <v>6281586752626</v>
      </c>
      <c r="W4351" t="s">
        <v>12638</v>
      </c>
    </row>
    <row r="4352" ht="15" customHeight="1" spans="1:28" x14ac:dyDescent="0.25">
      <c r="A4352" s="17" t="s">
        <v>12639</v>
      </c>
      <c r="B4352" s="17" t="s">
        <v>70</v>
      </c>
      <c r="C4352" s="17" t="s">
        <v>71</v>
      </c>
      <c r="D4352" t="s">
        <v>12609</v>
      </c>
      <c r="F4352" t="s">
        <v>8970</v>
      </c>
      <c r="J4352" t="s">
        <v>115</v>
      </c>
      <c r="K4352" s="18" t="s">
        <v>12640</v>
      </c>
      <c r="N4352" s="17" t="s">
        <v>77</v>
      </c>
      <c r="O4352" t="s">
        <v>489</v>
      </c>
      <c r="V4352" s="18" t="s">
        <v>12640</v>
      </c>
      <c r="Y4352" t="s">
        <v>90</v>
      </c>
      <c r="AA4352" t="s">
        <v>118</v>
      </c>
      <c r="AB4352" t="s">
        <v>119</v>
      </c>
    </row>
    <row r="4353" ht="15" customHeight="1" spans="1:22" x14ac:dyDescent="0.25">
      <c r="A4353" s="17" t="s">
        <v>12641</v>
      </c>
      <c r="B4353" s="17" t="s">
        <v>70</v>
      </c>
      <c r="C4353" s="17" t="s">
        <v>71</v>
      </c>
      <c r="D4353" t="s">
        <v>12642</v>
      </c>
      <c r="F4353" t="s">
        <v>12642</v>
      </c>
      <c r="K4353" s="18">
        <f>62811816099</f>
        <v>62811816099</v>
      </c>
      <c r="N4353" s="17" t="s">
        <v>81</v>
      </c>
      <c r="V4353" s="18">
        <f>62811816099</f>
        <v>62811816099</v>
      </c>
    </row>
    <row r="4354" ht="15" customHeight="1" spans="1:22" x14ac:dyDescent="0.25">
      <c r="A4354" s="17" t="s">
        <v>12643</v>
      </c>
      <c r="B4354" s="17" t="s">
        <v>70</v>
      </c>
      <c r="C4354" s="17" t="s">
        <v>71</v>
      </c>
      <c r="D4354" t="s">
        <v>12642</v>
      </c>
      <c r="F4354" t="s">
        <v>12642</v>
      </c>
      <c r="K4354" s="18">
        <f>628161121875</f>
        <v>628161121875</v>
      </c>
      <c r="N4354" s="17" t="s">
        <v>77</v>
      </c>
      <c r="V4354" s="18">
        <f>628161121875</f>
        <v>628161121875</v>
      </c>
    </row>
    <row r="4355" ht="15" customHeight="1" spans="1:27" x14ac:dyDescent="0.25">
      <c r="A4355" s="17" t="s">
        <v>12644</v>
      </c>
      <c r="B4355" s="17" t="s">
        <v>70</v>
      </c>
      <c r="C4355" s="17" t="s">
        <v>71</v>
      </c>
      <c r="D4355" t="s">
        <v>12642</v>
      </c>
      <c r="F4355" t="s">
        <v>12117</v>
      </c>
      <c r="J4355" s="17" t="s">
        <v>12645</v>
      </c>
      <c r="K4355" s="18">
        <f>62881262051111</f>
        <v>62881262051111</v>
      </c>
      <c r="N4355" s="17" t="s">
        <v>77</v>
      </c>
      <c r="U4355" s="17"/>
      <c r="V4355" s="18">
        <f>62881262051111</f>
        <v>62881262051111</v>
      </c>
      <c r="W4355" t="s">
        <v>12646</v>
      </c>
      <c r="Y4355" s="17" t="s">
        <v>96</v>
      </c>
      <c r="AA4355" s="17">
        <v>12210</v>
      </c>
    </row>
    <row r="4356" ht="15" customHeight="1" spans="1:28" x14ac:dyDescent="0.25">
      <c r="A4356" s="17" t="s">
        <v>12647</v>
      </c>
      <c r="B4356" s="17" t="s">
        <v>70</v>
      </c>
      <c r="C4356" s="17" t="s">
        <v>71</v>
      </c>
      <c r="D4356" t="s">
        <v>12648</v>
      </c>
      <c r="F4356" t="s">
        <v>12648</v>
      </c>
      <c r="J4356" s="17" t="s">
        <v>12649</v>
      </c>
      <c r="K4356" s="18" t="s">
        <v>12650</v>
      </c>
      <c r="N4356" s="17" t="s">
        <v>77</v>
      </c>
      <c r="O4356" t="s">
        <v>145</v>
      </c>
      <c r="U4356" s="17"/>
      <c r="V4356" s="18" t="s">
        <v>12650</v>
      </c>
      <c r="W4356" t="s">
        <v>12651</v>
      </c>
      <c r="Y4356" s="17" t="s">
        <v>190</v>
      </c>
      <c r="AA4356" t="s">
        <v>118</v>
      </c>
      <c r="AB4356" t="s">
        <v>119</v>
      </c>
    </row>
    <row r="4357" ht="15" customHeight="1" spans="1:22" x14ac:dyDescent="0.25">
      <c r="A4357" s="17" t="s">
        <v>12652</v>
      </c>
      <c r="B4357" s="17" t="s">
        <v>70</v>
      </c>
      <c r="C4357" s="17" t="s">
        <v>71</v>
      </c>
      <c r="D4357" t="s">
        <v>12653</v>
      </c>
      <c r="F4357" t="s">
        <v>12653</v>
      </c>
      <c r="K4357" s="18">
        <f>628118708280</f>
        <v>628118708280</v>
      </c>
      <c r="N4357" s="17" t="s">
        <v>77</v>
      </c>
      <c r="V4357" s="18">
        <f>628118708280</f>
        <v>628118708280</v>
      </c>
    </row>
    <row r="4358" ht="15" customHeight="1" spans="1:23" x14ac:dyDescent="0.25">
      <c r="A4358" s="17" t="s">
        <v>12654</v>
      </c>
      <c r="B4358" s="17" t="s">
        <v>70</v>
      </c>
      <c r="C4358" s="17" t="s">
        <v>71</v>
      </c>
      <c r="D4358" t="s">
        <v>12653</v>
      </c>
      <c r="F4358" t="s">
        <v>2293</v>
      </c>
      <c r="K4358" s="18">
        <f>62811190170</f>
        <v>62811190170</v>
      </c>
      <c r="N4358" s="17" t="s">
        <v>81</v>
      </c>
      <c r="U4358" s="17"/>
      <c r="V4358" s="18">
        <f>62811190170</f>
        <v>62811190170</v>
      </c>
      <c r="W4358" t="s">
        <v>12655</v>
      </c>
    </row>
    <row r="4359" ht="15" customHeight="1" spans="1:23" x14ac:dyDescent="0.25">
      <c r="A4359" s="17" t="s">
        <v>12656</v>
      </c>
      <c r="B4359" s="17" t="s">
        <v>70</v>
      </c>
      <c r="C4359" s="17" t="s">
        <v>71</v>
      </c>
      <c r="D4359" t="s">
        <v>12653</v>
      </c>
      <c r="F4359" t="s">
        <v>12657</v>
      </c>
      <c r="K4359" s="18">
        <f>6281398025555</f>
        <v>6281398025555</v>
      </c>
      <c r="N4359" s="17" t="s">
        <v>81</v>
      </c>
      <c r="U4359" s="17"/>
      <c r="V4359" s="18">
        <f>6281398025555</f>
        <v>6281398025555</v>
      </c>
      <c r="W4359" t="s">
        <v>12658</v>
      </c>
    </row>
    <row r="4360" ht="15" customHeight="1" spans="1:22" x14ac:dyDescent="0.25">
      <c r="A4360" s="17" t="s">
        <v>12659</v>
      </c>
      <c r="B4360" s="17" t="s">
        <v>70</v>
      </c>
      <c r="C4360" s="17" t="s">
        <v>71</v>
      </c>
      <c r="D4360" t="s">
        <v>12653</v>
      </c>
      <c r="F4360" t="s">
        <v>12660</v>
      </c>
      <c r="K4360" s="18">
        <f>6287776003667</f>
        <v>6287776003667</v>
      </c>
      <c r="N4360" s="17" t="s">
        <v>81</v>
      </c>
      <c r="V4360" s="18">
        <f>6287776003667</f>
        <v>6287776003667</v>
      </c>
    </row>
    <row r="4361" ht="15" customHeight="1" spans="1:28" x14ac:dyDescent="0.25">
      <c r="A4361" s="17" t="s">
        <v>12661</v>
      </c>
      <c r="B4361" s="17" t="s">
        <v>70</v>
      </c>
      <c r="C4361" s="17" t="s">
        <v>71</v>
      </c>
      <c r="D4361" t="s">
        <v>12662</v>
      </c>
      <c r="F4361" t="s">
        <v>9553</v>
      </c>
      <c r="J4361" t="s">
        <v>115</v>
      </c>
      <c r="K4361" s="18" t="s">
        <v>12663</v>
      </c>
      <c r="N4361" s="17" t="s">
        <v>77</v>
      </c>
      <c r="O4361" t="s">
        <v>117</v>
      </c>
      <c r="V4361" s="18" t="s">
        <v>12663</v>
      </c>
      <c r="Y4361" t="s">
        <v>190</v>
      </c>
      <c r="AA4361" t="s">
        <v>118</v>
      </c>
      <c r="AB4361" t="s">
        <v>119</v>
      </c>
    </row>
    <row r="4362" ht="15" customHeight="1" spans="1:22" x14ac:dyDescent="0.25">
      <c r="A4362" s="17" t="s">
        <v>12664</v>
      </c>
      <c r="B4362" s="17" t="s">
        <v>70</v>
      </c>
      <c r="C4362" s="17" t="s">
        <v>71</v>
      </c>
      <c r="D4362" t="s">
        <v>12665</v>
      </c>
      <c r="F4362" t="s">
        <v>2159</v>
      </c>
      <c r="K4362" s="18">
        <f>62816968777</f>
        <v>62816968777</v>
      </c>
      <c r="N4362" s="17" t="s">
        <v>81</v>
      </c>
      <c r="V4362" s="18">
        <f>62816968777</f>
        <v>62816968777</v>
      </c>
    </row>
    <row r="4363" ht="15" customHeight="1" spans="1:22" x14ac:dyDescent="0.25">
      <c r="A4363" s="17" t="s">
        <v>12666</v>
      </c>
      <c r="B4363" s="17" t="s">
        <v>70</v>
      </c>
      <c r="C4363" s="17" t="s">
        <v>71</v>
      </c>
      <c r="D4363" t="s">
        <v>12665</v>
      </c>
      <c r="F4363" t="s">
        <v>3581</v>
      </c>
      <c r="K4363" s="18">
        <f>62811393352</f>
        <v>62811393352</v>
      </c>
      <c r="N4363" s="17" t="s">
        <v>77</v>
      </c>
      <c r="V4363" s="18">
        <f>62811393352</f>
        <v>62811393352</v>
      </c>
    </row>
    <row r="4364" ht="15" customHeight="1" spans="1:23" x14ac:dyDescent="0.25">
      <c r="A4364" s="17" t="s">
        <v>12667</v>
      </c>
      <c r="B4364" s="17" t="s">
        <v>70</v>
      </c>
      <c r="C4364" s="17" t="s">
        <v>71</v>
      </c>
      <c r="D4364" t="s">
        <v>12668</v>
      </c>
      <c r="F4364" t="s">
        <v>12669</v>
      </c>
      <c r="K4364" s="18">
        <f>6285692999992</f>
        <v>6285692999992</v>
      </c>
      <c r="N4364" s="17" t="s">
        <v>77</v>
      </c>
      <c r="U4364" s="17"/>
      <c r="V4364" s="18">
        <f>6285692999992</f>
        <v>6285692999992</v>
      </c>
      <c r="W4364" t="s">
        <v>12670</v>
      </c>
    </row>
    <row r="4365" ht="15" customHeight="1" spans="1:22" x14ac:dyDescent="0.25">
      <c r="A4365" s="17" t="s">
        <v>12671</v>
      </c>
      <c r="B4365" s="17" t="s">
        <v>70</v>
      </c>
      <c r="C4365" s="17" t="s">
        <v>71</v>
      </c>
      <c r="D4365" t="s">
        <v>12672</v>
      </c>
      <c r="F4365" t="s">
        <v>1130</v>
      </c>
      <c r="J4365" s="17" t="s">
        <v>12673</v>
      </c>
      <c r="K4365" s="18">
        <f>6281318421353</f>
        <v>6281318421353</v>
      </c>
      <c r="N4365" s="17" t="s">
        <v>77</v>
      </c>
      <c r="V4365" s="18">
        <f>6281318421353</f>
        <v>6281318421353</v>
      </c>
    </row>
    <row r="4366" ht="15" customHeight="1" spans="1:22" x14ac:dyDescent="0.25">
      <c r="A4366" s="17" t="s">
        <v>12674</v>
      </c>
      <c r="B4366" s="17" t="s">
        <v>70</v>
      </c>
      <c r="C4366" s="17" t="s">
        <v>71</v>
      </c>
      <c r="D4366" t="s">
        <v>12675</v>
      </c>
      <c r="F4366" t="s">
        <v>12676</v>
      </c>
      <c r="K4366" s="18">
        <f>628119122776</f>
        <v>628119122776</v>
      </c>
      <c r="N4366" s="17" t="s">
        <v>77</v>
      </c>
      <c r="V4366" s="18">
        <f>628119122776</f>
        <v>628119122776</v>
      </c>
    </row>
    <row r="4367" ht="15" customHeight="1" spans="1:22" x14ac:dyDescent="0.25">
      <c r="A4367" s="17" t="s">
        <v>12677</v>
      </c>
      <c r="B4367" s="17" t="s">
        <v>70</v>
      </c>
      <c r="C4367" s="17" t="s">
        <v>71</v>
      </c>
      <c r="D4367" t="s">
        <v>12678</v>
      </c>
      <c r="F4367" t="s">
        <v>12679</v>
      </c>
      <c r="K4367" s="18">
        <f>628159726789</f>
        <v>628159726789</v>
      </c>
      <c r="N4367" s="17" t="s">
        <v>77</v>
      </c>
      <c r="V4367" s="18">
        <f>628159726789</f>
        <v>628159726789</v>
      </c>
    </row>
    <row r="4368" ht="15" customHeight="1" spans="1:28" x14ac:dyDescent="0.25">
      <c r="A4368" s="17" t="s">
        <v>12680</v>
      </c>
      <c r="B4368" s="17" t="s">
        <v>70</v>
      </c>
      <c r="C4368" s="17" t="s">
        <v>71</v>
      </c>
      <c r="D4368" t="s">
        <v>12681</v>
      </c>
      <c r="F4368" t="s">
        <v>11575</v>
      </c>
      <c r="J4368" s="17" t="s">
        <v>12682</v>
      </c>
      <c r="K4368" s="18" t="s">
        <v>12683</v>
      </c>
      <c r="N4368" s="17" t="s">
        <v>77</v>
      </c>
      <c r="O4368" t="s">
        <v>489</v>
      </c>
      <c r="V4368" s="18" t="s">
        <v>12683</v>
      </c>
      <c r="Y4368" t="s">
        <v>115</v>
      </c>
      <c r="AA4368" t="s">
        <v>115</v>
      </c>
      <c r="AB4368" t="s">
        <v>2605</v>
      </c>
    </row>
    <row r="4369" ht="15" customHeight="1" spans="1:23" x14ac:dyDescent="0.25">
      <c r="A4369" s="17" t="s">
        <v>12684</v>
      </c>
      <c r="B4369" s="17" t="s">
        <v>70</v>
      </c>
      <c r="C4369" s="17" t="s">
        <v>71</v>
      </c>
      <c r="D4369" t="s">
        <v>12685</v>
      </c>
      <c r="F4369" t="s">
        <v>1783</v>
      </c>
      <c r="K4369" s="18">
        <f>6281808691717</f>
        <v>6281808691717</v>
      </c>
      <c r="N4369" s="17" t="s">
        <v>81</v>
      </c>
      <c r="U4369" s="17"/>
      <c r="V4369" s="18">
        <f>6281808691717</f>
        <v>6281808691717</v>
      </c>
      <c r="W4369" t="s">
        <v>12686</v>
      </c>
    </row>
    <row r="4370" ht="15" customHeight="1" spans="1:22" x14ac:dyDescent="0.25">
      <c r="A4370" s="17" t="s">
        <v>12687</v>
      </c>
      <c r="B4370" s="17" t="s">
        <v>70</v>
      </c>
      <c r="C4370" s="17" t="s">
        <v>71</v>
      </c>
      <c r="D4370" t="s">
        <v>12688</v>
      </c>
      <c r="F4370" t="s">
        <v>12688</v>
      </c>
      <c r="K4370" s="18">
        <f>628111555825</f>
        <v>628111555825</v>
      </c>
      <c r="N4370" s="17" t="s">
        <v>81</v>
      </c>
      <c r="V4370" s="18">
        <f>628111555825</f>
        <v>628111555825</v>
      </c>
    </row>
    <row r="4371" ht="15" customHeight="1" spans="1:22" x14ac:dyDescent="0.25">
      <c r="A4371" s="17" t="s">
        <v>12689</v>
      </c>
      <c r="B4371" s="17" t="s">
        <v>70</v>
      </c>
      <c r="C4371" s="17" t="s">
        <v>71</v>
      </c>
      <c r="D4371" t="s">
        <v>12688</v>
      </c>
      <c r="F4371" t="s">
        <v>12690</v>
      </c>
      <c r="K4371" s="18">
        <f>6285715122555</f>
        <v>6285715122555</v>
      </c>
      <c r="N4371" s="17" t="s">
        <v>77</v>
      </c>
      <c r="V4371" s="18">
        <f>6285715122555</f>
        <v>6285715122555</v>
      </c>
    </row>
    <row r="4372" ht="15" customHeight="1" spans="1:23" x14ac:dyDescent="0.25">
      <c r="A4372" s="17" t="s">
        <v>12691</v>
      </c>
      <c r="B4372" s="17" t="s">
        <v>70</v>
      </c>
      <c r="C4372" s="17" t="s">
        <v>71</v>
      </c>
      <c r="D4372" t="s">
        <v>12692</v>
      </c>
      <c r="F4372" t="s">
        <v>12693</v>
      </c>
      <c r="K4372" s="18">
        <f>6281286156768</f>
        <v>6281286156768</v>
      </c>
      <c r="N4372" s="17" t="s">
        <v>77</v>
      </c>
      <c r="U4372" s="17"/>
      <c r="V4372" s="18">
        <f>6281286156768</f>
        <v>6281286156768</v>
      </c>
      <c r="W4372" t="s">
        <v>12694</v>
      </c>
    </row>
    <row r="4373" ht="15" customHeight="1" spans="1:28" x14ac:dyDescent="0.25">
      <c r="A4373" s="17" t="s">
        <v>12695</v>
      </c>
      <c r="B4373" s="17" t="s">
        <v>70</v>
      </c>
      <c r="C4373" s="17" t="s">
        <v>71</v>
      </c>
      <c r="D4373" t="s">
        <v>5948</v>
      </c>
      <c r="F4373" t="s">
        <v>5948</v>
      </c>
      <c r="J4373" t="s">
        <v>12696</v>
      </c>
      <c r="K4373" s="18" t="s">
        <v>12697</v>
      </c>
      <c r="N4373" s="17" t="s">
        <v>77</v>
      </c>
      <c r="O4373" t="s">
        <v>199</v>
      </c>
      <c r="U4373" s="17"/>
      <c r="V4373" s="18" t="s">
        <v>12697</v>
      </c>
      <c r="W4373" t="s">
        <v>12698</v>
      </c>
      <c r="Y4373" t="s">
        <v>1084</v>
      </c>
      <c r="AA4373" t="s">
        <v>3146</v>
      </c>
      <c r="AB4373" t="s">
        <v>119</v>
      </c>
    </row>
    <row r="4374" ht="15" customHeight="1" spans="1:27" x14ac:dyDescent="0.25">
      <c r="A4374" s="17" t="s">
        <v>12699</v>
      </c>
      <c r="B4374" s="17" t="s">
        <v>70</v>
      </c>
      <c r="C4374" s="17" t="s">
        <v>71</v>
      </c>
      <c r="D4374" t="s">
        <v>5948</v>
      </c>
      <c r="F4374" t="s">
        <v>10033</v>
      </c>
      <c r="J4374" s="17" t="s">
        <v>12700</v>
      </c>
      <c r="K4374" s="18">
        <f>628122950843</f>
        <v>628122950843</v>
      </c>
      <c r="N4374" s="17" t="s">
        <v>77</v>
      </c>
      <c r="U4374" s="17"/>
      <c r="V4374" s="18">
        <f>628122950843</f>
        <v>628122950843</v>
      </c>
      <c r="W4374" t="s">
        <v>12701</v>
      </c>
      <c r="AA4374" s="17">
        <v>17123</v>
      </c>
    </row>
    <row r="4375" ht="15" customHeight="1" spans="1:22" x14ac:dyDescent="0.25">
      <c r="A4375" s="17" t="s">
        <v>12702</v>
      </c>
      <c r="B4375" s="17" t="s">
        <v>70</v>
      </c>
      <c r="C4375" s="17" t="s">
        <v>71</v>
      </c>
      <c r="D4375" t="s">
        <v>5948</v>
      </c>
      <c r="F4375" t="s">
        <v>7831</v>
      </c>
      <c r="K4375" s="18">
        <f>628155086555</f>
        <v>628155086555</v>
      </c>
      <c r="N4375" s="17" t="s">
        <v>77</v>
      </c>
      <c r="V4375" s="18">
        <f>628155086555</f>
        <v>628155086555</v>
      </c>
    </row>
    <row r="4376" ht="15" customHeight="1" spans="1:22" x14ac:dyDescent="0.25">
      <c r="A4376" s="17" t="s">
        <v>12703</v>
      </c>
      <c r="B4376" s="17" t="s">
        <v>70</v>
      </c>
      <c r="C4376" s="17" t="s">
        <v>71</v>
      </c>
      <c r="D4376" t="s">
        <v>12704</v>
      </c>
      <c r="F4376" t="s">
        <v>12705</v>
      </c>
      <c r="K4376" s="18">
        <f>6282165639705</f>
        <v>6282165639705</v>
      </c>
      <c r="N4376" s="17" t="s">
        <v>77</v>
      </c>
      <c r="V4376" s="18">
        <f>6282165639705</f>
        <v>6282165639705</v>
      </c>
    </row>
    <row r="4377" ht="15" customHeight="1" spans="1:22" x14ac:dyDescent="0.25">
      <c r="A4377" s="17" t="s">
        <v>12706</v>
      </c>
      <c r="B4377" s="17" t="s">
        <v>70</v>
      </c>
      <c r="C4377" s="17" t="s">
        <v>71</v>
      </c>
      <c r="D4377" t="s">
        <v>12707</v>
      </c>
      <c r="F4377" t="s">
        <v>618</v>
      </c>
      <c r="K4377" s="18">
        <f>628161845008</f>
        <v>628161845008</v>
      </c>
      <c r="N4377" s="17" t="s">
        <v>77</v>
      </c>
      <c r="V4377" s="18">
        <f>628161845008</f>
        <v>628161845008</v>
      </c>
    </row>
    <row r="4378" ht="15" customHeight="1" spans="1:22" x14ac:dyDescent="0.25">
      <c r="A4378" s="17" t="s">
        <v>12708</v>
      </c>
      <c r="B4378" s="17" t="s">
        <v>70</v>
      </c>
      <c r="C4378" s="17" t="s">
        <v>71</v>
      </c>
      <c r="D4378" t="s">
        <v>12709</v>
      </c>
      <c r="F4378" t="s">
        <v>2386</v>
      </c>
      <c r="K4378" s="18">
        <f>62811850323</f>
        <v>62811850323</v>
      </c>
      <c r="N4378" s="17" t="s">
        <v>81</v>
      </c>
      <c r="V4378" s="18">
        <f>62811850323</f>
        <v>62811850323</v>
      </c>
    </row>
    <row r="4379" ht="15" customHeight="1" spans="1:22" x14ac:dyDescent="0.25">
      <c r="A4379" s="17" t="s">
        <v>12710</v>
      </c>
      <c r="B4379" s="17" t="s">
        <v>70</v>
      </c>
      <c r="C4379" s="17" t="s">
        <v>71</v>
      </c>
      <c r="D4379" t="s">
        <v>12711</v>
      </c>
      <c r="F4379" t="s">
        <v>12711</v>
      </c>
      <c r="K4379" s="18">
        <f>628121050925</f>
        <v>628121050925</v>
      </c>
      <c r="N4379" s="17" t="s">
        <v>81</v>
      </c>
      <c r="V4379" s="18">
        <f>628121050925</f>
        <v>628121050925</v>
      </c>
    </row>
    <row r="4380" ht="15" customHeight="1" spans="1:22" x14ac:dyDescent="0.25">
      <c r="A4380" s="17" t="s">
        <v>12712</v>
      </c>
      <c r="B4380" s="17" t="s">
        <v>70</v>
      </c>
      <c r="C4380" s="17" t="s">
        <v>71</v>
      </c>
      <c r="D4380" t="s">
        <v>12713</v>
      </c>
      <c r="F4380" t="s">
        <v>12713</v>
      </c>
      <c r="K4380" s="18">
        <f>6285761181818</f>
        <v>6285761181818</v>
      </c>
      <c r="N4380" s="17" t="s">
        <v>77</v>
      </c>
      <c r="V4380" s="18">
        <f>6285761181818</f>
        <v>6285761181818</v>
      </c>
    </row>
    <row r="4381" ht="15" customHeight="1" spans="1:22" x14ac:dyDescent="0.25">
      <c r="A4381" s="17" t="s">
        <v>12714</v>
      </c>
      <c r="B4381" s="17" t="s">
        <v>70</v>
      </c>
      <c r="C4381" s="17" t="s">
        <v>71</v>
      </c>
      <c r="D4381" t="s">
        <v>12713</v>
      </c>
      <c r="F4381" t="s">
        <v>12713</v>
      </c>
      <c r="K4381" s="18">
        <f>628179991645</f>
        <v>628179991645</v>
      </c>
      <c r="N4381" s="17" t="s">
        <v>77</v>
      </c>
      <c r="V4381" s="18">
        <f>628179991645</f>
        <v>628179991645</v>
      </c>
    </row>
    <row r="4382" ht="15" customHeight="1" spans="1:22" x14ac:dyDescent="0.25">
      <c r="A4382" s="17" t="s">
        <v>12715</v>
      </c>
      <c r="B4382" s="17" t="s">
        <v>70</v>
      </c>
      <c r="C4382" s="17" t="s">
        <v>71</v>
      </c>
      <c r="D4382" t="s">
        <v>12713</v>
      </c>
      <c r="F4382" t="s">
        <v>12713</v>
      </c>
      <c r="K4382" s="18">
        <f>6281260067755</f>
        <v>6281260067755</v>
      </c>
      <c r="N4382" s="17" t="s">
        <v>77</v>
      </c>
      <c r="V4382" s="18">
        <f>6281260067755</f>
        <v>6281260067755</v>
      </c>
    </row>
    <row r="4383" ht="15" customHeight="1" spans="1:22" x14ac:dyDescent="0.25">
      <c r="A4383" s="17" t="s">
        <v>12716</v>
      </c>
      <c r="B4383" s="17" t="s">
        <v>70</v>
      </c>
      <c r="C4383" s="17" t="s">
        <v>71</v>
      </c>
      <c r="D4383" t="s">
        <v>12713</v>
      </c>
      <c r="F4383" t="s">
        <v>12713</v>
      </c>
      <c r="K4383" s="18">
        <f>628188730817</f>
        <v>628188730817</v>
      </c>
      <c r="N4383" s="17" t="s">
        <v>74</v>
      </c>
      <c r="V4383" s="18">
        <f>628188730817</f>
        <v>628188730817</v>
      </c>
    </row>
    <row r="4384" ht="15" customHeight="1" spans="1:22" x14ac:dyDescent="0.25">
      <c r="A4384" s="17" t="s">
        <v>12717</v>
      </c>
      <c r="B4384" s="17" t="s">
        <v>70</v>
      </c>
      <c r="C4384" s="17" t="s">
        <v>71</v>
      </c>
      <c r="D4384" t="s">
        <v>12713</v>
      </c>
      <c r="F4384" t="s">
        <v>5795</v>
      </c>
      <c r="K4384" s="18">
        <f>6281293772719</f>
        <v>6281293772719</v>
      </c>
      <c r="N4384" s="17" t="s">
        <v>77</v>
      </c>
      <c r="V4384" s="18">
        <f>6281293772719</f>
        <v>6281293772719</v>
      </c>
    </row>
    <row r="4385" ht="15" customHeight="1" spans="1:27" x14ac:dyDescent="0.25">
      <c r="A4385" s="17" t="s">
        <v>12718</v>
      </c>
      <c r="B4385" s="17" t="s">
        <v>70</v>
      </c>
      <c r="C4385" s="17" t="s">
        <v>71</v>
      </c>
      <c r="D4385" t="s">
        <v>12713</v>
      </c>
      <c r="F4385" t="s">
        <v>12719</v>
      </c>
      <c r="K4385" s="18">
        <f>62818858500</f>
        <v>62818858500</v>
      </c>
      <c r="N4385" s="17" t="s">
        <v>77</v>
      </c>
      <c r="U4385" s="17"/>
      <c r="V4385" s="18">
        <f>62818858500</f>
        <v>62818858500</v>
      </c>
      <c r="W4385" t="s">
        <v>12720</v>
      </c>
      <c r="Y4385" s="17" t="s">
        <v>12721</v>
      </c>
      <c r="AA4385" s="17" t="s">
        <v>12722</v>
      </c>
    </row>
    <row r="4386" ht="15" customHeight="1" spans="1:22" x14ac:dyDescent="0.25">
      <c r="A4386" s="17" t="s">
        <v>12723</v>
      </c>
      <c r="B4386" s="17" t="s">
        <v>70</v>
      </c>
      <c r="C4386" s="17" t="s">
        <v>71</v>
      </c>
      <c r="D4386" t="s">
        <v>12713</v>
      </c>
      <c r="F4386" t="s">
        <v>12693</v>
      </c>
      <c r="K4386" s="18">
        <f>628121063193</f>
        <v>628121063193</v>
      </c>
      <c r="N4386" s="17" t="s">
        <v>81</v>
      </c>
      <c r="V4386" s="18">
        <f>628121063193</f>
        <v>628121063193</v>
      </c>
    </row>
    <row r="4387" ht="15" customHeight="1" spans="1:22" x14ac:dyDescent="0.25">
      <c r="A4387" s="17" t="s">
        <v>12724</v>
      </c>
      <c r="B4387" s="17" t="s">
        <v>70</v>
      </c>
      <c r="C4387" s="17" t="s">
        <v>71</v>
      </c>
      <c r="D4387" t="s">
        <v>12713</v>
      </c>
      <c r="F4387" t="s">
        <v>11413</v>
      </c>
      <c r="K4387" s="18">
        <f>62811816933</f>
        <v>62811816933</v>
      </c>
      <c r="N4387" s="17" t="s">
        <v>77</v>
      </c>
      <c r="V4387" s="18">
        <f>62811816933</f>
        <v>62811816933</v>
      </c>
    </row>
    <row r="4388" ht="15" customHeight="1" spans="1:28" x14ac:dyDescent="0.25">
      <c r="A4388" s="17" t="s">
        <v>12725</v>
      </c>
      <c r="B4388" s="17" t="s">
        <v>70</v>
      </c>
      <c r="C4388" s="17" t="s">
        <v>71</v>
      </c>
      <c r="D4388" t="s">
        <v>12713</v>
      </c>
      <c r="F4388" t="s">
        <v>12726</v>
      </c>
      <c r="J4388" t="s">
        <v>115</v>
      </c>
      <c r="K4388" s="18" t="s">
        <v>12727</v>
      </c>
      <c r="N4388" s="17" t="s">
        <v>81</v>
      </c>
      <c r="O4388" t="s">
        <v>145</v>
      </c>
      <c r="V4388" s="18" t="s">
        <v>12727</v>
      </c>
      <c r="Y4388" t="s">
        <v>6647</v>
      </c>
      <c r="AA4388" t="s">
        <v>115</v>
      </c>
      <c r="AB4388" t="s">
        <v>119</v>
      </c>
    </row>
    <row r="4389" ht="15" customHeight="1" spans="1:28" x14ac:dyDescent="0.25">
      <c r="A4389" s="17" t="s">
        <v>12728</v>
      </c>
      <c r="B4389" s="17" t="s">
        <v>70</v>
      </c>
      <c r="C4389" s="17" t="s">
        <v>71</v>
      </c>
      <c r="D4389" t="s">
        <v>12713</v>
      </c>
      <c r="F4389" t="s">
        <v>12729</v>
      </c>
      <c r="J4389" t="s">
        <v>115</v>
      </c>
      <c r="K4389" s="18" t="s">
        <v>12730</v>
      </c>
      <c r="N4389" s="17" t="s">
        <v>74</v>
      </c>
      <c r="O4389" t="s">
        <v>489</v>
      </c>
      <c r="U4389" s="17"/>
      <c r="V4389" s="18" t="s">
        <v>12730</v>
      </c>
      <c r="W4389" t="s">
        <v>12731</v>
      </c>
      <c r="Y4389" t="s">
        <v>217</v>
      </c>
      <c r="AA4389" t="s">
        <v>218</v>
      </c>
      <c r="AB4389" t="s">
        <v>119</v>
      </c>
    </row>
    <row r="4390" ht="15" customHeight="1" spans="1:22" x14ac:dyDescent="0.25">
      <c r="A4390" s="17" t="s">
        <v>12732</v>
      </c>
      <c r="B4390" s="17" t="s">
        <v>70</v>
      </c>
      <c r="C4390" s="17" t="s">
        <v>71</v>
      </c>
      <c r="D4390" t="s">
        <v>12713</v>
      </c>
      <c r="F4390" t="s">
        <v>1064</v>
      </c>
      <c r="K4390" s="18">
        <f>628126099696</f>
        <v>628126099696</v>
      </c>
      <c r="N4390" s="17" t="s">
        <v>81</v>
      </c>
      <c r="V4390" s="18">
        <f>628126099696</f>
        <v>628126099696</v>
      </c>
    </row>
    <row r="4391" ht="15" customHeight="1" spans="1:28" x14ac:dyDescent="0.25">
      <c r="A4391" s="17" t="s">
        <v>12733</v>
      </c>
      <c r="B4391" s="17" t="s">
        <v>70</v>
      </c>
      <c r="C4391" s="17" t="s">
        <v>71</v>
      </c>
      <c r="D4391" t="s">
        <v>12713</v>
      </c>
      <c r="F4391" t="s">
        <v>1561</v>
      </c>
      <c r="J4391" t="s">
        <v>115</v>
      </c>
      <c r="K4391" s="18" t="s">
        <v>12734</v>
      </c>
      <c r="N4391" s="17" t="s">
        <v>77</v>
      </c>
      <c r="O4391" t="s">
        <v>199</v>
      </c>
      <c r="V4391" s="18" t="s">
        <v>12734</v>
      </c>
      <c r="Y4391" t="s">
        <v>90</v>
      </c>
      <c r="AA4391" t="s">
        <v>118</v>
      </c>
      <c r="AB4391" t="s">
        <v>119</v>
      </c>
    </row>
    <row r="4392" ht="15" customHeight="1" spans="1:22" x14ac:dyDescent="0.25">
      <c r="A4392" s="17" t="s">
        <v>12735</v>
      </c>
      <c r="B4392" s="17" t="s">
        <v>70</v>
      </c>
      <c r="C4392" s="17" t="s">
        <v>71</v>
      </c>
      <c r="D4392" t="s">
        <v>12713</v>
      </c>
      <c r="F4392" t="s">
        <v>12736</v>
      </c>
      <c r="K4392" s="18">
        <f>62811992197</f>
        <v>62811992197</v>
      </c>
      <c r="N4392" s="17" t="s">
        <v>81</v>
      </c>
      <c r="V4392" s="18">
        <f>62811992197</f>
        <v>62811992197</v>
      </c>
    </row>
    <row r="4393" ht="15" customHeight="1" spans="1:23" x14ac:dyDescent="0.25">
      <c r="A4393" s="17" t="s">
        <v>12737</v>
      </c>
      <c r="B4393" s="17" t="s">
        <v>70</v>
      </c>
      <c r="C4393" s="17" t="s">
        <v>71</v>
      </c>
      <c r="D4393" t="s">
        <v>12713</v>
      </c>
      <c r="F4393" t="s">
        <v>1125</v>
      </c>
      <c r="K4393" s="18">
        <f>62217510155</f>
        <v>62217510155</v>
      </c>
      <c r="N4393" s="17" t="s">
        <v>74</v>
      </c>
      <c r="U4393" s="17"/>
      <c r="V4393" s="18">
        <f>62217510155</f>
        <v>62217510155</v>
      </c>
      <c r="W4393" t="s">
        <v>12738</v>
      </c>
    </row>
    <row r="4394" ht="15" customHeight="1" spans="1:22" x14ac:dyDescent="0.25">
      <c r="A4394" s="17" t="s">
        <v>12739</v>
      </c>
      <c r="B4394" s="17" t="s">
        <v>70</v>
      </c>
      <c r="C4394" s="17" t="s">
        <v>71</v>
      </c>
      <c r="D4394" t="s">
        <v>12713</v>
      </c>
      <c r="F4394" t="s">
        <v>1589</v>
      </c>
      <c r="K4394" s="18">
        <f>6281251228888</f>
        <v>6281251228888</v>
      </c>
      <c r="N4394" s="17" t="s">
        <v>77</v>
      </c>
      <c r="V4394" s="18">
        <f>6281251228888</f>
        <v>6281251228888</v>
      </c>
    </row>
    <row r="4395" ht="15" customHeight="1" spans="1:25" x14ac:dyDescent="0.25">
      <c r="A4395" s="17" t="s">
        <v>12740</v>
      </c>
      <c r="B4395" s="17" t="s">
        <v>70</v>
      </c>
      <c r="C4395" s="17" t="s">
        <v>71</v>
      </c>
      <c r="D4395" t="s">
        <v>12713</v>
      </c>
      <c r="F4395" t="s">
        <v>9656</v>
      </c>
      <c r="K4395" s="18">
        <f>628127171811</f>
        <v>628127171811</v>
      </c>
      <c r="N4395" s="17" t="s">
        <v>77</v>
      </c>
      <c r="U4395" s="17"/>
      <c r="V4395" s="18">
        <f>628127171811</f>
        <v>628127171811</v>
      </c>
      <c r="W4395" t="s">
        <v>12741</v>
      </c>
      <c r="Y4395" s="17" t="s">
        <v>1084</v>
      </c>
    </row>
    <row r="4396" ht="15" customHeight="1" spans="1:28" x14ac:dyDescent="0.25">
      <c r="A4396" s="17" t="s">
        <v>12742</v>
      </c>
      <c r="B4396" s="17" t="s">
        <v>70</v>
      </c>
      <c r="C4396" s="17" t="s">
        <v>71</v>
      </c>
      <c r="D4396" t="s">
        <v>12713</v>
      </c>
      <c r="F4396" t="s">
        <v>12743</v>
      </c>
      <c r="J4396" t="s">
        <v>115</v>
      </c>
      <c r="K4396" s="18" t="s">
        <v>12744</v>
      </c>
      <c r="N4396" s="17" t="s">
        <v>81</v>
      </c>
      <c r="O4396" t="s">
        <v>261</v>
      </c>
      <c r="V4396" s="18" t="s">
        <v>12744</v>
      </c>
      <c r="Y4396" t="s">
        <v>90</v>
      </c>
      <c r="AA4396" t="s">
        <v>118</v>
      </c>
      <c r="AB4396" t="s">
        <v>119</v>
      </c>
    </row>
    <row r="4397" ht="15" customHeight="1" spans="1:22" x14ac:dyDescent="0.25">
      <c r="A4397" s="17" t="s">
        <v>12745</v>
      </c>
      <c r="B4397" s="17" t="s">
        <v>70</v>
      </c>
      <c r="C4397" s="17" t="s">
        <v>71</v>
      </c>
      <c r="D4397" t="s">
        <v>12713</v>
      </c>
      <c r="F4397" t="s">
        <v>509</v>
      </c>
      <c r="K4397" s="18">
        <f>62811789555</f>
        <v>62811789555</v>
      </c>
      <c r="N4397" s="17" t="s">
        <v>77</v>
      </c>
      <c r="V4397" s="18">
        <f>62811789555</f>
        <v>62811789555</v>
      </c>
    </row>
    <row r="4398" ht="15" customHeight="1" spans="1:22" x14ac:dyDescent="0.25">
      <c r="A4398" s="17" t="s">
        <v>12746</v>
      </c>
      <c r="B4398" s="17" t="s">
        <v>70</v>
      </c>
      <c r="C4398" s="17" t="s">
        <v>71</v>
      </c>
      <c r="D4398" t="s">
        <v>12713</v>
      </c>
      <c r="F4398" t="s">
        <v>12747</v>
      </c>
      <c r="K4398" s="18">
        <f>6285726215993</f>
        <v>6285726215993</v>
      </c>
      <c r="N4398" s="17" t="s">
        <v>81</v>
      </c>
      <c r="V4398" s="18">
        <f>6285726215993</f>
        <v>6285726215993</v>
      </c>
    </row>
    <row r="4399" ht="15" customHeight="1" spans="1:22" x14ac:dyDescent="0.25">
      <c r="A4399" s="17" t="s">
        <v>12748</v>
      </c>
      <c r="B4399" s="17" t="s">
        <v>70</v>
      </c>
      <c r="C4399" s="17" t="s">
        <v>71</v>
      </c>
      <c r="D4399" t="s">
        <v>12713</v>
      </c>
      <c r="F4399" t="s">
        <v>12503</v>
      </c>
      <c r="K4399" s="18">
        <f>62818154286</f>
        <v>62818154286</v>
      </c>
      <c r="N4399" s="17" t="s">
        <v>74</v>
      </c>
      <c r="V4399" s="18">
        <f>62818154286</f>
        <v>62818154286</v>
      </c>
    </row>
    <row r="4400" ht="15" customHeight="1" spans="1:22" x14ac:dyDescent="0.25">
      <c r="A4400" s="17" t="s">
        <v>12749</v>
      </c>
      <c r="B4400" s="17" t="s">
        <v>70</v>
      </c>
      <c r="C4400" s="17" t="s">
        <v>71</v>
      </c>
      <c r="D4400" t="s">
        <v>12713</v>
      </c>
      <c r="F4400" t="s">
        <v>10220</v>
      </c>
      <c r="K4400" s="18">
        <f>6282199880699</f>
        <v>6282199880699</v>
      </c>
      <c r="N4400" s="17" t="s">
        <v>81</v>
      </c>
      <c r="V4400" s="18">
        <f>6282199880699</f>
        <v>6282199880699</v>
      </c>
    </row>
    <row r="4401" ht="15" customHeight="1" spans="1:27" x14ac:dyDescent="0.25">
      <c r="A4401" s="17" t="s">
        <v>12750</v>
      </c>
      <c r="B4401" s="17" t="s">
        <v>70</v>
      </c>
      <c r="C4401" s="17" t="s">
        <v>71</v>
      </c>
      <c r="D4401" t="s">
        <v>12713</v>
      </c>
      <c r="F4401" t="s">
        <v>12751</v>
      </c>
      <c r="K4401" s="18">
        <f>62811878287</f>
        <v>62811878287</v>
      </c>
      <c r="N4401" s="17" t="s">
        <v>77</v>
      </c>
      <c r="U4401" s="17"/>
      <c r="V4401" s="18">
        <f>62811878287</f>
        <v>62811878287</v>
      </c>
      <c r="W4401" t="s">
        <v>12752</v>
      </c>
      <c r="Y4401" s="17" t="s">
        <v>1084</v>
      </c>
      <c r="AA4401" s="17" t="s">
        <v>12753</v>
      </c>
    </row>
    <row r="4402" ht="15" customHeight="1" spans="1:22" x14ac:dyDescent="0.25">
      <c r="A4402" s="17" t="s">
        <v>12754</v>
      </c>
      <c r="B4402" s="17" t="s">
        <v>70</v>
      </c>
      <c r="C4402" s="17" t="s">
        <v>71</v>
      </c>
      <c r="D4402" t="s">
        <v>12755</v>
      </c>
      <c r="F4402" t="s">
        <v>12755</v>
      </c>
      <c r="K4402" s="18">
        <f>6287877970005</f>
        <v>6287877970005</v>
      </c>
      <c r="N4402" s="17" t="s">
        <v>74</v>
      </c>
      <c r="V4402" s="18">
        <f>6287877970005</f>
        <v>6287877970005</v>
      </c>
    </row>
    <row r="4403" ht="15" customHeight="1" spans="1:22" x14ac:dyDescent="0.25">
      <c r="A4403" s="17" t="s">
        <v>12756</v>
      </c>
      <c r="B4403" s="17" t="s">
        <v>70</v>
      </c>
      <c r="C4403" s="17" t="s">
        <v>71</v>
      </c>
      <c r="D4403" t="s">
        <v>12757</v>
      </c>
      <c r="F4403" t="s">
        <v>2957</v>
      </c>
      <c r="K4403" s="18">
        <f>628129666618</f>
        <v>628129666618</v>
      </c>
      <c r="N4403" s="17" t="s">
        <v>77</v>
      </c>
      <c r="V4403" s="18">
        <f>628129666618</f>
        <v>628129666618</v>
      </c>
    </row>
    <row r="4404" ht="15" customHeight="1" spans="1:28" x14ac:dyDescent="0.25">
      <c r="A4404" s="17" t="s">
        <v>12758</v>
      </c>
      <c r="B4404" s="17" t="s">
        <v>70</v>
      </c>
      <c r="C4404" s="17" t="s">
        <v>71</v>
      </c>
      <c r="D4404" t="s">
        <v>12759</v>
      </c>
      <c r="F4404" t="s">
        <v>12760</v>
      </c>
      <c r="J4404" s="17" t="s">
        <v>12761</v>
      </c>
      <c r="K4404" s="18" t="s">
        <v>12762</v>
      </c>
      <c r="N4404" s="17" t="s">
        <v>77</v>
      </c>
      <c r="O4404" t="s">
        <v>145</v>
      </c>
      <c r="U4404" s="17"/>
      <c r="V4404" s="18" t="s">
        <v>12762</v>
      </c>
      <c r="W4404" t="s">
        <v>12763</v>
      </c>
      <c r="Y4404" t="s">
        <v>96</v>
      </c>
      <c r="AA4404" t="s">
        <v>693</v>
      </c>
      <c r="AB4404" t="s">
        <v>119</v>
      </c>
    </row>
    <row r="4405" ht="15" customHeight="1" spans="1:27" x14ac:dyDescent="0.25">
      <c r="A4405" s="17" t="s">
        <v>12764</v>
      </c>
      <c r="B4405" s="17" t="s">
        <v>70</v>
      </c>
      <c r="C4405" s="17" t="s">
        <v>71</v>
      </c>
      <c r="D4405" t="s">
        <v>12757</v>
      </c>
      <c r="F4405" t="s">
        <v>669</v>
      </c>
      <c r="K4405" s="18">
        <f>628170070808</f>
        <v>628170070808</v>
      </c>
      <c r="N4405" s="17" t="s">
        <v>77</v>
      </c>
      <c r="U4405" s="17"/>
      <c r="V4405" s="18">
        <f>628170070808</f>
        <v>628170070808</v>
      </c>
      <c r="W4405" t="s">
        <v>12765</v>
      </c>
      <c r="AA4405" s="17">
        <v>10350</v>
      </c>
    </row>
    <row r="4406" ht="15" customHeight="1" spans="1:22" x14ac:dyDescent="0.25">
      <c r="A4406" s="17" t="s">
        <v>12766</v>
      </c>
      <c r="B4406" s="17" t="s">
        <v>70</v>
      </c>
      <c r="C4406" s="17" t="s">
        <v>71</v>
      </c>
      <c r="D4406" t="s">
        <v>12757</v>
      </c>
      <c r="F4406" t="s">
        <v>12767</v>
      </c>
      <c r="K4406" s="18">
        <f>62816947858</f>
        <v>62816947858</v>
      </c>
      <c r="N4406" s="17" t="s">
        <v>77</v>
      </c>
      <c r="V4406" s="18">
        <f>62816947858</f>
        <v>62816947858</v>
      </c>
    </row>
    <row r="4407" ht="15" customHeight="1" spans="1:22" x14ac:dyDescent="0.25">
      <c r="A4407" s="17" t="s">
        <v>12768</v>
      </c>
      <c r="B4407" s="17" t="s">
        <v>70</v>
      </c>
      <c r="C4407" s="17" t="s">
        <v>71</v>
      </c>
      <c r="D4407" t="s">
        <v>12769</v>
      </c>
      <c r="F4407" t="s">
        <v>12769</v>
      </c>
      <c r="K4407" s="18">
        <f>6281218070890</f>
        <v>6281218070890</v>
      </c>
      <c r="N4407" s="17" t="s">
        <v>74</v>
      </c>
      <c r="V4407" s="18">
        <f>6281218070890</f>
        <v>6281218070890</v>
      </c>
    </row>
    <row r="4408" ht="15" customHeight="1" spans="1:28" x14ac:dyDescent="0.25">
      <c r="A4408" s="17" t="s">
        <v>12770</v>
      </c>
      <c r="B4408" s="17" t="s">
        <v>70</v>
      </c>
      <c r="C4408" s="17" t="s">
        <v>71</v>
      </c>
      <c r="D4408" t="s">
        <v>12771</v>
      </c>
      <c r="F4408" t="s">
        <v>12772</v>
      </c>
      <c r="J4408" t="s">
        <v>115</v>
      </c>
      <c r="K4408" s="18" t="s">
        <v>12773</v>
      </c>
      <c r="N4408" s="17" t="s">
        <v>77</v>
      </c>
      <c r="O4408" t="s">
        <v>199</v>
      </c>
      <c r="U4408" s="17"/>
      <c r="V4408" s="18" t="s">
        <v>12773</v>
      </c>
      <c r="W4408" t="s">
        <v>12774</v>
      </c>
      <c r="Y4408" s="17" t="s">
        <v>1084</v>
      </c>
      <c r="AA4408" s="17" t="s">
        <v>3146</v>
      </c>
      <c r="AB4408" t="s">
        <v>119</v>
      </c>
    </row>
    <row r="4409" ht="15" customHeight="1" spans="1:22" x14ac:dyDescent="0.25">
      <c r="A4409" s="17" t="s">
        <v>12775</v>
      </c>
      <c r="B4409" s="17" t="s">
        <v>70</v>
      </c>
      <c r="C4409" s="17" t="s">
        <v>71</v>
      </c>
      <c r="D4409" t="s">
        <v>12769</v>
      </c>
      <c r="F4409" t="s">
        <v>5783</v>
      </c>
      <c r="K4409" s="18">
        <f>622158445657</f>
        <v>622158445657</v>
      </c>
      <c r="N4409" s="17" t="s">
        <v>81</v>
      </c>
      <c r="V4409" s="18">
        <f>622158445657</f>
        <v>622158445657</v>
      </c>
    </row>
    <row r="4410" ht="15" customHeight="1" spans="1:23" x14ac:dyDescent="0.25">
      <c r="A4410" s="17" t="s">
        <v>12776</v>
      </c>
      <c r="B4410" s="17" t="s">
        <v>70</v>
      </c>
      <c r="C4410" s="17" t="s">
        <v>71</v>
      </c>
      <c r="D4410" t="s">
        <v>12777</v>
      </c>
      <c r="F4410" t="s">
        <v>3645</v>
      </c>
      <c r="K4410" s="18">
        <f>16196172594/1</f>
        <v>16196172594</v>
      </c>
      <c r="N4410" s="17" t="s">
        <v>77</v>
      </c>
      <c r="U4410" s="17"/>
      <c r="V4410" s="18">
        <f>16196172594/1</f>
        <v>16196172594</v>
      </c>
      <c r="W4410" t="s">
        <v>12778</v>
      </c>
    </row>
    <row r="4411" ht="15" customHeight="1" spans="1:23" x14ac:dyDescent="0.25">
      <c r="A4411" s="17" t="s">
        <v>12779</v>
      </c>
      <c r="B4411" s="17" t="s">
        <v>70</v>
      </c>
      <c r="C4411" s="17" t="s">
        <v>71</v>
      </c>
      <c r="D4411" t="s">
        <v>12777</v>
      </c>
      <c r="F4411" t="s">
        <v>12780</v>
      </c>
      <c r="K4411" s="18">
        <f>16196172594</f>
        <v>16196172594</v>
      </c>
      <c r="N4411" s="17" t="s">
        <v>77</v>
      </c>
      <c r="U4411" s="17"/>
      <c r="V4411" s="18">
        <f>16196172594</f>
        <v>16196172594</v>
      </c>
      <c r="W4411" t="s">
        <v>12781</v>
      </c>
    </row>
    <row r="4412" ht="15" customHeight="1" spans="1:22" x14ac:dyDescent="0.25">
      <c r="A4412" s="17" t="s">
        <v>12782</v>
      </c>
      <c r="B4412" s="17" t="s">
        <v>70</v>
      </c>
      <c r="C4412" s="17" t="s">
        <v>71</v>
      </c>
      <c r="D4412" t="s">
        <v>12783</v>
      </c>
      <c r="F4412" t="s">
        <v>12784</v>
      </c>
      <c r="K4412" s="18">
        <f>62818888912</f>
        <v>62818888912</v>
      </c>
      <c r="N4412" s="17" t="s">
        <v>74</v>
      </c>
      <c r="V4412" s="18">
        <f>62818888912</f>
        <v>62818888912</v>
      </c>
    </row>
    <row r="4413" ht="15" customHeight="1" spans="1:23" x14ac:dyDescent="0.25">
      <c r="A4413" s="17" t="s">
        <v>12785</v>
      </c>
      <c r="B4413" s="17" t="s">
        <v>70</v>
      </c>
      <c r="C4413" s="17" t="s">
        <v>71</v>
      </c>
      <c r="D4413" t="s">
        <v>12786</v>
      </c>
      <c r="F4413" t="s">
        <v>3181</v>
      </c>
      <c r="K4413" s="18">
        <f>628119419788</f>
        <v>628119419788</v>
      </c>
      <c r="N4413" s="17" t="s">
        <v>81</v>
      </c>
      <c r="U4413" s="17"/>
      <c r="V4413" s="18">
        <f>628119419788</f>
        <v>628119419788</v>
      </c>
      <c r="W4413" t="s">
        <v>12787</v>
      </c>
    </row>
    <row r="4414" ht="15" customHeight="1" spans="1:22" x14ac:dyDescent="0.25">
      <c r="A4414" s="17" t="s">
        <v>12788</v>
      </c>
      <c r="B4414" s="17" t="s">
        <v>70</v>
      </c>
      <c r="C4414" s="17" t="s">
        <v>71</v>
      </c>
      <c r="D4414" t="s">
        <v>12789</v>
      </c>
      <c r="F4414" t="s">
        <v>12790</v>
      </c>
      <c r="K4414" s="18">
        <f>905333334333</f>
        <v>905333334333</v>
      </c>
      <c r="N4414" s="17" t="s">
        <v>81</v>
      </c>
      <c r="V4414" s="18">
        <f>905333334333</f>
        <v>905333334333</v>
      </c>
    </row>
    <row r="4415" ht="15" customHeight="1" spans="1:25" x14ac:dyDescent="0.25">
      <c r="A4415" s="17" t="s">
        <v>12791</v>
      </c>
      <c r="B4415" s="17" t="s">
        <v>70</v>
      </c>
      <c r="C4415" s="17" t="s">
        <v>71</v>
      </c>
      <c r="D4415" t="s">
        <v>12792</v>
      </c>
      <c r="F4415" t="s">
        <v>12793</v>
      </c>
      <c r="K4415" s="18">
        <f>6281267777723</f>
        <v>6281267777723</v>
      </c>
      <c r="N4415" s="17" t="s">
        <v>81</v>
      </c>
      <c r="U4415" s="17"/>
      <c r="V4415" s="18">
        <f>6281267777723</f>
        <v>6281267777723</v>
      </c>
      <c r="W4415" t="s">
        <v>12794</v>
      </c>
      <c r="Y4415" s="17" t="s">
        <v>96</v>
      </c>
    </row>
    <row r="4416" ht="15" customHeight="1" spans="1:22" x14ac:dyDescent="0.25">
      <c r="A4416" s="17" t="s">
        <v>12795</v>
      </c>
      <c r="B4416" s="17" t="s">
        <v>70</v>
      </c>
      <c r="C4416" s="17" t="s">
        <v>71</v>
      </c>
      <c r="D4416" t="s">
        <v>12796</v>
      </c>
      <c r="F4416" t="s">
        <v>12797</v>
      </c>
      <c r="K4416" s="18">
        <f>6281280855578</f>
        <v>6281280855578</v>
      </c>
      <c r="N4416" s="17" t="s">
        <v>77</v>
      </c>
      <c r="V4416" s="18">
        <f>6281280855578</f>
        <v>6281280855578</v>
      </c>
    </row>
    <row r="4417" ht="15" customHeight="1" spans="1:22" x14ac:dyDescent="0.25">
      <c r="A4417" s="17" t="s">
        <v>12798</v>
      </c>
      <c r="B4417" s="17" t="s">
        <v>70</v>
      </c>
      <c r="C4417" s="17" t="s">
        <v>71</v>
      </c>
      <c r="D4417" t="s">
        <v>12799</v>
      </c>
      <c r="F4417" t="s">
        <v>4458</v>
      </c>
      <c r="K4417" s="18">
        <f>628111004297</f>
        <v>628111004297</v>
      </c>
      <c r="N4417" s="17" t="s">
        <v>77</v>
      </c>
      <c r="V4417" s="18">
        <f>628111004297</f>
        <v>628111004297</v>
      </c>
    </row>
    <row r="4418" ht="15" customHeight="1" spans="1:22" x14ac:dyDescent="0.25">
      <c r="A4418" s="17" t="s">
        <v>12800</v>
      </c>
      <c r="B4418" s="17" t="s">
        <v>70</v>
      </c>
      <c r="C4418" s="17" t="s">
        <v>71</v>
      </c>
      <c r="D4418" t="s">
        <v>555</v>
      </c>
      <c r="F4418" t="s">
        <v>555</v>
      </c>
      <c r="K4418" s="18">
        <f>6281282690086</f>
        <v>6281282690086</v>
      </c>
      <c r="N4418" s="17" t="s">
        <v>77</v>
      </c>
      <c r="V4418" s="18">
        <f>6281282690086</f>
        <v>6281282690086</v>
      </c>
    </row>
    <row r="4419" ht="15" customHeight="1" spans="1:22" x14ac:dyDescent="0.25">
      <c r="A4419" s="17" t="s">
        <v>12801</v>
      </c>
      <c r="B4419" s="17" t="s">
        <v>70</v>
      </c>
      <c r="C4419" s="17" t="s">
        <v>71</v>
      </c>
      <c r="D4419" t="s">
        <v>555</v>
      </c>
      <c r="F4419" t="s">
        <v>555</v>
      </c>
      <c r="K4419" s="18">
        <f>628168336177</f>
        <v>628168336177</v>
      </c>
      <c r="N4419" s="17" t="s">
        <v>77</v>
      </c>
      <c r="V4419" s="18">
        <f>628168336177</f>
        <v>628168336177</v>
      </c>
    </row>
    <row r="4420" ht="15" customHeight="1" spans="1:22" x14ac:dyDescent="0.25">
      <c r="A4420" s="17" t="s">
        <v>12802</v>
      </c>
      <c r="B4420" s="17" t="s">
        <v>70</v>
      </c>
      <c r="C4420" s="17" t="s">
        <v>71</v>
      </c>
      <c r="D4420" t="s">
        <v>555</v>
      </c>
      <c r="F4420" t="s">
        <v>12803</v>
      </c>
      <c r="K4420" s="18">
        <f>62811945824</f>
        <v>62811945824</v>
      </c>
      <c r="N4420" s="17" t="s">
        <v>77</v>
      </c>
      <c r="V4420" s="18">
        <f>62811945824</f>
        <v>62811945824</v>
      </c>
    </row>
    <row r="4421" ht="15" customHeight="1" spans="1:22" x14ac:dyDescent="0.25">
      <c r="A4421" s="17" t="s">
        <v>12804</v>
      </c>
      <c r="B4421" s="17" t="s">
        <v>70</v>
      </c>
      <c r="C4421" s="17" t="s">
        <v>71</v>
      </c>
      <c r="D4421" t="s">
        <v>555</v>
      </c>
      <c r="F4421" t="s">
        <v>12805</v>
      </c>
      <c r="K4421" s="18">
        <f>6281519007263</f>
        <v>6281519007263</v>
      </c>
      <c r="N4421" s="17" t="s">
        <v>77</v>
      </c>
      <c r="V4421" s="18">
        <f>6281519007263</f>
        <v>6281519007263</v>
      </c>
    </row>
    <row r="4422" ht="15" customHeight="1" spans="1:22" x14ac:dyDescent="0.25">
      <c r="A4422" s="17" t="s">
        <v>12806</v>
      </c>
      <c r="B4422" s="17" t="s">
        <v>70</v>
      </c>
      <c r="C4422" s="17" t="s">
        <v>71</v>
      </c>
      <c r="D4422" t="s">
        <v>555</v>
      </c>
      <c r="F4422" t="s">
        <v>12807</v>
      </c>
      <c r="K4422" s="18">
        <f>6281606080525</f>
        <v>6281606080525</v>
      </c>
      <c r="N4422" s="17" t="s">
        <v>77</v>
      </c>
      <c r="V4422" s="18">
        <f>6281606080525</f>
        <v>6281606080525</v>
      </c>
    </row>
    <row r="4423" ht="15" customHeight="1" spans="1:22" x14ac:dyDescent="0.25">
      <c r="A4423" s="17" t="s">
        <v>12808</v>
      </c>
      <c r="B4423" s="17" t="s">
        <v>70</v>
      </c>
      <c r="C4423" s="17" t="s">
        <v>71</v>
      </c>
      <c r="D4423" t="s">
        <v>555</v>
      </c>
      <c r="F4423" t="s">
        <v>12809</v>
      </c>
      <c r="K4423" s="18">
        <f>62811158400</f>
        <v>62811158400</v>
      </c>
      <c r="N4423" s="17" t="s">
        <v>77</v>
      </c>
      <c r="V4423" s="18">
        <f>62811158400</f>
        <v>62811158400</v>
      </c>
    </row>
    <row r="4424" ht="15" customHeight="1" spans="1:28" x14ac:dyDescent="0.25">
      <c r="A4424" s="17" t="s">
        <v>12810</v>
      </c>
      <c r="B4424" s="17" t="s">
        <v>70</v>
      </c>
      <c r="C4424" s="17" t="s">
        <v>71</v>
      </c>
      <c r="D4424" t="s">
        <v>555</v>
      </c>
      <c r="F4424" t="s">
        <v>1869</v>
      </c>
      <c r="J4424" t="s">
        <v>115</v>
      </c>
      <c r="K4424" s="18" t="s">
        <v>12811</v>
      </c>
      <c r="N4424" s="17" t="s">
        <v>77</v>
      </c>
      <c r="O4424" t="s">
        <v>117</v>
      </c>
      <c r="V4424" s="18" t="s">
        <v>12811</v>
      </c>
      <c r="Y4424" t="s">
        <v>190</v>
      </c>
      <c r="AA4424" t="s">
        <v>118</v>
      </c>
      <c r="AB4424" t="s">
        <v>119</v>
      </c>
    </row>
    <row r="4425" ht="15" customHeight="1" spans="1:23" x14ac:dyDescent="0.25">
      <c r="A4425" s="17" t="s">
        <v>12812</v>
      </c>
      <c r="B4425" s="17" t="s">
        <v>70</v>
      </c>
      <c r="C4425" s="17" t="s">
        <v>71</v>
      </c>
      <c r="D4425" t="s">
        <v>12813</v>
      </c>
      <c r="F4425" t="s">
        <v>12814</v>
      </c>
      <c r="J4425" s="17" t="s">
        <v>12815</v>
      </c>
      <c r="K4425" s="18">
        <f>62818654000</f>
        <v>62818654000</v>
      </c>
      <c r="N4425" s="17" t="s">
        <v>81</v>
      </c>
      <c r="U4425" s="17"/>
      <c r="V4425" s="18">
        <f>62818654000</f>
        <v>62818654000</v>
      </c>
      <c r="W4425" t="s">
        <v>12816</v>
      </c>
    </row>
    <row r="4426" ht="15" customHeight="1" spans="1:27" x14ac:dyDescent="0.25">
      <c r="A4426" s="17" t="s">
        <v>12817</v>
      </c>
      <c r="B4426" s="17" t="s">
        <v>70</v>
      </c>
      <c r="C4426" s="17" t="s">
        <v>71</v>
      </c>
      <c r="D4426" t="s">
        <v>12818</v>
      </c>
      <c r="F4426" t="s">
        <v>1205</v>
      </c>
      <c r="K4426" s="18">
        <f>62811826163</f>
        <v>62811826163</v>
      </c>
      <c r="N4426" s="17" t="s">
        <v>77</v>
      </c>
      <c r="U4426" s="17"/>
      <c r="V4426" s="18">
        <f>62811826163</f>
        <v>62811826163</v>
      </c>
      <c r="W4426" t="s">
        <v>12819</v>
      </c>
      <c r="Y4426" s="17" t="s">
        <v>1084</v>
      </c>
      <c r="AA4426" s="17">
        <v>14140</v>
      </c>
    </row>
    <row r="4427" ht="15" customHeight="1" spans="1:25" x14ac:dyDescent="0.25">
      <c r="A4427" s="17" t="s">
        <v>12820</v>
      </c>
      <c r="B4427" s="17" t="s">
        <v>70</v>
      </c>
      <c r="C4427" s="17" t="s">
        <v>71</v>
      </c>
      <c r="D4427" t="s">
        <v>12818</v>
      </c>
      <c r="F4427" t="s">
        <v>12821</v>
      </c>
      <c r="K4427" s="18">
        <f>62818171900</f>
        <v>62818171900</v>
      </c>
      <c r="N4427" s="17" t="s">
        <v>77</v>
      </c>
      <c r="U4427" s="17"/>
      <c r="V4427" s="18">
        <f>62818171900</f>
        <v>62818171900</v>
      </c>
      <c r="W4427" t="s">
        <v>12822</v>
      </c>
      <c r="Y4427" s="17" t="s">
        <v>96</v>
      </c>
    </row>
    <row r="4428" ht="15" customHeight="1" spans="1:22" x14ac:dyDescent="0.25">
      <c r="A4428" s="17" t="s">
        <v>12823</v>
      </c>
      <c r="B4428" s="17" t="s">
        <v>70</v>
      </c>
      <c r="C4428" s="17" t="s">
        <v>71</v>
      </c>
      <c r="D4428" t="s">
        <v>12818</v>
      </c>
      <c r="F4428" t="s">
        <v>12824</v>
      </c>
      <c r="K4428" s="18">
        <f>62811435081</f>
        <v>62811435081</v>
      </c>
      <c r="N4428" s="17" t="s">
        <v>77</v>
      </c>
      <c r="V4428" s="18">
        <f>62811435081</f>
        <v>62811435081</v>
      </c>
    </row>
    <row r="4429" ht="15" customHeight="1" spans="1:28" x14ac:dyDescent="0.25">
      <c r="A4429" s="17" t="s">
        <v>12825</v>
      </c>
      <c r="B4429" s="17" t="s">
        <v>70</v>
      </c>
      <c r="C4429" s="17" t="s">
        <v>71</v>
      </c>
      <c r="D4429" t="s">
        <v>12543</v>
      </c>
      <c r="F4429" t="s">
        <v>12826</v>
      </c>
      <c r="J4429" t="s">
        <v>115</v>
      </c>
      <c r="K4429" s="18" t="s">
        <v>12827</v>
      </c>
      <c r="N4429" s="17" t="s">
        <v>74</v>
      </c>
      <c r="O4429" t="s">
        <v>199</v>
      </c>
      <c r="V4429" s="18" t="s">
        <v>12827</v>
      </c>
      <c r="Y4429" t="s">
        <v>96</v>
      </c>
      <c r="AA4429" t="s">
        <v>693</v>
      </c>
      <c r="AB4429" t="s">
        <v>119</v>
      </c>
    </row>
    <row r="4430" ht="15" customHeight="1" spans="1:22" x14ac:dyDescent="0.25">
      <c r="A4430" s="17" t="s">
        <v>12828</v>
      </c>
      <c r="B4430" s="17" t="s">
        <v>70</v>
      </c>
      <c r="C4430" s="17" t="s">
        <v>71</v>
      </c>
      <c r="D4430" t="s">
        <v>12543</v>
      </c>
      <c r="F4430" t="s">
        <v>12829</v>
      </c>
      <c r="K4430" s="18">
        <f>62811999006</f>
        <v>62811999006</v>
      </c>
      <c r="N4430" s="17" t="s">
        <v>77</v>
      </c>
      <c r="V4430" s="18">
        <f>62811999006</f>
        <v>62811999006</v>
      </c>
    </row>
    <row r="4431" ht="15" customHeight="1" spans="1:28" x14ac:dyDescent="0.25">
      <c r="A4431" s="17" t="s">
        <v>12830</v>
      </c>
      <c r="B4431" s="17" t="s">
        <v>70</v>
      </c>
      <c r="C4431" s="17" t="s">
        <v>71</v>
      </c>
      <c r="D4431" t="s">
        <v>12543</v>
      </c>
      <c r="F4431" t="s">
        <v>4708</v>
      </c>
      <c r="J4431" s="17" t="s">
        <v>12831</v>
      </c>
      <c r="K4431" s="18" t="s">
        <v>12832</v>
      </c>
      <c r="N4431" s="17" t="s">
        <v>77</v>
      </c>
      <c r="O4431" t="s">
        <v>199</v>
      </c>
      <c r="V4431" s="18" t="s">
        <v>12832</v>
      </c>
      <c r="Y4431" t="s">
        <v>190</v>
      </c>
      <c r="AA4431" t="s">
        <v>118</v>
      </c>
      <c r="AB4431" t="s">
        <v>119</v>
      </c>
    </row>
    <row r="4432" ht="15" customHeight="1" spans="1:22" x14ac:dyDescent="0.25">
      <c r="A4432" s="17" t="s">
        <v>12833</v>
      </c>
      <c r="B4432" s="17" t="s">
        <v>70</v>
      </c>
      <c r="C4432" s="17" t="s">
        <v>71</v>
      </c>
      <c r="D4432" t="s">
        <v>12834</v>
      </c>
      <c r="F4432" t="s">
        <v>12835</v>
      </c>
      <c r="K4432" s="18">
        <f>628118201680</f>
        <v>628118201680</v>
      </c>
      <c r="N4432" s="17" t="s">
        <v>81</v>
      </c>
      <c r="V4432" s="18">
        <f>628118201680</f>
        <v>628118201680</v>
      </c>
    </row>
    <row r="4433" ht="15" customHeight="1" spans="1:22" x14ac:dyDescent="0.25">
      <c r="A4433" s="17" t="s">
        <v>12836</v>
      </c>
      <c r="B4433" s="17" t="s">
        <v>70</v>
      </c>
      <c r="C4433" s="17" t="s">
        <v>71</v>
      </c>
      <c r="D4433" t="s">
        <v>12837</v>
      </c>
      <c r="F4433" t="s">
        <v>12837</v>
      </c>
      <c r="K4433" s="18">
        <f>6281278558882</f>
        <v>6281278558882</v>
      </c>
      <c r="N4433" s="17" t="s">
        <v>81</v>
      </c>
      <c r="V4433" s="18">
        <f>6281278558882</f>
        <v>6281278558882</v>
      </c>
    </row>
    <row r="4434" ht="15" customHeight="1" spans="1:25" x14ac:dyDescent="0.25">
      <c r="A4434" s="17" t="s">
        <v>12838</v>
      </c>
      <c r="B4434" s="17" t="s">
        <v>70</v>
      </c>
      <c r="C4434" s="17" t="s">
        <v>71</v>
      </c>
      <c r="D4434" t="s">
        <v>12839</v>
      </c>
      <c r="F4434" t="s">
        <v>12840</v>
      </c>
      <c r="K4434" s="18">
        <f>628125352723</f>
        <v>628125352723</v>
      </c>
      <c r="N4434" s="17" t="s">
        <v>77</v>
      </c>
      <c r="U4434" s="17"/>
      <c r="V4434" s="18">
        <f>628125352723</f>
        <v>628125352723</v>
      </c>
      <c r="W4434" t="s">
        <v>12841</v>
      </c>
      <c r="Y4434" s="17" t="s">
        <v>96</v>
      </c>
    </row>
    <row r="4435" ht="15" customHeight="1" spans="1:25" x14ac:dyDescent="0.25">
      <c r="A4435" s="17" t="s">
        <v>12842</v>
      </c>
      <c r="B4435" s="17" t="s">
        <v>70</v>
      </c>
      <c r="C4435" s="17" t="s">
        <v>71</v>
      </c>
      <c r="D4435" t="s">
        <v>12843</v>
      </c>
      <c r="F4435" t="s">
        <v>12844</v>
      </c>
      <c r="J4435" s="17" t="s">
        <v>12845</v>
      </c>
      <c r="K4435" s="18">
        <f>62811985975</f>
        <v>62811985975</v>
      </c>
      <c r="N4435" s="17" t="s">
        <v>77</v>
      </c>
      <c r="U4435" s="17"/>
      <c r="V4435" s="18">
        <f>62811985975</f>
        <v>62811985975</v>
      </c>
      <c r="W4435" t="s">
        <v>12846</v>
      </c>
      <c r="Y4435" s="17" t="s">
        <v>12847</v>
      </c>
    </row>
    <row r="4436" ht="15" customHeight="1" spans="1:22" x14ac:dyDescent="0.25">
      <c r="A4436" s="17" t="s">
        <v>12848</v>
      </c>
      <c r="B4436" s="17" t="s">
        <v>70</v>
      </c>
      <c r="C4436" s="17" t="s">
        <v>71</v>
      </c>
      <c r="D4436" t="s">
        <v>12849</v>
      </c>
      <c r="F4436" t="s">
        <v>12849</v>
      </c>
      <c r="K4436" s="18">
        <f>628529462227</f>
        <v>628529462227</v>
      </c>
      <c r="N4436" s="17" t="s">
        <v>77</v>
      </c>
      <c r="V4436" s="18">
        <f>628529462227</f>
        <v>628529462227</v>
      </c>
    </row>
    <row r="4437" ht="15" customHeight="1" spans="1:23" x14ac:dyDescent="0.25">
      <c r="A4437" s="17" t="s">
        <v>12850</v>
      </c>
      <c r="B4437" s="17" t="s">
        <v>70</v>
      </c>
      <c r="C4437" s="17" t="s">
        <v>71</v>
      </c>
      <c r="D4437" t="s">
        <v>12849</v>
      </c>
      <c r="F4437" t="s">
        <v>12851</v>
      </c>
      <c r="K4437" s="18">
        <f>6281380366886</f>
        <v>6281380366886</v>
      </c>
      <c r="N4437" s="17" t="s">
        <v>81</v>
      </c>
      <c r="U4437" s="17"/>
      <c r="V4437" s="18">
        <f>6281380366886</f>
        <v>6281380366886</v>
      </c>
      <c r="W4437" t="s">
        <v>12852</v>
      </c>
    </row>
    <row r="4438" ht="15" customHeight="1" spans="1:22" x14ac:dyDescent="0.25">
      <c r="A4438" s="17" t="s">
        <v>12853</v>
      </c>
      <c r="B4438" s="17" t="s">
        <v>70</v>
      </c>
      <c r="C4438" s="17" t="s">
        <v>71</v>
      </c>
      <c r="D4438" t="s">
        <v>12854</v>
      </c>
      <c r="F4438" t="s">
        <v>12855</v>
      </c>
      <c r="K4438" s="18">
        <f>6281586118088</f>
        <v>6281586118088</v>
      </c>
      <c r="N4438" s="17" t="s">
        <v>81</v>
      </c>
      <c r="V4438" s="18">
        <f>6281586118088</f>
        <v>6281586118088</v>
      </c>
    </row>
    <row r="4439" ht="15" customHeight="1" spans="1:25" x14ac:dyDescent="0.25">
      <c r="A4439" s="17" t="s">
        <v>12856</v>
      </c>
      <c r="B4439" s="17" t="s">
        <v>70</v>
      </c>
      <c r="C4439" s="17" t="s">
        <v>71</v>
      </c>
      <c r="D4439" t="s">
        <v>12857</v>
      </c>
      <c r="F4439" t="s">
        <v>11889</v>
      </c>
      <c r="K4439" s="18">
        <f>62217804547</f>
        <v>62217804547</v>
      </c>
      <c r="N4439" s="17" t="s">
        <v>77</v>
      </c>
      <c r="U4439" s="17"/>
      <c r="V4439" s="18">
        <f>62217804547</f>
        <v>62217804547</v>
      </c>
      <c r="W4439" t="s">
        <v>12858</v>
      </c>
      <c r="Y4439" s="17" t="s">
        <v>90</v>
      </c>
    </row>
    <row r="4440" ht="15" customHeight="1" spans="1:22" x14ac:dyDescent="0.25">
      <c r="A4440" s="17" t="s">
        <v>12859</v>
      </c>
      <c r="B4440" s="17" t="s">
        <v>70</v>
      </c>
      <c r="C4440" s="17" t="s">
        <v>71</v>
      </c>
      <c r="D4440" t="s">
        <v>12860</v>
      </c>
      <c r="F4440" t="s">
        <v>12861</v>
      </c>
      <c r="K4440" s="18">
        <f>6281286224682</f>
        <v>6281286224682</v>
      </c>
      <c r="N4440" s="17" t="s">
        <v>81</v>
      </c>
      <c r="V4440" s="18">
        <f>6281286224682</f>
        <v>6281286224682</v>
      </c>
    </row>
    <row r="4441" ht="15" customHeight="1" spans="1:28" x14ac:dyDescent="0.25">
      <c r="A4441" s="17" t="s">
        <v>12862</v>
      </c>
      <c r="B4441" s="17" t="s">
        <v>70</v>
      </c>
      <c r="C4441" s="17" t="s">
        <v>71</v>
      </c>
      <c r="D4441" t="s">
        <v>12860</v>
      </c>
      <c r="F4441" t="s">
        <v>12863</v>
      </c>
      <c r="J4441" t="s">
        <v>115</v>
      </c>
      <c r="K4441" s="18" t="s">
        <v>12864</v>
      </c>
      <c r="N4441" s="17" t="s">
        <v>77</v>
      </c>
      <c r="O4441" t="s">
        <v>117</v>
      </c>
      <c r="V4441" s="18" t="s">
        <v>12864</v>
      </c>
      <c r="Y4441" t="s">
        <v>190</v>
      </c>
      <c r="AA4441" t="s">
        <v>118</v>
      </c>
      <c r="AB4441" t="s">
        <v>119</v>
      </c>
    </row>
    <row r="4442" ht="15" customHeight="1" spans="1:22" x14ac:dyDescent="0.25">
      <c r="A4442" s="17" t="s">
        <v>12865</v>
      </c>
      <c r="B4442" s="17" t="s">
        <v>70</v>
      </c>
      <c r="C4442" s="17" t="s">
        <v>71</v>
      </c>
      <c r="D4442" t="s">
        <v>12860</v>
      </c>
      <c r="F4442" t="s">
        <v>11864</v>
      </c>
      <c r="K4442" s="18">
        <f>62888368043</f>
        <v>62888368043</v>
      </c>
      <c r="N4442" s="17" t="s">
        <v>77</v>
      </c>
      <c r="V4442" s="18">
        <f>62888368043</f>
        <v>62888368043</v>
      </c>
    </row>
    <row r="4443" ht="15" customHeight="1" spans="1:22" x14ac:dyDescent="0.25">
      <c r="A4443" s="17" t="s">
        <v>12866</v>
      </c>
      <c r="B4443" s="17" t="s">
        <v>70</v>
      </c>
      <c r="C4443" s="17" t="s">
        <v>71</v>
      </c>
      <c r="D4443" t="s">
        <v>12867</v>
      </c>
      <c r="F4443" t="s">
        <v>1147</v>
      </c>
      <c r="K4443" s="18">
        <f>6281902826627</f>
        <v>6281902826627</v>
      </c>
      <c r="N4443" s="17" t="s">
        <v>77</v>
      </c>
      <c r="V4443" s="18">
        <f>6281902826627</f>
        <v>6281902826627</v>
      </c>
    </row>
    <row r="4444" ht="15" customHeight="1" spans="1:22" x14ac:dyDescent="0.25">
      <c r="A4444" s="17" t="s">
        <v>12868</v>
      </c>
      <c r="B4444" s="17" t="s">
        <v>70</v>
      </c>
      <c r="C4444" s="17" t="s">
        <v>71</v>
      </c>
      <c r="D4444" t="s">
        <v>12869</v>
      </c>
      <c r="F4444" t="s">
        <v>12870</v>
      </c>
      <c r="J4444" s="17" t="s">
        <v>12871</v>
      </c>
      <c r="K4444" s="18">
        <f>6281902253286</f>
        <v>6281902253286</v>
      </c>
      <c r="N4444" s="17" t="s">
        <v>77</v>
      </c>
      <c r="V4444" s="18">
        <f>6281902253286</f>
        <v>6281902253286</v>
      </c>
    </row>
    <row r="4445" ht="15" customHeight="1" spans="1:28" x14ac:dyDescent="0.25">
      <c r="A4445" s="17" t="s">
        <v>12872</v>
      </c>
      <c r="B4445" s="17" t="s">
        <v>70</v>
      </c>
      <c r="C4445" s="17" t="s">
        <v>71</v>
      </c>
      <c r="D4445" t="s">
        <v>12873</v>
      </c>
      <c r="F4445" t="s">
        <v>3142</v>
      </c>
      <c r="J4445" s="17" t="s">
        <v>12874</v>
      </c>
      <c r="K4445" s="18" t="s">
        <v>12875</v>
      </c>
      <c r="N4445" s="17" t="s">
        <v>77</v>
      </c>
      <c r="O4445" t="s">
        <v>199</v>
      </c>
      <c r="V4445" s="18" t="s">
        <v>12875</v>
      </c>
      <c r="Y4445" t="s">
        <v>704</v>
      </c>
      <c r="AA4445" t="s">
        <v>705</v>
      </c>
      <c r="AB4445" t="s">
        <v>119</v>
      </c>
    </row>
    <row r="4446" ht="15" customHeight="1" spans="1:22" x14ac:dyDescent="0.25">
      <c r="A4446" s="17" t="s">
        <v>12876</v>
      </c>
      <c r="B4446" s="17" t="s">
        <v>70</v>
      </c>
      <c r="C4446" s="17" t="s">
        <v>71</v>
      </c>
      <c r="D4446" t="s">
        <v>12877</v>
      </c>
      <c r="F4446" t="s">
        <v>12877</v>
      </c>
      <c r="K4446" s="18">
        <f>628119801177</f>
        <v>628119801177</v>
      </c>
      <c r="N4446" s="17" t="s">
        <v>77</v>
      </c>
      <c r="V4446" s="18">
        <f>628119801177</f>
        <v>628119801177</v>
      </c>
    </row>
    <row r="4447" ht="15" customHeight="1" spans="1:28" x14ac:dyDescent="0.25">
      <c r="A4447" s="17" t="s">
        <v>12878</v>
      </c>
      <c r="B4447" s="17" t="s">
        <v>70</v>
      </c>
      <c r="C4447" s="17" t="s">
        <v>71</v>
      </c>
      <c r="D4447" t="s">
        <v>12877</v>
      </c>
      <c r="F4447" t="s">
        <v>7709</v>
      </c>
      <c r="J4447" s="17" t="s">
        <v>12879</v>
      </c>
      <c r="K4447" s="18" t="s">
        <v>12880</v>
      </c>
      <c r="N4447" s="17" t="s">
        <v>74</v>
      </c>
      <c r="O4447" t="s">
        <v>1188</v>
      </c>
      <c r="U4447" s="17"/>
      <c r="V4447" s="18" t="s">
        <v>12880</v>
      </c>
      <c r="W4447" t="s">
        <v>12881</v>
      </c>
      <c r="Y4447" t="s">
        <v>90</v>
      </c>
      <c r="AA4447" t="s">
        <v>118</v>
      </c>
      <c r="AB4447" t="s">
        <v>119</v>
      </c>
    </row>
    <row r="4448" ht="15" customHeight="1" spans="1:25" x14ac:dyDescent="0.25">
      <c r="A4448" s="17" t="s">
        <v>12882</v>
      </c>
      <c r="B4448" s="17" t="s">
        <v>70</v>
      </c>
      <c r="C4448" s="17" t="s">
        <v>71</v>
      </c>
      <c r="D4448" t="s">
        <v>12877</v>
      </c>
      <c r="F4448" t="s">
        <v>12883</v>
      </c>
      <c r="K4448" s="18">
        <f>6282114197323</f>
        <v>6282114197323</v>
      </c>
      <c r="N4448" s="17" t="s">
        <v>81</v>
      </c>
      <c r="U4448" s="17"/>
      <c r="V4448" s="18">
        <f>6282114197323</f>
        <v>6282114197323</v>
      </c>
      <c r="W4448" t="s">
        <v>12884</v>
      </c>
      <c r="Y4448" s="17" t="s">
        <v>515</v>
      </c>
    </row>
    <row r="4449" ht="15" customHeight="1" spans="1:23" x14ac:dyDescent="0.25">
      <c r="A4449" s="17" t="s">
        <v>12885</v>
      </c>
      <c r="B4449" s="17" t="s">
        <v>70</v>
      </c>
      <c r="C4449" s="17" t="s">
        <v>71</v>
      </c>
      <c r="D4449" t="s">
        <v>12877</v>
      </c>
      <c r="F4449" t="s">
        <v>12886</v>
      </c>
      <c r="K4449" s="18">
        <f>62217193247</f>
        <v>62217193247</v>
      </c>
      <c r="N4449" s="17" t="s">
        <v>77</v>
      </c>
      <c r="U4449" s="17"/>
      <c r="V4449" s="18">
        <f>62217193247</f>
        <v>62217193247</v>
      </c>
      <c r="W4449" t="s">
        <v>12887</v>
      </c>
    </row>
    <row r="4450" ht="15" customHeight="1" spans="1:25" x14ac:dyDescent="0.25">
      <c r="A4450" s="17" t="s">
        <v>12888</v>
      </c>
      <c r="B4450" s="17" t="s">
        <v>70</v>
      </c>
      <c r="C4450" s="17" t="s">
        <v>71</v>
      </c>
      <c r="D4450" t="s">
        <v>12889</v>
      </c>
      <c r="F4450" t="s">
        <v>7124</v>
      </c>
      <c r="K4450" s="18" t="s">
        <v>12890</v>
      </c>
      <c r="N4450" s="17" t="s">
        <v>77</v>
      </c>
      <c r="U4450" s="17"/>
      <c r="V4450" s="18" t="s">
        <v>12890</v>
      </c>
      <c r="W4450" t="s">
        <v>12891</v>
      </c>
      <c r="Y4450" s="17" t="s">
        <v>96</v>
      </c>
    </row>
    <row r="4451" ht="15" customHeight="1" spans="1:28" x14ac:dyDescent="0.25">
      <c r="A4451" s="17" t="s">
        <v>12892</v>
      </c>
      <c r="B4451" s="17" t="s">
        <v>70</v>
      </c>
      <c r="C4451" s="17" t="s">
        <v>71</v>
      </c>
      <c r="D4451" t="s">
        <v>12893</v>
      </c>
      <c r="F4451" t="s">
        <v>12894</v>
      </c>
      <c r="J4451" s="17" t="s">
        <v>12895</v>
      </c>
      <c r="K4451" s="18" t="s">
        <v>12896</v>
      </c>
      <c r="N4451" s="17" t="s">
        <v>77</v>
      </c>
      <c r="O4451" t="s">
        <v>489</v>
      </c>
      <c r="V4451" s="18" t="s">
        <v>12896</v>
      </c>
      <c r="Y4451" t="s">
        <v>115</v>
      </c>
      <c r="AA4451" t="s">
        <v>115</v>
      </c>
      <c r="AB4451" t="s">
        <v>451</v>
      </c>
    </row>
    <row r="4452" ht="15" customHeight="1" spans="1:28" x14ac:dyDescent="0.25">
      <c r="A4452" s="17" t="s">
        <v>12897</v>
      </c>
      <c r="B4452" s="17" t="s">
        <v>70</v>
      </c>
      <c r="C4452" s="17" t="s">
        <v>71</v>
      </c>
      <c r="D4452" t="s">
        <v>12898</v>
      </c>
      <c r="F4452" t="s">
        <v>3142</v>
      </c>
      <c r="J4452" s="17" t="s">
        <v>12899</v>
      </c>
      <c r="K4452" s="18" t="s">
        <v>12900</v>
      </c>
      <c r="N4452" s="17" t="s">
        <v>77</v>
      </c>
      <c r="O4452" t="s">
        <v>489</v>
      </c>
      <c r="V4452" s="18" t="s">
        <v>12900</v>
      </c>
      <c r="Y4452" t="s">
        <v>190</v>
      </c>
      <c r="AA4452" t="s">
        <v>118</v>
      </c>
      <c r="AB4452" t="s">
        <v>1306</v>
      </c>
    </row>
    <row r="4453" ht="15" customHeight="1" spans="1:22" x14ac:dyDescent="0.25">
      <c r="A4453" s="17" t="s">
        <v>12901</v>
      </c>
      <c r="B4453" s="17" t="s">
        <v>70</v>
      </c>
      <c r="C4453" s="17" t="s">
        <v>71</v>
      </c>
      <c r="D4453" t="s">
        <v>12902</v>
      </c>
      <c r="F4453" t="s">
        <v>12903</v>
      </c>
      <c r="K4453" s="18">
        <f>628118203188</f>
        <v>628118203188</v>
      </c>
      <c r="N4453" s="17" t="s">
        <v>77</v>
      </c>
      <c r="V4453" s="18">
        <f>628118203188</f>
        <v>628118203188</v>
      </c>
    </row>
    <row r="4454" ht="15" customHeight="1" spans="1:25" x14ac:dyDescent="0.25">
      <c r="A4454" s="17" t="s">
        <v>12904</v>
      </c>
      <c r="B4454" s="17" t="s">
        <v>70</v>
      </c>
      <c r="C4454" s="17" t="s">
        <v>71</v>
      </c>
      <c r="D4454" t="s">
        <v>12902</v>
      </c>
      <c r="F4454" t="s">
        <v>1754</v>
      </c>
      <c r="J4454" s="17" t="s">
        <v>12905</v>
      </c>
      <c r="K4454" s="18">
        <f>628118840052</f>
        <v>628118840052</v>
      </c>
      <c r="N4454" s="17" t="s">
        <v>77</v>
      </c>
      <c r="U4454" s="17"/>
      <c r="V4454" s="18">
        <f>628118840052</f>
        <v>628118840052</v>
      </c>
      <c r="W4454" t="s">
        <v>12906</v>
      </c>
      <c r="Y4454" s="17" t="s">
        <v>96</v>
      </c>
    </row>
    <row r="4455" ht="15" customHeight="1" spans="1:28" x14ac:dyDescent="0.25">
      <c r="A4455" s="17" t="s">
        <v>12907</v>
      </c>
      <c r="B4455" s="17" t="s">
        <v>70</v>
      </c>
      <c r="C4455" s="17" t="s">
        <v>71</v>
      </c>
      <c r="D4455" t="s">
        <v>12902</v>
      </c>
      <c r="F4455" t="s">
        <v>1754</v>
      </c>
      <c r="J4455" s="17" t="s">
        <v>12908</v>
      </c>
      <c r="K4455" s="18" t="s">
        <v>12909</v>
      </c>
      <c r="N4455" s="17" t="s">
        <v>77</v>
      </c>
      <c r="O4455" t="s">
        <v>261</v>
      </c>
      <c r="V4455" s="18" t="s">
        <v>12909</v>
      </c>
      <c r="Y4455" t="s">
        <v>96</v>
      </c>
      <c r="AA4455" t="s">
        <v>693</v>
      </c>
      <c r="AB4455" t="s">
        <v>119</v>
      </c>
    </row>
    <row r="4456" ht="15" customHeight="1" spans="1:22" x14ac:dyDescent="0.25">
      <c r="A4456" s="17" t="s">
        <v>12910</v>
      </c>
      <c r="B4456" s="17" t="s">
        <v>70</v>
      </c>
      <c r="C4456" s="17" t="s">
        <v>71</v>
      </c>
      <c r="D4456" t="s">
        <v>12902</v>
      </c>
      <c r="F4456" t="s">
        <v>3869</v>
      </c>
      <c r="K4456" s="18">
        <f>6281578400642</f>
        <v>6281578400642</v>
      </c>
      <c r="N4456" s="17" t="s">
        <v>77</v>
      </c>
      <c r="V4456" s="18">
        <f>6281578400642</f>
        <v>6281578400642</v>
      </c>
    </row>
    <row r="4457" ht="15" customHeight="1" spans="1:22" x14ac:dyDescent="0.25">
      <c r="A4457" s="17" t="s">
        <v>12911</v>
      </c>
      <c r="B4457" s="17" t="s">
        <v>70</v>
      </c>
      <c r="C4457" s="17" t="s">
        <v>71</v>
      </c>
      <c r="D4457" t="s">
        <v>12912</v>
      </c>
      <c r="F4457" t="s">
        <v>12913</v>
      </c>
      <c r="K4457" s="18">
        <f>628565723014</f>
        <v>628565723014</v>
      </c>
      <c r="N4457" s="17" t="s">
        <v>81</v>
      </c>
      <c r="V4457" s="18">
        <f>628565723014</f>
        <v>628565723014</v>
      </c>
    </row>
    <row r="4458" ht="15" customHeight="1" spans="1:22" x14ac:dyDescent="0.25">
      <c r="A4458" s="17" t="s">
        <v>12914</v>
      </c>
      <c r="B4458" s="17" t="s">
        <v>70</v>
      </c>
      <c r="C4458" s="17" t="s">
        <v>71</v>
      </c>
      <c r="D4458" t="s">
        <v>12915</v>
      </c>
      <c r="F4458" t="s">
        <v>12915</v>
      </c>
      <c r="K4458" s="18">
        <f>62816946440</f>
        <v>62816946440</v>
      </c>
      <c r="N4458" s="17" t="s">
        <v>77</v>
      </c>
      <c r="V4458" s="18">
        <f>62816946440</f>
        <v>62816946440</v>
      </c>
    </row>
    <row r="4459" ht="15" customHeight="1" spans="1:28" x14ac:dyDescent="0.25">
      <c r="A4459" s="17" t="s">
        <v>12916</v>
      </c>
      <c r="B4459" s="17" t="s">
        <v>70</v>
      </c>
      <c r="C4459" s="17" t="s">
        <v>71</v>
      </c>
      <c r="D4459" t="s">
        <v>12915</v>
      </c>
      <c r="F4459" t="s">
        <v>7892</v>
      </c>
      <c r="J4459" s="17" t="s">
        <v>12917</v>
      </c>
      <c r="K4459" s="18" t="s">
        <v>12918</v>
      </c>
      <c r="N4459" s="17" t="s">
        <v>77</v>
      </c>
      <c r="O4459" t="s">
        <v>117</v>
      </c>
      <c r="U4459" s="17"/>
      <c r="V4459" s="18" t="s">
        <v>12918</v>
      </c>
      <c r="W4459" t="s">
        <v>12919</v>
      </c>
      <c r="Y4459" s="17" t="s">
        <v>90</v>
      </c>
      <c r="AA4459" t="s">
        <v>118</v>
      </c>
      <c r="AB4459" t="s">
        <v>119</v>
      </c>
    </row>
    <row r="4460" ht="15" customHeight="1" spans="1:22" x14ac:dyDescent="0.25">
      <c r="A4460" s="17" t="s">
        <v>12920</v>
      </c>
      <c r="B4460" s="17" t="s">
        <v>70</v>
      </c>
      <c r="C4460" s="17" t="s">
        <v>71</v>
      </c>
      <c r="D4460" t="s">
        <v>12921</v>
      </c>
      <c r="F4460" t="s">
        <v>1754</v>
      </c>
      <c r="J4460" s="17" t="s">
        <v>12922</v>
      </c>
      <c r="K4460" s="18">
        <f>6281284078080</f>
        <v>6281284078080</v>
      </c>
      <c r="N4460" s="17" t="s">
        <v>81</v>
      </c>
      <c r="V4460" s="18">
        <f>6281284078080</f>
        <v>6281284078080</v>
      </c>
    </row>
    <row r="4461" ht="15" customHeight="1" spans="1:22" x14ac:dyDescent="0.25">
      <c r="A4461" s="17" t="s">
        <v>12923</v>
      </c>
      <c r="B4461" s="17" t="s">
        <v>70</v>
      </c>
      <c r="C4461" s="17" t="s">
        <v>71</v>
      </c>
      <c r="D4461" t="s">
        <v>12924</v>
      </c>
      <c r="F4461" t="s">
        <v>12924</v>
      </c>
      <c r="K4461" s="18">
        <f>62811193746</f>
        <v>62811193746</v>
      </c>
      <c r="N4461" s="17" t="s">
        <v>77</v>
      </c>
      <c r="V4461" s="18">
        <f>62811193746</f>
        <v>62811193746</v>
      </c>
    </row>
    <row r="4462" ht="15" customHeight="1" spans="1:22" x14ac:dyDescent="0.25">
      <c r="A4462" s="17" t="s">
        <v>12925</v>
      </c>
      <c r="B4462" s="17" t="s">
        <v>70</v>
      </c>
      <c r="C4462" s="17" t="s">
        <v>71</v>
      </c>
      <c r="D4462" t="s">
        <v>12924</v>
      </c>
      <c r="F4462" t="s">
        <v>12926</v>
      </c>
      <c r="K4462" s="18">
        <f>6282208238989</f>
        <v>6282208238989</v>
      </c>
      <c r="N4462" s="17" t="s">
        <v>77</v>
      </c>
      <c r="V4462" s="18">
        <f>6282208238989</f>
        <v>6282208238989</v>
      </c>
    </row>
    <row r="4463" ht="15" customHeight="1" spans="1:28" x14ac:dyDescent="0.25">
      <c r="A4463" s="17" t="s">
        <v>12927</v>
      </c>
      <c r="B4463" s="17" t="s">
        <v>70</v>
      </c>
      <c r="C4463" s="17" t="s">
        <v>71</v>
      </c>
      <c r="D4463" t="s">
        <v>12924</v>
      </c>
      <c r="F4463" t="s">
        <v>2989</v>
      </c>
      <c r="J4463" t="s">
        <v>115</v>
      </c>
      <c r="K4463" s="18" t="s">
        <v>12928</v>
      </c>
      <c r="N4463" s="17" t="s">
        <v>81</v>
      </c>
      <c r="O4463" t="s">
        <v>261</v>
      </c>
      <c r="V4463" s="18" t="s">
        <v>12928</v>
      </c>
      <c r="Y4463" t="s">
        <v>217</v>
      </c>
      <c r="AA4463" t="s">
        <v>218</v>
      </c>
      <c r="AB4463" t="s">
        <v>119</v>
      </c>
    </row>
    <row r="4464" ht="15" customHeight="1" spans="1:22" x14ac:dyDescent="0.25">
      <c r="A4464" s="17" t="s">
        <v>12929</v>
      </c>
      <c r="B4464" s="17" t="s">
        <v>70</v>
      </c>
      <c r="C4464" s="17" t="s">
        <v>71</v>
      </c>
      <c r="D4464" t="s">
        <v>12924</v>
      </c>
      <c r="F4464" t="s">
        <v>2445</v>
      </c>
      <c r="K4464" s="18">
        <f>6281314625138</f>
        <v>6281314625138</v>
      </c>
      <c r="N4464" s="17" t="s">
        <v>77</v>
      </c>
      <c r="V4464" s="18">
        <f>6281314625138</f>
        <v>6281314625138</v>
      </c>
    </row>
    <row r="4465" ht="15" customHeight="1" spans="1:25" x14ac:dyDescent="0.25">
      <c r="A4465" s="17" t="s">
        <v>12930</v>
      </c>
      <c r="B4465" s="17" t="s">
        <v>70</v>
      </c>
      <c r="C4465" s="17" t="s">
        <v>71</v>
      </c>
      <c r="D4465" t="s">
        <v>12924</v>
      </c>
      <c r="F4465" t="s">
        <v>1337</v>
      </c>
      <c r="K4465" s="18">
        <f>62818193223</f>
        <v>62818193223</v>
      </c>
      <c r="N4465" s="17" t="s">
        <v>77</v>
      </c>
      <c r="U4465" s="17"/>
      <c r="V4465" s="18">
        <f>62818193223</f>
        <v>62818193223</v>
      </c>
      <c r="W4465" t="s">
        <v>12931</v>
      </c>
      <c r="Y4465" s="17" t="s">
        <v>626</v>
      </c>
    </row>
    <row r="4466" ht="15" customHeight="1" spans="1:25" x14ac:dyDescent="0.25">
      <c r="A4466" s="17" t="s">
        <v>12932</v>
      </c>
      <c r="B4466" s="17" t="s">
        <v>70</v>
      </c>
      <c r="C4466" s="17" t="s">
        <v>71</v>
      </c>
      <c r="D4466" t="s">
        <v>12924</v>
      </c>
      <c r="F4466" t="s">
        <v>5862</v>
      </c>
      <c r="K4466" s="18">
        <f>6281113110</f>
        <v>6281113110</v>
      </c>
      <c r="N4466" s="17" t="s">
        <v>81</v>
      </c>
      <c r="V4466" s="18">
        <f>6281113110</f>
        <v>6281113110</v>
      </c>
      <c r="Y4466" s="17" t="s">
        <v>90</v>
      </c>
    </row>
    <row r="4467" ht="15" customHeight="1" spans="1:22" x14ac:dyDescent="0.25">
      <c r="A4467" s="17" t="s">
        <v>12933</v>
      </c>
      <c r="B4467" s="17" t="s">
        <v>70</v>
      </c>
      <c r="C4467" s="17" t="s">
        <v>71</v>
      </c>
      <c r="D4467" t="s">
        <v>12924</v>
      </c>
      <c r="F4467" t="s">
        <v>12934</v>
      </c>
      <c r="K4467" s="18">
        <f>62811113110</f>
        <v>62811113110</v>
      </c>
      <c r="N4467" s="17" t="s">
        <v>74</v>
      </c>
      <c r="V4467" s="18">
        <f>62811113110</f>
        <v>62811113110</v>
      </c>
    </row>
    <row r="4468" ht="15" customHeight="1" spans="1:28" x14ac:dyDescent="0.25">
      <c r="A4468" s="17" t="s">
        <v>12935</v>
      </c>
      <c r="B4468" s="17" t="s">
        <v>70</v>
      </c>
      <c r="C4468" s="17" t="s">
        <v>71</v>
      </c>
      <c r="D4468" t="s">
        <v>12936</v>
      </c>
      <c r="F4468" t="s">
        <v>7709</v>
      </c>
      <c r="J4468" t="s">
        <v>115</v>
      </c>
      <c r="K4468" s="18" t="s">
        <v>12937</v>
      </c>
      <c r="N4468" s="17" t="s">
        <v>77</v>
      </c>
      <c r="O4468" t="s">
        <v>117</v>
      </c>
      <c r="U4468" s="17"/>
      <c r="V4468" s="18" t="s">
        <v>12937</v>
      </c>
      <c r="W4468" t="s">
        <v>12938</v>
      </c>
      <c r="Y4468" s="17" t="s">
        <v>190</v>
      </c>
      <c r="AA4468" s="17" t="s">
        <v>118</v>
      </c>
      <c r="AB4468" t="s">
        <v>119</v>
      </c>
    </row>
    <row r="4469" ht="15" customHeight="1" spans="1:28" x14ac:dyDescent="0.25">
      <c r="A4469" s="17" t="s">
        <v>12939</v>
      </c>
      <c r="B4469" s="17" t="s">
        <v>70</v>
      </c>
      <c r="C4469" s="17" t="s">
        <v>71</v>
      </c>
      <c r="D4469" t="s">
        <v>12924</v>
      </c>
      <c r="F4469" t="s">
        <v>12940</v>
      </c>
      <c r="J4469" t="s">
        <v>115</v>
      </c>
      <c r="K4469" s="18" t="s">
        <v>12941</v>
      </c>
      <c r="N4469" s="17" t="s">
        <v>81</v>
      </c>
      <c r="O4469" t="s">
        <v>117</v>
      </c>
      <c r="V4469" s="18" t="s">
        <v>12941</v>
      </c>
      <c r="Y4469" t="s">
        <v>190</v>
      </c>
      <c r="AA4469" t="s">
        <v>118</v>
      </c>
      <c r="AB4469" t="s">
        <v>119</v>
      </c>
    </row>
    <row r="4470" ht="15" customHeight="1" spans="1:25" x14ac:dyDescent="0.25">
      <c r="A4470" s="17" t="s">
        <v>12942</v>
      </c>
      <c r="B4470" s="17" t="s">
        <v>70</v>
      </c>
      <c r="C4470" s="17" t="s">
        <v>71</v>
      </c>
      <c r="D4470" t="s">
        <v>12924</v>
      </c>
      <c r="F4470" t="s">
        <v>12943</v>
      </c>
      <c r="K4470" s="18">
        <f>628112262226</f>
        <v>628112262226</v>
      </c>
      <c r="N4470" s="17" t="s">
        <v>77</v>
      </c>
      <c r="U4470" s="17"/>
      <c r="V4470" s="18">
        <f>628112262226</f>
        <v>628112262226</v>
      </c>
      <c r="W4470" t="s">
        <v>12944</v>
      </c>
      <c r="Y4470" s="17" t="s">
        <v>500</v>
      </c>
    </row>
    <row r="4471" ht="15" customHeight="1" spans="1:28" x14ac:dyDescent="0.25">
      <c r="A4471" s="17" t="s">
        <v>12945</v>
      </c>
      <c r="B4471" s="17" t="s">
        <v>70</v>
      </c>
      <c r="C4471" s="17" t="s">
        <v>71</v>
      </c>
      <c r="D4471" t="s">
        <v>12924</v>
      </c>
      <c r="F4471" t="s">
        <v>10418</v>
      </c>
      <c r="J4471" t="s">
        <v>115</v>
      </c>
      <c r="K4471" s="18" t="s">
        <v>12946</v>
      </c>
      <c r="N4471" s="17" t="s">
        <v>77</v>
      </c>
      <c r="O4471" t="s">
        <v>199</v>
      </c>
      <c r="V4471" s="18" t="s">
        <v>12946</v>
      </c>
      <c r="Y4471" t="s">
        <v>217</v>
      </c>
      <c r="AA4471" t="s">
        <v>218</v>
      </c>
      <c r="AB4471" t="s">
        <v>119</v>
      </c>
    </row>
    <row r="4472" ht="15" customHeight="1" spans="1:22" x14ac:dyDescent="0.25">
      <c r="A4472" s="17" t="s">
        <v>12947</v>
      </c>
      <c r="B4472" s="17" t="s">
        <v>70</v>
      </c>
      <c r="C4472" s="17" t="s">
        <v>71</v>
      </c>
      <c r="D4472" t="s">
        <v>12924</v>
      </c>
      <c r="F4472" t="s">
        <v>301</v>
      </c>
      <c r="K4472" s="18">
        <f>6281319812357</f>
        <v>6281319812357</v>
      </c>
      <c r="N4472" s="17" t="s">
        <v>81</v>
      </c>
      <c r="V4472" s="18">
        <f>6281319812357</f>
        <v>6281319812357</v>
      </c>
    </row>
    <row r="4473" ht="15" customHeight="1" spans="1:28" x14ac:dyDescent="0.25">
      <c r="A4473" s="17" t="s">
        <v>12948</v>
      </c>
      <c r="B4473" s="17" t="s">
        <v>70</v>
      </c>
      <c r="C4473" s="17" t="s">
        <v>71</v>
      </c>
      <c r="D4473" t="s">
        <v>12924</v>
      </c>
      <c r="F4473" t="s">
        <v>12949</v>
      </c>
      <c r="J4473" t="s">
        <v>115</v>
      </c>
      <c r="K4473" s="18" t="s">
        <v>12950</v>
      </c>
      <c r="N4473" s="17" t="s">
        <v>81</v>
      </c>
      <c r="O4473" t="s">
        <v>117</v>
      </c>
      <c r="U4473" s="17"/>
      <c r="V4473" s="18" t="s">
        <v>12950</v>
      </c>
      <c r="W4473" t="s">
        <v>12951</v>
      </c>
      <c r="Y4473" t="s">
        <v>4993</v>
      </c>
      <c r="AA4473" s="17" t="s">
        <v>12952</v>
      </c>
      <c r="AB4473" t="s">
        <v>119</v>
      </c>
    </row>
    <row r="4474" ht="15" customHeight="1" spans="1:22" x14ac:dyDescent="0.25">
      <c r="A4474" s="17" t="s">
        <v>12953</v>
      </c>
      <c r="B4474" s="17" t="s">
        <v>70</v>
      </c>
      <c r="C4474" s="17" t="s">
        <v>71</v>
      </c>
      <c r="D4474" t="s">
        <v>12924</v>
      </c>
      <c r="F4474" t="s">
        <v>12954</v>
      </c>
      <c r="K4474" s="18">
        <f>6281288882277</f>
        <v>6281288882277</v>
      </c>
      <c r="N4474" s="17" t="s">
        <v>81</v>
      </c>
      <c r="V4474" s="18">
        <f>6281288882277</f>
        <v>6281288882277</v>
      </c>
    </row>
    <row r="4475" ht="15" customHeight="1" spans="1:23" x14ac:dyDescent="0.25">
      <c r="A4475" s="17" t="s">
        <v>12955</v>
      </c>
      <c r="B4475" s="17" t="s">
        <v>70</v>
      </c>
      <c r="C4475" s="17" t="s">
        <v>71</v>
      </c>
      <c r="D4475" t="s">
        <v>12924</v>
      </c>
      <c r="F4475" t="s">
        <v>12956</v>
      </c>
      <c r="K4475" s="18">
        <f>628124301212</f>
        <v>628124301212</v>
      </c>
      <c r="N4475" s="17" t="s">
        <v>81</v>
      </c>
      <c r="U4475" s="17"/>
      <c r="V4475" s="18">
        <f>628124301212</f>
        <v>628124301212</v>
      </c>
      <c r="W4475" t="s">
        <v>12957</v>
      </c>
    </row>
    <row r="4476" ht="15" customHeight="1" spans="1:23" x14ac:dyDescent="0.25">
      <c r="A4476" s="17" t="s">
        <v>12958</v>
      </c>
      <c r="B4476" s="17" t="s">
        <v>70</v>
      </c>
      <c r="C4476" s="17" t="s">
        <v>71</v>
      </c>
      <c r="D4476" t="s">
        <v>12924</v>
      </c>
      <c r="F4476" t="s">
        <v>12959</v>
      </c>
      <c r="J4476" s="17" t="s">
        <v>12960</v>
      </c>
      <c r="K4476" s="18">
        <f>62818211833</f>
        <v>62818211833</v>
      </c>
      <c r="N4476" s="17" t="s">
        <v>81</v>
      </c>
      <c r="U4476" s="17"/>
      <c r="V4476" s="18">
        <f>62818211833</f>
        <v>62818211833</v>
      </c>
      <c r="W4476" t="s">
        <v>12961</v>
      </c>
    </row>
    <row r="4477" ht="15" customHeight="1" spans="1:22" x14ac:dyDescent="0.25">
      <c r="A4477" s="17" t="s">
        <v>12962</v>
      </c>
      <c r="B4477" s="17" t="s">
        <v>70</v>
      </c>
      <c r="C4477" s="17" t="s">
        <v>71</v>
      </c>
      <c r="D4477" t="s">
        <v>12924</v>
      </c>
      <c r="F4477" t="s">
        <v>4708</v>
      </c>
      <c r="K4477" s="18">
        <f>6287877686631</f>
        <v>6287877686631</v>
      </c>
      <c r="N4477" s="17" t="s">
        <v>81</v>
      </c>
      <c r="V4477" s="18">
        <f>6287877686631</f>
        <v>6287877686631</v>
      </c>
    </row>
    <row r="4478" ht="15" customHeight="1" spans="1:25" x14ac:dyDescent="0.25">
      <c r="A4478" s="17" t="s">
        <v>12963</v>
      </c>
      <c r="B4478" s="17" t="s">
        <v>70</v>
      </c>
      <c r="C4478" s="17" t="s">
        <v>71</v>
      </c>
      <c r="D4478" t="s">
        <v>12924</v>
      </c>
      <c r="F4478" t="s">
        <v>2077</v>
      </c>
      <c r="K4478" s="18">
        <f>6287777880088</f>
        <v>6287777880088</v>
      </c>
      <c r="N4478" s="17" t="s">
        <v>74</v>
      </c>
      <c r="U4478" s="17"/>
      <c r="V4478" s="18">
        <f>6287777880088</f>
        <v>6287777880088</v>
      </c>
      <c r="W4478" t="s">
        <v>12964</v>
      </c>
      <c r="Y4478" s="17" t="s">
        <v>4993</v>
      </c>
    </row>
    <row r="4479" ht="15" customHeight="1" spans="1:22" x14ac:dyDescent="0.25">
      <c r="A4479" s="17" t="s">
        <v>12965</v>
      </c>
      <c r="B4479" s="17" t="s">
        <v>70</v>
      </c>
      <c r="C4479" s="17" t="s">
        <v>71</v>
      </c>
      <c r="D4479" t="s">
        <v>12966</v>
      </c>
      <c r="F4479" t="s">
        <v>12967</v>
      </c>
      <c r="K4479" s="18">
        <f>62817888882204</f>
        <v>62817888882204</v>
      </c>
      <c r="N4479" s="17" t="s">
        <v>77</v>
      </c>
      <c r="V4479" s="18">
        <f>62817888882204</f>
        <v>62817888882204</v>
      </c>
    </row>
    <row r="4480" ht="15" customHeight="1" spans="1:22" x14ac:dyDescent="0.25">
      <c r="A4480" s="17" t="s">
        <v>12968</v>
      </c>
      <c r="B4480" s="17" t="s">
        <v>70</v>
      </c>
      <c r="C4480" s="17" t="s">
        <v>71</v>
      </c>
      <c r="D4480" t="s">
        <v>12966</v>
      </c>
      <c r="F4480" t="s">
        <v>12969</v>
      </c>
      <c r="K4480" s="18">
        <f>6281808994983</f>
        <v>6281808994983</v>
      </c>
      <c r="N4480" s="17" t="s">
        <v>77</v>
      </c>
      <c r="V4480" s="18">
        <f>6281808994983</f>
        <v>6281808994983</v>
      </c>
    </row>
    <row r="4481" ht="15" customHeight="1" spans="1:28" x14ac:dyDescent="0.25">
      <c r="A4481" s="17" t="s">
        <v>12970</v>
      </c>
      <c r="B4481" s="17" t="s">
        <v>70</v>
      </c>
      <c r="C4481" s="17" t="s">
        <v>71</v>
      </c>
      <c r="D4481" t="s">
        <v>12966</v>
      </c>
      <c r="F4481" t="s">
        <v>12971</v>
      </c>
      <c r="J4481" t="s">
        <v>115</v>
      </c>
      <c r="K4481" s="18" t="s">
        <v>12972</v>
      </c>
      <c r="N4481" s="17" t="s">
        <v>77</v>
      </c>
      <c r="O4481" t="s">
        <v>199</v>
      </c>
      <c r="U4481" s="17"/>
      <c r="V4481" s="18" t="s">
        <v>12972</v>
      </c>
      <c r="W4481" t="s">
        <v>12973</v>
      </c>
      <c r="Y4481" t="s">
        <v>90</v>
      </c>
      <c r="AA4481" t="s">
        <v>118</v>
      </c>
      <c r="AB4481" t="s">
        <v>119</v>
      </c>
    </row>
    <row r="4482" ht="15" customHeight="1" spans="1:27" x14ac:dyDescent="0.25">
      <c r="A4482" s="17" t="s">
        <v>12974</v>
      </c>
      <c r="B4482" s="17" t="s">
        <v>70</v>
      </c>
      <c r="C4482" s="17" t="s">
        <v>71</v>
      </c>
      <c r="D4482" t="s">
        <v>12975</v>
      </c>
      <c r="F4482" t="s">
        <v>12976</v>
      </c>
      <c r="J4482" s="17" t="s">
        <v>12977</v>
      </c>
      <c r="K4482" s="18">
        <f>628121988858</f>
        <v>628121988858</v>
      </c>
      <c r="N4482" s="17" t="s">
        <v>77</v>
      </c>
      <c r="U4482" s="17"/>
      <c r="V4482" s="18">
        <f>628121988858</f>
        <v>628121988858</v>
      </c>
      <c r="W4482" t="s">
        <v>12978</v>
      </c>
      <c r="Y4482" s="17" t="s">
        <v>1084</v>
      </c>
      <c r="AA4482" s="17">
        <v>14450</v>
      </c>
    </row>
    <row r="4483" ht="15" customHeight="1" spans="1:27" x14ac:dyDescent="0.25">
      <c r="A4483" s="17" t="s">
        <v>12979</v>
      </c>
      <c r="B4483" s="17" t="s">
        <v>70</v>
      </c>
      <c r="C4483" s="17" t="s">
        <v>71</v>
      </c>
      <c r="D4483" t="s">
        <v>12980</v>
      </c>
      <c r="F4483" t="s">
        <v>2412</v>
      </c>
      <c r="J4483" s="17" t="s">
        <v>12981</v>
      </c>
      <c r="K4483" s="18">
        <f>6281182925</f>
        <v>6281182925</v>
      </c>
      <c r="N4483" s="17" t="s">
        <v>77</v>
      </c>
      <c r="U4483" s="17"/>
      <c r="V4483" s="18">
        <f>6281182925</f>
        <v>6281182925</v>
      </c>
      <c r="W4483" t="s">
        <v>12982</v>
      </c>
      <c r="Y4483" s="17" t="s">
        <v>378</v>
      </c>
      <c r="AA4483" s="17">
        <v>10350</v>
      </c>
    </row>
    <row r="4484" ht="15" customHeight="1" spans="1:28" x14ac:dyDescent="0.25">
      <c r="A4484" s="17" t="s">
        <v>12983</v>
      </c>
      <c r="B4484" s="17" t="s">
        <v>70</v>
      </c>
      <c r="C4484" s="17" t="s">
        <v>71</v>
      </c>
      <c r="D4484" t="s">
        <v>12980</v>
      </c>
      <c r="F4484" t="s">
        <v>2412</v>
      </c>
      <c r="J4484" t="s">
        <v>115</v>
      </c>
      <c r="K4484" s="18" t="s">
        <v>12984</v>
      </c>
      <c r="N4484" s="17" t="s">
        <v>74</v>
      </c>
      <c r="O4484" t="s">
        <v>117</v>
      </c>
      <c r="V4484" s="18" t="s">
        <v>12984</v>
      </c>
      <c r="Y4484" t="s">
        <v>90</v>
      </c>
      <c r="AA4484" t="s">
        <v>118</v>
      </c>
      <c r="AB4484" t="s">
        <v>119</v>
      </c>
    </row>
    <row r="4485" ht="15" customHeight="1" spans="1:22" x14ac:dyDescent="0.25">
      <c r="A4485" s="17" t="s">
        <v>12985</v>
      </c>
      <c r="B4485" s="17" t="s">
        <v>70</v>
      </c>
      <c r="C4485" s="17" t="s">
        <v>71</v>
      </c>
      <c r="D4485" t="s">
        <v>12986</v>
      </c>
      <c r="F4485" t="s">
        <v>12986</v>
      </c>
      <c r="K4485" s="18">
        <f>62811897122</f>
        <v>62811897122</v>
      </c>
      <c r="N4485" s="17" t="s">
        <v>77</v>
      </c>
      <c r="V4485" s="18">
        <f>62811897122</f>
        <v>62811897122</v>
      </c>
    </row>
    <row r="4486" ht="15" customHeight="1" spans="1:22" x14ac:dyDescent="0.25">
      <c r="A4486" s="17" t="s">
        <v>12987</v>
      </c>
      <c r="B4486" s="17" t="s">
        <v>70</v>
      </c>
      <c r="C4486" s="17" t="s">
        <v>71</v>
      </c>
      <c r="D4486" t="s">
        <v>12986</v>
      </c>
      <c r="F4486" t="s">
        <v>12986</v>
      </c>
      <c r="K4486" s="18">
        <f>62811991980</f>
        <v>62811991980</v>
      </c>
      <c r="N4486" s="17" t="s">
        <v>77</v>
      </c>
      <c r="V4486" s="18">
        <f>62811991980</f>
        <v>62811991980</v>
      </c>
    </row>
    <row r="4487" ht="15" customHeight="1" spans="1:28" x14ac:dyDescent="0.25">
      <c r="A4487" s="17" t="s">
        <v>12988</v>
      </c>
      <c r="B4487" s="17" t="s">
        <v>70</v>
      </c>
      <c r="C4487" s="17" t="s">
        <v>71</v>
      </c>
      <c r="D4487" t="s">
        <v>12989</v>
      </c>
      <c r="F4487" t="s">
        <v>12990</v>
      </c>
      <c r="J4487" t="s">
        <v>115</v>
      </c>
      <c r="K4487" s="18" t="s">
        <v>12991</v>
      </c>
      <c r="N4487" s="17" t="s">
        <v>74</v>
      </c>
      <c r="O4487" t="s">
        <v>1188</v>
      </c>
      <c r="U4487" s="17"/>
      <c r="V4487" s="18" t="s">
        <v>12991</v>
      </c>
      <c r="W4487" t="s">
        <v>12992</v>
      </c>
      <c r="Y4487" s="17" t="s">
        <v>190</v>
      </c>
      <c r="AA4487" t="s">
        <v>118</v>
      </c>
      <c r="AB4487" t="s">
        <v>119</v>
      </c>
    </row>
    <row r="4488" ht="15" customHeight="1" spans="1:22" x14ac:dyDescent="0.25">
      <c r="A4488" s="17" t="s">
        <v>12993</v>
      </c>
      <c r="B4488" s="17" t="s">
        <v>70</v>
      </c>
      <c r="C4488" s="17" t="s">
        <v>71</v>
      </c>
      <c r="D4488" t="s">
        <v>12986</v>
      </c>
      <c r="F4488" t="s">
        <v>12994</v>
      </c>
      <c r="K4488" s="18">
        <f>628161986060</f>
        <v>628161986060</v>
      </c>
      <c r="N4488" s="17" t="s">
        <v>81</v>
      </c>
      <c r="V4488" s="18">
        <f>628161986060</f>
        <v>628161986060</v>
      </c>
    </row>
    <row r="4489" ht="15" customHeight="1" spans="1:28" x14ac:dyDescent="0.25">
      <c r="A4489" s="17" t="s">
        <v>12995</v>
      </c>
      <c r="B4489" s="17" t="s">
        <v>70</v>
      </c>
      <c r="C4489" s="17" t="s">
        <v>71</v>
      </c>
      <c r="D4489" t="s">
        <v>12996</v>
      </c>
      <c r="F4489" t="s">
        <v>12997</v>
      </c>
      <c r="J4489" s="17" t="s">
        <v>12998</v>
      </c>
      <c r="K4489" s="18" t="s">
        <v>12999</v>
      </c>
      <c r="N4489" s="17" t="s">
        <v>77</v>
      </c>
      <c r="O4489" t="s">
        <v>199</v>
      </c>
      <c r="V4489" s="18" t="s">
        <v>12999</v>
      </c>
      <c r="Y4489" s="17" t="s">
        <v>1349</v>
      </c>
      <c r="AA4489" t="s">
        <v>115</v>
      </c>
      <c r="AB4489" t="s">
        <v>1349</v>
      </c>
    </row>
    <row r="4490" ht="15" customHeight="1" spans="1:22" x14ac:dyDescent="0.25">
      <c r="A4490" s="17" t="s">
        <v>13000</v>
      </c>
      <c r="B4490" s="17" t="s">
        <v>70</v>
      </c>
      <c r="C4490" s="17" t="s">
        <v>71</v>
      </c>
      <c r="D4490" t="s">
        <v>13001</v>
      </c>
      <c r="F4490" t="s">
        <v>13002</v>
      </c>
      <c r="K4490" s="18">
        <f>62859066996</f>
        <v>62859066996</v>
      </c>
      <c r="N4490" s="17" t="s">
        <v>74</v>
      </c>
      <c r="V4490" s="18">
        <f>62859066996</f>
        <v>62859066996</v>
      </c>
    </row>
    <row r="4491" ht="15" customHeight="1" spans="1:22" x14ac:dyDescent="0.25">
      <c r="A4491" s="17" t="s">
        <v>13003</v>
      </c>
      <c r="B4491" s="17" t="s">
        <v>70</v>
      </c>
      <c r="C4491" s="17" t="s">
        <v>71</v>
      </c>
      <c r="D4491" t="s">
        <v>13004</v>
      </c>
      <c r="F4491" t="s">
        <v>3193</v>
      </c>
      <c r="K4491" s="18">
        <f>628128139922</f>
        <v>628128139922</v>
      </c>
      <c r="N4491" s="17" t="s">
        <v>77</v>
      </c>
      <c r="V4491" s="18">
        <f>628128139922</f>
        <v>628128139922</v>
      </c>
    </row>
    <row r="4492" ht="15" customHeight="1" spans="1:22" x14ac:dyDescent="0.25">
      <c r="A4492" s="17" t="s">
        <v>13005</v>
      </c>
      <c r="B4492" s="17" t="s">
        <v>70</v>
      </c>
      <c r="C4492" s="17" t="s">
        <v>71</v>
      </c>
      <c r="D4492" t="s">
        <v>13004</v>
      </c>
      <c r="F4492" t="s">
        <v>10220</v>
      </c>
      <c r="K4492" s="18">
        <f>628979901777</f>
        <v>628979901777</v>
      </c>
      <c r="N4492" s="17" t="s">
        <v>81</v>
      </c>
      <c r="V4492" s="18">
        <f>628979901777</f>
        <v>628979901777</v>
      </c>
    </row>
    <row r="4493" ht="15" customHeight="1" spans="1:27" x14ac:dyDescent="0.25">
      <c r="A4493" s="17" t="s">
        <v>13006</v>
      </c>
      <c r="B4493" s="17" t="s">
        <v>70</v>
      </c>
      <c r="C4493" s="17" t="s">
        <v>71</v>
      </c>
      <c r="D4493" t="s">
        <v>13007</v>
      </c>
      <c r="F4493" t="s">
        <v>13007</v>
      </c>
      <c r="K4493" s="18">
        <f>628127061888</f>
        <v>628127061888</v>
      </c>
      <c r="N4493" s="17" t="s">
        <v>77</v>
      </c>
      <c r="U4493" s="17"/>
      <c r="V4493" s="18">
        <f>628127061888</f>
        <v>628127061888</v>
      </c>
      <c r="W4493" t="s">
        <v>13008</v>
      </c>
      <c r="Y4493" s="17" t="s">
        <v>1084</v>
      </c>
      <c r="AA4493" s="17">
        <v>14410</v>
      </c>
    </row>
    <row r="4494" ht="15" customHeight="1" spans="1:22" x14ac:dyDescent="0.25">
      <c r="A4494" s="17" t="s">
        <v>13009</v>
      </c>
      <c r="B4494" s="17" t="s">
        <v>70</v>
      </c>
      <c r="C4494" s="17" t="s">
        <v>71</v>
      </c>
      <c r="D4494" t="s">
        <v>13007</v>
      </c>
      <c r="F4494" t="s">
        <v>7508</v>
      </c>
      <c r="K4494" s="18">
        <f>6281294628401</f>
        <v>6281294628401</v>
      </c>
      <c r="N4494" s="17" t="s">
        <v>74</v>
      </c>
      <c r="V4494" s="18">
        <f>6281294628401</f>
        <v>6281294628401</v>
      </c>
    </row>
    <row r="4495" ht="15" customHeight="1" spans="1:28" x14ac:dyDescent="0.25">
      <c r="A4495" s="17" t="s">
        <v>13010</v>
      </c>
      <c r="B4495" s="17" t="s">
        <v>70</v>
      </c>
      <c r="C4495" s="17" t="s">
        <v>71</v>
      </c>
      <c r="D4495" t="s">
        <v>13011</v>
      </c>
      <c r="F4495" t="s">
        <v>672</v>
      </c>
      <c r="J4495" t="s">
        <v>115</v>
      </c>
      <c r="K4495" s="18" t="s">
        <v>13012</v>
      </c>
      <c r="N4495" s="17" t="s">
        <v>77</v>
      </c>
      <c r="O4495" t="s">
        <v>1188</v>
      </c>
      <c r="U4495" s="17"/>
      <c r="V4495" s="18" t="s">
        <v>13012</v>
      </c>
      <c r="W4495" t="s">
        <v>13013</v>
      </c>
      <c r="Y4495" t="s">
        <v>704</v>
      </c>
      <c r="AA4495" t="s">
        <v>705</v>
      </c>
      <c r="AB4495" t="s">
        <v>119</v>
      </c>
    </row>
    <row r="4496" ht="15" customHeight="1" spans="1:22" x14ac:dyDescent="0.25">
      <c r="A4496" s="17" t="s">
        <v>13014</v>
      </c>
      <c r="B4496" s="17" t="s">
        <v>70</v>
      </c>
      <c r="C4496" s="17" t="s">
        <v>71</v>
      </c>
      <c r="D4496" t="s">
        <v>13007</v>
      </c>
      <c r="F4496" t="s">
        <v>13015</v>
      </c>
      <c r="K4496" s="18">
        <f>6281298968595</f>
        <v>6281298968595</v>
      </c>
      <c r="N4496" s="17" t="s">
        <v>77</v>
      </c>
      <c r="V4496" s="18">
        <f>6281298968595</f>
        <v>6281298968595</v>
      </c>
    </row>
    <row r="4497" ht="15" customHeight="1" spans="1:22" x14ac:dyDescent="0.25">
      <c r="A4497" s="17" t="s">
        <v>13016</v>
      </c>
      <c r="B4497" s="17" t="s">
        <v>70</v>
      </c>
      <c r="C4497" s="17" t="s">
        <v>71</v>
      </c>
      <c r="D4497" t="s">
        <v>13007</v>
      </c>
      <c r="F4497" t="s">
        <v>4980</v>
      </c>
      <c r="K4497" s="18">
        <f>628111819803</f>
        <v>628111819803</v>
      </c>
      <c r="N4497" s="17" t="s">
        <v>81</v>
      </c>
      <c r="V4497" s="18">
        <f>628111819803</f>
        <v>628111819803</v>
      </c>
    </row>
    <row r="4498" ht="15" customHeight="1" spans="1:28" x14ac:dyDescent="0.25">
      <c r="A4498" s="17" t="s">
        <v>13017</v>
      </c>
      <c r="B4498" s="17" t="s">
        <v>70</v>
      </c>
      <c r="C4498" s="17" t="s">
        <v>71</v>
      </c>
      <c r="D4498" t="s">
        <v>13007</v>
      </c>
      <c r="F4498" t="s">
        <v>4621</v>
      </c>
      <c r="J4498" t="s">
        <v>13018</v>
      </c>
      <c r="K4498" s="18" t="s">
        <v>13019</v>
      </c>
      <c r="N4498" s="17" t="s">
        <v>81</v>
      </c>
      <c r="O4498" t="s">
        <v>261</v>
      </c>
      <c r="V4498" s="18" t="s">
        <v>13019</v>
      </c>
      <c r="Y4498" t="s">
        <v>90</v>
      </c>
      <c r="AA4498" t="s">
        <v>118</v>
      </c>
      <c r="AB4498" t="s">
        <v>119</v>
      </c>
    </row>
    <row r="4499" ht="15" customHeight="1" spans="1:28" x14ac:dyDescent="0.25">
      <c r="A4499" s="17" t="s">
        <v>13020</v>
      </c>
      <c r="B4499" s="17" t="s">
        <v>70</v>
      </c>
      <c r="C4499" s="17" t="s">
        <v>71</v>
      </c>
      <c r="D4499" t="s">
        <v>13007</v>
      </c>
      <c r="F4499" t="s">
        <v>13021</v>
      </c>
      <c r="J4499" t="s">
        <v>115</v>
      </c>
      <c r="K4499" s="18" t="s">
        <v>13022</v>
      </c>
      <c r="N4499" s="17" t="s">
        <v>77</v>
      </c>
      <c r="O4499" t="s">
        <v>145</v>
      </c>
      <c r="V4499" s="18" t="s">
        <v>13022</v>
      </c>
      <c r="Y4499" t="s">
        <v>13023</v>
      </c>
      <c r="AA4499" t="s">
        <v>115</v>
      </c>
      <c r="AB4499" t="s">
        <v>119</v>
      </c>
    </row>
    <row r="4500" ht="15" customHeight="1" spans="1:28" x14ac:dyDescent="0.25">
      <c r="A4500" s="17" t="s">
        <v>13024</v>
      </c>
      <c r="B4500" s="17" t="s">
        <v>70</v>
      </c>
      <c r="C4500" s="17" t="s">
        <v>71</v>
      </c>
      <c r="D4500" t="s">
        <v>13007</v>
      </c>
      <c r="F4500" t="s">
        <v>13025</v>
      </c>
      <c r="J4500" t="s">
        <v>115</v>
      </c>
      <c r="K4500" s="18" t="s">
        <v>13026</v>
      </c>
      <c r="N4500" s="17" t="s">
        <v>77</v>
      </c>
      <c r="O4500" t="s">
        <v>117</v>
      </c>
      <c r="V4500" s="18" t="s">
        <v>13026</v>
      </c>
      <c r="Y4500" t="s">
        <v>90</v>
      </c>
      <c r="AA4500" t="s">
        <v>118</v>
      </c>
      <c r="AB4500" t="s">
        <v>119</v>
      </c>
    </row>
    <row r="4501" ht="15" customHeight="1" spans="1:22" x14ac:dyDescent="0.25">
      <c r="A4501" s="17" t="s">
        <v>13027</v>
      </c>
      <c r="B4501" s="17" t="s">
        <v>70</v>
      </c>
      <c r="C4501" s="17" t="s">
        <v>71</v>
      </c>
      <c r="D4501" t="s">
        <v>13007</v>
      </c>
      <c r="F4501" t="s">
        <v>13028</v>
      </c>
      <c r="K4501" s="18">
        <f>6281298616135</f>
        <v>6281298616135</v>
      </c>
      <c r="N4501" s="17" t="s">
        <v>81</v>
      </c>
      <c r="V4501" s="18">
        <f>6281298616135</f>
        <v>6281298616135</v>
      </c>
    </row>
    <row r="4502" ht="15" customHeight="1" spans="1:22" x14ac:dyDescent="0.25">
      <c r="A4502" s="17" t="s">
        <v>13029</v>
      </c>
      <c r="B4502" s="17" t="s">
        <v>70</v>
      </c>
      <c r="C4502" s="17" t="s">
        <v>71</v>
      </c>
      <c r="D4502" t="s">
        <v>13030</v>
      </c>
      <c r="F4502" t="s">
        <v>13030</v>
      </c>
      <c r="K4502" s="18">
        <f>62811137236</f>
        <v>62811137236</v>
      </c>
      <c r="N4502" s="17" t="s">
        <v>74</v>
      </c>
      <c r="V4502" s="18">
        <f>62811137236</f>
        <v>62811137236</v>
      </c>
    </row>
    <row r="4503" ht="15" customHeight="1" spans="1:28" x14ac:dyDescent="0.25">
      <c r="A4503" s="17" t="s">
        <v>13031</v>
      </c>
      <c r="B4503" s="17" t="s">
        <v>70</v>
      </c>
      <c r="C4503" s="17" t="s">
        <v>71</v>
      </c>
      <c r="D4503" t="s">
        <v>13032</v>
      </c>
      <c r="F4503" t="s">
        <v>13033</v>
      </c>
      <c r="J4503" t="s">
        <v>115</v>
      </c>
      <c r="K4503" s="18" t="s">
        <v>13034</v>
      </c>
      <c r="N4503" s="17" t="s">
        <v>77</v>
      </c>
      <c r="O4503" t="s">
        <v>199</v>
      </c>
      <c r="V4503" s="18" t="s">
        <v>13034</v>
      </c>
      <c r="Y4503" t="s">
        <v>1909</v>
      </c>
      <c r="AA4503" t="s">
        <v>115</v>
      </c>
      <c r="AB4503" t="s">
        <v>1909</v>
      </c>
    </row>
    <row r="4504" ht="15" customHeight="1" spans="1:22" x14ac:dyDescent="0.25">
      <c r="A4504" s="17" t="s">
        <v>13035</v>
      </c>
      <c r="B4504" s="17" t="s">
        <v>70</v>
      </c>
      <c r="C4504" s="17" t="s">
        <v>71</v>
      </c>
      <c r="D4504" t="s">
        <v>11671</v>
      </c>
      <c r="F4504" t="s">
        <v>11671</v>
      </c>
      <c r="K4504" s="18">
        <f>6281385293533</f>
        <v>6281385293533</v>
      </c>
      <c r="N4504" s="17" t="s">
        <v>81</v>
      </c>
      <c r="V4504" s="18">
        <f>6281385293533</f>
        <v>6281385293533</v>
      </c>
    </row>
    <row r="4505" ht="15" customHeight="1" spans="1:22" x14ac:dyDescent="0.25">
      <c r="A4505" s="17" t="s">
        <v>13036</v>
      </c>
      <c r="B4505" s="17" t="s">
        <v>70</v>
      </c>
      <c r="C4505" s="17" t="s">
        <v>71</v>
      </c>
      <c r="D4505" t="s">
        <v>11671</v>
      </c>
      <c r="F4505" t="s">
        <v>11671</v>
      </c>
      <c r="K4505" s="18">
        <f>6287877811992</f>
        <v>6287877811992</v>
      </c>
      <c r="N4505" s="17" t="s">
        <v>77</v>
      </c>
      <c r="V4505" s="18">
        <f>6287877811992</f>
        <v>6287877811992</v>
      </c>
    </row>
    <row r="4506" ht="15" customHeight="1" spans="1:28" x14ac:dyDescent="0.25">
      <c r="A4506" s="17" t="s">
        <v>13037</v>
      </c>
      <c r="B4506" s="17" t="s">
        <v>70</v>
      </c>
      <c r="C4506" s="17" t="s">
        <v>71</v>
      </c>
      <c r="D4506" t="s">
        <v>11671</v>
      </c>
      <c r="F4506" t="s">
        <v>1086</v>
      </c>
      <c r="J4506" t="s">
        <v>115</v>
      </c>
      <c r="K4506" s="18" t="s">
        <v>13038</v>
      </c>
      <c r="N4506" s="17" t="s">
        <v>77</v>
      </c>
      <c r="O4506" t="s">
        <v>261</v>
      </c>
      <c r="U4506" s="17"/>
      <c r="V4506" s="18" t="s">
        <v>13038</v>
      </c>
      <c r="W4506" t="s">
        <v>13039</v>
      </c>
      <c r="Y4506" t="s">
        <v>90</v>
      </c>
      <c r="AA4506" t="s">
        <v>118</v>
      </c>
      <c r="AB4506" t="s">
        <v>119</v>
      </c>
    </row>
    <row r="4507" ht="15" customHeight="1" spans="1:28" x14ac:dyDescent="0.25">
      <c r="A4507" s="17" t="s">
        <v>13040</v>
      </c>
      <c r="B4507" s="17" t="s">
        <v>70</v>
      </c>
      <c r="C4507" s="17" t="s">
        <v>71</v>
      </c>
      <c r="D4507" t="s">
        <v>11671</v>
      </c>
      <c r="F4507" t="s">
        <v>13041</v>
      </c>
      <c r="J4507" s="17" t="s">
        <v>13042</v>
      </c>
      <c r="K4507" s="18" t="s">
        <v>13043</v>
      </c>
      <c r="N4507" s="17" t="s">
        <v>77</v>
      </c>
      <c r="O4507" t="s">
        <v>145</v>
      </c>
      <c r="U4507" s="17"/>
      <c r="V4507" s="18" t="s">
        <v>13043</v>
      </c>
      <c r="W4507" t="s">
        <v>13044</v>
      </c>
      <c r="Y4507" t="s">
        <v>1084</v>
      </c>
      <c r="AA4507" s="17" t="s">
        <v>3146</v>
      </c>
      <c r="AB4507" t="s">
        <v>119</v>
      </c>
    </row>
    <row r="4508" ht="15" customHeight="1" spans="1:27" x14ac:dyDescent="0.25">
      <c r="A4508" s="17" t="s">
        <v>13045</v>
      </c>
      <c r="B4508" s="17" t="s">
        <v>70</v>
      </c>
      <c r="C4508" s="17" t="s">
        <v>71</v>
      </c>
      <c r="D4508" t="s">
        <v>11671</v>
      </c>
      <c r="F4508" t="s">
        <v>2691</v>
      </c>
      <c r="J4508" s="17" t="s">
        <v>13046</v>
      </c>
      <c r="K4508" s="18">
        <f>62811710056</f>
        <v>62811710056</v>
      </c>
      <c r="N4508" s="17" t="s">
        <v>81</v>
      </c>
      <c r="U4508" s="17"/>
      <c r="V4508" s="18">
        <f>62811710056</f>
        <v>62811710056</v>
      </c>
      <c r="W4508" t="s">
        <v>13047</v>
      </c>
      <c r="Y4508" s="17" t="s">
        <v>3028</v>
      </c>
      <c r="AA4508" s="17">
        <v>30113</v>
      </c>
    </row>
    <row r="4509" ht="15" customHeight="1" spans="1:22" x14ac:dyDescent="0.25">
      <c r="A4509" s="17" t="s">
        <v>13048</v>
      </c>
      <c r="B4509" s="17" t="s">
        <v>70</v>
      </c>
      <c r="C4509" s="17" t="s">
        <v>71</v>
      </c>
      <c r="D4509" t="s">
        <v>11671</v>
      </c>
      <c r="F4509" t="s">
        <v>6723</v>
      </c>
      <c r="K4509" s="18">
        <f>6285956000089</f>
        <v>6285956000089</v>
      </c>
      <c r="N4509" s="17" t="s">
        <v>77</v>
      </c>
      <c r="V4509" s="18">
        <f>6285956000089</f>
        <v>6285956000089</v>
      </c>
    </row>
    <row r="4510" ht="15" customHeight="1" spans="1:25" x14ac:dyDescent="0.25">
      <c r="A4510" s="17" t="s">
        <v>13049</v>
      </c>
      <c r="B4510" s="17" t="s">
        <v>70</v>
      </c>
      <c r="C4510" s="17" t="s">
        <v>71</v>
      </c>
      <c r="D4510" t="s">
        <v>11671</v>
      </c>
      <c r="F4510" t="s">
        <v>7709</v>
      </c>
      <c r="K4510" s="18">
        <f>62811867333</f>
        <v>62811867333</v>
      </c>
      <c r="N4510" s="17" t="s">
        <v>77</v>
      </c>
      <c r="U4510" s="17"/>
      <c r="V4510" s="18">
        <f>62811867333</f>
        <v>62811867333</v>
      </c>
      <c r="W4510" t="s">
        <v>13050</v>
      </c>
      <c r="Y4510" s="17" t="s">
        <v>626</v>
      </c>
    </row>
    <row r="4511" ht="15" customHeight="1" spans="1:25" x14ac:dyDescent="0.25">
      <c r="A4511" s="17" t="s">
        <v>13051</v>
      </c>
      <c r="B4511" s="17" t="s">
        <v>70</v>
      </c>
      <c r="C4511" s="17" t="s">
        <v>71</v>
      </c>
      <c r="D4511" t="s">
        <v>11671</v>
      </c>
      <c r="F4511" t="s">
        <v>13052</v>
      </c>
      <c r="K4511" s="18">
        <f>6281239657313</f>
        <v>6281239657313</v>
      </c>
      <c r="N4511" s="17" t="s">
        <v>81</v>
      </c>
      <c r="U4511" s="17"/>
      <c r="V4511" s="18">
        <f>6281239657313</f>
        <v>6281239657313</v>
      </c>
      <c r="W4511" t="s">
        <v>13053</v>
      </c>
      <c r="Y4511" s="17" t="s">
        <v>181</v>
      </c>
    </row>
    <row r="4512" ht="15" customHeight="1" spans="1:27" x14ac:dyDescent="0.25">
      <c r="A4512" s="17" t="s">
        <v>13054</v>
      </c>
      <c r="B4512" s="17" t="s">
        <v>70</v>
      </c>
      <c r="C4512" s="17" t="s">
        <v>71</v>
      </c>
      <c r="D4512" t="s">
        <v>11671</v>
      </c>
      <c r="F4512" t="s">
        <v>150</v>
      </c>
      <c r="K4512" s="18">
        <f>628161108359</f>
        <v>628161108359</v>
      </c>
      <c r="N4512" s="17" t="s">
        <v>77</v>
      </c>
      <c r="U4512" s="17"/>
      <c r="V4512" s="18">
        <f>628161108359</f>
        <v>628161108359</v>
      </c>
      <c r="W4512" t="s">
        <v>13055</v>
      </c>
      <c r="Y4512" s="17" t="s">
        <v>515</v>
      </c>
      <c r="AA4512" s="17">
        <v>13960</v>
      </c>
    </row>
    <row r="4513" ht="15" customHeight="1" spans="1:22" x14ac:dyDescent="0.25">
      <c r="A4513" s="17" t="s">
        <v>13056</v>
      </c>
      <c r="B4513" s="17" t="s">
        <v>70</v>
      </c>
      <c r="C4513" s="17" t="s">
        <v>71</v>
      </c>
      <c r="D4513" t="s">
        <v>11671</v>
      </c>
      <c r="F4513" t="s">
        <v>13057</v>
      </c>
      <c r="K4513" s="18">
        <f>6281311329333</f>
        <v>6281311329333</v>
      </c>
      <c r="N4513" s="17" t="s">
        <v>77</v>
      </c>
      <c r="V4513" s="18">
        <f>6281311329333</f>
        <v>6281311329333</v>
      </c>
    </row>
    <row r="4514" ht="15" customHeight="1" spans="1:22" x14ac:dyDescent="0.25">
      <c r="A4514" s="17" t="s">
        <v>13058</v>
      </c>
      <c r="B4514" s="17" t="s">
        <v>70</v>
      </c>
      <c r="C4514" s="17" t="s">
        <v>71</v>
      </c>
      <c r="D4514" t="s">
        <v>11671</v>
      </c>
      <c r="F4514" t="s">
        <v>13059</v>
      </c>
      <c r="K4514" s="18">
        <f>6281219552084</f>
        <v>6281219552084</v>
      </c>
      <c r="N4514" s="17" t="s">
        <v>77</v>
      </c>
      <c r="V4514" s="18">
        <f>6281219552084</f>
        <v>6281219552084</v>
      </c>
    </row>
    <row r="4515" ht="15" customHeight="1" spans="1:22" x14ac:dyDescent="0.25">
      <c r="A4515" s="17" t="s">
        <v>13060</v>
      </c>
      <c r="B4515" s="17" t="s">
        <v>70</v>
      </c>
      <c r="C4515" s="17" t="s">
        <v>71</v>
      </c>
      <c r="D4515" t="s">
        <v>11671</v>
      </c>
      <c r="F4515" t="s">
        <v>13061</v>
      </c>
      <c r="K4515" s="18">
        <f>6282311649649</f>
        <v>6282311649649</v>
      </c>
      <c r="N4515" s="17" t="s">
        <v>77</v>
      </c>
      <c r="V4515" s="18">
        <f>6282311649649</f>
        <v>6282311649649</v>
      </c>
    </row>
    <row r="4516" ht="15" customHeight="1" spans="1:22" x14ac:dyDescent="0.25">
      <c r="A4516" s="17" t="s">
        <v>13062</v>
      </c>
      <c r="B4516" s="17" t="s">
        <v>70</v>
      </c>
      <c r="C4516" s="17" t="s">
        <v>71</v>
      </c>
      <c r="D4516" t="s">
        <v>11671</v>
      </c>
      <c r="F4516" t="s">
        <v>11804</v>
      </c>
      <c r="K4516" s="18">
        <f>62811188306</f>
        <v>62811188306</v>
      </c>
      <c r="N4516" s="17" t="s">
        <v>77</v>
      </c>
      <c r="V4516" s="18">
        <f>62811188306</f>
        <v>62811188306</v>
      </c>
    </row>
    <row r="4517" ht="15" customHeight="1" spans="1:28" x14ac:dyDescent="0.25">
      <c r="A4517" s="17" t="s">
        <v>13063</v>
      </c>
      <c r="B4517" s="17" t="s">
        <v>70</v>
      </c>
      <c r="C4517" s="17" t="s">
        <v>71</v>
      </c>
      <c r="D4517" t="s">
        <v>13064</v>
      </c>
      <c r="F4517" t="s">
        <v>13065</v>
      </c>
      <c r="J4517" s="17" t="s">
        <v>13066</v>
      </c>
      <c r="K4517" s="18" t="s">
        <v>13067</v>
      </c>
      <c r="N4517" s="17" t="s">
        <v>77</v>
      </c>
      <c r="O4517" t="s">
        <v>199</v>
      </c>
      <c r="U4517" s="17"/>
      <c r="V4517" s="18" t="s">
        <v>13067</v>
      </c>
      <c r="W4517" t="s">
        <v>13068</v>
      </c>
      <c r="Y4517" t="s">
        <v>217</v>
      </c>
      <c r="AA4517" s="17" t="s">
        <v>218</v>
      </c>
      <c r="AB4517" t="s">
        <v>119</v>
      </c>
    </row>
    <row r="4518" ht="15" customHeight="1" spans="1:25" x14ac:dyDescent="0.25">
      <c r="A4518" s="17" t="s">
        <v>13069</v>
      </c>
      <c r="B4518" s="17" t="s">
        <v>70</v>
      </c>
      <c r="C4518" s="17" t="s">
        <v>71</v>
      </c>
      <c r="D4518" t="s">
        <v>11671</v>
      </c>
      <c r="F4518" t="s">
        <v>13070</v>
      </c>
      <c r="K4518" s="18">
        <f>6281239390000</f>
        <v>6281239390000</v>
      </c>
      <c r="N4518" s="17" t="s">
        <v>74</v>
      </c>
      <c r="U4518" s="17"/>
      <c r="V4518" s="18">
        <f>6281239390000</f>
        <v>6281239390000</v>
      </c>
      <c r="W4518" t="s">
        <v>13071</v>
      </c>
      <c r="Y4518" s="17" t="s">
        <v>96</v>
      </c>
    </row>
    <row r="4519" ht="15" customHeight="1" spans="1:27" x14ac:dyDescent="0.25">
      <c r="A4519" s="17" t="s">
        <v>13072</v>
      </c>
      <c r="B4519" s="17" t="s">
        <v>70</v>
      </c>
      <c r="C4519" s="17" t="s">
        <v>71</v>
      </c>
      <c r="D4519" t="s">
        <v>11671</v>
      </c>
      <c r="F4519" t="s">
        <v>13073</v>
      </c>
      <c r="K4519" s="18">
        <f>81517112925</f>
        <v>81517112925</v>
      </c>
      <c r="N4519" s="17" t="s">
        <v>81</v>
      </c>
      <c r="U4519" s="17"/>
      <c r="V4519" s="18">
        <f>81517112925</f>
        <v>81517112925</v>
      </c>
      <c r="W4519" t="s">
        <v>13074</v>
      </c>
      <c r="Y4519" s="17" t="s">
        <v>13075</v>
      </c>
      <c r="AA4519" s="17">
        <v>17510</v>
      </c>
    </row>
    <row r="4520" ht="15" customHeight="1" spans="1:22" x14ac:dyDescent="0.25">
      <c r="A4520" s="17" t="s">
        <v>13076</v>
      </c>
      <c r="B4520" s="17" t="s">
        <v>70</v>
      </c>
      <c r="C4520" s="17" t="s">
        <v>71</v>
      </c>
      <c r="D4520" t="s">
        <v>11671</v>
      </c>
      <c r="F4520" t="s">
        <v>2885</v>
      </c>
      <c r="J4520" s="17" t="s">
        <v>13077</v>
      </c>
      <c r="K4520" s="18">
        <f>6281617771717</f>
        <v>6281617771717</v>
      </c>
      <c r="N4520" s="17" t="s">
        <v>77</v>
      </c>
      <c r="V4520" s="18">
        <f>6281617771717</f>
        <v>6281617771717</v>
      </c>
    </row>
    <row r="4521" ht="15" customHeight="1" spans="1:22" x14ac:dyDescent="0.25">
      <c r="A4521" s="17" t="s">
        <v>13078</v>
      </c>
      <c r="B4521" s="17" t="s">
        <v>70</v>
      </c>
      <c r="C4521" s="17" t="s">
        <v>71</v>
      </c>
      <c r="D4521" t="s">
        <v>11671</v>
      </c>
      <c r="F4521" t="s">
        <v>13079</v>
      </c>
      <c r="J4521" s="17" t="s">
        <v>13080</v>
      </c>
      <c r="K4521" s="18">
        <f>6281290909983</f>
        <v>6281290909983</v>
      </c>
      <c r="N4521" s="17" t="s">
        <v>77</v>
      </c>
      <c r="V4521" s="18">
        <f>6281290909983</f>
        <v>6281290909983</v>
      </c>
    </row>
    <row r="4522" ht="15" customHeight="1" spans="1:27" x14ac:dyDescent="0.25">
      <c r="A4522" s="17" t="s">
        <v>13081</v>
      </c>
      <c r="B4522" s="17" t="s">
        <v>70</v>
      </c>
      <c r="C4522" s="17" t="s">
        <v>71</v>
      </c>
      <c r="D4522" t="s">
        <v>11671</v>
      </c>
      <c r="F4522" t="s">
        <v>13082</v>
      </c>
      <c r="K4522" s="18">
        <f>62816711005</f>
        <v>62816711005</v>
      </c>
      <c r="N4522" s="17" t="s">
        <v>77</v>
      </c>
      <c r="U4522" s="17"/>
      <c r="V4522" s="18">
        <f>62816711005</f>
        <v>62816711005</v>
      </c>
      <c r="W4522" t="s">
        <v>13083</v>
      </c>
      <c r="Y4522" s="17" t="s">
        <v>217</v>
      </c>
      <c r="AA4522" s="17">
        <v>15419</v>
      </c>
    </row>
    <row r="4523" ht="15" customHeight="1" spans="1:22" x14ac:dyDescent="0.25">
      <c r="A4523" s="17" t="s">
        <v>13084</v>
      </c>
      <c r="B4523" s="17" t="s">
        <v>70</v>
      </c>
      <c r="C4523" s="17" t="s">
        <v>71</v>
      </c>
      <c r="D4523" t="s">
        <v>11671</v>
      </c>
      <c r="F4523" t="s">
        <v>3585</v>
      </c>
      <c r="K4523" s="18">
        <f>62818701230</f>
        <v>62818701230</v>
      </c>
      <c r="N4523" s="17" t="s">
        <v>77</v>
      </c>
      <c r="V4523" s="18">
        <f>62818701230</f>
        <v>62818701230</v>
      </c>
    </row>
    <row r="4524" ht="15" customHeight="1" spans="1:28" x14ac:dyDescent="0.25">
      <c r="A4524" s="17" t="s">
        <v>13085</v>
      </c>
      <c r="B4524" s="17" t="s">
        <v>70</v>
      </c>
      <c r="C4524" s="17" t="s">
        <v>71</v>
      </c>
      <c r="D4524" t="s">
        <v>11671</v>
      </c>
      <c r="F4524" t="s">
        <v>13086</v>
      </c>
      <c r="J4524" t="s">
        <v>13087</v>
      </c>
      <c r="K4524" s="18" t="s">
        <v>13088</v>
      </c>
      <c r="N4524" s="17" t="s">
        <v>77</v>
      </c>
      <c r="O4524" t="s">
        <v>117</v>
      </c>
      <c r="V4524" s="18" t="s">
        <v>13088</v>
      </c>
      <c r="Y4524" t="s">
        <v>115</v>
      </c>
      <c r="AA4524" t="s">
        <v>115</v>
      </c>
      <c r="AB4524" t="s">
        <v>119</v>
      </c>
    </row>
    <row r="4525" ht="15" customHeight="1" spans="1:28" x14ac:dyDescent="0.25">
      <c r="A4525" s="17" t="s">
        <v>13089</v>
      </c>
      <c r="B4525" s="17" t="s">
        <v>70</v>
      </c>
      <c r="C4525" s="17" t="s">
        <v>71</v>
      </c>
      <c r="D4525" t="s">
        <v>11671</v>
      </c>
      <c r="F4525" t="s">
        <v>1564</v>
      </c>
      <c r="J4525" t="s">
        <v>115</v>
      </c>
      <c r="K4525" s="18" t="s">
        <v>13090</v>
      </c>
      <c r="N4525" s="17" t="s">
        <v>77</v>
      </c>
      <c r="O4525" t="s">
        <v>145</v>
      </c>
      <c r="V4525" s="18" t="s">
        <v>13090</v>
      </c>
      <c r="Y4525" t="s">
        <v>115</v>
      </c>
      <c r="AA4525" t="s">
        <v>115</v>
      </c>
      <c r="AB4525" t="s">
        <v>119</v>
      </c>
    </row>
    <row r="4526" ht="15" customHeight="1" spans="1:22" x14ac:dyDescent="0.25">
      <c r="A4526" s="17" t="s">
        <v>13091</v>
      </c>
      <c r="B4526" s="17" t="s">
        <v>70</v>
      </c>
      <c r="C4526" s="17" t="s">
        <v>71</v>
      </c>
      <c r="D4526" t="s">
        <v>13092</v>
      </c>
      <c r="F4526" t="s">
        <v>13093</v>
      </c>
      <c r="K4526" s="18">
        <f>6281328415275</f>
        <v>6281328415275</v>
      </c>
      <c r="N4526" s="17" t="s">
        <v>81</v>
      </c>
      <c r="V4526" s="18">
        <f>6281328415275</f>
        <v>6281328415275</v>
      </c>
    </row>
    <row r="4527" ht="15" customHeight="1" spans="1:22" x14ac:dyDescent="0.25">
      <c r="A4527" s="17" t="s">
        <v>13094</v>
      </c>
      <c r="B4527" s="17" t="s">
        <v>70</v>
      </c>
      <c r="C4527" s="17" t="s">
        <v>71</v>
      </c>
      <c r="D4527" t="s">
        <v>13095</v>
      </c>
      <c r="F4527" t="s">
        <v>13096</v>
      </c>
      <c r="K4527" s="18">
        <f>628121946041</f>
        <v>628121946041</v>
      </c>
      <c r="N4527" s="17" t="s">
        <v>81</v>
      </c>
      <c r="V4527" s="18">
        <f>628121946041</f>
        <v>628121946041</v>
      </c>
    </row>
    <row r="4528" ht="15" customHeight="1" spans="1:23" x14ac:dyDescent="0.25">
      <c r="A4528" s="17" t="s">
        <v>13097</v>
      </c>
      <c r="B4528" s="17" t="s">
        <v>70</v>
      </c>
      <c r="C4528" s="17" t="s">
        <v>71</v>
      </c>
      <c r="D4528" t="s">
        <v>13095</v>
      </c>
      <c r="F4528" t="s">
        <v>13098</v>
      </c>
      <c r="J4528" s="17" t="s">
        <v>13099</v>
      </c>
      <c r="K4528" s="18">
        <f>6281703122004</f>
        <v>6281703122004</v>
      </c>
      <c r="N4528" s="17" t="s">
        <v>74</v>
      </c>
      <c r="U4528" s="17"/>
      <c r="V4528" s="18">
        <f>6281703122004</f>
        <v>6281703122004</v>
      </c>
      <c r="W4528" t="s">
        <v>13100</v>
      </c>
    </row>
    <row r="4529" ht="15" customHeight="1" spans="1:22" x14ac:dyDescent="0.25">
      <c r="A4529" s="17" t="s">
        <v>13101</v>
      </c>
      <c r="B4529" s="17" t="s">
        <v>70</v>
      </c>
      <c r="C4529" s="17" t="s">
        <v>71</v>
      </c>
      <c r="D4529" t="s">
        <v>13095</v>
      </c>
      <c r="F4529" t="s">
        <v>13102</v>
      </c>
      <c r="K4529" s="18">
        <f>628176630599</f>
        <v>628176630599</v>
      </c>
      <c r="N4529" s="17" t="s">
        <v>81</v>
      </c>
      <c r="V4529" s="18">
        <f>628176630599</f>
        <v>628176630599</v>
      </c>
    </row>
    <row r="4530" ht="15" customHeight="1" spans="1:23" x14ac:dyDescent="0.25">
      <c r="A4530" s="17" t="s">
        <v>13103</v>
      </c>
      <c r="B4530" s="17" t="s">
        <v>70</v>
      </c>
      <c r="C4530" s="17" t="s">
        <v>71</v>
      </c>
      <c r="D4530" t="s">
        <v>13095</v>
      </c>
      <c r="F4530" t="s">
        <v>13104</v>
      </c>
      <c r="K4530" s="18">
        <f>62816766165</f>
        <v>62816766165</v>
      </c>
      <c r="N4530" s="17" t="s">
        <v>77</v>
      </c>
      <c r="U4530" s="17"/>
      <c r="V4530" s="18">
        <f>62816766165</f>
        <v>62816766165</v>
      </c>
      <c r="W4530" t="s">
        <v>13105</v>
      </c>
    </row>
    <row r="4531" ht="15" customHeight="1" spans="1:22" x14ac:dyDescent="0.25">
      <c r="A4531" s="17" t="s">
        <v>13106</v>
      </c>
      <c r="B4531" s="17" t="s">
        <v>70</v>
      </c>
      <c r="C4531" s="17" t="s">
        <v>71</v>
      </c>
      <c r="D4531" t="s">
        <v>13107</v>
      </c>
      <c r="F4531" t="s">
        <v>9600</v>
      </c>
      <c r="K4531" s="18">
        <f>628121661999</f>
        <v>628121661999</v>
      </c>
      <c r="N4531" s="17" t="s">
        <v>77</v>
      </c>
      <c r="V4531" s="18">
        <f>628121661999</f>
        <v>628121661999</v>
      </c>
    </row>
    <row r="4532" ht="15" customHeight="1" spans="1:23" x14ac:dyDescent="0.25">
      <c r="A4532" s="17" t="s">
        <v>13108</v>
      </c>
      <c r="B4532" s="17" t="s">
        <v>70</v>
      </c>
      <c r="C4532" s="17" t="s">
        <v>71</v>
      </c>
      <c r="D4532" t="s">
        <v>13109</v>
      </c>
      <c r="F4532" t="s">
        <v>13110</v>
      </c>
      <c r="K4532" s="18">
        <f>6281905000618</f>
        <v>6281905000618</v>
      </c>
      <c r="N4532" s="17" t="s">
        <v>77</v>
      </c>
      <c r="U4532" s="17"/>
      <c r="V4532" s="18">
        <f>6281905000618</f>
        <v>6281905000618</v>
      </c>
      <c r="W4532" t="s">
        <v>13111</v>
      </c>
    </row>
    <row r="4533" ht="15" customHeight="1" spans="1:28" x14ac:dyDescent="0.25">
      <c r="A4533" s="17" t="s">
        <v>13112</v>
      </c>
      <c r="B4533" s="17" t="s">
        <v>70</v>
      </c>
      <c r="C4533" s="17" t="s">
        <v>71</v>
      </c>
      <c r="D4533" t="s">
        <v>13109</v>
      </c>
      <c r="F4533" t="s">
        <v>13113</v>
      </c>
      <c r="J4533" t="s">
        <v>115</v>
      </c>
      <c r="K4533" s="18" t="s">
        <v>13114</v>
      </c>
      <c r="N4533" s="17" t="s">
        <v>77</v>
      </c>
      <c r="O4533" t="s">
        <v>489</v>
      </c>
      <c r="V4533" s="18" t="s">
        <v>13114</v>
      </c>
      <c r="Y4533" t="s">
        <v>190</v>
      </c>
      <c r="AA4533" t="s">
        <v>118</v>
      </c>
      <c r="AB4533" t="s">
        <v>119</v>
      </c>
    </row>
    <row r="4534" ht="15" customHeight="1" spans="1:22" x14ac:dyDescent="0.25">
      <c r="A4534" s="17" t="s">
        <v>13115</v>
      </c>
      <c r="B4534" s="17" t="s">
        <v>70</v>
      </c>
      <c r="C4534" s="17" t="s">
        <v>71</v>
      </c>
      <c r="D4534" t="s">
        <v>13109</v>
      </c>
      <c r="F4534" t="s">
        <v>5862</v>
      </c>
      <c r="K4534" s="18">
        <f>6287888555181</f>
        <v>6287888555181</v>
      </c>
      <c r="N4534" s="17" t="s">
        <v>74</v>
      </c>
      <c r="V4534" s="18">
        <f>6287888555181</f>
        <v>6287888555181</v>
      </c>
    </row>
    <row r="4535" ht="15" customHeight="1" spans="1:22" x14ac:dyDescent="0.25">
      <c r="A4535" s="17" t="s">
        <v>13116</v>
      </c>
      <c r="B4535" s="17" t="s">
        <v>70</v>
      </c>
      <c r="C4535" s="17" t="s">
        <v>71</v>
      </c>
      <c r="D4535" t="s">
        <v>13117</v>
      </c>
      <c r="F4535" t="s">
        <v>13118</v>
      </c>
      <c r="K4535" s="18">
        <f>6281372851950</f>
        <v>6281372851950</v>
      </c>
      <c r="N4535" s="17" t="s">
        <v>81</v>
      </c>
      <c r="V4535" s="18">
        <f>6281372851950</f>
        <v>6281372851950</v>
      </c>
    </row>
    <row r="4536" ht="15" customHeight="1" spans="1:22" x14ac:dyDescent="0.25">
      <c r="A4536" s="17" t="s">
        <v>13119</v>
      </c>
      <c r="B4536" s="17" t="s">
        <v>70</v>
      </c>
      <c r="C4536" s="17" t="s">
        <v>71</v>
      </c>
      <c r="D4536" t="s">
        <v>13120</v>
      </c>
      <c r="F4536" t="s">
        <v>13121</v>
      </c>
      <c r="K4536" s="18">
        <f>628121068214</f>
        <v>628121068214</v>
      </c>
      <c r="N4536" s="17" t="s">
        <v>77</v>
      </c>
      <c r="V4536" s="18">
        <f>628121068214</f>
        <v>628121068214</v>
      </c>
    </row>
    <row r="4537" ht="15" customHeight="1" spans="1:22" x14ac:dyDescent="0.25">
      <c r="A4537" s="17" t="s">
        <v>13122</v>
      </c>
      <c r="B4537" s="17" t="s">
        <v>70</v>
      </c>
      <c r="C4537" s="17" t="s">
        <v>71</v>
      </c>
      <c r="D4537" t="s">
        <v>13123</v>
      </c>
      <c r="F4537" t="s">
        <v>6235</v>
      </c>
      <c r="K4537" s="18">
        <f>6281320700000</f>
        <v>6281320700000</v>
      </c>
      <c r="N4537" s="17" t="s">
        <v>77</v>
      </c>
      <c r="V4537" s="18">
        <f>6281320700000</f>
        <v>6281320700000</v>
      </c>
    </row>
    <row r="4538" ht="15" customHeight="1" spans="1:22" x14ac:dyDescent="0.25">
      <c r="A4538" s="17" t="s">
        <v>13124</v>
      </c>
      <c r="B4538" s="17" t="s">
        <v>70</v>
      </c>
      <c r="C4538" s="17" t="s">
        <v>71</v>
      </c>
      <c r="D4538" t="s">
        <v>13123</v>
      </c>
      <c r="F4538" t="s">
        <v>13125</v>
      </c>
      <c r="K4538" s="18">
        <f>6281288041357</f>
        <v>6281288041357</v>
      </c>
      <c r="N4538" s="17" t="s">
        <v>77</v>
      </c>
      <c r="V4538" s="18">
        <f>6281288041357</f>
        <v>6281288041357</v>
      </c>
    </row>
    <row r="4539" ht="15" customHeight="1" spans="1:23" x14ac:dyDescent="0.25">
      <c r="A4539" s="17" t="s">
        <v>13126</v>
      </c>
      <c r="B4539" s="17" t="s">
        <v>70</v>
      </c>
      <c r="C4539" s="17" t="s">
        <v>71</v>
      </c>
      <c r="D4539" t="s">
        <v>13123</v>
      </c>
      <c r="F4539" t="s">
        <v>6723</v>
      </c>
      <c r="K4539" s="18">
        <f>628159809299</f>
        <v>628159809299</v>
      </c>
      <c r="N4539" s="17" t="s">
        <v>77</v>
      </c>
      <c r="U4539" s="17"/>
      <c r="V4539" s="18">
        <f>628159809299</f>
        <v>628159809299</v>
      </c>
      <c r="W4539" t="s">
        <v>180</v>
      </c>
    </row>
    <row r="4540" ht="15" customHeight="1" spans="1:28" x14ac:dyDescent="0.25">
      <c r="A4540" s="17" t="s">
        <v>13127</v>
      </c>
      <c r="B4540" s="17" t="s">
        <v>70</v>
      </c>
      <c r="C4540" s="17" t="s">
        <v>71</v>
      </c>
      <c r="D4540" t="s">
        <v>13123</v>
      </c>
      <c r="F4540" t="s">
        <v>13128</v>
      </c>
      <c r="J4540" t="s">
        <v>13129</v>
      </c>
      <c r="K4540" s="18" t="s">
        <v>13130</v>
      </c>
      <c r="N4540" s="17" t="s">
        <v>77</v>
      </c>
      <c r="O4540" t="s">
        <v>117</v>
      </c>
      <c r="V4540" s="18" t="s">
        <v>13130</v>
      </c>
      <c r="Y4540" t="s">
        <v>90</v>
      </c>
      <c r="AA4540" t="s">
        <v>118</v>
      </c>
      <c r="AB4540" t="s">
        <v>119</v>
      </c>
    </row>
    <row r="4541" ht="15" customHeight="1" spans="1:27" x14ac:dyDescent="0.25">
      <c r="A4541" s="17" t="s">
        <v>13131</v>
      </c>
      <c r="B4541" s="17" t="s">
        <v>70</v>
      </c>
      <c r="C4541" s="17" t="s">
        <v>71</v>
      </c>
      <c r="D4541" t="s">
        <v>13123</v>
      </c>
      <c r="F4541" t="s">
        <v>13132</v>
      </c>
      <c r="K4541" s="18">
        <f>62811304739</f>
        <v>62811304739</v>
      </c>
      <c r="N4541" s="17" t="s">
        <v>77</v>
      </c>
      <c r="U4541" s="17"/>
      <c r="V4541" s="18">
        <f>62811304739</f>
        <v>62811304739</v>
      </c>
      <c r="W4541" t="s">
        <v>13133</v>
      </c>
      <c r="Y4541" s="17" t="s">
        <v>704</v>
      </c>
      <c r="AA4541" s="17">
        <v>60293</v>
      </c>
    </row>
    <row r="4542" ht="15" customHeight="1" spans="1:23" x14ac:dyDescent="0.25">
      <c r="A4542" s="17" t="s">
        <v>13134</v>
      </c>
      <c r="B4542" s="17" t="s">
        <v>70</v>
      </c>
      <c r="C4542" s="17" t="s">
        <v>71</v>
      </c>
      <c r="D4542" t="s">
        <v>13123</v>
      </c>
      <c r="F4542" t="s">
        <v>2184</v>
      </c>
      <c r="K4542" s="18">
        <f>6287874006672</f>
        <v>6287874006672</v>
      </c>
      <c r="N4542" s="17" t="s">
        <v>77</v>
      </c>
      <c r="U4542" s="17"/>
      <c r="V4542" s="18">
        <f>6287874006672</f>
        <v>6287874006672</v>
      </c>
      <c r="W4542" t="s">
        <v>13135</v>
      </c>
    </row>
    <row r="4543" ht="15" customHeight="1" spans="1:28" x14ac:dyDescent="0.25">
      <c r="A4543" s="17" t="s">
        <v>13136</v>
      </c>
      <c r="B4543" s="17" t="s">
        <v>70</v>
      </c>
      <c r="C4543" s="17" t="s">
        <v>71</v>
      </c>
      <c r="D4543" t="s">
        <v>13123</v>
      </c>
      <c r="F4543" t="s">
        <v>13137</v>
      </c>
      <c r="J4543" t="s">
        <v>115</v>
      </c>
      <c r="K4543" s="18" t="s">
        <v>13138</v>
      </c>
      <c r="N4543" s="17" t="s">
        <v>74</v>
      </c>
      <c r="O4543" t="s">
        <v>117</v>
      </c>
      <c r="V4543" s="18" t="s">
        <v>13138</v>
      </c>
      <c r="Y4543" t="s">
        <v>1084</v>
      </c>
      <c r="AA4543" t="s">
        <v>3146</v>
      </c>
      <c r="AB4543" t="s">
        <v>119</v>
      </c>
    </row>
    <row r="4544" ht="15" customHeight="1" spans="1:23" x14ac:dyDescent="0.25">
      <c r="A4544" s="17" t="s">
        <v>13139</v>
      </c>
      <c r="B4544" s="17" t="s">
        <v>70</v>
      </c>
      <c r="C4544" s="17" t="s">
        <v>71</v>
      </c>
      <c r="D4544" t="s">
        <v>13123</v>
      </c>
      <c r="F4544" t="s">
        <v>1564</v>
      </c>
      <c r="J4544" s="17" t="s">
        <v>13140</v>
      </c>
      <c r="K4544" s="18">
        <f>6281290858562</f>
        <v>6281290858562</v>
      </c>
      <c r="N4544" s="17" t="s">
        <v>74</v>
      </c>
      <c r="U4544" s="17"/>
      <c r="V4544" s="18">
        <f>6281290858562</f>
        <v>6281290858562</v>
      </c>
      <c r="W4544" t="s">
        <v>13141</v>
      </c>
    </row>
    <row r="4545" ht="15" customHeight="1" spans="1:22" x14ac:dyDescent="0.25">
      <c r="A4545" s="17" t="s">
        <v>13142</v>
      </c>
      <c r="B4545" s="17" t="s">
        <v>70</v>
      </c>
      <c r="C4545" s="17" t="s">
        <v>71</v>
      </c>
      <c r="D4545" t="s">
        <v>13123</v>
      </c>
      <c r="F4545" t="s">
        <v>13143</v>
      </c>
      <c r="K4545" s="18">
        <f>628565065297</f>
        <v>628565065297</v>
      </c>
      <c r="N4545" s="17" t="s">
        <v>77</v>
      </c>
      <c r="V4545" s="18">
        <f>628565065297</f>
        <v>628565065297</v>
      </c>
    </row>
    <row r="4546" ht="15" customHeight="1" spans="1:25" x14ac:dyDescent="0.25">
      <c r="A4546" s="17" t="s">
        <v>13144</v>
      </c>
      <c r="B4546" s="17" t="s">
        <v>70</v>
      </c>
      <c r="C4546" s="17" t="s">
        <v>71</v>
      </c>
      <c r="D4546" t="s">
        <v>13145</v>
      </c>
      <c r="F4546" t="s">
        <v>13146</v>
      </c>
      <c r="K4546" s="18">
        <f>6281283349935</f>
        <v>6281283349935</v>
      </c>
      <c r="N4546" s="17" t="s">
        <v>81</v>
      </c>
      <c r="U4546" s="17"/>
      <c r="V4546" s="18">
        <f>6281283349935</f>
        <v>6281283349935</v>
      </c>
      <c r="W4546" t="s">
        <v>13147</v>
      </c>
      <c r="Y4546" s="17" t="s">
        <v>13148</v>
      </c>
    </row>
    <row r="4547" ht="15" customHeight="1" spans="1:22" x14ac:dyDescent="0.25">
      <c r="A4547" s="17" t="s">
        <v>13149</v>
      </c>
      <c r="B4547" s="17" t="s">
        <v>70</v>
      </c>
      <c r="C4547" s="17" t="s">
        <v>71</v>
      </c>
      <c r="D4547" t="s">
        <v>13150</v>
      </c>
      <c r="F4547" t="s">
        <v>13151</v>
      </c>
      <c r="J4547" s="17" t="s">
        <v>13152</v>
      </c>
      <c r="K4547" s="18">
        <f>62628159737201</f>
        <v>62628159737201</v>
      </c>
      <c r="N4547" s="17" t="s">
        <v>77</v>
      </c>
      <c r="V4547" s="18">
        <f>62628159737201</f>
        <v>62628159737201</v>
      </c>
    </row>
    <row r="4548" ht="15" customHeight="1" spans="1:22" x14ac:dyDescent="0.25">
      <c r="A4548" s="17" t="s">
        <v>13153</v>
      </c>
      <c r="B4548" s="17" t="s">
        <v>70</v>
      </c>
      <c r="C4548" s="17" t="s">
        <v>71</v>
      </c>
      <c r="D4548" t="s">
        <v>13154</v>
      </c>
      <c r="F4548" t="s">
        <v>13154</v>
      </c>
      <c r="K4548" s="18">
        <f>6281333148432</f>
        <v>6281333148432</v>
      </c>
      <c r="N4548" s="17" t="s">
        <v>74</v>
      </c>
      <c r="V4548" s="18">
        <f>6281333148432</f>
        <v>6281333148432</v>
      </c>
    </row>
    <row r="4549" ht="15" customHeight="1" spans="1:28" x14ac:dyDescent="0.25">
      <c r="A4549" s="17" t="s">
        <v>13155</v>
      </c>
      <c r="B4549" s="17" t="s">
        <v>70</v>
      </c>
      <c r="C4549" s="17" t="s">
        <v>71</v>
      </c>
      <c r="D4549" t="s">
        <v>13156</v>
      </c>
      <c r="F4549" t="s">
        <v>3364</v>
      </c>
      <c r="J4549" s="17" t="s">
        <v>13157</v>
      </c>
      <c r="K4549" s="18" t="s">
        <v>13158</v>
      </c>
      <c r="N4549" s="17" t="s">
        <v>77</v>
      </c>
      <c r="O4549" t="s">
        <v>117</v>
      </c>
      <c r="V4549" s="18" t="s">
        <v>13158</v>
      </c>
      <c r="Y4549" s="17" t="s">
        <v>190</v>
      </c>
      <c r="AA4549" t="s">
        <v>118</v>
      </c>
      <c r="AB4549" t="s">
        <v>119</v>
      </c>
    </row>
    <row r="4550" ht="15" customHeight="1" spans="1:22" x14ac:dyDescent="0.25">
      <c r="A4550" s="17" t="s">
        <v>13159</v>
      </c>
      <c r="B4550" s="17" t="s">
        <v>70</v>
      </c>
      <c r="C4550" s="17" t="s">
        <v>71</v>
      </c>
      <c r="D4550" t="s">
        <v>13160</v>
      </c>
      <c r="F4550" t="s">
        <v>13161</v>
      </c>
      <c r="K4550" s="18">
        <f>628123006265</f>
        <v>628123006265</v>
      </c>
      <c r="N4550" s="17" t="s">
        <v>81</v>
      </c>
      <c r="V4550" s="18">
        <f>628123006265</f>
        <v>628123006265</v>
      </c>
    </row>
    <row r="4551" ht="15" customHeight="1" spans="1:28" x14ac:dyDescent="0.25">
      <c r="A4551" s="17" t="s">
        <v>13162</v>
      </c>
      <c r="B4551" s="17" t="s">
        <v>70</v>
      </c>
      <c r="C4551" s="17" t="s">
        <v>71</v>
      </c>
      <c r="D4551" t="s">
        <v>13163</v>
      </c>
      <c r="F4551" t="s">
        <v>13164</v>
      </c>
      <c r="J4551" t="s">
        <v>115</v>
      </c>
      <c r="K4551" s="18" t="s">
        <v>13165</v>
      </c>
      <c r="N4551" s="17" t="s">
        <v>77</v>
      </c>
      <c r="O4551" t="s">
        <v>199</v>
      </c>
      <c r="V4551" s="18" t="s">
        <v>13165</v>
      </c>
      <c r="Y4551" t="s">
        <v>115</v>
      </c>
      <c r="AA4551" t="s">
        <v>115</v>
      </c>
      <c r="AB4551" t="s">
        <v>119</v>
      </c>
    </row>
    <row r="4552" ht="15" customHeight="1" spans="1:23" x14ac:dyDescent="0.25">
      <c r="A4552" s="17" t="s">
        <v>13166</v>
      </c>
      <c r="B4552" s="17" t="s">
        <v>70</v>
      </c>
      <c r="C4552" s="17" t="s">
        <v>71</v>
      </c>
      <c r="D4552" t="s">
        <v>2029</v>
      </c>
      <c r="F4552" t="s">
        <v>13167</v>
      </c>
      <c r="K4552" s="18">
        <f>628128888279</f>
        <v>628128888279</v>
      </c>
      <c r="N4552" s="17" t="s">
        <v>74</v>
      </c>
      <c r="U4552" s="17"/>
      <c r="V4552" s="18">
        <f>628128888279</f>
        <v>628128888279</v>
      </c>
      <c r="W4552" t="s">
        <v>13168</v>
      </c>
    </row>
    <row r="4553" ht="15" customHeight="1" spans="1:28" x14ac:dyDescent="0.25">
      <c r="A4553" s="17" t="s">
        <v>13169</v>
      </c>
      <c r="B4553" s="17" t="s">
        <v>70</v>
      </c>
      <c r="C4553" s="17" t="s">
        <v>71</v>
      </c>
      <c r="D4553" t="s">
        <v>2293</v>
      </c>
      <c r="F4553" t="s">
        <v>8904</v>
      </c>
      <c r="J4553" t="s">
        <v>13170</v>
      </c>
      <c r="K4553" s="18" t="s">
        <v>13171</v>
      </c>
      <c r="N4553" s="17" t="s">
        <v>81</v>
      </c>
      <c r="O4553" t="s">
        <v>117</v>
      </c>
      <c r="V4553" s="18" t="s">
        <v>13171</v>
      </c>
      <c r="Y4553" t="s">
        <v>90</v>
      </c>
      <c r="AA4553" t="s">
        <v>118</v>
      </c>
      <c r="AB4553" t="s">
        <v>119</v>
      </c>
    </row>
    <row r="4554" ht="15" customHeight="1" spans="1:22" x14ac:dyDescent="0.25">
      <c r="A4554" s="17" t="s">
        <v>13172</v>
      </c>
      <c r="B4554" s="17" t="s">
        <v>70</v>
      </c>
      <c r="C4554" s="17" t="s">
        <v>71</v>
      </c>
      <c r="D4554" t="s">
        <v>13173</v>
      </c>
      <c r="F4554" t="s">
        <v>13174</v>
      </c>
      <c r="K4554" s="18">
        <f>608111848679</f>
        <v>608111848679</v>
      </c>
      <c r="N4554" s="17" t="s">
        <v>77</v>
      </c>
      <c r="V4554" s="18">
        <f>608111848679</f>
        <v>608111848679</v>
      </c>
    </row>
    <row r="4555" ht="15" customHeight="1" spans="1:22" x14ac:dyDescent="0.25">
      <c r="A4555" s="17" t="s">
        <v>13175</v>
      </c>
      <c r="B4555" s="17" t="s">
        <v>70</v>
      </c>
      <c r="C4555" s="17" t="s">
        <v>71</v>
      </c>
      <c r="D4555" t="s">
        <v>13173</v>
      </c>
      <c r="F4555" t="s">
        <v>13174</v>
      </c>
      <c r="K4555" s="18">
        <f>81776824446</f>
        <v>81776824446</v>
      </c>
      <c r="N4555" s="17" t="s">
        <v>81</v>
      </c>
      <c r="V4555" s="18">
        <f>81776824446</f>
        <v>81776824446</v>
      </c>
    </row>
    <row r="4556" ht="15" customHeight="1" spans="1:25" x14ac:dyDescent="0.25">
      <c r="A4556" s="17" t="s">
        <v>13176</v>
      </c>
      <c r="B4556" s="17" t="s">
        <v>70</v>
      </c>
      <c r="C4556" s="17" t="s">
        <v>71</v>
      </c>
      <c r="D4556" t="s">
        <v>13177</v>
      </c>
      <c r="F4556" t="s">
        <v>2195</v>
      </c>
      <c r="K4556" s="18">
        <f>6282159944444</f>
        <v>6282159944444</v>
      </c>
      <c r="N4556" s="17" t="s">
        <v>77</v>
      </c>
      <c r="U4556" s="17"/>
      <c r="V4556" s="18">
        <f>6282159944444</f>
        <v>6282159944444</v>
      </c>
      <c r="W4556" t="s">
        <v>13178</v>
      </c>
      <c r="Y4556" s="17" t="s">
        <v>397</v>
      </c>
    </row>
    <row r="4557" ht="15" customHeight="1" spans="1:22" x14ac:dyDescent="0.25">
      <c r="A4557" s="17" t="s">
        <v>13179</v>
      </c>
      <c r="B4557" s="17" t="s">
        <v>70</v>
      </c>
      <c r="C4557" s="17" t="s">
        <v>71</v>
      </c>
      <c r="D4557" t="s">
        <v>13180</v>
      </c>
      <c r="F4557" t="s">
        <v>13180</v>
      </c>
      <c r="K4557" s="18">
        <f>6281244338811</f>
        <v>6281244338811</v>
      </c>
      <c r="N4557" s="17" t="s">
        <v>77</v>
      </c>
      <c r="V4557" s="18">
        <f>6281244338811</f>
        <v>6281244338811</v>
      </c>
    </row>
    <row r="4558" ht="15" customHeight="1" spans="1:22" x14ac:dyDescent="0.25">
      <c r="A4558" s="17" t="s">
        <v>13181</v>
      </c>
      <c r="B4558" s="17" t="s">
        <v>70</v>
      </c>
      <c r="C4558" s="17" t="s">
        <v>71</v>
      </c>
      <c r="D4558" t="s">
        <v>13180</v>
      </c>
      <c r="F4558" t="s">
        <v>9156</v>
      </c>
      <c r="K4558" s="18">
        <f>62812443777</f>
        <v>62812443777</v>
      </c>
      <c r="N4558" s="17" t="s">
        <v>77</v>
      </c>
      <c r="V4558" s="18">
        <f>62812443777</f>
        <v>62812443777</v>
      </c>
    </row>
    <row r="4559" ht="15" customHeight="1" spans="1:28" x14ac:dyDescent="0.25">
      <c r="A4559" s="17" t="s">
        <v>13182</v>
      </c>
      <c r="B4559" s="17" t="s">
        <v>70</v>
      </c>
      <c r="C4559" s="17" t="s">
        <v>71</v>
      </c>
      <c r="D4559" t="s">
        <v>13180</v>
      </c>
      <c r="F4559" t="s">
        <v>13183</v>
      </c>
      <c r="J4559" t="s">
        <v>115</v>
      </c>
      <c r="K4559" s="18" t="s">
        <v>13184</v>
      </c>
      <c r="N4559" s="17" t="s">
        <v>77</v>
      </c>
      <c r="O4559" t="s">
        <v>199</v>
      </c>
      <c r="U4559" s="17"/>
      <c r="V4559" s="18" t="s">
        <v>13184</v>
      </c>
      <c r="W4559" t="s">
        <v>13185</v>
      </c>
      <c r="Y4559" t="s">
        <v>596</v>
      </c>
      <c r="AA4559" t="s">
        <v>597</v>
      </c>
      <c r="AB4559" t="s">
        <v>119</v>
      </c>
    </row>
    <row r="4560" ht="15" customHeight="1" spans="1:28" x14ac:dyDescent="0.25">
      <c r="A4560" s="17" t="s">
        <v>13186</v>
      </c>
      <c r="B4560" s="17" t="s">
        <v>70</v>
      </c>
      <c r="C4560" s="17" t="s">
        <v>71</v>
      </c>
      <c r="D4560" t="s">
        <v>13187</v>
      </c>
      <c r="F4560" t="s">
        <v>13188</v>
      </c>
      <c r="J4560" s="17" t="s">
        <v>13189</v>
      </c>
      <c r="K4560" s="18" t="s">
        <v>13190</v>
      </c>
      <c r="N4560" s="17" t="s">
        <v>77</v>
      </c>
      <c r="O4560" t="s">
        <v>145</v>
      </c>
      <c r="V4560" s="18" t="s">
        <v>13190</v>
      </c>
      <c r="Y4560" s="17" t="s">
        <v>2244</v>
      </c>
      <c r="AA4560" t="s">
        <v>115</v>
      </c>
      <c r="AB4560" t="s">
        <v>2244</v>
      </c>
    </row>
    <row r="4561" ht="15" customHeight="1" spans="1:28" x14ac:dyDescent="0.25">
      <c r="A4561" s="17" t="s">
        <v>13191</v>
      </c>
      <c r="B4561" s="17" t="s">
        <v>70</v>
      </c>
      <c r="C4561" s="17" t="s">
        <v>71</v>
      </c>
      <c r="D4561" t="s">
        <v>13192</v>
      </c>
      <c r="F4561" t="s">
        <v>13193</v>
      </c>
      <c r="J4561" t="s">
        <v>115</v>
      </c>
      <c r="K4561" s="18" t="s">
        <v>13194</v>
      </c>
      <c r="N4561" s="17" t="s">
        <v>77</v>
      </c>
      <c r="O4561" t="s">
        <v>199</v>
      </c>
      <c r="V4561" s="18" t="s">
        <v>13194</v>
      </c>
      <c r="Y4561" t="s">
        <v>115</v>
      </c>
      <c r="AA4561" t="s">
        <v>115</v>
      </c>
      <c r="AB4561" t="s">
        <v>119</v>
      </c>
    </row>
    <row r="4562" ht="15" customHeight="1" spans="1:28" x14ac:dyDescent="0.25">
      <c r="A4562" s="17" t="s">
        <v>13195</v>
      </c>
      <c r="B4562" s="17" t="s">
        <v>70</v>
      </c>
      <c r="C4562" s="17" t="s">
        <v>71</v>
      </c>
      <c r="D4562" t="s">
        <v>13193</v>
      </c>
      <c r="F4562" t="s">
        <v>13193</v>
      </c>
      <c r="J4562" t="s">
        <v>115</v>
      </c>
      <c r="K4562" s="18" t="s">
        <v>13196</v>
      </c>
      <c r="N4562" s="17" t="s">
        <v>77</v>
      </c>
      <c r="O4562" t="s">
        <v>199</v>
      </c>
      <c r="V4562" s="18" t="s">
        <v>13196</v>
      </c>
      <c r="Y4562" t="s">
        <v>181</v>
      </c>
      <c r="AA4562" t="s">
        <v>1672</v>
      </c>
      <c r="AB4562" t="s">
        <v>119</v>
      </c>
    </row>
    <row r="4563" ht="15" customHeight="1" spans="1:28" x14ac:dyDescent="0.25">
      <c r="A4563" s="17" t="s">
        <v>13197</v>
      </c>
      <c r="B4563" s="17" t="s">
        <v>70</v>
      </c>
      <c r="C4563" s="17" t="s">
        <v>71</v>
      </c>
      <c r="D4563" t="s">
        <v>13198</v>
      </c>
      <c r="F4563" t="s">
        <v>13199</v>
      </c>
      <c r="J4563" s="17" t="s">
        <v>13200</v>
      </c>
      <c r="K4563" s="18" t="s">
        <v>13201</v>
      </c>
      <c r="N4563" s="17" t="s">
        <v>77</v>
      </c>
      <c r="O4563" t="s">
        <v>145</v>
      </c>
      <c r="V4563" s="18" t="s">
        <v>13201</v>
      </c>
      <c r="Y4563" t="s">
        <v>190</v>
      </c>
      <c r="AA4563" t="s">
        <v>118</v>
      </c>
      <c r="AB4563" t="s">
        <v>119</v>
      </c>
    </row>
    <row r="4564" ht="15" customHeight="1" spans="1:23" x14ac:dyDescent="0.25">
      <c r="A4564" s="17" t="s">
        <v>13202</v>
      </c>
      <c r="B4564" s="17" t="s">
        <v>70</v>
      </c>
      <c r="C4564" s="17" t="s">
        <v>71</v>
      </c>
      <c r="D4564" t="s">
        <v>13198</v>
      </c>
      <c r="F4564" t="s">
        <v>13203</v>
      </c>
      <c r="K4564" s="18">
        <f>6285276609355</f>
        <v>6285276609355</v>
      </c>
      <c r="N4564" s="17" t="s">
        <v>77</v>
      </c>
      <c r="U4564" s="17"/>
      <c r="V4564" s="18">
        <f>6285276609355</f>
        <v>6285276609355</v>
      </c>
      <c r="W4564" t="s">
        <v>181</v>
      </c>
    </row>
    <row r="4565" ht="15" customHeight="1" spans="1:28" x14ac:dyDescent="0.25">
      <c r="A4565" s="17" t="s">
        <v>13204</v>
      </c>
      <c r="B4565" s="17" t="s">
        <v>70</v>
      </c>
      <c r="C4565" s="17" t="s">
        <v>71</v>
      </c>
      <c r="D4565" t="s">
        <v>13198</v>
      </c>
      <c r="F4565" t="s">
        <v>13205</v>
      </c>
      <c r="J4565" s="17" t="s">
        <v>13206</v>
      </c>
      <c r="K4565" s="18" t="s">
        <v>13207</v>
      </c>
      <c r="N4565" s="17" t="s">
        <v>77</v>
      </c>
      <c r="O4565" t="s">
        <v>199</v>
      </c>
      <c r="V4565" s="18" t="s">
        <v>13207</v>
      </c>
      <c r="Y4565" t="s">
        <v>115</v>
      </c>
      <c r="AA4565" t="s">
        <v>115</v>
      </c>
      <c r="AB4565" t="s">
        <v>119</v>
      </c>
    </row>
    <row r="4566" ht="15" customHeight="1" spans="1:22" x14ac:dyDescent="0.25">
      <c r="A4566" s="17" t="s">
        <v>13208</v>
      </c>
      <c r="B4566" s="17" t="s">
        <v>70</v>
      </c>
      <c r="C4566" s="17" t="s">
        <v>71</v>
      </c>
      <c r="D4566" t="s">
        <v>13209</v>
      </c>
      <c r="F4566" t="s">
        <v>13210</v>
      </c>
      <c r="K4566" s="18">
        <f>6281294660769</f>
        <v>6281294660769</v>
      </c>
      <c r="N4566" s="17" t="s">
        <v>77</v>
      </c>
      <c r="V4566" s="18">
        <f>6281294660769</f>
        <v>6281294660769</v>
      </c>
    </row>
    <row r="4567" ht="15" customHeight="1" spans="1:22" x14ac:dyDescent="0.25">
      <c r="A4567" s="17" t="s">
        <v>13211</v>
      </c>
      <c r="B4567" s="17" t="s">
        <v>70</v>
      </c>
      <c r="C4567" s="17" t="s">
        <v>71</v>
      </c>
      <c r="D4567" t="s">
        <v>13212</v>
      </c>
      <c r="F4567" t="s">
        <v>13212</v>
      </c>
      <c r="K4567" s="18">
        <f>62811164079</f>
        <v>62811164079</v>
      </c>
      <c r="N4567" s="17" t="s">
        <v>81</v>
      </c>
      <c r="V4567" s="18">
        <f>62811164079</f>
        <v>62811164079</v>
      </c>
    </row>
    <row r="4568" ht="15" customHeight="1" spans="1:23" x14ac:dyDescent="0.25">
      <c r="A4568" s="17" t="s">
        <v>13213</v>
      </c>
      <c r="B4568" s="17" t="s">
        <v>70</v>
      </c>
      <c r="C4568" s="17" t="s">
        <v>71</v>
      </c>
      <c r="D4568" t="s">
        <v>13214</v>
      </c>
      <c r="F4568" t="s">
        <v>2279</v>
      </c>
      <c r="K4568" s="18">
        <f>6281234526166</f>
        <v>6281234526166</v>
      </c>
      <c r="N4568" s="17" t="s">
        <v>81</v>
      </c>
      <c r="U4568" s="17"/>
      <c r="V4568" s="18">
        <f>6281234526166</f>
        <v>6281234526166</v>
      </c>
      <c r="W4568" t="s">
        <v>13215</v>
      </c>
    </row>
    <row r="4569" ht="15" customHeight="1" spans="1:22" x14ac:dyDescent="0.25">
      <c r="A4569" s="17" t="s">
        <v>13216</v>
      </c>
      <c r="B4569" s="17" t="s">
        <v>70</v>
      </c>
      <c r="C4569" s="17" t="s">
        <v>71</v>
      </c>
      <c r="D4569" t="s">
        <v>13214</v>
      </c>
      <c r="F4569" t="s">
        <v>8541</v>
      </c>
      <c r="K4569" s="18">
        <f>628161819393</f>
        <v>628161819393</v>
      </c>
      <c r="N4569" s="17" t="s">
        <v>77</v>
      </c>
      <c r="V4569" s="18">
        <f>628161819393</f>
        <v>628161819393</v>
      </c>
    </row>
    <row r="4570" ht="15" customHeight="1" spans="1:22" x14ac:dyDescent="0.25">
      <c r="A4570" s="17" t="s">
        <v>13217</v>
      </c>
      <c r="B4570" s="17" t="s">
        <v>70</v>
      </c>
      <c r="C4570" s="17" t="s">
        <v>71</v>
      </c>
      <c r="D4570" t="s">
        <v>13218</v>
      </c>
      <c r="F4570" t="s">
        <v>13219</v>
      </c>
      <c r="K4570" s="18">
        <f>6281291038306</f>
        <v>6281291038306</v>
      </c>
      <c r="N4570" s="17" t="s">
        <v>77</v>
      </c>
      <c r="V4570" s="18">
        <f>6281291038306</f>
        <v>6281291038306</v>
      </c>
    </row>
    <row r="4571" ht="15" customHeight="1" spans="1:22" x14ac:dyDescent="0.25">
      <c r="A4571" s="17" t="s">
        <v>13220</v>
      </c>
      <c r="B4571" s="17" t="s">
        <v>70</v>
      </c>
      <c r="C4571" s="17" t="s">
        <v>71</v>
      </c>
      <c r="D4571" t="s">
        <v>13221</v>
      </c>
      <c r="F4571" t="s">
        <v>13222</v>
      </c>
      <c r="K4571" s="18">
        <f>628891503369</f>
        <v>628891503369</v>
      </c>
      <c r="N4571" s="17" t="s">
        <v>77</v>
      </c>
      <c r="V4571" s="18">
        <f>628891503369</f>
        <v>628891503369</v>
      </c>
    </row>
    <row r="4572" ht="15" customHeight="1" spans="1:23" x14ac:dyDescent="0.25">
      <c r="A4572" s="17" t="s">
        <v>13223</v>
      </c>
      <c r="B4572" s="17" t="s">
        <v>70</v>
      </c>
      <c r="C4572" s="17" t="s">
        <v>71</v>
      </c>
      <c r="D4572" t="s">
        <v>13224</v>
      </c>
      <c r="F4572" t="s">
        <v>13225</v>
      </c>
      <c r="K4572" s="18">
        <f>622175907478</f>
        <v>622175907478</v>
      </c>
      <c r="N4572" s="17" t="s">
        <v>81</v>
      </c>
      <c r="U4572" s="17"/>
      <c r="V4572" s="18">
        <f>622175907478</f>
        <v>622175907478</v>
      </c>
      <c r="W4572" t="s">
        <v>13226</v>
      </c>
    </row>
    <row r="4573" ht="15" customHeight="1" spans="1:22" x14ac:dyDescent="0.25">
      <c r="A4573" s="17" t="s">
        <v>13227</v>
      </c>
      <c r="B4573" s="17" t="s">
        <v>70</v>
      </c>
      <c r="C4573" s="17" t="s">
        <v>71</v>
      </c>
      <c r="D4573" t="s">
        <v>13228</v>
      </c>
      <c r="F4573" t="s">
        <v>1208</v>
      </c>
      <c r="K4573" s="18">
        <f>6281218843030</f>
        <v>6281218843030</v>
      </c>
      <c r="N4573" s="17" t="s">
        <v>81</v>
      </c>
      <c r="V4573" s="18">
        <f>6281218843030</f>
        <v>6281218843030</v>
      </c>
    </row>
    <row r="4574" ht="15" customHeight="1" spans="1:22" x14ac:dyDescent="0.25">
      <c r="A4574" s="17" t="s">
        <v>13229</v>
      </c>
      <c r="B4574" s="17" t="s">
        <v>70</v>
      </c>
      <c r="C4574" s="17" t="s">
        <v>71</v>
      </c>
      <c r="D4574" t="s">
        <v>13230</v>
      </c>
      <c r="F4574" t="s">
        <v>13231</v>
      </c>
      <c r="K4574" s="18">
        <f>62811146990</f>
        <v>62811146990</v>
      </c>
      <c r="N4574" s="17" t="s">
        <v>77</v>
      </c>
      <c r="V4574" s="18">
        <f>62811146990</f>
        <v>62811146990</v>
      </c>
    </row>
    <row r="4575" ht="15" customHeight="1" spans="1:23" x14ac:dyDescent="0.25">
      <c r="A4575" s="17" t="s">
        <v>13232</v>
      </c>
      <c r="B4575" s="17" t="s">
        <v>70</v>
      </c>
      <c r="C4575" s="17" t="s">
        <v>71</v>
      </c>
      <c r="D4575" t="s">
        <v>13233</v>
      </c>
      <c r="F4575" t="s">
        <v>13234</v>
      </c>
      <c r="K4575" s="18">
        <f>6281294941302</f>
        <v>6281294941302</v>
      </c>
      <c r="N4575" s="17" t="s">
        <v>81</v>
      </c>
      <c r="U4575" s="17"/>
      <c r="V4575" s="18">
        <f>6281294941302</f>
        <v>6281294941302</v>
      </c>
      <c r="W4575" t="s">
        <v>13235</v>
      </c>
    </row>
    <row r="4576" ht="15" customHeight="1" spans="1:27" x14ac:dyDescent="0.25">
      <c r="A4576" s="17" t="s">
        <v>13236</v>
      </c>
      <c r="B4576" s="17" t="s">
        <v>70</v>
      </c>
      <c r="C4576" s="17" t="s">
        <v>71</v>
      </c>
      <c r="D4576" t="s">
        <v>13237</v>
      </c>
      <c r="F4576" t="s">
        <v>13238</v>
      </c>
      <c r="K4576" s="18">
        <f>628174804135</f>
        <v>628174804135</v>
      </c>
      <c r="N4576" s="17" t="s">
        <v>77</v>
      </c>
      <c r="U4576" s="17"/>
      <c r="V4576" s="18">
        <f>628174804135</f>
        <v>628174804135</v>
      </c>
      <c r="W4576" t="s">
        <v>13239</v>
      </c>
      <c r="Y4576" s="17" t="s">
        <v>626</v>
      </c>
      <c r="AA4576" s="17">
        <v>11710</v>
      </c>
    </row>
    <row r="4577" ht="15" customHeight="1" spans="1:28" x14ac:dyDescent="0.25">
      <c r="A4577" s="17" t="s">
        <v>13240</v>
      </c>
      <c r="B4577" s="17" t="s">
        <v>70</v>
      </c>
      <c r="C4577" s="17" t="s">
        <v>71</v>
      </c>
      <c r="D4577" t="s">
        <v>13237</v>
      </c>
      <c r="F4577" t="s">
        <v>672</v>
      </c>
      <c r="J4577" t="s">
        <v>115</v>
      </c>
      <c r="K4577" s="18" t="s">
        <v>13241</v>
      </c>
      <c r="N4577" s="17" t="s">
        <v>77</v>
      </c>
      <c r="O4577" t="s">
        <v>489</v>
      </c>
      <c r="V4577" s="18" t="s">
        <v>13241</v>
      </c>
      <c r="Y4577" t="s">
        <v>1702</v>
      </c>
      <c r="AA4577" t="s">
        <v>115</v>
      </c>
      <c r="AB4577" t="s">
        <v>119</v>
      </c>
    </row>
    <row r="4578" ht="15" customHeight="1" spans="1:22" x14ac:dyDescent="0.25">
      <c r="A4578" s="17" t="s">
        <v>13242</v>
      </c>
      <c r="B4578" s="17" t="s">
        <v>70</v>
      </c>
      <c r="C4578" s="17" t="s">
        <v>71</v>
      </c>
      <c r="D4578" t="s">
        <v>13243</v>
      </c>
      <c r="F4578" t="s">
        <v>13243</v>
      </c>
      <c r="K4578" s="18">
        <f>62811888151</f>
        <v>62811888151</v>
      </c>
      <c r="N4578" s="17" t="s">
        <v>81</v>
      </c>
      <c r="V4578" s="18">
        <f>62811888151</f>
        <v>62811888151</v>
      </c>
    </row>
    <row r="4579" ht="15" customHeight="1" spans="1:22" x14ac:dyDescent="0.25">
      <c r="A4579" s="17" t="s">
        <v>13244</v>
      </c>
      <c r="B4579" s="17" t="s">
        <v>70</v>
      </c>
      <c r="C4579" s="17" t="s">
        <v>71</v>
      </c>
      <c r="D4579" t="s">
        <v>13243</v>
      </c>
      <c r="F4579" t="s">
        <v>13245</v>
      </c>
      <c r="K4579" s="18">
        <f>62811173640</f>
        <v>62811173640</v>
      </c>
      <c r="N4579" s="17" t="s">
        <v>77</v>
      </c>
      <c r="V4579" s="18">
        <f>62811173640</f>
        <v>62811173640</v>
      </c>
    </row>
    <row r="4580" ht="15" customHeight="1" spans="1:27" x14ac:dyDescent="0.25">
      <c r="A4580" s="17" t="s">
        <v>13246</v>
      </c>
      <c r="B4580" s="17" t="s">
        <v>70</v>
      </c>
      <c r="C4580" s="17" t="s">
        <v>71</v>
      </c>
      <c r="D4580" t="s">
        <v>13247</v>
      </c>
      <c r="F4580" t="s">
        <v>13247</v>
      </c>
      <c r="K4580" s="18">
        <f>6285241183333</f>
        <v>6285241183333</v>
      </c>
      <c r="N4580" s="17" t="s">
        <v>77</v>
      </c>
      <c r="U4580" s="17"/>
      <c r="V4580" s="18">
        <f>6285241183333</f>
        <v>6285241183333</v>
      </c>
      <c r="W4580" t="s">
        <v>13248</v>
      </c>
      <c r="Y4580" s="17" t="s">
        <v>96</v>
      </c>
      <c r="AA4580" s="17" t="s">
        <v>133</v>
      </c>
    </row>
    <row r="4581" ht="15" customHeight="1" spans="1:23" x14ac:dyDescent="0.25">
      <c r="A4581" s="17" t="s">
        <v>13249</v>
      </c>
      <c r="B4581" s="17" t="s">
        <v>70</v>
      </c>
      <c r="C4581" s="17" t="s">
        <v>71</v>
      </c>
      <c r="D4581" t="s">
        <v>13247</v>
      </c>
      <c r="F4581" t="s">
        <v>13247</v>
      </c>
      <c r="K4581" s="18">
        <f>6281702298992</f>
        <v>6281702298992</v>
      </c>
      <c r="N4581" s="17" t="s">
        <v>77</v>
      </c>
      <c r="U4581" s="17"/>
      <c r="V4581" s="18">
        <f>6281702298992</f>
        <v>6281702298992</v>
      </c>
      <c r="W4581" t="s">
        <v>13250</v>
      </c>
    </row>
    <row r="4582" ht="15" customHeight="1" spans="1:25" x14ac:dyDescent="0.25">
      <c r="A4582" s="17" t="s">
        <v>13251</v>
      </c>
      <c r="B4582" s="17" t="s">
        <v>70</v>
      </c>
      <c r="C4582" s="17" t="s">
        <v>71</v>
      </c>
      <c r="D4582" t="s">
        <v>13247</v>
      </c>
      <c r="F4582" t="s">
        <v>548</v>
      </c>
      <c r="K4582" s="18">
        <f>628114534777</f>
        <v>628114534777</v>
      </c>
      <c r="N4582" s="17" t="s">
        <v>81</v>
      </c>
      <c r="U4582" s="17"/>
      <c r="V4582" s="18">
        <f>628114534777</f>
        <v>628114534777</v>
      </c>
      <c r="W4582" t="s">
        <v>13252</v>
      </c>
      <c r="Y4582" s="17" t="s">
        <v>3536</v>
      </c>
    </row>
    <row r="4583" ht="15" customHeight="1" spans="1:22" x14ac:dyDescent="0.25">
      <c r="A4583" s="17" t="s">
        <v>13253</v>
      </c>
      <c r="B4583" s="17" t="s">
        <v>70</v>
      </c>
      <c r="C4583" s="17" t="s">
        <v>71</v>
      </c>
      <c r="D4583" t="s">
        <v>13247</v>
      </c>
      <c r="F4583" t="s">
        <v>13254</v>
      </c>
      <c r="K4583" s="18">
        <f>6281331020277</f>
        <v>6281331020277</v>
      </c>
      <c r="N4583" s="17" t="s">
        <v>81</v>
      </c>
      <c r="V4583" s="18">
        <f>6281331020277</f>
        <v>6281331020277</v>
      </c>
    </row>
    <row r="4584" ht="15" customHeight="1" spans="1:22" x14ac:dyDescent="0.25">
      <c r="A4584" s="17" t="s">
        <v>13255</v>
      </c>
      <c r="B4584" s="17" t="s">
        <v>70</v>
      </c>
      <c r="C4584" s="17" t="s">
        <v>71</v>
      </c>
      <c r="D4584" t="s">
        <v>13256</v>
      </c>
      <c r="F4584" t="s">
        <v>13256</v>
      </c>
      <c r="K4584" s="18">
        <f>628113936664</f>
        <v>628113936664</v>
      </c>
      <c r="N4584" s="17" t="s">
        <v>81</v>
      </c>
      <c r="V4584" s="18">
        <f>628113936664</f>
        <v>628113936664</v>
      </c>
    </row>
    <row r="4585" ht="15" customHeight="1" spans="1:22" x14ac:dyDescent="0.25">
      <c r="A4585" s="17" t="s">
        <v>13257</v>
      </c>
      <c r="B4585" s="17" t="s">
        <v>70</v>
      </c>
      <c r="C4585" s="17" t="s">
        <v>71</v>
      </c>
      <c r="D4585" t="s">
        <v>13258</v>
      </c>
      <c r="F4585" t="s">
        <v>13258</v>
      </c>
      <c r="K4585" s="18">
        <f>6282123924287</f>
        <v>6282123924287</v>
      </c>
      <c r="N4585" s="17" t="s">
        <v>77</v>
      </c>
      <c r="V4585" s="18">
        <f>6282123924287</f>
        <v>6282123924287</v>
      </c>
    </row>
    <row r="4586" ht="15" customHeight="1" spans="1:22" x14ac:dyDescent="0.25">
      <c r="A4586" s="17" t="s">
        <v>13259</v>
      </c>
      <c r="B4586" s="17" t="s">
        <v>70</v>
      </c>
      <c r="C4586" s="17" t="s">
        <v>71</v>
      </c>
      <c r="D4586" t="s">
        <v>13258</v>
      </c>
      <c r="F4586" t="s">
        <v>13260</v>
      </c>
      <c r="K4586" s="18">
        <f>966547770733</f>
        <v>966547770733</v>
      </c>
      <c r="N4586" s="17" t="s">
        <v>77</v>
      </c>
      <c r="V4586" s="18">
        <f>966547770733</f>
        <v>966547770733</v>
      </c>
    </row>
    <row r="4587" ht="15" customHeight="1" spans="1:22" x14ac:dyDescent="0.25">
      <c r="A4587" s="17" t="s">
        <v>13261</v>
      </c>
      <c r="B4587" s="17" t="s">
        <v>70</v>
      </c>
      <c r="C4587" s="17" t="s">
        <v>71</v>
      </c>
      <c r="D4587" t="s">
        <v>13262</v>
      </c>
      <c r="F4587" t="s">
        <v>13263</v>
      </c>
      <c r="K4587" s="18">
        <f>447877815791</f>
        <v>447877815791</v>
      </c>
      <c r="N4587" s="17" t="s">
        <v>81</v>
      </c>
      <c r="V4587" s="18">
        <f>447877815791</f>
        <v>447877815791</v>
      </c>
    </row>
    <row r="4588" ht="15" customHeight="1" spans="1:22" x14ac:dyDescent="0.25">
      <c r="A4588" s="17" t="s">
        <v>13264</v>
      </c>
      <c r="B4588" s="17" t="s">
        <v>70</v>
      </c>
      <c r="C4588" s="17" t="s">
        <v>71</v>
      </c>
      <c r="D4588" t="s">
        <v>1250</v>
      </c>
      <c r="F4588" t="s">
        <v>1250</v>
      </c>
      <c r="K4588" s="18">
        <f>62811121267</f>
        <v>62811121267</v>
      </c>
      <c r="N4588" s="17" t="s">
        <v>81</v>
      </c>
      <c r="V4588" s="18">
        <f>62811121267</f>
        <v>62811121267</v>
      </c>
    </row>
    <row r="4589" ht="15" customHeight="1" spans="1:22" x14ac:dyDescent="0.25">
      <c r="A4589" s="17" t="s">
        <v>13265</v>
      </c>
      <c r="B4589" s="17" t="s">
        <v>70</v>
      </c>
      <c r="C4589" s="17" t="s">
        <v>71</v>
      </c>
      <c r="D4589" t="s">
        <v>1250</v>
      </c>
      <c r="F4589" t="s">
        <v>1517</v>
      </c>
      <c r="K4589" s="18">
        <f>628161636014</f>
        <v>628161636014</v>
      </c>
      <c r="N4589" s="17" t="s">
        <v>77</v>
      </c>
      <c r="V4589" s="18">
        <f>628161636014</f>
        <v>628161636014</v>
      </c>
    </row>
    <row r="4590" ht="15" customHeight="1" spans="1:22" x14ac:dyDescent="0.25">
      <c r="A4590" s="17" t="s">
        <v>13266</v>
      </c>
      <c r="B4590" s="17" t="s">
        <v>70</v>
      </c>
      <c r="C4590" s="17" t="s">
        <v>71</v>
      </c>
      <c r="D4590" t="s">
        <v>1250</v>
      </c>
      <c r="F4590" t="s">
        <v>5459</v>
      </c>
      <c r="K4590" s="18">
        <f>62816992454</f>
        <v>62816992454</v>
      </c>
      <c r="N4590" s="17" t="s">
        <v>81</v>
      </c>
      <c r="V4590" s="18">
        <f>62816992454</f>
        <v>62816992454</v>
      </c>
    </row>
    <row r="4591" ht="15" customHeight="1" spans="1:28" x14ac:dyDescent="0.25">
      <c r="A4591" s="17" t="s">
        <v>13267</v>
      </c>
      <c r="B4591" s="17" t="s">
        <v>70</v>
      </c>
      <c r="C4591" s="17" t="s">
        <v>71</v>
      </c>
      <c r="D4591" t="s">
        <v>1250</v>
      </c>
      <c r="F4591" t="s">
        <v>13268</v>
      </c>
      <c r="J4591" s="17" t="s">
        <v>13269</v>
      </c>
      <c r="K4591" s="18" t="s">
        <v>13270</v>
      </c>
      <c r="N4591" s="17" t="s">
        <v>77</v>
      </c>
      <c r="O4591" t="s">
        <v>145</v>
      </c>
      <c r="V4591" s="18" t="s">
        <v>13270</v>
      </c>
      <c r="Y4591" s="17" t="s">
        <v>13148</v>
      </c>
      <c r="AA4591" t="s">
        <v>115</v>
      </c>
      <c r="AB4591" t="s">
        <v>119</v>
      </c>
    </row>
    <row r="4592" ht="15" customHeight="1" spans="1:22" x14ac:dyDescent="0.25">
      <c r="A4592" s="17" t="s">
        <v>13271</v>
      </c>
      <c r="B4592" s="17" t="s">
        <v>70</v>
      </c>
      <c r="C4592" s="17" t="s">
        <v>71</v>
      </c>
      <c r="D4592" t="s">
        <v>13272</v>
      </c>
      <c r="F4592" t="s">
        <v>13272</v>
      </c>
      <c r="K4592" s="18">
        <f>6282127878852</f>
        <v>6282127878852</v>
      </c>
      <c r="N4592" s="17" t="s">
        <v>77</v>
      </c>
      <c r="V4592" s="18">
        <f>6282127878852</f>
        <v>6282127878852</v>
      </c>
    </row>
    <row r="4593" ht="15" customHeight="1" spans="1:22" x14ac:dyDescent="0.25">
      <c r="A4593" s="17" t="s">
        <v>13273</v>
      </c>
      <c r="B4593" s="17" t="s">
        <v>70</v>
      </c>
      <c r="C4593" s="17" t="s">
        <v>71</v>
      </c>
      <c r="D4593" t="s">
        <v>13274</v>
      </c>
      <c r="F4593" t="s">
        <v>5361</v>
      </c>
      <c r="K4593" s="18">
        <f>62816783085</f>
        <v>62816783085</v>
      </c>
      <c r="N4593" s="17" t="s">
        <v>77</v>
      </c>
      <c r="V4593" s="18">
        <f>62816783085</f>
        <v>62816783085</v>
      </c>
    </row>
    <row r="4594" ht="15" customHeight="1" spans="1:28" x14ac:dyDescent="0.25">
      <c r="A4594" s="17" t="s">
        <v>13275</v>
      </c>
      <c r="B4594" s="17" t="s">
        <v>70</v>
      </c>
      <c r="C4594" s="17" t="s">
        <v>71</v>
      </c>
      <c r="D4594" t="s">
        <v>13276</v>
      </c>
      <c r="F4594" t="s">
        <v>13277</v>
      </c>
      <c r="J4594" t="s">
        <v>115</v>
      </c>
      <c r="K4594" s="18" t="s">
        <v>13278</v>
      </c>
      <c r="N4594" s="17" t="s">
        <v>77</v>
      </c>
      <c r="O4594" t="s">
        <v>1188</v>
      </c>
      <c r="U4594" s="17"/>
      <c r="V4594" s="18" t="s">
        <v>13278</v>
      </c>
      <c r="W4594" t="s">
        <v>13279</v>
      </c>
      <c r="Y4594" s="17" t="s">
        <v>90</v>
      </c>
      <c r="AA4594" t="s">
        <v>118</v>
      </c>
      <c r="AB4594" t="s">
        <v>119</v>
      </c>
    </row>
    <row r="4595" ht="15" customHeight="1" spans="1:23" x14ac:dyDescent="0.25">
      <c r="A4595" s="17" t="s">
        <v>13280</v>
      </c>
      <c r="B4595" s="17" t="s">
        <v>70</v>
      </c>
      <c r="C4595" s="17" t="s">
        <v>71</v>
      </c>
      <c r="D4595" t="s">
        <v>13281</v>
      </c>
      <c r="F4595" t="s">
        <v>13281</v>
      </c>
      <c r="K4595" s="18">
        <f>6282129290499</f>
        <v>6282129290499</v>
      </c>
      <c r="N4595" s="17" t="s">
        <v>77</v>
      </c>
      <c r="U4595" s="17"/>
      <c r="V4595" s="18">
        <f>6282129290499</f>
        <v>6282129290499</v>
      </c>
      <c r="W4595" t="s">
        <v>13282</v>
      </c>
    </row>
    <row r="4596" ht="15" customHeight="1" spans="1:25" x14ac:dyDescent="0.25">
      <c r="A4596" s="17" t="s">
        <v>13283</v>
      </c>
      <c r="B4596" s="17" t="s">
        <v>70</v>
      </c>
      <c r="C4596" s="17" t="s">
        <v>71</v>
      </c>
      <c r="D4596" t="s">
        <v>13284</v>
      </c>
      <c r="F4596" t="s">
        <v>13284</v>
      </c>
      <c r="J4596" s="17" t="s">
        <v>13285</v>
      </c>
      <c r="K4596" s="18">
        <f>6281312764003</f>
        <v>6281312764003</v>
      </c>
      <c r="N4596" s="17" t="s">
        <v>77</v>
      </c>
      <c r="U4596" s="17"/>
      <c r="V4596" s="18">
        <f>6281312764003</f>
        <v>6281312764003</v>
      </c>
      <c r="W4596" t="s">
        <v>13286</v>
      </c>
      <c r="Y4596" s="17" t="s">
        <v>1157</v>
      </c>
    </row>
    <row r="4597" ht="15" customHeight="1" spans="1:23" x14ac:dyDescent="0.25">
      <c r="A4597" s="17" t="s">
        <v>13287</v>
      </c>
      <c r="B4597" s="17" t="s">
        <v>70</v>
      </c>
      <c r="C4597" s="17" t="s">
        <v>71</v>
      </c>
      <c r="D4597" t="s">
        <v>13284</v>
      </c>
      <c r="F4597" t="s">
        <v>13288</v>
      </c>
      <c r="K4597" s="18">
        <v>79194910</v>
      </c>
      <c r="N4597" s="17" t="s">
        <v>81</v>
      </c>
      <c r="U4597" s="17"/>
      <c r="V4597" s="18">
        <v>79194910</v>
      </c>
      <c r="W4597" t="s">
        <v>90</v>
      </c>
    </row>
    <row r="4598" ht="15" customHeight="1" spans="1:28" x14ac:dyDescent="0.25">
      <c r="A4598" s="17" t="s">
        <v>13289</v>
      </c>
      <c r="B4598" s="17" t="s">
        <v>70</v>
      </c>
      <c r="C4598" s="17" t="s">
        <v>71</v>
      </c>
      <c r="D4598" t="s">
        <v>13290</v>
      </c>
      <c r="F4598" t="s">
        <v>13219</v>
      </c>
      <c r="J4598" t="s">
        <v>13291</v>
      </c>
      <c r="K4598" s="18" t="s">
        <v>13292</v>
      </c>
      <c r="N4598" s="17" t="s">
        <v>81</v>
      </c>
      <c r="O4598" t="s">
        <v>117</v>
      </c>
      <c r="V4598" s="18" t="s">
        <v>13292</v>
      </c>
      <c r="Y4598" t="s">
        <v>90</v>
      </c>
      <c r="AA4598" t="s">
        <v>118</v>
      </c>
      <c r="AB4598" t="s">
        <v>119</v>
      </c>
    </row>
    <row r="4599" ht="15" customHeight="1" spans="1:23" x14ac:dyDescent="0.25">
      <c r="A4599" s="17" t="s">
        <v>13293</v>
      </c>
      <c r="B4599" s="17" t="s">
        <v>70</v>
      </c>
      <c r="C4599" s="17" t="s">
        <v>71</v>
      </c>
      <c r="D4599" t="s">
        <v>13294</v>
      </c>
      <c r="F4599" t="s">
        <v>13219</v>
      </c>
      <c r="K4599" s="18">
        <f>62811943307</f>
        <v>62811943307</v>
      </c>
      <c r="N4599" s="17" t="s">
        <v>77</v>
      </c>
      <c r="U4599" s="17"/>
      <c r="V4599" s="18">
        <f>62811943307</f>
        <v>62811943307</v>
      </c>
      <c r="W4599" t="s">
        <v>13295</v>
      </c>
    </row>
    <row r="4600" ht="15" customHeight="1" spans="1:22" x14ac:dyDescent="0.25">
      <c r="A4600" s="17" t="s">
        <v>13296</v>
      </c>
      <c r="B4600" s="17" t="s">
        <v>70</v>
      </c>
      <c r="C4600" s="17" t="s">
        <v>71</v>
      </c>
      <c r="D4600" t="s">
        <v>13297</v>
      </c>
      <c r="F4600" t="s">
        <v>13298</v>
      </c>
      <c r="K4600" s="18">
        <f>628119391473</f>
        <v>628119391473</v>
      </c>
      <c r="N4600" s="17" t="s">
        <v>77</v>
      </c>
      <c r="V4600" s="18">
        <f>628119391473</f>
        <v>628119391473</v>
      </c>
    </row>
    <row r="4601" ht="15" customHeight="1" spans="1:22" x14ac:dyDescent="0.25">
      <c r="A4601" s="17" t="s">
        <v>13299</v>
      </c>
      <c r="B4601" s="17" t="s">
        <v>70</v>
      </c>
      <c r="C4601" s="17" t="s">
        <v>71</v>
      </c>
      <c r="D4601" t="s">
        <v>13300</v>
      </c>
      <c r="F4601" t="s">
        <v>13301</v>
      </c>
      <c r="K4601" s="18">
        <f>6282215181818</f>
        <v>6282215181818</v>
      </c>
      <c r="N4601" s="17" t="s">
        <v>74</v>
      </c>
      <c r="V4601" s="18">
        <f>6282215181818</f>
        <v>6282215181818</v>
      </c>
    </row>
    <row r="4602" ht="15" customHeight="1" spans="1:22" x14ac:dyDescent="0.25">
      <c r="A4602" s="17" t="s">
        <v>13302</v>
      </c>
      <c r="B4602" s="17" t="s">
        <v>70</v>
      </c>
      <c r="C4602" s="17" t="s">
        <v>71</v>
      </c>
      <c r="D4602" t="s">
        <v>13303</v>
      </c>
      <c r="F4602" t="s">
        <v>13304</v>
      </c>
      <c r="K4602" s="18">
        <f>62811197026</f>
        <v>62811197026</v>
      </c>
      <c r="N4602" s="17" t="s">
        <v>77</v>
      </c>
      <c r="V4602" s="18">
        <f>62811197026</f>
        <v>62811197026</v>
      </c>
    </row>
    <row r="4603" ht="15" customHeight="1" spans="1:22" x14ac:dyDescent="0.25">
      <c r="A4603" s="17" t="s">
        <v>13305</v>
      </c>
      <c r="B4603" s="17" t="s">
        <v>70</v>
      </c>
      <c r="C4603" s="17" t="s">
        <v>71</v>
      </c>
      <c r="D4603" t="s">
        <v>13306</v>
      </c>
      <c r="F4603" t="s">
        <v>13306</v>
      </c>
      <c r="K4603" s="18">
        <f>628129896733</f>
        <v>628129896733</v>
      </c>
      <c r="N4603" s="17" t="s">
        <v>77</v>
      </c>
      <c r="V4603" s="18">
        <f>628129896733</f>
        <v>628129896733</v>
      </c>
    </row>
    <row r="4604" ht="15" customHeight="1" spans="1:28" x14ac:dyDescent="0.25">
      <c r="A4604" s="17" t="s">
        <v>13307</v>
      </c>
      <c r="B4604" s="17" t="s">
        <v>70</v>
      </c>
      <c r="C4604" s="17" t="s">
        <v>71</v>
      </c>
      <c r="D4604" t="s">
        <v>13308</v>
      </c>
      <c r="F4604" t="s">
        <v>13309</v>
      </c>
      <c r="J4604" t="s">
        <v>115</v>
      </c>
      <c r="K4604" s="18" t="s">
        <v>13310</v>
      </c>
      <c r="N4604" s="17" t="s">
        <v>77</v>
      </c>
      <c r="O4604" t="s">
        <v>117</v>
      </c>
      <c r="V4604" s="18" t="s">
        <v>13310</v>
      </c>
      <c r="Y4604" t="s">
        <v>90</v>
      </c>
      <c r="AA4604" t="s">
        <v>118</v>
      </c>
      <c r="AB4604" t="s">
        <v>119</v>
      </c>
    </row>
    <row r="4605" ht="15" customHeight="1" spans="1:28" x14ac:dyDescent="0.25">
      <c r="A4605" s="17" t="s">
        <v>13311</v>
      </c>
      <c r="B4605" s="17" t="s">
        <v>70</v>
      </c>
      <c r="C4605" s="17" t="s">
        <v>71</v>
      </c>
      <c r="D4605" t="s">
        <v>13312</v>
      </c>
      <c r="F4605" t="s">
        <v>13313</v>
      </c>
      <c r="J4605" t="s">
        <v>115</v>
      </c>
      <c r="K4605" s="18" t="s">
        <v>13314</v>
      </c>
      <c r="N4605" s="17" t="s">
        <v>77</v>
      </c>
      <c r="O4605" t="s">
        <v>261</v>
      </c>
      <c r="U4605" s="17"/>
      <c r="V4605" s="18" t="s">
        <v>13314</v>
      </c>
      <c r="W4605" t="s">
        <v>13315</v>
      </c>
      <c r="Y4605" t="s">
        <v>90</v>
      </c>
      <c r="AA4605" t="s">
        <v>118</v>
      </c>
      <c r="AB4605" t="s">
        <v>119</v>
      </c>
    </row>
    <row r="4606" ht="15" customHeight="1" spans="1:25" x14ac:dyDescent="0.25">
      <c r="A4606" s="17" t="s">
        <v>13316</v>
      </c>
      <c r="B4606" s="17" t="s">
        <v>70</v>
      </c>
      <c r="C4606" s="17" t="s">
        <v>71</v>
      </c>
      <c r="D4606" t="s">
        <v>13317</v>
      </c>
      <c r="F4606" t="s">
        <v>13318</v>
      </c>
      <c r="K4606" s="18">
        <v>78839255</v>
      </c>
      <c r="N4606" s="17" t="s">
        <v>77</v>
      </c>
      <c r="U4606" s="17"/>
      <c r="V4606" s="18">
        <v>78839255</v>
      </c>
      <c r="W4606" t="s">
        <v>13319</v>
      </c>
      <c r="Y4606" s="17" t="s">
        <v>96</v>
      </c>
    </row>
    <row r="4607" ht="15" customHeight="1" spans="1:28" x14ac:dyDescent="0.25">
      <c r="A4607" s="17" t="s">
        <v>13320</v>
      </c>
      <c r="B4607" s="17" t="s">
        <v>70</v>
      </c>
      <c r="C4607" s="17" t="s">
        <v>71</v>
      </c>
      <c r="D4607" t="s">
        <v>1444</v>
      </c>
      <c r="F4607" t="s">
        <v>13321</v>
      </c>
      <c r="J4607" t="s">
        <v>115</v>
      </c>
      <c r="K4607" s="18" t="s">
        <v>13322</v>
      </c>
      <c r="N4607" s="17" t="s">
        <v>77</v>
      </c>
      <c r="O4607" t="s">
        <v>145</v>
      </c>
      <c r="V4607" s="18" t="s">
        <v>13322</v>
      </c>
      <c r="Y4607" t="s">
        <v>251</v>
      </c>
      <c r="AA4607" t="s">
        <v>115</v>
      </c>
      <c r="AB4607" t="s">
        <v>251</v>
      </c>
    </row>
    <row r="4608" ht="15" customHeight="1" spans="1:25" x14ac:dyDescent="0.25">
      <c r="A4608" s="17" t="s">
        <v>13323</v>
      </c>
      <c r="B4608" s="17" t="s">
        <v>70</v>
      </c>
      <c r="C4608" s="17" t="s">
        <v>71</v>
      </c>
      <c r="D4608" t="s">
        <v>1444</v>
      </c>
      <c r="F4608" t="s">
        <v>371</v>
      </c>
      <c r="K4608" s="18">
        <f>628112900646</f>
        <v>628112900646</v>
      </c>
      <c r="N4608" s="17" t="s">
        <v>81</v>
      </c>
      <c r="U4608" s="17"/>
      <c r="V4608" s="18">
        <f>628112900646</f>
        <v>628112900646</v>
      </c>
      <c r="W4608" t="s">
        <v>13324</v>
      </c>
      <c r="Y4608" s="17" t="s">
        <v>622</v>
      </c>
    </row>
    <row r="4609" ht="15" customHeight="1" spans="1:22" x14ac:dyDescent="0.25">
      <c r="A4609" s="17" t="s">
        <v>13325</v>
      </c>
      <c r="B4609" s="17" t="s">
        <v>70</v>
      </c>
      <c r="C4609" s="17" t="s">
        <v>71</v>
      </c>
      <c r="D4609" t="s">
        <v>1444</v>
      </c>
      <c r="F4609" t="s">
        <v>618</v>
      </c>
      <c r="K4609" s="18">
        <f>62811990077</f>
        <v>62811990077</v>
      </c>
      <c r="N4609" s="17" t="s">
        <v>77</v>
      </c>
      <c r="V4609" s="18">
        <f>62811990077</f>
        <v>62811990077</v>
      </c>
    </row>
    <row r="4610" ht="15" customHeight="1" spans="1:25" x14ac:dyDescent="0.25">
      <c r="A4610" s="17" t="s">
        <v>13326</v>
      </c>
      <c r="B4610" s="17" t="s">
        <v>70</v>
      </c>
      <c r="C4610" s="17" t="s">
        <v>71</v>
      </c>
      <c r="D4610" t="s">
        <v>1444</v>
      </c>
      <c r="F4610" t="s">
        <v>2983</v>
      </c>
      <c r="K4610" s="18">
        <f>62217191243</f>
        <v>62217191243</v>
      </c>
      <c r="N4610" s="17" t="s">
        <v>77</v>
      </c>
      <c r="U4610" s="17"/>
      <c r="V4610" s="18">
        <f>62217191243</f>
        <v>62217191243</v>
      </c>
      <c r="W4610" t="s">
        <v>13327</v>
      </c>
      <c r="Y4610" s="17" t="s">
        <v>90</v>
      </c>
    </row>
    <row r="4611" ht="15" customHeight="1" spans="1:25" x14ac:dyDescent="0.25">
      <c r="A4611" s="17" t="s">
        <v>13328</v>
      </c>
      <c r="B4611" s="17" t="s">
        <v>70</v>
      </c>
      <c r="C4611" s="17" t="s">
        <v>71</v>
      </c>
      <c r="D4611" t="s">
        <v>13329</v>
      </c>
      <c r="F4611" t="s">
        <v>13330</v>
      </c>
      <c r="K4611" s="18">
        <f>6285880268027</f>
        <v>6285880268027</v>
      </c>
      <c r="N4611" s="17" t="s">
        <v>77</v>
      </c>
      <c r="U4611" s="17"/>
      <c r="V4611" s="18">
        <f>6285880268027</f>
        <v>6285880268027</v>
      </c>
      <c r="W4611" t="s">
        <v>13331</v>
      </c>
      <c r="Y4611" s="17" t="s">
        <v>96</v>
      </c>
    </row>
    <row r="4612" ht="15" customHeight="1" spans="1:28" x14ac:dyDescent="0.25">
      <c r="A4612" s="17" t="s">
        <v>13332</v>
      </c>
      <c r="B4612" s="17" t="s">
        <v>70</v>
      </c>
      <c r="C4612" s="17" t="s">
        <v>71</v>
      </c>
      <c r="D4612" t="s">
        <v>13333</v>
      </c>
      <c r="F4612" t="s">
        <v>13334</v>
      </c>
      <c r="J4612" s="17" t="s">
        <v>13335</v>
      </c>
      <c r="K4612" s="18" t="s">
        <v>13336</v>
      </c>
      <c r="N4612" s="17" t="s">
        <v>77</v>
      </c>
      <c r="O4612" t="s">
        <v>199</v>
      </c>
      <c r="U4612" s="17"/>
      <c r="V4612" s="18" t="s">
        <v>13336</v>
      </c>
      <c r="W4612" t="s">
        <v>930</v>
      </c>
      <c r="Y4612" t="s">
        <v>930</v>
      </c>
      <c r="AA4612" t="s">
        <v>115</v>
      </c>
      <c r="AB4612" t="s">
        <v>930</v>
      </c>
    </row>
    <row r="4613" ht="15" customHeight="1" spans="1:22" x14ac:dyDescent="0.25">
      <c r="A4613" s="17" t="s">
        <v>13337</v>
      </c>
      <c r="B4613" s="17" t="s">
        <v>70</v>
      </c>
      <c r="C4613" s="17" t="s">
        <v>71</v>
      </c>
      <c r="D4613" t="s">
        <v>13338</v>
      </c>
      <c r="F4613" t="s">
        <v>13338</v>
      </c>
      <c r="K4613" s="18">
        <f>6281229661982</f>
        <v>6281229661982</v>
      </c>
      <c r="N4613" s="17" t="s">
        <v>77</v>
      </c>
      <c r="V4613" s="18">
        <f>6281229661982</f>
        <v>6281229661982</v>
      </c>
    </row>
    <row r="4614" ht="15" customHeight="1" spans="1:23" x14ac:dyDescent="0.25">
      <c r="A4614" s="17" t="s">
        <v>13339</v>
      </c>
      <c r="B4614" s="17" t="s">
        <v>70</v>
      </c>
      <c r="C4614" s="17" t="s">
        <v>71</v>
      </c>
      <c r="D4614" t="s">
        <v>13338</v>
      </c>
      <c r="F4614" t="s">
        <v>13338</v>
      </c>
      <c r="K4614" s="18">
        <f>6285367204657</f>
        <v>6285367204657</v>
      </c>
      <c r="N4614" s="17" t="s">
        <v>81</v>
      </c>
      <c r="U4614" s="17"/>
      <c r="V4614" s="18">
        <f>6285367204657</f>
        <v>6285367204657</v>
      </c>
      <c r="W4614" t="s">
        <v>13340</v>
      </c>
    </row>
    <row r="4615" ht="15" customHeight="1" spans="1:22" x14ac:dyDescent="0.25">
      <c r="A4615" s="17" t="s">
        <v>13341</v>
      </c>
      <c r="B4615" s="17" t="s">
        <v>70</v>
      </c>
      <c r="C4615" s="17" t="s">
        <v>71</v>
      </c>
      <c r="D4615" t="s">
        <v>13338</v>
      </c>
      <c r="F4615" t="s">
        <v>13338</v>
      </c>
      <c r="K4615" s="18">
        <f>62811212196</f>
        <v>62811212196</v>
      </c>
      <c r="N4615" s="17" t="s">
        <v>77</v>
      </c>
      <c r="V4615" s="18">
        <f>62811212196</f>
        <v>62811212196</v>
      </c>
    </row>
    <row r="4616" ht="15" customHeight="1" spans="1:22" x14ac:dyDescent="0.25">
      <c r="A4616" s="17" t="s">
        <v>13342</v>
      </c>
      <c r="B4616" s="17" t="s">
        <v>70</v>
      </c>
      <c r="C4616" s="17" t="s">
        <v>71</v>
      </c>
      <c r="D4616" t="s">
        <v>13338</v>
      </c>
      <c r="F4616" t="s">
        <v>209</v>
      </c>
      <c r="K4616" s="18">
        <f>62811749521</f>
        <v>62811749521</v>
      </c>
      <c r="N4616" s="17" t="s">
        <v>77</v>
      </c>
      <c r="V4616" s="18">
        <f>62811749521</f>
        <v>62811749521</v>
      </c>
    </row>
    <row r="4617" ht="15" customHeight="1" spans="1:22" x14ac:dyDescent="0.25">
      <c r="A4617" s="17" t="s">
        <v>13343</v>
      </c>
      <c r="B4617" s="17" t="s">
        <v>70</v>
      </c>
      <c r="C4617" s="17" t="s">
        <v>71</v>
      </c>
      <c r="D4617" t="s">
        <v>12050</v>
      </c>
      <c r="F4617" t="s">
        <v>12050</v>
      </c>
      <c r="K4617" s="18">
        <f>628129446001</f>
        <v>628129446001</v>
      </c>
      <c r="N4617" s="17" t="s">
        <v>81</v>
      </c>
      <c r="V4617" s="18">
        <f>628129446001</f>
        <v>628129446001</v>
      </c>
    </row>
    <row r="4618" ht="15" customHeight="1" spans="1:22" x14ac:dyDescent="0.25">
      <c r="A4618" s="17" t="s">
        <v>13344</v>
      </c>
      <c r="B4618" s="17" t="s">
        <v>70</v>
      </c>
      <c r="C4618" s="17" t="s">
        <v>71</v>
      </c>
      <c r="D4618" t="s">
        <v>12050</v>
      </c>
      <c r="F4618" t="s">
        <v>12050</v>
      </c>
      <c r="K4618" s="18">
        <f>6281296379318</f>
        <v>6281296379318</v>
      </c>
      <c r="N4618" s="17" t="s">
        <v>81</v>
      </c>
      <c r="V4618" s="18">
        <f>6281296379318</f>
        <v>6281296379318</v>
      </c>
    </row>
    <row r="4619" ht="15" customHeight="1" spans="1:23" x14ac:dyDescent="0.25">
      <c r="A4619" s="17" t="s">
        <v>13345</v>
      </c>
      <c r="B4619" s="17" t="s">
        <v>70</v>
      </c>
      <c r="C4619" s="17" t="s">
        <v>71</v>
      </c>
      <c r="D4619" t="s">
        <v>12050</v>
      </c>
      <c r="F4619" t="s">
        <v>1485</v>
      </c>
      <c r="K4619" s="18">
        <f>6282225100500</f>
        <v>6282225100500</v>
      </c>
      <c r="N4619" s="17" t="s">
        <v>77</v>
      </c>
      <c r="U4619" s="17"/>
      <c r="V4619" s="18">
        <f>6282225100500</f>
        <v>6282225100500</v>
      </c>
      <c r="W4619" t="s">
        <v>13346</v>
      </c>
    </row>
    <row r="4620" ht="15" customHeight="1" spans="1:28" x14ac:dyDescent="0.25">
      <c r="A4620" s="17" t="s">
        <v>13347</v>
      </c>
      <c r="B4620" s="17" t="s">
        <v>70</v>
      </c>
      <c r="C4620" s="17" t="s">
        <v>71</v>
      </c>
      <c r="D4620" t="s">
        <v>12050</v>
      </c>
      <c r="F4620" t="s">
        <v>13348</v>
      </c>
      <c r="J4620" t="s">
        <v>115</v>
      </c>
      <c r="K4620" s="18" t="s">
        <v>13349</v>
      </c>
      <c r="N4620" s="17" t="s">
        <v>77</v>
      </c>
      <c r="O4620" t="s">
        <v>145</v>
      </c>
      <c r="V4620" s="18" t="s">
        <v>13349</v>
      </c>
      <c r="Y4620" t="s">
        <v>6306</v>
      </c>
      <c r="AA4620" t="s">
        <v>115</v>
      </c>
      <c r="AB4620" t="s">
        <v>119</v>
      </c>
    </row>
    <row r="4621" ht="15" customHeight="1" spans="1:27" x14ac:dyDescent="0.25">
      <c r="A4621" s="17" t="s">
        <v>13350</v>
      </c>
      <c r="B4621" s="17" t="s">
        <v>70</v>
      </c>
      <c r="C4621" s="17" t="s">
        <v>71</v>
      </c>
      <c r="D4621" t="s">
        <v>12050</v>
      </c>
      <c r="F4621" t="s">
        <v>13174</v>
      </c>
      <c r="K4621" s="18">
        <f>6281319502200</f>
        <v>6281319502200</v>
      </c>
      <c r="N4621" s="17" t="s">
        <v>81</v>
      </c>
      <c r="U4621" s="17"/>
      <c r="V4621" s="18">
        <f>6281319502200</f>
        <v>6281319502200</v>
      </c>
      <c r="W4621" t="s">
        <v>13351</v>
      </c>
      <c r="AA4621" s="17">
        <v>14010</v>
      </c>
    </row>
    <row r="4622" ht="15" customHeight="1" spans="1:28" x14ac:dyDescent="0.25">
      <c r="A4622" s="17" t="s">
        <v>13352</v>
      </c>
      <c r="B4622" s="17" t="s">
        <v>70</v>
      </c>
      <c r="C4622" s="17" t="s">
        <v>71</v>
      </c>
      <c r="D4622" t="s">
        <v>12050</v>
      </c>
      <c r="F4622" t="s">
        <v>8055</v>
      </c>
      <c r="J4622" s="17" t="s">
        <v>13353</v>
      </c>
      <c r="K4622" s="18" t="s">
        <v>13354</v>
      </c>
      <c r="N4622" s="17" t="s">
        <v>77</v>
      </c>
      <c r="O4622" t="s">
        <v>199</v>
      </c>
      <c r="U4622" s="17"/>
      <c r="V4622" s="18" t="s">
        <v>13354</v>
      </c>
      <c r="W4622" t="s">
        <v>13355</v>
      </c>
      <c r="Y4622" s="17" t="s">
        <v>96</v>
      </c>
      <c r="AA4622" s="17" t="s">
        <v>693</v>
      </c>
      <c r="AB4622" t="s">
        <v>119</v>
      </c>
    </row>
    <row r="4623" ht="15" customHeight="1" spans="1:22" x14ac:dyDescent="0.25">
      <c r="A4623" s="17" t="s">
        <v>13356</v>
      </c>
      <c r="B4623" s="17" t="s">
        <v>70</v>
      </c>
      <c r="C4623" s="17" t="s">
        <v>71</v>
      </c>
      <c r="D4623" t="s">
        <v>12050</v>
      </c>
      <c r="F4623" t="s">
        <v>744</v>
      </c>
      <c r="K4623" s="18">
        <f>6281310997908</f>
        <v>6281310997908</v>
      </c>
      <c r="N4623" s="17" t="s">
        <v>77</v>
      </c>
      <c r="V4623" s="18">
        <f>6281310997908</f>
        <v>6281310997908</v>
      </c>
    </row>
    <row r="4624" ht="15" customHeight="1" spans="1:23" x14ac:dyDescent="0.25">
      <c r="A4624" s="17" t="s">
        <v>13357</v>
      </c>
      <c r="B4624" s="17" t="s">
        <v>70</v>
      </c>
      <c r="C4624" s="17" t="s">
        <v>71</v>
      </c>
      <c r="D4624" t="s">
        <v>12050</v>
      </c>
      <c r="F4624" t="s">
        <v>13358</v>
      </c>
      <c r="J4624" s="17" t="s">
        <v>13359</v>
      </c>
      <c r="K4624" s="18">
        <f>628126993409</f>
        <v>628126993409</v>
      </c>
      <c r="N4624" s="17" t="s">
        <v>77</v>
      </c>
      <c r="U4624" s="17"/>
      <c r="V4624" s="18">
        <f>628126993409</f>
        <v>628126993409</v>
      </c>
      <c r="W4624" t="s">
        <v>13360</v>
      </c>
    </row>
    <row r="4625" ht="15" customHeight="1" spans="1:28" x14ac:dyDescent="0.25">
      <c r="A4625" s="17" t="s">
        <v>13361</v>
      </c>
      <c r="B4625" s="17" t="s">
        <v>70</v>
      </c>
      <c r="C4625" s="17" t="s">
        <v>71</v>
      </c>
      <c r="D4625" t="s">
        <v>12050</v>
      </c>
      <c r="F4625" t="s">
        <v>13362</v>
      </c>
      <c r="J4625" t="s">
        <v>115</v>
      </c>
      <c r="K4625" s="18" t="s">
        <v>13363</v>
      </c>
      <c r="N4625" s="17" t="s">
        <v>81</v>
      </c>
      <c r="O4625" t="s">
        <v>199</v>
      </c>
      <c r="V4625" s="18" t="s">
        <v>13363</v>
      </c>
      <c r="Y4625" t="s">
        <v>90</v>
      </c>
      <c r="AA4625" t="s">
        <v>118</v>
      </c>
      <c r="AB4625" t="s">
        <v>119</v>
      </c>
    </row>
    <row r="4626" ht="15" customHeight="1" spans="1:28" x14ac:dyDescent="0.25">
      <c r="A4626" s="17" t="s">
        <v>13364</v>
      </c>
      <c r="B4626" s="17" t="s">
        <v>70</v>
      </c>
      <c r="C4626" s="17" t="s">
        <v>71</v>
      </c>
      <c r="D4626" t="s">
        <v>12050</v>
      </c>
      <c r="F4626" t="s">
        <v>13365</v>
      </c>
      <c r="J4626" t="s">
        <v>115</v>
      </c>
      <c r="K4626" s="18" t="s">
        <v>13366</v>
      </c>
      <c r="N4626" s="17" t="s">
        <v>77</v>
      </c>
      <c r="O4626" t="s">
        <v>489</v>
      </c>
      <c r="U4626" s="17"/>
      <c r="V4626" s="18" t="s">
        <v>13366</v>
      </c>
      <c r="W4626" t="s">
        <v>13367</v>
      </c>
      <c r="Y4626" t="s">
        <v>90</v>
      </c>
      <c r="AA4626" t="s">
        <v>118</v>
      </c>
      <c r="AB4626" t="s">
        <v>119</v>
      </c>
    </row>
    <row r="4627" ht="15" customHeight="1" spans="1:22" x14ac:dyDescent="0.25">
      <c r="A4627" s="17" t="s">
        <v>13368</v>
      </c>
      <c r="B4627" s="17" t="s">
        <v>70</v>
      </c>
      <c r="C4627" s="17" t="s">
        <v>71</v>
      </c>
      <c r="D4627" t="s">
        <v>12050</v>
      </c>
      <c r="F4627" t="s">
        <v>1589</v>
      </c>
      <c r="K4627" s="18">
        <f>628170760241</f>
        <v>628170760241</v>
      </c>
      <c r="N4627" s="17" t="s">
        <v>77</v>
      </c>
      <c r="V4627" s="18">
        <f>628170760241</f>
        <v>628170760241</v>
      </c>
    </row>
    <row r="4628" ht="15" customHeight="1" spans="1:22" x14ac:dyDescent="0.25">
      <c r="A4628" s="17" t="s">
        <v>13369</v>
      </c>
      <c r="B4628" s="17" t="s">
        <v>70</v>
      </c>
      <c r="C4628" s="17" t="s">
        <v>71</v>
      </c>
      <c r="D4628" t="s">
        <v>12050</v>
      </c>
      <c r="F4628" t="s">
        <v>13370</v>
      </c>
      <c r="K4628" s="18">
        <f>6282141875383</f>
        <v>6282141875383</v>
      </c>
      <c r="N4628" s="17" t="s">
        <v>77</v>
      </c>
      <c r="V4628" s="18">
        <f>6282141875383</f>
        <v>6282141875383</v>
      </c>
    </row>
    <row r="4629" ht="15" customHeight="1" spans="1:23" x14ac:dyDescent="0.25">
      <c r="A4629" s="17" t="s">
        <v>13371</v>
      </c>
      <c r="B4629" s="17" t="s">
        <v>70</v>
      </c>
      <c r="C4629" s="17" t="s">
        <v>71</v>
      </c>
      <c r="D4629" t="s">
        <v>12050</v>
      </c>
      <c r="F4629" t="s">
        <v>13372</v>
      </c>
      <c r="K4629" s="18">
        <f>62811189522</f>
        <v>62811189522</v>
      </c>
      <c r="N4629" s="17" t="s">
        <v>77</v>
      </c>
      <c r="U4629" s="17"/>
      <c r="V4629" s="18">
        <f>62811189522</f>
        <v>62811189522</v>
      </c>
      <c r="W4629" t="s">
        <v>13373</v>
      </c>
    </row>
    <row r="4630" ht="15" customHeight="1" spans="1:28" x14ac:dyDescent="0.25">
      <c r="A4630" s="17" t="s">
        <v>13374</v>
      </c>
      <c r="B4630" s="17" t="s">
        <v>70</v>
      </c>
      <c r="C4630" s="17" t="s">
        <v>71</v>
      </c>
      <c r="D4630" t="s">
        <v>13375</v>
      </c>
      <c r="F4630" t="s">
        <v>13376</v>
      </c>
      <c r="J4630" s="17" t="s">
        <v>13377</v>
      </c>
      <c r="K4630" s="18" t="s">
        <v>13378</v>
      </c>
      <c r="N4630" s="17" t="s">
        <v>77</v>
      </c>
      <c r="O4630" t="s">
        <v>199</v>
      </c>
      <c r="V4630" s="18" t="s">
        <v>13378</v>
      </c>
      <c r="Y4630" t="s">
        <v>115</v>
      </c>
      <c r="AA4630" t="s">
        <v>115</v>
      </c>
      <c r="AB4630" t="s">
        <v>13379</v>
      </c>
    </row>
    <row r="4631" ht="15" customHeight="1" spans="1:28" x14ac:dyDescent="0.25">
      <c r="A4631" s="17" t="s">
        <v>13380</v>
      </c>
      <c r="B4631" s="17" t="s">
        <v>70</v>
      </c>
      <c r="C4631" s="17" t="s">
        <v>71</v>
      </c>
      <c r="D4631" t="s">
        <v>13381</v>
      </c>
      <c r="F4631" t="s">
        <v>13382</v>
      </c>
      <c r="J4631" t="s">
        <v>13383</v>
      </c>
      <c r="K4631" s="18" t="s">
        <v>13384</v>
      </c>
      <c r="N4631" s="17" t="s">
        <v>77</v>
      </c>
      <c r="O4631" t="s">
        <v>117</v>
      </c>
      <c r="V4631" s="18" t="s">
        <v>13384</v>
      </c>
      <c r="Y4631" t="s">
        <v>90</v>
      </c>
      <c r="AA4631" t="s">
        <v>118</v>
      </c>
      <c r="AB4631" t="s">
        <v>119</v>
      </c>
    </row>
    <row r="4632" ht="15" customHeight="1" spans="1:22" x14ac:dyDescent="0.25">
      <c r="A4632" s="17" t="s">
        <v>13385</v>
      </c>
      <c r="B4632" s="17" t="s">
        <v>70</v>
      </c>
      <c r="C4632" s="17" t="s">
        <v>71</v>
      </c>
      <c r="D4632" t="s">
        <v>13386</v>
      </c>
      <c r="F4632" t="s">
        <v>13387</v>
      </c>
      <c r="K4632" s="18">
        <f>62811391715</f>
        <v>62811391715</v>
      </c>
      <c r="N4632" s="17" t="s">
        <v>74</v>
      </c>
      <c r="V4632" s="18">
        <f>62811391715</f>
        <v>62811391715</v>
      </c>
    </row>
    <row r="4633" ht="15" customHeight="1" spans="1:25" x14ac:dyDescent="0.25">
      <c r="A4633" s="17" t="s">
        <v>13388</v>
      </c>
      <c r="B4633" s="17" t="s">
        <v>70</v>
      </c>
      <c r="C4633" s="17" t="s">
        <v>71</v>
      </c>
      <c r="D4633" t="s">
        <v>13389</v>
      </c>
      <c r="F4633" t="s">
        <v>13390</v>
      </c>
      <c r="K4633" s="18">
        <f>6281290707012</f>
        <v>6281290707012</v>
      </c>
      <c r="N4633" s="17" t="s">
        <v>81</v>
      </c>
      <c r="U4633" s="17"/>
      <c r="V4633" s="18">
        <f>6281290707012</f>
        <v>6281290707012</v>
      </c>
      <c r="W4633" t="s">
        <v>13391</v>
      </c>
      <c r="Y4633" s="17" t="s">
        <v>567</v>
      </c>
    </row>
    <row r="4634" ht="15" customHeight="1" spans="1:25" x14ac:dyDescent="0.25">
      <c r="A4634" s="17" t="s">
        <v>13392</v>
      </c>
      <c r="B4634" s="17" t="s">
        <v>70</v>
      </c>
      <c r="C4634" s="17" t="s">
        <v>71</v>
      </c>
      <c r="D4634" t="s">
        <v>13393</v>
      </c>
      <c r="F4634" t="s">
        <v>13393</v>
      </c>
      <c r="K4634" s="18">
        <v>721253743</v>
      </c>
      <c r="N4634" s="17" t="s">
        <v>77</v>
      </c>
      <c r="U4634" s="17"/>
      <c r="V4634" s="18">
        <v>721253743</v>
      </c>
      <c r="W4634" t="s">
        <v>13394</v>
      </c>
      <c r="Y4634" s="17" t="s">
        <v>1255</v>
      </c>
    </row>
    <row r="4635" ht="15" customHeight="1" spans="1:23" x14ac:dyDescent="0.25">
      <c r="A4635" s="17" t="s">
        <v>13395</v>
      </c>
      <c r="B4635" s="17" t="s">
        <v>70</v>
      </c>
      <c r="C4635" s="17" t="s">
        <v>71</v>
      </c>
      <c r="D4635" t="s">
        <v>13396</v>
      </c>
      <c r="F4635" t="s">
        <v>13397</v>
      </c>
      <c r="K4635" s="18">
        <f>622193849888</f>
        <v>622193849888</v>
      </c>
      <c r="N4635" s="17" t="s">
        <v>77</v>
      </c>
      <c r="U4635" s="17"/>
      <c r="V4635" s="18">
        <f>622193849888</f>
        <v>622193849888</v>
      </c>
      <c r="W4635" t="s">
        <v>13398</v>
      </c>
    </row>
    <row r="4636" ht="15" customHeight="1" spans="1:25" x14ac:dyDescent="0.25">
      <c r="A4636" s="17" t="s">
        <v>13399</v>
      </c>
      <c r="B4636" s="17" t="s">
        <v>70</v>
      </c>
      <c r="C4636" s="17" t="s">
        <v>71</v>
      </c>
      <c r="D4636" t="s">
        <v>13400</v>
      </c>
      <c r="F4636" t="s">
        <v>13401</v>
      </c>
      <c r="J4636" s="17" t="s">
        <v>13402</v>
      </c>
      <c r="K4636" s="18">
        <f>6281215088803</f>
        <v>6281215088803</v>
      </c>
      <c r="N4636" s="17" t="s">
        <v>77</v>
      </c>
      <c r="U4636" s="17"/>
      <c r="V4636" s="18">
        <f>6281215088803</f>
        <v>6281215088803</v>
      </c>
      <c r="W4636" t="s">
        <v>13403</v>
      </c>
      <c r="Y4636" s="17" t="s">
        <v>96</v>
      </c>
    </row>
    <row r="4637" ht="15" customHeight="1" spans="1:22" x14ac:dyDescent="0.25">
      <c r="A4637" s="17" t="s">
        <v>13404</v>
      </c>
      <c r="B4637" s="17" t="s">
        <v>70</v>
      </c>
      <c r="C4637" s="17" t="s">
        <v>71</v>
      </c>
      <c r="D4637" t="s">
        <v>13405</v>
      </c>
      <c r="F4637" t="s">
        <v>7293</v>
      </c>
      <c r="K4637" s="18">
        <f>8613575663336</f>
        <v>8613575663336</v>
      </c>
      <c r="N4637" s="17" t="s">
        <v>77</v>
      </c>
      <c r="V4637" s="18">
        <f>8613575663336</f>
        <v>8613575663336</v>
      </c>
    </row>
    <row r="4638" ht="15" customHeight="1" spans="1:22" x14ac:dyDescent="0.25">
      <c r="A4638" s="17" t="s">
        <v>13406</v>
      </c>
      <c r="B4638" s="17" t="s">
        <v>70</v>
      </c>
      <c r="C4638" s="17" t="s">
        <v>71</v>
      </c>
      <c r="D4638" t="s">
        <v>13405</v>
      </c>
      <c r="F4638" t="s">
        <v>13407</v>
      </c>
      <c r="K4638" s="18">
        <f>6282129333282</f>
        <v>6282129333282</v>
      </c>
      <c r="N4638" s="17" t="s">
        <v>77</v>
      </c>
      <c r="V4638" s="18">
        <f>6282129333282</f>
        <v>6282129333282</v>
      </c>
    </row>
    <row r="4639" ht="15" customHeight="1" spans="1:22" x14ac:dyDescent="0.25">
      <c r="A4639" s="17" t="s">
        <v>13408</v>
      </c>
      <c r="B4639" s="17" t="s">
        <v>70</v>
      </c>
      <c r="C4639" s="17" t="s">
        <v>71</v>
      </c>
      <c r="D4639" t="s">
        <v>13409</v>
      </c>
      <c r="F4639" t="s">
        <v>13410</v>
      </c>
      <c r="J4639" s="17" t="s">
        <v>13411</v>
      </c>
      <c r="K4639" s="18">
        <f>8618610450406</f>
        <v>8618610450406</v>
      </c>
      <c r="N4639" s="17" t="s">
        <v>81</v>
      </c>
      <c r="V4639" s="18">
        <f>8618610450406</f>
        <v>8618610450406</v>
      </c>
    </row>
    <row r="4640" ht="15" customHeight="1" spans="1:22" x14ac:dyDescent="0.25">
      <c r="A4640" s="17" t="s">
        <v>13412</v>
      </c>
      <c r="B4640" s="17" t="s">
        <v>70</v>
      </c>
      <c r="C4640" s="17" t="s">
        <v>71</v>
      </c>
      <c r="D4640" t="s">
        <v>13413</v>
      </c>
      <c r="F4640" t="s">
        <v>13414</v>
      </c>
      <c r="K4640" s="18">
        <f>62816901856</f>
        <v>62816901856</v>
      </c>
      <c r="N4640" s="17" t="s">
        <v>77</v>
      </c>
      <c r="V4640" s="18">
        <f>62816901856</f>
        <v>62816901856</v>
      </c>
    </row>
    <row r="4641" ht="15" customHeight="1" spans="1:23" x14ac:dyDescent="0.25">
      <c r="A4641" s="17" t="s">
        <v>13415</v>
      </c>
      <c r="B4641" s="17" t="s">
        <v>70</v>
      </c>
      <c r="C4641" s="17" t="s">
        <v>71</v>
      </c>
      <c r="D4641" t="s">
        <v>13416</v>
      </c>
      <c r="F4641" t="s">
        <v>282</v>
      </c>
      <c r="K4641" s="18">
        <f>62818321775</f>
        <v>62818321775</v>
      </c>
      <c r="N4641" s="17" t="s">
        <v>77</v>
      </c>
      <c r="U4641" s="17"/>
      <c r="V4641" s="18">
        <f>62818321775</f>
        <v>62818321775</v>
      </c>
      <c r="W4641" t="s">
        <v>13417</v>
      </c>
    </row>
    <row r="4642" ht="15" customHeight="1" spans="1:28" x14ac:dyDescent="0.25">
      <c r="A4642" s="17" t="s">
        <v>13418</v>
      </c>
      <c r="B4642" s="17" t="s">
        <v>70</v>
      </c>
      <c r="C4642" s="17" t="s">
        <v>71</v>
      </c>
      <c r="D4642" t="s">
        <v>13419</v>
      </c>
      <c r="F4642" t="s">
        <v>13420</v>
      </c>
      <c r="J4642" t="s">
        <v>115</v>
      </c>
      <c r="K4642" s="18" t="s">
        <v>13421</v>
      </c>
      <c r="N4642" s="17" t="s">
        <v>77</v>
      </c>
      <c r="O4642" t="s">
        <v>145</v>
      </c>
      <c r="V4642" s="18" t="s">
        <v>13421</v>
      </c>
      <c r="Y4642" t="s">
        <v>190</v>
      </c>
      <c r="AA4642" t="s">
        <v>118</v>
      </c>
      <c r="AB4642" t="s">
        <v>119</v>
      </c>
    </row>
    <row r="4643" ht="15" customHeight="1" spans="1:22" x14ac:dyDescent="0.25">
      <c r="A4643" s="17" t="s">
        <v>13422</v>
      </c>
      <c r="B4643" s="17" t="s">
        <v>70</v>
      </c>
      <c r="C4643" s="17" t="s">
        <v>71</v>
      </c>
      <c r="D4643" t="s">
        <v>13419</v>
      </c>
      <c r="F4643" t="s">
        <v>3142</v>
      </c>
      <c r="K4643" s="18">
        <f>6282111123911</f>
        <v>6282111123911</v>
      </c>
      <c r="N4643" s="17" t="s">
        <v>77</v>
      </c>
      <c r="V4643" s="18">
        <f>6282111123911</f>
        <v>6282111123911</v>
      </c>
    </row>
    <row r="4644" ht="15" customHeight="1" spans="1:23" x14ac:dyDescent="0.25">
      <c r="A4644" s="17" t="s">
        <v>13423</v>
      </c>
      <c r="B4644" s="17" t="s">
        <v>70</v>
      </c>
      <c r="C4644" s="17" t="s">
        <v>71</v>
      </c>
      <c r="D4644" t="s">
        <v>13419</v>
      </c>
      <c r="F4644" t="s">
        <v>13424</v>
      </c>
      <c r="K4644" s="18">
        <f>8613809224899</f>
        <v>8613809224899</v>
      </c>
      <c r="N4644" s="17" t="s">
        <v>77</v>
      </c>
      <c r="U4644" s="17"/>
      <c r="V4644" s="18">
        <f>8613809224899</f>
        <v>8613809224899</v>
      </c>
      <c r="W4644" t="s">
        <v>3140</v>
      </c>
    </row>
    <row r="4645" ht="15" customHeight="1" spans="1:27" x14ac:dyDescent="0.25">
      <c r="A4645" s="17" t="s">
        <v>13425</v>
      </c>
      <c r="B4645" s="17" t="s">
        <v>70</v>
      </c>
      <c r="C4645" s="17" t="s">
        <v>71</v>
      </c>
      <c r="D4645" t="s">
        <v>13419</v>
      </c>
      <c r="F4645" t="s">
        <v>13426</v>
      </c>
      <c r="J4645" s="17" t="s">
        <v>13427</v>
      </c>
      <c r="K4645" s="18">
        <v>13585779167</v>
      </c>
      <c r="N4645" s="17" t="s">
        <v>77</v>
      </c>
      <c r="U4645" s="17"/>
      <c r="V4645" s="18">
        <v>13585779167</v>
      </c>
      <c r="W4645" t="s">
        <v>13428</v>
      </c>
      <c r="Y4645" s="17" t="s">
        <v>6980</v>
      </c>
      <c r="AA4645" s="17">
        <v>200040</v>
      </c>
    </row>
    <row r="4646" ht="15" customHeight="1" spans="1:28" x14ac:dyDescent="0.25">
      <c r="A4646" s="17" t="s">
        <v>13429</v>
      </c>
      <c r="B4646" s="17" t="s">
        <v>70</v>
      </c>
      <c r="C4646" s="17" t="s">
        <v>71</v>
      </c>
      <c r="D4646" t="s">
        <v>13419</v>
      </c>
      <c r="F4646" t="s">
        <v>13430</v>
      </c>
      <c r="J4646" s="17" t="s">
        <v>13431</v>
      </c>
      <c r="K4646" s="18" t="s">
        <v>13432</v>
      </c>
      <c r="N4646" s="17" t="s">
        <v>77</v>
      </c>
      <c r="O4646" t="s">
        <v>117</v>
      </c>
      <c r="V4646" s="18" t="s">
        <v>13432</v>
      </c>
      <c r="Y4646" t="s">
        <v>115</v>
      </c>
      <c r="AA4646" t="s">
        <v>115</v>
      </c>
      <c r="AB4646" t="s">
        <v>3140</v>
      </c>
    </row>
    <row r="4647" ht="15" customHeight="1" spans="1:22" x14ac:dyDescent="0.25">
      <c r="A4647" s="17" t="s">
        <v>13433</v>
      </c>
      <c r="B4647" s="17" t="s">
        <v>70</v>
      </c>
      <c r="C4647" s="17" t="s">
        <v>71</v>
      </c>
      <c r="D4647" t="s">
        <v>2270</v>
      </c>
      <c r="F4647" t="s">
        <v>13434</v>
      </c>
      <c r="K4647" s="18">
        <f>628118788711</f>
        <v>628118788711</v>
      </c>
      <c r="N4647" s="17" t="s">
        <v>81</v>
      </c>
      <c r="V4647" s="18">
        <f>628118788711</f>
        <v>628118788711</v>
      </c>
    </row>
    <row r="4648" ht="15" customHeight="1" spans="1:22" x14ac:dyDescent="0.25">
      <c r="A4648" s="17" t="s">
        <v>13435</v>
      </c>
      <c r="B4648" s="17" t="s">
        <v>70</v>
      </c>
      <c r="C4648" s="17" t="s">
        <v>71</v>
      </c>
      <c r="D4648" t="s">
        <v>13436</v>
      </c>
      <c r="F4648" t="s">
        <v>13437</v>
      </c>
      <c r="K4648" s="18">
        <f>628122111111</f>
        <v>628122111111</v>
      </c>
      <c r="N4648" s="17" t="s">
        <v>74</v>
      </c>
      <c r="V4648" s="18">
        <f>628122111111</f>
        <v>628122111111</v>
      </c>
    </row>
    <row r="4649" ht="15" customHeight="1" spans="1:22" x14ac:dyDescent="0.25">
      <c r="A4649" s="17" t="s">
        <v>13438</v>
      </c>
      <c r="B4649" s="17" t="s">
        <v>70</v>
      </c>
      <c r="C4649" s="17" t="s">
        <v>71</v>
      </c>
      <c r="D4649" t="s">
        <v>13439</v>
      </c>
      <c r="F4649" t="s">
        <v>13439</v>
      </c>
      <c r="K4649" s="18">
        <f>6281290366666</f>
        <v>6281290366666</v>
      </c>
      <c r="N4649" s="17" t="s">
        <v>81</v>
      </c>
      <c r="V4649" s="18">
        <f>6281290366666</f>
        <v>6281290366666</v>
      </c>
    </row>
    <row r="4650" ht="15" customHeight="1" spans="1:22" x14ac:dyDescent="0.25">
      <c r="A4650" s="17" t="s">
        <v>13440</v>
      </c>
      <c r="B4650" s="17" t="s">
        <v>70</v>
      </c>
      <c r="C4650" s="17" t="s">
        <v>71</v>
      </c>
      <c r="D4650" t="s">
        <v>13439</v>
      </c>
      <c r="F4650" t="s">
        <v>2736</v>
      </c>
      <c r="K4650" s="18">
        <f>6282112666860</f>
        <v>6282112666860</v>
      </c>
      <c r="N4650" s="17" t="s">
        <v>77</v>
      </c>
      <c r="V4650" s="18">
        <f>6282112666860</f>
        <v>6282112666860</v>
      </c>
    </row>
    <row r="4651" ht="15" customHeight="1" spans="1:22" x14ac:dyDescent="0.25">
      <c r="A4651" s="17" t="s">
        <v>13441</v>
      </c>
      <c r="B4651" s="17" t="s">
        <v>70</v>
      </c>
      <c r="C4651" s="17" t="s">
        <v>71</v>
      </c>
      <c r="D4651" t="s">
        <v>13442</v>
      </c>
      <c r="F4651" t="s">
        <v>13443</v>
      </c>
      <c r="K4651" s="18">
        <f>6281298631814</f>
        <v>6281298631814</v>
      </c>
      <c r="N4651" s="17" t="s">
        <v>77</v>
      </c>
      <c r="V4651" s="18">
        <f>6281298631814</f>
        <v>6281298631814</v>
      </c>
    </row>
    <row r="4652" ht="15" customHeight="1" spans="1:23" x14ac:dyDescent="0.25">
      <c r="A4652" s="17" t="s">
        <v>13444</v>
      </c>
      <c r="B4652" s="17" t="s">
        <v>70</v>
      </c>
      <c r="C4652" s="17" t="s">
        <v>71</v>
      </c>
      <c r="D4652" t="s">
        <v>13445</v>
      </c>
      <c r="F4652" t="s">
        <v>13446</v>
      </c>
      <c r="K4652" s="18">
        <f>628118818828</f>
        <v>628118818828</v>
      </c>
      <c r="N4652" s="17" t="s">
        <v>81</v>
      </c>
      <c r="U4652" s="17"/>
      <c r="V4652" s="18">
        <f>628118818828</f>
        <v>628118818828</v>
      </c>
      <c r="W4652" t="s">
        <v>13447</v>
      </c>
    </row>
    <row r="4653" ht="15" customHeight="1" spans="1:22" x14ac:dyDescent="0.25">
      <c r="A4653" s="17" t="s">
        <v>13448</v>
      </c>
      <c r="B4653" s="17" t="s">
        <v>70</v>
      </c>
      <c r="C4653" s="17" t="s">
        <v>71</v>
      </c>
      <c r="D4653" t="s">
        <v>13449</v>
      </c>
      <c r="F4653" t="s">
        <v>13450</v>
      </c>
      <c r="K4653" s="18">
        <f>6282133947772</f>
        <v>6282133947772</v>
      </c>
      <c r="N4653" s="17" t="s">
        <v>77</v>
      </c>
      <c r="V4653" s="18">
        <f>6282133947772</f>
        <v>6282133947772</v>
      </c>
    </row>
    <row r="4654" ht="15" customHeight="1" spans="1:22" x14ac:dyDescent="0.25">
      <c r="A4654" s="17" t="s">
        <v>13451</v>
      </c>
      <c r="B4654" s="17" t="s">
        <v>70</v>
      </c>
      <c r="C4654" s="17" t="s">
        <v>71</v>
      </c>
      <c r="D4654" t="s">
        <v>13452</v>
      </c>
      <c r="F4654" t="s">
        <v>13452</v>
      </c>
      <c r="K4654" s="18">
        <f>628133311111</f>
        <v>628133311111</v>
      </c>
      <c r="N4654" s="17" t="s">
        <v>81</v>
      </c>
      <c r="V4654" s="18">
        <f>628133311111</f>
        <v>628133311111</v>
      </c>
    </row>
    <row r="4655" ht="15" customHeight="1" spans="1:22" x14ac:dyDescent="0.25">
      <c r="A4655" s="17" t="s">
        <v>13453</v>
      </c>
      <c r="B4655" s="17" t="s">
        <v>70</v>
      </c>
      <c r="C4655" s="17" t="s">
        <v>71</v>
      </c>
      <c r="D4655" t="s">
        <v>13452</v>
      </c>
      <c r="F4655" t="s">
        <v>13452</v>
      </c>
      <c r="K4655" s="18">
        <f>6285710174174</f>
        <v>6285710174174</v>
      </c>
      <c r="N4655" s="17" t="s">
        <v>74</v>
      </c>
      <c r="V4655" s="18">
        <f>6285710174174</f>
        <v>6285710174174</v>
      </c>
    </row>
    <row r="4656" ht="15" customHeight="1" spans="1:23" x14ac:dyDescent="0.25">
      <c r="A4656" s="17" t="s">
        <v>13454</v>
      </c>
      <c r="B4656" s="17" t="s">
        <v>70</v>
      </c>
      <c r="C4656" s="17" t="s">
        <v>71</v>
      </c>
      <c r="D4656" t="s">
        <v>13452</v>
      </c>
      <c r="F4656" t="s">
        <v>13452</v>
      </c>
      <c r="J4656" s="17" t="s">
        <v>13455</v>
      </c>
      <c r="K4656" s="18">
        <f>6287722110555</f>
        <v>6287722110555</v>
      </c>
      <c r="N4656" s="17" t="s">
        <v>77</v>
      </c>
      <c r="U4656" s="17"/>
      <c r="V4656" s="18">
        <f>6287722110555</f>
        <v>6287722110555</v>
      </c>
      <c r="W4656" t="s">
        <v>13456</v>
      </c>
    </row>
    <row r="4657" ht="15" customHeight="1" spans="1:28" x14ac:dyDescent="0.25">
      <c r="A4657" s="17" t="s">
        <v>13457</v>
      </c>
      <c r="B4657" s="17" t="s">
        <v>70</v>
      </c>
      <c r="C4657" s="17" t="s">
        <v>71</v>
      </c>
      <c r="D4657" t="s">
        <v>13452</v>
      </c>
      <c r="F4657" t="s">
        <v>13452</v>
      </c>
      <c r="J4657" t="s">
        <v>115</v>
      </c>
      <c r="K4657" s="18" t="s">
        <v>13458</v>
      </c>
      <c r="N4657" s="17" t="s">
        <v>77</v>
      </c>
      <c r="O4657" t="s">
        <v>117</v>
      </c>
      <c r="U4657" s="17"/>
      <c r="V4657" s="18" t="s">
        <v>13458</v>
      </c>
      <c r="W4657" t="s">
        <v>13459</v>
      </c>
      <c r="Y4657" t="s">
        <v>190</v>
      </c>
      <c r="AA4657" t="s">
        <v>118</v>
      </c>
      <c r="AB4657" t="s">
        <v>119</v>
      </c>
    </row>
    <row r="4658" ht="15" customHeight="1" spans="1:23" x14ac:dyDescent="0.25">
      <c r="A4658" s="17" t="s">
        <v>13460</v>
      </c>
      <c r="B4658" s="17" t="s">
        <v>70</v>
      </c>
      <c r="C4658" s="17" t="s">
        <v>71</v>
      </c>
      <c r="D4658" t="s">
        <v>13452</v>
      </c>
      <c r="F4658" t="s">
        <v>3190</v>
      </c>
      <c r="K4658" s="18">
        <f>6282123232355</f>
        <v>6282123232355</v>
      </c>
      <c r="N4658" s="17" t="s">
        <v>81</v>
      </c>
      <c r="U4658" s="17"/>
      <c r="V4658" s="18">
        <f>6282123232355</f>
        <v>6282123232355</v>
      </c>
      <c r="W4658" t="s">
        <v>13461</v>
      </c>
    </row>
    <row r="4659" ht="15" customHeight="1" spans="1:23" x14ac:dyDescent="0.25">
      <c r="A4659" s="17" t="s">
        <v>13462</v>
      </c>
      <c r="B4659" s="17" t="s">
        <v>70</v>
      </c>
      <c r="C4659" s="17" t="s">
        <v>71</v>
      </c>
      <c r="D4659" t="s">
        <v>13452</v>
      </c>
      <c r="F4659" t="s">
        <v>3236</v>
      </c>
      <c r="J4659" s="17" t="s">
        <v>13463</v>
      </c>
      <c r="K4659" s="18">
        <f>628119988797</f>
        <v>628119988797</v>
      </c>
      <c r="N4659" s="17" t="s">
        <v>77</v>
      </c>
      <c r="U4659" s="17"/>
      <c r="V4659" s="18">
        <f>628119988797</f>
        <v>628119988797</v>
      </c>
      <c r="W4659" t="s">
        <v>13464</v>
      </c>
    </row>
    <row r="4660" ht="15" customHeight="1" spans="1:28" x14ac:dyDescent="0.25">
      <c r="A4660" s="17" t="s">
        <v>13465</v>
      </c>
      <c r="B4660" s="17" t="s">
        <v>70</v>
      </c>
      <c r="C4660" s="17" t="s">
        <v>71</v>
      </c>
      <c r="D4660" t="s">
        <v>13452</v>
      </c>
      <c r="F4660" t="s">
        <v>2159</v>
      </c>
      <c r="J4660" t="s">
        <v>115</v>
      </c>
      <c r="K4660" s="18" t="s">
        <v>13466</v>
      </c>
      <c r="N4660" s="17" t="s">
        <v>77</v>
      </c>
      <c r="O4660" t="s">
        <v>117</v>
      </c>
      <c r="V4660" s="18" t="s">
        <v>13466</v>
      </c>
      <c r="Y4660" t="s">
        <v>8029</v>
      </c>
      <c r="AA4660" t="s">
        <v>115</v>
      </c>
      <c r="AB4660" t="s">
        <v>119</v>
      </c>
    </row>
    <row r="4661" ht="15" customHeight="1" spans="1:28" x14ac:dyDescent="0.25">
      <c r="A4661" s="17" t="s">
        <v>13467</v>
      </c>
      <c r="B4661" s="17" t="s">
        <v>70</v>
      </c>
      <c r="C4661" s="17" t="s">
        <v>71</v>
      </c>
      <c r="D4661" t="s">
        <v>13452</v>
      </c>
      <c r="F4661" t="s">
        <v>7252</v>
      </c>
      <c r="J4661" s="17" t="s">
        <v>13468</v>
      </c>
      <c r="K4661" s="18" t="s">
        <v>13469</v>
      </c>
      <c r="N4661" s="17" t="s">
        <v>77</v>
      </c>
      <c r="O4661" t="s">
        <v>145</v>
      </c>
      <c r="V4661" s="18" t="s">
        <v>13469</v>
      </c>
      <c r="Y4661" t="s">
        <v>190</v>
      </c>
      <c r="AA4661" t="s">
        <v>118</v>
      </c>
      <c r="AB4661" t="s">
        <v>119</v>
      </c>
    </row>
    <row r="4662" ht="15" customHeight="1" spans="1:22" x14ac:dyDescent="0.25">
      <c r="A4662" s="17" t="s">
        <v>13470</v>
      </c>
      <c r="B4662" s="17" t="s">
        <v>70</v>
      </c>
      <c r="C4662" s="17" t="s">
        <v>71</v>
      </c>
      <c r="D4662" t="s">
        <v>13452</v>
      </c>
      <c r="F4662" t="s">
        <v>7980</v>
      </c>
      <c r="K4662" s="18">
        <f>6281802122323</f>
        <v>6281802122323</v>
      </c>
      <c r="N4662" s="17" t="s">
        <v>81</v>
      </c>
      <c r="V4662" s="18">
        <f>6281802122323</f>
        <v>6281802122323</v>
      </c>
    </row>
    <row r="4663" ht="15" customHeight="1" spans="1:25" x14ac:dyDescent="0.25">
      <c r="A4663" s="17" t="s">
        <v>13471</v>
      </c>
      <c r="B4663" s="17" t="s">
        <v>70</v>
      </c>
      <c r="C4663" s="17" t="s">
        <v>71</v>
      </c>
      <c r="D4663" t="s">
        <v>13452</v>
      </c>
      <c r="F4663" t="s">
        <v>13174</v>
      </c>
      <c r="K4663" s="18">
        <f>6285716181167</f>
        <v>6285716181167</v>
      </c>
      <c r="N4663" s="17" t="s">
        <v>77</v>
      </c>
      <c r="U4663" s="17"/>
      <c r="V4663" s="18">
        <f>6285716181167</f>
        <v>6285716181167</v>
      </c>
      <c r="W4663" t="s">
        <v>13472</v>
      </c>
      <c r="Y4663" s="17" t="s">
        <v>378</v>
      </c>
    </row>
    <row r="4664" ht="15" customHeight="1" spans="1:28" x14ac:dyDescent="0.25">
      <c r="A4664" s="17" t="s">
        <v>13473</v>
      </c>
      <c r="B4664" s="17" t="s">
        <v>70</v>
      </c>
      <c r="C4664" s="17" t="s">
        <v>71</v>
      </c>
      <c r="D4664" t="s">
        <v>13452</v>
      </c>
      <c r="F4664" t="s">
        <v>13474</v>
      </c>
      <c r="J4664" t="s">
        <v>115</v>
      </c>
      <c r="K4664" s="18" t="s">
        <v>13475</v>
      </c>
      <c r="N4664" s="17" t="s">
        <v>77</v>
      </c>
      <c r="O4664" t="s">
        <v>489</v>
      </c>
      <c r="U4664" s="17"/>
      <c r="V4664" s="18" t="s">
        <v>13475</v>
      </c>
      <c r="W4664" t="s">
        <v>13476</v>
      </c>
      <c r="Y4664" t="s">
        <v>190</v>
      </c>
      <c r="AA4664" t="s">
        <v>118</v>
      </c>
      <c r="AB4664" t="s">
        <v>119</v>
      </c>
    </row>
    <row r="4665" ht="15" customHeight="1" spans="1:28" x14ac:dyDescent="0.25">
      <c r="A4665" s="17" t="s">
        <v>13477</v>
      </c>
      <c r="B4665" s="17" t="s">
        <v>70</v>
      </c>
      <c r="C4665" s="17" t="s">
        <v>71</v>
      </c>
      <c r="D4665" t="s">
        <v>13478</v>
      </c>
      <c r="F4665" t="s">
        <v>282</v>
      </c>
      <c r="J4665" t="s">
        <v>13479</v>
      </c>
      <c r="K4665" s="18" t="s">
        <v>13480</v>
      </c>
      <c r="N4665" s="17" t="s">
        <v>77</v>
      </c>
      <c r="O4665" t="s">
        <v>117</v>
      </c>
      <c r="V4665" s="18" t="s">
        <v>13480</v>
      </c>
      <c r="Y4665" t="s">
        <v>891</v>
      </c>
      <c r="AA4665" t="s">
        <v>623</v>
      </c>
      <c r="AB4665" t="s">
        <v>119</v>
      </c>
    </row>
    <row r="4666" ht="15" customHeight="1" spans="1:22" x14ac:dyDescent="0.25">
      <c r="A4666" s="17" t="s">
        <v>13481</v>
      </c>
      <c r="B4666" s="17" t="s">
        <v>70</v>
      </c>
      <c r="C4666" s="17" t="s">
        <v>71</v>
      </c>
      <c r="D4666" t="s">
        <v>13452</v>
      </c>
      <c r="F4666" t="s">
        <v>13482</v>
      </c>
      <c r="K4666" s="18">
        <f>628118899918</f>
        <v>628118899918</v>
      </c>
      <c r="N4666" s="17" t="s">
        <v>77</v>
      </c>
      <c r="V4666" s="18">
        <f>628118899918</f>
        <v>628118899918</v>
      </c>
    </row>
    <row r="4667" ht="15" customHeight="1" spans="1:28" x14ac:dyDescent="0.25">
      <c r="A4667" s="17" t="s">
        <v>13483</v>
      </c>
      <c r="B4667" s="17" t="s">
        <v>70</v>
      </c>
      <c r="C4667" s="17" t="s">
        <v>71</v>
      </c>
      <c r="D4667" t="s">
        <v>13452</v>
      </c>
      <c r="F4667" t="s">
        <v>3585</v>
      </c>
      <c r="J4667" t="s">
        <v>115</v>
      </c>
      <c r="K4667" s="18" t="s">
        <v>13484</v>
      </c>
      <c r="N4667" s="17" t="s">
        <v>77</v>
      </c>
      <c r="O4667" t="s">
        <v>117</v>
      </c>
      <c r="U4667" s="17"/>
      <c r="V4667" s="18" t="s">
        <v>13484</v>
      </c>
      <c r="W4667" t="s">
        <v>13485</v>
      </c>
      <c r="Y4667" t="s">
        <v>1084</v>
      </c>
      <c r="AA4667" t="s">
        <v>3146</v>
      </c>
      <c r="AB4667" t="s">
        <v>119</v>
      </c>
    </row>
    <row r="4668" ht="15" customHeight="1" spans="1:22" x14ac:dyDescent="0.25">
      <c r="A4668" s="17" t="s">
        <v>13486</v>
      </c>
      <c r="B4668" s="17" t="s">
        <v>70</v>
      </c>
      <c r="C4668" s="17" t="s">
        <v>71</v>
      </c>
      <c r="D4668" t="s">
        <v>13452</v>
      </c>
      <c r="F4668" t="s">
        <v>13487</v>
      </c>
      <c r="K4668" s="18">
        <f>62816917734</f>
        <v>62816917734</v>
      </c>
      <c r="N4668" s="17" t="s">
        <v>81</v>
      </c>
      <c r="V4668" s="18">
        <f>62816917734</f>
        <v>62816917734</v>
      </c>
    </row>
    <row r="4669" ht="15" customHeight="1" spans="1:28" x14ac:dyDescent="0.25">
      <c r="A4669" s="17" t="s">
        <v>13488</v>
      </c>
      <c r="B4669" s="17" t="s">
        <v>70</v>
      </c>
      <c r="C4669" s="17" t="s">
        <v>71</v>
      </c>
      <c r="D4669" t="s">
        <v>13452</v>
      </c>
      <c r="F4669" t="s">
        <v>1169</v>
      </c>
      <c r="J4669" t="s">
        <v>115</v>
      </c>
      <c r="K4669" s="18" t="s">
        <v>13489</v>
      </c>
      <c r="N4669" s="17" t="s">
        <v>77</v>
      </c>
      <c r="O4669" t="s">
        <v>199</v>
      </c>
      <c r="V4669" s="18" t="s">
        <v>13489</v>
      </c>
      <c r="Y4669" t="s">
        <v>90</v>
      </c>
      <c r="AA4669" t="s">
        <v>118</v>
      </c>
      <c r="AB4669" t="s">
        <v>119</v>
      </c>
    </row>
    <row r="4670" ht="15" customHeight="1" spans="1:22" x14ac:dyDescent="0.25">
      <c r="A4670" s="17" t="s">
        <v>13490</v>
      </c>
      <c r="B4670" s="17" t="s">
        <v>70</v>
      </c>
      <c r="C4670" s="17" t="s">
        <v>71</v>
      </c>
      <c r="D4670" t="s">
        <v>13452</v>
      </c>
      <c r="F4670" t="s">
        <v>2785</v>
      </c>
      <c r="K4670" s="18">
        <f>6287881377888</f>
        <v>6287881377888</v>
      </c>
      <c r="N4670" s="17" t="s">
        <v>77</v>
      </c>
      <c r="V4670" s="18">
        <f>6287881377888</f>
        <v>6287881377888</v>
      </c>
    </row>
    <row r="4671" ht="15" customHeight="1" spans="1:23" x14ac:dyDescent="0.25">
      <c r="A4671" s="17" t="s">
        <v>13491</v>
      </c>
      <c r="B4671" s="17" t="s">
        <v>70</v>
      </c>
      <c r="C4671" s="17" t="s">
        <v>71</v>
      </c>
      <c r="D4671" t="s">
        <v>13492</v>
      </c>
      <c r="F4671" t="s">
        <v>6196</v>
      </c>
      <c r="K4671" s="18">
        <f>1514984445</f>
        <v>1514984445</v>
      </c>
      <c r="N4671" s="17" t="s">
        <v>77</v>
      </c>
      <c r="U4671" s="17"/>
      <c r="V4671" s="18">
        <f>1514984445</f>
        <v>1514984445</v>
      </c>
      <c r="W4671" t="s">
        <v>5542</v>
      </c>
    </row>
    <row r="4672" ht="15" customHeight="1" spans="1:22" x14ac:dyDescent="0.25">
      <c r="A4672" s="17" t="s">
        <v>13493</v>
      </c>
      <c r="B4672" s="17" t="s">
        <v>70</v>
      </c>
      <c r="C4672" s="17" t="s">
        <v>71</v>
      </c>
      <c r="D4672" t="s">
        <v>13494</v>
      </c>
      <c r="F4672" t="s">
        <v>13494</v>
      </c>
      <c r="K4672" s="18">
        <f>6281287716263</f>
        <v>6281287716263</v>
      </c>
      <c r="N4672" s="17" t="s">
        <v>81</v>
      </c>
      <c r="V4672" s="18">
        <f>6281287716263</f>
        <v>6281287716263</v>
      </c>
    </row>
    <row r="4673" ht="15" customHeight="1" spans="1:22" x14ac:dyDescent="0.25">
      <c r="A4673" s="17" t="s">
        <v>13495</v>
      </c>
      <c r="B4673" s="17" t="s">
        <v>70</v>
      </c>
      <c r="C4673" s="17" t="s">
        <v>71</v>
      </c>
      <c r="D4673" t="s">
        <v>13494</v>
      </c>
      <c r="F4673" t="s">
        <v>13494</v>
      </c>
      <c r="K4673" s="18">
        <f>6281380035698</f>
        <v>6281380035698</v>
      </c>
      <c r="N4673" s="17" t="s">
        <v>74</v>
      </c>
      <c r="V4673" s="18">
        <f>6281380035698</f>
        <v>6281380035698</v>
      </c>
    </row>
    <row r="4674" ht="15" customHeight="1" spans="1:22" x14ac:dyDescent="0.25">
      <c r="A4674" s="17" t="s">
        <v>13496</v>
      </c>
      <c r="B4674" s="17" t="s">
        <v>70</v>
      </c>
      <c r="C4674" s="17" t="s">
        <v>71</v>
      </c>
      <c r="D4674" t="s">
        <v>13494</v>
      </c>
      <c r="F4674" t="s">
        <v>13497</v>
      </c>
      <c r="K4674" s="18">
        <f>628118587788</f>
        <v>628118587788</v>
      </c>
      <c r="N4674" s="17" t="s">
        <v>77</v>
      </c>
      <c r="V4674" s="18">
        <f>628118587788</f>
        <v>628118587788</v>
      </c>
    </row>
    <row r="4675" ht="15" customHeight="1" spans="1:23" x14ac:dyDescent="0.25">
      <c r="A4675" s="17" t="s">
        <v>13498</v>
      </c>
      <c r="B4675" s="17" t="s">
        <v>70</v>
      </c>
      <c r="C4675" s="17" t="s">
        <v>71</v>
      </c>
      <c r="D4675" t="s">
        <v>13499</v>
      </c>
      <c r="F4675" t="s">
        <v>13499</v>
      </c>
      <c r="K4675" s="18">
        <f>6282393932726</f>
        <v>6282393932726</v>
      </c>
      <c r="N4675" s="17" t="s">
        <v>77</v>
      </c>
      <c r="U4675" s="17"/>
      <c r="V4675" s="18">
        <f>6282393932726</f>
        <v>6282393932726</v>
      </c>
      <c r="W4675" t="s">
        <v>13500</v>
      </c>
    </row>
    <row r="4676" ht="15" customHeight="1" spans="1:28" x14ac:dyDescent="0.25">
      <c r="A4676" s="17" t="s">
        <v>13501</v>
      </c>
      <c r="B4676" s="17" t="s">
        <v>70</v>
      </c>
      <c r="C4676" s="17" t="s">
        <v>71</v>
      </c>
      <c r="D4676" t="s">
        <v>13499</v>
      </c>
      <c r="F4676" t="s">
        <v>13502</v>
      </c>
      <c r="J4676" t="s">
        <v>115</v>
      </c>
      <c r="K4676" s="18" t="s">
        <v>13503</v>
      </c>
      <c r="N4676" s="17" t="s">
        <v>74</v>
      </c>
      <c r="O4676" t="s">
        <v>117</v>
      </c>
      <c r="V4676" s="18" t="s">
        <v>13503</v>
      </c>
      <c r="Y4676" t="s">
        <v>190</v>
      </c>
      <c r="AA4676" t="s">
        <v>118</v>
      </c>
      <c r="AB4676" t="s">
        <v>119</v>
      </c>
    </row>
    <row r="4677" ht="15" customHeight="1" spans="1:25" x14ac:dyDescent="0.25">
      <c r="A4677" s="17" t="s">
        <v>13504</v>
      </c>
      <c r="B4677" s="17" t="s">
        <v>70</v>
      </c>
      <c r="C4677" s="17" t="s">
        <v>71</v>
      </c>
      <c r="D4677" t="s">
        <v>13499</v>
      </c>
      <c r="F4677" t="s">
        <v>12459</v>
      </c>
      <c r="K4677" s="18">
        <f>628161625000</f>
        <v>628161625000</v>
      </c>
      <c r="N4677" s="17" t="s">
        <v>77</v>
      </c>
      <c r="U4677" s="17"/>
      <c r="V4677" s="18">
        <f>628161625000</f>
        <v>628161625000</v>
      </c>
      <c r="W4677" t="s">
        <v>13505</v>
      </c>
      <c r="Y4677" s="17" t="s">
        <v>96</v>
      </c>
    </row>
    <row r="4678" ht="15" customHeight="1" spans="1:22" x14ac:dyDescent="0.25">
      <c r="A4678" s="17" t="s">
        <v>13506</v>
      </c>
      <c r="B4678" s="17" t="s">
        <v>70</v>
      </c>
      <c r="C4678" s="17" t="s">
        <v>71</v>
      </c>
      <c r="D4678" t="s">
        <v>13499</v>
      </c>
      <c r="F4678" t="s">
        <v>13507</v>
      </c>
      <c r="K4678" s="18">
        <f>6281316453494</f>
        <v>6281316453494</v>
      </c>
      <c r="N4678" s="17" t="s">
        <v>81</v>
      </c>
      <c r="V4678" s="18">
        <f>6281316453494</f>
        <v>6281316453494</v>
      </c>
    </row>
    <row r="4679" ht="15" customHeight="1" spans="1:28" x14ac:dyDescent="0.25">
      <c r="A4679" s="17" t="s">
        <v>13508</v>
      </c>
      <c r="B4679" s="17" t="s">
        <v>70</v>
      </c>
      <c r="C4679" s="17" t="s">
        <v>71</v>
      </c>
      <c r="D4679" t="s">
        <v>13509</v>
      </c>
      <c r="F4679" t="s">
        <v>13510</v>
      </c>
      <c r="J4679" t="s">
        <v>115</v>
      </c>
      <c r="K4679" s="18" t="s">
        <v>13511</v>
      </c>
      <c r="N4679" s="17" t="s">
        <v>77</v>
      </c>
      <c r="O4679" t="s">
        <v>117</v>
      </c>
      <c r="U4679" s="17"/>
      <c r="V4679" s="18" t="s">
        <v>13511</v>
      </c>
      <c r="W4679" t="s">
        <v>13512</v>
      </c>
      <c r="Y4679" s="17" t="s">
        <v>397</v>
      </c>
      <c r="AA4679" t="s">
        <v>1199</v>
      </c>
      <c r="AB4679" t="s">
        <v>119</v>
      </c>
    </row>
    <row r="4680" ht="15" customHeight="1" spans="1:22" x14ac:dyDescent="0.25">
      <c r="A4680" s="17" t="s">
        <v>13513</v>
      </c>
      <c r="B4680" s="17" t="s">
        <v>70</v>
      </c>
      <c r="C4680" s="17" t="s">
        <v>71</v>
      </c>
      <c r="D4680" t="s">
        <v>13514</v>
      </c>
      <c r="F4680" t="s">
        <v>13515</v>
      </c>
      <c r="K4680" s="18">
        <f>62811472524</f>
        <v>62811472524</v>
      </c>
      <c r="N4680" s="17" t="s">
        <v>77</v>
      </c>
      <c r="V4680" s="18">
        <f>62811472524</f>
        <v>62811472524</v>
      </c>
    </row>
    <row r="4681" ht="15" customHeight="1" spans="1:23" x14ac:dyDescent="0.25">
      <c r="A4681" s="17" t="s">
        <v>13516</v>
      </c>
      <c r="B4681" s="17" t="s">
        <v>70</v>
      </c>
      <c r="C4681" s="17" t="s">
        <v>71</v>
      </c>
      <c r="D4681" t="s">
        <v>13517</v>
      </c>
      <c r="F4681" t="s">
        <v>13517</v>
      </c>
      <c r="K4681" s="18">
        <f>6282111777799</f>
        <v>6282111777799</v>
      </c>
      <c r="N4681" s="17" t="s">
        <v>77</v>
      </c>
      <c r="U4681" s="17"/>
      <c r="V4681" s="18">
        <f>6282111777799</f>
        <v>6282111777799</v>
      </c>
      <c r="W4681" t="s">
        <v>13518</v>
      </c>
    </row>
    <row r="4682" ht="15" customHeight="1" spans="1:22" x14ac:dyDescent="0.25">
      <c r="A4682" s="17" t="s">
        <v>13519</v>
      </c>
      <c r="B4682" s="17" t="s">
        <v>70</v>
      </c>
      <c r="C4682" s="17" t="s">
        <v>71</v>
      </c>
      <c r="D4682" t="s">
        <v>13517</v>
      </c>
      <c r="F4682" t="s">
        <v>13517</v>
      </c>
      <c r="K4682" s="18">
        <f>628151898118</f>
        <v>628151898118</v>
      </c>
      <c r="N4682" s="17" t="s">
        <v>77</v>
      </c>
      <c r="V4682" s="18">
        <f>628151898118</f>
        <v>628151898118</v>
      </c>
    </row>
    <row r="4683" ht="15" customHeight="1" spans="1:23" x14ac:dyDescent="0.25">
      <c r="A4683" s="17" t="s">
        <v>13520</v>
      </c>
      <c r="B4683" s="17" t="s">
        <v>70</v>
      </c>
      <c r="C4683" s="17" t="s">
        <v>71</v>
      </c>
      <c r="D4683" t="s">
        <v>13517</v>
      </c>
      <c r="F4683" t="s">
        <v>13521</v>
      </c>
      <c r="K4683" s="18">
        <f>628129200981</f>
        <v>628129200981</v>
      </c>
      <c r="N4683" s="17" t="s">
        <v>77</v>
      </c>
      <c r="U4683" s="17"/>
      <c r="V4683" s="18">
        <f>628129200981</f>
        <v>628129200981</v>
      </c>
      <c r="W4683" t="s">
        <v>13522</v>
      </c>
    </row>
    <row r="4684" ht="15" customHeight="1" spans="1:28" x14ac:dyDescent="0.25">
      <c r="A4684" s="17" t="s">
        <v>13523</v>
      </c>
      <c r="B4684" s="17" t="s">
        <v>70</v>
      </c>
      <c r="C4684" s="17" t="s">
        <v>71</v>
      </c>
      <c r="D4684" t="s">
        <v>13517</v>
      </c>
      <c r="F4684" t="s">
        <v>13524</v>
      </c>
      <c r="J4684" t="s">
        <v>115</v>
      </c>
      <c r="K4684" s="18" t="s">
        <v>13525</v>
      </c>
      <c r="N4684" s="17" t="s">
        <v>77</v>
      </c>
      <c r="O4684" t="s">
        <v>117</v>
      </c>
      <c r="V4684" s="18" t="s">
        <v>13525</v>
      </c>
      <c r="Y4684" t="s">
        <v>90</v>
      </c>
      <c r="AA4684" t="s">
        <v>118</v>
      </c>
      <c r="AB4684" t="s">
        <v>119</v>
      </c>
    </row>
    <row r="4685" ht="15" customHeight="1" spans="1:27" x14ac:dyDescent="0.25">
      <c r="A4685" s="17" t="s">
        <v>13526</v>
      </c>
      <c r="B4685" s="17" t="s">
        <v>70</v>
      </c>
      <c r="C4685" s="17" t="s">
        <v>71</v>
      </c>
      <c r="D4685" t="s">
        <v>13517</v>
      </c>
      <c r="F4685" t="s">
        <v>8225</v>
      </c>
      <c r="K4685" s="18">
        <f>628179149889</f>
        <v>628179149889</v>
      </c>
      <c r="N4685" s="17" t="s">
        <v>74</v>
      </c>
      <c r="U4685" s="17"/>
      <c r="V4685" s="18">
        <f>628179149889</f>
        <v>628179149889</v>
      </c>
      <c r="W4685" t="s">
        <v>13527</v>
      </c>
      <c r="AA4685" s="17" t="s">
        <v>13528</v>
      </c>
    </row>
    <row r="4686" ht="15" customHeight="1" spans="1:22" x14ac:dyDescent="0.25">
      <c r="A4686" s="17" t="s">
        <v>13529</v>
      </c>
      <c r="B4686" s="17" t="s">
        <v>70</v>
      </c>
      <c r="C4686" s="17" t="s">
        <v>71</v>
      </c>
      <c r="D4686" t="s">
        <v>13517</v>
      </c>
      <c r="F4686" t="s">
        <v>3176</v>
      </c>
      <c r="K4686" s="18">
        <f>628119177676</f>
        <v>628119177676</v>
      </c>
      <c r="N4686" s="17" t="s">
        <v>81</v>
      </c>
      <c r="V4686" s="18">
        <f>628119177676</f>
        <v>628119177676</v>
      </c>
    </row>
    <row r="4687" ht="15" customHeight="1" spans="1:22" x14ac:dyDescent="0.25">
      <c r="A4687" s="17" t="s">
        <v>13530</v>
      </c>
      <c r="B4687" s="17" t="s">
        <v>70</v>
      </c>
      <c r="C4687" s="17" t="s">
        <v>71</v>
      </c>
      <c r="D4687" t="s">
        <v>13517</v>
      </c>
      <c r="F4687" t="s">
        <v>13531</v>
      </c>
      <c r="K4687" s="18">
        <f>62813222222</f>
        <v>62813222222</v>
      </c>
      <c r="N4687" s="17" t="s">
        <v>81</v>
      </c>
      <c r="V4687" s="18">
        <f>62813222222</f>
        <v>62813222222</v>
      </c>
    </row>
    <row r="4688" ht="15" customHeight="1" spans="1:23" x14ac:dyDescent="0.25">
      <c r="A4688" s="17" t="s">
        <v>13532</v>
      </c>
      <c r="B4688" s="17" t="s">
        <v>70</v>
      </c>
      <c r="C4688" s="17" t="s">
        <v>71</v>
      </c>
      <c r="D4688" t="s">
        <v>13517</v>
      </c>
      <c r="F4688" t="s">
        <v>13531</v>
      </c>
      <c r="K4688" s="18">
        <f>6281297848987</f>
        <v>6281297848987</v>
      </c>
      <c r="N4688" s="17" t="s">
        <v>74</v>
      </c>
      <c r="U4688" s="17"/>
      <c r="V4688" s="18">
        <f>6281297848987</f>
        <v>6281297848987</v>
      </c>
      <c r="W4688" t="s">
        <v>13533</v>
      </c>
    </row>
    <row r="4689" ht="15" customHeight="1" spans="1:28" x14ac:dyDescent="0.25">
      <c r="A4689" s="17" t="s">
        <v>13534</v>
      </c>
      <c r="B4689" s="17" t="s">
        <v>70</v>
      </c>
      <c r="C4689" s="17" t="s">
        <v>71</v>
      </c>
      <c r="D4689" t="s">
        <v>13517</v>
      </c>
      <c r="F4689" t="s">
        <v>13535</v>
      </c>
      <c r="J4689" t="s">
        <v>115</v>
      </c>
      <c r="K4689" s="18" t="s">
        <v>13536</v>
      </c>
      <c r="N4689" s="17" t="s">
        <v>77</v>
      </c>
      <c r="O4689" t="s">
        <v>145</v>
      </c>
      <c r="V4689" s="18" t="s">
        <v>13536</v>
      </c>
      <c r="Y4689" t="s">
        <v>90</v>
      </c>
      <c r="AA4689" t="s">
        <v>118</v>
      </c>
      <c r="AB4689" t="s">
        <v>119</v>
      </c>
    </row>
    <row r="4690" ht="15" customHeight="1" spans="1:22" x14ac:dyDescent="0.25">
      <c r="A4690" s="17" t="s">
        <v>13537</v>
      </c>
      <c r="B4690" s="17" t="s">
        <v>70</v>
      </c>
      <c r="C4690" s="17" t="s">
        <v>71</v>
      </c>
      <c r="D4690" t="s">
        <v>13517</v>
      </c>
      <c r="F4690" t="s">
        <v>13538</v>
      </c>
      <c r="K4690" s="18">
        <f>6281357777877</f>
        <v>6281357777877</v>
      </c>
      <c r="N4690" s="17" t="s">
        <v>77</v>
      </c>
      <c r="V4690" s="18">
        <f>6281357777877</f>
        <v>6281357777877</v>
      </c>
    </row>
    <row r="4691" ht="15" customHeight="1" spans="1:28" x14ac:dyDescent="0.25">
      <c r="A4691" s="17" t="s">
        <v>13539</v>
      </c>
      <c r="B4691" s="17" t="s">
        <v>70</v>
      </c>
      <c r="C4691" s="17" t="s">
        <v>71</v>
      </c>
      <c r="D4691" t="s">
        <v>13517</v>
      </c>
      <c r="F4691" t="s">
        <v>11765</v>
      </c>
      <c r="J4691" s="17" t="s">
        <v>13540</v>
      </c>
      <c r="K4691" s="18" t="s">
        <v>13541</v>
      </c>
      <c r="N4691" s="17" t="s">
        <v>77</v>
      </c>
      <c r="O4691" t="s">
        <v>117</v>
      </c>
      <c r="U4691" s="17"/>
      <c r="V4691" s="18" t="s">
        <v>13541</v>
      </c>
      <c r="W4691" t="s">
        <v>13542</v>
      </c>
      <c r="Y4691" s="17" t="s">
        <v>96</v>
      </c>
      <c r="AA4691" s="17" t="s">
        <v>693</v>
      </c>
      <c r="AB4691" t="s">
        <v>119</v>
      </c>
    </row>
    <row r="4692" ht="15" customHeight="1" spans="1:28" x14ac:dyDescent="0.25">
      <c r="A4692" s="17" t="s">
        <v>13543</v>
      </c>
      <c r="B4692" s="17" t="s">
        <v>70</v>
      </c>
      <c r="C4692" s="17" t="s">
        <v>71</v>
      </c>
      <c r="D4692" t="s">
        <v>13544</v>
      </c>
      <c r="F4692" t="s">
        <v>13544</v>
      </c>
      <c r="J4692" s="17" t="s">
        <v>13545</v>
      </c>
      <c r="K4692" s="18" t="s">
        <v>13546</v>
      </c>
      <c r="N4692" s="17" t="s">
        <v>77</v>
      </c>
      <c r="O4692" t="s">
        <v>199</v>
      </c>
      <c r="U4692" s="17"/>
      <c r="V4692" s="18" t="s">
        <v>13546</v>
      </c>
      <c r="W4692" t="s">
        <v>13547</v>
      </c>
      <c r="Y4692" t="s">
        <v>622</v>
      </c>
      <c r="AA4692" t="s">
        <v>623</v>
      </c>
      <c r="AB4692" t="s">
        <v>119</v>
      </c>
    </row>
    <row r="4693" ht="15" customHeight="1" spans="1:28" x14ac:dyDescent="0.25">
      <c r="A4693" s="17" t="s">
        <v>13548</v>
      </c>
      <c r="B4693" s="17" t="s">
        <v>70</v>
      </c>
      <c r="C4693" s="17" t="s">
        <v>71</v>
      </c>
      <c r="D4693" t="s">
        <v>13549</v>
      </c>
      <c r="F4693" t="s">
        <v>13550</v>
      </c>
      <c r="J4693" t="s">
        <v>115</v>
      </c>
      <c r="K4693" s="18" t="s">
        <v>13551</v>
      </c>
      <c r="N4693" s="17" t="s">
        <v>74</v>
      </c>
      <c r="O4693" t="s">
        <v>145</v>
      </c>
      <c r="V4693" s="18" t="s">
        <v>13551</v>
      </c>
      <c r="Y4693" t="s">
        <v>90</v>
      </c>
      <c r="AA4693" t="s">
        <v>118</v>
      </c>
      <c r="AB4693" t="s">
        <v>119</v>
      </c>
    </row>
    <row r="4694" ht="15" customHeight="1" spans="1:23" x14ac:dyDescent="0.25">
      <c r="A4694" s="17" t="s">
        <v>13552</v>
      </c>
      <c r="B4694" s="17" t="s">
        <v>70</v>
      </c>
      <c r="C4694" s="17" t="s">
        <v>71</v>
      </c>
      <c r="D4694" t="s">
        <v>371</v>
      </c>
      <c r="F4694" t="s">
        <v>186</v>
      </c>
      <c r="K4694" s="18">
        <f>628111092911</f>
        <v>628111092911</v>
      </c>
      <c r="N4694" s="17" t="s">
        <v>77</v>
      </c>
      <c r="U4694" s="17"/>
      <c r="V4694" s="18">
        <f>628111092911</f>
        <v>628111092911</v>
      </c>
      <c r="W4694" t="s">
        <v>13553</v>
      </c>
    </row>
    <row r="4695" ht="15" customHeight="1" spans="1:25" x14ac:dyDescent="0.25">
      <c r="A4695" s="17" t="s">
        <v>13554</v>
      </c>
      <c r="B4695" s="17" t="s">
        <v>70</v>
      </c>
      <c r="C4695" s="17" t="s">
        <v>71</v>
      </c>
      <c r="D4695" t="s">
        <v>371</v>
      </c>
      <c r="F4695" t="s">
        <v>186</v>
      </c>
      <c r="K4695" s="18">
        <f>62811962678</f>
        <v>62811962678</v>
      </c>
      <c r="N4695" s="17" t="s">
        <v>77</v>
      </c>
      <c r="U4695" s="17"/>
      <c r="V4695" s="18">
        <f>62811962678</f>
        <v>62811962678</v>
      </c>
      <c r="W4695" t="s">
        <v>13555</v>
      </c>
      <c r="Y4695" s="17" t="s">
        <v>378</v>
      </c>
    </row>
    <row r="4696" ht="15" customHeight="1" spans="1:22" x14ac:dyDescent="0.25">
      <c r="A4696" s="17" t="s">
        <v>13556</v>
      </c>
      <c r="B4696" s="17" t="s">
        <v>70</v>
      </c>
      <c r="C4696" s="17" t="s">
        <v>71</v>
      </c>
      <c r="D4696" t="s">
        <v>13557</v>
      </c>
      <c r="F4696" t="s">
        <v>13557</v>
      </c>
      <c r="K4696" s="18">
        <f>6281380088803</f>
        <v>6281380088803</v>
      </c>
      <c r="N4696" s="17" t="s">
        <v>77</v>
      </c>
      <c r="V4696" s="18">
        <f>6281380088803</f>
        <v>6281380088803</v>
      </c>
    </row>
    <row r="4697" ht="15" customHeight="1" spans="1:28" x14ac:dyDescent="0.25">
      <c r="A4697" s="17" t="s">
        <v>13558</v>
      </c>
      <c r="B4697" s="17" t="s">
        <v>70</v>
      </c>
      <c r="C4697" s="17" t="s">
        <v>71</v>
      </c>
      <c r="D4697" t="s">
        <v>13559</v>
      </c>
      <c r="F4697" t="s">
        <v>3471</v>
      </c>
      <c r="J4697" t="s">
        <v>115</v>
      </c>
      <c r="K4697" s="18" t="s">
        <v>13560</v>
      </c>
      <c r="N4697" s="17" t="s">
        <v>77</v>
      </c>
      <c r="O4697" t="s">
        <v>145</v>
      </c>
      <c r="V4697" s="18" t="s">
        <v>13560</v>
      </c>
      <c r="Y4697" t="s">
        <v>90</v>
      </c>
      <c r="AA4697" t="s">
        <v>118</v>
      </c>
      <c r="AB4697" t="s">
        <v>119</v>
      </c>
    </row>
    <row r="4698" ht="15" customHeight="1" spans="1:22" x14ac:dyDescent="0.25">
      <c r="A4698" s="17" t="s">
        <v>13561</v>
      </c>
      <c r="B4698" s="17" t="s">
        <v>70</v>
      </c>
      <c r="C4698" s="17" t="s">
        <v>71</v>
      </c>
      <c r="D4698" t="s">
        <v>13562</v>
      </c>
      <c r="F4698" t="s">
        <v>13414</v>
      </c>
      <c r="K4698" s="18">
        <f>62816901859</f>
        <v>62816901859</v>
      </c>
      <c r="N4698" s="17" t="s">
        <v>77</v>
      </c>
      <c r="V4698" s="18">
        <f>62816901859</f>
        <v>62816901859</v>
      </c>
    </row>
    <row r="4699" ht="15" customHeight="1" spans="1:28" x14ac:dyDescent="0.25">
      <c r="A4699" s="17" t="s">
        <v>13563</v>
      </c>
      <c r="B4699" s="17" t="s">
        <v>70</v>
      </c>
      <c r="C4699" s="17" t="s">
        <v>71</v>
      </c>
      <c r="D4699" t="s">
        <v>13564</v>
      </c>
      <c r="F4699" t="s">
        <v>13565</v>
      </c>
      <c r="J4699" s="17" t="s">
        <v>13566</v>
      </c>
      <c r="K4699" s="18" t="s">
        <v>13567</v>
      </c>
      <c r="N4699" s="17" t="s">
        <v>74</v>
      </c>
      <c r="O4699" t="s">
        <v>145</v>
      </c>
      <c r="U4699" s="17"/>
      <c r="V4699" s="18" t="s">
        <v>13567</v>
      </c>
      <c r="W4699" t="s">
        <v>13568</v>
      </c>
      <c r="Y4699" s="17" t="s">
        <v>90</v>
      </c>
      <c r="AA4699" s="17" t="s">
        <v>118</v>
      </c>
      <c r="AB4699" t="s">
        <v>119</v>
      </c>
    </row>
    <row r="4700" ht="15" customHeight="1" spans="1:28" x14ac:dyDescent="0.25">
      <c r="A4700" s="17" t="s">
        <v>13569</v>
      </c>
      <c r="B4700" s="17" t="s">
        <v>70</v>
      </c>
      <c r="C4700" s="17" t="s">
        <v>71</v>
      </c>
      <c r="D4700" t="s">
        <v>13564</v>
      </c>
      <c r="F4700" t="s">
        <v>4269</v>
      </c>
      <c r="J4700" t="s">
        <v>115</v>
      </c>
      <c r="K4700" s="18" t="s">
        <v>13570</v>
      </c>
      <c r="N4700" s="17" t="s">
        <v>77</v>
      </c>
      <c r="O4700" t="s">
        <v>117</v>
      </c>
      <c r="V4700" s="18" t="s">
        <v>13570</v>
      </c>
      <c r="Y4700" t="s">
        <v>115</v>
      </c>
      <c r="AA4700" t="s">
        <v>115</v>
      </c>
      <c r="AB4700" t="s">
        <v>119</v>
      </c>
    </row>
    <row r="4701" ht="15" customHeight="1" spans="1:22" x14ac:dyDescent="0.25">
      <c r="A4701" s="17" t="s">
        <v>13571</v>
      </c>
      <c r="B4701" s="17" t="s">
        <v>70</v>
      </c>
      <c r="C4701" s="17" t="s">
        <v>71</v>
      </c>
      <c r="D4701" t="s">
        <v>13564</v>
      </c>
      <c r="F4701" t="s">
        <v>13572</v>
      </c>
      <c r="J4701" s="17" t="s">
        <v>13573</v>
      </c>
      <c r="K4701" s="18">
        <f>6281319065420</f>
        <v>6281319065420</v>
      </c>
      <c r="N4701" s="17" t="s">
        <v>81</v>
      </c>
      <c r="V4701" s="18">
        <f>6281319065420</f>
        <v>6281319065420</v>
      </c>
    </row>
    <row r="4702" ht="15" customHeight="1" spans="1:25" x14ac:dyDescent="0.25">
      <c r="A4702" s="17" t="s">
        <v>13574</v>
      </c>
      <c r="B4702" s="17" t="s">
        <v>70</v>
      </c>
      <c r="C4702" s="17" t="s">
        <v>71</v>
      </c>
      <c r="D4702" t="s">
        <v>997</v>
      </c>
      <c r="F4702" t="s">
        <v>997</v>
      </c>
      <c r="K4702" s="18">
        <f>62816898723</f>
        <v>62816898723</v>
      </c>
      <c r="N4702" s="17" t="s">
        <v>81</v>
      </c>
      <c r="U4702" s="17"/>
      <c r="V4702" s="18">
        <f>62816898723</f>
        <v>62816898723</v>
      </c>
      <c r="W4702" t="s">
        <v>13575</v>
      </c>
      <c r="Y4702" s="17" t="s">
        <v>96</v>
      </c>
    </row>
    <row r="4703" ht="15" customHeight="1" spans="1:28" x14ac:dyDescent="0.25">
      <c r="A4703" s="17" t="s">
        <v>13576</v>
      </c>
      <c r="B4703" s="17" t="s">
        <v>70</v>
      </c>
      <c r="C4703" s="17" t="s">
        <v>71</v>
      </c>
      <c r="D4703" t="s">
        <v>997</v>
      </c>
      <c r="F4703" t="s">
        <v>997</v>
      </c>
      <c r="J4703" t="s">
        <v>115</v>
      </c>
      <c r="K4703" s="18" t="s">
        <v>13577</v>
      </c>
      <c r="N4703" s="17" t="s">
        <v>74</v>
      </c>
      <c r="O4703" t="s">
        <v>117</v>
      </c>
      <c r="V4703" s="18" t="s">
        <v>13577</v>
      </c>
      <c r="Y4703" t="s">
        <v>90</v>
      </c>
      <c r="AA4703" t="s">
        <v>118</v>
      </c>
      <c r="AB4703" t="s">
        <v>119</v>
      </c>
    </row>
    <row r="4704" ht="15" customHeight="1" spans="1:22" x14ac:dyDescent="0.25">
      <c r="A4704" s="17" t="s">
        <v>13578</v>
      </c>
      <c r="B4704" s="17" t="s">
        <v>70</v>
      </c>
      <c r="C4704" s="17" t="s">
        <v>71</v>
      </c>
      <c r="D4704" t="s">
        <v>997</v>
      </c>
      <c r="F4704" t="s">
        <v>997</v>
      </c>
      <c r="J4704" s="17" t="s">
        <v>13579</v>
      </c>
      <c r="K4704" s="18">
        <f>628118506135</f>
        <v>628118506135</v>
      </c>
      <c r="N4704" s="17" t="s">
        <v>77</v>
      </c>
      <c r="V4704" s="18">
        <f>628118506135</f>
        <v>628118506135</v>
      </c>
    </row>
    <row r="4705" ht="15" customHeight="1" spans="1:25" x14ac:dyDescent="0.25">
      <c r="A4705" s="17" t="s">
        <v>13580</v>
      </c>
      <c r="B4705" s="17" t="s">
        <v>70</v>
      </c>
      <c r="C4705" s="17" t="s">
        <v>71</v>
      </c>
      <c r="D4705" t="s">
        <v>997</v>
      </c>
      <c r="F4705" t="s">
        <v>13581</v>
      </c>
      <c r="K4705" s="18">
        <f>6287708188805</f>
        <v>6287708188805</v>
      </c>
      <c r="N4705" s="17" t="s">
        <v>77</v>
      </c>
      <c r="U4705" s="17"/>
      <c r="V4705" s="18">
        <f>6287708188805</f>
        <v>6287708188805</v>
      </c>
      <c r="W4705" t="s">
        <v>13582</v>
      </c>
      <c r="Y4705" s="17" t="s">
        <v>13583</v>
      </c>
    </row>
    <row r="4706" ht="15" customHeight="1" spans="1:22" x14ac:dyDescent="0.25">
      <c r="A4706" s="17" t="s">
        <v>13584</v>
      </c>
      <c r="B4706" s="17" t="s">
        <v>70</v>
      </c>
      <c r="C4706" s="17" t="s">
        <v>71</v>
      </c>
      <c r="D4706" t="s">
        <v>997</v>
      </c>
      <c r="F4706" t="s">
        <v>13585</v>
      </c>
      <c r="K4706" s="18">
        <f>62816844424</f>
        <v>62816844424</v>
      </c>
      <c r="N4706" s="17" t="s">
        <v>81</v>
      </c>
      <c r="V4706" s="18">
        <f>62816844424</f>
        <v>62816844424</v>
      </c>
    </row>
    <row r="4707" ht="15" customHeight="1" spans="1:22" x14ac:dyDescent="0.25">
      <c r="A4707" s="17" t="s">
        <v>13586</v>
      </c>
      <c r="B4707" s="17" t="s">
        <v>70</v>
      </c>
      <c r="C4707" s="17" t="s">
        <v>71</v>
      </c>
      <c r="D4707" t="s">
        <v>997</v>
      </c>
      <c r="F4707" t="s">
        <v>13585</v>
      </c>
      <c r="K4707" s="18">
        <f>628168444424</f>
        <v>628168444424</v>
      </c>
      <c r="N4707" s="17" t="s">
        <v>81</v>
      </c>
      <c r="V4707" s="18">
        <f>628168444424</f>
        <v>628168444424</v>
      </c>
    </row>
    <row r="4708" ht="15" customHeight="1" spans="1:22" x14ac:dyDescent="0.25">
      <c r="A4708" s="17" t="s">
        <v>13587</v>
      </c>
      <c r="B4708" s="17" t="s">
        <v>70</v>
      </c>
      <c r="C4708" s="17" t="s">
        <v>71</v>
      </c>
      <c r="D4708" t="s">
        <v>997</v>
      </c>
      <c r="F4708" t="s">
        <v>13588</v>
      </c>
      <c r="K4708" s="18">
        <f>6281311507836</f>
        <v>6281311507836</v>
      </c>
      <c r="N4708" s="17" t="s">
        <v>81</v>
      </c>
      <c r="V4708" s="18">
        <f>6281311507836</f>
        <v>6281311507836</v>
      </c>
    </row>
    <row r="4709" ht="15" customHeight="1" spans="1:23" x14ac:dyDescent="0.25">
      <c r="A4709" s="17" t="s">
        <v>13589</v>
      </c>
      <c r="B4709" s="17" t="s">
        <v>70</v>
      </c>
      <c r="C4709" s="17" t="s">
        <v>71</v>
      </c>
      <c r="D4709" t="s">
        <v>997</v>
      </c>
      <c r="F4709" t="s">
        <v>13590</v>
      </c>
      <c r="K4709" s="18">
        <f>6285212373888</f>
        <v>6285212373888</v>
      </c>
      <c r="N4709" s="17" t="s">
        <v>77</v>
      </c>
      <c r="U4709" s="17"/>
      <c r="V4709" s="18">
        <f>6285212373888</f>
        <v>6285212373888</v>
      </c>
      <c r="W4709" t="s">
        <v>13591</v>
      </c>
    </row>
    <row r="4710" ht="15" customHeight="1" spans="1:28" x14ac:dyDescent="0.25">
      <c r="A4710" s="17" t="s">
        <v>13592</v>
      </c>
      <c r="B4710" s="17" t="s">
        <v>70</v>
      </c>
      <c r="C4710" s="17" t="s">
        <v>71</v>
      </c>
      <c r="D4710" t="s">
        <v>997</v>
      </c>
      <c r="F4710" t="s">
        <v>13593</v>
      </c>
      <c r="J4710" s="17" t="s">
        <v>13594</v>
      </c>
      <c r="K4710" s="18" t="s">
        <v>13595</v>
      </c>
      <c r="N4710" s="17" t="s">
        <v>77</v>
      </c>
      <c r="O4710" t="s">
        <v>117</v>
      </c>
      <c r="U4710" s="17"/>
      <c r="V4710" s="18" t="s">
        <v>13595</v>
      </c>
      <c r="W4710" t="s">
        <v>13596</v>
      </c>
      <c r="Y4710" t="s">
        <v>90</v>
      </c>
      <c r="AA4710" t="s">
        <v>118</v>
      </c>
      <c r="AB4710" t="s">
        <v>119</v>
      </c>
    </row>
    <row r="4711" ht="15" customHeight="1" spans="1:22" x14ac:dyDescent="0.25">
      <c r="A4711" s="17" t="s">
        <v>13597</v>
      </c>
      <c r="B4711" s="17" t="s">
        <v>70</v>
      </c>
      <c r="C4711" s="17" t="s">
        <v>71</v>
      </c>
      <c r="D4711" t="s">
        <v>13598</v>
      </c>
      <c r="F4711" t="s">
        <v>13599</v>
      </c>
      <c r="K4711" s="18">
        <v>60122053668</v>
      </c>
      <c r="N4711" s="17" t="s">
        <v>77</v>
      </c>
      <c r="V4711" s="18">
        <v>60122053668</v>
      </c>
    </row>
    <row r="4712" ht="15" customHeight="1" spans="1:28" x14ac:dyDescent="0.25">
      <c r="A4712" s="17" t="s">
        <v>13600</v>
      </c>
      <c r="B4712" s="17" t="s">
        <v>70</v>
      </c>
      <c r="C4712" s="17" t="s">
        <v>71</v>
      </c>
      <c r="D4712" t="s">
        <v>13601</v>
      </c>
      <c r="F4712" t="s">
        <v>13602</v>
      </c>
      <c r="J4712" t="s">
        <v>115</v>
      </c>
      <c r="K4712" s="18" t="s">
        <v>13603</v>
      </c>
      <c r="N4712" s="17" t="s">
        <v>77</v>
      </c>
      <c r="O4712" t="s">
        <v>117</v>
      </c>
      <c r="U4712" s="17"/>
      <c r="V4712" s="18" t="s">
        <v>13603</v>
      </c>
      <c r="W4712" t="s">
        <v>13604</v>
      </c>
      <c r="Y4712" t="s">
        <v>96</v>
      </c>
      <c r="AA4712" t="s">
        <v>693</v>
      </c>
      <c r="AB4712" t="s">
        <v>119</v>
      </c>
    </row>
    <row r="4713" ht="15" customHeight="1" spans="1:22" x14ac:dyDescent="0.25">
      <c r="A4713" s="17" t="s">
        <v>13605</v>
      </c>
      <c r="B4713" s="17" t="s">
        <v>70</v>
      </c>
      <c r="C4713" s="17" t="s">
        <v>71</v>
      </c>
      <c r="D4713" t="s">
        <v>13606</v>
      </c>
      <c r="F4713" t="s">
        <v>13606</v>
      </c>
      <c r="K4713" s="18">
        <f>6281210181285</f>
        <v>6281210181285</v>
      </c>
      <c r="N4713" s="17" t="s">
        <v>81</v>
      </c>
      <c r="V4713" s="18">
        <f>6281210181285</f>
        <v>6281210181285</v>
      </c>
    </row>
    <row r="4714" ht="15" customHeight="1" spans="1:23" x14ac:dyDescent="0.25">
      <c r="A4714" s="17" t="s">
        <v>13607</v>
      </c>
      <c r="B4714" s="17" t="s">
        <v>70</v>
      </c>
      <c r="C4714" s="17" t="s">
        <v>71</v>
      </c>
      <c r="D4714" t="s">
        <v>13606</v>
      </c>
      <c r="F4714" t="s">
        <v>13608</v>
      </c>
      <c r="K4714" s="18">
        <f>628119790909</f>
        <v>628119790909</v>
      </c>
      <c r="N4714" s="17" t="s">
        <v>81</v>
      </c>
      <c r="U4714" s="17"/>
      <c r="V4714" s="18">
        <f>628119790909</f>
        <v>628119790909</v>
      </c>
      <c r="W4714" t="s">
        <v>13609</v>
      </c>
    </row>
    <row r="4715" ht="15" customHeight="1" spans="1:27" x14ac:dyDescent="0.25">
      <c r="A4715" s="17" t="s">
        <v>13610</v>
      </c>
      <c r="B4715" s="17" t="s">
        <v>70</v>
      </c>
      <c r="C4715" s="17" t="s">
        <v>71</v>
      </c>
      <c r="D4715" t="s">
        <v>13606</v>
      </c>
      <c r="F4715" t="s">
        <v>13611</v>
      </c>
      <c r="J4715" s="17" t="s">
        <v>13612</v>
      </c>
      <c r="K4715" s="18">
        <v>628119790889</v>
      </c>
      <c r="N4715" s="17" t="s">
        <v>77</v>
      </c>
      <c r="U4715" s="17"/>
      <c r="V4715" s="18">
        <v>628119790889</v>
      </c>
      <c r="W4715" t="s">
        <v>13613</v>
      </c>
      <c r="Y4715" s="17" t="s">
        <v>378</v>
      </c>
      <c r="AA4715" s="17">
        <v>10310</v>
      </c>
    </row>
    <row r="4716" ht="15" customHeight="1" spans="1:22" x14ac:dyDescent="0.25">
      <c r="A4716" s="17" t="s">
        <v>13614</v>
      </c>
      <c r="B4716" s="17" t="s">
        <v>70</v>
      </c>
      <c r="C4716" s="17" t="s">
        <v>71</v>
      </c>
      <c r="D4716" t="s">
        <v>13615</v>
      </c>
      <c r="F4716" t="s">
        <v>13616</v>
      </c>
      <c r="K4716" s="18">
        <f>6281870056330</f>
        <v>6281870056330</v>
      </c>
      <c r="N4716" s="17" t="s">
        <v>77</v>
      </c>
      <c r="V4716" s="18">
        <f>6281870056330</f>
        <v>6281870056330</v>
      </c>
    </row>
    <row r="4717" ht="15" customHeight="1" spans="1:22" x14ac:dyDescent="0.25">
      <c r="A4717" s="17" t="s">
        <v>13617</v>
      </c>
      <c r="B4717" s="17" t="s">
        <v>70</v>
      </c>
      <c r="C4717" s="17" t="s">
        <v>71</v>
      </c>
      <c r="D4717" t="s">
        <v>13618</v>
      </c>
      <c r="F4717" t="s">
        <v>209</v>
      </c>
      <c r="K4717" s="18">
        <f>6285716977226</f>
        <v>6285716977226</v>
      </c>
      <c r="N4717" s="17" t="s">
        <v>77</v>
      </c>
      <c r="V4717" s="18">
        <f>6285716977226</f>
        <v>6285716977226</v>
      </c>
    </row>
    <row r="4718" ht="15" customHeight="1" spans="1:28" x14ac:dyDescent="0.25">
      <c r="A4718" s="17" t="s">
        <v>13619</v>
      </c>
      <c r="B4718" s="17" t="s">
        <v>70</v>
      </c>
      <c r="C4718" s="17" t="s">
        <v>71</v>
      </c>
      <c r="D4718" t="s">
        <v>13618</v>
      </c>
      <c r="F4718" t="s">
        <v>13620</v>
      </c>
      <c r="J4718" t="s">
        <v>115</v>
      </c>
      <c r="K4718" s="18" t="s">
        <v>13621</v>
      </c>
      <c r="N4718" s="17" t="s">
        <v>77</v>
      </c>
      <c r="O4718" t="s">
        <v>261</v>
      </c>
      <c r="V4718" s="18" t="s">
        <v>13621</v>
      </c>
      <c r="Y4718" t="s">
        <v>190</v>
      </c>
      <c r="AA4718" t="s">
        <v>118</v>
      </c>
      <c r="AB4718" t="s">
        <v>119</v>
      </c>
    </row>
    <row r="4719" ht="15" customHeight="1" spans="1:22" x14ac:dyDescent="0.25">
      <c r="A4719" s="17" t="s">
        <v>13622</v>
      </c>
      <c r="B4719" s="17" t="s">
        <v>70</v>
      </c>
      <c r="C4719" s="17" t="s">
        <v>71</v>
      </c>
      <c r="D4719" t="s">
        <v>13623</v>
      </c>
      <c r="F4719" t="s">
        <v>13623</v>
      </c>
      <c r="K4719" s="18">
        <f>6281242887900</f>
        <v>6281242887900</v>
      </c>
      <c r="N4719" s="17" t="s">
        <v>77</v>
      </c>
      <c r="V4719" s="18">
        <f>6281242887900</f>
        <v>6281242887900</v>
      </c>
    </row>
    <row r="4720" ht="15" customHeight="1" spans="1:23" x14ac:dyDescent="0.25">
      <c r="A4720" s="17" t="s">
        <v>13624</v>
      </c>
      <c r="B4720" s="17" t="s">
        <v>70</v>
      </c>
      <c r="C4720" s="17" t="s">
        <v>71</v>
      </c>
      <c r="D4720" t="s">
        <v>13625</v>
      </c>
      <c r="F4720" t="s">
        <v>618</v>
      </c>
      <c r="K4720" s="18">
        <f>628211920288</f>
        <v>628211920288</v>
      </c>
      <c r="N4720" s="17" t="s">
        <v>77</v>
      </c>
      <c r="U4720" s="17"/>
      <c r="V4720" s="18">
        <f>628211920288</f>
        <v>628211920288</v>
      </c>
      <c r="W4720" t="s">
        <v>13626</v>
      </c>
    </row>
    <row r="4721" ht="15" customHeight="1" spans="1:27" x14ac:dyDescent="0.25">
      <c r="A4721" s="17" t="s">
        <v>13627</v>
      </c>
      <c r="B4721" s="17" t="s">
        <v>70</v>
      </c>
      <c r="C4721" s="17" t="s">
        <v>71</v>
      </c>
      <c r="D4721" t="s">
        <v>13628</v>
      </c>
      <c r="F4721" t="s">
        <v>13629</v>
      </c>
      <c r="K4721" s="18">
        <f>628164835995</f>
        <v>628164835995</v>
      </c>
      <c r="N4721" s="17" t="s">
        <v>81</v>
      </c>
      <c r="U4721" s="17"/>
      <c r="V4721" s="18">
        <f>628164835995</f>
        <v>628164835995</v>
      </c>
      <c r="W4721" t="s">
        <v>13630</v>
      </c>
      <c r="AA4721" s="17">
        <v>12440</v>
      </c>
    </row>
    <row r="4722" ht="15" customHeight="1" spans="1:23" x14ac:dyDescent="0.25">
      <c r="A4722" s="17" t="s">
        <v>13631</v>
      </c>
      <c r="B4722" s="17" t="s">
        <v>70</v>
      </c>
      <c r="C4722" s="17" t="s">
        <v>71</v>
      </c>
      <c r="D4722" t="s">
        <v>13632</v>
      </c>
      <c r="F4722" t="s">
        <v>13633</v>
      </c>
      <c r="J4722" s="17" t="s">
        <v>13634</v>
      </c>
      <c r="K4722" s="18">
        <f>628117070141</f>
        <v>628117070141</v>
      </c>
      <c r="N4722" s="17" t="s">
        <v>77</v>
      </c>
      <c r="U4722" s="17"/>
      <c r="V4722" s="18">
        <f>628117070141</f>
        <v>628117070141</v>
      </c>
      <c r="W4722" t="s">
        <v>13635</v>
      </c>
    </row>
    <row r="4723" ht="15" customHeight="1" spans="1:22" x14ac:dyDescent="0.25">
      <c r="A4723" s="17" t="s">
        <v>13636</v>
      </c>
      <c r="B4723" s="17" t="s">
        <v>70</v>
      </c>
      <c r="C4723" s="17" t="s">
        <v>71</v>
      </c>
      <c r="D4723" t="s">
        <v>13637</v>
      </c>
      <c r="F4723" t="s">
        <v>13638</v>
      </c>
      <c r="K4723" s="18">
        <f>6281586931212</f>
        <v>6281586931212</v>
      </c>
      <c r="N4723" s="17" t="s">
        <v>77</v>
      </c>
      <c r="V4723" s="18">
        <f>6281586931212</f>
        <v>6281586931212</v>
      </c>
    </row>
    <row r="4724" ht="15" customHeight="1" spans="1:28" x14ac:dyDescent="0.25">
      <c r="A4724" s="17" t="s">
        <v>13639</v>
      </c>
      <c r="B4724" s="17" t="s">
        <v>70</v>
      </c>
      <c r="C4724" s="17" t="s">
        <v>71</v>
      </c>
      <c r="D4724" t="s">
        <v>13452</v>
      </c>
      <c r="F4724" t="s">
        <v>1064</v>
      </c>
      <c r="J4724" t="s">
        <v>115</v>
      </c>
      <c r="K4724" s="18" t="s">
        <v>13640</v>
      </c>
      <c r="N4724" s="17" t="s">
        <v>74</v>
      </c>
      <c r="O4724" t="s">
        <v>117</v>
      </c>
      <c r="V4724" s="18" t="s">
        <v>13640</v>
      </c>
      <c r="Y4724" t="s">
        <v>90</v>
      </c>
      <c r="AA4724" t="s">
        <v>118</v>
      </c>
      <c r="AB4724" t="s">
        <v>119</v>
      </c>
    </row>
    <row r="4725" ht="15" customHeight="1" spans="1:28" x14ac:dyDescent="0.25">
      <c r="A4725" s="17" t="s">
        <v>13641</v>
      </c>
      <c r="B4725" s="17" t="s">
        <v>70</v>
      </c>
      <c r="C4725" s="17" t="s">
        <v>71</v>
      </c>
      <c r="D4725" t="s">
        <v>13642</v>
      </c>
      <c r="F4725" t="s">
        <v>13643</v>
      </c>
      <c r="J4725" s="17" t="s">
        <v>13644</v>
      </c>
      <c r="K4725" s="18" t="s">
        <v>13645</v>
      </c>
      <c r="N4725" s="17" t="s">
        <v>77</v>
      </c>
      <c r="O4725" t="s">
        <v>199</v>
      </c>
      <c r="U4725" s="17"/>
      <c r="V4725" s="18" t="s">
        <v>13645</v>
      </c>
      <c r="W4725" t="s">
        <v>13646</v>
      </c>
      <c r="Y4725" s="17" t="s">
        <v>13646</v>
      </c>
      <c r="AA4725" t="s">
        <v>115</v>
      </c>
      <c r="AB4725" t="s">
        <v>13647</v>
      </c>
    </row>
    <row r="4726" ht="15" customHeight="1" spans="1:25" x14ac:dyDescent="0.25">
      <c r="A4726" s="17" t="s">
        <v>13648</v>
      </c>
      <c r="B4726" s="17" t="s">
        <v>70</v>
      </c>
      <c r="C4726" s="17" t="s">
        <v>71</v>
      </c>
      <c r="D4726" t="s">
        <v>13649</v>
      </c>
      <c r="F4726" t="s">
        <v>13650</v>
      </c>
      <c r="J4726" s="17" t="s">
        <v>13651</v>
      </c>
      <c r="K4726" s="18">
        <f>6281585333333</f>
        <v>6281585333333</v>
      </c>
      <c r="N4726" s="17" t="s">
        <v>77</v>
      </c>
      <c r="U4726" s="17"/>
      <c r="V4726" s="18">
        <f>6281585333333</f>
        <v>6281585333333</v>
      </c>
      <c r="W4726" t="s">
        <v>13652</v>
      </c>
      <c r="Y4726" s="17" t="s">
        <v>96</v>
      </c>
    </row>
    <row r="4727" ht="15" customHeight="1" spans="1:22" x14ac:dyDescent="0.25">
      <c r="A4727" s="17" t="s">
        <v>13653</v>
      </c>
      <c r="B4727" s="17" t="s">
        <v>70</v>
      </c>
      <c r="C4727" s="17" t="s">
        <v>71</v>
      </c>
      <c r="D4727" t="s">
        <v>13654</v>
      </c>
      <c r="F4727" t="s">
        <v>3008</v>
      </c>
      <c r="K4727" s="18">
        <f>62811100810</f>
        <v>62811100810</v>
      </c>
      <c r="N4727" s="17" t="s">
        <v>81</v>
      </c>
      <c r="V4727" s="18">
        <f>62811100810</f>
        <v>62811100810</v>
      </c>
    </row>
    <row r="4728" ht="15" customHeight="1" spans="1:23" x14ac:dyDescent="0.25">
      <c r="A4728" s="17" t="s">
        <v>13655</v>
      </c>
      <c r="B4728" s="17" t="s">
        <v>70</v>
      </c>
      <c r="C4728" s="17" t="s">
        <v>71</v>
      </c>
      <c r="D4728" t="s">
        <v>13654</v>
      </c>
      <c r="F4728" t="s">
        <v>13656</v>
      </c>
      <c r="J4728" s="17" t="s">
        <v>13657</v>
      </c>
      <c r="K4728" s="18">
        <f>6281396933383</f>
        <v>6281396933383</v>
      </c>
      <c r="N4728" s="17" t="s">
        <v>77</v>
      </c>
      <c r="U4728" s="17"/>
      <c r="V4728" s="18">
        <f>6281396933383</f>
        <v>6281396933383</v>
      </c>
      <c r="W4728" t="s">
        <v>13658</v>
      </c>
    </row>
    <row r="4729" ht="15" customHeight="1" spans="1:25" x14ac:dyDescent="0.25">
      <c r="A4729" s="17" t="s">
        <v>13659</v>
      </c>
      <c r="B4729" s="17" t="s">
        <v>70</v>
      </c>
      <c r="C4729" s="17" t="s">
        <v>71</v>
      </c>
      <c r="D4729" t="s">
        <v>13660</v>
      </c>
      <c r="F4729" t="s">
        <v>2549</v>
      </c>
      <c r="K4729" s="18">
        <f>6285156943792</f>
        <v>6285156943792</v>
      </c>
      <c r="N4729" s="17" t="s">
        <v>77</v>
      </c>
      <c r="U4729" s="17"/>
      <c r="V4729" s="18">
        <f>6285156943792</f>
        <v>6285156943792</v>
      </c>
      <c r="W4729" t="s">
        <v>13661</v>
      </c>
      <c r="Y4729" s="17" t="s">
        <v>13662</v>
      </c>
    </row>
    <row r="4730" ht="15" customHeight="1" spans="1:28" x14ac:dyDescent="0.25">
      <c r="A4730" s="17" t="s">
        <v>13663</v>
      </c>
      <c r="B4730" s="17" t="s">
        <v>70</v>
      </c>
      <c r="C4730" s="17" t="s">
        <v>71</v>
      </c>
      <c r="D4730" t="s">
        <v>13664</v>
      </c>
      <c r="F4730" t="s">
        <v>3489</v>
      </c>
      <c r="J4730" s="17" t="s">
        <v>13665</v>
      </c>
      <c r="K4730" s="18" t="s">
        <v>13666</v>
      </c>
      <c r="N4730" s="17" t="s">
        <v>81</v>
      </c>
      <c r="O4730" t="s">
        <v>489</v>
      </c>
      <c r="U4730" s="17"/>
      <c r="V4730" s="18" t="s">
        <v>13666</v>
      </c>
      <c r="W4730" t="s">
        <v>13667</v>
      </c>
      <c r="Y4730" s="17" t="s">
        <v>378</v>
      </c>
      <c r="AA4730" t="s">
        <v>118</v>
      </c>
      <c r="AB4730" t="s">
        <v>119</v>
      </c>
    </row>
    <row r="4731" ht="15" customHeight="1" spans="1:28" x14ac:dyDescent="0.25">
      <c r="A4731" s="17" t="s">
        <v>13668</v>
      </c>
      <c r="B4731" s="17" t="s">
        <v>70</v>
      </c>
      <c r="C4731" s="17" t="s">
        <v>71</v>
      </c>
      <c r="D4731" t="s">
        <v>13669</v>
      </c>
      <c r="F4731" t="s">
        <v>492</v>
      </c>
      <c r="J4731" s="17" t="s">
        <v>13670</v>
      </c>
      <c r="K4731" s="18" t="s">
        <v>13671</v>
      </c>
      <c r="N4731" s="17" t="s">
        <v>77</v>
      </c>
      <c r="O4731" t="s">
        <v>199</v>
      </c>
      <c r="V4731" s="18" t="s">
        <v>13671</v>
      </c>
      <c r="Y4731" t="s">
        <v>190</v>
      </c>
      <c r="AA4731" t="s">
        <v>118</v>
      </c>
      <c r="AB4731" t="s">
        <v>119</v>
      </c>
    </row>
    <row r="4732" ht="15" customHeight="1" spans="1:22" x14ac:dyDescent="0.25">
      <c r="A4732" s="17" t="s">
        <v>13672</v>
      </c>
      <c r="B4732" s="17" t="s">
        <v>70</v>
      </c>
      <c r="C4732" s="17" t="s">
        <v>71</v>
      </c>
      <c r="D4732" t="s">
        <v>13669</v>
      </c>
      <c r="F4732" t="s">
        <v>492</v>
      </c>
      <c r="K4732" s="18">
        <f>628123318585</f>
        <v>628123318585</v>
      </c>
      <c r="N4732" s="17" t="s">
        <v>77</v>
      </c>
      <c r="V4732" s="18">
        <f>628123318585</f>
        <v>628123318585</v>
      </c>
    </row>
    <row r="4733" ht="15" customHeight="1" spans="1:22" x14ac:dyDescent="0.25">
      <c r="A4733" s="17" t="s">
        <v>13673</v>
      </c>
      <c r="B4733" s="17" t="s">
        <v>70</v>
      </c>
      <c r="C4733" s="17" t="s">
        <v>71</v>
      </c>
      <c r="D4733" t="s">
        <v>9159</v>
      </c>
      <c r="F4733" t="s">
        <v>9159</v>
      </c>
      <c r="K4733" s="18">
        <f>628161922583</f>
        <v>628161922583</v>
      </c>
      <c r="N4733" s="17" t="s">
        <v>81</v>
      </c>
      <c r="V4733" s="18">
        <f>628161922583</f>
        <v>628161922583</v>
      </c>
    </row>
    <row r="4734" ht="15" customHeight="1" spans="1:22" x14ac:dyDescent="0.25">
      <c r="A4734" s="17" t="s">
        <v>13674</v>
      </c>
      <c r="B4734" s="17" t="s">
        <v>70</v>
      </c>
      <c r="C4734" s="17" t="s">
        <v>71</v>
      </c>
      <c r="D4734" t="s">
        <v>9159</v>
      </c>
      <c r="F4734" t="s">
        <v>13675</v>
      </c>
      <c r="K4734" s="18">
        <f>971503298988</f>
        <v>971503298988</v>
      </c>
      <c r="N4734" s="17" t="s">
        <v>77</v>
      </c>
      <c r="V4734" s="18">
        <f>971503298988</f>
        <v>971503298988</v>
      </c>
    </row>
    <row r="4735" ht="15" customHeight="1" spans="1:28" x14ac:dyDescent="0.25">
      <c r="A4735" s="17" t="s">
        <v>13676</v>
      </c>
      <c r="B4735" s="17" t="s">
        <v>70</v>
      </c>
      <c r="C4735" s="17" t="s">
        <v>71</v>
      </c>
      <c r="D4735" t="s">
        <v>13677</v>
      </c>
      <c r="F4735" t="s">
        <v>492</v>
      </c>
      <c r="J4735" t="s">
        <v>115</v>
      </c>
      <c r="K4735" s="18" t="s">
        <v>13678</v>
      </c>
      <c r="N4735" s="17" t="s">
        <v>77</v>
      </c>
      <c r="O4735" t="s">
        <v>261</v>
      </c>
      <c r="V4735" s="18" t="s">
        <v>13678</v>
      </c>
      <c r="Y4735" t="s">
        <v>1903</v>
      </c>
      <c r="AA4735" t="s">
        <v>115</v>
      </c>
      <c r="AB4735" t="s">
        <v>1903</v>
      </c>
    </row>
    <row r="4736" ht="15" customHeight="1" spans="1:23" x14ac:dyDescent="0.25">
      <c r="A4736" s="17" t="s">
        <v>13679</v>
      </c>
      <c r="B4736" s="17" t="s">
        <v>70</v>
      </c>
      <c r="C4736" s="17" t="s">
        <v>71</v>
      </c>
      <c r="D4736" t="s">
        <v>13680</v>
      </c>
      <c r="F4736" t="s">
        <v>13681</v>
      </c>
      <c r="K4736" s="18">
        <f>62811181964</f>
        <v>62811181964</v>
      </c>
      <c r="N4736" s="17" t="s">
        <v>77</v>
      </c>
      <c r="U4736" s="17"/>
      <c r="V4736" s="18">
        <f>62811181964</f>
        <v>62811181964</v>
      </c>
      <c r="W4736" t="s">
        <v>13682</v>
      </c>
    </row>
    <row r="4737" ht="15" customHeight="1" spans="1:22" x14ac:dyDescent="0.25">
      <c r="A4737" s="17" t="s">
        <v>13683</v>
      </c>
      <c r="B4737" s="17" t="s">
        <v>70</v>
      </c>
      <c r="C4737" s="17" t="s">
        <v>71</v>
      </c>
      <c r="D4737" t="s">
        <v>13684</v>
      </c>
      <c r="F4737" t="s">
        <v>13684</v>
      </c>
      <c r="K4737" s="18">
        <f>6281245222002</f>
        <v>6281245222002</v>
      </c>
      <c r="N4737" s="17" t="s">
        <v>77</v>
      </c>
      <c r="V4737" s="18">
        <f>6281245222002</f>
        <v>6281245222002</v>
      </c>
    </row>
    <row r="4738" ht="15" customHeight="1" spans="1:22" x14ac:dyDescent="0.25">
      <c r="A4738" s="17" t="s">
        <v>13685</v>
      </c>
      <c r="B4738" s="17" t="s">
        <v>70</v>
      </c>
      <c r="C4738" s="17" t="s">
        <v>71</v>
      </c>
      <c r="D4738" t="s">
        <v>13684</v>
      </c>
      <c r="F4738" t="s">
        <v>13686</v>
      </c>
      <c r="K4738" s="18">
        <f>62811879942</f>
        <v>62811879942</v>
      </c>
      <c r="N4738" s="17" t="s">
        <v>77</v>
      </c>
      <c r="V4738" s="18">
        <f>62811879942</f>
        <v>62811879942</v>
      </c>
    </row>
    <row r="4739" ht="15" customHeight="1" spans="1:22" x14ac:dyDescent="0.25">
      <c r="A4739" s="17" t="s">
        <v>13687</v>
      </c>
      <c r="B4739" s="17" t="s">
        <v>70</v>
      </c>
      <c r="C4739" s="17" t="s">
        <v>71</v>
      </c>
      <c r="D4739" t="s">
        <v>13688</v>
      </c>
      <c r="F4739" t="s">
        <v>13688</v>
      </c>
      <c r="K4739" s="18">
        <f>628161406691</f>
        <v>628161406691</v>
      </c>
      <c r="N4739" s="17" t="s">
        <v>77</v>
      </c>
      <c r="V4739" s="18">
        <f>628161406691</f>
        <v>628161406691</v>
      </c>
    </row>
    <row r="4740" ht="15" customHeight="1" spans="1:22" x14ac:dyDescent="0.25">
      <c r="A4740" s="17" t="s">
        <v>13689</v>
      </c>
      <c r="B4740" s="17" t="s">
        <v>70</v>
      </c>
      <c r="C4740" s="17" t="s">
        <v>71</v>
      </c>
      <c r="D4740" t="s">
        <v>13690</v>
      </c>
      <c r="F4740" t="s">
        <v>11303</v>
      </c>
      <c r="K4740" s="18">
        <f>628129252523</f>
        <v>628129252523</v>
      </c>
      <c r="N4740" s="17" t="s">
        <v>77</v>
      </c>
      <c r="V4740" s="18">
        <f>628129252523</f>
        <v>628129252523</v>
      </c>
    </row>
    <row r="4741" ht="15" customHeight="1" spans="1:23" x14ac:dyDescent="0.25">
      <c r="A4741" s="17" t="s">
        <v>13691</v>
      </c>
      <c r="B4741" s="17" t="s">
        <v>70</v>
      </c>
      <c r="C4741" s="17" t="s">
        <v>71</v>
      </c>
      <c r="D4741" t="s">
        <v>13692</v>
      </c>
      <c r="F4741" t="s">
        <v>13693</v>
      </c>
      <c r="J4741" s="17" t="s">
        <v>13694</v>
      </c>
      <c r="K4741" s="18">
        <f>62811186569</f>
        <v>62811186569</v>
      </c>
      <c r="N4741" s="17" t="s">
        <v>74</v>
      </c>
      <c r="U4741" s="17"/>
      <c r="V4741" s="18">
        <f>62811186569</f>
        <v>62811186569</v>
      </c>
      <c r="W4741" t="s">
        <v>13695</v>
      </c>
    </row>
    <row r="4742" ht="15" customHeight="1" spans="1:27" x14ac:dyDescent="0.25">
      <c r="A4742" s="17" t="s">
        <v>13696</v>
      </c>
      <c r="B4742" s="17" t="s">
        <v>70</v>
      </c>
      <c r="C4742" s="17" t="s">
        <v>71</v>
      </c>
      <c r="D4742" t="s">
        <v>13692</v>
      </c>
      <c r="F4742" t="s">
        <v>13697</v>
      </c>
      <c r="K4742" s="18">
        <f>6281910651094</f>
        <v>6281910651094</v>
      </c>
      <c r="N4742" s="17" t="s">
        <v>81</v>
      </c>
      <c r="U4742" s="17"/>
      <c r="V4742" s="18">
        <f>6281910651094</f>
        <v>6281910651094</v>
      </c>
      <c r="W4742" t="s">
        <v>13698</v>
      </c>
      <c r="Y4742" s="17" t="s">
        <v>96</v>
      </c>
      <c r="AA4742" s="17">
        <v>12720</v>
      </c>
    </row>
    <row r="4743" ht="15" customHeight="1" spans="1:28" x14ac:dyDescent="0.25">
      <c r="A4743" s="17" t="s">
        <v>13699</v>
      </c>
      <c r="B4743" s="17" t="s">
        <v>70</v>
      </c>
      <c r="C4743" s="17" t="s">
        <v>71</v>
      </c>
      <c r="D4743" t="s">
        <v>13700</v>
      </c>
      <c r="F4743" t="s">
        <v>13700</v>
      </c>
      <c r="J4743" t="s">
        <v>115</v>
      </c>
      <c r="K4743" s="18" t="s">
        <v>13701</v>
      </c>
      <c r="N4743" s="17" t="s">
        <v>77</v>
      </c>
      <c r="O4743" t="s">
        <v>117</v>
      </c>
      <c r="V4743" s="18" t="s">
        <v>13701</v>
      </c>
      <c r="Y4743" t="s">
        <v>90</v>
      </c>
      <c r="AA4743" t="s">
        <v>118</v>
      </c>
      <c r="AB4743" t="s">
        <v>119</v>
      </c>
    </row>
    <row r="4744" ht="15" customHeight="1" spans="1:25" x14ac:dyDescent="0.25">
      <c r="A4744" s="17" t="s">
        <v>13702</v>
      </c>
      <c r="B4744" s="17" t="s">
        <v>70</v>
      </c>
      <c r="C4744" s="17" t="s">
        <v>71</v>
      </c>
      <c r="D4744" t="s">
        <v>13703</v>
      </c>
      <c r="F4744" t="s">
        <v>5324</v>
      </c>
      <c r="K4744" s="18">
        <f>628174968988</f>
        <v>628174968988</v>
      </c>
      <c r="N4744" s="17" t="s">
        <v>74</v>
      </c>
      <c r="U4744" s="17"/>
      <c r="V4744" s="18">
        <f>628174968988</f>
        <v>628174968988</v>
      </c>
      <c r="W4744" t="s">
        <v>13704</v>
      </c>
      <c r="Y4744" s="17" t="s">
        <v>378</v>
      </c>
    </row>
    <row r="4745" ht="15" customHeight="1" spans="1:22" x14ac:dyDescent="0.25">
      <c r="A4745" s="17" t="s">
        <v>13705</v>
      </c>
      <c r="B4745" s="17" t="s">
        <v>70</v>
      </c>
      <c r="C4745" s="17" t="s">
        <v>71</v>
      </c>
      <c r="D4745" t="s">
        <v>13706</v>
      </c>
      <c r="F4745" t="s">
        <v>13706</v>
      </c>
      <c r="K4745" s="18">
        <f>6281213390381</f>
        <v>6281213390381</v>
      </c>
      <c r="N4745" s="17" t="s">
        <v>77</v>
      </c>
      <c r="V4745" s="18">
        <f>6281213390381</f>
        <v>6281213390381</v>
      </c>
    </row>
    <row r="4746" ht="15" customHeight="1" spans="1:22" x14ac:dyDescent="0.25">
      <c r="A4746" s="17" t="s">
        <v>13707</v>
      </c>
      <c r="B4746" s="17" t="s">
        <v>70</v>
      </c>
      <c r="C4746" s="17" t="s">
        <v>71</v>
      </c>
      <c r="D4746" t="s">
        <v>13708</v>
      </c>
      <c r="F4746" t="s">
        <v>13709</v>
      </c>
      <c r="K4746" s="18">
        <f>6181381319995</f>
        <v>6181381319995</v>
      </c>
      <c r="N4746" s="17" t="s">
        <v>81</v>
      </c>
      <c r="V4746" s="18">
        <f>6181381319995</f>
        <v>6181381319995</v>
      </c>
    </row>
    <row r="4747" ht="15" customHeight="1" spans="1:23" x14ac:dyDescent="0.25">
      <c r="A4747" s="17" t="s">
        <v>13710</v>
      </c>
      <c r="B4747" s="17" t="s">
        <v>70</v>
      </c>
      <c r="C4747" s="17" t="s">
        <v>71</v>
      </c>
      <c r="D4747" t="s">
        <v>13711</v>
      </c>
      <c r="F4747" t="s">
        <v>2482</v>
      </c>
      <c r="K4747" s="18">
        <f>6282167164494</f>
        <v>6282167164494</v>
      </c>
      <c r="N4747" s="17" t="s">
        <v>77</v>
      </c>
      <c r="U4747" s="17"/>
      <c r="V4747" s="18">
        <f>6282167164494</f>
        <v>6282167164494</v>
      </c>
      <c r="W4747" t="s">
        <v>13712</v>
      </c>
    </row>
    <row r="4748" ht="15" customHeight="1" spans="1:22" x14ac:dyDescent="0.25">
      <c r="A4748" s="17" t="s">
        <v>13713</v>
      </c>
      <c r="B4748" s="17" t="s">
        <v>70</v>
      </c>
      <c r="C4748" s="17" t="s">
        <v>71</v>
      </c>
      <c r="D4748" t="s">
        <v>13711</v>
      </c>
      <c r="F4748" t="s">
        <v>13714</v>
      </c>
      <c r="K4748" s="18">
        <f>628128800330</f>
        <v>628128800330</v>
      </c>
      <c r="N4748" s="17" t="s">
        <v>81</v>
      </c>
      <c r="V4748" s="18">
        <f>628128800330</f>
        <v>628128800330</v>
      </c>
    </row>
    <row r="4749" ht="15" customHeight="1" spans="1:22" x14ac:dyDescent="0.25">
      <c r="A4749" s="17" t="s">
        <v>13715</v>
      </c>
      <c r="B4749" s="17" t="s">
        <v>70</v>
      </c>
      <c r="C4749" s="17" t="s">
        <v>71</v>
      </c>
      <c r="D4749" t="s">
        <v>3598</v>
      </c>
      <c r="F4749" t="s">
        <v>13716</v>
      </c>
      <c r="K4749" s="18">
        <f>628176400139</f>
        <v>628176400139</v>
      </c>
      <c r="N4749" s="17" t="s">
        <v>77</v>
      </c>
      <c r="V4749" s="18">
        <f>628176400139</f>
        <v>628176400139</v>
      </c>
    </row>
    <row r="4750" ht="15" customHeight="1" spans="1:25" x14ac:dyDescent="0.25">
      <c r="A4750" s="17" t="s">
        <v>13717</v>
      </c>
      <c r="B4750" s="17" t="s">
        <v>70</v>
      </c>
      <c r="C4750" s="17" t="s">
        <v>71</v>
      </c>
      <c r="D4750" t="s">
        <v>3598</v>
      </c>
      <c r="F4750" t="s">
        <v>8486</v>
      </c>
      <c r="J4750" s="17" t="s">
        <v>13718</v>
      </c>
      <c r="K4750" s="18">
        <f>6287884604222</f>
        <v>6287884604222</v>
      </c>
      <c r="N4750" s="17" t="s">
        <v>77</v>
      </c>
      <c r="U4750" s="17"/>
      <c r="V4750" s="18">
        <f>6287884604222</f>
        <v>6287884604222</v>
      </c>
      <c r="W4750" t="s">
        <v>13719</v>
      </c>
      <c r="Y4750" s="17" t="s">
        <v>596</v>
      </c>
    </row>
    <row r="4751" ht="15" customHeight="1" spans="1:23" x14ac:dyDescent="0.25">
      <c r="A4751" s="17" t="s">
        <v>13720</v>
      </c>
      <c r="B4751" s="17" t="s">
        <v>70</v>
      </c>
      <c r="C4751" s="17" t="s">
        <v>71</v>
      </c>
      <c r="D4751" t="s">
        <v>13502</v>
      </c>
      <c r="F4751" t="s">
        <v>13502</v>
      </c>
      <c r="K4751" s="18">
        <f>628121024947</f>
        <v>628121024947</v>
      </c>
      <c r="N4751" s="17" t="s">
        <v>81</v>
      </c>
      <c r="U4751" s="17"/>
      <c r="V4751" s="18">
        <f>628121024947</f>
        <v>628121024947</v>
      </c>
      <c r="W4751" t="s">
        <v>13721</v>
      </c>
    </row>
    <row r="4752" ht="15" customHeight="1" spans="1:28" x14ac:dyDescent="0.25">
      <c r="A4752" s="17" t="s">
        <v>13722</v>
      </c>
      <c r="B4752" s="17" t="s">
        <v>70</v>
      </c>
      <c r="C4752" s="17" t="s">
        <v>71</v>
      </c>
      <c r="D4752" t="s">
        <v>13502</v>
      </c>
      <c r="F4752" t="s">
        <v>13723</v>
      </c>
      <c r="J4752" t="s">
        <v>13724</v>
      </c>
      <c r="K4752" s="18" t="s">
        <v>13725</v>
      </c>
      <c r="N4752" s="17" t="s">
        <v>81</v>
      </c>
      <c r="O4752" t="s">
        <v>117</v>
      </c>
      <c r="U4752" s="17"/>
      <c r="V4752" s="18" t="s">
        <v>13725</v>
      </c>
      <c r="W4752" t="s">
        <v>13726</v>
      </c>
      <c r="Y4752" t="s">
        <v>96</v>
      </c>
      <c r="AA4752" t="s">
        <v>693</v>
      </c>
      <c r="AB4752" t="s">
        <v>119</v>
      </c>
    </row>
    <row r="4753" ht="15" customHeight="1" spans="1:22" x14ac:dyDescent="0.25">
      <c r="A4753" s="17" t="s">
        <v>13727</v>
      </c>
      <c r="B4753" s="17" t="s">
        <v>70</v>
      </c>
      <c r="C4753" s="17" t="s">
        <v>71</v>
      </c>
      <c r="D4753" t="s">
        <v>13502</v>
      </c>
      <c r="F4753" t="s">
        <v>13728</v>
      </c>
      <c r="K4753" s="18">
        <f>62818894994</f>
        <v>62818894994</v>
      </c>
      <c r="N4753" s="17" t="s">
        <v>81</v>
      </c>
      <c r="V4753" s="18">
        <f>62818894994</f>
        <v>62818894994</v>
      </c>
    </row>
    <row r="4754" ht="15" customHeight="1" spans="1:28" x14ac:dyDescent="0.25">
      <c r="A4754" s="17" t="s">
        <v>13729</v>
      </c>
      <c r="B4754" s="17" t="s">
        <v>70</v>
      </c>
      <c r="C4754" s="17" t="s">
        <v>71</v>
      </c>
      <c r="D4754" t="s">
        <v>13502</v>
      </c>
      <c r="F4754" t="s">
        <v>13730</v>
      </c>
      <c r="J4754" s="17" t="s">
        <v>13731</v>
      </c>
      <c r="K4754" s="18" t="s">
        <v>13732</v>
      </c>
      <c r="N4754" s="17" t="s">
        <v>77</v>
      </c>
      <c r="O4754" t="s">
        <v>199</v>
      </c>
      <c r="U4754" s="17"/>
      <c r="V4754" s="18" t="s">
        <v>13732</v>
      </c>
      <c r="W4754" t="s">
        <v>13733</v>
      </c>
      <c r="Y4754" t="s">
        <v>90</v>
      </c>
      <c r="AA4754" t="s">
        <v>118</v>
      </c>
      <c r="AB4754" t="s">
        <v>119</v>
      </c>
    </row>
    <row r="4755" ht="15" customHeight="1" spans="1:28" x14ac:dyDescent="0.25">
      <c r="A4755" s="17" t="s">
        <v>13734</v>
      </c>
      <c r="B4755" s="17" t="s">
        <v>70</v>
      </c>
      <c r="C4755" s="17" t="s">
        <v>71</v>
      </c>
      <c r="D4755" t="s">
        <v>13735</v>
      </c>
      <c r="F4755" t="s">
        <v>13736</v>
      </c>
      <c r="J4755" t="s">
        <v>115</v>
      </c>
      <c r="K4755" s="18" t="s">
        <v>13737</v>
      </c>
      <c r="N4755" s="17" t="s">
        <v>77</v>
      </c>
      <c r="O4755" t="s">
        <v>199</v>
      </c>
      <c r="U4755" s="17"/>
      <c r="V4755" s="18" t="s">
        <v>13737</v>
      </c>
      <c r="W4755" t="s">
        <v>9772</v>
      </c>
      <c r="Y4755" t="s">
        <v>90</v>
      </c>
      <c r="AA4755" t="s">
        <v>118</v>
      </c>
      <c r="AB4755" t="s">
        <v>119</v>
      </c>
    </row>
    <row r="4756" ht="15" customHeight="1" spans="1:22" x14ac:dyDescent="0.25">
      <c r="A4756" s="17" t="s">
        <v>13738</v>
      </c>
      <c r="B4756" s="17" t="s">
        <v>70</v>
      </c>
      <c r="C4756" s="17" t="s">
        <v>71</v>
      </c>
      <c r="D4756" t="s">
        <v>13739</v>
      </c>
      <c r="F4756" t="s">
        <v>13740</v>
      </c>
      <c r="K4756" s="18">
        <f>6282292353677</f>
        <v>6282292353677</v>
      </c>
      <c r="N4756" s="17" t="s">
        <v>81</v>
      </c>
      <c r="V4756" s="18">
        <f>6282292353677</f>
        <v>6282292353677</v>
      </c>
    </row>
    <row r="4757" ht="15" customHeight="1" spans="1:22" x14ac:dyDescent="0.25">
      <c r="A4757" s="17" t="s">
        <v>13741</v>
      </c>
      <c r="B4757" s="17" t="s">
        <v>70</v>
      </c>
      <c r="C4757" s="17" t="s">
        <v>71</v>
      </c>
      <c r="D4757" t="s">
        <v>13742</v>
      </c>
      <c r="F4757" t="s">
        <v>13742</v>
      </c>
      <c r="K4757" s="18">
        <f>6281213303540</f>
        <v>6281213303540</v>
      </c>
      <c r="N4757" s="17" t="s">
        <v>81</v>
      </c>
      <c r="V4757" s="18">
        <f>6281213303540</f>
        <v>6281213303540</v>
      </c>
    </row>
    <row r="4758" ht="15" customHeight="1" spans="1:22" x14ac:dyDescent="0.25">
      <c r="A4758" s="17" t="s">
        <v>13743</v>
      </c>
      <c r="B4758" s="17" t="s">
        <v>70</v>
      </c>
      <c r="C4758" s="17" t="s">
        <v>71</v>
      </c>
      <c r="D4758" t="s">
        <v>13742</v>
      </c>
      <c r="F4758" t="s">
        <v>13744</v>
      </c>
      <c r="K4758" s="18">
        <f>62895637308813</f>
        <v>62895637308813</v>
      </c>
      <c r="N4758" s="17" t="s">
        <v>77</v>
      </c>
      <c r="V4758" s="18">
        <f>62895637308813</f>
        <v>62895637308813</v>
      </c>
    </row>
    <row r="4759" ht="15" customHeight="1" spans="1:28" x14ac:dyDescent="0.25">
      <c r="A4759" s="17" t="s">
        <v>13745</v>
      </c>
      <c r="B4759" s="17" t="s">
        <v>70</v>
      </c>
      <c r="C4759" s="17" t="s">
        <v>71</v>
      </c>
      <c r="D4759" t="s">
        <v>13746</v>
      </c>
      <c r="F4759" t="s">
        <v>13746</v>
      </c>
      <c r="J4759" t="s">
        <v>115</v>
      </c>
      <c r="K4759" s="18" t="s">
        <v>13747</v>
      </c>
      <c r="N4759" s="17" t="s">
        <v>77</v>
      </c>
      <c r="O4759" t="s">
        <v>145</v>
      </c>
      <c r="V4759" s="18" t="s">
        <v>13747</v>
      </c>
      <c r="Y4759" t="s">
        <v>190</v>
      </c>
      <c r="AA4759" t="s">
        <v>118</v>
      </c>
      <c r="AB4759" t="s">
        <v>119</v>
      </c>
    </row>
    <row r="4760" ht="15" customHeight="1" spans="1:22" x14ac:dyDescent="0.25">
      <c r="A4760" s="17" t="s">
        <v>13748</v>
      </c>
      <c r="B4760" s="17" t="s">
        <v>70</v>
      </c>
      <c r="C4760" s="17" t="s">
        <v>71</v>
      </c>
      <c r="D4760" t="s">
        <v>13749</v>
      </c>
      <c r="F4760" t="s">
        <v>13750</v>
      </c>
      <c r="K4760" s="18">
        <f>6285800000008</f>
        <v>6285800000008</v>
      </c>
      <c r="N4760" s="17" t="s">
        <v>81</v>
      </c>
      <c r="V4760" s="18">
        <f>6285800000008</f>
        <v>6285800000008</v>
      </c>
    </row>
    <row r="4761" ht="15" customHeight="1" spans="1:22" x14ac:dyDescent="0.25">
      <c r="A4761" s="17" t="s">
        <v>13751</v>
      </c>
      <c r="B4761" s="17" t="s">
        <v>70</v>
      </c>
      <c r="C4761" s="17" t="s">
        <v>71</v>
      </c>
      <c r="D4761" t="s">
        <v>13752</v>
      </c>
      <c r="F4761" t="s">
        <v>13753</v>
      </c>
      <c r="K4761" s="18">
        <f>62811130844</f>
        <v>62811130844</v>
      </c>
      <c r="N4761" s="17" t="s">
        <v>74</v>
      </c>
      <c r="V4761" s="18">
        <f>62811130844</f>
        <v>62811130844</v>
      </c>
    </row>
    <row r="4762" ht="15" customHeight="1" spans="1:22" x14ac:dyDescent="0.25">
      <c r="A4762" s="17" t="s">
        <v>13754</v>
      </c>
      <c r="B4762" s="17" t="s">
        <v>70</v>
      </c>
      <c r="C4762" s="17" t="s">
        <v>71</v>
      </c>
      <c r="D4762" t="s">
        <v>13755</v>
      </c>
      <c r="F4762" t="s">
        <v>150</v>
      </c>
      <c r="K4762" s="18">
        <f>628118088991</f>
        <v>628118088991</v>
      </c>
      <c r="N4762" s="17" t="s">
        <v>77</v>
      </c>
      <c r="V4762" s="18">
        <f>628118088991</f>
        <v>628118088991</v>
      </c>
    </row>
    <row r="4763" ht="15" customHeight="1" spans="1:28" x14ac:dyDescent="0.25">
      <c r="A4763" s="17" t="s">
        <v>13756</v>
      </c>
      <c r="B4763" s="17" t="s">
        <v>70</v>
      </c>
      <c r="C4763" s="17" t="s">
        <v>71</v>
      </c>
      <c r="D4763" t="s">
        <v>13755</v>
      </c>
      <c r="F4763" t="s">
        <v>13757</v>
      </c>
      <c r="J4763" s="17" t="s">
        <v>13758</v>
      </c>
      <c r="K4763" s="18" t="s">
        <v>13759</v>
      </c>
      <c r="N4763" s="17" t="s">
        <v>77</v>
      </c>
      <c r="O4763" t="s">
        <v>489</v>
      </c>
      <c r="V4763" s="18" t="s">
        <v>13759</v>
      </c>
      <c r="Y4763" t="s">
        <v>90</v>
      </c>
      <c r="AA4763" t="s">
        <v>118</v>
      </c>
      <c r="AB4763" t="s">
        <v>119</v>
      </c>
    </row>
    <row r="4764" ht="15" customHeight="1" spans="1:22" x14ac:dyDescent="0.25">
      <c r="A4764" s="17" t="s">
        <v>13760</v>
      </c>
      <c r="B4764" s="17" t="s">
        <v>70</v>
      </c>
      <c r="C4764" s="17" t="s">
        <v>71</v>
      </c>
      <c r="D4764" t="s">
        <v>13761</v>
      </c>
      <c r="F4764" t="s">
        <v>13761</v>
      </c>
      <c r="J4764" s="17" t="s">
        <v>13762</v>
      </c>
      <c r="K4764" s="18">
        <f>628985888588</f>
        <v>628985888588</v>
      </c>
      <c r="N4764" s="17" t="s">
        <v>81</v>
      </c>
      <c r="V4764" s="18">
        <f>628985888588</f>
        <v>628985888588</v>
      </c>
    </row>
    <row r="4765" ht="15" customHeight="1" spans="1:22" x14ac:dyDescent="0.25">
      <c r="A4765" s="17" t="s">
        <v>13763</v>
      </c>
      <c r="B4765" s="17" t="s">
        <v>70</v>
      </c>
      <c r="C4765" s="17" t="s">
        <v>71</v>
      </c>
      <c r="D4765" t="s">
        <v>13764</v>
      </c>
      <c r="F4765" t="s">
        <v>13765</v>
      </c>
      <c r="K4765" s="18">
        <f>628128585558</f>
        <v>628128585558</v>
      </c>
      <c r="N4765" s="17" t="s">
        <v>77</v>
      </c>
      <c r="V4765" s="18">
        <f>628128585558</f>
        <v>628128585558</v>
      </c>
    </row>
    <row r="4766" ht="15" customHeight="1" spans="1:28" x14ac:dyDescent="0.25">
      <c r="A4766" s="17" t="s">
        <v>13766</v>
      </c>
      <c r="B4766" s="17" t="s">
        <v>70</v>
      </c>
      <c r="C4766" s="17" t="s">
        <v>71</v>
      </c>
      <c r="D4766" t="s">
        <v>13767</v>
      </c>
      <c r="F4766" t="s">
        <v>13768</v>
      </c>
      <c r="J4766" s="17" t="s">
        <v>13769</v>
      </c>
      <c r="K4766" s="18" t="s">
        <v>13770</v>
      </c>
      <c r="N4766" s="17" t="s">
        <v>77</v>
      </c>
      <c r="O4766" t="s">
        <v>145</v>
      </c>
      <c r="V4766" s="18" t="s">
        <v>13770</v>
      </c>
      <c r="Y4766" t="s">
        <v>190</v>
      </c>
      <c r="AA4766" t="s">
        <v>118</v>
      </c>
      <c r="AB4766" t="s">
        <v>119</v>
      </c>
    </row>
    <row r="4767" ht="15" customHeight="1" spans="1:23" x14ac:dyDescent="0.25">
      <c r="A4767" s="17" t="s">
        <v>13771</v>
      </c>
      <c r="B4767" s="17" t="s">
        <v>70</v>
      </c>
      <c r="C4767" s="17" t="s">
        <v>71</v>
      </c>
      <c r="D4767" t="s">
        <v>13772</v>
      </c>
      <c r="F4767" t="s">
        <v>13773</v>
      </c>
      <c r="J4767" s="17" t="s">
        <v>13774</v>
      </c>
      <c r="K4767" s="18">
        <f>628170812661</f>
        <v>628170812661</v>
      </c>
      <c r="N4767" s="17" t="s">
        <v>77</v>
      </c>
      <c r="U4767" s="17"/>
      <c r="V4767" s="18">
        <f>628170812661</f>
        <v>628170812661</v>
      </c>
      <c r="W4767" t="s">
        <v>13775</v>
      </c>
    </row>
    <row r="4768" ht="15" customHeight="1" spans="1:27" x14ac:dyDescent="0.25">
      <c r="A4768" s="17" t="s">
        <v>13776</v>
      </c>
      <c r="B4768" s="17" t="s">
        <v>70</v>
      </c>
      <c r="C4768" s="17" t="s">
        <v>71</v>
      </c>
      <c r="D4768" t="s">
        <v>13777</v>
      </c>
      <c r="F4768" t="s">
        <v>13778</v>
      </c>
      <c r="J4768" s="17" t="s">
        <v>13779</v>
      </c>
      <c r="K4768" s="18">
        <f>628133636803</f>
        <v>628133636803</v>
      </c>
      <c r="N4768" s="17" t="s">
        <v>77</v>
      </c>
      <c r="U4768" s="17"/>
      <c r="V4768" s="18">
        <f>628133636803</f>
        <v>628133636803</v>
      </c>
      <c r="W4768" t="s">
        <v>13780</v>
      </c>
      <c r="Y4768" s="17" t="s">
        <v>1084</v>
      </c>
      <c r="AA4768" s="17">
        <v>14260</v>
      </c>
    </row>
    <row r="4769" ht="15" customHeight="1" spans="1:22" x14ac:dyDescent="0.25">
      <c r="A4769" s="17" t="s">
        <v>13781</v>
      </c>
      <c r="B4769" s="17" t="s">
        <v>70</v>
      </c>
      <c r="C4769" s="17" t="s">
        <v>71</v>
      </c>
      <c r="D4769" t="s">
        <v>13782</v>
      </c>
      <c r="F4769" t="s">
        <v>2029</v>
      </c>
      <c r="J4769" s="17" t="s">
        <v>13783</v>
      </c>
      <c r="K4769" s="18">
        <f>6281212390663</f>
        <v>6281212390663</v>
      </c>
      <c r="N4769" s="17" t="s">
        <v>77</v>
      </c>
      <c r="V4769" s="18">
        <f>6281212390663</f>
        <v>6281212390663</v>
      </c>
    </row>
    <row r="4770" ht="15" customHeight="1" spans="1:22" x14ac:dyDescent="0.25">
      <c r="A4770" s="17" t="s">
        <v>13784</v>
      </c>
      <c r="B4770" s="17" t="s">
        <v>70</v>
      </c>
      <c r="C4770" s="17" t="s">
        <v>71</v>
      </c>
      <c r="D4770" t="s">
        <v>13785</v>
      </c>
      <c r="F4770" t="s">
        <v>13786</v>
      </c>
      <c r="K4770" s="18">
        <f>6281284467226</f>
        <v>6281284467226</v>
      </c>
      <c r="N4770" s="17" t="s">
        <v>81</v>
      </c>
      <c r="V4770" s="18">
        <f>6281284467226</f>
        <v>6281284467226</v>
      </c>
    </row>
    <row r="4771" ht="15" customHeight="1" spans="1:22" x14ac:dyDescent="0.25">
      <c r="A4771" s="17" t="s">
        <v>13787</v>
      </c>
      <c r="B4771" s="17" t="s">
        <v>70</v>
      </c>
      <c r="C4771" s="17" t="s">
        <v>71</v>
      </c>
      <c r="D4771" t="s">
        <v>13788</v>
      </c>
      <c r="F4771" t="s">
        <v>13788</v>
      </c>
      <c r="K4771" s="18">
        <f>6281214111841</f>
        <v>6281214111841</v>
      </c>
      <c r="N4771" s="17" t="s">
        <v>77</v>
      </c>
      <c r="V4771" s="18">
        <f>6281214111841</f>
        <v>6281214111841</v>
      </c>
    </row>
    <row r="4772" ht="15" customHeight="1" spans="1:28" x14ac:dyDescent="0.25">
      <c r="A4772" s="17" t="s">
        <v>13789</v>
      </c>
      <c r="B4772" s="17" t="s">
        <v>70</v>
      </c>
      <c r="C4772" s="17" t="s">
        <v>71</v>
      </c>
      <c r="D4772" t="s">
        <v>13788</v>
      </c>
      <c r="F4772" t="s">
        <v>13790</v>
      </c>
      <c r="J4772" t="s">
        <v>115</v>
      </c>
      <c r="K4772" s="18" t="s">
        <v>13791</v>
      </c>
      <c r="N4772" s="17" t="s">
        <v>77</v>
      </c>
      <c r="O4772" t="s">
        <v>199</v>
      </c>
      <c r="V4772" s="18" t="s">
        <v>13791</v>
      </c>
      <c r="Y4772" t="s">
        <v>190</v>
      </c>
      <c r="AA4772" t="s">
        <v>118</v>
      </c>
      <c r="AB4772" t="s">
        <v>119</v>
      </c>
    </row>
    <row r="4773" ht="15" customHeight="1" spans="1:23" x14ac:dyDescent="0.25">
      <c r="A4773" s="17" t="s">
        <v>13792</v>
      </c>
      <c r="B4773" s="17" t="s">
        <v>70</v>
      </c>
      <c r="C4773" s="17" t="s">
        <v>71</v>
      </c>
      <c r="D4773" t="s">
        <v>13793</v>
      </c>
      <c r="F4773" t="s">
        <v>13793</v>
      </c>
      <c r="K4773" s="18">
        <f>6285676166</f>
        <v>6285676166</v>
      </c>
      <c r="N4773" s="17" t="s">
        <v>81</v>
      </c>
      <c r="U4773" s="17"/>
      <c r="V4773" s="18">
        <f>6285676166</f>
        <v>6285676166</v>
      </c>
      <c r="W4773" t="s">
        <v>13794</v>
      </c>
    </row>
    <row r="4774" ht="15" customHeight="1" spans="1:22" x14ac:dyDescent="0.25">
      <c r="A4774" s="17" t="s">
        <v>13795</v>
      </c>
      <c r="B4774" s="17" t="s">
        <v>70</v>
      </c>
      <c r="C4774" s="17" t="s">
        <v>71</v>
      </c>
      <c r="D4774" t="s">
        <v>13796</v>
      </c>
      <c r="F4774" t="s">
        <v>13796</v>
      </c>
      <c r="K4774" s="18">
        <f>6281288117998</f>
        <v>6281288117998</v>
      </c>
      <c r="N4774" s="17" t="s">
        <v>81</v>
      </c>
      <c r="V4774" s="18">
        <f>6281288117998</f>
        <v>6281288117998</v>
      </c>
    </row>
    <row r="4775" ht="15" customHeight="1" spans="1:23" x14ac:dyDescent="0.25">
      <c r="A4775" s="17" t="s">
        <v>13797</v>
      </c>
      <c r="B4775" s="17" t="s">
        <v>70</v>
      </c>
      <c r="C4775" s="17" t="s">
        <v>71</v>
      </c>
      <c r="D4775" t="s">
        <v>13796</v>
      </c>
      <c r="F4775" t="s">
        <v>13796</v>
      </c>
      <c r="K4775" s="18">
        <v>62081288117998</v>
      </c>
      <c r="N4775" s="17" t="s">
        <v>81</v>
      </c>
      <c r="U4775" s="17"/>
      <c r="V4775" s="18">
        <v>62081288117998</v>
      </c>
      <c r="W4775" t="s">
        <v>13798</v>
      </c>
    </row>
    <row r="4776" ht="15" customHeight="1" spans="1:27" x14ac:dyDescent="0.25">
      <c r="A4776" s="17" t="s">
        <v>13799</v>
      </c>
      <c r="B4776" s="17" t="s">
        <v>70</v>
      </c>
      <c r="C4776" s="17" t="s">
        <v>71</v>
      </c>
      <c r="D4776" t="s">
        <v>13800</v>
      </c>
      <c r="F4776" t="s">
        <v>4985</v>
      </c>
      <c r="K4776" s="18">
        <f>62215494033</f>
        <v>62215494033</v>
      </c>
      <c r="N4776" s="17" t="s">
        <v>77</v>
      </c>
      <c r="U4776" s="17"/>
      <c r="V4776" s="18">
        <f>62215494033</f>
        <v>62215494033</v>
      </c>
      <c r="W4776" t="s">
        <v>13801</v>
      </c>
      <c r="Y4776" s="17" t="s">
        <v>90</v>
      </c>
      <c r="AA4776" s="17">
        <v>11550</v>
      </c>
    </row>
    <row r="4777" ht="15" customHeight="1" spans="1:22" x14ac:dyDescent="0.25">
      <c r="A4777" s="17" t="s">
        <v>13802</v>
      </c>
      <c r="B4777" s="17" t="s">
        <v>70</v>
      </c>
      <c r="C4777" s="17" t="s">
        <v>71</v>
      </c>
      <c r="D4777" t="s">
        <v>13803</v>
      </c>
      <c r="F4777" t="s">
        <v>13804</v>
      </c>
      <c r="K4777" s="18">
        <f>62811212382</f>
        <v>62811212382</v>
      </c>
      <c r="N4777" s="17" t="s">
        <v>74</v>
      </c>
      <c r="V4777" s="18">
        <f>62811212382</f>
        <v>62811212382</v>
      </c>
    </row>
    <row r="4778" ht="15" customHeight="1" spans="1:22" x14ac:dyDescent="0.25">
      <c r="A4778" s="17" t="s">
        <v>13805</v>
      </c>
      <c r="B4778" s="17" t="s">
        <v>70</v>
      </c>
      <c r="C4778" s="17" t="s">
        <v>71</v>
      </c>
      <c r="D4778" t="s">
        <v>13806</v>
      </c>
      <c r="F4778" t="s">
        <v>13807</v>
      </c>
      <c r="K4778" s="18">
        <f>628176367788</f>
        <v>628176367788</v>
      </c>
      <c r="N4778" s="17" t="s">
        <v>81</v>
      </c>
      <c r="V4778" s="18">
        <f>628176367788</f>
        <v>628176367788</v>
      </c>
    </row>
    <row r="4779" ht="15" customHeight="1" spans="1:27" x14ac:dyDescent="0.25">
      <c r="A4779" s="17" t="s">
        <v>13808</v>
      </c>
      <c r="B4779" s="17" t="s">
        <v>70</v>
      </c>
      <c r="C4779" s="17" t="s">
        <v>71</v>
      </c>
      <c r="D4779" t="s">
        <v>13809</v>
      </c>
      <c r="F4779" t="s">
        <v>13809</v>
      </c>
      <c r="J4779" s="17" t="s">
        <v>13810</v>
      </c>
      <c r="K4779" s="18">
        <f>6282145381378</f>
        <v>6282145381378</v>
      </c>
      <c r="N4779" s="17" t="s">
        <v>77</v>
      </c>
      <c r="U4779" s="17"/>
      <c r="V4779" s="18">
        <f>6282145381378</f>
        <v>6282145381378</v>
      </c>
      <c r="W4779" t="s">
        <v>13811</v>
      </c>
      <c r="Y4779" s="17" t="s">
        <v>397</v>
      </c>
      <c r="AA4779" s="17">
        <v>17148</v>
      </c>
    </row>
    <row r="4780" ht="15" customHeight="1" spans="1:28" x14ac:dyDescent="0.25">
      <c r="A4780" s="17" t="s">
        <v>13812</v>
      </c>
      <c r="B4780" s="17" t="s">
        <v>70</v>
      </c>
      <c r="C4780" s="17" t="s">
        <v>71</v>
      </c>
      <c r="D4780" t="s">
        <v>13813</v>
      </c>
      <c r="F4780" t="s">
        <v>13814</v>
      </c>
      <c r="J4780" s="17" t="s">
        <v>13815</v>
      </c>
      <c r="K4780" s="18" t="s">
        <v>13816</v>
      </c>
      <c r="N4780" s="17" t="s">
        <v>77</v>
      </c>
      <c r="O4780" t="s">
        <v>199</v>
      </c>
      <c r="U4780" s="17"/>
      <c r="V4780" s="18" t="s">
        <v>13816</v>
      </c>
      <c r="W4780" t="s">
        <v>13817</v>
      </c>
      <c r="Y4780" t="s">
        <v>515</v>
      </c>
      <c r="AA4780" t="s">
        <v>1614</v>
      </c>
      <c r="AB4780" t="s">
        <v>119</v>
      </c>
    </row>
    <row r="4781" ht="15" customHeight="1" spans="1:22" x14ac:dyDescent="0.25">
      <c r="A4781" s="17" t="s">
        <v>13818</v>
      </c>
      <c r="B4781" s="17" t="s">
        <v>70</v>
      </c>
      <c r="C4781" s="17" t="s">
        <v>71</v>
      </c>
      <c r="D4781" t="s">
        <v>13819</v>
      </c>
      <c r="F4781" t="s">
        <v>13819</v>
      </c>
      <c r="K4781" s="18">
        <f>6287877788818</f>
        <v>6287877788818</v>
      </c>
      <c r="N4781" s="17" t="s">
        <v>77</v>
      </c>
      <c r="V4781" s="18">
        <f>6287877788818</f>
        <v>6287877788818</v>
      </c>
    </row>
    <row r="4782" ht="15" customHeight="1" spans="1:22" x14ac:dyDescent="0.25">
      <c r="A4782" s="17" t="s">
        <v>13820</v>
      </c>
      <c r="B4782" s="17" t="s">
        <v>70</v>
      </c>
      <c r="C4782" s="17" t="s">
        <v>71</v>
      </c>
      <c r="D4782" t="s">
        <v>13819</v>
      </c>
      <c r="F4782" t="s">
        <v>10127</v>
      </c>
      <c r="K4782" s="18">
        <f>628114492310</f>
        <v>628114492310</v>
      </c>
      <c r="N4782" s="17" t="s">
        <v>81</v>
      </c>
      <c r="V4782" s="18">
        <f>628114492310</f>
        <v>628114492310</v>
      </c>
    </row>
    <row r="4783" ht="15" customHeight="1" spans="1:28" x14ac:dyDescent="0.25">
      <c r="A4783" s="17" t="s">
        <v>13821</v>
      </c>
      <c r="B4783" s="17" t="s">
        <v>70</v>
      </c>
      <c r="C4783" s="17" t="s">
        <v>71</v>
      </c>
      <c r="D4783" t="s">
        <v>13819</v>
      </c>
      <c r="F4783" t="s">
        <v>13822</v>
      </c>
      <c r="J4783" s="17" t="s">
        <v>13823</v>
      </c>
      <c r="K4783" s="18" t="s">
        <v>13824</v>
      </c>
      <c r="N4783" s="17" t="s">
        <v>81</v>
      </c>
      <c r="O4783" t="s">
        <v>145</v>
      </c>
      <c r="U4783" s="17"/>
      <c r="V4783" s="18" t="s">
        <v>13824</v>
      </c>
      <c r="W4783" t="s">
        <v>90</v>
      </c>
      <c r="Y4783" t="s">
        <v>90</v>
      </c>
      <c r="AA4783" t="s">
        <v>118</v>
      </c>
      <c r="AB4783" t="s">
        <v>119</v>
      </c>
    </row>
    <row r="4784" ht="15" customHeight="1" spans="1:25" x14ac:dyDescent="0.25">
      <c r="A4784" s="17" t="s">
        <v>13825</v>
      </c>
      <c r="B4784" s="17" t="s">
        <v>70</v>
      </c>
      <c r="C4784" s="17" t="s">
        <v>71</v>
      </c>
      <c r="D4784" t="s">
        <v>13819</v>
      </c>
      <c r="F4784" t="s">
        <v>13826</v>
      </c>
      <c r="K4784" s="18">
        <f>6281284457431</f>
        <v>6281284457431</v>
      </c>
      <c r="N4784" s="17" t="s">
        <v>81</v>
      </c>
      <c r="U4784" s="17"/>
      <c r="V4784" s="18">
        <f>6281284457431</f>
        <v>6281284457431</v>
      </c>
      <c r="W4784" t="s">
        <v>13827</v>
      </c>
      <c r="Y4784" s="17" t="s">
        <v>626</v>
      </c>
    </row>
    <row r="4785" ht="15" customHeight="1" spans="1:22" x14ac:dyDescent="0.25">
      <c r="A4785" s="17" t="s">
        <v>13828</v>
      </c>
      <c r="B4785" s="17" t="s">
        <v>70</v>
      </c>
      <c r="C4785" s="17" t="s">
        <v>71</v>
      </c>
      <c r="D4785" t="s">
        <v>13829</v>
      </c>
      <c r="F4785" t="s">
        <v>4858</v>
      </c>
      <c r="K4785" s="18">
        <f>6281382123020</f>
        <v>6281382123020</v>
      </c>
      <c r="N4785" s="17" t="s">
        <v>77</v>
      </c>
      <c r="V4785" s="18">
        <f>6281382123020</f>
        <v>6281382123020</v>
      </c>
    </row>
    <row r="4786" ht="15" customHeight="1" spans="1:22" x14ac:dyDescent="0.25">
      <c r="A4786" s="17" t="s">
        <v>13830</v>
      </c>
      <c r="B4786" s="17" t="s">
        <v>70</v>
      </c>
      <c r="C4786" s="17" t="s">
        <v>71</v>
      </c>
      <c r="D4786" t="s">
        <v>12559</v>
      </c>
      <c r="F4786" t="s">
        <v>12559</v>
      </c>
      <c r="K4786" s="18">
        <f>62817837838</f>
        <v>62817837838</v>
      </c>
      <c r="N4786" s="17" t="s">
        <v>81</v>
      </c>
      <c r="V4786" s="18">
        <f>62817837838</f>
        <v>62817837838</v>
      </c>
    </row>
    <row r="4787" ht="15" customHeight="1" spans="1:22" x14ac:dyDescent="0.25">
      <c r="A4787" s="17" t="s">
        <v>13831</v>
      </c>
      <c r="B4787" s="17" t="s">
        <v>70</v>
      </c>
      <c r="C4787" s="17" t="s">
        <v>71</v>
      </c>
      <c r="D4787" t="s">
        <v>13832</v>
      </c>
      <c r="F4787" t="s">
        <v>1163</v>
      </c>
      <c r="K4787" s="18">
        <f>6282176709270</f>
        <v>6282176709270</v>
      </c>
      <c r="N4787" s="17" t="s">
        <v>77</v>
      </c>
      <c r="V4787" s="18">
        <f>6282176709270</f>
        <v>6282176709270</v>
      </c>
    </row>
    <row r="4788" ht="15" customHeight="1" spans="1:23" x14ac:dyDescent="0.25">
      <c r="A4788" s="17" t="s">
        <v>13833</v>
      </c>
      <c r="B4788" s="17" t="s">
        <v>70</v>
      </c>
      <c r="C4788" s="17" t="s">
        <v>71</v>
      </c>
      <c r="D4788" t="s">
        <v>13834</v>
      </c>
      <c r="F4788" t="s">
        <v>13835</v>
      </c>
      <c r="K4788" s="18">
        <f>6282114900919</f>
        <v>6282114900919</v>
      </c>
      <c r="N4788" s="17" t="s">
        <v>81</v>
      </c>
      <c r="U4788" s="17"/>
      <c r="V4788" s="18">
        <f>6282114900919</f>
        <v>6282114900919</v>
      </c>
      <c r="W4788" t="s">
        <v>13836</v>
      </c>
    </row>
    <row r="4789" ht="15" customHeight="1" spans="1:28" x14ac:dyDescent="0.25">
      <c r="A4789" s="17" t="s">
        <v>13837</v>
      </c>
      <c r="B4789" s="17" t="s">
        <v>70</v>
      </c>
      <c r="C4789" s="17" t="s">
        <v>71</v>
      </c>
      <c r="D4789" t="s">
        <v>13838</v>
      </c>
      <c r="F4789" t="s">
        <v>13839</v>
      </c>
      <c r="J4789" t="s">
        <v>115</v>
      </c>
      <c r="K4789" s="18" t="s">
        <v>13840</v>
      </c>
      <c r="N4789" s="17" t="s">
        <v>77</v>
      </c>
      <c r="O4789" t="s">
        <v>199</v>
      </c>
      <c r="U4789" s="17"/>
      <c r="V4789" s="18" t="s">
        <v>13840</v>
      </c>
      <c r="W4789" t="s">
        <v>13841</v>
      </c>
      <c r="Y4789" t="s">
        <v>1084</v>
      </c>
      <c r="AA4789" t="s">
        <v>3146</v>
      </c>
      <c r="AB4789" t="s">
        <v>119</v>
      </c>
    </row>
    <row r="4790" ht="15" customHeight="1" spans="1:28" x14ac:dyDescent="0.25">
      <c r="A4790" s="17" t="s">
        <v>13842</v>
      </c>
      <c r="B4790" s="17" t="s">
        <v>70</v>
      </c>
      <c r="C4790" s="17" t="s">
        <v>71</v>
      </c>
      <c r="D4790" t="s">
        <v>13834</v>
      </c>
      <c r="F4790" t="s">
        <v>13843</v>
      </c>
      <c r="J4790" t="s">
        <v>115</v>
      </c>
      <c r="K4790" s="18" t="s">
        <v>13844</v>
      </c>
      <c r="N4790" s="17" t="s">
        <v>77</v>
      </c>
      <c r="O4790" t="s">
        <v>199</v>
      </c>
      <c r="V4790" s="18" t="s">
        <v>13844</v>
      </c>
      <c r="Y4790" t="s">
        <v>90</v>
      </c>
      <c r="AA4790" t="s">
        <v>118</v>
      </c>
      <c r="AB4790" t="s">
        <v>119</v>
      </c>
    </row>
    <row r="4791" ht="15" customHeight="1" spans="1:22" x14ac:dyDescent="0.25">
      <c r="A4791" s="17" t="s">
        <v>13845</v>
      </c>
      <c r="B4791" s="17" t="s">
        <v>70</v>
      </c>
      <c r="C4791" s="17" t="s">
        <v>71</v>
      </c>
      <c r="D4791" t="s">
        <v>13846</v>
      </c>
      <c r="F4791" t="s">
        <v>13846</v>
      </c>
      <c r="K4791" s="18">
        <f>628189162218</f>
        <v>628189162218</v>
      </c>
      <c r="N4791" s="17" t="s">
        <v>77</v>
      </c>
      <c r="V4791" s="18">
        <f>628189162218</f>
        <v>628189162218</v>
      </c>
    </row>
    <row r="4792" ht="15" customHeight="1" spans="1:27" x14ac:dyDescent="0.25">
      <c r="A4792" s="17" t="s">
        <v>13847</v>
      </c>
      <c r="B4792" s="17" t="s">
        <v>70</v>
      </c>
      <c r="C4792" s="17" t="s">
        <v>71</v>
      </c>
      <c r="D4792" t="s">
        <v>13846</v>
      </c>
      <c r="F4792" t="s">
        <v>13846</v>
      </c>
      <c r="K4792" s="18">
        <f>62811108344</f>
        <v>62811108344</v>
      </c>
      <c r="N4792" s="17" t="s">
        <v>77</v>
      </c>
      <c r="U4792" s="17"/>
      <c r="V4792" s="18">
        <f>62811108344</f>
        <v>62811108344</v>
      </c>
      <c r="W4792" t="s">
        <v>13848</v>
      </c>
      <c r="Y4792" s="17" t="s">
        <v>96</v>
      </c>
      <c r="AA4792" s="17" t="s">
        <v>13849</v>
      </c>
    </row>
    <row r="4793" ht="15" customHeight="1" spans="1:22" x14ac:dyDescent="0.25">
      <c r="A4793" s="17" t="s">
        <v>13850</v>
      </c>
      <c r="B4793" s="17" t="s">
        <v>70</v>
      </c>
      <c r="C4793" s="17" t="s">
        <v>71</v>
      </c>
      <c r="D4793" t="s">
        <v>13846</v>
      </c>
      <c r="F4793" t="s">
        <v>13846</v>
      </c>
      <c r="K4793" s="18">
        <f>6285966566100</f>
        <v>6285966566100</v>
      </c>
      <c r="N4793" s="17" t="s">
        <v>77</v>
      </c>
      <c r="V4793" s="18">
        <f>6285966566100</f>
        <v>6285966566100</v>
      </c>
    </row>
    <row r="4794" ht="15" customHeight="1" spans="1:28" x14ac:dyDescent="0.25">
      <c r="A4794" s="17" t="s">
        <v>13851</v>
      </c>
      <c r="B4794" s="17" t="s">
        <v>70</v>
      </c>
      <c r="C4794" s="17" t="s">
        <v>71</v>
      </c>
      <c r="D4794" t="s">
        <v>13846</v>
      </c>
      <c r="F4794" t="s">
        <v>3830</v>
      </c>
      <c r="J4794" t="s">
        <v>13852</v>
      </c>
      <c r="K4794" s="18" t="s">
        <v>13853</v>
      </c>
      <c r="N4794" s="17" t="s">
        <v>77</v>
      </c>
      <c r="O4794" t="s">
        <v>145</v>
      </c>
      <c r="V4794" s="18" t="s">
        <v>13853</v>
      </c>
      <c r="Y4794" t="s">
        <v>190</v>
      </c>
      <c r="AA4794" t="s">
        <v>118</v>
      </c>
      <c r="AB4794" t="s">
        <v>119</v>
      </c>
    </row>
    <row r="4795" ht="15" customHeight="1" spans="1:22" x14ac:dyDescent="0.25">
      <c r="A4795" s="17" t="s">
        <v>13854</v>
      </c>
      <c r="B4795" s="17" t="s">
        <v>70</v>
      </c>
      <c r="C4795" s="17" t="s">
        <v>71</v>
      </c>
      <c r="D4795" t="s">
        <v>13846</v>
      </c>
      <c r="F4795" t="s">
        <v>13855</v>
      </c>
      <c r="K4795" s="18">
        <f>6282110159335</f>
        <v>6282110159335</v>
      </c>
      <c r="N4795" s="17" t="s">
        <v>77</v>
      </c>
      <c r="V4795" s="18">
        <f>6282110159335</f>
        <v>6282110159335</v>
      </c>
    </row>
    <row r="4796" ht="15" customHeight="1" spans="1:22" x14ac:dyDescent="0.25">
      <c r="A4796" s="17" t="s">
        <v>13856</v>
      </c>
      <c r="B4796" s="17" t="s">
        <v>70</v>
      </c>
      <c r="C4796" s="17" t="s">
        <v>71</v>
      </c>
      <c r="D4796" t="s">
        <v>13846</v>
      </c>
      <c r="F4796" t="s">
        <v>8515</v>
      </c>
      <c r="K4796" s="18">
        <f>6282120502869</f>
        <v>6282120502869</v>
      </c>
      <c r="N4796" s="17" t="s">
        <v>77</v>
      </c>
      <c r="V4796" s="18">
        <f>6282120502869</f>
        <v>6282120502869</v>
      </c>
    </row>
    <row r="4797" ht="15" customHeight="1" spans="1:25" x14ac:dyDescent="0.25">
      <c r="A4797" s="17" t="s">
        <v>13857</v>
      </c>
      <c r="B4797" s="17" t="s">
        <v>70</v>
      </c>
      <c r="C4797" s="17" t="s">
        <v>71</v>
      </c>
      <c r="D4797" t="s">
        <v>13846</v>
      </c>
      <c r="F4797" t="s">
        <v>638</v>
      </c>
      <c r="J4797" s="17" t="s">
        <v>13858</v>
      </c>
      <c r="K4797" s="18">
        <f>628119772721</f>
        <v>628119772721</v>
      </c>
      <c r="N4797" s="17" t="s">
        <v>77</v>
      </c>
      <c r="U4797" s="17"/>
      <c r="V4797" s="18">
        <f>628119772721</f>
        <v>628119772721</v>
      </c>
      <c r="W4797" t="s">
        <v>13859</v>
      </c>
      <c r="Y4797" s="17" t="s">
        <v>90</v>
      </c>
    </row>
    <row r="4798" ht="15" customHeight="1" spans="1:28" x14ac:dyDescent="0.25">
      <c r="A4798" s="17" t="s">
        <v>13860</v>
      </c>
      <c r="B4798" s="17" t="s">
        <v>70</v>
      </c>
      <c r="C4798" s="17" t="s">
        <v>71</v>
      </c>
      <c r="D4798" t="s">
        <v>13782</v>
      </c>
      <c r="F4798" t="s">
        <v>13861</v>
      </c>
      <c r="J4798" t="s">
        <v>115</v>
      </c>
      <c r="K4798" s="18" t="s">
        <v>13862</v>
      </c>
      <c r="N4798" s="17" t="s">
        <v>74</v>
      </c>
      <c r="O4798" t="s">
        <v>117</v>
      </c>
      <c r="U4798" s="17"/>
      <c r="V4798" s="18" t="s">
        <v>13862</v>
      </c>
      <c r="W4798" t="s">
        <v>13863</v>
      </c>
      <c r="Y4798" t="s">
        <v>190</v>
      </c>
      <c r="AA4798" t="s">
        <v>118</v>
      </c>
      <c r="AB4798" t="s">
        <v>119</v>
      </c>
    </row>
    <row r="4799" ht="15" customHeight="1" spans="1:22" x14ac:dyDescent="0.25">
      <c r="A4799" s="17" t="s">
        <v>13864</v>
      </c>
      <c r="B4799" s="17" t="s">
        <v>70</v>
      </c>
      <c r="C4799" s="17" t="s">
        <v>71</v>
      </c>
      <c r="D4799" t="s">
        <v>13865</v>
      </c>
      <c r="F4799" t="s">
        <v>13866</v>
      </c>
      <c r="K4799" s="18">
        <f>6281211223322</f>
        <v>6281211223322</v>
      </c>
      <c r="N4799" s="17" t="s">
        <v>81</v>
      </c>
      <c r="V4799" s="18">
        <f>6281211223322</f>
        <v>6281211223322</v>
      </c>
    </row>
    <row r="4800" ht="15" customHeight="1" spans="1:27" x14ac:dyDescent="0.25">
      <c r="A4800" s="17" t="s">
        <v>13867</v>
      </c>
      <c r="B4800" s="17" t="s">
        <v>70</v>
      </c>
      <c r="C4800" s="17" t="s">
        <v>71</v>
      </c>
      <c r="D4800" t="s">
        <v>13868</v>
      </c>
      <c r="F4800" t="s">
        <v>13869</v>
      </c>
      <c r="J4800" s="17" t="s">
        <v>13870</v>
      </c>
      <c r="K4800" s="18">
        <f>6283770045499</f>
        <v>6283770045499</v>
      </c>
      <c r="N4800" s="17" t="s">
        <v>77</v>
      </c>
      <c r="U4800" s="17"/>
      <c r="V4800" s="18">
        <f>6283770045499</f>
        <v>6283770045499</v>
      </c>
      <c r="W4800" t="s">
        <v>13871</v>
      </c>
      <c r="Y4800" s="17" t="s">
        <v>96</v>
      </c>
      <c r="AA4800" s="17">
        <v>12210</v>
      </c>
    </row>
    <row r="4801" ht="15" customHeight="1" spans="1:22" x14ac:dyDescent="0.25">
      <c r="A4801" s="17" t="s">
        <v>13872</v>
      </c>
      <c r="B4801" s="17" t="s">
        <v>70</v>
      </c>
      <c r="C4801" s="17" t="s">
        <v>71</v>
      </c>
      <c r="D4801" t="s">
        <v>13873</v>
      </c>
      <c r="F4801" t="s">
        <v>13873</v>
      </c>
      <c r="K4801" s="18">
        <f>628129846366</f>
        <v>628129846366</v>
      </c>
      <c r="N4801" s="17" t="s">
        <v>77</v>
      </c>
      <c r="V4801" s="18">
        <f>628129846366</f>
        <v>628129846366</v>
      </c>
    </row>
    <row r="4802" ht="15" customHeight="1" spans="1:22" x14ac:dyDescent="0.25">
      <c r="A4802" s="17" t="s">
        <v>13874</v>
      </c>
      <c r="B4802" s="17" t="s">
        <v>70</v>
      </c>
      <c r="C4802" s="17" t="s">
        <v>71</v>
      </c>
      <c r="D4802" t="s">
        <v>13875</v>
      </c>
      <c r="F4802" t="s">
        <v>13876</v>
      </c>
      <c r="K4802" s="18">
        <f>6281287479698</f>
        <v>6281287479698</v>
      </c>
      <c r="N4802" s="17" t="s">
        <v>77</v>
      </c>
      <c r="V4802" s="18">
        <f>6281287479698</f>
        <v>6281287479698</v>
      </c>
    </row>
    <row r="4803" ht="15" customHeight="1" spans="1:22" x14ac:dyDescent="0.25">
      <c r="A4803" s="17" t="s">
        <v>13877</v>
      </c>
      <c r="B4803" s="17" t="s">
        <v>70</v>
      </c>
      <c r="C4803" s="17" t="s">
        <v>71</v>
      </c>
      <c r="D4803" t="s">
        <v>13878</v>
      </c>
      <c r="F4803" t="s">
        <v>1169</v>
      </c>
      <c r="K4803" s="18">
        <f>6289615151787</f>
        <v>6289615151787</v>
      </c>
      <c r="N4803" s="17" t="s">
        <v>77</v>
      </c>
      <c r="V4803" s="18">
        <f>6289615151787</f>
        <v>6289615151787</v>
      </c>
    </row>
    <row r="4804" ht="15" customHeight="1" spans="1:25" x14ac:dyDescent="0.25">
      <c r="A4804" s="17" t="s">
        <v>13879</v>
      </c>
      <c r="B4804" s="17" t="s">
        <v>70</v>
      </c>
      <c r="C4804" s="17" t="s">
        <v>71</v>
      </c>
      <c r="D4804" t="s">
        <v>13880</v>
      </c>
      <c r="F4804" t="s">
        <v>10407</v>
      </c>
      <c r="K4804" s="18">
        <f>628122018879</f>
        <v>628122018879</v>
      </c>
      <c r="N4804" s="17" t="s">
        <v>77</v>
      </c>
      <c r="U4804" s="17"/>
      <c r="V4804" s="18">
        <f>628122018879</f>
        <v>628122018879</v>
      </c>
      <c r="W4804" t="s">
        <v>13881</v>
      </c>
      <c r="Y4804" s="17" t="s">
        <v>90</v>
      </c>
    </row>
    <row r="4805" ht="15" customHeight="1" spans="1:23" x14ac:dyDescent="0.25">
      <c r="A4805" s="17" t="s">
        <v>13882</v>
      </c>
      <c r="B4805" s="17" t="s">
        <v>70</v>
      </c>
      <c r="C4805" s="17" t="s">
        <v>71</v>
      </c>
      <c r="D4805" t="s">
        <v>13883</v>
      </c>
      <c r="F4805" t="s">
        <v>11765</v>
      </c>
      <c r="J4805" s="17" t="s">
        <v>13884</v>
      </c>
      <c r="K4805" s="18">
        <f>6285691112210</f>
        <v>6285691112210</v>
      </c>
      <c r="N4805" s="17" t="s">
        <v>77</v>
      </c>
      <c r="U4805" s="17"/>
      <c r="V4805" s="18">
        <f>6285691112210</f>
        <v>6285691112210</v>
      </c>
      <c r="W4805" t="s">
        <v>13885</v>
      </c>
    </row>
    <row r="4806" ht="15" customHeight="1" spans="1:22" x14ac:dyDescent="0.25">
      <c r="A4806" s="17" t="s">
        <v>13886</v>
      </c>
      <c r="B4806" s="17" t="s">
        <v>70</v>
      </c>
      <c r="C4806" s="17" t="s">
        <v>71</v>
      </c>
      <c r="D4806" t="s">
        <v>938</v>
      </c>
      <c r="F4806" t="s">
        <v>13887</v>
      </c>
      <c r="K4806" s="18">
        <f>6281290060656</f>
        <v>6281290060656</v>
      </c>
      <c r="N4806" s="17" t="s">
        <v>74</v>
      </c>
      <c r="V4806" s="18">
        <f>6281290060656</f>
        <v>6281290060656</v>
      </c>
    </row>
    <row r="4807" ht="15" customHeight="1" spans="1:25" x14ac:dyDescent="0.25">
      <c r="A4807" s="17" t="s">
        <v>13888</v>
      </c>
      <c r="B4807" s="17" t="s">
        <v>70</v>
      </c>
      <c r="C4807" s="17" t="s">
        <v>71</v>
      </c>
      <c r="D4807" t="s">
        <v>938</v>
      </c>
      <c r="F4807" t="s">
        <v>10615</v>
      </c>
      <c r="K4807" s="18">
        <f>6281808883423</f>
        <v>6281808883423</v>
      </c>
      <c r="N4807" s="17" t="s">
        <v>77</v>
      </c>
      <c r="U4807" s="17"/>
      <c r="V4807" s="18">
        <f>6281808883423</f>
        <v>6281808883423</v>
      </c>
      <c r="W4807" t="s">
        <v>13889</v>
      </c>
      <c r="Y4807" s="17" t="s">
        <v>90</v>
      </c>
    </row>
    <row r="4808" ht="15" customHeight="1" spans="1:28" x14ac:dyDescent="0.25">
      <c r="A4808" s="17" t="s">
        <v>13890</v>
      </c>
      <c r="B4808" s="17" t="s">
        <v>70</v>
      </c>
      <c r="C4808" s="17" t="s">
        <v>71</v>
      </c>
      <c r="D4808" t="s">
        <v>938</v>
      </c>
      <c r="F4808" t="s">
        <v>13891</v>
      </c>
      <c r="J4808" t="s">
        <v>115</v>
      </c>
      <c r="K4808" s="18" t="s">
        <v>13892</v>
      </c>
      <c r="N4808" s="17" t="s">
        <v>77</v>
      </c>
      <c r="O4808" t="s">
        <v>489</v>
      </c>
      <c r="V4808" s="18" t="s">
        <v>13892</v>
      </c>
      <c r="Y4808" t="s">
        <v>90</v>
      </c>
      <c r="AA4808" t="s">
        <v>118</v>
      </c>
      <c r="AB4808" t="s">
        <v>119</v>
      </c>
    </row>
    <row r="4809" ht="15" customHeight="1" spans="1:28" x14ac:dyDescent="0.25">
      <c r="A4809" s="17" t="s">
        <v>13893</v>
      </c>
      <c r="B4809" s="17" t="s">
        <v>70</v>
      </c>
      <c r="C4809" s="17" t="s">
        <v>71</v>
      </c>
      <c r="D4809" t="s">
        <v>938</v>
      </c>
      <c r="F4809" t="s">
        <v>1694</v>
      </c>
      <c r="J4809" s="17" t="s">
        <v>13894</v>
      </c>
      <c r="K4809" s="18" t="s">
        <v>13895</v>
      </c>
      <c r="N4809" s="17" t="s">
        <v>77</v>
      </c>
      <c r="O4809" t="s">
        <v>489</v>
      </c>
      <c r="U4809" s="17"/>
      <c r="V4809" s="18" t="s">
        <v>13895</v>
      </c>
      <c r="W4809" t="s">
        <v>13896</v>
      </c>
      <c r="Y4809" t="s">
        <v>90</v>
      </c>
      <c r="AA4809" t="s">
        <v>118</v>
      </c>
      <c r="AB4809" t="s">
        <v>119</v>
      </c>
    </row>
    <row r="4810" ht="15" customHeight="1" spans="1:22" x14ac:dyDescent="0.25">
      <c r="A4810" s="17" t="s">
        <v>13897</v>
      </c>
      <c r="B4810" s="17" t="s">
        <v>70</v>
      </c>
      <c r="C4810" s="17" t="s">
        <v>71</v>
      </c>
      <c r="D4810" t="s">
        <v>938</v>
      </c>
      <c r="F4810" t="s">
        <v>13898</v>
      </c>
      <c r="K4810" s="18">
        <f>62811638166</f>
        <v>62811638166</v>
      </c>
      <c r="N4810" s="17" t="s">
        <v>77</v>
      </c>
      <c r="V4810" s="18">
        <f>62811638166</f>
        <v>62811638166</v>
      </c>
    </row>
    <row r="4811" ht="15" customHeight="1" spans="1:25" x14ac:dyDescent="0.25">
      <c r="A4811" s="17" t="s">
        <v>13899</v>
      </c>
      <c r="B4811" s="17" t="s">
        <v>70</v>
      </c>
      <c r="C4811" s="17" t="s">
        <v>71</v>
      </c>
      <c r="D4811" t="s">
        <v>938</v>
      </c>
      <c r="F4811" t="s">
        <v>1070</v>
      </c>
      <c r="K4811" s="18">
        <f>6282257888024</f>
        <v>6282257888024</v>
      </c>
      <c r="N4811" s="17" t="s">
        <v>77</v>
      </c>
      <c r="V4811" s="18">
        <f>6282257888024</f>
        <v>6282257888024</v>
      </c>
      <c r="Y4811" s="17" t="s">
        <v>5642</v>
      </c>
    </row>
    <row r="4812" ht="15" customHeight="1" spans="1:28" x14ac:dyDescent="0.25">
      <c r="A4812" s="17" t="s">
        <v>13900</v>
      </c>
      <c r="B4812" s="17" t="s">
        <v>70</v>
      </c>
      <c r="C4812" s="17" t="s">
        <v>71</v>
      </c>
      <c r="D4812" t="s">
        <v>938</v>
      </c>
      <c r="F4812" t="s">
        <v>3512</v>
      </c>
      <c r="J4812" s="17" t="s">
        <v>13901</v>
      </c>
      <c r="K4812" s="18" t="s">
        <v>13902</v>
      </c>
      <c r="N4812" s="17" t="s">
        <v>77</v>
      </c>
      <c r="O4812" t="s">
        <v>117</v>
      </c>
      <c r="V4812" s="18" t="s">
        <v>13902</v>
      </c>
      <c r="Y4812" t="s">
        <v>115</v>
      </c>
      <c r="AA4812" t="s">
        <v>115</v>
      </c>
      <c r="AB4812" t="s">
        <v>119</v>
      </c>
    </row>
    <row r="4813" ht="15" customHeight="1" spans="1:28" x14ac:dyDescent="0.25">
      <c r="A4813" s="17" t="s">
        <v>13903</v>
      </c>
      <c r="B4813" s="17" t="s">
        <v>70</v>
      </c>
      <c r="C4813" s="17" t="s">
        <v>71</v>
      </c>
      <c r="D4813" t="s">
        <v>938</v>
      </c>
      <c r="F4813" t="s">
        <v>4394</v>
      </c>
      <c r="J4813" t="s">
        <v>115</v>
      </c>
      <c r="K4813" s="18" t="s">
        <v>13904</v>
      </c>
      <c r="N4813" s="17" t="s">
        <v>81</v>
      </c>
      <c r="O4813" t="s">
        <v>199</v>
      </c>
      <c r="V4813" s="18" t="s">
        <v>13904</v>
      </c>
      <c r="Y4813" t="s">
        <v>115</v>
      </c>
      <c r="AA4813" t="s">
        <v>115</v>
      </c>
      <c r="AB4813" t="s">
        <v>119</v>
      </c>
    </row>
    <row r="4814" ht="15" customHeight="1" spans="1:22" x14ac:dyDescent="0.25">
      <c r="A4814" s="17" t="s">
        <v>13905</v>
      </c>
      <c r="B4814" s="17" t="s">
        <v>70</v>
      </c>
      <c r="C4814" s="17" t="s">
        <v>71</v>
      </c>
      <c r="D4814" t="s">
        <v>938</v>
      </c>
      <c r="F4814" t="s">
        <v>13906</v>
      </c>
      <c r="K4814" s="18">
        <f>628159126576</f>
        <v>628159126576</v>
      </c>
      <c r="N4814" s="17" t="s">
        <v>81</v>
      </c>
      <c r="V4814" s="18">
        <f>628159126576</f>
        <v>628159126576</v>
      </c>
    </row>
    <row r="4815" ht="15" customHeight="1" spans="1:28" x14ac:dyDescent="0.25">
      <c r="A4815" s="17" t="s">
        <v>13907</v>
      </c>
      <c r="B4815" s="17" t="s">
        <v>70</v>
      </c>
      <c r="C4815" s="17" t="s">
        <v>71</v>
      </c>
      <c r="D4815" t="s">
        <v>938</v>
      </c>
      <c r="F4815" t="s">
        <v>13908</v>
      </c>
      <c r="J4815" t="s">
        <v>13909</v>
      </c>
      <c r="K4815" s="18" t="s">
        <v>13910</v>
      </c>
      <c r="N4815" s="17" t="s">
        <v>77</v>
      </c>
      <c r="O4815" t="s">
        <v>117</v>
      </c>
      <c r="V4815" s="18" t="s">
        <v>13910</v>
      </c>
      <c r="Y4815" t="s">
        <v>90</v>
      </c>
      <c r="AA4815" t="s">
        <v>118</v>
      </c>
      <c r="AB4815" t="s">
        <v>119</v>
      </c>
    </row>
    <row r="4816" ht="15" customHeight="1" spans="1:23" x14ac:dyDescent="0.25">
      <c r="A4816" s="17" t="s">
        <v>13911</v>
      </c>
      <c r="B4816" s="17" t="s">
        <v>70</v>
      </c>
      <c r="C4816" s="17" t="s">
        <v>71</v>
      </c>
      <c r="D4816" t="s">
        <v>938</v>
      </c>
      <c r="F4816" t="s">
        <v>13912</v>
      </c>
      <c r="K4816" s="18">
        <f>62818855858</f>
        <v>62818855858</v>
      </c>
      <c r="N4816" s="17" t="s">
        <v>77</v>
      </c>
      <c r="U4816" s="17"/>
      <c r="V4816" s="18">
        <f>62818855858</f>
        <v>62818855858</v>
      </c>
      <c r="W4816" t="s">
        <v>13913</v>
      </c>
    </row>
    <row r="4817" ht="15" customHeight="1" spans="1:23" x14ac:dyDescent="0.25">
      <c r="A4817" s="17" t="s">
        <v>13914</v>
      </c>
      <c r="B4817" s="17" t="s">
        <v>70</v>
      </c>
      <c r="C4817" s="17" t="s">
        <v>71</v>
      </c>
      <c r="D4817" t="s">
        <v>13915</v>
      </c>
      <c r="F4817" t="s">
        <v>13916</v>
      </c>
      <c r="K4817" s="18">
        <f>628111766836</f>
        <v>628111766836</v>
      </c>
      <c r="N4817" s="17" t="s">
        <v>77</v>
      </c>
      <c r="U4817" s="17"/>
      <c r="V4817" s="18">
        <f>628111766836</f>
        <v>628111766836</v>
      </c>
      <c r="W4817" t="s">
        <v>13917</v>
      </c>
    </row>
    <row r="4818" ht="15" customHeight="1" spans="1:22" x14ac:dyDescent="0.25">
      <c r="A4818" s="17" t="s">
        <v>13918</v>
      </c>
      <c r="B4818" s="17" t="s">
        <v>70</v>
      </c>
      <c r="C4818" s="17" t="s">
        <v>71</v>
      </c>
      <c r="D4818" t="s">
        <v>13919</v>
      </c>
      <c r="F4818" t="s">
        <v>13920</v>
      </c>
      <c r="K4818" s="18">
        <f>628215821228</f>
        <v>628215821228</v>
      </c>
      <c r="N4818" s="17" t="s">
        <v>77</v>
      </c>
      <c r="V4818" s="18">
        <f>628215821228</f>
        <v>628215821228</v>
      </c>
    </row>
    <row r="4819" ht="15" customHeight="1" spans="1:23" x14ac:dyDescent="0.25">
      <c r="A4819" s="17" t="s">
        <v>13921</v>
      </c>
      <c r="B4819" s="17" t="s">
        <v>70</v>
      </c>
      <c r="C4819" s="17" t="s">
        <v>71</v>
      </c>
      <c r="D4819" t="s">
        <v>13922</v>
      </c>
      <c r="F4819" t="s">
        <v>11744</v>
      </c>
      <c r="J4819" s="17" t="s">
        <v>13923</v>
      </c>
      <c r="K4819" s="18">
        <f>62816874057</f>
        <v>62816874057</v>
      </c>
      <c r="N4819" s="17" t="s">
        <v>77</v>
      </c>
      <c r="U4819" s="17"/>
      <c r="V4819" s="18">
        <f>62816874057</f>
        <v>62816874057</v>
      </c>
      <c r="W4819" t="s">
        <v>13924</v>
      </c>
    </row>
    <row r="4820" ht="15" customHeight="1" spans="1:22" x14ac:dyDescent="0.25">
      <c r="A4820" s="17" t="s">
        <v>13925</v>
      </c>
      <c r="B4820" s="17" t="s">
        <v>70</v>
      </c>
      <c r="C4820" s="17" t="s">
        <v>71</v>
      </c>
      <c r="D4820" t="s">
        <v>13926</v>
      </c>
      <c r="F4820" t="s">
        <v>13926</v>
      </c>
      <c r="J4820" s="17" t="s">
        <v>13927</v>
      </c>
      <c r="K4820" s="18">
        <f>6287788303015</f>
        <v>6287788303015</v>
      </c>
      <c r="N4820" s="17" t="s">
        <v>81</v>
      </c>
      <c r="V4820" s="18">
        <f>6287788303015</f>
        <v>6287788303015</v>
      </c>
    </row>
    <row r="4821" ht="15" customHeight="1" spans="1:22" x14ac:dyDescent="0.25">
      <c r="A4821" s="17" t="s">
        <v>13928</v>
      </c>
      <c r="B4821" s="17" t="s">
        <v>70</v>
      </c>
      <c r="C4821" s="17" t="s">
        <v>71</v>
      </c>
      <c r="D4821" t="s">
        <v>13926</v>
      </c>
      <c r="F4821" t="s">
        <v>13926</v>
      </c>
      <c r="K4821" s="18">
        <f>6281291602600</f>
        <v>6281291602600</v>
      </c>
      <c r="N4821" s="17" t="s">
        <v>81</v>
      </c>
      <c r="V4821" s="18">
        <f>6281291602600</f>
        <v>6281291602600</v>
      </c>
    </row>
    <row r="4822" ht="15" customHeight="1" spans="1:22" x14ac:dyDescent="0.25">
      <c r="A4822" s="17" t="s">
        <v>13929</v>
      </c>
      <c r="B4822" s="17" t="s">
        <v>70</v>
      </c>
      <c r="C4822" s="17" t="s">
        <v>71</v>
      </c>
      <c r="D4822" t="s">
        <v>13926</v>
      </c>
      <c r="F4822" t="s">
        <v>629</v>
      </c>
      <c r="K4822" s="18">
        <f>6282191234567</f>
        <v>6282191234567</v>
      </c>
      <c r="N4822" s="17" t="s">
        <v>77</v>
      </c>
      <c r="V4822" s="18">
        <f>6282191234567</f>
        <v>6282191234567</v>
      </c>
    </row>
    <row r="4823" ht="15" customHeight="1" spans="1:22" x14ac:dyDescent="0.25">
      <c r="A4823" s="17" t="s">
        <v>13930</v>
      </c>
      <c r="B4823" s="17" t="s">
        <v>70</v>
      </c>
      <c r="C4823" s="17" t="s">
        <v>71</v>
      </c>
      <c r="D4823" t="s">
        <v>13926</v>
      </c>
      <c r="F4823" t="s">
        <v>1869</v>
      </c>
      <c r="K4823" s="18">
        <f>6287808768889</f>
        <v>6287808768889</v>
      </c>
      <c r="N4823" s="17" t="s">
        <v>74</v>
      </c>
      <c r="V4823" s="18">
        <f>6287808768889</f>
        <v>6287808768889</v>
      </c>
    </row>
    <row r="4824" ht="15" customHeight="1" spans="1:28" x14ac:dyDescent="0.25">
      <c r="A4824" s="17" t="s">
        <v>13931</v>
      </c>
      <c r="B4824" s="17" t="s">
        <v>70</v>
      </c>
      <c r="C4824" s="17" t="s">
        <v>71</v>
      </c>
      <c r="D4824" t="s">
        <v>13926</v>
      </c>
      <c r="F4824" t="s">
        <v>4485</v>
      </c>
      <c r="J4824" t="s">
        <v>115</v>
      </c>
      <c r="K4824" s="18" t="s">
        <v>13932</v>
      </c>
      <c r="N4824" s="17" t="s">
        <v>81</v>
      </c>
      <c r="O4824" t="s">
        <v>117</v>
      </c>
      <c r="U4824" s="17"/>
      <c r="V4824" s="18" t="s">
        <v>13932</v>
      </c>
      <c r="W4824" t="s">
        <v>13933</v>
      </c>
      <c r="Y4824" t="s">
        <v>190</v>
      </c>
      <c r="AA4824" t="s">
        <v>118</v>
      </c>
      <c r="AB4824" t="s">
        <v>119</v>
      </c>
    </row>
    <row r="4825" ht="15" customHeight="1" spans="1:27" x14ac:dyDescent="0.25">
      <c r="A4825" s="17" t="s">
        <v>13934</v>
      </c>
      <c r="B4825" s="17" t="s">
        <v>70</v>
      </c>
      <c r="C4825" s="17" t="s">
        <v>71</v>
      </c>
      <c r="D4825" t="s">
        <v>13935</v>
      </c>
      <c r="F4825" t="s">
        <v>3248</v>
      </c>
      <c r="K4825" s="18">
        <f>62817177866</f>
        <v>62817177866</v>
      </c>
      <c r="N4825" s="17" t="s">
        <v>81</v>
      </c>
      <c r="U4825" s="17"/>
      <c r="V4825" s="18">
        <f>62817177866</f>
        <v>62817177866</v>
      </c>
      <c r="W4825" t="s">
        <v>13936</v>
      </c>
      <c r="Y4825" s="17" t="s">
        <v>96</v>
      </c>
      <c r="AA4825" s="17">
        <v>14240</v>
      </c>
    </row>
    <row r="4826" ht="15" customHeight="1" spans="1:22" x14ac:dyDescent="0.25">
      <c r="A4826" s="17" t="s">
        <v>13937</v>
      </c>
      <c r="B4826" s="17" t="s">
        <v>70</v>
      </c>
      <c r="C4826" s="17" t="s">
        <v>71</v>
      </c>
      <c r="D4826" t="s">
        <v>13938</v>
      </c>
      <c r="F4826" t="s">
        <v>13939</v>
      </c>
      <c r="K4826" s="18">
        <f>628161910910</f>
        <v>628161910910</v>
      </c>
      <c r="N4826" s="17" t="s">
        <v>77</v>
      </c>
      <c r="V4826" s="18">
        <f>628161910910</f>
        <v>628161910910</v>
      </c>
    </row>
    <row r="4827" ht="15" customHeight="1" spans="1:27" x14ac:dyDescent="0.25">
      <c r="A4827" s="17" t="s">
        <v>13940</v>
      </c>
      <c r="B4827" s="17" t="s">
        <v>70</v>
      </c>
      <c r="C4827" s="17" t="s">
        <v>71</v>
      </c>
      <c r="D4827" t="s">
        <v>13941</v>
      </c>
      <c r="F4827" t="s">
        <v>4669</v>
      </c>
      <c r="J4827" s="17" t="s">
        <v>13942</v>
      </c>
      <c r="K4827" s="18">
        <f>6287877550008</f>
        <v>6287877550008</v>
      </c>
      <c r="N4827" s="17" t="s">
        <v>81</v>
      </c>
      <c r="U4827" s="17"/>
      <c r="V4827" s="18">
        <f>6287877550008</f>
        <v>6287877550008</v>
      </c>
      <c r="W4827" t="s">
        <v>13943</v>
      </c>
      <c r="Y4827" s="17" t="s">
        <v>13944</v>
      </c>
      <c r="AA4827" s="17">
        <v>15326</v>
      </c>
    </row>
    <row r="4828" ht="15" customHeight="1" spans="1:28" x14ac:dyDescent="0.25">
      <c r="A4828" s="17" t="s">
        <v>13945</v>
      </c>
      <c r="B4828" s="17" t="s">
        <v>70</v>
      </c>
      <c r="C4828" s="17" t="s">
        <v>71</v>
      </c>
      <c r="D4828" t="s">
        <v>13946</v>
      </c>
      <c r="F4828" t="s">
        <v>13946</v>
      </c>
      <c r="J4828" t="s">
        <v>115</v>
      </c>
      <c r="K4828" s="18" t="s">
        <v>13947</v>
      </c>
      <c r="N4828" s="17" t="s">
        <v>77</v>
      </c>
      <c r="O4828" t="s">
        <v>117</v>
      </c>
      <c r="V4828" s="18" t="s">
        <v>13947</v>
      </c>
      <c r="Y4828" t="s">
        <v>96</v>
      </c>
      <c r="AA4828" t="s">
        <v>693</v>
      </c>
      <c r="AB4828" t="s">
        <v>119</v>
      </c>
    </row>
    <row r="4829" ht="15" customHeight="1" spans="1:25" x14ac:dyDescent="0.25">
      <c r="A4829" s="17" t="s">
        <v>13948</v>
      </c>
      <c r="B4829" s="17" t="s">
        <v>70</v>
      </c>
      <c r="C4829" s="17" t="s">
        <v>71</v>
      </c>
      <c r="D4829" t="s">
        <v>13949</v>
      </c>
      <c r="F4829" t="s">
        <v>13949</v>
      </c>
      <c r="K4829" s="18">
        <f>6285263630555</f>
        <v>6285263630555</v>
      </c>
      <c r="N4829" s="17" t="s">
        <v>81</v>
      </c>
      <c r="U4829" s="17"/>
      <c r="V4829" s="18">
        <f>6285263630555</f>
        <v>6285263630555</v>
      </c>
      <c r="W4829" t="s">
        <v>13950</v>
      </c>
      <c r="Y4829" s="17" t="s">
        <v>1157</v>
      </c>
    </row>
    <row r="4830" ht="15" customHeight="1" spans="1:22" x14ac:dyDescent="0.25">
      <c r="A4830" s="17" t="s">
        <v>13951</v>
      </c>
      <c r="B4830" s="17" t="s">
        <v>70</v>
      </c>
      <c r="C4830" s="17" t="s">
        <v>71</v>
      </c>
      <c r="D4830" t="s">
        <v>13952</v>
      </c>
      <c r="F4830" t="s">
        <v>13952</v>
      </c>
      <c r="K4830" s="18">
        <f>6281808621050</f>
        <v>6281808621050</v>
      </c>
      <c r="N4830" s="17" t="s">
        <v>77</v>
      </c>
      <c r="V4830" s="18">
        <f>6281808621050</f>
        <v>6281808621050</v>
      </c>
    </row>
    <row r="4831" ht="15" customHeight="1" spans="1:22" x14ac:dyDescent="0.25">
      <c r="A4831" s="17" t="s">
        <v>13953</v>
      </c>
      <c r="B4831" s="17" t="s">
        <v>70</v>
      </c>
      <c r="C4831" s="17" t="s">
        <v>71</v>
      </c>
      <c r="D4831" t="s">
        <v>13952</v>
      </c>
      <c r="F4831" t="s">
        <v>618</v>
      </c>
      <c r="K4831" s="18">
        <f>628122002830</f>
        <v>628122002830</v>
      </c>
      <c r="N4831" s="17" t="s">
        <v>77</v>
      </c>
      <c r="V4831" s="18">
        <f>628122002830</f>
        <v>628122002830</v>
      </c>
    </row>
    <row r="4832" ht="15" customHeight="1" spans="1:28" x14ac:dyDescent="0.25">
      <c r="A4832" s="17" t="s">
        <v>13954</v>
      </c>
      <c r="B4832" s="17" t="s">
        <v>70</v>
      </c>
      <c r="C4832" s="17" t="s">
        <v>71</v>
      </c>
      <c r="D4832" t="s">
        <v>13952</v>
      </c>
      <c r="F4832" t="s">
        <v>12117</v>
      </c>
      <c r="J4832" s="17" t="s">
        <v>13955</v>
      </c>
      <c r="K4832" s="18" t="s">
        <v>13956</v>
      </c>
      <c r="N4832" s="17" t="s">
        <v>77</v>
      </c>
      <c r="O4832" t="s">
        <v>199</v>
      </c>
      <c r="V4832" s="18" t="s">
        <v>13956</v>
      </c>
      <c r="Y4832" t="s">
        <v>190</v>
      </c>
      <c r="AA4832" t="s">
        <v>118</v>
      </c>
      <c r="AB4832" t="s">
        <v>119</v>
      </c>
    </row>
    <row r="4833" ht="15" customHeight="1" spans="1:22" x14ac:dyDescent="0.25">
      <c r="A4833" s="17" t="s">
        <v>13957</v>
      </c>
      <c r="B4833" s="17" t="s">
        <v>70</v>
      </c>
      <c r="C4833" s="17" t="s">
        <v>71</v>
      </c>
      <c r="D4833" t="s">
        <v>13952</v>
      </c>
      <c r="F4833" t="s">
        <v>1169</v>
      </c>
      <c r="K4833" s="18">
        <f>628111369168</f>
        <v>628111369168</v>
      </c>
      <c r="N4833" s="17" t="s">
        <v>77</v>
      </c>
      <c r="V4833" s="18">
        <f>628111369168</f>
        <v>628111369168</v>
      </c>
    </row>
    <row r="4834" ht="15" customHeight="1" spans="1:28" x14ac:dyDescent="0.25">
      <c r="A4834" s="17" t="s">
        <v>13958</v>
      </c>
      <c r="B4834" s="17" t="s">
        <v>70</v>
      </c>
      <c r="C4834" s="17" t="s">
        <v>71</v>
      </c>
      <c r="D4834" t="s">
        <v>13949</v>
      </c>
      <c r="F4834" t="s">
        <v>13959</v>
      </c>
      <c r="J4834" s="17" t="s">
        <v>13960</v>
      </c>
      <c r="K4834" s="18" t="s">
        <v>13961</v>
      </c>
      <c r="N4834" s="17" t="s">
        <v>77</v>
      </c>
      <c r="O4834" t="s">
        <v>117</v>
      </c>
      <c r="U4834" s="17"/>
      <c r="V4834" s="18" t="s">
        <v>13961</v>
      </c>
      <c r="W4834" t="s">
        <v>13962</v>
      </c>
      <c r="Y4834" s="17" t="s">
        <v>190</v>
      </c>
      <c r="AA4834" t="s">
        <v>118</v>
      </c>
      <c r="AB4834" t="s">
        <v>119</v>
      </c>
    </row>
    <row r="4835" ht="15" customHeight="1" spans="1:22" x14ac:dyDescent="0.25">
      <c r="A4835" s="17" t="s">
        <v>13963</v>
      </c>
      <c r="B4835" s="17" t="s">
        <v>70</v>
      </c>
      <c r="C4835" s="17" t="s">
        <v>71</v>
      </c>
      <c r="D4835" t="s">
        <v>13964</v>
      </c>
      <c r="F4835" t="s">
        <v>9659</v>
      </c>
      <c r="K4835" s="18">
        <f>628128266721</f>
        <v>628128266721</v>
      </c>
      <c r="N4835" s="17" t="s">
        <v>77</v>
      </c>
      <c r="V4835" s="18">
        <f>628128266721</f>
        <v>628128266721</v>
      </c>
    </row>
    <row r="4836" ht="15" customHeight="1" spans="1:22" x14ac:dyDescent="0.25">
      <c r="A4836" s="17" t="s">
        <v>13965</v>
      </c>
      <c r="B4836" s="17" t="s">
        <v>70</v>
      </c>
      <c r="C4836" s="17" t="s">
        <v>71</v>
      </c>
      <c r="D4836" t="s">
        <v>13966</v>
      </c>
      <c r="F4836" t="s">
        <v>5890</v>
      </c>
      <c r="K4836" s="18">
        <f>6281380315296</f>
        <v>6281380315296</v>
      </c>
      <c r="N4836" s="17" t="s">
        <v>81</v>
      </c>
      <c r="V4836" s="18">
        <f>6281380315296</f>
        <v>6281380315296</v>
      </c>
    </row>
    <row r="4837" ht="15" customHeight="1" spans="1:22" x14ac:dyDescent="0.25">
      <c r="A4837" s="17" t="s">
        <v>13967</v>
      </c>
      <c r="B4837" s="17" t="s">
        <v>70</v>
      </c>
      <c r="C4837" s="17" t="s">
        <v>71</v>
      </c>
      <c r="D4837" t="s">
        <v>13966</v>
      </c>
      <c r="F4837" t="s">
        <v>13968</v>
      </c>
      <c r="J4837" s="17" t="s">
        <v>13969</v>
      </c>
      <c r="K4837" s="18">
        <f>6591696950</f>
        <v>6591696950</v>
      </c>
      <c r="N4837" s="17" t="s">
        <v>77</v>
      </c>
      <c r="V4837" s="18">
        <f>6591696950</f>
        <v>6591696950</v>
      </c>
    </row>
    <row r="4838" ht="15" customHeight="1" spans="1:22" x14ac:dyDescent="0.25">
      <c r="A4838" s="17" t="s">
        <v>13970</v>
      </c>
      <c r="B4838" s="17" t="s">
        <v>70</v>
      </c>
      <c r="C4838" s="17" t="s">
        <v>71</v>
      </c>
      <c r="D4838" t="s">
        <v>13971</v>
      </c>
      <c r="F4838" t="s">
        <v>13971</v>
      </c>
      <c r="K4838" s="18">
        <v>13701370739</v>
      </c>
      <c r="N4838" s="17" t="s">
        <v>77</v>
      </c>
      <c r="V4838" s="18">
        <v>13701370739</v>
      </c>
    </row>
    <row r="4839" ht="15" customHeight="1" spans="1:22" x14ac:dyDescent="0.25">
      <c r="A4839" s="17" t="s">
        <v>13972</v>
      </c>
      <c r="B4839" s="17" t="s">
        <v>70</v>
      </c>
      <c r="C4839" s="17" t="s">
        <v>71</v>
      </c>
      <c r="D4839" t="s">
        <v>13973</v>
      </c>
      <c r="F4839" t="s">
        <v>13973</v>
      </c>
      <c r="K4839" s="18">
        <f>62811786887</f>
        <v>62811786887</v>
      </c>
      <c r="N4839" s="17" t="s">
        <v>77</v>
      </c>
      <c r="V4839" s="18">
        <f>62811786887</f>
        <v>62811786887</v>
      </c>
    </row>
    <row r="4840" ht="15" customHeight="1" spans="1:28" x14ac:dyDescent="0.25">
      <c r="A4840" s="17" t="s">
        <v>13974</v>
      </c>
      <c r="B4840" s="17" t="s">
        <v>70</v>
      </c>
      <c r="C4840" s="17" t="s">
        <v>71</v>
      </c>
      <c r="D4840" t="s">
        <v>13975</v>
      </c>
      <c r="F4840" t="s">
        <v>13975</v>
      </c>
      <c r="J4840" t="s">
        <v>115</v>
      </c>
      <c r="K4840" s="18" t="s">
        <v>13976</v>
      </c>
      <c r="N4840" s="17" t="s">
        <v>77</v>
      </c>
      <c r="O4840" t="s">
        <v>117</v>
      </c>
      <c r="V4840" s="18" t="s">
        <v>13976</v>
      </c>
      <c r="Y4840" t="s">
        <v>90</v>
      </c>
      <c r="AA4840" t="s">
        <v>118</v>
      </c>
      <c r="AB4840" t="s">
        <v>119</v>
      </c>
    </row>
    <row r="4841" ht="15" customHeight="1" spans="1:28" x14ac:dyDescent="0.25">
      <c r="A4841" s="17" t="s">
        <v>13977</v>
      </c>
      <c r="B4841" s="17" t="s">
        <v>70</v>
      </c>
      <c r="C4841" s="17" t="s">
        <v>71</v>
      </c>
      <c r="D4841" t="s">
        <v>13478</v>
      </c>
      <c r="F4841" t="s">
        <v>9553</v>
      </c>
      <c r="J4841" t="s">
        <v>115</v>
      </c>
      <c r="K4841" s="18" t="s">
        <v>13978</v>
      </c>
      <c r="N4841" s="17" t="s">
        <v>77</v>
      </c>
      <c r="O4841" t="s">
        <v>145</v>
      </c>
      <c r="V4841" s="18" t="s">
        <v>13978</v>
      </c>
      <c r="Y4841" t="s">
        <v>90</v>
      </c>
      <c r="AA4841" t="s">
        <v>118</v>
      </c>
      <c r="AB4841" t="s">
        <v>119</v>
      </c>
    </row>
    <row r="4842" ht="15" customHeight="1" spans="1:23" x14ac:dyDescent="0.25">
      <c r="A4842" s="17" t="s">
        <v>13979</v>
      </c>
      <c r="B4842" s="17" t="s">
        <v>70</v>
      </c>
      <c r="C4842" s="17" t="s">
        <v>71</v>
      </c>
      <c r="D4842" t="s">
        <v>13980</v>
      </c>
      <c r="F4842" t="s">
        <v>153</v>
      </c>
      <c r="K4842" s="18">
        <f>6281357070880</f>
        <v>6281357070880</v>
      </c>
      <c r="N4842" s="17" t="s">
        <v>81</v>
      </c>
      <c r="U4842" s="17"/>
      <c r="V4842" s="18">
        <f>6281357070880</f>
        <v>6281357070880</v>
      </c>
      <c r="W4842" t="s">
        <v>13981</v>
      </c>
    </row>
    <row r="4843" ht="15" customHeight="1" spans="1:22" x14ac:dyDescent="0.25">
      <c r="A4843" s="17" t="s">
        <v>13982</v>
      </c>
      <c r="B4843" s="17" t="s">
        <v>70</v>
      </c>
      <c r="C4843" s="17" t="s">
        <v>71</v>
      </c>
      <c r="D4843" t="s">
        <v>13980</v>
      </c>
      <c r="F4843" t="s">
        <v>8925</v>
      </c>
      <c r="K4843" s="18">
        <f>628159000058</f>
        <v>628159000058</v>
      </c>
      <c r="N4843" s="17" t="s">
        <v>81</v>
      </c>
      <c r="V4843" s="18">
        <f>628159000058</f>
        <v>628159000058</v>
      </c>
    </row>
    <row r="4844" ht="15" customHeight="1" spans="1:22" x14ac:dyDescent="0.25">
      <c r="A4844" s="17" t="s">
        <v>13983</v>
      </c>
      <c r="B4844" s="17" t="s">
        <v>70</v>
      </c>
      <c r="C4844" s="17" t="s">
        <v>71</v>
      </c>
      <c r="D4844" t="s">
        <v>13478</v>
      </c>
      <c r="F4844" t="s">
        <v>13478</v>
      </c>
      <c r="K4844" s="18">
        <f>6282113938811</f>
        <v>6282113938811</v>
      </c>
      <c r="N4844" s="17" t="s">
        <v>77</v>
      </c>
      <c r="V4844" s="18">
        <f>6282113938811</f>
        <v>6282113938811</v>
      </c>
    </row>
    <row r="4845" ht="15" customHeight="1" spans="1:22" x14ac:dyDescent="0.25">
      <c r="A4845" s="17" t="s">
        <v>13984</v>
      </c>
      <c r="B4845" s="17" t="s">
        <v>70</v>
      </c>
      <c r="C4845" s="17" t="s">
        <v>71</v>
      </c>
      <c r="D4845" t="s">
        <v>13478</v>
      </c>
      <c r="F4845" t="s">
        <v>13478</v>
      </c>
      <c r="K4845" s="18">
        <f>6281219373598</f>
        <v>6281219373598</v>
      </c>
      <c r="N4845" s="17" t="s">
        <v>81</v>
      </c>
      <c r="V4845" s="18">
        <f>6281219373598</f>
        <v>6281219373598</v>
      </c>
    </row>
    <row r="4846" ht="15" customHeight="1" spans="1:23" x14ac:dyDescent="0.25">
      <c r="A4846" s="17" t="s">
        <v>13985</v>
      </c>
      <c r="B4846" s="17" t="s">
        <v>70</v>
      </c>
      <c r="C4846" s="17" t="s">
        <v>71</v>
      </c>
      <c r="D4846" t="s">
        <v>13478</v>
      </c>
      <c r="F4846" t="s">
        <v>13986</v>
      </c>
      <c r="K4846" s="18">
        <f>6281285482411</f>
        <v>6281285482411</v>
      </c>
      <c r="N4846" s="17" t="s">
        <v>81</v>
      </c>
      <c r="U4846" s="17"/>
      <c r="V4846" s="18">
        <f>6281285482411</f>
        <v>6281285482411</v>
      </c>
      <c r="W4846" t="s">
        <v>13987</v>
      </c>
    </row>
    <row r="4847" ht="15" customHeight="1" spans="1:28" x14ac:dyDescent="0.25">
      <c r="A4847" s="17" t="s">
        <v>13988</v>
      </c>
      <c r="B4847" s="17" t="s">
        <v>70</v>
      </c>
      <c r="C4847" s="17" t="s">
        <v>71</v>
      </c>
      <c r="D4847" t="s">
        <v>13478</v>
      </c>
      <c r="F4847" t="s">
        <v>13989</v>
      </c>
      <c r="J4847" t="s">
        <v>13990</v>
      </c>
      <c r="K4847" s="18" t="s">
        <v>13991</v>
      </c>
      <c r="N4847" s="17" t="s">
        <v>77</v>
      </c>
      <c r="O4847" t="s">
        <v>117</v>
      </c>
      <c r="V4847" s="18" t="s">
        <v>13991</v>
      </c>
      <c r="Y4847" t="s">
        <v>190</v>
      </c>
      <c r="AA4847" t="s">
        <v>118</v>
      </c>
      <c r="AB4847" t="s">
        <v>119</v>
      </c>
    </row>
    <row r="4848" ht="15" customHeight="1" spans="1:25" x14ac:dyDescent="0.25">
      <c r="A4848" s="17" t="s">
        <v>13992</v>
      </c>
      <c r="B4848" s="17" t="s">
        <v>70</v>
      </c>
      <c r="C4848" s="17" t="s">
        <v>71</v>
      </c>
      <c r="D4848" t="s">
        <v>13478</v>
      </c>
      <c r="F4848" t="s">
        <v>3931</v>
      </c>
      <c r="K4848" s="18">
        <v>226029109</v>
      </c>
      <c r="N4848" s="17" t="s">
        <v>77</v>
      </c>
      <c r="U4848" s="17"/>
      <c r="V4848" s="18">
        <v>226029109</v>
      </c>
      <c r="W4848" t="s">
        <v>13993</v>
      </c>
      <c r="Y4848" s="17" t="s">
        <v>500</v>
      </c>
    </row>
    <row r="4849" ht="15" customHeight="1" spans="1:28" x14ac:dyDescent="0.25">
      <c r="A4849" s="17" t="s">
        <v>13994</v>
      </c>
      <c r="B4849" s="17" t="s">
        <v>70</v>
      </c>
      <c r="C4849" s="17" t="s">
        <v>71</v>
      </c>
      <c r="D4849" t="s">
        <v>13478</v>
      </c>
      <c r="F4849" t="s">
        <v>618</v>
      </c>
      <c r="J4849" t="s">
        <v>115</v>
      </c>
      <c r="K4849" s="18" t="s">
        <v>13995</v>
      </c>
      <c r="N4849" s="17" t="s">
        <v>77</v>
      </c>
      <c r="O4849" t="s">
        <v>199</v>
      </c>
      <c r="V4849" s="18" t="s">
        <v>13995</v>
      </c>
      <c r="Y4849" t="s">
        <v>115</v>
      </c>
      <c r="AA4849" t="s">
        <v>115</v>
      </c>
      <c r="AB4849" t="s">
        <v>119</v>
      </c>
    </row>
    <row r="4850" ht="15" customHeight="1" spans="1:22" x14ac:dyDescent="0.25">
      <c r="A4850" s="17" t="s">
        <v>13996</v>
      </c>
      <c r="B4850" s="17" t="s">
        <v>70</v>
      </c>
      <c r="C4850" s="17" t="s">
        <v>71</v>
      </c>
      <c r="D4850" t="s">
        <v>13478</v>
      </c>
      <c r="F4850" t="s">
        <v>209</v>
      </c>
      <c r="K4850" s="18">
        <f>62811933669</f>
        <v>62811933669</v>
      </c>
      <c r="N4850" s="17" t="s">
        <v>81</v>
      </c>
      <c r="V4850" s="18">
        <f>62811933669</f>
        <v>62811933669</v>
      </c>
    </row>
    <row r="4851" ht="15" customHeight="1" spans="1:28" x14ac:dyDescent="0.25">
      <c r="A4851" s="17" t="s">
        <v>13997</v>
      </c>
      <c r="B4851" s="17" t="s">
        <v>70</v>
      </c>
      <c r="C4851" s="17" t="s">
        <v>71</v>
      </c>
      <c r="D4851" t="s">
        <v>13478</v>
      </c>
      <c r="F4851" t="s">
        <v>13998</v>
      </c>
      <c r="J4851" s="17" t="s">
        <v>13999</v>
      </c>
      <c r="K4851" s="18" t="s">
        <v>14000</v>
      </c>
      <c r="N4851" s="17" t="s">
        <v>77</v>
      </c>
      <c r="O4851" t="s">
        <v>489</v>
      </c>
      <c r="V4851" s="18" t="s">
        <v>14000</v>
      </c>
      <c r="Y4851" t="s">
        <v>1151</v>
      </c>
      <c r="AA4851" t="s">
        <v>115</v>
      </c>
      <c r="AB4851" t="s">
        <v>119</v>
      </c>
    </row>
    <row r="4852" ht="15" customHeight="1" spans="1:28" x14ac:dyDescent="0.25">
      <c r="A4852" s="17" t="s">
        <v>14001</v>
      </c>
      <c r="B4852" s="17" t="s">
        <v>70</v>
      </c>
      <c r="C4852" s="17" t="s">
        <v>71</v>
      </c>
      <c r="D4852" t="s">
        <v>13478</v>
      </c>
      <c r="F4852" t="s">
        <v>879</v>
      </c>
      <c r="J4852" t="s">
        <v>14002</v>
      </c>
      <c r="K4852" s="18" t="s">
        <v>14003</v>
      </c>
      <c r="N4852" s="17" t="s">
        <v>77</v>
      </c>
      <c r="O4852" t="s">
        <v>145</v>
      </c>
      <c r="U4852" s="17"/>
      <c r="V4852" s="18" t="s">
        <v>14003</v>
      </c>
      <c r="W4852" t="s">
        <v>14004</v>
      </c>
      <c r="Y4852" t="s">
        <v>90</v>
      </c>
      <c r="AA4852" t="s">
        <v>118</v>
      </c>
      <c r="AB4852" t="s">
        <v>119</v>
      </c>
    </row>
    <row r="4853" ht="15" customHeight="1" spans="1:28" x14ac:dyDescent="0.25">
      <c r="A4853" s="17" t="s">
        <v>14005</v>
      </c>
      <c r="B4853" s="17" t="s">
        <v>70</v>
      </c>
      <c r="C4853" s="17" t="s">
        <v>71</v>
      </c>
      <c r="D4853" t="s">
        <v>13478</v>
      </c>
      <c r="F4853" t="s">
        <v>4249</v>
      </c>
      <c r="J4853" t="s">
        <v>115</v>
      </c>
      <c r="K4853" s="18" t="s">
        <v>14006</v>
      </c>
      <c r="N4853" s="17" t="s">
        <v>77</v>
      </c>
      <c r="O4853" t="s">
        <v>117</v>
      </c>
      <c r="U4853" s="17"/>
      <c r="V4853" s="18" t="s">
        <v>14006</v>
      </c>
      <c r="W4853" t="s">
        <v>14007</v>
      </c>
      <c r="Y4853" t="s">
        <v>190</v>
      </c>
      <c r="AA4853" t="s">
        <v>118</v>
      </c>
      <c r="AB4853" t="s">
        <v>119</v>
      </c>
    </row>
    <row r="4854" ht="15" customHeight="1" spans="1:22" x14ac:dyDescent="0.25">
      <c r="A4854" s="17" t="s">
        <v>14008</v>
      </c>
      <c r="B4854" s="17" t="s">
        <v>70</v>
      </c>
      <c r="C4854" s="17" t="s">
        <v>71</v>
      </c>
      <c r="D4854" t="s">
        <v>13478</v>
      </c>
      <c r="F4854" t="s">
        <v>558</v>
      </c>
      <c r="K4854" s="18">
        <f>6282112772287</f>
        <v>6282112772287</v>
      </c>
      <c r="N4854" s="17" t="s">
        <v>74</v>
      </c>
      <c r="V4854" s="18">
        <f>6282112772287</f>
        <v>6282112772287</v>
      </c>
    </row>
    <row r="4855" ht="15" customHeight="1" spans="1:28" x14ac:dyDescent="0.25">
      <c r="A4855" s="17" t="s">
        <v>14009</v>
      </c>
      <c r="B4855" s="17" t="s">
        <v>70</v>
      </c>
      <c r="C4855" s="17" t="s">
        <v>71</v>
      </c>
      <c r="D4855" t="s">
        <v>13478</v>
      </c>
      <c r="F4855" t="s">
        <v>3116</v>
      </c>
      <c r="J4855" t="s">
        <v>115</v>
      </c>
      <c r="K4855" s="18" t="s">
        <v>14010</v>
      </c>
      <c r="N4855" s="17" t="s">
        <v>77</v>
      </c>
      <c r="O4855" t="s">
        <v>199</v>
      </c>
      <c r="V4855" s="18" t="s">
        <v>14010</v>
      </c>
      <c r="Y4855" t="s">
        <v>90</v>
      </c>
      <c r="AA4855" t="s">
        <v>118</v>
      </c>
      <c r="AB4855" t="s">
        <v>119</v>
      </c>
    </row>
    <row r="4856" ht="15" customHeight="1" spans="1:28" x14ac:dyDescent="0.25">
      <c r="A4856" s="17" t="s">
        <v>14011</v>
      </c>
      <c r="B4856" s="17" t="s">
        <v>70</v>
      </c>
      <c r="C4856" s="17" t="s">
        <v>71</v>
      </c>
      <c r="D4856" t="s">
        <v>13478</v>
      </c>
      <c r="F4856" t="s">
        <v>1169</v>
      </c>
      <c r="J4856" t="s">
        <v>115</v>
      </c>
      <c r="K4856" s="18" t="s">
        <v>14012</v>
      </c>
      <c r="N4856" s="17" t="s">
        <v>74</v>
      </c>
      <c r="O4856" t="s">
        <v>117</v>
      </c>
      <c r="U4856" s="17"/>
      <c r="V4856" s="18" t="s">
        <v>14012</v>
      </c>
      <c r="W4856" t="s">
        <v>14013</v>
      </c>
      <c r="Y4856" t="s">
        <v>90</v>
      </c>
      <c r="AA4856" t="s">
        <v>118</v>
      </c>
      <c r="AB4856" t="s">
        <v>119</v>
      </c>
    </row>
    <row r="4857" ht="15" customHeight="1" spans="1:28" x14ac:dyDescent="0.25">
      <c r="A4857" s="17" t="s">
        <v>14014</v>
      </c>
      <c r="B4857" s="17" t="s">
        <v>70</v>
      </c>
      <c r="C4857" s="17" t="s">
        <v>71</v>
      </c>
      <c r="D4857" t="s">
        <v>13478</v>
      </c>
      <c r="F4857" t="s">
        <v>14015</v>
      </c>
      <c r="J4857" t="s">
        <v>115</v>
      </c>
      <c r="K4857" s="18" t="s">
        <v>14016</v>
      </c>
      <c r="N4857" s="17" t="s">
        <v>81</v>
      </c>
      <c r="O4857" t="s">
        <v>117</v>
      </c>
      <c r="U4857" s="17"/>
      <c r="V4857" s="18" t="s">
        <v>14016</v>
      </c>
      <c r="W4857" t="s">
        <v>14017</v>
      </c>
      <c r="Y4857" s="17" t="s">
        <v>1084</v>
      </c>
      <c r="AA4857" t="s">
        <v>3146</v>
      </c>
      <c r="AB4857" t="s">
        <v>119</v>
      </c>
    </row>
    <row r="4858" ht="15" customHeight="1" spans="1:22" x14ac:dyDescent="0.25">
      <c r="A4858" s="17" t="s">
        <v>14018</v>
      </c>
      <c r="B4858" s="17" t="s">
        <v>70</v>
      </c>
      <c r="C4858" s="17" t="s">
        <v>71</v>
      </c>
      <c r="D4858" t="s">
        <v>14019</v>
      </c>
      <c r="F4858" t="s">
        <v>14019</v>
      </c>
      <c r="K4858" s="18">
        <f>6285890690390</f>
        <v>6285890690390</v>
      </c>
      <c r="N4858" s="17" t="s">
        <v>81</v>
      </c>
      <c r="V4858" s="18">
        <f>6285890690390</f>
        <v>6285890690390</v>
      </c>
    </row>
    <row r="4859" ht="15" customHeight="1" spans="1:22" x14ac:dyDescent="0.25">
      <c r="A4859" s="17" t="s">
        <v>14020</v>
      </c>
      <c r="B4859" s="17" t="s">
        <v>70</v>
      </c>
      <c r="C4859" s="17" t="s">
        <v>71</v>
      </c>
      <c r="D4859" t="s">
        <v>14019</v>
      </c>
      <c r="F4859" t="s">
        <v>14019</v>
      </c>
      <c r="K4859" s="18">
        <f>62816710710</f>
        <v>62816710710</v>
      </c>
      <c r="N4859" s="17" t="s">
        <v>81</v>
      </c>
      <c r="V4859" s="18">
        <f>62816710710</f>
        <v>62816710710</v>
      </c>
    </row>
    <row r="4860" ht="15" customHeight="1" spans="1:23" x14ac:dyDescent="0.25">
      <c r="A4860" s="17" t="s">
        <v>14021</v>
      </c>
      <c r="B4860" s="17" t="s">
        <v>70</v>
      </c>
      <c r="C4860" s="17" t="s">
        <v>71</v>
      </c>
      <c r="D4860" t="s">
        <v>14022</v>
      </c>
      <c r="F4860" t="s">
        <v>8225</v>
      </c>
      <c r="K4860" s="18">
        <f>62811157799</f>
        <v>62811157799</v>
      </c>
      <c r="N4860" s="17" t="s">
        <v>77</v>
      </c>
      <c r="U4860" s="17"/>
      <c r="V4860" s="18">
        <f>62811157799</f>
        <v>62811157799</v>
      </c>
      <c r="W4860" t="s">
        <v>14023</v>
      </c>
    </row>
    <row r="4861" ht="15" customHeight="1" spans="1:25" x14ac:dyDescent="0.25">
      <c r="A4861" s="17" t="s">
        <v>14024</v>
      </c>
      <c r="B4861" s="17" t="s">
        <v>70</v>
      </c>
      <c r="C4861" s="17" t="s">
        <v>71</v>
      </c>
      <c r="D4861" t="s">
        <v>14025</v>
      </c>
      <c r="F4861" t="s">
        <v>13514</v>
      </c>
      <c r="J4861" s="17" t="s">
        <v>14026</v>
      </c>
      <c r="K4861" s="18">
        <f>62818218988</f>
        <v>62818218988</v>
      </c>
      <c r="N4861" s="17" t="s">
        <v>74</v>
      </c>
      <c r="U4861" s="17"/>
      <c r="V4861" s="18">
        <f>62818218988</f>
        <v>62818218988</v>
      </c>
      <c r="W4861" t="s">
        <v>14027</v>
      </c>
      <c r="Y4861" s="17" t="s">
        <v>500</v>
      </c>
    </row>
    <row r="4862" ht="15" customHeight="1" spans="1:23" x14ac:dyDescent="0.25">
      <c r="A4862" s="17" t="s">
        <v>14028</v>
      </c>
      <c r="B4862" s="17" t="s">
        <v>70</v>
      </c>
      <c r="C4862" s="17" t="s">
        <v>71</v>
      </c>
      <c r="D4862" t="s">
        <v>14025</v>
      </c>
      <c r="F4862" t="s">
        <v>6621</v>
      </c>
      <c r="J4862" s="17" t="s">
        <v>14029</v>
      </c>
      <c r="K4862" s="18">
        <f>6287885136175</f>
        <v>6287885136175</v>
      </c>
      <c r="N4862" s="17" t="s">
        <v>81</v>
      </c>
      <c r="U4862" s="17"/>
      <c r="V4862" s="18">
        <f>6287885136175</f>
        <v>6287885136175</v>
      </c>
      <c r="W4862" t="s">
        <v>14030</v>
      </c>
    </row>
    <row r="4863" ht="15" customHeight="1" spans="1:28" x14ac:dyDescent="0.25">
      <c r="A4863" s="17" t="s">
        <v>14031</v>
      </c>
      <c r="B4863" s="17" t="s">
        <v>70</v>
      </c>
      <c r="C4863" s="17" t="s">
        <v>71</v>
      </c>
      <c r="D4863" t="s">
        <v>14032</v>
      </c>
      <c r="F4863" t="s">
        <v>14033</v>
      </c>
      <c r="J4863" t="s">
        <v>115</v>
      </c>
      <c r="K4863" s="18" t="s">
        <v>14034</v>
      </c>
      <c r="N4863" s="17" t="s">
        <v>81</v>
      </c>
      <c r="O4863" t="s">
        <v>117</v>
      </c>
      <c r="V4863" s="18" t="s">
        <v>14034</v>
      </c>
      <c r="Y4863" t="s">
        <v>115</v>
      </c>
      <c r="AA4863" t="s">
        <v>115</v>
      </c>
      <c r="AB4863" t="s">
        <v>119</v>
      </c>
    </row>
    <row r="4864" ht="15" customHeight="1" spans="1:22" x14ac:dyDescent="0.25">
      <c r="A4864" s="17" t="s">
        <v>14035</v>
      </c>
      <c r="B4864" s="17" t="s">
        <v>70</v>
      </c>
      <c r="C4864" s="17" t="s">
        <v>71</v>
      </c>
      <c r="D4864" t="s">
        <v>14032</v>
      </c>
      <c r="F4864" t="s">
        <v>2320</v>
      </c>
      <c r="K4864" s="18">
        <f>6281806086669</f>
        <v>6281806086669</v>
      </c>
      <c r="N4864" s="17" t="s">
        <v>77</v>
      </c>
      <c r="V4864" s="18">
        <f>6281806086669</f>
        <v>6281806086669</v>
      </c>
    </row>
    <row r="4865" ht="15" customHeight="1" spans="1:22" x14ac:dyDescent="0.25">
      <c r="A4865" s="17" t="s">
        <v>14036</v>
      </c>
      <c r="B4865" s="17" t="s">
        <v>70</v>
      </c>
      <c r="C4865" s="17" t="s">
        <v>71</v>
      </c>
      <c r="D4865" t="s">
        <v>14032</v>
      </c>
      <c r="F4865" t="s">
        <v>14037</v>
      </c>
      <c r="J4865" s="17" t="s">
        <v>14038</v>
      </c>
      <c r="K4865" s="18">
        <f>6282216188588</f>
        <v>6282216188588</v>
      </c>
      <c r="N4865" s="17" t="s">
        <v>77</v>
      </c>
      <c r="V4865" s="18">
        <f>6282216188588</f>
        <v>6282216188588</v>
      </c>
    </row>
    <row r="4866" ht="15" customHeight="1" spans="1:27" x14ac:dyDescent="0.25">
      <c r="A4866" s="17" t="s">
        <v>14039</v>
      </c>
      <c r="B4866" s="17" t="s">
        <v>70</v>
      </c>
      <c r="C4866" s="17" t="s">
        <v>71</v>
      </c>
      <c r="D4866" t="s">
        <v>14032</v>
      </c>
      <c r="F4866" t="s">
        <v>153</v>
      </c>
      <c r="K4866" s="18">
        <f>6281288606060</f>
        <v>6281288606060</v>
      </c>
      <c r="N4866" s="17" t="s">
        <v>77</v>
      </c>
      <c r="U4866" s="17"/>
      <c r="V4866" s="18">
        <f>6281288606060</f>
        <v>6281288606060</v>
      </c>
      <c r="W4866" t="s">
        <v>14040</v>
      </c>
      <c r="AA4866" s="17">
        <v>98125</v>
      </c>
    </row>
    <row r="4867" ht="15" customHeight="1" spans="1:22" x14ac:dyDescent="0.25">
      <c r="A4867" s="17" t="s">
        <v>14041</v>
      </c>
      <c r="B4867" s="17" t="s">
        <v>70</v>
      </c>
      <c r="C4867" s="17" t="s">
        <v>71</v>
      </c>
      <c r="D4867" t="s">
        <v>14042</v>
      </c>
      <c r="F4867" t="s">
        <v>14043</v>
      </c>
      <c r="K4867" s="18">
        <f>6281383771533</f>
        <v>6281383771533</v>
      </c>
      <c r="N4867" s="17" t="s">
        <v>81</v>
      </c>
      <c r="V4867" s="18">
        <f>6281383771533</f>
        <v>6281383771533</v>
      </c>
    </row>
    <row r="4868" ht="15" customHeight="1" spans="1:23" x14ac:dyDescent="0.25">
      <c r="A4868" s="17" t="s">
        <v>14044</v>
      </c>
      <c r="B4868" s="17" t="s">
        <v>70</v>
      </c>
      <c r="C4868" s="17" t="s">
        <v>71</v>
      </c>
      <c r="D4868" t="s">
        <v>14045</v>
      </c>
      <c r="F4868" t="s">
        <v>14045</v>
      </c>
      <c r="K4868" s="18">
        <f>6281319809204</f>
        <v>6281319809204</v>
      </c>
      <c r="N4868" s="17" t="s">
        <v>77</v>
      </c>
      <c r="U4868" s="17"/>
      <c r="V4868" s="18">
        <f>6281319809204</f>
        <v>6281319809204</v>
      </c>
      <c r="W4868" t="s">
        <v>14046</v>
      </c>
    </row>
    <row r="4869" ht="15" customHeight="1" spans="1:22" x14ac:dyDescent="0.25">
      <c r="A4869" s="17" t="s">
        <v>14047</v>
      </c>
      <c r="B4869" s="17" t="s">
        <v>70</v>
      </c>
      <c r="C4869" s="17" t="s">
        <v>71</v>
      </c>
      <c r="D4869" t="s">
        <v>14048</v>
      </c>
      <c r="F4869" t="s">
        <v>1169</v>
      </c>
      <c r="K4869" s="18">
        <f>628159397937</f>
        <v>628159397937</v>
      </c>
      <c r="N4869" s="17" t="s">
        <v>77</v>
      </c>
      <c r="V4869" s="18">
        <f>628159397937</f>
        <v>628159397937</v>
      </c>
    </row>
    <row r="4870" ht="15" customHeight="1" spans="1:23" x14ac:dyDescent="0.25">
      <c r="A4870" s="17" t="s">
        <v>14049</v>
      </c>
      <c r="B4870" s="17" t="s">
        <v>70</v>
      </c>
      <c r="C4870" s="17" t="s">
        <v>71</v>
      </c>
      <c r="D4870" t="s">
        <v>5424</v>
      </c>
      <c r="F4870" t="s">
        <v>5424</v>
      </c>
      <c r="K4870" s="18">
        <f>6287722888868</f>
        <v>6287722888868</v>
      </c>
      <c r="N4870" s="17" t="s">
        <v>81</v>
      </c>
      <c r="U4870" s="17"/>
      <c r="V4870" s="18">
        <f>6287722888868</f>
        <v>6287722888868</v>
      </c>
      <c r="W4870" t="s">
        <v>14050</v>
      </c>
    </row>
    <row r="4871" ht="15" customHeight="1" spans="1:23" x14ac:dyDescent="0.25">
      <c r="A4871" s="17" t="s">
        <v>14051</v>
      </c>
      <c r="B4871" s="17" t="s">
        <v>70</v>
      </c>
      <c r="C4871" s="17" t="s">
        <v>71</v>
      </c>
      <c r="D4871" t="s">
        <v>5424</v>
      </c>
      <c r="F4871" t="s">
        <v>282</v>
      </c>
      <c r="K4871" s="18">
        <f>6281288888855</f>
        <v>6281288888855</v>
      </c>
      <c r="N4871" s="17" t="s">
        <v>77</v>
      </c>
      <c r="U4871" s="17"/>
      <c r="V4871" s="18">
        <f>6281288888855</f>
        <v>6281288888855</v>
      </c>
      <c r="W4871" t="s">
        <v>90</v>
      </c>
    </row>
    <row r="4872" ht="15" customHeight="1" spans="1:25" x14ac:dyDescent="0.25">
      <c r="A4872" s="17" t="s">
        <v>14052</v>
      </c>
      <c r="B4872" s="17" t="s">
        <v>70</v>
      </c>
      <c r="C4872" s="17" t="s">
        <v>71</v>
      </c>
      <c r="D4872" t="s">
        <v>14053</v>
      </c>
      <c r="F4872" t="s">
        <v>14054</v>
      </c>
      <c r="K4872" s="18">
        <f>628111688887</f>
        <v>628111688887</v>
      </c>
      <c r="N4872" s="17" t="s">
        <v>81</v>
      </c>
      <c r="U4872" s="17"/>
      <c r="V4872" s="18">
        <f>628111688887</f>
        <v>628111688887</v>
      </c>
      <c r="W4872" t="s">
        <v>14055</v>
      </c>
      <c r="Y4872" s="17" t="s">
        <v>96</v>
      </c>
    </row>
    <row r="4873" ht="15" customHeight="1" spans="1:25" x14ac:dyDescent="0.25">
      <c r="A4873" s="17" t="s">
        <v>14056</v>
      </c>
      <c r="B4873" s="17" t="s">
        <v>70</v>
      </c>
      <c r="C4873" s="17" t="s">
        <v>71</v>
      </c>
      <c r="D4873" t="s">
        <v>14057</v>
      </c>
      <c r="F4873" t="s">
        <v>1750</v>
      </c>
      <c r="K4873" s="18">
        <f>6281514333215</f>
        <v>6281514333215</v>
      </c>
      <c r="N4873" s="17" t="s">
        <v>77</v>
      </c>
      <c r="U4873" s="17"/>
      <c r="V4873" s="18">
        <f>6281514333215</f>
        <v>6281514333215</v>
      </c>
      <c r="W4873" t="s">
        <v>14058</v>
      </c>
      <c r="Y4873" s="17" t="s">
        <v>626</v>
      </c>
    </row>
    <row r="4874" ht="15" customHeight="1" spans="1:28" x14ac:dyDescent="0.25">
      <c r="A4874" s="17" t="s">
        <v>14059</v>
      </c>
      <c r="B4874" s="17" t="s">
        <v>70</v>
      </c>
      <c r="C4874" s="17" t="s">
        <v>71</v>
      </c>
      <c r="D4874" t="s">
        <v>14060</v>
      </c>
      <c r="F4874" t="s">
        <v>737</v>
      </c>
      <c r="J4874" t="s">
        <v>115</v>
      </c>
      <c r="K4874" s="18" t="s">
        <v>14061</v>
      </c>
      <c r="N4874" s="17" t="s">
        <v>81</v>
      </c>
      <c r="O4874" t="s">
        <v>145</v>
      </c>
      <c r="V4874" s="18" t="s">
        <v>14061</v>
      </c>
      <c r="Y4874" t="s">
        <v>762</v>
      </c>
      <c r="AA4874" t="s">
        <v>115</v>
      </c>
      <c r="AB4874" t="s">
        <v>119</v>
      </c>
    </row>
    <row r="4875" ht="15" customHeight="1" spans="1:28" x14ac:dyDescent="0.25">
      <c r="A4875" s="17" t="s">
        <v>14062</v>
      </c>
      <c r="B4875" s="17" t="s">
        <v>70</v>
      </c>
      <c r="C4875" s="17" t="s">
        <v>71</v>
      </c>
      <c r="D4875" t="s">
        <v>14063</v>
      </c>
      <c r="F4875" t="s">
        <v>14064</v>
      </c>
      <c r="J4875" t="s">
        <v>14065</v>
      </c>
      <c r="K4875" s="18" t="s">
        <v>14066</v>
      </c>
      <c r="N4875" s="17" t="s">
        <v>77</v>
      </c>
      <c r="O4875" t="s">
        <v>199</v>
      </c>
      <c r="V4875" s="18" t="s">
        <v>14066</v>
      </c>
      <c r="Y4875" t="s">
        <v>90</v>
      </c>
      <c r="AA4875" t="s">
        <v>118</v>
      </c>
      <c r="AB4875" t="s">
        <v>119</v>
      </c>
    </row>
    <row r="4876" ht="15" customHeight="1" spans="1:27" x14ac:dyDescent="0.25">
      <c r="A4876" s="17" t="s">
        <v>14067</v>
      </c>
      <c r="B4876" s="17" t="s">
        <v>70</v>
      </c>
      <c r="C4876" s="17" t="s">
        <v>71</v>
      </c>
      <c r="D4876" t="s">
        <v>14068</v>
      </c>
      <c r="F4876" t="s">
        <v>14069</v>
      </c>
      <c r="K4876" s="18">
        <f>628113892836</f>
        <v>628113892836</v>
      </c>
      <c r="N4876" s="17" t="s">
        <v>77</v>
      </c>
      <c r="V4876" s="18">
        <f>628113892836</f>
        <v>628113892836</v>
      </c>
      <c r="AA4876" s="17">
        <v>80364</v>
      </c>
    </row>
    <row r="4877" ht="15" customHeight="1" spans="1:25" x14ac:dyDescent="0.25">
      <c r="A4877" s="17" t="s">
        <v>14070</v>
      </c>
      <c r="B4877" s="17" t="s">
        <v>70</v>
      </c>
      <c r="C4877" s="17" t="s">
        <v>71</v>
      </c>
      <c r="D4877" t="s">
        <v>14068</v>
      </c>
      <c r="F4877" t="s">
        <v>14069</v>
      </c>
      <c r="J4877" s="17" t="s">
        <v>14071</v>
      </c>
      <c r="K4877" s="18">
        <f>628113891349</f>
        <v>628113891349</v>
      </c>
      <c r="N4877" s="17" t="s">
        <v>77</v>
      </c>
      <c r="U4877" s="17"/>
      <c r="V4877" s="18">
        <f>628113891349</f>
        <v>628113891349</v>
      </c>
      <c r="W4877" t="s">
        <v>14072</v>
      </c>
      <c r="Y4877" s="17" t="s">
        <v>14073</v>
      </c>
    </row>
    <row r="4878" ht="15" customHeight="1" spans="1:27" x14ac:dyDescent="0.25">
      <c r="A4878" s="17" t="s">
        <v>14074</v>
      </c>
      <c r="B4878" s="17" t="s">
        <v>70</v>
      </c>
      <c r="C4878" s="17" t="s">
        <v>71</v>
      </c>
      <c r="D4878" t="s">
        <v>14075</v>
      </c>
      <c r="F4878" t="s">
        <v>10623</v>
      </c>
      <c r="K4878" s="18">
        <v>63875165</v>
      </c>
      <c r="N4878" s="17" t="s">
        <v>77</v>
      </c>
      <c r="U4878" s="17"/>
      <c r="V4878" s="18">
        <v>63875165</v>
      </c>
      <c r="W4878" t="s">
        <v>14076</v>
      </c>
      <c r="Y4878" s="17" t="s">
        <v>626</v>
      </c>
      <c r="AA4878" s="17" t="s">
        <v>4054</v>
      </c>
    </row>
    <row r="4879" ht="15" customHeight="1" spans="1:28" x14ac:dyDescent="0.25">
      <c r="A4879" s="17" t="s">
        <v>14077</v>
      </c>
      <c r="B4879" s="17" t="s">
        <v>70</v>
      </c>
      <c r="C4879" s="17" t="s">
        <v>71</v>
      </c>
      <c r="D4879" t="s">
        <v>14075</v>
      </c>
      <c r="F4879" t="s">
        <v>186</v>
      </c>
      <c r="J4879" t="s">
        <v>115</v>
      </c>
      <c r="K4879" s="18" t="s">
        <v>14078</v>
      </c>
      <c r="N4879" s="17" t="s">
        <v>77</v>
      </c>
      <c r="O4879" t="s">
        <v>117</v>
      </c>
      <c r="V4879" s="18" t="s">
        <v>14078</v>
      </c>
      <c r="Y4879" t="s">
        <v>190</v>
      </c>
      <c r="AA4879" t="s">
        <v>118</v>
      </c>
      <c r="AB4879" t="s">
        <v>119</v>
      </c>
    </row>
    <row r="4880" ht="15" customHeight="1" spans="1:22" x14ac:dyDescent="0.25">
      <c r="A4880" s="17" t="s">
        <v>14079</v>
      </c>
      <c r="B4880" s="17" t="s">
        <v>70</v>
      </c>
      <c r="C4880" s="17" t="s">
        <v>71</v>
      </c>
      <c r="D4880" t="s">
        <v>13549</v>
      </c>
      <c r="F4880" t="s">
        <v>14080</v>
      </c>
      <c r="K4880" s="18">
        <f>62811985400</f>
        <v>62811985400</v>
      </c>
      <c r="N4880" s="17" t="s">
        <v>77</v>
      </c>
      <c r="V4880" s="18">
        <f>62811985400</f>
        <v>62811985400</v>
      </c>
    </row>
    <row r="4881" ht="15" customHeight="1" spans="1:22" x14ac:dyDescent="0.25">
      <c r="A4881" s="17" t="s">
        <v>14081</v>
      </c>
      <c r="B4881" s="17" t="s">
        <v>70</v>
      </c>
      <c r="C4881" s="17" t="s">
        <v>71</v>
      </c>
      <c r="D4881" t="s">
        <v>14082</v>
      </c>
      <c r="F4881" t="s">
        <v>14083</v>
      </c>
      <c r="K4881" s="18">
        <f>62817711153</f>
        <v>62817711153</v>
      </c>
      <c r="N4881" s="17" t="s">
        <v>77</v>
      </c>
      <c r="V4881" s="18">
        <f>62817711153</f>
        <v>62817711153</v>
      </c>
    </row>
    <row r="4882" ht="15" customHeight="1" spans="1:22" x14ac:dyDescent="0.25">
      <c r="A4882" s="17" t="s">
        <v>14084</v>
      </c>
      <c r="B4882" s="17" t="s">
        <v>70</v>
      </c>
      <c r="C4882" s="17" t="s">
        <v>71</v>
      </c>
      <c r="D4882" t="s">
        <v>14082</v>
      </c>
      <c r="F4882" t="s">
        <v>14085</v>
      </c>
      <c r="K4882" s="18">
        <f>628177111153</f>
        <v>628177111153</v>
      </c>
      <c r="N4882" s="17" t="s">
        <v>81</v>
      </c>
      <c r="V4882" s="18">
        <f>628177111153</f>
        <v>628177111153</v>
      </c>
    </row>
    <row r="4883" ht="15" customHeight="1" spans="1:22" x14ac:dyDescent="0.25">
      <c r="A4883" s="17" t="s">
        <v>14086</v>
      </c>
      <c r="B4883" s="17" t="s">
        <v>70</v>
      </c>
      <c r="C4883" s="17" t="s">
        <v>71</v>
      </c>
      <c r="D4883" t="s">
        <v>14087</v>
      </c>
      <c r="F4883" t="s">
        <v>14087</v>
      </c>
      <c r="K4883" s="18">
        <f>6281221100032</f>
        <v>6281221100032</v>
      </c>
      <c r="N4883" s="17" t="s">
        <v>81</v>
      </c>
      <c r="V4883" s="18">
        <f>6281221100032</f>
        <v>6281221100032</v>
      </c>
    </row>
    <row r="4884" ht="15" customHeight="1" spans="1:28" x14ac:dyDescent="0.25">
      <c r="A4884" s="17" t="s">
        <v>14088</v>
      </c>
      <c r="B4884" s="17" t="s">
        <v>70</v>
      </c>
      <c r="C4884" s="17" t="s">
        <v>71</v>
      </c>
      <c r="D4884" t="s">
        <v>14087</v>
      </c>
      <c r="F4884" t="s">
        <v>386</v>
      </c>
      <c r="J4884" t="s">
        <v>115</v>
      </c>
      <c r="K4884" s="18" t="s">
        <v>14089</v>
      </c>
      <c r="N4884" s="17" t="s">
        <v>77</v>
      </c>
      <c r="O4884" t="s">
        <v>117</v>
      </c>
      <c r="V4884" s="18" t="s">
        <v>14089</v>
      </c>
      <c r="Y4884" s="17" t="s">
        <v>90</v>
      </c>
      <c r="AA4884" t="s">
        <v>118</v>
      </c>
      <c r="AB4884" t="s">
        <v>119</v>
      </c>
    </row>
    <row r="4885" ht="15" customHeight="1" spans="1:22" x14ac:dyDescent="0.25">
      <c r="A4885" s="17" t="s">
        <v>14090</v>
      </c>
      <c r="B4885" s="17" t="s">
        <v>70</v>
      </c>
      <c r="C4885" s="17" t="s">
        <v>71</v>
      </c>
      <c r="D4885" t="s">
        <v>14091</v>
      </c>
      <c r="F4885" t="s">
        <v>2386</v>
      </c>
      <c r="K4885" s="18">
        <f>62816991309</f>
        <v>62816991309</v>
      </c>
      <c r="N4885" s="17" t="s">
        <v>77</v>
      </c>
      <c r="V4885" s="18">
        <f>62816991309</f>
        <v>62816991309</v>
      </c>
    </row>
    <row r="4886" ht="15" customHeight="1" spans="1:28" x14ac:dyDescent="0.25">
      <c r="A4886" s="17" t="s">
        <v>14092</v>
      </c>
      <c r="B4886" s="17" t="s">
        <v>70</v>
      </c>
      <c r="C4886" s="17" t="s">
        <v>71</v>
      </c>
      <c r="D4886" t="s">
        <v>14093</v>
      </c>
      <c r="F4886" t="s">
        <v>14094</v>
      </c>
      <c r="J4886" t="s">
        <v>115</v>
      </c>
      <c r="K4886" s="18" t="s">
        <v>14095</v>
      </c>
      <c r="N4886" s="17" t="s">
        <v>81</v>
      </c>
      <c r="O4886" t="s">
        <v>117</v>
      </c>
      <c r="V4886" s="18" t="s">
        <v>14095</v>
      </c>
      <c r="Y4886" t="s">
        <v>90</v>
      </c>
      <c r="AA4886" t="s">
        <v>118</v>
      </c>
      <c r="AB4886" t="s">
        <v>119</v>
      </c>
    </row>
    <row r="4887" ht="15" customHeight="1" spans="1:22" x14ac:dyDescent="0.25">
      <c r="A4887" s="17" t="s">
        <v>14096</v>
      </c>
      <c r="B4887" s="17" t="s">
        <v>70</v>
      </c>
      <c r="C4887" s="17" t="s">
        <v>71</v>
      </c>
      <c r="D4887" t="s">
        <v>14097</v>
      </c>
      <c r="F4887" t="s">
        <v>14097</v>
      </c>
      <c r="K4887" s="18">
        <f>62816712283</f>
        <v>62816712283</v>
      </c>
      <c r="N4887" s="17" t="s">
        <v>77</v>
      </c>
      <c r="V4887" s="18">
        <f>62816712283</f>
        <v>62816712283</v>
      </c>
    </row>
    <row r="4888" ht="15" customHeight="1" spans="1:28" x14ac:dyDescent="0.25">
      <c r="A4888" s="17" t="s">
        <v>14098</v>
      </c>
      <c r="B4888" s="17" t="s">
        <v>70</v>
      </c>
      <c r="C4888" s="17" t="s">
        <v>71</v>
      </c>
      <c r="D4888" t="s">
        <v>14097</v>
      </c>
      <c r="F4888" t="s">
        <v>4228</v>
      </c>
      <c r="J4888" t="s">
        <v>14099</v>
      </c>
      <c r="K4888" s="18" t="s">
        <v>14100</v>
      </c>
      <c r="N4888" s="17" t="s">
        <v>77</v>
      </c>
      <c r="O4888" t="s">
        <v>117</v>
      </c>
      <c r="V4888" s="18" t="s">
        <v>14100</v>
      </c>
      <c r="Y4888" t="s">
        <v>190</v>
      </c>
      <c r="AA4888" t="s">
        <v>118</v>
      </c>
      <c r="AB4888" t="s">
        <v>119</v>
      </c>
    </row>
    <row r="4889" ht="15" customHeight="1" spans="1:28" x14ac:dyDescent="0.25">
      <c r="A4889" s="17" t="s">
        <v>14101</v>
      </c>
      <c r="B4889" s="17" t="s">
        <v>70</v>
      </c>
      <c r="C4889" s="17" t="s">
        <v>71</v>
      </c>
      <c r="D4889" t="s">
        <v>14102</v>
      </c>
      <c r="F4889" t="s">
        <v>2508</v>
      </c>
      <c r="J4889" t="s">
        <v>115</v>
      </c>
      <c r="K4889" s="18" t="s">
        <v>14103</v>
      </c>
      <c r="N4889" s="17" t="s">
        <v>77</v>
      </c>
      <c r="O4889" t="s">
        <v>117</v>
      </c>
      <c r="V4889" s="18" t="s">
        <v>14103</v>
      </c>
      <c r="Y4889" t="s">
        <v>190</v>
      </c>
      <c r="AA4889" t="s">
        <v>118</v>
      </c>
      <c r="AB4889" t="s">
        <v>119</v>
      </c>
    </row>
    <row r="4890" ht="15" customHeight="1" spans="1:25" x14ac:dyDescent="0.25">
      <c r="A4890" s="17" t="s">
        <v>14104</v>
      </c>
      <c r="B4890" s="17" t="s">
        <v>70</v>
      </c>
      <c r="C4890" s="17" t="s">
        <v>71</v>
      </c>
      <c r="D4890" t="s">
        <v>14102</v>
      </c>
      <c r="F4890" t="s">
        <v>14105</v>
      </c>
      <c r="K4890" s="18">
        <f>622172795027</f>
        <v>622172795027</v>
      </c>
      <c r="N4890" s="17" t="s">
        <v>77</v>
      </c>
      <c r="U4890" s="17"/>
      <c r="V4890" s="18">
        <f>622172795027</f>
        <v>622172795027</v>
      </c>
      <c r="W4890" t="s">
        <v>14106</v>
      </c>
      <c r="Y4890" s="17" t="s">
        <v>90</v>
      </c>
    </row>
    <row r="4891" ht="15" customHeight="1" spans="1:27" x14ac:dyDescent="0.25">
      <c r="A4891" s="17" t="s">
        <v>14107</v>
      </c>
      <c r="B4891" s="17" t="s">
        <v>70</v>
      </c>
      <c r="C4891" s="17" t="s">
        <v>71</v>
      </c>
      <c r="D4891" t="s">
        <v>14108</v>
      </c>
      <c r="F4891" t="s">
        <v>14109</v>
      </c>
      <c r="K4891" s="18">
        <f>628118983338</f>
        <v>628118983338</v>
      </c>
      <c r="N4891" s="17" t="s">
        <v>77</v>
      </c>
      <c r="U4891" s="17"/>
      <c r="V4891" s="18">
        <f>628118983338</f>
        <v>628118983338</v>
      </c>
      <c r="W4891" t="s">
        <v>14110</v>
      </c>
      <c r="Y4891" s="17" t="s">
        <v>90</v>
      </c>
      <c r="AA4891" s="17">
        <v>11610</v>
      </c>
    </row>
    <row r="4892" ht="15" customHeight="1" spans="1:23" x14ac:dyDescent="0.25">
      <c r="A4892" s="17" t="s">
        <v>14111</v>
      </c>
      <c r="B4892" s="17" t="s">
        <v>70</v>
      </c>
      <c r="C4892" s="17" t="s">
        <v>71</v>
      </c>
      <c r="D4892" t="s">
        <v>14112</v>
      </c>
      <c r="F4892" t="s">
        <v>2013</v>
      </c>
      <c r="J4892" s="17" t="s">
        <v>14113</v>
      </c>
      <c r="K4892" s="18">
        <f>6281285627777</f>
        <v>6281285627777</v>
      </c>
      <c r="N4892" s="17" t="s">
        <v>77</v>
      </c>
      <c r="U4892" s="17"/>
      <c r="V4892" s="18">
        <f>6281285627777</f>
        <v>6281285627777</v>
      </c>
      <c r="W4892" t="s">
        <v>14114</v>
      </c>
    </row>
    <row r="4893" ht="15" customHeight="1" spans="1:22" x14ac:dyDescent="0.25">
      <c r="A4893" s="17" t="s">
        <v>14115</v>
      </c>
      <c r="B4893" s="17" t="s">
        <v>70</v>
      </c>
      <c r="C4893" s="17" t="s">
        <v>71</v>
      </c>
      <c r="D4893" t="s">
        <v>14116</v>
      </c>
      <c r="F4893" t="s">
        <v>14117</v>
      </c>
      <c r="K4893" s="18">
        <f>6281282706409</f>
        <v>6281282706409</v>
      </c>
      <c r="N4893" s="17" t="s">
        <v>81</v>
      </c>
      <c r="V4893" s="18">
        <f>6281282706409</f>
        <v>6281282706409</v>
      </c>
    </row>
    <row r="4894" ht="15" customHeight="1" spans="1:22" x14ac:dyDescent="0.25">
      <c r="A4894" s="17" t="s">
        <v>14118</v>
      </c>
      <c r="B4894" s="17" t="s">
        <v>70</v>
      </c>
      <c r="C4894" s="17" t="s">
        <v>71</v>
      </c>
      <c r="D4894" t="s">
        <v>14119</v>
      </c>
      <c r="F4894" t="s">
        <v>4225</v>
      </c>
      <c r="K4894" s="18">
        <f>628118581488</f>
        <v>628118581488</v>
      </c>
      <c r="N4894" s="17" t="s">
        <v>77</v>
      </c>
      <c r="V4894" s="18">
        <f>628118581488</f>
        <v>628118581488</v>
      </c>
    </row>
    <row r="4895" ht="15" customHeight="1" spans="1:22" x14ac:dyDescent="0.25">
      <c r="A4895" s="17" t="s">
        <v>14120</v>
      </c>
      <c r="B4895" s="17" t="s">
        <v>70</v>
      </c>
      <c r="C4895" s="17" t="s">
        <v>71</v>
      </c>
      <c r="D4895" t="s">
        <v>14121</v>
      </c>
      <c r="F4895" t="s">
        <v>14122</v>
      </c>
      <c r="K4895" s="18">
        <f>62819800083</f>
        <v>62819800083</v>
      </c>
      <c r="N4895" s="17" t="s">
        <v>77</v>
      </c>
      <c r="V4895" s="18">
        <f>62819800083</f>
        <v>62819800083</v>
      </c>
    </row>
    <row r="4896" ht="15" customHeight="1" spans="1:25" x14ac:dyDescent="0.25">
      <c r="A4896" s="17" t="s">
        <v>14123</v>
      </c>
      <c r="B4896" s="17" t="s">
        <v>70</v>
      </c>
      <c r="C4896" s="17" t="s">
        <v>71</v>
      </c>
      <c r="D4896" t="s">
        <v>14124</v>
      </c>
      <c r="F4896" t="s">
        <v>115</v>
      </c>
      <c r="K4896" s="18">
        <f>6281229650487</f>
        <v>6281229650487</v>
      </c>
      <c r="N4896" s="17" t="s">
        <v>81</v>
      </c>
      <c r="U4896" s="17"/>
      <c r="V4896" s="18">
        <f>6281229650487</f>
        <v>6281229650487</v>
      </c>
      <c r="W4896" t="s">
        <v>14125</v>
      </c>
      <c r="Y4896" s="17" t="s">
        <v>14126</v>
      </c>
    </row>
    <row r="4897" ht="15" customHeight="1" spans="1:28" x14ac:dyDescent="0.25">
      <c r="A4897" s="17" t="s">
        <v>14127</v>
      </c>
      <c r="B4897" s="17" t="s">
        <v>70</v>
      </c>
      <c r="C4897" s="17" t="s">
        <v>71</v>
      </c>
      <c r="D4897" t="s">
        <v>14124</v>
      </c>
      <c r="F4897" t="s">
        <v>14128</v>
      </c>
      <c r="J4897" t="s">
        <v>115</v>
      </c>
      <c r="K4897" s="18" t="s">
        <v>14129</v>
      </c>
      <c r="N4897" s="17" t="s">
        <v>77</v>
      </c>
      <c r="O4897" t="s">
        <v>489</v>
      </c>
      <c r="U4897" s="17"/>
      <c r="V4897" s="18" t="s">
        <v>14129</v>
      </c>
      <c r="W4897" t="s">
        <v>14130</v>
      </c>
      <c r="Y4897" t="s">
        <v>1702</v>
      </c>
      <c r="AA4897" t="s">
        <v>115</v>
      </c>
      <c r="AB4897" t="s">
        <v>119</v>
      </c>
    </row>
    <row r="4898" ht="15" customHeight="1" spans="1:25" x14ac:dyDescent="0.25">
      <c r="A4898" s="17" t="s">
        <v>14131</v>
      </c>
      <c r="B4898" s="17" t="s">
        <v>70</v>
      </c>
      <c r="C4898" s="17" t="s">
        <v>71</v>
      </c>
      <c r="D4898" t="s">
        <v>9888</v>
      </c>
      <c r="F4898" t="s">
        <v>14132</v>
      </c>
      <c r="K4898" s="18">
        <f>622127505787</f>
        <v>622127505787</v>
      </c>
      <c r="N4898" s="17" t="s">
        <v>77</v>
      </c>
      <c r="U4898" s="17"/>
      <c r="V4898" s="18">
        <f>622127505787</f>
        <v>622127505787</v>
      </c>
      <c r="W4898" t="s">
        <v>7091</v>
      </c>
      <c r="Y4898" s="17" t="s">
        <v>96</v>
      </c>
    </row>
    <row r="4899" ht="15" customHeight="1" spans="1:27" x14ac:dyDescent="0.25">
      <c r="A4899" s="17" t="s">
        <v>14133</v>
      </c>
      <c r="B4899" s="17" t="s">
        <v>70</v>
      </c>
      <c r="C4899" s="17" t="s">
        <v>71</v>
      </c>
      <c r="D4899" t="s">
        <v>9888</v>
      </c>
      <c r="F4899" t="s">
        <v>14134</v>
      </c>
      <c r="K4899" s="18">
        <f>6282266072833</f>
        <v>6282266072833</v>
      </c>
      <c r="N4899" s="17" t="s">
        <v>77</v>
      </c>
      <c r="V4899" s="18">
        <f>6282266072833</f>
        <v>6282266072833</v>
      </c>
      <c r="AA4899" s="17">
        <v>80364</v>
      </c>
    </row>
    <row r="4900" ht="15" customHeight="1" spans="1:25" x14ac:dyDescent="0.25">
      <c r="A4900" s="17" t="s">
        <v>14135</v>
      </c>
      <c r="B4900" s="17" t="s">
        <v>70</v>
      </c>
      <c r="C4900" s="17" t="s">
        <v>71</v>
      </c>
      <c r="D4900" t="s">
        <v>14136</v>
      </c>
      <c r="F4900" t="s">
        <v>14137</v>
      </c>
      <c r="K4900" s="18">
        <f>628121006213</f>
        <v>628121006213</v>
      </c>
      <c r="N4900" s="17" t="s">
        <v>77</v>
      </c>
      <c r="U4900" s="17"/>
      <c r="V4900" s="18">
        <f>628121006213</f>
        <v>628121006213</v>
      </c>
      <c r="W4900" t="s">
        <v>14138</v>
      </c>
      <c r="Y4900" s="17" t="s">
        <v>90</v>
      </c>
    </row>
    <row r="4901" ht="15" customHeight="1" spans="1:28" x14ac:dyDescent="0.25">
      <c r="A4901" s="17" t="s">
        <v>14139</v>
      </c>
      <c r="B4901" s="17" t="s">
        <v>70</v>
      </c>
      <c r="C4901" s="17" t="s">
        <v>71</v>
      </c>
      <c r="D4901" t="s">
        <v>14136</v>
      </c>
      <c r="F4901" t="s">
        <v>14140</v>
      </c>
      <c r="J4901" t="s">
        <v>115</v>
      </c>
      <c r="K4901" s="18" t="s">
        <v>14141</v>
      </c>
      <c r="N4901" s="17" t="s">
        <v>81</v>
      </c>
      <c r="O4901" t="s">
        <v>117</v>
      </c>
      <c r="U4901" s="17"/>
      <c r="V4901" s="18" t="s">
        <v>14141</v>
      </c>
      <c r="W4901" t="s">
        <v>14142</v>
      </c>
      <c r="Y4901" s="17" t="s">
        <v>190</v>
      </c>
      <c r="AA4901" t="s">
        <v>118</v>
      </c>
      <c r="AB4901" t="s">
        <v>119</v>
      </c>
    </row>
    <row r="4902" ht="15" customHeight="1" spans="1:22" x14ac:dyDescent="0.25">
      <c r="A4902" s="17" t="s">
        <v>14143</v>
      </c>
      <c r="B4902" s="17" t="s">
        <v>70</v>
      </c>
      <c r="C4902" s="17" t="s">
        <v>71</v>
      </c>
      <c r="D4902" t="s">
        <v>14144</v>
      </c>
      <c r="F4902" t="s">
        <v>14145</v>
      </c>
      <c r="K4902" s="18">
        <f>6281585923686</f>
        <v>6281585923686</v>
      </c>
      <c r="N4902" s="17" t="s">
        <v>77</v>
      </c>
      <c r="V4902" s="18">
        <f>6281585923686</f>
        <v>6281585923686</v>
      </c>
    </row>
    <row r="4903" ht="15" customHeight="1" spans="1:22" x14ac:dyDescent="0.25">
      <c r="A4903" s="17" t="s">
        <v>14146</v>
      </c>
      <c r="B4903" s="17" t="s">
        <v>70</v>
      </c>
      <c r="C4903" s="17" t="s">
        <v>71</v>
      </c>
      <c r="D4903" t="s">
        <v>14147</v>
      </c>
      <c r="F4903" t="s">
        <v>14147</v>
      </c>
      <c r="K4903" s="18">
        <f>628131871999</f>
        <v>628131871999</v>
      </c>
      <c r="N4903" s="17" t="s">
        <v>77</v>
      </c>
      <c r="V4903" s="18">
        <f>628131871999</f>
        <v>628131871999</v>
      </c>
    </row>
    <row r="4904" ht="15" customHeight="1" spans="1:22" x14ac:dyDescent="0.25">
      <c r="A4904" s="17" t="s">
        <v>14148</v>
      </c>
      <c r="B4904" s="17" t="s">
        <v>70</v>
      </c>
      <c r="C4904" s="17" t="s">
        <v>71</v>
      </c>
      <c r="D4904" t="s">
        <v>14149</v>
      </c>
      <c r="F4904" t="s">
        <v>13221</v>
      </c>
      <c r="K4904" s="18">
        <f>6281286161116</f>
        <v>6281286161116</v>
      </c>
      <c r="N4904" s="17" t="s">
        <v>81</v>
      </c>
      <c r="V4904" s="18">
        <f>6281286161116</f>
        <v>6281286161116</v>
      </c>
    </row>
    <row r="4905" ht="15" customHeight="1" spans="1:22" x14ac:dyDescent="0.25">
      <c r="A4905" s="17" t="s">
        <v>14150</v>
      </c>
      <c r="B4905" s="17" t="s">
        <v>70</v>
      </c>
      <c r="C4905" s="17" t="s">
        <v>71</v>
      </c>
      <c r="D4905" t="s">
        <v>14151</v>
      </c>
      <c r="F4905" t="s">
        <v>5681</v>
      </c>
      <c r="K4905" s="18">
        <f>9114156522471</f>
        <v>9114156522471</v>
      </c>
      <c r="N4905" s="17" t="s">
        <v>77</v>
      </c>
      <c r="V4905" s="18">
        <f>9114156522471</f>
        <v>9114156522471</v>
      </c>
    </row>
    <row r="4906" ht="15" customHeight="1" spans="1:22" x14ac:dyDescent="0.25">
      <c r="A4906" s="17" t="s">
        <v>14152</v>
      </c>
      <c r="B4906" s="17" t="s">
        <v>70</v>
      </c>
      <c r="C4906" s="17" t="s">
        <v>71</v>
      </c>
      <c r="D4906" t="s">
        <v>14153</v>
      </c>
      <c r="F4906" t="s">
        <v>14153</v>
      </c>
      <c r="K4906" s="18">
        <f>6281380000168</f>
        <v>6281380000168</v>
      </c>
      <c r="N4906" s="17" t="s">
        <v>77</v>
      </c>
      <c r="V4906" s="18">
        <f>6281380000168</f>
        <v>6281380000168</v>
      </c>
    </row>
    <row r="4907" ht="15" customHeight="1" spans="1:22" x14ac:dyDescent="0.25">
      <c r="A4907" s="17" t="s">
        <v>14154</v>
      </c>
      <c r="B4907" s="17" t="s">
        <v>70</v>
      </c>
      <c r="C4907" s="17" t="s">
        <v>71</v>
      </c>
      <c r="D4907" t="s">
        <v>14153</v>
      </c>
      <c r="F4907" t="s">
        <v>14153</v>
      </c>
      <c r="K4907" s="18">
        <f>6287881268888</f>
        <v>6287881268888</v>
      </c>
      <c r="N4907" s="17" t="s">
        <v>77</v>
      </c>
      <c r="V4907" s="18">
        <f>6287881268888</f>
        <v>6287881268888</v>
      </c>
    </row>
    <row r="4908" ht="15" customHeight="1" spans="1:28" x14ac:dyDescent="0.25">
      <c r="A4908" s="17" t="s">
        <v>14155</v>
      </c>
      <c r="B4908" s="17" t="s">
        <v>70</v>
      </c>
      <c r="C4908" s="17" t="s">
        <v>71</v>
      </c>
      <c r="D4908" t="s">
        <v>14153</v>
      </c>
      <c r="F4908" t="s">
        <v>14153</v>
      </c>
      <c r="J4908" t="s">
        <v>115</v>
      </c>
      <c r="K4908" s="18" t="s">
        <v>14156</v>
      </c>
      <c r="N4908" s="17" t="s">
        <v>77</v>
      </c>
      <c r="O4908" t="s">
        <v>117</v>
      </c>
      <c r="V4908" s="18" t="s">
        <v>14156</v>
      </c>
      <c r="Y4908" t="s">
        <v>500</v>
      </c>
      <c r="AA4908" t="s">
        <v>501</v>
      </c>
      <c r="AB4908" t="s">
        <v>119</v>
      </c>
    </row>
    <row r="4909" ht="15" customHeight="1" spans="1:22" x14ac:dyDescent="0.25">
      <c r="A4909" s="17" t="s">
        <v>14157</v>
      </c>
      <c r="B4909" s="17" t="s">
        <v>70</v>
      </c>
      <c r="C4909" s="17" t="s">
        <v>71</v>
      </c>
      <c r="D4909" t="s">
        <v>14153</v>
      </c>
      <c r="F4909" t="s">
        <v>2381</v>
      </c>
      <c r="K4909" s="18">
        <f>62818485749</f>
        <v>62818485749</v>
      </c>
      <c r="N4909" s="17" t="s">
        <v>74</v>
      </c>
      <c r="V4909" s="18">
        <f>62818485749</f>
        <v>62818485749</v>
      </c>
    </row>
    <row r="4910" ht="15" customHeight="1" spans="1:22" x14ac:dyDescent="0.25">
      <c r="A4910" s="17" t="s">
        <v>14158</v>
      </c>
      <c r="B4910" s="17" t="s">
        <v>70</v>
      </c>
      <c r="C4910" s="17" t="s">
        <v>71</v>
      </c>
      <c r="D4910" t="s">
        <v>14153</v>
      </c>
      <c r="F4910" t="s">
        <v>14159</v>
      </c>
      <c r="K4910" s="18">
        <f>6285880698069</f>
        <v>6285880698069</v>
      </c>
      <c r="N4910" s="17" t="s">
        <v>77</v>
      </c>
      <c r="V4910" s="18">
        <f>6285880698069</f>
        <v>6285880698069</v>
      </c>
    </row>
    <row r="4911" ht="15" customHeight="1" spans="1:22" x14ac:dyDescent="0.25">
      <c r="A4911" s="17" t="s">
        <v>14160</v>
      </c>
      <c r="B4911" s="17" t="s">
        <v>70</v>
      </c>
      <c r="C4911" s="17" t="s">
        <v>71</v>
      </c>
      <c r="D4911" t="s">
        <v>14153</v>
      </c>
      <c r="F4911" t="s">
        <v>14161</v>
      </c>
      <c r="J4911" s="17" t="s">
        <v>14162</v>
      </c>
      <c r="K4911" s="18">
        <f>62811859222</f>
        <v>62811859222</v>
      </c>
      <c r="N4911" s="17" t="s">
        <v>77</v>
      </c>
      <c r="V4911" s="18">
        <f>62811859222</f>
        <v>62811859222</v>
      </c>
    </row>
    <row r="4912" ht="15" customHeight="1" spans="1:25" x14ac:dyDescent="0.25">
      <c r="A4912" s="17" t="s">
        <v>14163</v>
      </c>
      <c r="B4912" s="17" t="s">
        <v>70</v>
      </c>
      <c r="C4912" s="17" t="s">
        <v>71</v>
      </c>
      <c r="D4912" t="s">
        <v>14153</v>
      </c>
      <c r="F4912" t="s">
        <v>14164</v>
      </c>
      <c r="K4912" s="18">
        <f>62811862345</f>
        <v>62811862345</v>
      </c>
      <c r="N4912" s="17" t="s">
        <v>74</v>
      </c>
      <c r="V4912" s="18">
        <f>62811862345</f>
        <v>62811862345</v>
      </c>
      <c r="Y4912" s="17" t="s">
        <v>90</v>
      </c>
    </row>
    <row r="4913" ht="15" customHeight="1" spans="1:23" x14ac:dyDescent="0.25">
      <c r="A4913" s="17" t="s">
        <v>14165</v>
      </c>
      <c r="B4913" s="17" t="s">
        <v>70</v>
      </c>
      <c r="C4913" s="17" t="s">
        <v>71</v>
      </c>
      <c r="D4913" t="s">
        <v>14153</v>
      </c>
      <c r="F4913" t="s">
        <v>14166</v>
      </c>
      <c r="K4913" s="18">
        <f>62811904327</f>
        <v>62811904327</v>
      </c>
      <c r="N4913" s="17" t="s">
        <v>74</v>
      </c>
      <c r="U4913" s="17"/>
      <c r="V4913" s="18">
        <f>62811904327</f>
        <v>62811904327</v>
      </c>
      <c r="W4913" t="s">
        <v>14167</v>
      </c>
    </row>
    <row r="4914" ht="15" customHeight="1" spans="1:22" x14ac:dyDescent="0.25">
      <c r="A4914" s="17" t="s">
        <v>14168</v>
      </c>
      <c r="B4914" s="17" t="s">
        <v>70</v>
      </c>
      <c r="C4914" s="17" t="s">
        <v>71</v>
      </c>
      <c r="D4914" t="s">
        <v>14153</v>
      </c>
      <c r="F4914" t="s">
        <v>9363</v>
      </c>
      <c r="K4914" s="18">
        <f>628121101112</f>
        <v>628121101112</v>
      </c>
      <c r="N4914" s="17" t="s">
        <v>81</v>
      </c>
      <c r="V4914" s="18">
        <f>628121101112</f>
        <v>628121101112</v>
      </c>
    </row>
    <row r="4915" ht="15" customHeight="1" spans="1:22" x14ac:dyDescent="0.25">
      <c r="A4915" s="17" t="s">
        <v>14169</v>
      </c>
      <c r="B4915" s="17" t="s">
        <v>70</v>
      </c>
      <c r="C4915" s="17" t="s">
        <v>71</v>
      </c>
      <c r="D4915" t="s">
        <v>14153</v>
      </c>
      <c r="F4915" t="s">
        <v>9028</v>
      </c>
      <c r="K4915" s="18">
        <f>62811106724</f>
        <v>62811106724</v>
      </c>
      <c r="N4915" s="17" t="s">
        <v>77</v>
      </c>
      <c r="V4915" s="18">
        <f>62811106724</f>
        <v>62811106724</v>
      </c>
    </row>
    <row r="4916" ht="15" customHeight="1" spans="1:22" x14ac:dyDescent="0.25">
      <c r="A4916" s="17" t="s">
        <v>14170</v>
      </c>
      <c r="B4916" s="17" t="s">
        <v>70</v>
      </c>
      <c r="C4916" s="17" t="s">
        <v>71</v>
      </c>
      <c r="D4916" t="s">
        <v>14153</v>
      </c>
      <c r="F4916" t="s">
        <v>755</v>
      </c>
      <c r="K4916" s="18">
        <f>6281313041994</f>
        <v>6281313041994</v>
      </c>
      <c r="N4916" s="17" t="s">
        <v>81</v>
      </c>
      <c r="V4916" s="18">
        <f>6281313041994</f>
        <v>6281313041994</v>
      </c>
    </row>
    <row r="4917" ht="15" customHeight="1" spans="1:22" x14ac:dyDescent="0.25">
      <c r="A4917" s="17" t="s">
        <v>14171</v>
      </c>
      <c r="B4917" s="17" t="s">
        <v>70</v>
      </c>
      <c r="C4917" s="17" t="s">
        <v>71</v>
      </c>
      <c r="D4917" t="s">
        <v>14153</v>
      </c>
      <c r="F4917" t="s">
        <v>532</v>
      </c>
      <c r="K4917" s="18">
        <f>62811828244</f>
        <v>62811828244</v>
      </c>
      <c r="N4917" s="17" t="s">
        <v>77</v>
      </c>
      <c r="V4917" s="18">
        <f>62811828244</f>
        <v>62811828244</v>
      </c>
    </row>
    <row r="4918" ht="15" customHeight="1" spans="1:27" x14ac:dyDescent="0.25">
      <c r="A4918" s="17" t="s">
        <v>14172</v>
      </c>
      <c r="B4918" s="17" t="s">
        <v>70</v>
      </c>
      <c r="C4918" s="17" t="s">
        <v>71</v>
      </c>
      <c r="D4918" t="s">
        <v>14153</v>
      </c>
      <c r="F4918" t="s">
        <v>3723</v>
      </c>
      <c r="K4918" s="18">
        <f>62816916218</f>
        <v>62816916218</v>
      </c>
      <c r="N4918" s="17" t="s">
        <v>77</v>
      </c>
      <c r="U4918" s="17"/>
      <c r="V4918" s="18">
        <f>62816916218</f>
        <v>62816916218</v>
      </c>
      <c r="W4918" t="s">
        <v>14173</v>
      </c>
      <c r="Y4918" s="17" t="s">
        <v>626</v>
      </c>
      <c r="AA4918" s="17" t="s">
        <v>14174</v>
      </c>
    </row>
    <row r="4919" ht="15" customHeight="1" spans="1:22" x14ac:dyDescent="0.25">
      <c r="A4919" s="17" t="s">
        <v>14175</v>
      </c>
      <c r="B4919" s="17" t="s">
        <v>70</v>
      </c>
      <c r="C4919" s="17" t="s">
        <v>71</v>
      </c>
      <c r="D4919" t="s">
        <v>14153</v>
      </c>
      <c r="F4919" t="s">
        <v>669</v>
      </c>
      <c r="K4919" s="18">
        <f>6281290888896</f>
        <v>6281290888896</v>
      </c>
      <c r="N4919" s="17" t="s">
        <v>81</v>
      </c>
      <c r="V4919" s="18">
        <f>6281290888896</f>
        <v>6281290888896</v>
      </c>
    </row>
    <row r="4920" ht="15" customHeight="1" spans="1:22" x14ac:dyDescent="0.25">
      <c r="A4920" s="17" t="s">
        <v>14176</v>
      </c>
      <c r="B4920" s="17" t="s">
        <v>70</v>
      </c>
      <c r="C4920" s="17" t="s">
        <v>71</v>
      </c>
      <c r="D4920" t="s">
        <v>14153</v>
      </c>
      <c r="F4920" t="s">
        <v>14177</v>
      </c>
      <c r="K4920" s="18">
        <f>6281808731058</f>
        <v>6281808731058</v>
      </c>
      <c r="N4920" s="17" t="s">
        <v>81</v>
      </c>
      <c r="V4920" s="18">
        <f>6281808731058</f>
        <v>6281808731058</v>
      </c>
    </row>
    <row r="4921" ht="15" customHeight="1" spans="1:28" x14ac:dyDescent="0.25">
      <c r="A4921" s="17" t="s">
        <v>14178</v>
      </c>
      <c r="B4921" s="17" t="s">
        <v>70</v>
      </c>
      <c r="C4921" s="17" t="s">
        <v>71</v>
      </c>
      <c r="D4921" t="s">
        <v>14153</v>
      </c>
      <c r="F4921" t="s">
        <v>3701</v>
      </c>
      <c r="J4921" t="s">
        <v>115</v>
      </c>
      <c r="K4921" s="18" t="s">
        <v>14179</v>
      </c>
      <c r="N4921" s="17" t="s">
        <v>77</v>
      </c>
      <c r="O4921" t="s">
        <v>489</v>
      </c>
      <c r="V4921" s="18" t="s">
        <v>14179</v>
      </c>
      <c r="Y4921" t="s">
        <v>90</v>
      </c>
      <c r="AA4921" t="s">
        <v>118</v>
      </c>
      <c r="AB4921" t="s">
        <v>119</v>
      </c>
    </row>
    <row r="4922" ht="15" customHeight="1" spans="1:22" x14ac:dyDescent="0.25">
      <c r="A4922" s="17" t="s">
        <v>14180</v>
      </c>
      <c r="B4922" s="17" t="s">
        <v>70</v>
      </c>
      <c r="C4922" s="17" t="s">
        <v>71</v>
      </c>
      <c r="D4922" t="s">
        <v>14153</v>
      </c>
      <c r="F4922" t="s">
        <v>7846</v>
      </c>
      <c r="K4922" s="18">
        <f>6281383589555</f>
        <v>6281383589555</v>
      </c>
      <c r="N4922" s="17" t="s">
        <v>81</v>
      </c>
      <c r="V4922" s="18">
        <f>6281383589555</f>
        <v>6281383589555</v>
      </c>
    </row>
    <row r="4923" ht="15" customHeight="1" spans="1:22" x14ac:dyDescent="0.25">
      <c r="A4923" s="17" t="s">
        <v>14181</v>
      </c>
      <c r="B4923" s="17" t="s">
        <v>70</v>
      </c>
      <c r="C4923" s="17" t="s">
        <v>71</v>
      </c>
      <c r="D4923" t="s">
        <v>14182</v>
      </c>
      <c r="F4923" t="s">
        <v>14183</v>
      </c>
      <c r="K4923" s="18">
        <f>6281286000700</f>
        <v>6281286000700</v>
      </c>
      <c r="N4923" s="17" t="s">
        <v>81</v>
      </c>
      <c r="V4923" s="18">
        <f>6281286000700</f>
        <v>6281286000700</v>
      </c>
    </row>
    <row r="4924" ht="15" customHeight="1" spans="1:22" x14ac:dyDescent="0.25">
      <c r="A4924" s="17" t="s">
        <v>14184</v>
      </c>
      <c r="B4924" s="17" t="s">
        <v>70</v>
      </c>
      <c r="C4924" s="17" t="s">
        <v>71</v>
      </c>
      <c r="D4924" t="s">
        <v>14185</v>
      </c>
      <c r="F4924" t="s">
        <v>3958</v>
      </c>
      <c r="K4924" s="18">
        <f>62811714343</f>
        <v>62811714343</v>
      </c>
      <c r="N4924" s="17" t="s">
        <v>74</v>
      </c>
      <c r="V4924" s="18">
        <f>62811714343</f>
        <v>62811714343</v>
      </c>
    </row>
    <row r="4925" ht="15" customHeight="1" spans="1:22" x14ac:dyDescent="0.25">
      <c r="A4925" s="17" t="s">
        <v>14186</v>
      </c>
      <c r="B4925" s="17" t="s">
        <v>70</v>
      </c>
      <c r="C4925" s="17" t="s">
        <v>71</v>
      </c>
      <c r="D4925" t="s">
        <v>14187</v>
      </c>
      <c r="F4925" t="s">
        <v>14188</v>
      </c>
      <c r="K4925" s="18">
        <f>628129922979</f>
        <v>628129922979</v>
      </c>
      <c r="N4925" s="17" t="s">
        <v>77</v>
      </c>
      <c r="V4925" s="18">
        <f>628129922979</f>
        <v>628129922979</v>
      </c>
    </row>
    <row r="4926" ht="15" customHeight="1" spans="1:22" x14ac:dyDescent="0.25">
      <c r="A4926" s="17" t="s">
        <v>14189</v>
      </c>
      <c r="B4926" s="17" t="s">
        <v>70</v>
      </c>
      <c r="C4926" s="17" t="s">
        <v>71</v>
      </c>
      <c r="D4926" t="s">
        <v>14187</v>
      </c>
      <c r="F4926" t="s">
        <v>14190</v>
      </c>
      <c r="K4926" s="18">
        <f>62811802422</f>
        <v>62811802422</v>
      </c>
      <c r="N4926" s="17" t="s">
        <v>77</v>
      </c>
      <c r="V4926" s="18">
        <f>62811802422</f>
        <v>62811802422</v>
      </c>
    </row>
    <row r="4927" ht="15" customHeight="1" spans="1:22" x14ac:dyDescent="0.25">
      <c r="A4927" s="17" t="s">
        <v>14191</v>
      </c>
      <c r="B4927" s="17" t="s">
        <v>70</v>
      </c>
      <c r="C4927" s="17" t="s">
        <v>71</v>
      </c>
      <c r="D4927" t="s">
        <v>14192</v>
      </c>
      <c r="F4927" t="s">
        <v>14193</v>
      </c>
      <c r="K4927" s="18">
        <f>6285268017777</f>
        <v>6285268017777</v>
      </c>
      <c r="N4927" s="17" t="s">
        <v>77</v>
      </c>
      <c r="V4927" s="18">
        <f>6285268017777</f>
        <v>6285268017777</v>
      </c>
    </row>
    <row r="4928" ht="15" customHeight="1" spans="1:22" x14ac:dyDescent="0.25">
      <c r="A4928" s="17" t="s">
        <v>14194</v>
      </c>
      <c r="B4928" s="17" t="s">
        <v>70</v>
      </c>
      <c r="C4928" s="17" t="s">
        <v>71</v>
      </c>
      <c r="D4928" t="s">
        <v>14195</v>
      </c>
      <c r="F4928" t="s">
        <v>14195</v>
      </c>
      <c r="K4928" s="18">
        <f>6281803724986</f>
        <v>6281803724986</v>
      </c>
      <c r="N4928" s="17" t="s">
        <v>81</v>
      </c>
      <c r="V4928" s="18">
        <f>6281803724986</f>
        <v>6281803724986</v>
      </c>
    </row>
    <row r="4929" ht="15" customHeight="1" spans="1:22" x14ac:dyDescent="0.25">
      <c r="A4929" s="17" t="s">
        <v>14196</v>
      </c>
      <c r="B4929" s="17" t="s">
        <v>70</v>
      </c>
      <c r="C4929" s="17" t="s">
        <v>71</v>
      </c>
      <c r="D4929" t="s">
        <v>14197</v>
      </c>
      <c r="F4929" t="s">
        <v>14198</v>
      </c>
      <c r="K4929" s="18">
        <f>6281317748787</f>
        <v>6281317748787</v>
      </c>
      <c r="N4929" s="17" t="s">
        <v>77</v>
      </c>
      <c r="V4929" s="18">
        <f>6281317748787</f>
        <v>6281317748787</v>
      </c>
    </row>
    <row r="4930" ht="15" customHeight="1" spans="1:28" x14ac:dyDescent="0.25">
      <c r="A4930" s="17" t="s">
        <v>14199</v>
      </c>
      <c r="B4930" s="17" t="s">
        <v>70</v>
      </c>
      <c r="C4930" s="17" t="s">
        <v>71</v>
      </c>
      <c r="D4930" t="s">
        <v>14200</v>
      </c>
      <c r="F4930" t="s">
        <v>14201</v>
      </c>
      <c r="J4930" s="17" t="s">
        <v>14202</v>
      </c>
      <c r="K4930" s="18" t="s">
        <v>14203</v>
      </c>
      <c r="N4930" s="17" t="s">
        <v>77</v>
      </c>
      <c r="O4930" t="s">
        <v>199</v>
      </c>
      <c r="V4930" s="18" t="s">
        <v>14203</v>
      </c>
      <c r="Y4930" t="s">
        <v>90</v>
      </c>
      <c r="AA4930" t="s">
        <v>118</v>
      </c>
      <c r="AB4930" t="s">
        <v>119</v>
      </c>
    </row>
    <row r="4931" ht="15" customHeight="1" spans="1:28" x14ac:dyDescent="0.25">
      <c r="A4931" s="17" t="s">
        <v>14204</v>
      </c>
      <c r="B4931" s="17" t="s">
        <v>70</v>
      </c>
      <c r="C4931" s="17" t="s">
        <v>71</v>
      </c>
      <c r="D4931" t="s">
        <v>14205</v>
      </c>
      <c r="F4931" t="s">
        <v>14206</v>
      </c>
      <c r="J4931" t="s">
        <v>115</v>
      </c>
      <c r="K4931" s="18" t="s">
        <v>14207</v>
      </c>
      <c r="N4931" s="17" t="s">
        <v>77</v>
      </c>
      <c r="O4931" t="s">
        <v>117</v>
      </c>
      <c r="V4931" s="18" t="s">
        <v>14207</v>
      </c>
      <c r="Y4931" t="s">
        <v>90</v>
      </c>
      <c r="AA4931" t="s">
        <v>118</v>
      </c>
      <c r="AB4931" t="s">
        <v>119</v>
      </c>
    </row>
    <row r="4932" ht="15" customHeight="1" spans="1:28" x14ac:dyDescent="0.25">
      <c r="A4932" s="17" t="s">
        <v>14208</v>
      </c>
      <c r="B4932" s="17" t="s">
        <v>70</v>
      </c>
      <c r="C4932" s="17" t="s">
        <v>71</v>
      </c>
      <c r="D4932" t="s">
        <v>14209</v>
      </c>
      <c r="F4932" t="s">
        <v>14210</v>
      </c>
      <c r="J4932" t="s">
        <v>115</v>
      </c>
      <c r="K4932" s="18" t="s">
        <v>14211</v>
      </c>
      <c r="N4932" s="17" t="s">
        <v>81</v>
      </c>
      <c r="O4932" t="s">
        <v>145</v>
      </c>
      <c r="U4932" s="17"/>
      <c r="V4932" s="18" t="s">
        <v>14211</v>
      </c>
      <c r="W4932" t="s">
        <v>14212</v>
      </c>
      <c r="Y4932" t="s">
        <v>397</v>
      </c>
      <c r="AA4932" t="s">
        <v>1199</v>
      </c>
      <c r="AB4932" t="s">
        <v>119</v>
      </c>
    </row>
    <row r="4933" ht="15" customHeight="1" spans="1:22" x14ac:dyDescent="0.25">
      <c r="A4933" s="17" t="s">
        <v>14213</v>
      </c>
      <c r="B4933" s="17" t="s">
        <v>70</v>
      </c>
      <c r="C4933" s="17" t="s">
        <v>71</v>
      </c>
      <c r="D4933" t="s">
        <v>7484</v>
      </c>
      <c r="F4933" t="s">
        <v>7484</v>
      </c>
      <c r="K4933" s="18">
        <f>6281399777865</f>
        <v>6281399777865</v>
      </c>
      <c r="N4933" s="17" t="s">
        <v>77</v>
      </c>
      <c r="V4933" s="18">
        <f>6281399777865</f>
        <v>6281399777865</v>
      </c>
    </row>
    <row r="4934" ht="15" customHeight="1" spans="1:22" x14ac:dyDescent="0.25">
      <c r="A4934" s="17" t="s">
        <v>14214</v>
      </c>
      <c r="B4934" s="17" t="s">
        <v>70</v>
      </c>
      <c r="C4934" s="17" t="s">
        <v>71</v>
      </c>
      <c r="D4934" t="s">
        <v>14215</v>
      </c>
      <c r="F4934" t="s">
        <v>14216</v>
      </c>
      <c r="K4934" s="18">
        <f>6281808567572</f>
        <v>6281808567572</v>
      </c>
      <c r="N4934" s="17" t="s">
        <v>81</v>
      </c>
      <c r="V4934" s="18">
        <f>6281808567572</f>
        <v>6281808567572</v>
      </c>
    </row>
    <row r="4935" ht="15" customHeight="1" spans="1:22" x14ac:dyDescent="0.25">
      <c r="A4935" s="17" t="s">
        <v>14217</v>
      </c>
      <c r="B4935" s="17" t="s">
        <v>70</v>
      </c>
      <c r="C4935" s="17" t="s">
        <v>71</v>
      </c>
      <c r="D4935" t="s">
        <v>14218</v>
      </c>
      <c r="F4935" t="s">
        <v>14218</v>
      </c>
      <c r="K4935" s="18">
        <f>628112889393</f>
        <v>628112889393</v>
      </c>
      <c r="N4935" s="17" t="s">
        <v>77</v>
      </c>
      <c r="V4935" s="18">
        <f>628112889393</f>
        <v>628112889393</v>
      </c>
    </row>
    <row r="4936" ht="15" customHeight="1" spans="1:28" x14ac:dyDescent="0.25">
      <c r="A4936" s="17" t="s">
        <v>14219</v>
      </c>
      <c r="B4936" s="17" t="s">
        <v>70</v>
      </c>
      <c r="C4936" s="17" t="s">
        <v>71</v>
      </c>
      <c r="D4936" t="s">
        <v>14218</v>
      </c>
      <c r="F4936" t="s">
        <v>14220</v>
      </c>
      <c r="J4936" s="17" t="s">
        <v>14221</v>
      </c>
      <c r="K4936" s="18" t="s">
        <v>14222</v>
      </c>
      <c r="N4936" s="17" t="s">
        <v>77</v>
      </c>
      <c r="O4936" t="s">
        <v>261</v>
      </c>
      <c r="U4936" s="17"/>
      <c r="V4936" s="18" t="s">
        <v>14222</v>
      </c>
      <c r="W4936" t="s">
        <v>14223</v>
      </c>
      <c r="Y4936" t="s">
        <v>1084</v>
      </c>
      <c r="AA4936" t="s">
        <v>3146</v>
      </c>
      <c r="AB4936" t="s">
        <v>119</v>
      </c>
    </row>
    <row r="4937" ht="15" customHeight="1" spans="1:28" x14ac:dyDescent="0.25">
      <c r="A4937" s="17" t="s">
        <v>14224</v>
      </c>
      <c r="B4937" s="17" t="s">
        <v>70</v>
      </c>
      <c r="C4937" s="17" t="s">
        <v>71</v>
      </c>
      <c r="D4937" t="s">
        <v>14225</v>
      </c>
      <c r="F4937" t="s">
        <v>14226</v>
      </c>
      <c r="J4937" s="17" t="s">
        <v>14227</v>
      </c>
      <c r="K4937" s="18" t="s">
        <v>14228</v>
      </c>
      <c r="N4937" s="17" t="s">
        <v>77</v>
      </c>
      <c r="O4937" t="s">
        <v>261</v>
      </c>
      <c r="U4937" s="17"/>
      <c r="V4937" s="18" t="s">
        <v>14228</v>
      </c>
      <c r="W4937" t="s">
        <v>14229</v>
      </c>
      <c r="Y4937" t="s">
        <v>90</v>
      </c>
      <c r="AA4937" s="17" t="s">
        <v>118</v>
      </c>
      <c r="AB4937" t="s">
        <v>119</v>
      </c>
    </row>
    <row r="4938" ht="15" customHeight="1" spans="1:23" x14ac:dyDescent="0.25">
      <c r="A4938" s="17" t="s">
        <v>14230</v>
      </c>
      <c r="B4938" s="17" t="s">
        <v>70</v>
      </c>
      <c r="C4938" s="17" t="s">
        <v>71</v>
      </c>
      <c r="D4938" t="s">
        <v>14231</v>
      </c>
      <c r="F4938" t="s">
        <v>9218</v>
      </c>
      <c r="K4938" s="18">
        <f>628158818079</f>
        <v>628158818079</v>
      </c>
      <c r="N4938" s="17" t="s">
        <v>81</v>
      </c>
      <c r="U4938" s="17"/>
      <c r="V4938" s="18">
        <f>628158818079</f>
        <v>628158818079</v>
      </c>
      <c r="W4938" t="s">
        <v>14232</v>
      </c>
    </row>
    <row r="4939" ht="15" customHeight="1" spans="1:22" x14ac:dyDescent="0.25">
      <c r="A4939" s="17" t="s">
        <v>14233</v>
      </c>
      <c r="B4939" s="17" t="s">
        <v>70</v>
      </c>
      <c r="C4939" s="17" t="s">
        <v>71</v>
      </c>
      <c r="D4939" t="s">
        <v>14234</v>
      </c>
      <c r="F4939" t="s">
        <v>14234</v>
      </c>
      <c r="K4939" s="18">
        <f>6281322388888</f>
        <v>6281322388888</v>
      </c>
      <c r="N4939" s="17" t="s">
        <v>77</v>
      </c>
      <c r="V4939" s="18">
        <f>6281322388888</f>
        <v>6281322388888</v>
      </c>
    </row>
    <row r="4940" ht="15" customHeight="1" spans="1:22" x14ac:dyDescent="0.25">
      <c r="A4940" s="17" t="s">
        <v>14235</v>
      </c>
      <c r="B4940" s="17" t="s">
        <v>70</v>
      </c>
      <c r="C4940" s="17" t="s">
        <v>71</v>
      </c>
      <c r="D4940" t="s">
        <v>14234</v>
      </c>
      <c r="F4940" t="s">
        <v>14234</v>
      </c>
      <c r="K4940" s="18">
        <f>62818172811</f>
        <v>62818172811</v>
      </c>
      <c r="N4940" s="17" t="s">
        <v>81</v>
      </c>
      <c r="V4940" s="18">
        <f>62818172811</f>
        <v>62818172811</v>
      </c>
    </row>
    <row r="4941" ht="15" customHeight="1" spans="1:27" x14ac:dyDescent="0.25">
      <c r="A4941" s="17" t="s">
        <v>14236</v>
      </c>
      <c r="B4941" s="17" t="s">
        <v>70</v>
      </c>
      <c r="C4941" s="17" t="s">
        <v>71</v>
      </c>
      <c r="D4941" t="s">
        <v>14234</v>
      </c>
      <c r="F4941" t="s">
        <v>14237</v>
      </c>
      <c r="K4941" s="18">
        <f>62811102624</f>
        <v>62811102624</v>
      </c>
      <c r="N4941" s="17" t="s">
        <v>74</v>
      </c>
      <c r="V4941" s="18">
        <f>62811102624</f>
        <v>62811102624</v>
      </c>
      <c r="Y4941" s="17" t="s">
        <v>96</v>
      </c>
      <c r="AA4941" s="17" t="s">
        <v>133</v>
      </c>
    </row>
    <row r="4942" ht="15" customHeight="1" spans="1:22" x14ac:dyDescent="0.25">
      <c r="A4942" s="17" t="s">
        <v>14238</v>
      </c>
      <c r="B4942" s="17" t="s">
        <v>70</v>
      </c>
      <c r="C4942" s="17" t="s">
        <v>71</v>
      </c>
      <c r="D4942" t="s">
        <v>14234</v>
      </c>
      <c r="F4942" t="s">
        <v>14239</v>
      </c>
      <c r="K4942" s="18">
        <f>6281807952346</f>
        <v>6281807952346</v>
      </c>
      <c r="N4942" s="17" t="s">
        <v>81</v>
      </c>
      <c r="V4942" s="18">
        <f>6281807952346</f>
        <v>6281807952346</v>
      </c>
    </row>
    <row r="4943" ht="15" customHeight="1" spans="1:28" x14ac:dyDescent="0.25">
      <c r="A4943" s="17" t="s">
        <v>14240</v>
      </c>
      <c r="B4943" s="17" t="s">
        <v>70</v>
      </c>
      <c r="C4943" s="17" t="s">
        <v>71</v>
      </c>
      <c r="D4943" t="s">
        <v>14234</v>
      </c>
      <c r="F4943" t="s">
        <v>821</v>
      </c>
      <c r="J4943" t="s">
        <v>115</v>
      </c>
      <c r="K4943" s="18" t="s">
        <v>14241</v>
      </c>
      <c r="N4943" s="17" t="s">
        <v>77</v>
      </c>
      <c r="O4943" t="s">
        <v>145</v>
      </c>
      <c r="U4943" s="17"/>
      <c r="V4943" s="18" t="s">
        <v>14241</v>
      </c>
      <c r="W4943" t="s">
        <v>14242</v>
      </c>
      <c r="Y4943" s="17" t="s">
        <v>90</v>
      </c>
      <c r="AA4943" s="17" t="s">
        <v>118</v>
      </c>
      <c r="AB4943" t="s">
        <v>119</v>
      </c>
    </row>
    <row r="4944" ht="15" customHeight="1" spans="1:23" x14ac:dyDescent="0.25">
      <c r="A4944" s="17" t="s">
        <v>14243</v>
      </c>
      <c r="B4944" s="17" t="s">
        <v>70</v>
      </c>
      <c r="C4944" s="17" t="s">
        <v>71</v>
      </c>
      <c r="D4944" t="s">
        <v>14234</v>
      </c>
      <c r="F4944" t="s">
        <v>11126</v>
      </c>
      <c r="K4944" s="18">
        <f>62816536272</f>
        <v>62816536272</v>
      </c>
      <c r="N4944" s="17" t="s">
        <v>81</v>
      </c>
      <c r="U4944" s="17"/>
      <c r="V4944" s="18">
        <f>62816536272</f>
        <v>62816536272</v>
      </c>
      <c r="W4944" t="s">
        <v>14244</v>
      </c>
    </row>
    <row r="4945" ht="15" customHeight="1" spans="1:27" x14ac:dyDescent="0.25">
      <c r="A4945" s="17" t="s">
        <v>14245</v>
      </c>
      <c r="B4945" s="17" t="s">
        <v>70</v>
      </c>
      <c r="C4945" s="17" t="s">
        <v>71</v>
      </c>
      <c r="D4945" t="s">
        <v>14234</v>
      </c>
      <c r="F4945" t="s">
        <v>14246</v>
      </c>
      <c r="J4945" s="17" t="s">
        <v>14247</v>
      </c>
      <c r="K4945" s="18">
        <f>62816790307</f>
        <v>62816790307</v>
      </c>
      <c r="N4945" s="17" t="s">
        <v>74</v>
      </c>
      <c r="U4945" s="17"/>
      <c r="V4945" s="18">
        <f>62816790307</f>
        <v>62816790307</v>
      </c>
      <c r="W4945" t="s">
        <v>14248</v>
      </c>
      <c r="Y4945" s="17" t="s">
        <v>1084</v>
      </c>
      <c r="AA4945" s="17">
        <v>14450</v>
      </c>
    </row>
    <row r="4946" ht="15" customHeight="1" spans="1:22" x14ac:dyDescent="0.25">
      <c r="A4946" s="17" t="s">
        <v>14249</v>
      </c>
      <c r="B4946" s="17" t="s">
        <v>70</v>
      </c>
      <c r="C4946" s="17" t="s">
        <v>71</v>
      </c>
      <c r="D4946" t="s">
        <v>14234</v>
      </c>
      <c r="F4946" t="s">
        <v>14246</v>
      </c>
      <c r="K4946" s="18">
        <f>62816790301</f>
        <v>62816790301</v>
      </c>
      <c r="N4946" s="17" t="s">
        <v>81</v>
      </c>
      <c r="V4946" s="18">
        <f>62816790301</f>
        <v>62816790301</v>
      </c>
    </row>
    <row r="4947" ht="15" customHeight="1" spans="1:27" x14ac:dyDescent="0.25">
      <c r="A4947" s="17" t="s">
        <v>14250</v>
      </c>
      <c r="B4947" s="17" t="s">
        <v>70</v>
      </c>
      <c r="C4947" s="17" t="s">
        <v>71</v>
      </c>
      <c r="D4947" t="s">
        <v>14234</v>
      </c>
      <c r="F4947" t="s">
        <v>1657</v>
      </c>
      <c r="J4947" s="17" t="s">
        <v>14251</v>
      </c>
      <c r="K4947" s="18">
        <f>6281310818181</f>
        <v>6281310818181</v>
      </c>
      <c r="N4947" s="17" t="s">
        <v>81</v>
      </c>
      <c r="U4947" s="17"/>
      <c r="V4947" s="18">
        <f>6281310818181</f>
        <v>6281310818181</v>
      </c>
      <c r="W4947" t="s">
        <v>14252</v>
      </c>
      <c r="Y4947" s="17" t="s">
        <v>515</v>
      </c>
      <c r="AA4947" s="17">
        <v>13220</v>
      </c>
    </row>
    <row r="4948" ht="15" customHeight="1" spans="1:22" x14ac:dyDescent="0.25">
      <c r="A4948" s="17" t="s">
        <v>14253</v>
      </c>
      <c r="B4948" s="17" t="s">
        <v>70</v>
      </c>
      <c r="C4948" s="17" t="s">
        <v>71</v>
      </c>
      <c r="D4948" t="s">
        <v>14234</v>
      </c>
      <c r="F4948" t="s">
        <v>1657</v>
      </c>
      <c r="K4948" s="18">
        <f>62811991413</f>
        <v>62811991413</v>
      </c>
      <c r="N4948" s="17" t="s">
        <v>74</v>
      </c>
      <c r="V4948" s="18">
        <f>62811991413</f>
        <v>62811991413</v>
      </c>
    </row>
    <row r="4949" ht="15" customHeight="1" spans="1:22" x14ac:dyDescent="0.25">
      <c r="A4949" s="17" t="s">
        <v>14254</v>
      </c>
      <c r="B4949" s="17" t="s">
        <v>70</v>
      </c>
      <c r="C4949" s="17" t="s">
        <v>71</v>
      </c>
      <c r="D4949" t="s">
        <v>14255</v>
      </c>
      <c r="F4949" t="s">
        <v>14255</v>
      </c>
      <c r="K4949" s="18">
        <f>62821378010</f>
        <v>62821378010</v>
      </c>
      <c r="N4949" s="17" t="s">
        <v>81</v>
      </c>
      <c r="V4949" s="18">
        <f>62821378010</f>
        <v>62821378010</v>
      </c>
    </row>
    <row r="4950" ht="15" customHeight="1" spans="1:23" x14ac:dyDescent="0.25">
      <c r="A4950" s="17" t="s">
        <v>14256</v>
      </c>
      <c r="B4950" s="17" t="s">
        <v>70</v>
      </c>
      <c r="C4950" s="17" t="s">
        <v>71</v>
      </c>
      <c r="D4950" t="s">
        <v>14257</v>
      </c>
      <c r="F4950" t="s">
        <v>7860</v>
      </c>
      <c r="K4950" s="18">
        <f>62811210776</f>
        <v>62811210776</v>
      </c>
      <c r="N4950" s="17" t="s">
        <v>81</v>
      </c>
      <c r="U4950" s="17"/>
      <c r="V4950" s="18">
        <f>62811210776</f>
        <v>62811210776</v>
      </c>
      <c r="W4950" t="s">
        <v>14258</v>
      </c>
    </row>
    <row r="4951" ht="15" customHeight="1" spans="1:23" x14ac:dyDescent="0.25">
      <c r="A4951" s="17" t="s">
        <v>14259</v>
      </c>
      <c r="B4951" s="17" t="s">
        <v>70</v>
      </c>
      <c r="C4951" s="17" t="s">
        <v>71</v>
      </c>
      <c r="D4951" t="s">
        <v>14257</v>
      </c>
      <c r="F4951" t="s">
        <v>14260</v>
      </c>
      <c r="K4951" s="18">
        <f>628121218080</f>
        <v>628121218080</v>
      </c>
      <c r="N4951" s="17" t="s">
        <v>77</v>
      </c>
      <c r="U4951" s="17"/>
      <c r="V4951" s="18">
        <f>628121218080</f>
        <v>628121218080</v>
      </c>
      <c r="W4951" t="s">
        <v>14261</v>
      </c>
    </row>
    <row r="4952" ht="15" customHeight="1" spans="1:23" x14ac:dyDescent="0.25">
      <c r="A4952" s="17" t="s">
        <v>14262</v>
      </c>
      <c r="B4952" s="17" t="s">
        <v>70</v>
      </c>
      <c r="C4952" s="17" t="s">
        <v>71</v>
      </c>
      <c r="D4952" t="s">
        <v>14257</v>
      </c>
      <c r="F4952" t="s">
        <v>2381</v>
      </c>
      <c r="K4952" s="18">
        <v>8121218080</v>
      </c>
      <c r="N4952" s="17" t="s">
        <v>77</v>
      </c>
      <c r="U4952" s="17"/>
      <c r="V4952" s="18">
        <v>8121218080</v>
      </c>
      <c r="W4952" t="s">
        <v>14263</v>
      </c>
    </row>
    <row r="4953" ht="15" customHeight="1" spans="1:28" x14ac:dyDescent="0.25">
      <c r="A4953" s="17" t="s">
        <v>14264</v>
      </c>
      <c r="B4953" s="17" t="s">
        <v>70</v>
      </c>
      <c r="C4953" s="17" t="s">
        <v>71</v>
      </c>
      <c r="D4953" t="s">
        <v>14257</v>
      </c>
      <c r="F4953" t="s">
        <v>14265</v>
      </c>
      <c r="J4953" t="s">
        <v>115</v>
      </c>
      <c r="K4953" s="18" t="s">
        <v>14266</v>
      </c>
      <c r="N4953" s="17" t="s">
        <v>74</v>
      </c>
      <c r="O4953" t="s">
        <v>489</v>
      </c>
      <c r="U4953" s="17"/>
      <c r="V4953" s="18" t="s">
        <v>14266</v>
      </c>
      <c r="W4953" t="s">
        <v>14267</v>
      </c>
      <c r="Y4953" t="s">
        <v>90</v>
      </c>
      <c r="AA4953" t="s">
        <v>118</v>
      </c>
      <c r="AB4953" t="s">
        <v>119</v>
      </c>
    </row>
    <row r="4954" ht="15" customHeight="1" spans="1:28" x14ac:dyDescent="0.25">
      <c r="A4954" s="17" t="s">
        <v>14268</v>
      </c>
      <c r="B4954" s="17" t="s">
        <v>70</v>
      </c>
      <c r="C4954" s="17" t="s">
        <v>71</v>
      </c>
      <c r="D4954" t="s">
        <v>14269</v>
      </c>
      <c r="F4954" t="s">
        <v>14270</v>
      </c>
      <c r="J4954" t="s">
        <v>14271</v>
      </c>
      <c r="K4954" s="18" t="s">
        <v>14272</v>
      </c>
      <c r="N4954" s="17" t="s">
        <v>77</v>
      </c>
      <c r="O4954" t="s">
        <v>199</v>
      </c>
      <c r="V4954" s="18" t="s">
        <v>14272</v>
      </c>
      <c r="Y4954" t="s">
        <v>90</v>
      </c>
      <c r="AA4954" t="s">
        <v>118</v>
      </c>
      <c r="AB4954" t="s">
        <v>119</v>
      </c>
    </row>
    <row r="4955" ht="15" customHeight="1" spans="1:22" x14ac:dyDescent="0.25">
      <c r="A4955" s="17" t="s">
        <v>14273</v>
      </c>
      <c r="B4955" s="17" t="s">
        <v>70</v>
      </c>
      <c r="C4955" s="17" t="s">
        <v>71</v>
      </c>
      <c r="D4955" t="s">
        <v>14274</v>
      </c>
      <c r="F4955" t="s">
        <v>184</v>
      </c>
      <c r="K4955" s="18">
        <f>6281292984160</f>
        <v>6281292984160</v>
      </c>
      <c r="N4955" s="17" t="s">
        <v>77</v>
      </c>
      <c r="V4955" s="18">
        <f>6281292984160</f>
        <v>6281292984160</v>
      </c>
    </row>
    <row r="4956" ht="15" customHeight="1" spans="1:22" x14ac:dyDescent="0.25">
      <c r="A4956" s="17" t="s">
        <v>14275</v>
      </c>
      <c r="B4956" s="17" t="s">
        <v>70</v>
      </c>
      <c r="C4956" s="17" t="s">
        <v>71</v>
      </c>
      <c r="D4956" t="s">
        <v>14276</v>
      </c>
      <c r="F4956" t="s">
        <v>14276</v>
      </c>
      <c r="K4956" s="18">
        <f>6281999923700</f>
        <v>6281999923700</v>
      </c>
      <c r="N4956" s="17" t="s">
        <v>81</v>
      </c>
      <c r="V4956" s="18">
        <f>6281999923700</f>
        <v>6281999923700</v>
      </c>
    </row>
    <row r="4957" ht="15" customHeight="1" spans="1:22" x14ac:dyDescent="0.25">
      <c r="A4957" s="17" t="s">
        <v>14277</v>
      </c>
      <c r="B4957" s="17" t="s">
        <v>70</v>
      </c>
      <c r="C4957" s="17" t="s">
        <v>71</v>
      </c>
      <c r="D4957" t="s">
        <v>14276</v>
      </c>
      <c r="F4957" t="s">
        <v>14278</v>
      </c>
      <c r="K4957" s="18">
        <f>6285811341004</f>
        <v>6285811341004</v>
      </c>
      <c r="N4957" s="17" t="s">
        <v>81</v>
      </c>
      <c r="V4957" s="18">
        <f>6285811341004</f>
        <v>6285811341004</v>
      </c>
    </row>
    <row r="4958" ht="15" customHeight="1" spans="1:22" x14ac:dyDescent="0.25">
      <c r="A4958" s="17" t="s">
        <v>14279</v>
      </c>
      <c r="B4958" s="17" t="s">
        <v>70</v>
      </c>
      <c r="C4958" s="17" t="s">
        <v>71</v>
      </c>
      <c r="D4958" t="s">
        <v>14276</v>
      </c>
      <c r="F4958" t="s">
        <v>14280</v>
      </c>
      <c r="K4958" s="18">
        <f>6282110202676</f>
        <v>6282110202676</v>
      </c>
      <c r="N4958" s="17" t="s">
        <v>81</v>
      </c>
      <c r="V4958" s="18">
        <f>6282110202676</f>
        <v>6282110202676</v>
      </c>
    </row>
    <row r="4959" ht="15" customHeight="1" spans="1:28" x14ac:dyDescent="0.25">
      <c r="A4959" s="17" t="s">
        <v>14281</v>
      </c>
      <c r="B4959" s="17" t="s">
        <v>70</v>
      </c>
      <c r="C4959" s="17" t="s">
        <v>71</v>
      </c>
      <c r="D4959" t="s">
        <v>14276</v>
      </c>
      <c r="F4959" t="s">
        <v>14282</v>
      </c>
      <c r="J4959" s="17" t="s">
        <v>14283</v>
      </c>
      <c r="K4959" s="18" t="s">
        <v>14284</v>
      </c>
      <c r="N4959" s="17" t="s">
        <v>77</v>
      </c>
      <c r="O4959" t="s">
        <v>117</v>
      </c>
      <c r="U4959" s="17"/>
      <c r="V4959" s="18" t="s">
        <v>14284</v>
      </c>
      <c r="W4959" t="s">
        <v>14285</v>
      </c>
      <c r="Y4959" t="s">
        <v>96</v>
      </c>
      <c r="AA4959" t="s">
        <v>693</v>
      </c>
      <c r="AB4959" t="s">
        <v>119</v>
      </c>
    </row>
    <row r="4960" ht="15" customHeight="1" spans="1:27" x14ac:dyDescent="0.25">
      <c r="A4960" s="17" t="s">
        <v>14286</v>
      </c>
      <c r="B4960" s="17" t="s">
        <v>70</v>
      </c>
      <c r="C4960" s="17" t="s">
        <v>71</v>
      </c>
      <c r="D4960" t="s">
        <v>14276</v>
      </c>
      <c r="F4960" t="s">
        <v>1208</v>
      </c>
      <c r="J4960" s="17" t="s">
        <v>14287</v>
      </c>
      <c r="K4960" s="18">
        <f>622178896350</f>
        <v>622178896350</v>
      </c>
      <c r="N4960" s="17" t="s">
        <v>77</v>
      </c>
      <c r="U4960" s="17"/>
      <c r="V4960" s="18">
        <f>622178896350</f>
        <v>622178896350</v>
      </c>
      <c r="W4960" t="s">
        <v>14288</v>
      </c>
      <c r="Y4960" s="17" t="s">
        <v>90</v>
      </c>
      <c r="AA4960" s="17">
        <v>12410</v>
      </c>
    </row>
    <row r="4961" ht="15" customHeight="1" spans="1:22" x14ac:dyDescent="0.25">
      <c r="A4961" s="17" t="s">
        <v>14289</v>
      </c>
      <c r="B4961" s="17" t="s">
        <v>70</v>
      </c>
      <c r="C4961" s="17" t="s">
        <v>71</v>
      </c>
      <c r="D4961" t="s">
        <v>14290</v>
      </c>
      <c r="F4961" t="s">
        <v>14291</v>
      </c>
      <c r="K4961" s="18">
        <f>628113330244</f>
        <v>628113330244</v>
      </c>
      <c r="N4961" s="17" t="s">
        <v>77</v>
      </c>
      <c r="V4961" s="18">
        <f>628113330244</f>
        <v>628113330244</v>
      </c>
    </row>
    <row r="4962" ht="15" customHeight="1" spans="1:28" x14ac:dyDescent="0.25">
      <c r="A4962" s="17" t="s">
        <v>14292</v>
      </c>
      <c r="B4962" s="17" t="s">
        <v>70</v>
      </c>
      <c r="C4962" s="17" t="s">
        <v>71</v>
      </c>
      <c r="D4962" t="s">
        <v>14290</v>
      </c>
      <c r="F4962" t="s">
        <v>14293</v>
      </c>
      <c r="J4962" s="17" t="s">
        <v>14294</v>
      </c>
      <c r="K4962" s="18" t="s">
        <v>14295</v>
      </c>
      <c r="N4962" s="17" t="s">
        <v>81</v>
      </c>
      <c r="O4962" t="s">
        <v>117</v>
      </c>
      <c r="V4962" s="18" t="s">
        <v>14295</v>
      </c>
      <c r="Y4962" t="s">
        <v>115</v>
      </c>
      <c r="AA4962" t="s">
        <v>115</v>
      </c>
      <c r="AB4962" t="s">
        <v>119</v>
      </c>
    </row>
    <row r="4963" ht="15" customHeight="1" spans="1:28" x14ac:dyDescent="0.25">
      <c r="A4963" s="17" t="s">
        <v>14296</v>
      </c>
      <c r="B4963" s="17" t="s">
        <v>70</v>
      </c>
      <c r="C4963" s="17" t="s">
        <v>71</v>
      </c>
      <c r="D4963" t="s">
        <v>14297</v>
      </c>
      <c r="F4963" t="s">
        <v>2029</v>
      </c>
      <c r="J4963" t="s">
        <v>115</v>
      </c>
      <c r="K4963" s="18" t="s">
        <v>14298</v>
      </c>
      <c r="N4963" s="17" t="s">
        <v>77</v>
      </c>
      <c r="O4963" t="s">
        <v>199</v>
      </c>
      <c r="V4963" s="18" t="s">
        <v>14298</v>
      </c>
      <c r="Y4963" t="s">
        <v>90</v>
      </c>
      <c r="AA4963" t="s">
        <v>118</v>
      </c>
      <c r="AB4963" t="s">
        <v>119</v>
      </c>
    </row>
    <row r="4964" ht="15" customHeight="1" spans="1:22" x14ac:dyDescent="0.25">
      <c r="A4964" s="17" t="s">
        <v>14299</v>
      </c>
      <c r="B4964" s="17" t="s">
        <v>70</v>
      </c>
      <c r="C4964" s="17" t="s">
        <v>71</v>
      </c>
      <c r="D4964" t="s">
        <v>14300</v>
      </c>
      <c r="F4964" t="s">
        <v>14300</v>
      </c>
      <c r="K4964" s="18">
        <f>6281316483728</f>
        <v>6281316483728</v>
      </c>
      <c r="N4964" s="17" t="s">
        <v>77</v>
      </c>
      <c r="V4964" s="18">
        <f>6281316483728</f>
        <v>6281316483728</v>
      </c>
    </row>
    <row r="4965" ht="15" customHeight="1" spans="1:23" x14ac:dyDescent="0.25">
      <c r="A4965" s="17" t="s">
        <v>14301</v>
      </c>
      <c r="B4965" s="17" t="s">
        <v>70</v>
      </c>
      <c r="C4965" s="17" t="s">
        <v>71</v>
      </c>
      <c r="D4965" t="s">
        <v>14302</v>
      </c>
      <c r="F4965" t="s">
        <v>14303</v>
      </c>
      <c r="J4965" s="17" t="s">
        <v>14304</v>
      </c>
      <c r="K4965" s="18">
        <f>79851209237</f>
        <v>79851209237</v>
      </c>
      <c r="N4965" s="17" t="s">
        <v>77</v>
      </c>
      <c r="U4965" s="17"/>
      <c r="V4965" s="18">
        <f>79851209237</f>
        <v>79851209237</v>
      </c>
      <c r="W4965" t="s">
        <v>1908</v>
      </c>
    </row>
    <row r="4966" ht="15" customHeight="1" spans="1:28" x14ac:dyDescent="0.25">
      <c r="A4966" s="17" t="s">
        <v>14305</v>
      </c>
      <c r="B4966" s="17" t="s">
        <v>70</v>
      </c>
      <c r="C4966" s="17" t="s">
        <v>71</v>
      </c>
      <c r="D4966" t="s">
        <v>14306</v>
      </c>
      <c r="F4966" t="s">
        <v>10033</v>
      </c>
      <c r="J4966" t="s">
        <v>115</v>
      </c>
      <c r="K4966" s="18" t="s">
        <v>14307</v>
      </c>
      <c r="N4966" s="17" t="s">
        <v>81</v>
      </c>
      <c r="O4966" t="s">
        <v>199</v>
      </c>
      <c r="V4966" s="18" t="s">
        <v>14307</v>
      </c>
      <c r="Y4966" t="s">
        <v>190</v>
      </c>
      <c r="AA4966" t="s">
        <v>118</v>
      </c>
      <c r="AB4966" t="s">
        <v>119</v>
      </c>
    </row>
    <row r="4967" ht="15" customHeight="1" spans="1:27" x14ac:dyDescent="0.25">
      <c r="A4967" s="17" t="s">
        <v>14308</v>
      </c>
      <c r="B4967" s="17" t="s">
        <v>70</v>
      </c>
      <c r="C4967" s="17" t="s">
        <v>71</v>
      </c>
      <c r="D4967" t="s">
        <v>14309</v>
      </c>
      <c r="F4967" t="s">
        <v>14309</v>
      </c>
      <c r="K4967" s="18">
        <f>62319381631</f>
        <v>62319381631</v>
      </c>
      <c r="N4967" s="17" t="s">
        <v>77</v>
      </c>
      <c r="U4967" s="17"/>
      <c r="V4967" s="18">
        <f>62319381631</f>
        <v>62319381631</v>
      </c>
      <c r="W4967" t="s">
        <v>14310</v>
      </c>
      <c r="AA4967" s="17">
        <v>80118</v>
      </c>
    </row>
    <row r="4968" ht="15" customHeight="1" spans="1:22" x14ac:dyDescent="0.25">
      <c r="A4968" s="17" t="s">
        <v>14311</v>
      </c>
      <c r="B4968" s="17" t="s">
        <v>70</v>
      </c>
      <c r="C4968" s="17" t="s">
        <v>71</v>
      </c>
      <c r="D4968" t="s">
        <v>14312</v>
      </c>
      <c r="F4968" t="s">
        <v>14312</v>
      </c>
      <c r="K4968" s="18">
        <f>6282112559895</f>
        <v>6282112559895</v>
      </c>
      <c r="N4968" s="17" t="s">
        <v>81</v>
      </c>
      <c r="V4968" s="18">
        <f>6282112559895</f>
        <v>6282112559895</v>
      </c>
    </row>
    <row r="4969" ht="15" customHeight="1" spans="1:22" x14ac:dyDescent="0.25">
      <c r="A4969" s="17" t="s">
        <v>14313</v>
      </c>
      <c r="B4969" s="17" t="s">
        <v>70</v>
      </c>
      <c r="C4969" s="17" t="s">
        <v>71</v>
      </c>
      <c r="D4969" t="s">
        <v>14314</v>
      </c>
      <c r="F4969" t="s">
        <v>14314</v>
      </c>
      <c r="K4969" s="18">
        <f>6281288975551</f>
        <v>6281288975551</v>
      </c>
      <c r="N4969" s="17" t="s">
        <v>81</v>
      </c>
      <c r="V4969" s="18">
        <f>6281288975551</f>
        <v>6281288975551</v>
      </c>
    </row>
    <row r="4970" ht="15" customHeight="1" spans="1:22" x14ac:dyDescent="0.25">
      <c r="A4970" s="17" t="s">
        <v>14315</v>
      </c>
      <c r="B4970" s="17" t="s">
        <v>70</v>
      </c>
      <c r="C4970" s="17" t="s">
        <v>71</v>
      </c>
      <c r="D4970" t="s">
        <v>14314</v>
      </c>
      <c r="F4970" t="s">
        <v>3413</v>
      </c>
      <c r="K4970" s="18">
        <f>6281398688647</f>
        <v>6281398688647</v>
      </c>
      <c r="N4970" s="17" t="s">
        <v>77</v>
      </c>
      <c r="V4970" s="18">
        <f>6281398688647</f>
        <v>6281398688647</v>
      </c>
    </row>
    <row r="4971" ht="15" customHeight="1" spans="1:25" x14ac:dyDescent="0.25">
      <c r="A4971" s="17" t="s">
        <v>14316</v>
      </c>
      <c r="B4971" s="17" t="s">
        <v>70</v>
      </c>
      <c r="C4971" s="17" t="s">
        <v>71</v>
      </c>
      <c r="D4971" t="s">
        <v>14314</v>
      </c>
      <c r="F4971" t="s">
        <v>14317</v>
      </c>
      <c r="K4971" s="18">
        <f>62811877145</f>
        <v>62811877145</v>
      </c>
      <c r="N4971" s="17" t="s">
        <v>81</v>
      </c>
      <c r="U4971" s="17"/>
      <c r="V4971" s="18">
        <f>62811877145</f>
        <v>62811877145</v>
      </c>
      <c r="W4971" t="s">
        <v>14318</v>
      </c>
      <c r="Y4971" s="17" t="s">
        <v>515</v>
      </c>
    </row>
    <row r="4972" ht="15" customHeight="1" spans="1:23" x14ac:dyDescent="0.25">
      <c r="A4972" s="17" t="s">
        <v>14319</v>
      </c>
      <c r="B4972" s="17" t="s">
        <v>70</v>
      </c>
      <c r="C4972" s="17" t="s">
        <v>71</v>
      </c>
      <c r="D4972" t="s">
        <v>14320</v>
      </c>
      <c r="F4972" t="s">
        <v>14321</v>
      </c>
      <c r="K4972" s="18">
        <f>62217250824</f>
        <v>62217250824</v>
      </c>
      <c r="N4972" s="17" t="s">
        <v>77</v>
      </c>
      <c r="U4972" s="17"/>
      <c r="V4972" s="18">
        <f>62217250824</f>
        <v>62217250824</v>
      </c>
      <c r="W4972" t="s">
        <v>14322</v>
      </c>
    </row>
    <row r="4973" ht="15" customHeight="1" spans="1:28" x14ac:dyDescent="0.25">
      <c r="A4973" s="17" t="s">
        <v>14323</v>
      </c>
      <c r="B4973" s="17" t="s">
        <v>70</v>
      </c>
      <c r="C4973" s="17" t="s">
        <v>71</v>
      </c>
      <c r="D4973" t="s">
        <v>14324</v>
      </c>
      <c r="F4973" t="s">
        <v>14325</v>
      </c>
      <c r="J4973" t="s">
        <v>115</v>
      </c>
      <c r="K4973" s="18" t="s">
        <v>14326</v>
      </c>
      <c r="N4973" s="17" t="s">
        <v>77</v>
      </c>
      <c r="O4973" t="s">
        <v>117</v>
      </c>
      <c r="V4973" s="18" t="s">
        <v>14326</v>
      </c>
      <c r="Y4973" t="s">
        <v>115</v>
      </c>
      <c r="AA4973" t="s">
        <v>115</v>
      </c>
      <c r="AB4973" t="s">
        <v>119</v>
      </c>
    </row>
    <row r="4974" ht="15" customHeight="1" spans="1:22" x14ac:dyDescent="0.25">
      <c r="A4974" s="17" t="s">
        <v>14327</v>
      </c>
      <c r="B4974" s="17" t="s">
        <v>70</v>
      </c>
      <c r="C4974" s="17" t="s">
        <v>71</v>
      </c>
      <c r="D4974" t="s">
        <v>14328</v>
      </c>
      <c r="F4974" t="s">
        <v>3092</v>
      </c>
      <c r="K4974" s="18">
        <f>6281311258828</f>
        <v>6281311258828</v>
      </c>
      <c r="N4974" s="17" t="s">
        <v>77</v>
      </c>
      <c r="V4974" s="18">
        <f>6281311258828</f>
        <v>6281311258828</v>
      </c>
    </row>
    <row r="4975" ht="15" customHeight="1" spans="1:28" x14ac:dyDescent="0.25">
      <c r="A4975" s="17" t="s">
        <v>14329</v>
      </c>
      <c r="B4975" s="17" t="s">
        <v>70</v>
      </c>
      <c r="C4975" s="17" t="s">
        <v>71</v>
      </c>
      <c r="D4975" t="s">
        <v>14330</v>
      </c>
      <c r="F4975" t="s">
        <v>14331</v>
      </c>
      <c r="J4975" t="s">
        <v>115</v>
      </c>
      <c r="K4975" s="18" t="s">
        <v>14332</v>
      </c>
      <c r="N4975" s="17" t="s">
        <v>77</v>
      </c>
      <c r="O4975" t="s">
        <v>145</v>
      </c>
      <c r="V4975" s="18" t="s">
        <v>14332</v>
      </c>
      <c r="Y4975" t="s">
        <v>90</v>
      </c>
      <c r="AA4975" t="s">
        <v>118</v>
      </c>
      <c r="AB4975" t="s">
        <v>119</v>
      </c>
    </row>
    <row r="4976" ht="15" customHeight="1" spans="1:22" x14ac:dyDescent="0.25">
      <c r="A4976" s="17" t="s">
        <v>14333</v>
      </c>
      <c r="B4976" s="17" t="s">
        <v>70</v>
      </c>
      <c r="C4976" s="17" t="s">
        <v>71</v>
      </c>
      <c r="D4976" t="s">
        <v>14334</v>
      </c>
      <c r="F4976" t="s">
        <v>14335</v>
      </c>
      <c r="K4976" s="18">
        <f>628121882727</f>
        <v>628121882727</v>
      </c>
      <c r="N4976" s="17" t="s">
        <v>81</v>
      </c>
      <c r="V4976" s="18">
        <f>628121882727</f>
        <v>628121882727</v>
      </c>
    </row>
    <row r="4977" ht="15" customHeight="1" spans="1:25" x14ac:dyDescent="0.25">
      <c r="A4977" s="17" t="s">
        <v>14336</v>
      </c>
      <c r="B4977" s="17" t="s">
        <v>70</v>
      </c>
      <c r="C4977" s="17" t="s">
        <v>71</v>
      </c>
      <c r="D4977" t="s">
        <v>14337</v>
      </c>
      <c r="F4977" t="s">
        <v>10220</v>
      </c>
      <c r="K4977" s="18">
        <f>6281911771168</f>
        <v>6281911771168</v>
      </c>
      <c r="N4977" s="17" t="s">
        <v>74</v>
      </c>
      <c r="U4977" s="17"/>
      <c r="V4977" s="18">
        <f>6281911771168</f>
        <v>6281911771168</v>
      </c>
      <c r="W4977" t="s">
        <v>14338</v>
      </c>
      <c r="Y4977" s="17" t="s">
        <v>626</v>
      </c>
    </row>
    <row r="4978" ht="15" customHeight="1" spans="1:22" x14ac:dyDescent="0.25">
      <c r="A4978" s="17" t="s">
        <v>14339</v>
      </c>
      <c r="B4978" s="17" t="s">
        <v>70</v>
      </c>
      <c r="C4978" s="17" t="s">
        <v>71</v>
      </c>
      <c r="D4978" t="s">
        <v>14340</v>
      </c>
      <c r="F4978" t="s">
        <v>14340</v>
      </c>
      <c r="K4978" s="18">
        <f>628161881709</f>
        <v>628161881709</v>
      </c>
      <c r="N4978" s="17" t="s">
        <v>81</v>
      </c>
      <c r="V4978" s="18">
        <f>628161881709</f>
        <v>628161881709</v>
      </c>
    </row>
    <row r="4979" ht="15" customHeight="1" spans="1:22" x14ac:dyDescent="0.25">
      <c r="A4979" s="17" t="s">
        <v>14341</v>
      </c>
      <c r="B4979" s="17" t="s">
        <v>70</v>
      </c>
      <c r="C4979" s="17" t="s">
        <v>71</v>
      </c>
      <c r="D4979" t="s">
        <v>14340</v>
      </c>
      <c r="F4979" t="s">
        <v>14340</v>
      </c>
      <c r="K4979" s="18">
        <f>62811958887</f>
        <v>62811958887</v>
      </c>
      <c r="N4979" s="17" t="s">
        <v>77</v>
      </c>
      <c r="V4979" s="18">
        <f>62811958887</f>
        <v>62811958887</v>
      </c>
    </row>
    <row r="4980" ht="15" customHeight="1" spans="1:22" x14ac:dyDescent="0.25">
      <c r="A4980" s="17" t="s">
        <v>14342</v>
      </c>
      <c r="B4980" s="17" t="s">
        <v>70</v>
      </c>
      <c r="C4980" s="17" t="s">
        <v>71</v>
      </c>
      <c r="D4980" t="s">
        <v>10019</v>
      </c>
      <c r="F4980" t="s">
        <v>10019</v>
      </c>
      <c r="K4980" s="18">
        <f>6287771896189</f>
        <v>6287771896189</v>
      </c>
      <c r="N4980" s="17" t="s">
        <v>81</v>
      </c>
      <c r="V4980" s="18">
        <f>6287771896189</f>
        <v>6287771896189</v>
      </c>
    </row>
    <row r="4981" ht="15" customHeight="1" spans="1:22" x14ac:dyDescent="0.25">
      <c r="A4981" s="17" t="s">
        <v>14343</v>
      </c>
      <c r="B4981" s="17" t="s">
        <v>70</v>
      </c>
      <c r="C4981" s="17" t="s">
        <v>71</v>
      </c>
      <c r="D4981" t="s">
        <v>10019</v>
      </c>
      <c r="F4981" t="s">
        <v>10019</v>
      </c>
      <c r="K4981" s="18">
        <f>6281286129658</f>
        <v>6281286129658</v>
      </c>
      <c r="N4981" s="17" t="s">
        <v>77</v>
      </c>
      <c r="V4981" s="18">
        <f>6281286129658</f>
        <v>6281286129658</v>
      </c>
    </row>
    <row r="4982" ht="15" customHeight="1" spans="1:22" x14ac:dyDescent="0.25">
      <c r="A4982" s="17" t="s">
        <v>14344</v>
      </c>
      <c r="B4982" s="17" t="s">
        <v>70</v>
      </c>
      <c r="C4982" s="17" t="s">
        <v>71</v>
      </c>
      <c r="D4982" t="s">
        <v>10019</v>
      </c>
      <c r="F4982" t="s">
        <v>10019</v>
      </c>
      <c r="K4982" s="18">
        <f>6281318611107</f>
        <v>6281318611107</v>
      </c>
      <c r="N4982" s="17" t="s">
        <v>81</v>
      </c>
      <c r="V4982" s="18">
        <f>6281318611107</f>
        <v>6281318611107</v>
      </c>
    </row>
    <row r="4983" ht="15" customHeight="1" spans="1:22" x14ac:dyDescent="0.25">
      <c r="A4983" s="17" t="s">
        <v>14345</v>
      </c>
      <c r="B4983" s="17" t="s">
        <v>70</v>
      </c>
      <c r="C4983" s="17" t="s">
        <v>71</v>
      </c>
      <c r="D4983" t="s">
        <v>10019</v>
      </c>
      <c r="F4983" t="s">
        <v>10019</v>
      </c>
      <c r="K4983" s="18">
        <f>62811877310</f>
        <v>62811877310</v>
      </c>
      <c r="N4983" s="17" t="s">
        <v>81</v>
      </c>
      <c r="V4983" s="18">
        <f>62811877310</f>
        <v>62811877310</v>
      </c>
    </row>
    <row r="4984" ht="15" customHeight="1" spans="1:23" x14ac:dyDescent="0.25">
      <c r="A4984" s="17" t="s">
        <v>14346</v>
      </c>
      <c r="B4984" s="17" t="s">
        <v>70</v>
      </c>
      <c r="C4984" s="17" t="s">
        <v>71</v>
      </c>
      <c r="D4984" t="s">
        <v>10019</v>
      </c>
      <c r="F4984" t="s">
        <v>6671</v>
      </c>
      <c r="J4984" s="17" t="s">
        <v>14347</v>
      </c>
      <c r="K4984" s="18">
        <f>628118953818</f>
        <v>628118953818</v>
      </c>
      <c r="N4984" s="17" t="s">
        <v>81</v>
      </c>
      <c r="U4984" s="17"/>
      <c r="V4984" s="18">
        <f>628118953818</f>
        <v>628118953818</v>
      </c>
      <c r="W4984" t="s">
        <v>14348</v>
      </c>
    </row>
    <row r="4985" ht="15" customHeight="1" spans="1:28" x14ac:dyDescent="0.25">
      <c r="A4985" s="17" t="s">
        <v>14349</v>
      </c>
      <c r="B4985" s="17" t="s">
        <v>70</v>
      </c>
      <c r="C4985" s="17" t="s">
        <v>71</v>
      </c>
      <c r="D4985" t="s">
        <v>10019</v>
      </c>
      <c r="F4985" t="s">
        <v>14350</v>
      </c>
      <c r="J4985" t="s">
        <v>115</v>
      </c>
      <c r="K4985" s="18" t="s">
        <v>14351</v>
      </c>
      <c r="N4985" s="17" t="s">
        <v>81</v>
      </c>
      <c r="O4985" t="s">
        <v>145</v>
      </c>
      <c r="V4985" s="18" t="s">
        <v>14351</v>
      </c>
      <c r="Y4985" t="s">
        <v>90</v>
      </c>
      <c r="AA4985" t="s">
        <v>118</v>
      </c>
      <c r="AB4985" t="s">
        <v>119</v>
      </c>
    </row>
    <row r="4986" ht="15" customHeight="1" spans="1:22" x14ac:dyDescent="0.25">
      <c r="A4986" s="17" t="s">
        <v>14352</v>
      </c>
      <c r="B4986" s="17" t="s">
        <v>70</v>
      </c>
      <c r="C4986" s="17" t="s">
        <v>71</v>
      </c>
      <c r="D4986" t="s">
        <v>10019</v>
      </c>
      <c r="F4986" t="s">
        <v>14350</v>
      </c>
      <c r="K4986" s="18">
        <f>6285881006060</f>
        <v>6285881006060</v>
      </c>
      <c r="N4986" s="17" t="s">
        <v>81</v>
      </c>
      <c r="V4986" s="18">
        <f>6285881006060</f>
        <v>6285881006060</v>
      </c>
    </row>
    <row r="4987" ht="15" customHeight="1" spans="1:23" x14ac:dyDescent="0.25">
      <c r="A4987" s="17" t="s">
        <v>14353</v>
      </c>
      <c r="B4987" s="17" t="s">
        <v>70</v>
      </c>
      <c r="C4987" s="17" t="s">
        <v>71</v>
      </c>
      <c r="D4987" t="s">
        <v>10019</v>
      </c>
      <c r="F4987" t="s">
        <v>7477</v>
      </c>
      <c r="K4987" s="18">
        <f>6281234550833</f>
        <v>6281234550833</v>
      </c>
      <c r="N4987" s="17" t="s">
        <v>81</v>
      </c>
      <c r="U4987" s="17"/>
      <c r="V4987" s="18">
        <f>6281234550833</f>
        <v>6281234550833</v>
      </c>
      <c r="W4987" t="s">
        <v>14354</v>
      </c>
    </row>
    <row r="4988" ht="15" customHeight="1" spans="1:22" x14ac:dyDescent="0.25">
      <c r="A4988" s="17" t="s">
        <v>14355</v>
      </c>
      <c r="B4988" s="17" t="s">
        <v>70</v>
      </c>
      <c r="C4988" s="17" t="s">
        <v>71</v>
      </c>
      <c r="D4988" t="s">
        <v>10019</v>
      </c>
      <c r="F4988" t="s">
        <v>9240</v>
      </c>
      <c r="K4988" s="18">
        <f>6281311020082</f>
        <v>6281311020082</v>
      </c>
      <c r="N4988" s="17" t="s">
        <v>77</v>
      </c>
      <c r="V4988" s="18">
        <f>6281311020082</f>
        <v>6281311020082</v>
      </c>
    </row>
    <row r="4989" ht="15" customHeight="1" spans="1:22" x14ac:dyDescent="0.25">
      <c r="A4989" s="17" t="s">
        <v>14356</v>
      </c>
      <c r="B4989" s="17" t="s">
        <v>70</v>
      </c>
      <c r="C4989" s="17" t="s">
        <v>71</v>
      </c>
      <c r="D4989" t="s">
        <v>10019</v>
      </c>
      <c r="F4989" t="s">
        <v>14357</v>
      </c>
      <c r="K4989" s="18">
        <f>62816933564</f>
        <v>62816933564</v>
      </c>
      <c r="N4989" s="17" t="s">
        <v>77</v>
      </c>
      <c r="V4989" s="18">
        <f>62816933564</f>
        <v>62816933564</v>
      </c>
    </row>
    <row r="4990" ht="15" customHeight="1" spans="1:23" x14ac:dyDescent="0.25">
      <c r="A4990" s="17" t="s">
        <v>14358</v>
      </c>
      <c r="B4990" s="17" t="s">
        <v>70</v>
      </c>
      <c r="C4990" s="17" t="s">
        <v>71</v>
      </c>
      <c r="D4990" t="s">
        <v>10019</v>
      </c>
      <c r="F4990" t="s">
        <v>11151</v>
      </c>
      <c r="K4990" s="18">
        <f>628174837003</f>
        <v>628174837003</v>
      </c>
      <c r="N4990" s="17" t="s">
        <v>77</v>
      </c>
      <c r="U4990" s="17"/>
      <c r="V4990" s="18">
        <f>628174837003</f>
        <v>628174837003</v>
      </c>
      <c r="W4990" t="s">
        <v>14359</v>
      </c>
    </row>
    <row r="4991" ht="15" customHeight="1" spans="1:22" x14ac:dyDescent="0.25">
      <c r="A4991" s="17" t="s">
        <v>14360</v>
      </c>
      <c r="B4991" s="17" t="s">
        <v>70</v>
      </c>
      <c r="C4991" s="17" t="s">
        <v>71</v>
      </c>
      <c r="D4991" t="s">
        <v>14361</v>
      </c>
      <c r="F4991" t="s">
        <v>14362</v>
      </c>
      <c r="K4991" s="18">
        <f>6281523773456</f>
        <v>6281523773456</v>
      </c>
      <c r="N4991" s="17" t="s">
        <v>77</v>
      </c>
      <c r="V4991" s="18">
        <f>6281523773456</f>
        <v>6281523773456</v>
      </c>
    </row>
    <row r="4992" ht="15" customHeight="1" spans="1:27" x14ac:dyDescent="0.25">
      <c r="A4992" s="17" t="s">
        <v>14363</v>
      </c>
      <c r="B4992" s="17" t="s">
        <v>70</v>
      </c>
      <c r="C4992" s="17" t="s">
        <v>71</v>
      </c>
      <c r="D4992" t="s">
        <v>14364</v>
      </c>
      <c r="F4992" t="s">
        <v>550</v>
      </c>
      <c r="J4992" s="17" t="s">
        <v>14365</v>
      </c>
      <c r="K4992" s="18">
        <f>62818991331</f>
        <v>62818991331</v>
      </c>
      <c r="N4992" s="17" t="s">
        <v>81</v>
      </c>
      <c r="U4992" s="17"/>
      <c r="V4992" s="18">
        <f>62818991331</f>
        <v>62818991331</v>
      </c>
      <c r="W4992" t="s">
        <v>14366</v>
      </c>
      <c r="AA4992" s="17">
        <v>10730</v>
      </c>
    </row>
    <row r="4993" ht="15" customHeight="1" spans="1:25" x14ac:dyDescent="0.25">
      <c r="A4993" s="17" t="s">
        <v>14367</v>
      </c>
      <c r="B4993" s="17" t="s">
        <v>70</v>
      </c>
      <c r="C4993" s="17" t="s">
        <v>71</v>
      </c>
      <c r="D4993" t="s">
        <v>14368</v>
      </c>
      <c r="F4993" t="s">
        <v>14369</v>
      </c>
      <c r="K4993" s="18">
        <f>622130040331</f>
        <v>622130040331</v>
      </c>
      <c r="N4993" s="17" t="s">
        <v>77</v>
      </c>
      <c r="U4993" s="17"/>
      <c r="V4993" s="18">
        <f>622130040331</f>
        <v>622130040331</v>
      </c>
      <c r="W4993" t="s">
        <v>14370</v>
      </c>
      <c r="Y4993" s="17" t="s">
        <v>378</v>
      </c>
    </row>
    <row r="4994" ht="15" customHeight="1" spans="1:22" x14ac:dyDescent="0.25">
      <c r="A4994" s="17" t="s">
        <v>14371</v>
      </c>
      <c r="B4994" s="17" t="s">
        <v>70</v>
      </c>
      <c r="C4994" s="17" t="s">
        <v>71</v>
      </c>
      <c r="D4994" t="s">
        <v>14372</v>
      </c>
      <c r="F4994" t="s">
        <v>14372</v>
      </c>
      <c r="K4994" s="18">
        <f>6281362855731</f>
        <v>6281362855731</v>
      </c>
      <c r="N4994" s="17" t="s">
        <v>81</v>
      </c>
      <c r="V4994" s="18">
        <f>6281362855731</f>
        <v>6281362855731</v>
      </c>
    </row>
    <row r="4995" ht="15" customHeight="1" spans="1:22" x14ac:dyDescent="0.25">
      <c r="A4995" s="17" t="s">
        <v>14373</v>
      </c>
      <c r="B4995" s="17" t="s">
        <v>70</v>
      </c>
      <c r="C4995" s="17" t="s">
        <v>71</v>
      </c>
      <c r="D4995" t="s">
        <v>14374</v>
      </c>
      <c r="F4995" t="s">
        <v>150</v>
      </c>
      <c r="K4995" s="18">
        <f>628170634222</f>
        <v>628170634222</v>
      </c>
      <c r="N4995" s="17" t="s">
        <v>77</v>
      </c>
      <c r="V4995" s="18">
        <f>628170634222</f>
        <v>628170634222</v>
      </c>
    </row>
    <row r="4996" ht="15" customHeight="1" spans="1:22" x14ac:dyDescent="0.25">
      <c r="A4996" s="17" t="s">
        <v>14375</v>
      </c>
      <c r="B4996" s="17" t="s">
        <v>70</v>
      </c>
      <c r="C4996" s="17" t="s">
        <v>71</v>
      </c>
      <c r="D4996" t="s">
        <v>14376</v>
      </c>
      <c r="F4996" t="s">
        <v>14377</v>
      </c>
      <c r="K4996" s="18">
        <f>628583353333</f>
        <v>628583353333</v>
      </c>
      <c r="N4996" s="17" t="s">
        <v>81</v>
      </c>
      <c r="V4996" s="18">
        <f>628583353333</f>
        <v>628583353333</v>
      </c>
    </row>
    <row r="4997" ht="15" customHeight="1" spans="1:28" x14ac:dyDescent="0.25">
      <c r="A4997" s="17" t="s">
        <v>14378</v>
      </c>
      <c r="B4997" s="17" t="s">
        <v>70</v>
      </c>
      <c r="C4997" s="17" t="s">
        <v>71</v>
      </c>
      <c r="D4997" t="s">
        <v>14379</v>
      </c>
      <c r="F4997" t="s">
        <v>193</v>
      </c>
      <c r="J4997" s="17" t="s">
        <v>14380</v>
      </c>
      <c r="K4997" s="18" t="s">
        <v>14381</v>
      </c>
      <c r="N4997" s="17" t="s">
        <v>77</v>
      </c>
      <c r="O4997" t="s">
        <v>199</v>
      </c>
      <c r="U4997" s="17"/>
      <c r="V4997" s="18" t="s">
        <v>14381</v>
      </c>
      <c r="W4997" t="s">
        <v>14382</v>
      </c>
      <c r="Y4997" s="17" t="s">
        <v>90</v>
      </c>
      <c r="AA4997" t="s">
        <v>118</v>
      </c>
      <c r="AB4997" t="s">
        <v>119</v>
      </c>
    </row>
    <row r="4998" ht="15" customHeight="1" spans="1:22" x14ac:dyDescent="0.25">
      <c r="A4998" s="17" t="s">
        <v>14383</v>
      </c>
      <c r="B4998" s="17" t="s">
        <v>70</v>
      </c>
      <c r="C4998" s="17" t="s">
        <v>71</v>
      </c>
      <c r="D4998" t="s">
        <v>12591</v>
      </c>
      <c r="F4998" t="s">
        <v>2736</v>
      </c>
      <c r="K4998" s="18">
        <f>62816950893</f>
        <v>62816950893</v>
      </c>
      <c r="N4998" s="17" t="s">
        <v>74</v>
      </c>
      <c r="V4998" s="18">
        <f>62816950893</f>
        <v>62816950893</v>
      </c>
    </row>
    <row r="4999" ht="15" customHeight="1" spans="1:22" x14ac:dyDescent="0.25">
      <c r="A4999" s="17" t="s">
        <v>14384</v>
      </c>
      <c r="B4999" s="17" t="s">
        <v>70</v>
      </c>
      <c r="C4999" s="17" t="s">
        <v>71</v>
      </c>
      <c r="D4999" t="s">
        <v>12591</v>
      </c>
      <c r="F4999" t="s">
        <v>14385</v>
      </c>
      <c r="K4999" s="18">
        <f>62816800102</f>
        <v>62816800102</v>
      </c>
      <c r="N4999" s="17" t="s">
        <v>81</v>
      </c>
      <c r="V4999" s="18">
        <f>62816800102</f>
        <v>62816800102</v>
      </c>
    </row>
    <row r="5000" ht="15" customHeight="1" spans="1:22" x14ac:dyDescent="0.25">
      <c r="A5000" s="17" t="s">
        <v>14386</v>
      </c>
      <c r="B5000" s="17" t="s">
        <v>70</v>
      </c>
      <c r="C5000" s="17" t="s">
        <v>71</v>
      </c>
      <c r="D5000" t="s">
        <v>12591</v>
      </c>
      <c r="F5000" t="s">
        <v>2641</v>
      </c>
      <c r="K5000" s="18">
        <f>6281326768866</f>
        <v>6281326768866</v>
      </c>
      <c r="N5000" s="17" t="s">
        <v>77</v>
      </c>
      <c r="V5000" s="18">
        <f>6281326768866</f>
        <v>6281326768866</v>
      </c>
    </row>
    <row r="5001" ht="15" customHeight="1" spans="1:22" x14ac:dyDescent="0.25">
      <c r="A5001" s="17" t="s">
        <v>14387</v>
      </c>
      <c r="B5001" s="17" t="s">
        <v>70</v>
      </c>
      <c r="C5001" s="17" t="s">
        <v>71</v>
      </c>
      <c r="D5001" t="s">
        <v>12591</v>
      </c>
      <c r="F5001" t="s">
        <v>498</v>
      </c>
      <c r="K5001" s="18">
        <f>62811565566</f>
        <v>62811565566</v>
      </c>
      <c r="N5001" s="17" t="s">
        <v>77</v>
      </c>
      <c r="V5001" s="18">
        <f>62811565566</f>
        <v>62811565566</v>
      </c>
    </row>
    <row r="5002" ht="15" customHeight="1" spans="1:28" x14ac:dyDescent="0.25">
      <c r="A5002" s="17" t="s">
        <v>14388</v>
      </c>
      <c r="B5002" s="17" t="s">
        <v>70</v>
      </c>
      <c r="C5002" s="17" t="s">
        <v>71</v>
      </c>
      <c r="D5002" t="s">
        <v>868</v>
      </c>
      <c r="F5002" t="s">
        <v>4458</v>
      </c>
      <c r="J5002" t="s">
        <v>115</v>
      </c>
      <c r="K5002" s="18" t="s">
        <v>14389</v>
      </c>
      <c r="N5002" s="17" t="s">
        <v>81</v>
      </c>
      <c r="O5002" t="s">
        <v>199</v>
      </c>
      <c r="V5002" s="18" t="s">
        <v>14389</v>
      </c>
      <c r="Y5002" t="s">
        <v>217</v>
      </c>
      <c r="AA5002" t="s">
        <v>218</v>
      </c>
      <c r="AB5002" t="s">
        <v>119</v>
      </c>
    </row>
    <row r="5003" ht="15" customHeight="1" spans="1:22" x14ac:dyDescent="0.25">
      <c r="A5003" s="17" t="s">
        <v>14390</v>
      </c>
      <c r="B5003" s="17" t="s">
        <v>70</v>
      </c>
      <c r="C5003" s="17" t="s">
        <v>71</v>
      </c>
      <c r="D5003" t="s">
        <v>868</v>
      </c>
      <c r="F5003" t="s">
        <v>14391</v>
      </c>
      <c r="K5003" s="18">
        <f>6281361000088</f>
        <v>6281361000088</v>
      </c>
      <c r="N5003" s="17" t="s">
        <v>77</v>
      </c>
      <c r="V5003" s="18">
        <f>6281361000088</f>
        <v>6281361000088</v>
      </c>
    </row>
    <row r="5004" ht="15" customHeight="1" spans="1:22" x14ac:dyDescent="0.25">
      <c r="A5004" s="17" t="s">
        <v>14392</v>
      </c>
      <c r="B5004" s="17" t="s">
        <v>70</v>
      </c>
      <c r="C5004" s="17" t="s">
        <v>71</v>
      </c>
      <c r="D5004" t="s">
        <v>1100</v>
      </c>
      <c r="F5004" t="s">
        <v>1100</v>
      </c>
      <c r="K5004" s="18">
        <f>62811134028</f>
        <v>62811134028</v>
      </c>
      <c r="N5004" s="17" t="s">
        <v>77</v>
      </c>
      <c r="V5004" s="18">
        <f>62811134028</f>
        <v>62811134028</v>
      </c>
    </row>
    <row r="5005" ht="15" customHeight="1" spans="1:22" x14ac:dyDescent="0.25">
      <c r="A5005" s="17" t="s">
        <v>14393</v>
      </c>
      <c r="B5005" s="17" t="s">
        <v>70</v>
      </c>
      <c r="C5005" s="17" t="s">
        <v>71</v>
      </c>
      <c r="D5005" t="s">
        <v>14394</v>
      </c>
      <c r="F5005" t="s">
        <v>14395</v>
      </c>
      <c r="K5005" s="18">
        <f>628222978237</f>
        <v>628222978237</v>
      </c>
      <c r="N5005" s="17" t="s">
        <v>77</v>
      </c>
      <c r="V5005" s="18">
        <f>628222978237</f>
        <v>628222978237</v>
      </c>
    </row>
    <row r="5006" ht="15" customHeight="1" spans="1:28" x14ac:dyDescent="0.25">
      <c r="A5006" s="17" t="s">
        <v>14396</v>
      </c>
      <c r="B5006" s="17" t="s">
        <v>70</v>
      </c>
      <c r="C5006" s="17" t="s">
        <v>71</v>
      </c>
      <c r="D5006" t="s">
        <v>14397</v>
      </c>
      <c r="F5006" t="s">
        <v>14398</v>
      </c>
      <c r="J5006" t="s">
        <v>115</v>
      </c>
      <c r="K5006" s="18" t="s">
        <v>14399</v>
      </c>
      <c r="N5006" s="17" t="s">
        <v>74</v>
      </c>
      <c r="O5006" t="s">
        <v>1188</v>
      </c>
      <c r="U5006" s="17"/>
      <c r="V5006" s="18" t="s">
        <v>14399</v>
      </c>
      <c r="W5006" t="s">
        <v>14400</v>
      </c>
      <c r="Y5006" t="s">
        <v>96</v>
      </c>
      <c r="AA5006" t="s">
        <v>693</v>
      </c>
      <c r="AB5006" t="s">
        <v>119</v>
      </c>
    </row>
    <row r="5007" ht="15" customHeight="1" spans="1:22" x14ac:dyDescent="0.25">
      <c r="A5007" s="17" t="s">
        <v>14401</v>
      </c>
      <c r="B5007" s="17" t="s">
        <v>70</v>
      </c>
      <c r="C5007" s="17" t="s">
        <v>71</v>
      </c>
      <c r="D5007" t="s">
        <v>14402</v>
      </c>
      <c r="F5007" t="s">
        <v>14403</v>
      </c>
      <c r="K5007" s="18">
        <f>6281806058555</f>
        <v>6281806058555</v>
      </c>
      <c r="N5007" s="17" t="s">
        <v>74</v>
      </c>
      <c r="V5007" s="18">
        <f>6281806058555</f>
        <v>6281806058555</v>
      </c>
    </row>
    <row r="5008" ht="15" customHeight="1" spans="1:28" x14ac:dyDescent="0.25">
      <c r="A5008" s="17" t="s">
        <v>14404</v>
      </c>
      <c r="B5008" s="17" t="s">
        <v>70</v>
      </c>
      <c r="C5008" s="17" t="s">
        <v>71</v>
      </c>
      <c r="D5008" t="s">
        <v>14405</v>
      </c>
      <c r="F5008" t="s">
        <v>4858</v>
      </c>
      <c r="J5008" t="s">
        <v>115</v>
      </c>
      <c r="K5008" s="18" t="s">
        <v>14406</v>
      </c>
      <c r="N5008" s="17" t="s">
        <v>81</v>
      </c>
      <c r="O5008" t="s">
        <v>117</v>
      </c>
      <c r="V5008" s="18" t="s">
        <v>14406</v>
      </c>
      <c r="Y5008" t="s">
        <v>190</v>
      </c>
      <c r="AA5008" t="s">
        <v>118</v>
      </c>
      <c r="AB5008" t="s">
        <v>119</v>
      </c>
    </row>
    <row r="5009" ht="15" customHeight="1" spans="1:28" x14ac:dyDescent="0.25">
      <c r="A5009" s="17" t="s">
        <v>14407</v>
      </c>
      <c r="B5009" s="17" t="s">
        <v>70</v>
      </c>
      <c r="C5009" s="17" t="s">
        <v>71</v>
      </c>
      <c r="D5009" t="s">
        <v>14408</v>
      </c>
      <c r="F5009" t="s">
        <v>2159</v>
      </c>
      <c r="J5009" s="17" t="s">
        <v>14409</v>
      </c>
      <c r="K5009" s="18" t="s">
        <v>14410</v>
      </c>
      <c r="N5009" s="17" t="s">
        <v>77</v>
      </c>
      <c r="O5009" t="s">
        <v>117</v>
      </c>
      <c r="U5009" s="17"/>
      <c r="V5009" s="18" t="s">
        <v>14410</v>
      </c>
      <c r="W5009" t="s">
        <v>14411</v>
      </c>
      <c r="Y5009" s="17" t="s">
        <v>3028</v>
      </c>
      <c r="AA5009" s="17" t="s">
        <v>9062</v>
      </c>
      <c r="AB5009" t="s">
        <v>119</v>
      </c>
    </row>
    <row r="5010" ht="15" customHeight="1" spans="1:22" x14ac:dyDescent="0.25">
      <c r="A5010" s="17" t="s">
        <v>14412</v>
      </c>
      <c r="B5010" s="17" t="s">
        <v>70</v>
      </c>
      <c r="C5010" s="17" t="s">
        <v>71</v>
      </c>
      <c r="D5010" t="s">
        <v>14413</v>
      </c>
      <c r="F5010" t="s">
        <v>14414</v>
      </c>
      <c r="K5010" s="18">
        <f>6282242010655</f>
        <v>6282242010655</v>
      </c>
      <c r="N5010" s="17" t="s">
        <v>81</v>
      </c>
      <c r="V5010" s="18">
        <f>6282242010655</f>
        <v>6282242010655</v>
      </c>
    </row>
    <row r="5011" ht="15" customHeight="1" spans="1:28" x14ac:dyDescent="0.25">
      <c r="A5011" s="17" t="s">
        <v>14415</v>
      </c>
      <c r="B5011" s="17" t="s">
        <v>70</v>
      </c>
      <c r="C5011" s="17" t="s">
        <v>71</v>
      </c>
      <c r="D5011" t="s">
        <v>14416</v>
      </c>
      <c r="F5011" t="s">
        <v>1499</v>
      </c>
      <c r="J5011" t="s">
        <v>115</v>
      </c>
      <c r="K5011" s="18" t="s">
        <v>14417</v>
      </c>
      <c r="N5011" s="17" t="s">
        <v>77</v>
      </c>
      <c r="O5011" t="s">
        <v>261</v>
      </c>
      <c r="U5011" s="17"/>
      <c r="V5011" s="18" t="s">
        <v>14417</v>
      </c>
      <c r="W5011" t="s">
        <v>14418</v>
      </c>
      <c r="Y5011" s="17" t="s">
        <v>90</v>
      </c>
      <c r="AA5011" s="17" t="s">
        <v>118</v>
      </c>
      <c r="AB5011" t="s">
        <v>119</v>
      </c>
    </row>
    <row r="5012" ht="15" customHeight="1" spans="1:22" x14ac:dyDescent="0.25">
      <c r="A5012" s="17" t="s">
        <v>14419</v>
      </c>
      <c r="B5012" s="17" t="s">
        <v>70</v>
      </c>
      <c r="C5012" s="17" t="s">
        <v>71</v>
      </c>
      <c r="D5012" t="s">
        <v>14420</v>
      </c>
      <c r="F5012" t="s">
        <v>230</v>
      </c>
      <c r="K5012" s="18">
        <f>628179619097</f>
        <v>628179619097</v>
      </c>
      <c r="N5012" s="17" t="s">
        <v>77</v>
      </c>
      <c r="V5012" s="18">
        <f>628179619097</f>
        <v>628179619097</v>
      </c>
    </row>
    <row r="5013" ht="15" customHeight="1" spans="1:22" x14ac:dyDescent="0.25">
      <c r="A5013" s="17" t="s">
        <v>14421</v>
      </c>
      <c r="B5013" s="17" t="s">
        <v>70</v>
      </c>
      <c r="C5013" s="17" t="s">
        <v>71</v>
      </c>
      <c r="D5013" t="s">
        <v>3364</v>
      </c>
      <c r="F5013" t="s">
        <v>3364</v>
      </c>
      <c r="K5013" s="18">
        <f>628159436678</f>
        <v>628159436678</v>
      </c>
      <c r="N5013" s="17" t="s">
        <v>77</v>
      </c>
      <c r="V5013" s="18">
        <f>628159436678</f>
        <v>628159436678</v>
      </c>
    </row>
    <row r="5014" ht="15" customHeight="1" spans="1:22" x14ac:dyDescent="0.25">
      <c r="A5014" s="17" t="s">
        <v>14422</v>
      </c>
      <c r="B5014" s="17" t="s">
        <v>70</v>
      </c>
      <c r="C5014" s="17" t="s">
        <v>71</v>
      </c>
      <c r="D5014" t="s">
        <v>3364</v>
      </c>
      <c r="F5014" t="s">
        <v>3364</v>
      </c>
      <c r="K5014" s="18">
        <f>6282210462236</f>
        <v>6282210462236</v>
      </c>
      <c r="N5014" s="17" t="s">
        <v>81</v>
      </c>
      <c r="V5014" s="18">
        <f>6282210462236</f>
        <v>6282210462236</v>
      </c>
    </row>
    <row r="5015" ht="15" customHeight="1" spans="1:22" x14ac:dyDescent="0.25">
      <c r="A5015" s="17" t="s">
        <v>14423</v>
      </c>
      <c r="B5015" s="17" t="s">
        <v>70</v>
      </c>
      <c r="C5015" s="17" t="s">
        <v>71</v>
      </c>
      <c r="D5015" t="s">
        <v>3364</v>
      </c>
      <c r="F5015" t="s">
        <v>3364</v>
      </c>
      <c r="K5015" s="18" t="s">
        <v>14424</v>
      </c>
      <c r="N5015" s="17" t="s">
        <v>74</v>
      </c>
      <c r="V5015" s="18" t="s">
        <v>14424</v>
      </c>
    </row>
    <row r="5016" ht="15" customHeight="1" spans="1:22" x14ac:dyDescent="0.25">
      <c r="A5016" s="17" t="s">
        <v>14425</v>
      </c>
      <c r="B5016" s="17" t="s">
        <v>70</v>
      </c>
      <c r="C5016" s="17" t="s">
        <v>71</v>
      </c>
      <c r="D5016" t="s">
        <v>3364</v>
      </c>
      <c r="F5016" t="s">
        <v>14426</v>
      </c>
      <c r="K5016" s="18">
        <f>628119854773</f>
        <v>628119854773</v>
      </c>
      <c r="N5016" s="17" t="s">
        <v>81</v>
      </c>
      <c r="V5016" s="18">
        <f>628119854773</f>
        <v>628119854773</v>
      </c>
    </row>
    <row r="5017" ht="15" customHeight="1" spans="1:25" x14ac:dyDescent="0.25">
      <c r="A5017" s="17" t="s">
        <v>14427</v>
      </c>
      <c r="B5017" s="17" t="s">
        <v>70</v>
      </c>
      <c r="C5017" s="17" t="s">
        <v>71</v>
      </c>
      <c r="D5017" t="s">
        <v>3364</v>
      </c>
      <c r="F5017" t="s">
        <v>2736</v>
      </c>
      <c r="K5017" s="18">
        <f>628161946488</f>
        <v>628161946488</v>
      </c>
      <c r="N5017" s="17" t="s">
        <v>77</v>
      </c>
      <c r="U5017" s="17"/>
      <c r="V5017" s="18">
        <f>628161946488</f>
        <v>628161946488</v>
      </c>
      <c r="W5017" t="s">
        <v>14428</v>
      </c>
      <c r="Y5017" s="17" t="s">
        <v>515</v>
      </c>
    </row>
    <row r="5018" ht="15" customHeight="1" spans="1:28" x14ac:dyDescent="0.25">
      <c r="A5018" s="17" t="s">
        <v>14429</v>
      </c>
      <c r="B5018" s="17" t="s">
        <v>70</v>
      </c>
      <c r="C5018" s="17" t="s">
        <v>71</v>
      </c>
      <c r="D5018" t="s">
        <v>14430</v>
      </c>
      <c r="F5018" t="s">
        <v>14431</v>
      </c>
      <c r="J5018" t="s">
        <v>115</v>
      </c>
      <c r="K5018" s="18" t="s">
        <v>14432</v>
      </c>
      <c r="N5018" s="17" t="s">
        <v>77</v>
      </c>
      <c r="O5018" t="s">
        <v>145</v>
      </c>
      <c r="V5018" s="18" t="s">
        <v>14432</v>
      </c>
      <c r="Y5018" t="s">
        <v>190</v>
      </c>
      <c r="AA5018" t="s">
        <v>118</v>
      </c>
      <c r="AB5018" t="s">
        <v>119</v>
      </c>
    </row>
    <row r="5019" ht="15" customHeight="1" spans="1:23" x14ac:dyDescent="0.25">
      <c r="A5019" s="17" t="s">
        <v>14433</v>
      </c>
      <c r="B5019" s="17" t="s">
        <v>70</v>
      </c>
      <c r="C5019" s="17" t="s">
        <v>71</v>
      </c>
      <c r="D5019" t="s">
        <v>3364</v>
      </c>
      <c r="F5019" t="s">
        <v>12137</v>
      </c>
      <c r="K5019" s="18">
        <f>6281297762288</f>
        <v>6281297762288</v>
      </c>
      <c r="N5019" s="17" t="s">
        <v>81</v>
      </c>
      <c r="U5019" s="17"/>
      <c r="V5019" s="18">
        <f>6281297762288</f>
        <v>6281297762288</v>
      </c>
      <c r="W5019" t="s">
        <v>14434</v>
      </c>
    </row>
    <row r="5020" ht="15" customHeight="1" spans="1:22" x14ac:dyDescent="0.25">
      <c r="A5020" s="17" t="s">
        <v>14435</v>
      </c>
      <c r="B5020" s="17" t="s">
        <v>70</v>
      </c>
      <c r="C5020" s="17" t="s">
        <v>71</v>
      </c>
      <c r="D5020" t="s">
        <v>3364</v>
      </c>
      <c r="F5020" t="s">
        <v>14436</v>
      </c>
      <c r="K5020" s="18">
        <f>6281311242411</f>
        <v>6281311242411</v>
      </c>
      <c r="N5020" s="17" t="s">
        <v>74</v>
      </c>
      <c r="V5020" s="18">
        <f>6281311242411</f>
        <v>6281311242411</v>
      </c>
    </row>
    <row r="5021" ht="15" customHeight="1" spans="1:25" x14ac:dyDescent="0.25">
      <c r="A5021" s="17" t="s">
        <v>14437</v>
      </c>
      <c r="B5021" s="17" t="s">
        <v>70</v>
      </c>
      <c r="C5021" s="17" t="s">
        <v>71</v>
      </c>
      <c r="D5021" t="s">
        <v>3364</v>
      </c>
      <c r="F5021" t="s">
        <v>167</v>
      </c>
      <c r="K5021" s="18">
        <f>6281582300499</f>
        <v>6281582300499</v>
      </c>
      <c r="N5021" s="17" t="s">
        <v>77</v>
      </c>
      <c r="U5021" s="17"/>
      <c r="V5021" s="18">
        <f>6281582300499</f>
        <v>6281582300499</v>
      </c>
      <c r="W5021" t="s">
        <v>14438</v>
      </c>
      <c r="Y5021" s="17" t="s">
        <v>14439</v>
      </c>
    </row>
    <row r="5022" ht="15" customHeight="1" spans="1:22" x14ac:dyDescent="0.25">
      <c r="A5022" s="17" t="s">
        <v>14440</v>
      </c>
      <c r="B5022" s="17" t="s">
        <v>70</v>
      </c>
      <c r="C5022" s="17" t="s">
        <v>71</v>
      </c>
      <c r="D5022" t="s">
        <v>3364</v>
      </c>
      <c r="F5022" t="s">
        <v>14441</v>
      </c>
      <c r="K5022" s="18">
        <f>6281578988000</f>
        <v>6281578988000</v>
      </c>
      <c r="N5022" s="17" t="s">
        <v>81</v>
      </c>
      <c r="V5022" s="18">
        <f>6281578988000</f>
        <v>6281578988000</v>
      </c>
    </row>
    <row r="5023" ht="15" customHeight="1" spans="1:23" x14ac:dyDescent="0.25">
      <c r="A5023" s="17" t="s">
        <v>14442</v>
      </c>
      <c r="B5023" s="17" t="s">
        <v>70</v>
      </c>
      <c r="C5023" s="17" t="s">
        <v>71</v>
      </c>
      <c r="D5023" t="s">
        <v>3364</v>
      </c>
      <c r="F5023" t="s">
        <v>14443</v>
      </c>
      <c r="K5023" s="18">
        <f>6281350400046</f>
        <v>6281350400046</v>
      </c>
      <c r="N5023" s="17" t="s">
        <v>77</v>
      </c>
      <c r="U5023" s="17"/>
      <c r="V5023" s="18">
        <f>6281350400046</f>
        <v>6281350400046</v>
      </c>
      <c r="W5023" t="s">
        <v>14444</v>
      </c>
    </row>
    <row r="5024" ht="15" customHeight="1" spans="1:28" x14ac:dyDescent="0.25">
      <c r="A5024" s="17" t="s">
        <v>14445</v>
      </c>
      <c r="B5024" s="17" t="s">
        <v>70</v>
      </c>
      <c r="C5024" s="17" t="s">
        <v>71</v>
      </c>
      <c r="D5024" t="s">
        <v>14446</v>
      </c>
      <c r="F5024" t="s">
        <v>14447</v>
      </c>
      <c r="J5024" s="17" t="s">
        <v>14448</v>
      </c>
      <c r="K5024" s="18" t="s">
        <v>14449</v>
      </c>
      <c r="N5024" s="17" t="s">
        <v>77</v>
      </c>
      <c r="O5024" t="s">
        <v>145</v>
      </c>
      <c r="V5024" s="18" t="s">
        <v>14449</v>
      </c>
      <c r="Y5024" t="s">
        <v>190</v>
      </c>
      <c r="AA5024" t="s">
        <v>118</v>
      </c>
      <c r="AB5024" t="s">
        <v>119</v>
      </c>
    </row>
    <row r="5025" ht="15" customHeight="1" spans="1:22" x14ac:dyDescent="0.25">
      <c r="A5025" s="17" t="s">
        <v>14450</v>
      </c>
      <c r="B5025" s="17" t="s">
        <v>70</v>
      </c>
      <c r="C5025" s="17" t="s">
        <v>71</v>
      </c>
      <c r="D5025" t="s">
        <v>3364</v>
      </c>
      <c r="F5025" t="s">
        <v>474</v>
      </c>
      <c r="K5025" s="18">
        <f>628159172555</f>
        <v>628159172555</v>
      </c>
      <c r="N5025" s="17" t="s">
        <v>74</v>
      </c>
      <c r="V5025" s="18">
        <f>628159172555</f>
        <v>628159172555</v>
      </c>
    </row>
    <row r="5026" ht="15" customHeight="1" spans="1:28" x14ac:dyDescent="0.25">
      <c r="A5026" s="17" t="s">
        <v>14451</v>
      </c>
      <c r="B5026" s="17" t="s">
        <v>70</v>
      </c>
      <c r="C5026" s="17" t="s">
        <v>71</v>
      </c>
      <c r="D5026" t="s">
        <v>3364</v>
      </c>
      <c r="F5026" t="s">
        <v>14452</v>
      </c>
      <c r="J5026" t="s">
        <v>115</v>
      </c>
      <c r="K5026" s="18" t="s">
        <v>14453</v>
      </c>
      <c r="N5026" s="17" t="s">
        <v>81</v>
      </c>
      <c r="O5026" t="s">
        <v>117</v>
      </c>
      <c r="V5026" s="18" t="s">
        <v>14453</v>
      </c>
      <c r="Y5026" t="s">
        <v>90</v>
      </c>
      <c r="AA5026" t="s">
        <v>118</v>
      </c>
      <c r="AB5026" t="s">
        <v>119</v>
      </c>
    </row>
    <row r="5027" ht="15" customHeight="1" spans="1:23" x14ac:dyDescent="0.25">
      <c r="A5027" s="17" t="s">
        <v>14454</v>
      </c>
      <c r="B5027" s="17" t="s">
        <v>70</v>
      </c>
      <c r="C5027" s="17" t="s">
        <v>71</v>
      </c>
      <c r="D5027" t="s">
        <v>3364</v>
      </c>
      <c r="F5027" t="s">
        <v>5032</v>
      </c>
      <c r="K5027" s="18">
        <f>6281288008888</f>
        <v>6281288008888</v>
      </c>
      <c r="N5027" s="17" t="s">
        <v>81</v>
      </c>
      <c r="U5027" s="17"/>
      <c r="V5027" s="18">
        <f>6281288008888</f>
        <v>6281288008888</v>
      </c>
      <c r="W5027" t="s">
        <v>14455</v>
      </c>
    </row>
    <row r="5028" ht="15" customHeight="1" spans="1:25" x14ac:dyDescent="0.25">
      <c r="A5028" s="17" t="s">
        <v>14456</v>
      </c>
      <c r="B5028" s="17" t="s">
        <v>70</v>
      </c>
      <c r="C5028" s="17" t="s">
        <v>71</v>
      </c>
      <c r="D5028" t="s">
        <v>3364</v>
      </c>
      <c r="F5028" t="s">
        <v>3176</v>
      </c>
      <c r="K5028" s="18">
        <f>62816806476</f>
        <v>62816806476</v>
      </c>
      <c r="N5028" s="17" t="s">
        <v>74</v>
      </c>
      <c r="U5028" s="17"/>
      <c r="V5028" s="18">
        <f>62816806476</f>
        <v>62816806476</v>
      </c>
      <c r="W5028" t="s">
        <v>14457</v>
      </c>
      <c r="Y5028" s="17" t="s">
        <v>6246</v>
      </c>
    </row>
    <row r="5029" ht="15" customHeight="1" spans="1:22" x14ac:dyDescent="0.25">
      <c r="A5029" s="17" t="s">
        <v>14458</v>
      </c>
      <c r="B5029" s="17" t="s">
        <v>70</v>
      </c>
      <c r="C5029" s="17" t="s">
        <v>71</v>
      </c>
      <c r="D5029" t="s">
        <v>3364</v>
      </c>
      <c r="F5029" t="s">
        <v>14459</v>
      </c>
      <c r="K5029" s="18">
        <f>62811950604</f>
        <v>62811950604</v>
      </c>
      <c r="N5029" s="17" t="s">
        <v>77</v>
      </c>
      <c r="V5029" s="18">
        <f>62811950604</f>
        <v>62811950604</v>
      </c>
    </row>
    <row r="5030" ht="15" customHeight="1" spans="1:22" x14ac:dyDescent="0.25">
      <c r="A5030" s="17" t="s">
        <v>14460</v>
      </c>
      <c r="B5030" s="17" t="s">
        <v>70</v>
      </c>
      <c r="C5030" s="17" t="s">
        <v>71</v>
      </c>
      <c r="D5030" t="s">
        <v>3364</v>
      </c>
      <c r="F5030" t="s">
        <v>14461</v>
      </c>
      <c r="K5030" s="18">
        <f>62811883833</f>
        <v>62811883833</v>
      </c>
      <c r="N5030" s="17" t="s">
        <v>77</v>
      </c>
      <c r="V5030" s="18">
        <f>62811883833</f>
        <v>62811883833</v>
      </c>
    </row>
    <row r="5031" ht="15" customHeight="1" spans="1:22" x14ac:dyDescent="0.25">
      <c r="A5031" s="17" t="s">
        <v>14462</v>
      </c>
      <c r="B5031" s="17" t="s">
        <v>70</v>
      </c>
      <c r="C5031" s="17" t="s">
        <v>71</v>
      </c>
      <c r="D5031" t="s">
        <v>3364</v>
      </c>
      <c r="F5031" t="s">
        <v>9606</v>
      </c>
      <c r="K5031" s="18">
        <f>6287770221460</f>
        <v>6287770221460</v>
      </c>
      <c r="N5031" s="17" t="s">
        <v>77</v>
      </c>
      <c r="V5031" s="18">
        <f>6287770221460</f>
        <v>6287770221460</v>
      </c>
    </row>
    <row r="5032" ht="15" customHeight="1" spans="1:22" x14ac:dyDescent="0.25">
      <c r="A5032" s="17" t="s">
        <v>14463</v>
      </c>
      <c r="B5032" s="17" t="s">
        <v>70</v>
      </c>
      <c r="C5032" s="17" t="s">
        <v>71</v>
      </c>
      <c r="D5032" t="s">
        <v>14464</v>
      </c>
      <c r="F5032" t="s">
        <v>14464</v>
      </c>
      <c r="K5032" s="18">
        <f>62811119980</f>
        <v>62811119980</v>
      </c>
      <c r="N5032" s="17" t="s">
        <v>74</v>
      </c>
      <c r="V5032" s="18">
        <f>62811119980</f>
        <v>62811119980</v>
      </c>
    </row>
    <row r="5033" ht="15" customHeight="1" spans="1:22" x14ac:dyDescent="0.25">
      <c r="A5033" s="17" t="s">
        <v>14465</v>
      </c>
      <c r="B5033" s="17" t="s">
        <v>70</v>
      </c>
      <c r="C5033" s="17" t="s">
        <v>71</v>
      </c>
      <c r="D5033" t="s">
        <v>14464</v>
      </c>
      <c r="F5033" t="s">
        <v>14464</v>
      </c>
      <c r="K5033" s="18">
        <f>62816770920</f>
        <v>62816770920</v>
      </c>
      <c r="N5033" s="17" t="s">
        <v>77</v>
      </c>
      <c r="V5033" s="18">
        <f>62816770920</f>
        <v>62816770920</v>
      </c>
    </row>
    <row r="5034" ht="15" customHeight="1" spans="1:23" x14ac:dyDescent="0.25">
      <c r="A5034" s="17" t="s">
        <v>14466</v>
      </c>
      <c r="B5034" s="17" t="s">
        <v>70</v>
      </c>
      <c r="C5034" s="17" t="s">
        <v>71</v>
      </c>
      <c r="D5034" t="s">
        <v>14464</v>
      </c>
      <c r="F5034" t="s">
        <v>14464</v>
      </c>
      <c r="K5034" s="18">
        <f>628111742820</f>
        <v>628111742820</v>
      </c>
      <c r="N5034" s="17" t="s">
        <v>77</v>
      </c>
      <c r="U5034" s="17"/>
      <c r="V5034" s="18">
        <f>628111742820</f>
        <v>628111742820</v>
      </c>
      <c r="W5034" t="s">
        <v>14467</v>
      </c>
    </row>
    <row r="5035" ht="15" customHeight="1" spans="1:28" x14ac:dyDescent="0.25">
      <c r="A5035" s="17" t="s">
        <v>14468</v>
      </c>
      <c r="B5035" s="17" t="s">
        <v>70</v>
      </c>
      <c r="C5035" s="17" t="s">
        <v>71</v>
      </c>
      <c r="D5035" t="s">
        <v>14464</v>
      </c>
      <c r="F5035" t="s">
        <v>14469</v>
      </c>
      <c r="J5035" t="s">
        <v>115</v>
      </c>
      <c r="K5035" s="18" t="s">
        <v>14470</v>
      </c>
      <c r="N5035" s="17" t="s">
        <v>77</v>
      </c>
      <c r="O5035" t="s">
        <v>117</v>
      </c>
      <c r="V5035" s="18" t="s">
        <v>14470</v>
      </c>
      <c r="Y5035" t="s">
        <v>115</v>
      </c>
      <c r="AA5035" t="s">
        <v>115</v>
      </c>
      <c r="AB5035" t="s">
        <v>119</v>
      </c>
    </row>
    <row r="5036" ht="15" customHeight="1" spans="1:28" x14ac:dyDescent="0.25">
      <c r="A5036" s="17" t="s">
        <v>14471</v>
      </c>
      <c r="B5036" s="17" t="s">
        <v>70</v>
      </c>
      <c r="C5036" s="17" t="s">
        <v>71</v>
      </c>
      <c r="D5036" t="s">
        <v>14472</v>
      </c>
      <c r="F5036" t="s">
        <v>14473</v>
      </c>
      <c r="J5036" t="s">
        <v>115</v>
      </c>
      <c r="K5036" s="18" t="s">
        <v>14474</v>
      </c>
      <c r="N5036" s="17" t="s">
        <v>77</v>
      </c>
      <c r="O5036" t="s">
        <v>489</v>
      </c>
      <c r="U5036" s="17"/>
      <c r="V5036" s="18" t="s">
        <v>14474</v>
      </c>
      <c r="W5036" t="s">
        <v>14475</v>
      </c>
      <c r="Y5036" s="17" t="s">
        <v>190</v>
      </c>
      <c r="AA5036" t="s">
        <v>118</v>
      </c>
      <c r="AB5036" t="s">
        <v>119</v>
      </c>
    </row>
    <row r="5037" ht="15" customHeight="1" spans="1:22" x14ac:dyDescent="0.25">
      <c r="A5037" s="17" t="s">
        <v>14476</v>
      </c>
      <c r="B5037" s="17" t="s">
        <v>70</v>
      </c>
      <c r="C5037" s="17" t="s">
        <v>71</v>
      </c>
      <c r="D5037" t="s">
        <v>14464</v>
      </c>
      <c r="F5037" t="s">
        <v>14477</v>
      </c>
      <c r="K5037" s="18">
        <f>628187255658</f>
        <v>628187255658</v>
      </c>
      <c r="N5037" s="17" t="s">
        <v>81</v>
      </c>
      <c r="V5037" s="18">
        <f>628187255658</f>
        <v>628187255658</v>
      </c>
    </row>
    <row r="5038" ht="15" customHeight="1" spans="1:25" x14ac:dyDescent="0.25">
      <c r="A5038" s="17" t="s">
        <v>14478</v>
      </c>
      <c r="B5038" s="17" t="s">
        <v>70</v>
      </c>
      <c r="C5038" s="17" t="s">
        <v>71</v>
      </c>
      <c r="D5038" t="s">
        <v>14464</v>
      </c>
      <c r="F5038" t="s">
        <v>2563</v>
      </c>
      <c r="K5038" s="18">
        <f>628121217171</f>
        <v>628121217171</v>
      </c>
      <c r="N5038" s="17" t="s">
        <v>77</v>
      </c>
      <c r="U5038" s="17"/>
      <c r="V5038" s="18">
        <f>628121217171</f>
        <v>628121217171</v>
      </c>
      <c r="W5038" t="s">
        <v>14479</v>
      </c>
      <c r="Y5038" s="17" t="s">
        <v>14480</v>
      </c>
    </row>
    <row r="5039" ht="15" customHeight="1" spans="1:22" x14ac:dyDescent="0.25">
      <c r="A5039" s="17" t="s">
        <v>14481</v>
      </c>
      <c r="B5039" s="17" t="s">
        <v>70</v>
      </c>
      <c r="C5039" s="17" t="s">
        <v>71</v>
      </c>
      <c r="D5039" t="s">
        <v>14482</v>
      </c>
      <c r="F5039" t="s">
        <v>14482</v>
      </c>
      <c r="K5039" s="18">
        <f>628111830942</f>
        <v>628111830942</v>
      </c>
      <c r="N5039" s="17" t="s">
        <v>81</v>
      </c>
      <c r="V5039" s="18">
        <f>628111830942</f>
        <v>628111830942</v>
      </c>
    </row>
    <row r="5040" ht="15" customHeight="1" spans="1:27" x14ac:dyDescent="0.25">
      <c r="A5040" s="17" t="s">
        <v>14483</v>
      </c>
      <c r="B5040" s="17" t="s">
        <v>70</v>
      </c>
      <c r="C5040" s="17" t="s">
        <v>71</v>
      </c>
      <c r="D5040" t="s">
        <v>14484</v>
      </c>
      <c r="F5040" t="s">
        <v>14485</v>
      </c>
      <c r="K5040" s="18">
        <f>6287818201634</f>
        <v>6287818201634</v>
      </c>
      <c r="N5040" s="17" t="s">
        <v>81</v>
      </c>
      <c r="U5040" s="17"/>
      <c r="V5040" s="18">
        <f>6287818201634</f>
        <v>6287818201634</v>
      </c>
      <c r="W5040" t="s">
        <v>14486</v>
      </c>
      <c r="AA5040" s="17">
        <v>77482</v>
      </c>
    </row>
    <row r="5041" ht="15" customHeight="1" spans="1:22" x14ac:dyDescent="0.25">
      <c r="A5041" s="17" t="s">
        <v>14487</v>
      </c>
      <c r="B5041" s="17" t="s">
        <v>70</v>
      </c>
      <c r="C5041" s="17" t="s">
        <v>71</v>
      </c>
      <c r="D5041" t="s">
        <v>14484</v>
      </c>
      <c r="F5041" t="s">
        <v>7709</v>
      </c>
      <c r="K5041" s="18">
        <f>628121035051</f>
        <v>628121035051</v>
      </c>
      <c r="N5041" s="17" t="s">
        <v>74</v>
      </c>
      <c r="V5041" s="18">
        <f>628121035051</f>
        <v>628121035051</v>
      </c>
    </row>
    <row r="5042" ht="15" customHeight="1" spans="1:23" x14ac:dyDescent="0.25">
      <c r="A5042" s="17" t="s">
        <v>14488</v>
      </c>
      <c r="B5042" s="17" t="s">
        <v>70</v>
      </c>
      <c r="C5042" s="17" t="s">
        <v>71</v>
      </c>
      <c r="D5042" t="s">
        <v>14489</v>
      </c>
      <c r="F5042" t="s">
        <v>14489</v>
      </c>
      <c r="K5042" s="18">
        <f>6281382070899</f>
        <v>6281382070899</v>
      </c>
      <c r="N5042" s="17" t="s">
        <v>77</v>
      </c>
      <c r="U5042" s="17"/>
      <c r="V5042" s="18">
        <f>6281382070899</f>
        <v>6281382070899</v>
      </c>
      <c r="W5042" t="s">
        <v>14490</v>
      </c>
    </row>
    <row r="5043" ht="15" customHeight="1" spans="1:25" x14ac:dyDescent="0.25">
      <c r="A5043" s="17" t="s">
        <v>14491</v>
      </c>
      <c r="B5043" s="17" t="s">
        <v>70</v>
      </c>
      <c r="C5043" s="17" t="s">
        <v>71</v>
      </c>
      <c r="D5043" t="s">
        <v>14492</v>
      </c>
      <c r="F5043" t="s">
        <v>14492</v>
      </c>
      <c r="K5043" s="18" t="s">
        <v>14493</v>
      </c>
      <c r="N5043" s="17" t="s">
        <v>77</v>
      </c>
      <c r="U5043" s="17"/>
      <c r="V5043" s="18" t="s">
        <v>14493</v>
      </c>
      <c r="W5043" t="s">
        <v>14494</v>
      </c>
      <c r="Y5043" s="17" t="s">
        <v>622</v>
      </c>
    </row>
    <row r="5044" ht="15" customHeight="1" spans="1:28" x14ac:dyDescent="0.25">
      <c r="A5044" s="17" t="s">
        <v>14495</v>
      </c>
      <c r="B5044" s="17" t="s">
        <v>70</v>
      </c>
      <c r="C5044" s="17" t="s">
        <v>71</v>
      </c>
      <c r="D5044" t="s">
        <v>14492</v>
      </c>
      <c r="F5044" t="s">
        <v>3746</v>
      </c>
      <c r="J5044" s="17" t="s">
        <v>14496</v>
      </c>
      <c r="K5044" s="18" t="s">
        <v>14497</v>
      </c>
      <c r="N5044" s="17" t="s">
        <v>74</v>
      </c>
      <c r="O5044" t="s">
        <v>145</v>
      </c>
      <c r="U5044" s="17"/>
      <c r="V5044" s="18" t="s">
        <v>14497</v>
      </c>
      <c r="W5044" t="s">
        <v>14498</v>
      </c>
      <c r="Y5044" t="s">
        <v>14499</v>
      </c>
      <c r="AA5044" t="s">
        <v>115</v>
      </c>
      <c r="AB5044" t="s">
        <v>119</v>
      </c>
    </row>
    <row r="5045" ht="15" customHeight="1" spans="1:23" x14ac:dyDescent="0.25">
      <c r="A5045" s="17" t="s">
        <v>14500</v>
      </c>
      <c r="B5045" s="17" t="s">
        <v>70</v>
      </c>
      <c r="C5045" s="17" t="s">
        <v>71</v>
      </c>
      <c r="D5045" t="s">
        <v>14501</v>
      </c>
      <c r="F5045" t="s">
        <v>14501</v>
      </c>
      <c r="K5045" s="18">
        <f>6281318131043</f>
        <v>6281318131043</v>
      </c>
      <c r="N5045" s="17" t="s">
        <v>77</v>
      </c>
      <c r="U5045" s="17"/>
      <c r="V5045" s="18">
        <f>6281318131043</f>
        <v>6281318131043</v>
      </c>
      <c r="W5045" t="s">
        <v>14502</v>
      </c>
    </row>
    <row r="5046" ht="15" customHeight="1" spans="1:28" x14ac:dyDescent="0.25">
      <c r="A5046" s="17" t="s">
        <v>14503</v>
      </c>
      <c r="B5046" s="17" t="s">
        <v>70</v>
      </c>
      <c r="C5046" s="17" t="s">
        <v>71</v>
      </c>
      <c r="D5046" t="s">
        <v>14504</v>
      </c>
      <c r="F5046" t="s">
        <v>12558</v>
      </c>
      <c r="J5046" t="s">
        <v>115</v>
      </c>
      <c r="K5046" s="18" t="s">
        <v>14505</v>
      </c>
      <c r="N5046" s="17" t="s">
        <v>77</v>
      </c>
      <c r="O5046" t="s">
        <v>489</v>
      </c>
      <c r="V5046" s="18" t="s">
        <v>14505</v>
      </c>
      <c r="Y5046" t="s">
        <v>90</v>
      </c>
      <c r="AA5046" t="s">
        <v>118</v>
      </c>
      <c r="AB5046" t="s">
        <v>119</v>
      </c>
    </row>
    <row r="5047" ht="15" customHeight="1" spans="1:22" x14ac:dyDescent="0.25">
      <c r="A5047" s="17" t="s">
        <v>14506</v>
      </c>
      <c r="B5047" s="17" t="s">
        <v>70</v>
      </c>
      <c r="C5047" s="17" t="s">
        <v>71</v>
      </c>
      <c r="D5047" t="s">
        <v>14504</v>
      </c>
      <c r="F5047" t="s">
        <v>14507</v>
      </c>
      <c r="K5047" s="18">
        <f>6285881491307</f>
        <v>6285881491307</v>
      </c>
      <c r="N5047" s="17" t="s">
        <v>77</v>
      </c>
      <c r="V5047" s="18">
        <f>6285881491307</f>
        <v>6285881491307</v>
      </c>
    </row>
    <row r="5048" ht="15" customHeight="1" spans="1:22" x14ac:dyDescent="0.25">
      <c r="A5048" s="17" t="s">
        <v>14508</v>
      </c>
      <c r="B5048" s="17" t="s">
        <v>70</v>
      </c>
      <c r="C5048" s="17" t="s">
        <v>71</v>
      </c>
      <c r="D5048" t="s">
        <v>14504</v>
      </c>
      <c r="F5048" t="s">
        <v>14509</v>
      </c>
      <c r="K5048" s="18">
        <f>6281311327747</f>
        <v>6281311327747</v>
      </c>
      <c r="N5048" s="17" t="s">
        <v>77</v>
      </c>
      <c r="V5048" s="18">
        <f>6281311327747</f>
        <v>6281311327747</v>
      </c>
    </row>
    <row r="5049" ht="15" customHeight="1" spans="1:22" x14ac:dyDescent="0.25">
      <c r="A5049" s="17" t="s">
        <v>14510</v>
      </c>
      <c r="B5049" s="17" t="s">
        <v>70</v>
      </c>
      <c r="C5049" s="17" t="s">
        <v>71</v>
      </c>
      <c r="D5049" t="s">
        <v>14511</v>
      </c>
      <c r="F5049" t="s">
        <v>14511</v>
      </c>
      <c r="K5049" s="18">
        <f>6281294044978</f>
        <v>6281294044978</v>
      </c>
      <c r="N5049" s="17" t="s">
        <v>81</v>
      </c>
      <c r="V5049" s="18">
        <f>6281294044978</f>
        <v>6281294044978</v>
      </c>
    </row>
    <row r="5050" ht="15" customHeight="1" spans="1:25" x14ac:dyDescent="0.25">
      <c r="A5050" s="17" t="s">
        <v>14512</v>
      </c>
      <c r="B5050" s="17" t="s">
        <v>70</v>
      </c>
      <c r="C5050" s="17" t="s">
        <v>71</v>
      </c>
      <c r="D5050" t="s">
        <v>14513</v>
      </c>
      <c r="F5050" t="s">
        <v>14514</v>
      </c>
      <c r="J5050" s="17" t="s">
        <v>14515</v>
      </c>
      <c r="K5050" s="18">
        <f>6281232782017</f>
        <v>6281232782017</v>
      </c>
      <c r="N5050" s="17" t="s">
        <v>77</v>
      </c>
      <c r="U5050" s="17"/>
      <c r="V5050" s="18">
        <f>6281232782017</f>
        <v>6281232782017</v>
      </c>
      <c r="W5050" t="s">
        <v>14516</v>
      </c>
      <c r="Y5050" s="17" t="s">
        <v>762</v>
      </c>
    </row>
    <row r="5051" ht="15" customHeight="1" spans="1:22" x14ac:dyDescent="0.25">
      <c r="A5051" s="17" t="s">
        <v>14517</v>
      </c>
      <c r="B5051" s="17" t="s">
        <v>70</v>
      </c>
      <c r="C5051" s="17" t="s">
        <v>71</v>
      </c>
      <c r="D5051" t="s">
        <v>14518</v>
      </c>
      <c r="F5051" t="s">
        <v>14518</v>
      </c>
      <c r="K5051" s="18">
        <f>628170807799</f>
        <v>628170807799</v>
      </c>
      <c r="N5051" s="17" t="s">
        <v>77</v>
      </c>
      <c r="V5051" s="18">
        <f>628170807799</f>
        <v>628170807799</v>
      </c>
    </row>
    <row r="5052" ht="15" customHeight="1" spans="1:23" x14ac:dyDescent="0.25">
      <c r="A5052" s="17" t="s">
        <v>14519</v>
      </c>
      <c r="B5052" s="17" t="s">
        <v>70</v>
      </c>
      <c r="C5052" s="17" t="s">
        <v>71</v>
      </c>
      <c r="D5052" t="s">
        <v>14518</v>
      </c>
      <c r="F5052" t="s">
        <v>212</v>
      </c>
      <c r="K5052" s="18">
        <f>6282223029888</f>
        <v>6282223029888</v>
      </c>
      <c r="N5052" s="17" t="s">
        <v>77</v>
      </c>
      <c r="U5052" s="17"/>
      <c r="V5052" s="18">
        <f>6282223029888</f>
        <v>6282223029888</v>
      </c>
      <c r="W5052" t="s">
        <v>14520</v>
      </c>
    </row>
    <row r="5053" ht="15" customHeight="1" spans="1:22" x14ac:dyDescent="0.25">
      <c r="A5053" s="17" t="s">
        <v>14521</v>
      </c>
      <c r="B5053" s="17" t="s">
        <v>70</v>
      </c>
      <c r="C5053" s="17" t="s">
        <v>71</v>
      </c>
      <c r="D5053" t="s">
        <v>14518</v>
      </c>
      <c r="F5053" t="s">
        <v>1608</v>
      </c>
      <c r="K5053" s="18">
        <f>622157973722</f>
        <v>622157973722</v>
      </c>
      <c r="N5053" s="17" t="s">
        <v>77</v>
      </c>
      <c r="V5053" s="18">
        <f>622157973722</f>
        <v>622157973722</v>
      </c>
    </row>
    <row r="5054" ht="15" customHeight="1" spans="1:22" x14ac:dyDescent="0.25">
      <c r="A5054" s="17" t="s">
        <v>14522</v>
      </c>
      <c r="B5054" s="17" t="s">
        <v>70</v>
      </c>
      <c r="C5054" s="17" t="s">
        <v>71</v>
      </c>
      <c r="D5054" t="s">
        <v>14518</v>
      </c>
      <c r="F5054" t="s">
        <v>1169</v>
      </c>
      <c r="K5054" s="18">
        <f>628111880277</f>
        <v>628111880277</v>
      </c>
      <c r="N5054" s="17" t="s">
        <v>74</v>
      </c>
      <c r="V5054" s="18">
        <f>628111880277</f>
        <v>628111880277</v>
      </c>
    </row>
    <row r="5055" ht="15" customHeight="1" spans="1:22" x14ac:dyDescent="0.25">
      <c r="A5055" s="17" t="s">
        <v>14523</v>
      </c>
      <c r="B5055" s="17" t="s">
        <v>70</v>
      </c>
      <c r="C5055" s="17" t="s">
        <v>71</v>
      </c>
      <c r="D5055" t="s">
        <v>14524</v>
      </c>
      <c r="F5055" t="s">
        <v>14524</v>
      </c>
      <c r="K5055" s="18">
        <f>6287888555889</f>
        <v>6287888555889</v>
      </c>
      <c r="N5055" s="17" t="s">
        <v>77</v>
      </c>
      <c r="V5055" s="18">
        <f>6287888555889</f>
        <v>6287888555889</v>
      </c>
    </row>
    <row r="5056" ht="15" customHeight="1" spans="1:28" x14ac:dyDescent="0.25">
      <c r="A5056" s="17" t="s">
        <v>14525</v>
      </c>
      <c r="B5056" s="17" t="s">
        <v>70</v>
      </c>
      <c r="C5056" s="17" t="s">
        <v>71</v>
      </c>
      <c r="D5056" t="s">
        <v>14524</v>
      </c>
      <c r="F5056" t="s">
        <v>212</v>
      </c>
      <c r="J5056" t="s">
        <v>115</v>
      </c>
      <c r="K5056" s="18" t="s">
        <v>14526</v>
      </c>
      <c r="N5056" s="17" t="s">
        <v>81</v>
      </c>
      <c r="O5056" t="s">
        <v>117</v>
      </c>
      <c r="V5056" s="18" t="s">
        <v>14526</v>
      </c>
      <c r="Y5056" t="s">
        <v>190</v>
      </c>
      <c r="AA5056" t="s">
        <v>118</v>
      </c>
      <c r="AB5056" t="s">
        <v>119</v>
      </c>
    </row>
    <row r="5057" ht="15" customHeight="1" spans="1:28" x14ac:dyDescent="0.25">
      <c r="A5057" s="17" t="s">
        <v>14527</v>
      </c>
      <c r="B5057" s="17" t="s">
        <v>70</v>
      </c>
      <c r="C5057" s="17" t="s">
        <v>71</v>
      </c>
      <c r="D5057" t="s">
        <v>14524</v>
      </c>
      <c r="F5057" t="s">
        <v>14528</v>
      </c>
      <c r="J5057" t="s">
        <v>14529</v>
      </c>
      <c r="K5057" s="18" t="s">
        <v>14530</v>
      </c>
      <c r="N5057" s="17" t="s">
        <v>77</v>
      </c>
      <c r="O5057" t="s">
        <v>489</v>
      </c>
      <c r="U5057" s="17"/>
      <c r="V5057" s="18" t="s">
        <v>14530</v>
      </c>
      <c r="W5057" t="s">
        <v>14531</v>
      </c>
      <c r="Y5057" s="17" t="s">
        <v>190</v>
      </c>
      <c r="AA5057" t="s">
        <v>118</v>
      </c>
      <c r="AB5057" t="s">
        <v>119</v>
      </c>
    </row>
    <row r="5058" ht="15" customHeight="1" spans="1:28" x14ac:dyDescent="0.25">
      <c r="A5058" s="17" t="s">
        <v>14532</v>
      </c>
      <c r="B5058" s="17" t="s">
        <v>70</v>
      </c>
      <c r="C5058" s="17" t="s">
        <v>71</v>
      </c>
      <c r="D5058" t="s">
        <v>14524</v>
      </c>
      <c r="F5058" t="s">
        <v>7599</v>
      </c>
      <c r="J5058" t="s">
        <v>14533</v>
      </c>
      <c r="K5058" s="18" t="s">
        <v>14534</v>
      </c>
      <c r="N5058" s="17" t="s">
        <v>77</v>
      </c>
      <c r="O5058" t="s">
        <v>199</v>
      </c>
      <c r="V5058" s="18" t="s">
        <v>14534</v>
      </c>
      <c r="Y5058" t="s">
        <v>90</v>
      </c>
      <c r="AA5058" t="s">
        <v>118</v>
      </c>
      <c r="AB5058" t="s">
        <v>119</v>
      </c>
    </row>
    <row r="5059" ht="15" customHeight="1" spans="1:23" x14ac:dyDescent="0.25">
      <c r="A5059" s="17" t="s">
        <v>14535</v>
      </c>
      <c r="B5059" s="17" t="s">
        <v>70</v>
      </c>
      <c r="C5059" s="17" t="s">
        <v>71</v>
      </c>
      <c r="D5059" t="s">
        <v>14536</v>
      </c>
      <c r="F5059" t="s">
        <v>14537</v>
      </c>
      <c r="K5059" s="18">
        <f>6281380900512</f>
        <v>6281380900512</v>
      </c>
      <c r="N5059" s="17" t="s">
        <v>74</v>
      </c>
      <c r="U5059" s="17"/>
      <c r="V5059" s="18">
        <f>6281380900512</f>
        <v>6281380900512</v>
      </c>
      <c r="W5059" t="s">
        <v>14538</v>
      </c>
    </row>
    <row r="5060" ht="15" customHeight="1" spans="1:27" x14ac:dyDescent="0.25">
      <c r="A5060" s="17" t="s">
        <v>14539</v>
      </c>
      <c r="B5060" s="17" t="s">
        <v>70</v>
      </c>
      <c r="C5060" s="17" t="s">
        <v>71</v>
      </c>
      <c r="D5060" t="s">
        <v>14536</v>
      </c>
      <c r="F5060" t="s">
        <v>14540</v>
      </c>
      <c r="K5060" s="18">
        <f>62811520660</f>
        <v>62811520660</v>
      </c>
      <c r="N5060" s="17" t="s">
        <v>77</v>
      </c>
      <c r="U5060" s="17"/>
      <c r="V5060" s="18">
        <f>62811520660</f>
        <v>62811520660</v>
      </c>
      <c r="W5060" t="s">
        <v>14541</v>
      </c>
      <c r="AA5060" s="17">
        <v>16810</v>
      </c>
    </row>
    <row r="5061" ht="15" customHeight="1" spans="1:23" x14ac:dyDescent="0.25">
      <c r="A5061" s="17" t="s">
        <v>14542</v>
      </c>
      <c r="B5061" s="17" t="s">
        <v>70</v>
      </c>
      <c r="C5061" s="17" t="s">
        <v>71</v>
      </c>
      <c r="D5061" t="s">
        <v>14543</v>
      </c>
      <c r="F5061" t="s">
        <v>14543</v>
      </c>
      <c r="K5061" s="18">
        <f>622132883299</f>
        <v>622132883299</v>
      </c>
      <c r="N5061" s="17" t="s">
        <v>77</v>
      </c>
      <c r="U5061" s="17"/>
      <c r="V5061" s="18">
        <f>622132883299</f>
        <v>622132883299</v>
      </c>
      <c r="W5061" t="s">
        <v>14544</v>
      </c>
    </row>
    <row r="5062" ht="15" customHeight="1" spans="1:23" x14ac:dyDescent="0.25">
      <c r="A5062" s="17" t="s">
        <v>14545</v>
      </c>
      <c r="B5062" s="17" t="s">
        <v>70</v>
      </c>
      <c r="C5062" s="17" t="s">
        <v>71</v>
      </c>
      <c r="D5062" t="s">
        <v>14546</v>
      </c>
      <c r="F5062" t="s">
        <v>14546</v>
      </c>
      <c r="K5062" s="18">
        <f>6281361417222</f>
        <v>6281361417222</v>
      </c>
      <c r="N5062" s="17" t="s">
        <v>81</v>
      </c>
      <c r="U5062" s="17"/>
      <c r="V5062" s="18">
        <f>6281361417222</f>
        <v>6281361417222</v>
      </c>
      <c r="W5062" t="s">
        <v>14547</v>
      </c>
    </row>
    <row r="5063" ht="15" customHeight="1" spans="1:25" x14ac:dyDescent="0.25">
      <c r="A5063" s="17" t="s">
        <v>14548</v>
      </c>
      <c r="B5063" s="17" t="s">
        <v>70</v>
      </c>
      <c r="C5063" s="17" t="s">
        <v>71</v>
      </c>
      <c r="D5063" t="s">
        <v>14549</v>
      </c>
      <c r="F5063" t="s">
        <v>14550</v>
      </c>
      <c r="J5063" s="17" t="s">
        <v>14551</v>
      </c>
      <c r="K5063" s="18">
        <f>6281311225205</f>
        <v>6281311225205</v>
      </c>
      <c r="N5063" s="17" t="s">
        <v>77</v>
      </c>
      <c r="U5063" s="17"/>
      <c r="V5063" s="18">
        <f>6281311225205</f>
        <v>6281311225205</v>
      </c>
      <c r="W5063" t="s">
        <v>14552</v>
      </c>
      <c r="Y5063" s="17" t="s">
        <v>96</v>
      </c>
    </row>
    <row r="5064" ht="15" customHeight="1" spans="1:22" x14ac:dyDescent="0.25">
      <c r="A5064" s="17" t="s">
        <v>14553</v>
      </c>
      <c r="B5064" s="17" t="s">
        <v>70</v>
      </c>
      <c r="C5064" s="17" t="s">
        <v>71</v>
      </c>
      <c r="D5064" t="s">
        <v>14554</v>
      </c>
      <c r="F5064" t="s">
        <v>4469</v>
      </c>
      <c r="K5064" s="18">
        <f>628151855506</f>
        <v>628151855506</v>
      </c>
      <c r="N5064" s="17" t="s">
        <v>77</v>
      </c>
      <c r="V5064" s="18">
        <f>628151855506</f>
        <v>628151855506</v>
      </c>
    </row>
    <row r="5065" ht="15" customHeight="1" spans="1:28" x14ac:dyDescent="0.25">
      <c r="A5065" s="17" t="s">
        <v>14555</v>
      </c>
      <c r="B5065" s="17" t="s">
        <v>70</v>
      </c>
      <c r="C5065" s="17" t="s">
        <v>71</v>
      </c>
      <c r="D5065" t="s">
        <v>14556</v>
      </c>
      <c r="F5065" t="s">
        <v>14557</v>
      </c>
      <c r="J5065" s="17" t="s">
        <v>14558</v>
      </c>
      <c r="K5065" s="18" t="s">
        <v>14559</v>
      </c>
      <c r="N5065" s="17" t="s">
        <v>77</v>
      </c>
      <c r="O5065" t="s">
        <v>199</v>
      </c>
      <c r="U5065" s="17"/>
      <c r="V5065" s="18" t="s">
        <v>14559</v>
      </c>
      <c r="W5065" t="s">
        <v>14560</v>
      </c>
      <c r="Y5065" t="s">
        <v>96</v>
      </c>
      <c r="AA5065" s="17" t="s">
        <v>693</v>
      </c>
      <c r="AB5065" t="s">
        <v>119</v>
      </c>
    </row>
    <row r="5066" ht="15" customHeight="1" spans="1:23" x14ac:dyDescent="0.25">
      <c r="A5066" s="17" t="s">
        <v>14561</v>
      </c>
      <c r="B5066" s="17" t="s">
        <v>70</v>
      </c>
      <c r="C5066" s="17" t="s">
        <v>71</v>
      </c>
      <c r="D5066" t="s">
        <v>14562</v>
      </c>
      <c r="F5066" t="s">
        <v>14563</v>
      </c>
      <c r="K5066" s="18">
        <f>6281269101779</f>
        <v>6281269101779</v>
      </c>
      <c r="N5066" s="17" t="s">
        <v>77</v>
      </c>
      <c r="U5066" s="17"/>
      <c r="V5066" s="18">
        <f>6281269101779</f>
        <v>6281269101779</v>
      </c>
      <c r="W5066" t="s">
        <v>14564</v>
      </c>
    </row>
    <row r="5067" ht="15" customHeight="1" spans="1:22" x14ac:dyDescent="0.25">
      <c r="A5067" s="17" t="s">
        <v>14565</v>
      </c>
      <c r="B5067" s="17" t="s">
        <v>70</v>
      </c>
      <c r="C5067" s="17" t="s">
        <v>71</v>
      </c>
      <c r="D5067" t="s">
        <v>14566</v>
      </c>
      <c r="F5067" t="s">
        <v>14567</v>
      </c>
      <c r="J5067" s="17" t="s">
        <v>14568</v>
      </c>
      <c r="K5067" s="18">
        <f>6281216573688</f>
        <v>6281216573688</v>
      </c>
      <c r="N5067" s="17" t="s">
        <v>77</v>
      </c>
      <c r="V5067" s="18">
        <f>6281216573688</f>
        <v>6281216573688</v>
      </c>
    </row>
    <row r="5068" ht="15" customHeight="1" spans="1:28" x14ac:dyDescent="0.25">
      <c r="A5068" s="17" t="s">
        <v>14569</v>
      </c>
      <c r="B5068" s="17" t="s">
        <v>70</v>
      </c>
      <c r="C5068" s="17" t="s">
        <v>71</v>
      </c>
      <c r="D5068" t="s">
        <v>14570</v>
      </c>
      <c r="F5068" t="s">
        <v>4378</v>
      </c>
      <c r="J5068" t="s">
        <v>115</v>
      </c>
      <c r="K5068" s="18" t="s">
        <v>14571</v>
      </c>
      <c r="N5068" s="17" t="s">
        <v>74</v>
      </c>
      <c r="O5068" t="s">
        <v>117</v>
      </c>
      <c r="U5068" s="17"/>
      <c r="V5068" s="18" t="s">
        <v>14571</v>
      </c>
      <c r="W5068" t="s">
        <v>14572</v>
      </c>
      <c r="Y5068" t="s">
        <v>90</v>
      </c>
      <c r="AA5068" t="s">
        <v>118</v>
      </c>
      <c r="AB5068" t="s">
        <v>119</v>
      </c>
    </row>
    <row r="5069" ht="15" customHeight="1" spans="1:28" x14ac:dyDescent="0.25">
      <c r="A5069" s="17" t="s">
        <v>14573</v>
      </c>
      <c r="B5069" s="17" t="s">
        <v>70</v>
      </c>
      <c r="C5069" s="17" t="s">
        <v>71</v>
      </c>
      <c r="D5069" t="s">
        <v>14574</v>
      </c>
      <c r="F5069" t="s">
        <v>14574</v>
      </c>
      <c r="J5069" t="s">
        <v>115</v>
      </c>
      <c r="K5069" s="18" t="s">
        <v>14575</v>
      </c>
      <c r="N5069" s="17" t="s">
        <v>77</v>
      </c>
      <c r="O5069" t="s">
        <v>489</v>
      </c>
      <c r="U5069" s="17"/>
      <c r="V5069" s="18" t="s">
        <v>14575</v>
      </c>
      <c r="W5069" t="s">
        <v>14576</v>
      </c>
      <c r="Y5069" t="s">
        <v>90</v>
      </c>
      <c r="AA5069" t="s">
        <v>118</v>
      </c>
      <c r="AB5069" t="s">
        <v>119</v>
      </c>
    </row>
    <row r="5070" ht="15" customHeight="1" spans="1:23" x14ac:dyDescent="0.25">
      <c r="A5070" s="17" t="s">
        <v>14577</v>
      </c>
      <c r="B5070" s="17" t="s">
        <v>70</v>
      </c>
      <c r="C5070" s="17" t="s">
        <v>71</v>
      </c>
      <c r="D5070" t="s">
        <v>14578</v>
      </c>
      <c r="F5070" t="s">
        <v>14579</v>
      </c>
      <c r="K5070" s="18">
        <f>61418608528</f>
        <v>61418608528</v>
      </c>
      <c r="N5070" s="17" t="s">
        <v>77</v>
      </c>
      <c r="U5070" s="17"/>
      <c r="V5070" s="18">
        <f>61418608528</f>
        <v>61418608528</v>
      </c>
      <c r="W5070" t="s">
        <v>14580</v>
      </c>
    </row>
    <row r="5071" ht="15" customHeight="1" spans="1:28" x14ac:dyDescent="0.25">
      <c r="A5071" s="17" t="s">
        <v>14581</v>
      </c>
      <c r="B5071" s="17" t="s">
        <v>70</v>
      </c>
      <c r="C5071" s="17" t="s">
        <v>71</v>
      </c>
      <c r="D5071" t="s">
        <v>14582</v>
      </c>
      <c r="F5071" t="s">
        <v>14583</v>
      </c>
      <c r="J5071" s="17" t="s">
        <v>14584</v>
      </c>
      <c r="K5071" s="18" t="s">
        <v>14585</v>
      </c>
      <c r="N5071" s="17" t="s">
        <v>81</v>
      </c>
      <c r="O5071" t="s">
        <v>117</v>
      </c>
      <c r="U5071" s="17"/>
      <c r="V5071" s="18" t="s">
        <v>14585</v>
      </c>
      <c r="W5071" t="s">
        <v>14586</v>
      </c>
      <c r="Y5071" s="17" t="s">
        <v>190</v>
      </c>
      <c r="AA5071" t="s">
        <v>118</v>
      </c>
      <c r="AB5071" t="s">
        <v>119</v>
      </c>
    </row>
    <row r="5072" ht="15" customHeight="1" spans="1:22" x14ac:dyDescent="0.25">
      <c r="A5072" s="17" t="s">
        <v>14587</v>
      </c>
      <c r="B5072" s="17" t="s">
        <v>70</v>
      </c>
      <c r="C5072" s="17" t="s">
        <v>71</v>
      </c>
      <c r="D5072" t="s">
        <v>7678</v>
      </c>
      <c r="F5072" t="s">
        <v>14588</v>
      </c>
      <c r="K5072" s="18">
        <f>6281310661119</f>
        <v>6281310661119</v>
      </c>
      <c r="N5072" s="17" t="s">
        <v>77</v>
      </c>
      <c r="V5072" s="18">
        <f>6281310661119</f>
        <v>6281310661119</v>
      </c>
    </row>
    <row r="5073" ht="15" customHeight="1" spans="1:27" x14ac:dyDescent="0.25">
      <c r="A5073" s="17" t="s">
        <v>14589</v>
      </c>
      <c r="B5073" s="17" t="s">
        <v>70</v>
      </c>
      <c r="C5073" s="17" t="s">
        <v>71</v>
      </c>
      <c r="D5073" t="s">
        <v>14590</v>
      </c>
      <c r="F5073" t="s">
        <v>14590</v>
      </c>
      <c r="K5073" s="18">
        <f>628125006922</f>
        <v>628125006922</v>
      </c>
      <c r="N5073" s="17" t="s">
        <v>77</v>
      </c>
      <c r="U5073" s="17"/>
      <c r="V5073" s="18">
        <f>628125006922</f>
        <v>628125006922</v>
      </c>
      <c r="W5073" t="s">
        <v>14591</v>
      </c>
      <c r="Y5073" s="17" t="s">
        <v>3195</v>
      </c>
      <c r="AA5073" s="17">
        <v>75112</v>
      </c>
    </row>
    <row r="5074" ht="15" customHeight="1" spans="1:22" x14ac:dyDescent="0.25">
      <c r="A5074" s="17" t="s">
        <v>14592</v>
      </c>
      <c r="B5074" s="17" t="s">
        <v>70</v>
      </c>
      <c r="C5074" s="17" t="s">
        <v>71</v>
      </c>
      <c r="D5074" t="s">
        <v>14590</v>
      </c>
      <c r="F5074" t="s">
        <v>14590</v>
      </c>
      <c r="K5074" s="18">
        <f>6287870043888</f>
        <v>6287870043888</v>
      </c>
      <c r="N5074" s="17" t="s">
        <v>81</v>
      </c>
      <c r="V5074" s="18">
        <f>6287870043888</f>
        <v>6287870043888</v>
      </c>
    </row>
    <row r="5075" ht="15" customHeight="1" spans="1:22" x14ac:dyDescent="0.25">
      <c r="A5075" s="17" t="s">
        <v>14593</v>
      </c>
      <c r="B5075" s="17" t="s">
        <v>70</v>
      </c>
      <c r="C5075" s="17" t="s">
        <v>71</v>
      </c>
      <c r="D5075" t="s">
        <v>14590</v>
      </c>
      <c r="F5075" t="s">
        <v>14590</v>
      </c>
      <c r="K5075" s="18">
        <f>6281311206778</f>
        <v>6281311206778</v>
      </c>
      <c r="N5075" s="17" t="s">
        <v>74</v>
      </c>
      <c r="V5075" s="18">
        <f>6281311206778</f>
        <v>6281311206778</v>
      </c>
    </row>
    <row r="5076" ht="15" customHeight="1" spans="1:28" x14ac:dyDescent="0.25">
      <c r="A5076" s="17" t="s">
        <v>14594</v>
      </c>
      <c r="B5076" s="17" t="s">
        <v>70</v>
      </c>
      <c r="C5076" s="17" t="s">
        <v>71</v>
      </c>
      <c r="D5076" t="s">
        <v>14590</v>
      </c>
      <c r="F5076" t="s">
        <v>14595</v>
      </c>
      <c r="J5076" t="s">
        <v>115</v>
      </c>
      <c r="K5076" s="18" t="s">
        <v>14596</v>
      </c>
      <c r="N5076" s="17" t="s">
        <v>77</v>
      </c>
      <c r="O5076" t="s">
        <v>117</v>
      </c>
      <c r="V5076" s="18" t="s">
        <v>14596</v>
      </c>
      <c r="Y5076" t="s">
        <v>90</v>
      </c>
      <c r="AA5076" t="s">
        <v>118</v>
      </c>
      <c r="AB5076" t="s">
        <v>119</v>
      </c>
    </row>
    <row r="5077" ht="15" customHeight="1" spans="1:28" x14ac:dyDescent="0.25">
      <c r="A5077" s="17" t="s">
        <v>14597</v>
      </c>
      <c r="B5077" s="17" t="s">
        <v>70</v>
      </c>
      <c r="C5077" s="17" t="s">
        <v>71</v>
      </c>
      <c r="D5077" t="s">
        <v>14590</v>
      </c>
      <c r="F5077" t="s">
        <v>1169</v>
      </c>
      <c r="J5077" t="s">
        <v>115</v>
      </c>
      <c r="K5077" s="18" t="s">
        <v>14598</v>
      </c>
      <c r="N5077" s="17" t="s">
        <v>74</v>
      </c>
      <c r="O5077" t="s">
        <v>261</v>
      </c>
      <c r="U5077" s="17"/>
      <c r="V5077" s="18" t="s">
        <v>14598</v>
      </c>
      <c r="W5077" t="s">
        <v>14599</v>
      </c>
      <c r="Y5077" t="s">
        <v>90</v>
      </c>
      <c r="AA5077" t="s">
        <v>118</v>
      </c>
      <c r="AB5077" t="s">
        <v>119</v>
      </c>
    </row>
    <row r="5078" ht="15" customHeight="1" spans="1:22" x14ac:dyDescent="0.25">
      <c r="A5078" s="17" t="s">
        <v>14600</v>
      </c>
      <c r="B5078" s="17" t="s">
        <v>70</v>
      </c>
      <c r="C5078" s="17" t="s">
        <v>71</v>
      </c>
      <c r="D5078" t="s">
        <v>14590</v>
      </c>
      <c r="F5078" t="s">
        <v>672</v>
      </c>
      <c r="K5078" s="18">
        <f>6281296827625</f>
        <v>6281296827625</v>
      </c>
      <c r="N5078" s="17" t="s">
        <v>81</v>
      </c>
      <c r="V5078" s="18">
        <f>6281296827625</f>
        <v>6281296827625</v>
      </c>
    </row>
    <row r="5079" ht="15" customHeight="1" spans="1:22" x14ac:dyDescent="0.25">
      <c r="A5079" s="17" t="s">
        <v>14601</v>
      </c>
      <c r="B5079" s="17" t="s">
        <v>70</v>
      </c>
      <c r="C5079" s="17" t="s">
        <v>71</v>
      </c>
      <c r="D5079" t="s">
        <v>14602</v>
      </c>
      <c r="F5079" t="s">
        <v>14603</v>
      </c>
      <c r="K5079" s="18">
        <f>62811869996</f>
        <v>62811869996</v>
      </c>
      <c r="N5079" s="17" t="s">
        <v>77</v>
      </c>
      <c r="V5079" s="18">
        <f>62811869996</f>
        <v>62811869996</v>
      </c>
    </row>
    <row r="5080" ht="15" customHeight="1" spans="1:23" x14ac:dyDescent="0.25">
      <c r="A5080" s="17" t="s">
        <v>14604</v>
      </c>
      <c r="B5080" s="17" t="s">
        <v>70</v>
      </c>
      <c r="C5080" s="17" t="s">
        <v>71</v>
      </c>
      <c r="D5080" t="s">
        <v>14605</v>
      </c>
      <c r="F5080" t="s">
        <v>14606</v>
      </c>
      <c r="K5080" s="18">
        <f>656596538324</f>
        <v>656596538324</v>
      </c>
      <c r="N5080" s="17" t="s">
        <v>77</v>
      </c>
      <c r="U5080" s="17"/>
      <c r="V5080" s="18">
        <f>656596538324</f>
        <v>656596538324</v>
      </c>
      <c r="W5080" t="s">
        <v>2356</v>
      </c>
    </row>
    <row r="5081" ht="15" customHeight="1" spans="1:22" x14ac:dyDescent="0.25">
      <c r="A5081" s="17" t="s">
        <v>14607</v>
      </c>
      <c r="B5081" s="17" t="s">
        <v>70</v>
      </c>
      <c r="C5081" s="17" t="s">
        <v>71</v>
      </c>
      <c r="D5081" t="s">
        <v>14605</v>
      </c>
      <c r="F5081" t="s">
        <v>14608</v>
      </c>
      <c r="K5081" s="18">
        <f>628812345333</f>
        <v>628812345333</v>
      </c>
      <c r="N5081" s="17" t="s">
        <v>77</v>
      </c>
      <c r="V5081" s="18">
        <f>628812345333</f>
        <v>628812345333</v>
      </c>
    </row>
    <row r="5082" ht="15" customHeight="1" spans="1:22" x14ac:dyDescent="0.25">
      <c r="A5082" s="17" t="s">
        <v>14609</v>
      </c>
      <c r="B5082" s="17" t="s">
        <v>70</v>
      </c>
      <c r="C5082" s="17" t="s">
        <v>71</v>
      </c>
      <c r="D5082" t="s">
        <v>14610</v>
      </c>
      <c r="F5082" t="s">
        <v>14611</v>
      </c>
      <c r="K5082" s="18">
        <f>6287885077778</f>
        <v>6287885077778</v>
      </c>
      <c r="N5082" s="17" t="s">
        <v>77</v>
      </c>
      <c r="V5082" s="18">
        <f>6287885077778</f>
        <v>6287885077778</v>
      </c>
    </row>
    <row r="5083" ht="15" customHeight="1" spans="1:22" x14ac:dyDescent="0.25">
      <c r="A5083" s="17" t="s">
        <v>14612</v>
      </c>
      <c r="B5083" s="17" t="s">
        <v>70</v>
      </c>
      <c r="C5083" s="17" t="s">
        <v>71</v>
      </c>
      <c r="D5083" t="s">
        <v>14613</v>
      </c>
      <c r="F5083" t="s">
        <v>1730</v>
      </c>
      <c r="K5083" s="18">
        <f>6281382291818</f>
        <v>6281382291818</v>
      </c>
      <c r="N5083" s="17" t="s">
        <v>81</v>
      </c>
      <c r="V5083" s="18">
        <f>6281382291818</f>
        <v>6281382291818</v>
      </c>
    </row>
    <row r="5084" ht="15" customHeight="1" spans="1:28" x14ac:dyDescent="0.25">
      <c r="A5084" s="17" t="s">
        <v>14614</v>
      </c>
      <c r="B5084" s="17" t="s">
        <v>70</v>
      </c>
      <c r="C5084" s="17" t="s">
        <v>71</v>
      </c>
      <c r="D5084" t="s">
        <v>14615</v>
      </c>
      <c r="F5084" t="s">
        <v>14616</v>
      </c>
      <c r="J5084" s="17" t="s">
        <v>14617</v>
      </c>
      <c r="K5084" s="18" t="s">
        <v>14618</v>
      </c>
      <c r="N5084" s="17" t="s">
        <v>77</v>
      </c>
      <c r="O5084" t="s">
        <v>117</v>
      </c>
      <c r="V5084" s="18" t="s">
        <v>14618</v>
      </c>
      <c r="Y5084" t="s">
        <v>115</v>
      </c>
      <c r="AA5084" t="s">
        <v>115</v>
      </c>
      <c r="AB5084" t="s">
        <v>11019</v>
      </c>
    </row>
    <row r="5085" ht="15" customHeight="1" spans="1:28" x14ac:dyDescent="0.25">
      <c r="A5085" s="17" t="s">
        <v>14619</v>
      </c>
      <c r="B5085" s="17" t="s">
        <v>70</v>
      </c>
      <c r="C5085" s="17" t="s">
        <v>71</v>
      </c>
      <c r="D5085" t="s">
        <v>14620</v>
      </c>
      <c r="F5085" t="s">
        <v>14621</v>
      </c>
      <c r="J5085" t="s">
        <v>115</v>
      </c>
      <c r="K5085" s="18" t="s">
        <v>14622</v>
      </c>
      <c r="N5085" s="17" t="s">
        <v>77</v>
      </c>
      <c r="O5085" t="s">
        <v>145</v>
      </c>
      <c r="V5085" s="18" t="s">
        <v>14622</v>
      </c>
      <c r="Y5085" t="s">
        <v>90</v>
      </c>
      <c r="AA5085" t="s">
        <v>118</v>
      </c>
      <c r="AB5085" t="s">
        <v>119</v>
      </c>
    </row>
    <row r="5086" ht="15" customHeight="1" spans="1:22" x14ac:dyDescent="0.25">
      <c r="A5086" s="17" t="s">
        <v>14623</v>
      </c>
      <c r="B5086" s="17" t="s">
        <v>70</v>
      </c>
      <c r="C5086" s="17" t="s">
        <v>71</v>
      </c>
      <c r="D5086" t="s">
        <v>14624</v>
      </c>
      <c r="F5086" t="s">
        <v>14624</v>
      </c>
      <c r="K5086" s="18">
        <f>62816900009</f>
        <v>62816900009</v>
      </c>
      <c r="N5086" s="17" t="s">
        <v>81</v>
      </c>
      <c r="V5086" s="18">
        <f>62816900009</f>
        <v>62816900009</v>
      </c>
    </row>
    <row r="5087" ht="15" customHeight="1" spans="1:22" x14ac:dyDescent="0.25">
      <c r="A5087" s="17" t="s">
        <v>14625</v>
      </c>
      <c r="B5087" s="17" t="s">
        <v>70</v>
      </c>
      <c r="C5087" s="17" t="s">
        <v>71</v>
      </c>
      <c r="D5087" t="s">
        <v>14624</v>
      </c>
      <c r="F5087" t="s">
        <v>14624</v>
      </c>
      <c r="K5087" s="18">
        <f>62811347500</f>
        <v>62811347500</v>
      </c>
      <c r="N5087" s="17" t="s">
        <v>77</v>
      </c>
      <c r="V5087" s="18">
        <f>62811347500</f>
        <v>62811347500</v>
      </c>
    </row>
    <row r="5088" ht="15" customHeight="1" spans="1:22" x14ac:dyDescent="0.25">
      <c r="A5088" s="17" t="s">
        <v>14626</v>
      </c>
      <c r="B5088" s="17" t="s">
        <v>70</v>
      </c>
      <c r="C5088" s="17" t="s">
        <v>71</v>
      </c>
      <c r="D5088" t="s">
        <v>14624</v>
      </c>
      <c r="F5088" t="s">
        <v>3684</v>
      </c>
      <c r="K5088" s="18">
        <f>62818900009</f>
        <v>62818900009</v>
      </c>
      <c r="N5088" s="17" t="s">
        <v>77</v>
      </c>
      <c r="V5088" s="18">
        <f>62818900009</f>
        <v>62818900009</v>
      </c>
    </row>
    <row r="5089" ht="15" customHeight="1" spans="1:22" x14ac:dyDescent="0.25">
      <c r="A5089" s="17" t="s">
        <v>14627</v>
      </c>
      <c r="B5089" s="17" t="s">
        <v>70</v>
      </c>
      <c r="C5089" s="17" t="s">
        <v>71</v>
      </c>
      <c r="D5089" t="s">
        <v>14624</v>
      </c>
      <c r="F5089" t="s">
        <v>282</v>
      </c>
      <c r="K5089" s="18">
        <f>628119106789</f>
        <v>628119106789</v>
      </c>
      <c r="N5089" s="17" t="s">
        <v>74</v>
      </c>
      <c r="V5089" s="18">
        <f>628119106789</f>
        <v>628119106789</v>
      </c>
    </row>
    <row r="5090" ht="15" customHeight="1" spans="1:28" x14ac:dyDescent="0.25">
      <c r="A5090" s="17" t="s">
        <v>14628</v>
      </c>
      <c r="B5090" s="17" t="s">
        <v>70</v>
      </c>
      <c r="C5090" s="17" t="s">
        <v>71</v>
      </c>
      <c r="D5090" t="s">
        <v>14629</v>
      </c>
      <c r="F5090" t="s">
        <v>13161</v>
      </c>
      <c r="J5090" s="17" t="s">
        <v>14630</v>
      </c>
      <c r="K5090" s="18" t="s">
        <v>14631</v>
      </c>
      <c r="N5090" s="17" t="s">
        <v>77</v>
      </c>
      <c r="O5090" t="s">
        <v>145</v>
      </c>
      <c r="U5090" s="17"/>
      <c r="V5090" s="18" t="s">
        <v>14631</v>
      </c>
      <c r="W5090" t="s">
        <v>14632</v>
      </c>
      <c r="Y5090" s="17" t="s">
        <v>190</v>
      </c>
      <c r="AA5090" t="s">
        <v>118</v>
      </c>
      <c r="AB5090" t="s">
        <v>119</v>
      </c>
    </row>
    <row r="5091" ht="15" customHeight="1" spans="1:28" x14ac:dyDescent="0.25">
      <c r="A5091" s="17" t="s">
        <v>14633</v>
      </c>
      <c r="B5091" s="17" t="s">
        <v>70</v>
      </c>
      <c r="C5091" s="17" t="s">
        <v>71</v>
      </c>
      <c r="D5091" t="s">
        <v>14624</v>
      </c>
      <c r="F5091" t="s">
        <v>13908</v>
      </c>
      <c r="J5091" t="s">
        <v>115</v>
      </c>
      <c r="K5091" s="18" t="s">
        <v>14634</v>
      </c>
      <c r="N5091" s="17" t="s">
        <v>74</v>
      </c>
      <c r="O5091" t="s">
        <v>199</v>
      </c>
      <c r="V5091" s="18" t="s">
        <v>14634</v>
      </c>
      <c r="Y5091" t="s">
        <v>90</v>
      </c>
      <c r="AA5091" t="s">
        <v>118</v>
      </c>
      <c r="AB5091" t="s">
        <v>119</v>
      </c>
    </row>
    <row r="5092" ht="15" customHeight="1" spans="1:22" x14ac:dyDescent="0.25">
      <c r="A5092" s="17" t="s">
        <v>14635</v>
      </c>
      <c r="B5092" s="17" t="s">
        <v>70</v>
      </c>
      <c r="C5092" s="17" t="s">
        <v>71</v>
      </c>
      <c r="D5092" t="s">
        <v>14636</v>
      </c>
      <c r="F5092" t="s">
        <v>7709</v>
      </c>
      <c r="K5092" s="18">
        <f>62816894891</f>
        <v>62816894891</v>
      </c>
      <c r="N5092" s="17" t="s">
        <v>77</v>
      </c>
      <c r="V5092" s="18">
        <f>62816894891</f>
        <v>62816894891</v>
      </c>
    </row>
    <row r="5093" ht="15" customHeight="1" spans="1:25" x14ac:dyDescent="0.25">
      <c r="A5093" s="17" t="s">
        <v>14637</v>
      </c>
      <c r="B5093" s="17" t="s">
        <v>70</v>
      </c>
      <c r="C5093" s="17" t="s">
        <v>71</v>
      </c>
      <c r="D5093" t="s">
        <v>14636</v>
      </c>
      <c r="F5093" t="s">
        <v>14638</v>
      </c>
      <c r="J5093" s="17" t="s">
        <v>14639</v>
      </c>
      <c r="K5093" s="18">
        <f>6282113271777</f>
        <v>6282113271777</v>
      </c>
      <c r="N5093" s="17" t="s">
        <v>77</v>
      </c>
      <c r="U5093" s="17"/>
      <c r="V5093" s="18">
        <f>6282113271777</f>
        <v>6282113271777</v>
      </c>
      <c r="W5093" t="s">
        <v>14640</v>
      </c>
      <c r="Y5093" s="17" t="s">
        <v>14641</v>
      </c>
    </row>
    <row r="5094" ht="15" customHeight="1" spans="1:28" x14ac:dyDescent="0.25">
      <c r="A5094" s="17" t="s">
        <v>14642</v>
      </c>
      <c r="B5094" s="17" t="s">
        <v>70</v>
      </c>
      <c r="C5094" s="17" t="s">
        <v>71</v>
      </c>
      <c r="D5094" t="s">
        <v>14643</v>
      </c>
      <c r="F5094" t="s">
        <v>14644</v>
      </c>
      <c r="J5094" s="17" t="s">
        <v>14645</v>
      </c>
      <c r="K5094" s="18" t="s">
        <v>14646</v>
      </c>
      <c r="N5094" s="17" t="s">
        <v>77</v>
      </c>
      <c r="O5094" t="s">
        <v>145</v>
      </c>
      <c r="V5094" s="18" t="s">
        <v>14646</v>
      </c>
      <c r="Y5094" t="s">
        <v>90</v>
      </c>
      <c r="AA5094" t="s">
        <v>118</v>
      </c>
      <c r="AB5094" t="s">
        <v>119</v>
      </c>
    </row>
    <row r="5095" ht="15" customHeight="1" spans="1:22" x14ac:dyDescent="0.25">
      <c r="A5095" s="17" t="s">
        <v>14647</v>
      </c>
      <c r="B5095" s="17" t="s">
        <v>70</v>
      </c>
      <c r="C5095" s="17" t="s">
        <v>71</v>
      </c>
      <c r="D5095" t="s">
        <v>14648</v>
      </c>
      <c r="F5095" t="s">
        <v>14649</v>
      </c>
      <c r="K5095" s="18">
        <f>62816810215</f>
        <v>62816810215</v>
      </c>
      <c r="N5095" s="17" t="s">
        <v>77</v>
      </c>
      <c r="V5095" s="18">
        <f>62816810215</f>
        <v>62816810215</v>
      </c>
    </row>
    <row r="5096" ht="15" customHeight="1" spans="1:23" x14ac:dyDescent="0.25">
      <c r="A5096" s="17" t="s">
        <v>14650</v>
      </c>
      <c r="B5096" s="17" t="s">
        <v>70</v>
      </c>
      <c r="C5096" s="17" t="s">
        <v>71</v>
      </c>
      <c r="D5096" t="s">
        <v>14651</v>
      </c>
      <c r="F5096" t="s">
        <v>14651</v>
      </c>
      <c r="K5096" s="18">
        <f>628195612799</f>
        <v>628195612799</v>
      </c>
      <c r="N5096" s="17" t="s">
        <v>74</v>
      </c>
      <c r="U5096" s="17"/>
      <c r="V5096" s="18">
        <f>628195612799</f>
        <v>628195612799</v>
      </c>
      <c r="W5096" t="s">
        <v>14652</v>
      </c>
    </row>
    <row r="5097" ht="15" customHeight="1" spans="1:22" x14ac:dyDescent="0.25">
      <c r="A5097" s="17" t="s">
        <v>14653</v>
      </c>
      <c r="B5097" s="17" t="s">
        <v>70</v>
      </c>
      <c r="C5097" s="17" t="s">
        <v>71</v>
      </c>
      <c r="D5097" t="s">
        <v>14654</v>
      </c>
      <c r="F5097" t="s">
        <v>14655</v>
      </c>
      <c r="K5097" s="18">
        <f>33635172288</f>
        <v>33635172288</v>
      </c>
      <c r="N5097" s="17" t="s">
        <v>81</v>
      </c>
      <c r="V5097" s="18">
        <f>33635172288</f>
        <v>33635172288</v>
      </c>
    </row>
    <row r="5098" ht="15" customHeight="1" spans="1:28" x14ac:dyDescent="0.25">
      <c r="A5098" s="17" t="s">
        <v>14656</v>
      </c>
      <c r="B5098" s="17" t="s">
        <v>70</v>
      </c>
      <c r="C5098" s="17" t="s">
        <v>71</v>
      </c>
      <c r="D5098" t="s">
        <v>14657</v>
      </c>
      <c r="F5098" t="s">
        <v>13437</v>
      </c>
      <c r="J5098" t="s">
        <v>115</v>
      </c>
      <c r="K5098" s="18" t="s">
        <v>14658</v>
      </c>
      <c r="N5098" s="17" t="s">
        <v>4266</v>
      </c>
      <c r="O5098" t="s">
        <v>489</v>
      </c>
      <c r="V5098" s="18" t="s">
        <v>14658</v>
      </c>
      <c r="Y5098" t="s">
        <v>190</v>
      </c>
      <c r="AA5098" t="s">
        <v>118</v>
      </c>
      <c r="AB5098" t="s">
        <v>119</v>
      </c>
    </row>
    <row r="5099" ht="15" customHeight="1" spans="1:23" x14ac:dyDescent="0.25">
      <c r="A5099" s="17" t="s">
        <v>14659</v>
      </c>
      <c r="B5099" s="17" t="s">
        <v>70</v>
      </c>
      <c r="C5099" s="17" t="s">
        <v>71</v>
      </c>
      <c r="D5099" t="s">
        <v>14660</v>
      </c>
      <c r="F5099" t="s">
        <v>14661</v>
      </c>
      <c r="K5099" s="18">
        <f>85297700067</f>
        <v>85297700067</v>
      </c>
      <c r="N5099" s="17" t="s">
        <v>81</v>
      </c>
      <c r="U5099" s="17"/>
      <c r="V5099" s="18">
        <f>85297700067</f>
        <v>85297700067</v>
      </c>
      <c r="W5099" t="s">
        <v>11018</v>
      </c>
    </row>
    <row r="5100" ht="15" customHeight="1" spans="1:22" x14ac:dyDescent="0.25">
      <c r="A5100" s="17" t="s">
        <v>14662</v>
      </c>
      <c r="B5100" s="17" t="s">
        <v>70</v>
      </c>
      <c r="C5100" s="17" t="s">
        <v>71</v>
      </c>
      <c r="D5100" t="s">
        <v>14663</v>
      </c>
      <c r="F5100" t="s">
        <v>14663</v>
      </c>
      <c r="K5100" s="18">
        <f>6281310978006</f>
        <v>6281310978006</v>
      </c>
      <c r="N5100" s="17" t="s">
        <v>81</v>
      </c>
      <c r="V5100" s="18">
        <f>6281310978006</f>
        <v>6281310978006</v>
      </c>
    </row>
    <row r="5101" ht="15" customHeight="1" spans="1:22" x14ac:dyDescent="0.25">
      <c r="A5101" s="17" t="s">
        <v>14664</v>
      </c>
      <c r="B5101" s="17" t="s">
        <v>70</v>
      </c>
      <c r="C5101" s="17" t="s">
        <v>71</v>
      </c>
      <c r="D5101" t="s">
        <v>14663</v>
      </c>
      <c r="F5101" t="s">
        <v>14665</v>
      </c>
      <c r="K5101" s="18">
        <f>6281353310005</f>
        <v>6281353310005</v>
      </c>
      <c r="N5101" s="17" t="s">
        <v>81</v>
      </c>
      <c r="V5101" s="18">
        <f>6281353310005</f>
        <v>6281353310005</v>
      </c>
    </row>
    <row r="5102" ht="15" customHeight="1" spans="1:22" x14ac:dyDescent="0.25">
      <c r="A5102" s="17" t="s">
        <v>14666</v>
      </c>
      <c r="B5102" s="17" t="s">
        <v>70</v>
      </c>
      <c r="C5102" s="17" t="s">
        <v>71</v>
      </c>
      <c r="D5102" t="s">
        <v>14667</v>
      </c>
      <c r="F5102" t="s">
        <v>14668</v>
      </c>
      <c r="K5102" s="18">
        <f>62818709800</f>
        <v>62818709800</v>
      </c>
      <c r="N5102" s="17" t="s">
        <v>77</v>
      </c>
      <c r="V5102" s="18">
        <f>62818709800</f>
        <v>62818709800</v>
      </c>
    </row>
    <row r="5103" ht="15" customHeight="1" spans="1:27" x14ac:dyDescent="0.25">
      <c r="A5103" s="17" t="s">
        <v>14669</v>
      </c>
      <c r="B5103" s="17" t="s">
        <v>70</v>
      </c>
      <c r="C5103" s="17" t="s">
        <v>71</v>
      </c>
      <c r="D5103" t="s">
        <v>14670</v>
      </c>
      <c r="F5103" t="s">
        <v>14670</v>
      </c>
      <c r="K5103" s="18">
        <f>628121074576</f>
        <v>628121074576</v>
      </c>
      <c r="N5103" s="17" t="s">
        <v>77</v>
      </c>
      <c r="U5103" s="17"/>
      <c r="V5103" s="18">
        <f>628121074576</f>
        <v>628121074576</v>
      </c>
      <c r="W5103" t="s">
        <v>14671</v>
      </c>
      <c r="Y5103" s="17" t="s">
        <v>1084</v>
      </c>
      <c r="AA5103" s="17" t="s">
        <v>14672</v>
      </c>
    </row>
    <row r="5104" ht="15" customHeight="1" spans="1:22" x14ac:dyDescent="0.25">
      <c r="A5104" s="17" t="s">
        <v>14673</v>
      </c>
      <c r="B5104" s="17" t="s">
        <v>70</v>
      </c>
      <c r="C5104" s="17" t="s">
        <v>71</v>
      </c>
      <c r="D5104" t="s">
        <v>14670</v>
      </c>
      <c r="F5104" t="s">
        <v>14670</v>
      </c>
      <c r="K5104" s="18">
        <f>628161844845</f>
        <v>628161844845</v>
      </c>
      <c r="N5104" s="17" t="s">
        <v>81</v>
      </c>
      <c r="V5104" s="18">
        <f>628161844845</f>
        <v>628161844845</v>
      </c>
    </row>
    <row r="5105" ht="15" customHeight="1" spans="1:22" x14ac:dyDescent="0.25">
      <c r="A5105" s="17" t="s">
        <v>14674</v>
      </c>
      <c r="B5105" s="17" t="s">
        <v>70</v>
      </c>
      <c r="C5105" s="17" t="s">
        <v>71</v>
      </c>
      <c r="D5105" t="s">
        <v>14670</v>
      </c>
      <c r="F5105" t="s">
        <v>14670</v>
      </c>
      <c r="K5105" s="18">
        <f>62816825163</f>
        <v>62816825163</v>
      </c>
      <c r="N5105" s="17" t="s">
        <v>77</v>
      </c>
      <c r="V5105" s="18">
        <f>62816825163</f>
        <v>62816825163</v>
      </c>
    </row>
    <row r="5106" ht="15" customHeight="1" spans="1:23" x14ac:dyDescent="0.25">
      <c r="A5106" s="17" t="s">
        <v>14675</v>
      </c>
      <c r="B5106" s="17" t="s">
        <v>70</v>
      </c>
      <c r="C5106" s="17" t="s">
        <v>71</v>
      </c>
      <c r="D5106" t="s">
        <v>14670</v>
      </c>
      <c r="F5106" t="s">
        <v>14676</v>
      </c>
      <c r="K5106" s="18">
        <f>6281340223456</f>
        <v>6281340223456</v>
      </c>
      <c r="N5106" s="17" t="s">
        <v>77</v>
      </c>
      <c r="U5106" s="17"/>
      <c r="V5106" s="18">
        <f>6281340223456</f>
        <v>6281340223456</v>
      </c>
      <c r="W5106" t="s">
        <v>6155</v>
      </c>
    </row>
    <row r="5107" ht="15" customHeight="1" spans="1:22" x14ac:dyDescent="0.25">
      <c r="A5107" s="17" t="s">
        <v>14677</v>
      </c>
      <c r="B5107" s="17" t="s">
        <v>70</v>
      </c>
      <c r="C5107" s="17" t="s">
        <v>71</v>
      </c>
      <c r="D5107" t="s">
        <v>14670</v>
      </c>
      <c r="F5107" t="s">
        <v>14678</v>
      </c>
      <c r="K5107" s="18">
        <f>62811379972</f>
        <v>62811379972</v>
      </c>
      <c r="N5107" s="17" t="s">
        <v>77</v>
      </c>
      <c r="V5107" s="18">
        <f>62811379972</f>
        <v>62811379972</v>
      </c>
    </row>
    <row r="5108" ht="15" customHeight="1" spans="1:22" x14ac:dyDescent="0.25">
      <c r="A5108" s="17" t="s">
        <v>14679</v>
      </c>
      <c r="B5108" s="17" t="s">
        <v>70</v>
      </c>
      <c r="C5108" s="17" t="s">
        <v>71</v>
      </c>
      <c r="D5108" t="s">
        <v>14680</v>
      </c>
      <c r="F5108" t="s">
        <v>1779</v>
      </c>
      <c r="K5108" s="18">
        <f>62811938872</f>
        <v>62811938872</v>
      </c>
      <c r="N5108" s="17" t="s">
        <v>77</v>
      </c>
      <c r="V5108" s="18">
        <f>62811938872</f>
        <v>62811938872</v>
      </c>
    </row>
    <row r="5109" ht="15" customHeight="1" spans="1:22" x14ac:dyDescent="0.25">
      <c r="A5109" s="17" t="s">
        <v>14681</v>
      </c>
      <c r="B5109" s="17" t="s">
        <v>70</v>
      </c>
      <c r="C5109" s="17" t="s">
        <v>71</v>
      </c>
      <c r="D5109" t="s">
        <v>14680</v>
      </c>
      <c r="F5109" t="s">
        <v>14682</v>
      </c>
      <c r="K5109" s="18">
        <f>6281319593749</f>
        <v>6281319593749</v>
      </c>
      <c r="N5109" s="17" t="s">
        <v>81</v>
      </c>
      <c r="V5109" s="18">
        <f>6281319593749</f>
        <v>6281319593749</v>
      </c>
    </row>
    <row r="5110" ht="15" customHeight="1" spans="1:25" x14ac:dyDescent="0.25">
      <c r="A5110" s="17" t="s">
        <v>14683</v>
      </c>
      <c r="B5110" s="17" t="s">
        <v>70</v>
      </c>
      <c r="C5110" s="17" t="s">
        <v>71</v>
      </c>
      <c r="D5110" t="s">
        <v>14684</v>
      </c>
      <c r="F5110" t="s">
        <v>11221</v>
      </c>
      <c r="K5110" s="18">
        <f>6281213907373</f>
        <v>6281213907373</v>
      </c>
      <c r="N5110" s="17" t="s">
        <v>77</v>
      </c>
      <c r="U5110" s="17"/>
      <c r="V5110" s="18">
        <f>6281213907373</f>
        <v>6281213907373</v>
      </c>
      <c r="W5110" t="s">
        <v>14685</v>
      </c>
      <c r="Y5110" s="17" t="s">
        <v>378</v>
      </c>
    </row>
    <row r="5111" ht="15" customHeight="1" spans="1:22" x14ac:dyDescent="0.25">
      <c r="A5111" s="17" t="s">
        <v>14686</v>
      </c>
      <c r="B5111" s="17" t="s">
        <v>70</v>
      </c>
      <c r="C5111" s="17" t="s">
        <v>71</v>
      </c>
      <c r="D5111" t="s">
        <v>14643</v>
      </c>
      <c r="F5111" t="s">
        <v>14643</v>
      </c>
      <c r="K5111" s="18">
        <f>62816761680</f>
        <v>62816761680</v>
      </c>
      <c r="N5111" s="17" t="s">
        <v>81</v>
      </c>
      <c r="V5111" s="18">
        <f>62816761680</f>
        <v>62816761680</v>
      </c>
    </row>
    <row r="5112" ht="15" customHeight="1" spans="1:22" x14ac:dyDescent="0.25">
      <c r="A5112" s="17" t="s">
        <v>14687</v>
      </c>
      <c r="B5112" s="17" t="s">
        <v>70</v>
      </c>
      <c r="C5112" s="17" t="s">
        <v>71</v>
      </c>
      <c r="D5112" t="s">
        <v>14643</v>
      </c>
      <c r="F5112" t="s">
        <v>14643</v>
      </c>
      <c r="K5112" s="18">
        <f>6281288883278</f>
        <v>6281288883278</v>
      </c>
      <c r="N5112" s="17" t="s">
        <v>77</v>
      </c>
      <c r="V5112" s="18">
        <f>6281288883278</f>
        <v>6281288883278</v>
      </c>
    </row>
    <row r="5113" ht="15" customHeight="1" spans="1:23" x14ac:dyDescent="0.25">
      <c r="A5113" s="17" t="s">
        <v>14688</v>
      </c>
      <c r="B5113" s="17" t="s">
        <v>70</v>
      </c>
      <c r="C5113" s="17" t="s">
        <v>71</v>
      </c>
      <c r="D5113" t="s">
        <v>14643</v>
      </c>
      <c r="F5113" t="s">
        <v>875</v>
      </c>
      <c r="J5113" s="17" t="s">
        <v>14689</v>
      </c>
      <c r="K5113" s="18">
        <f>628988211268</f>
        <v>628988211268</v>
      </c>
      <c r="N5113" s="17" t="s">
        <v>81</v>
      </c>
      <c r="U5113" s="17"/>
      <c r="V5113" s="18">
        <f>628988211268</f>
        <v>628988211268</v>
      </c>
      <c r="W5113" t="s">
        <v>14690</v>
      </c>
    </row>
    <row r="5114" ht="15" customHeight="1" spans="1:22" x14ac:dyDescent="0.25">
      <c r="A5114" s="17" t="s">
        <v>14691</v>
      </c>
      <c r="B5114" s="17" t="s">
        <v>70</v>
      </c>
      <c r="C5114" s="17" t="s">
        <v>71</v>
      </c>
      <c r="D5114" t="s">
        <v>14643</v>
      </c>
      <c r="F5114" t="s">
        <v>2159</v>
      </c>
      <c r="J5114" s="17" t="s">
        <v>14692</v>
      </c>
      <c r="K5114" s="18">
        <f>6281281118078</f>
        <v>6281281118078</v>
      </c>
      <c r="N5114" s="17" t="s">
        <v>77</v>
      </c>
      <c r="V5114" s="18">
        <f>6281281118078</f>
        <v>6281281118078</v>
      </c>
    </row>
    <row r="5115" ht="15" customHeight="1" spans="1:22" x14ac:dyDescent="0.25">
      <c r="A5115" s="17" t="s">
        <v>14693</v>
      </c>
      <c r="B5115" s="17" t="s">
        <v>70</v>
      </c>
      <c r="C5115" s="17" t="s">
        <v>71</v>
      </c>
      <c r="D5115" t="s">
        <v>14643</v>
      </c>
      <c r="F5115" t="s">
        <v>7599</v>
      </c>
      <c r="K5115" s="18">
        <f>6281280801800</f>
        <v>6281280801800</v>
      </c>
      <c r="N5115" s="17" t="s">
        <v>77</v>
      </c>
      <c r="V5115" s="18">
        <f>6281280801800</f>
        <v>6281280801800</v>
      </c>
    </row>
    <row r="5116" ht="15" customHeight="1" spans="1:25" x14ac:dyDescent="0.25">
      <c r="A5116" s="17" t="s">
        <v>14694</v>
      </c>
      <c r="B5116" s="17" t="s">
        <v>70</v>
      </c>
      <c r="C5116" s="17" t="s">
        <v>71</v>
      </c>
      <c r="D5116" t="s">
        <v>14643</v>
      </c>
      <c r="F5116" t="s">
        <v>14695</v>
      </c>
      <c r="K5116" s="18">
        <f>62816900997</f>
        <v>62816900997</v>
      </c>
      <c r="N5116" s="17" t="s">
        <v>81</v>
      </c>
      <c r="U5116" s="17"/>
      <c r="V5116" s="18">
        <f>62816900997</f>
        <v>62816900997</v>
      </c>
      <c r="W5116" t="s">
        <v>14696</v>
      </c>
      <c r="Y5116" s="17" t="s">
        <v>96</v>
      </c>
    </row>
    <row r="5117" ht="15" customHeight="1" spans="1:22" x14ac:dyDescent="0.25">
      <c r="A5117" s="17" t="s">
        <v>14697</v>
      </c>
      <c r="B5117" s="17" t="s">
        <v>70</v>
      </c>
      <c r="C5117" s="17" t="s">
        <v>71</v>
      </c>
      <c r="D5117" t="s">
        <v>14643</v>
      </c>
      <c r="F5117" t="s">
        <v>3645</v>
      </c>
      <c r="K5117" s="18">
        <f>6281510088720</f>
        <v>6281510088720</v>
      </c>
      <c r="N5117" s="17" t="s">
        <v>77</v>
      </c>
      <c r="V5117" s="18">
        <f>6281510088720</f>
        <v>6281510088720</v>
      </c>
    </row>
    <row r="5118" ht="15" customHeight="1" spans="1:22" x14ac:dyDescent="0.25">
      <c r="A5118" s="17" t="s">
        <v>14698</v>
      </c>
      <c r="B5118" s="17" t="s">
        <v>70</v>
      </c>
      <c r="C5118" s="17" t="s">
        <v>71</v>
      </c>
      <c r="D5118" t="s">
        <v>14643</v>
      </c>
      <c r="F5118" t="s">
        <v>1385</v>
      </c>
      <c r="K5118" s="18">
        <f>6281808366788</f>
        <v>6281808366788</v>
      </c>
      <c r="N5118" s="17" t="s">
        <v>74</v>
      </c>
      <c r="V5118" s="18">
        <f>6281808366788</f>
        <v>6281808366788</v>
      </c>
    </row>
    <row r="5119" ht="15" customHeight="1" spans="1:28" x14ac:dyDescent="0.25">
      <c r="A5119" s="17" t="s">
        <v>14699</v>
      </c>
      <c r="B5119" s="17" t="s">
        <v>70</v>
      </c>
      <c r="C5119" s="17" t="s">
        <v>71</v>
      </c>
      <c r="D5119" t="s">
        <v>14643</v>
      </c>
      <c r="F5119" t="s">
        <v>14700</v>
      </c>
      <c r="J5119" t="s">
        <v>115</v>
      </c>
      <c r="K5119" s="18" t="s">
        <v>14701</v>
      </c>
      <c r="N5119" s="17" t="s">
        <v>81</v>
      </c>
      <c r="O5119" t="s">
        <v>261</v>
      </c>
      <c r="V5119" s="18" t="s">
        <v>14701</v>
      </c>
      <c r="Y5119" t="s">
        <v>190</v>
      </c>
      <c r="AA5119" t="s">
        <v>118</v>
      </c>
      <c r="AB5119" t="s">
        <v>119</v>
      </c>
    </row>
    <row r="5120" ht="15" customHeight="1" spans="1:22" x14ac:dyDescent="0.25">
      <c r="A5120" s="17" t="s">
        <v>14702</v>
      </c>
      <c r="B5120" s="17" t="s">
        <v>70</v>
      </c>
      <c r="C5120" s="17" t="s">
        <v>71</v>
      </c>
      <c r="D5120" t="s">
        <v>14643</v>
      </c>
      <c r="F5120" t="s">
        <v>6671</v>
      </c>
      <c r="K5120" s="18">
        <f>6285710385887</f>
        <v>6285710385887</v>
      </c>
      <c r="N5120" s="17" t="s">
        <v>81</v>
      </c>
      <c r="V5120" s="18">
        <f>6285710385887</f>
        <v>6285710385887</v>
      </c>
    </row>
    <row r="5121" ht="15" customHeight="1" spans="1:28" x14ac:dyDescent="0.25">
      <c r="A5121" s="17" t="s">
        <v>14703</v>
      </c>
      <c r="B5121" s="17" t="s">
        <v>70</v>
      </c>
      <c r="C5121" s="17" t="s">
        <v>71</v>
      </c>
      <c r="D5121" t="s">
        <v>14704</v>
      </c>
      <c r="F5121" t="s">
        <v>14705</v>
      </c>
      <c r="J5121" t="s">
        <v>115</v>
      </c>
      <c r="K5121" s="18" t="s">
        <v>14706</v>
      </c>
      <c r="N5121" s="17" t="s">
        <v>74</v>
      </c>
      <c r="O5121" t="s">
        <v>117</v>
      </c>
      <c r="V5121" s="18" t="s">
        <v>14706</v>
      </c>
      <c r="Y5121" t="s">
        <v>90</v>
      </c>
      <c r="AA5121" t="s">
        <v>118</v>
      </c>
      <c r="AB5121" t="s">
        <v>119</v>
      </c>
    </row>
    <row r="5122" ht="15" customHeight="1" spans="1:27" x14ac:dyDescent="0.25">
      <c r="A5122" s="17" t="s">
        <v>14707</v>
      </c>
      <c r="B5122" s="17" t="s">
        <v>70</v>
      </c>
      <c r="C5122" s="17" t="s">
        <v>71</v>
      </c>
      <c r="D5122" t="s">
        <v>14643</v>
      </c>
      <c r="F5122" t="s">
        <v>14708</v>
      </c>
      <c r="K5122" s="18">
        <f>62816987177</f>
        <v>62816987177</v>
      </c>
      <c r="N5122" s="17" t="s">
        <v>74</v>
      </c>
      <c r="U5122" s="17"/>
      <c r="V5122" s="18">
        <f>62816987177</f>
        <v>62816987177</v>
      </c>
      <c r="W5122" t="s">
        <v>14709</v>
      </c>
      <c r="Y5122" s="17" t="s">
        <v>96</v>
      </c>
      <c r="AA5122" s="17" t="s">
        <v>97</v>
      </c>
    </row>
    <row r="5123" ht="15" customHeight="1" spans="1:22" x14ac:dyDescent="0.25">
      <c r="A5123" s="17" t="s">
        <v>14710</v>
      </c>
      <c r="B5123" s="17" t="s">
        <v>70</v>
      </c>
      <c r="C5123" s="17" t="s">
        <v>71</v>
      </c>
      <c r="D5123" t="s">
        <v>14643</v>
      </c>
      <c r="F5123" t="s">
        <v>14711</v>
      </c>
      <c r="K5123" s="18">
        <f>62817711776</f>
        <v>62817711776</v>
      </c>
      <c r="N5123" s="17" t="s">
        <v>81</v>
      </c>
      <c r="V5123" s="18">
        <f>62817711776</f>
        <v>62817711776</v>
      </c>
    </row>
    <row r="5124" ht="15" customHeight="1" spans="1:22" x14ac:dyDescent="0.25">
      <c r="A5124" s="17" t="s">
        <v>14712</v>
      </c>
      <c r="B5124" s="17" t="s">
        <v>70</v>
      </c>
      <c r="C5124" s="17" t="s">
        <v>71</v>
      </c>
      <c r="D5124" t="s">
        <v>14713</v>
      </c>
      <c r="F5124" t="s">
        <v>14714</v>
      </c>
      <c r="J5124" s="17" t="s">
        <v>14715</v>
      </c>
      <c r="K5124" s="18">
        <f>628118121899</f>
        <v>628118121899</v>
      </c>
      <c r="N5124" s="17" t="s">
        <v>77</v>
      </c>
      <c r="V5124" s="18">
        <f>628118121899</f>
        <v>628118121899</v>
      </c>
    </row>
    <row r="5125" ht="15" customHeight="1" spans="1:22" x14ac:dyDescent="0.25">
      <c r="A5125" s="17" t="s">
        <v>14716</v>
      </c>
      <c r="B5125" s="17" t="s">
        <v>70</v>
      </c>
      <c r="C5125" s="17" t="s">
        <v>71</v>
      </c>
      <c r="D5125" t="s">
        <v>14717</v>
      </c>
      <c r="F5125" t="s">
        <v>14717</v>
      </c>
      <c r="K5125" s="18">
        <f>62811771900</f>
        <v>62811771900</v>
      </c>
      <c r="N5125" s="17" t="s">
        <v>77</v>
      </c>
      <c r="V5125" s="18">
        <f>62811771900</f>
        <v>62811771900</v>
      </c>
    </row>
    <row r="5126" ht="15" customHeight="1" spans="1:23" x14ac:dyDescent="0.25">
      <c r="A5126" s="17" t="s">
        <v>14718</v>
      </c>
      <c r="B5126" s="17" t="s">
        <v>70</v>
      </c>
      <c r="C5126" s="17" t="s">
        <v>71</v>
      </c>
      <c r="D5126" t="s">
        <v>14717</v>
      </c>
      <c r="F5126" t="s">
        <v>14719</v>
      </c>
      <c r="K5126" s="18">
        <f>62817421807</f>
        <v>62817421807</v>
      </c>
      <c r="N5126" s="17" t="s">
        <v>81</v>
      </c>
      <c r="U5126" s="17"/>
      <c r="V5126" s="18">
        <f>62817421807</f>
        <v>62817421807</v>
      </c>
      <c r="W5126" t="s">
        <v>14720</v>
      </c>
    </row>
    <row r="5127" ht="15" customHeight="1" spans="1:23" x14ac:dyDescent="0.25">
      <c r="A5127" s="17" t="s">
        <v>14721</v>
      </c>
      <c r="B5127" s="17" t="s">
        <v>70</v>
      </c>
      <c r="C5127" s="17" t="s">
        <v>71</v>
      </c>
      <c r="D5127" t="s">
        <v>14722</v>
      </c>
      <c r="F5127" t="s">
        <v>4201</v>
      </c>
      <c r="K5127" s="18">
        <f>62811877782</f>
        <v>62811877782</v>
      </c>
      <c r="N5127" s="17" t="s">
        <v>81</v>
      </c>
      <c r="U5127" s="17"/>
      <c r="V5127" s="18">
        <f>62811877782</f>
        <v>62811877782</v>
      </c>
      <c r="W5127" t="s">
        <v>14723</v>
      </c>
    </row>
    <row r="5128" ht="15" customHeight="1" spans="1:28" x14ac:dyDescent="0.25">
      <c r="A5128" s="17" t="s">
        <v>14724</v>
      </c>
      <c r="B5128" s="17" t="s">
        <v>70</v>
      </c>
      <c r="C5128" s="17" t="s">
        <v>71</v>
      </c>
      <c r="D5128" t="s">
        <v>14722</v>
      </c>
      <c r="F5128" t="s">
        <v>3086</v>
      </c>
      <c r="J5128" t="s">
        <v>115</v>
      </c>
      <c r="K5128" s="18" t="s">
        <v>14725</v>
      </c>
      <c r="N5128" s="17" t="s">
        <v>77</v>
      </c>
      <c r="O5128" t="s">
        <v>117</v>
      </c>
      <c r="V5128" s="18" t="s">
        <v>14725</v>
      </c>
      <c r="Y5128" t="s">
        <v>1084</v>
      </c>
      <c r="AA5128" t="s">
        <v>3146</v>
      </c>
      <c r="AB5128" t="s">
        <v>119</v>
      </c>
    </row>
    <row r="5129" ht="15" customHeight="1" spans="1:23" x14ac:dyDescent="0.25">
      <c r="A5129" s="17" t="s">
        <v>14726</v>
      </c>
      <c r="B5129" s="17" t="s">
        <v>70</v>
      </c>
      <c r="C5129" s="17" t="s">
        <v>71</v>
      </c>
      <c r="D5129" t="s">
        <v>14722</v>
      </c>
      <c r="F5129" t="s">
        <v>14727</v>
      </c>
      <c r="K5129" s="18">
        <f>6281380757579</f>
        <v>6281380757579</v>
      </c>
      <c r="N5129" s="17" t="s">
        <v>81</v>
      </c>
      <c r="U5129" s="17"/>
      <c r="V5129" s="18">
        <f>6281380757579</f>
        <v>6281380757579</v>
      </c>
      <c r="W5129" t="s">
        <v>14728</v>
      </c>
    </row>
    <row r="5130" ht="15" customHeight="1" spans="1:28" x14ac:dyDescent="0.25">
      <c r="A5130" s="17" t="s">
        <v>14729</v>
      </c>
      <c r="B5130" s="17" t="s">
        <v>70</v>
      </c>
      <c r="C5130" s="17" t="s">
        <v>71</v>
      </c>
      <c r="D5130" t="s">
        <v>14722</v>
      </c>
      <c r="F5130" t="s">
        <v>14730</v>
      </c>
      <c r="J5130" t="s">
        <v>115</v>
      </c>
      <c r="K5130" s="18" t="s">
        <v>14731</v>
      </c>
      <c r="N5130" s="17" t="s">
        <v>77</v>
      </c>
      <c r="O5130" t="s">
        <v>145</v>
      </c>
      <c r="V5130" s="18" t="s">
        <v>14731</v>
      </c>
      <c r="Y5130" t="s">
        <v>190</v>
      </c>
      <c r="AA5130" t="s">
        <v>118</v>
      </c>
      <c r="AB5130" t="s">
        <v>119</v>
      </c>
    </row>
    <row r="5131" ht="15" customHeight="1" spans="1:25" x14ac:dyDescent="0.25">
      <c r="A5131" s="17" t="s">
        <v>14732</v>
      </c>
      <c r="B5131" s="17" t="s">
        <v>70</v>
      </c>
      <c r="C5131" s="17" t="s">
        <v>71</v>
      </c>
      <c r="D5131" t="s">
        <v>14722</v>
      </c>
      <c r="F5131" t="s">
        <v>629</v>
      </c>
      <c r="K5131" s="18">
        <f>628557801100</f>
        <v>628557801100</v>
      </c>
      <c r="N5131" s="17" t="s">
        <v>77</v>
      </c>
      <c r="U5131" s="17"/>
      <c r="V5131" s="18">
        <f>628557801100</f>
        <v>628557801100</v>
      </c>
      <c r="W5131" t="s">
        <v>14733</v>
      </c>
      <c r="Y5131" s="17" t="s">
        <v>14734</v>
      </c>
    </row>
    <row r="5132" ht="15" customHeight="1" spans="1:27" x14ac:dyDescent="0.25">
      <c r="A5132" s="17" t="s">
        <v>14735</v>
      </c>
      <c r="B5132" s="17" t="s">
        <v>70</v>
      </c>
      <c r="C5132" s="17" t="s">
        <v>71</v>
      </c>
      <c r="D5132" t="s">
        <v>14722</v>
      </c>
      <c r="F5132" t="s">
        <v>9682</v>
      </c>
      <c r="K5132" s="18">
        <f>62818800093</f>
        <v>62818800093</v>
      </c>
      <c r="N5132" s="17" t="s">
        <v>77</v>
      </c>
      <c r="U5132" s="17"/>
      <c r="V5132" s="18">
        <f>62818800093</f>
        <v>62818800093</v>
      </c>
      <c r="W5132" t="s">
        <v>14736</v>
      </c>
      <c r="Y5132" s="17" t="s">
        <v>96</v>
      </c>
      <c r="AA5132" s="17" t="s">
        <v>14737</v>
      </c>
    </row>
    <row r="5133" ht="15" customHeight="1" spans="1:22" x14ac:dyDescent="0.25">
      <c r="A5133" s="17" t="s">
        <v>14738</v>
      </c>
      <c r="B5133" s="17" t="s">
        <v>70</v>
      </c>
      <c r="C5133" s="17" t="s">
        <v>71</v>
      </c>
      <c r="D5133" t="s">
        <v>14739</v>
      </c>
      <c r="F5133" t="s">
        <v>14740</v>
      </c>
      <c r="K5133" s="18">
        <f>62811316244</f>
        <v>62811316244</v>
      </c>
      <c r="N5133" s="17" t="s">
        <v>77</v>
      </c>
      <c r="V5133" s="18">
        <f>62811316244</f>
        <v>62811316244</v>
      </c>
    </row>
    <row r="5134" ht="15" customHeight="1" spans="1:22" x14ac:dyDescent="0.25">
      <c r="A5134" s="17" t="s">
        <v>14741</v>
      </c>
      <c r="B5134" s="17" t="s">
        <v>70</v>
      </c>
      <c r="C5134" s="17" t="s">
        <v>71</v>
      </c>
      <c r="D5134" t="s">
        <v>14742</v>
      </c>
      <c r="F5134" t="s">
        <v>8374</v>
      </c>
      <c r="K5134" s="18">
        <f>6287888033311</f>
        <v>6287888033311</v>
      </c>
      <c r="N5134" s="17" t="s">
        <v>81</v>
      </c>
      <c r="V5134" s="18">
        <f>6287888033311</f>
        <v>6287888033311</v>
      </c>
    </row>
    <row r="5135" ht="15" customHeight="1" spans="1:28" x14ac:dyDescent="0.25">
      <c r="A5135" s="17" t="s">
        <v>14743</v>
      </c>
      <c r="B5135" s="17" t="s">
        <v>70</v>
      </c>
      <c r="C5135" s="17" t="s">
        <v>71</v>
      </c>
      <c r="D5135" t="s">
        <v>14744</v>
      </c>
      <c r="F5135" t="s">
        <v>14745</v>
      </c>
      <c r="J5135" s="17" t="s">
        <v>14746</v>
      </c>
      <c r="K5135" s="18" t="s">
        <v>14747</v>
      </c>
      <c r="N5135" s="17" t="s">
        <v>77</v>
      </c>
      <c r="O5135" t="s">
        <v>145</v>
      </c>
      <c r="V5135" s="18" t="s">
        <v>14747</v>
      </c>
      <c r="Y5135" t="s">
        <v>115</v>
      </c>
      <c r="AA5135" t="s">
        <v>115</v>
      </c>
      <c r="AB5135" t="s">
        <v>451</v>
      </c>
    </row>
    <row r="5136" ht="15" customHeight="1" spans="1:22" x14ac:dyDescent="0.25">
      <c r="A5136" s="17" t="s">
        <v>14748</v>
      </c>
      <c r="B5136" s="17" t="s">
        <v>70</v>
      </c>
      <c r="C5136" s="17" t="s">
        <v>71</v>
      </c>
      <c r="D5136" t="s">
        <v>14749</v>
      </c>
      <c r="F5136" t="s">
        <v>669</v>
      </c>
      <c r="K5136" s="18">
        <f>6287888885792</f>
        <v>6287888885792</v>
      </c>
      <c r="N5136" s="17" t="s">
        <v>81</v>
      </c>
      <c r="V5136" s="18">
        <f>6287888885792</f>
        <v>6287888885792</v>
      </c>
    </row>
    <row r="5137" ht="15" customHeight="1" spans="1:22" x14ac:dyDescent="0.25">
      <c r="A5137" s="17" t="s">
        <v>14750</v>
      </c>
      <c r="B5137" s="17" t="s">
        <v>70</v>
      </c>
      <c r="C5137" s="17" t="s">
        <v>71</v>
      </c>
      <c r="D5137" t="s">
        <v>9081</v>
      </c>
      <c r="F5137" t="s">
        <v>9081</v>
      </c>
      <c r="K5137" s="18">
        <f>6287880080031</f>
        <v>6287880080031</v>
      </c>
      <c r="N5137" s="17" t="s">
        <v>81</v>
      </c>
      <c r="V5137" s="18">
        <f>6287880080031</f>
        <v>6287880080031</v>
      </c>
    </row>
    <row r="5138" ht="15" customHeight="1" spans="1:22" x14ac:dyDescent="0.25">
      <c r="A5138" s="17" t="s">
        <v>14751</v>
      </c>
      <c r="B5138" s="17" t="s">
        <v>70</v>
      </c>
      <c r="C5138" s="17" t="s">
        <v>71</v>
      </c>
      <c r="D5138" t="s">
        <v>9081</v>
      </c>
      <c r="F5138" t="s">
        <v>9081</v>
      </c>
      <c r="J5138" s="17" t="s">
        <v>14752</v>
      </c>
      <c r="K5138" s="18">
        <f>628116302089</f>
        <v>628116302089</v>
      </c>
      <c r="N5138" s="17" t="s">
        <v>77</v>
      </c>
      <c r="V5138" s="18">
        <f>628116302089</f>
        <v>628116302089</v>
      </c>
    </row>
    <row r="5139" ht="15" customHeight="1" spans="1:22" x14ac:dyDescent="0.25">
      <c r="A5139" s="17" t="s">
        <v>14753</v>
      </c>
      <c r="B5139" s="17" t="s">
        <v>70</v>
      </c>
      <c r="C5139" s="17" t="s">
        <v>71</v>
      </c>
      <c r="D5139" t="s">
        <v>9081</v>
      </c>
      <c r="F5139" t="s">
        <v>9081</v>
      </c>
      <c r="K5139" s="18">
        <f>628161376100</f>
        <v>628161376100</v>
      </c>
      <c r="N5139" s="17" t="s">
        <v>77</v>
      </c>
      <c r="V5139" s="18">
        <f>628161376100</f>
        <v>628161376100</v>
      </c>
    </row>
    <row r="5140" ht="15" customHeight="1" spans="1:25" x14ac:dyDescent="0.25">
      <c r="A5140" s="17" t="s">
        <v>14754</v>
      </c>
      <c r="B5140" s="17" t="s">
        <v>70</v>
      </c>
      <c r="C5140" s="17" t="s">
        <v>71</v>
      </c>
      <c r="D5140" t="s">
        <v>9081</v>
      </c>
      <c r="F5140" t="s">
        <v>618</v>
      </c>
      <c r="J5140" s="17" t="s">
        <v>14755</v>
      </c>
      <c r="K5140" s="18">
        <f>628112256888</f>
        <v>628112256888</v>
      </c>
      <c r="N5140" s="17" t="s">
        <v>77</v>
      </c>
      <c r="U5140" s="17"/>
      <c r="V5140" s="18">
        <f>628112256888</f>
        <v>628112256888</v>
      </c>
      <c r="W5140" t="s">
        <v>14756</v>
      </c>
      <c r="Y5140" s="17" t="s">
        <v>500</v>
      </c>
    </row>
    <row r="5141" ht="15" customHeight="1" spans="1:25" x14ac:dyDescent="0.25">
      <c r="A5141" s="17" t="s">
        <v>14757</v>
      </c>
      <c r="B5141" s="17" t="s">
        <v>70</v>
      </c>
      <c r="C5141" s="17" t="s">
        <v>71</v>
      </c>
      <c r="D5141" t="s">
        <v>9081</v>
      </c>
      <c r="F5141" t="s">
        <v>282</v>
      </c>
      <c r="K5141" s="18">
        <f>62816602333</f>
        <v>62816602333</v>
      </c>
      <c r="N5141" s="17" t="s">
        <v>77</v>
      </c>
      <c r="U5141" s="17"/>
      <c r="V5141" s="18">
        <f>62816602333</f>
        <v>62816602333</v>
      </c>
      <c r="W5141" t="s">
        <v>14758</v>
      </c>
      <c r="Y5141" s="17" t="s">
        <v>500</v>
      </c>
    </row>
    <row r="5142" ht="15" customHeight="1" spans="1:22" x14ac:dyDescent="0.25">
      <c r="A5142" s="17" t="s">
        <v>14759</v>
      </c>
      <c r="B5142" s="17" t="s">
        <v>70</v>
      </c>
      <c r="C5142" s="17" t="s">
        <v>71</v>
      </c>
      <c r="D5142" t="s">
        <v>9081</v>
      </c>
      <c r="F5142" t="s">
        <v>14760</v>
      </c>
      <c r="K5142" s="18">
        <f>6281213003090</f>
        <v>6281213003090</v>
      </c>
      <c r="N5142" s="17" t="s">
        <v>77</v>
      </c>
      <c r="V5142" s="18">
        <f>6281213003090</f>
        <v>6281213003090</v>
      </c>
    </row>
    <row r="5143" ht="15" customHeight="1" spans="1:22" x14ac:dyDescent="0.25">
      <c r="A5143" s="17" t="s">
        <v>14761</v>
      </c>
      <c r="B5143" s="17" t="s">
        <v>70</v>
      </c>
      <c r="C5143" s="17" t="s">
        <v>71</v>
      </c>
      <c r="D5143" t="s">
        <v>14762</v>
      </c>
      <c r="F5143" t="s">
        <v>14763</v>
      </c>
      <c r="K5143" s="18">
        <f>62816900648</f>
        <v>62816900648</v>
      </c>
      <c r="N5143" s="17" t="s">
        <v>77</v>
      </c>
      <c r="V5143" s="18">
        <f>62816900648</f>
        <v>62816900648</v>
      </c>
    </row>
    <row r="5144" ht="15" customHeight="1" spans="1:22" x14ac:dyDescent="0.25">
      <c r="A5144" s="17" t="s">
        <v>14764</v>
      </c>
      <c r="B5144" s="17" t="s">
        <v>70</v>
      </c>
      <c r="C5144" s="17" t="s">
        <v>71</v>
      </c>
      <c r="D5144" t="s">
        <v>14765</v>
      </c>
      <c r="F5144" t="s">
        <v>14766</v>
      </c>
      <c r="J5144" s="17" t="s">
        <v>14767</v>
      </c>
      <c r="K5144" s="18">
        <f>628122958373</f>
        <v>628122958373</v>
      </c>
      <c r="N5144" s="17" t="s">
        <v>77</v>
      </c>
      <c r="V5144" s="18">
        <f>628122958373</f>
        <v>628122958373</v>
      </c>
    </row>
    <row r="5145" ht="15" customHeight="1" spans="1:22" x14ac:dyDescent="0.25">
      <c r="A5145" s="17" t="s">
        <v>14768</v>
      </c>
      <c r="B5145" s="17" t="s">
        <v>70</v>
      </c>
      <c r="C5145" s="17" t="s">
        <v>71</v>
      </c>
      <c r="D5145" t="s">
        <v>14769</v>
      </c>
      <c r="F5145" t="s">
        <v>14769</v>
      </c>
      <c r="K5145" s="18">
        <f>628161948290</f>
        <v>628161948290</v>
      </c>
      <c r="N5145" s="17" t="s">
        <v>77</v>
      </c>
      <c r="V5145" s="18">
        <f>628161948290</f>
        <v>628161948290</v>
      </c>
    </row>
    <row r="5146" ht="15" customHeight="1" spans="1:22" x14ac:dyDescent="0.25">
      <c r="A5146" s="17" t="s">
        <v>14770</v>
      </c>
      <c r="B5146" s="17" t="s">
        <v>70</v>
      </c>
      <c r="C5146" s="17" t="s">
        <v>71</v>
      </c>
      <c r="D5146" t="s">
        <v>14771</v>
      </c>
      <c r="F5146" t="s">
        <v>14771</v>
      </c>
      <c r="K5146" s="18">
        <f>62816706407</f>
        <v>62816706407</v>
      </c>
      <c r="N5146" s="17" t="s">
        <v>74</v>
      </c>
      <c r="V5146" s="18">
        <f>62816706407</f>
        <v>62816706407</v>
      </c>
    </row>
    <row r="5147" ht="15" customHeight="1" spans="1:22" x14ac:dyDescent="0.25">
      <c r="A5147" s="17" t="s">
        <v>14772</v>
      </c>
      <c r="B5147" s="17" t="s">
        <v>70</v>
      </c>
      <c r="C5147" s="17" t="s">
        <v>71</v>
      </c>
      <c r="D5147" t="s">
        <v>14773</v>
      </c>
      <c r="F5147" t="s">
        <v>14774</v>
      </c>
      <c r="K5147" s="18">
        <f>628114202433</f>
        <v>628114202433</v>
      </c>
      <c r="N5147" s="17" t="s">
        <v>81</v>
      </c>
      <c r="V5147" s="18">
        <f>628114202433</f>
        <v>628114202433</v>
      </c>
    </row>
    <row r="5148" ht="15" customHeight="1" spans="1:22" x14ac:dyDescent="0.25">
      <c r="A5148" s="17" t="s">
        <v>14775</v>
      </c>
      <c r="B5148" s="17" t="s">
        <v>70</v>
      </c>
      <c r="C5148" s="17" t="s">
        <v>71</v>
      </c>
      <c r="D5148" t="s">
        <v>14776</v>
      </c>
      <c r="F5148" t="s">
        <v>14777</v>
      </c>
      <c r="K5148" s="18">
        <f>6282360698333</f>
        <v>6282360698333</v>
      </c>
      <c r="N5148" s="17" t="s">
        <v>74</v>
      </c>
      <c r="V5148" s="18">
        <f>6282360698333</f>
        <v>6282360698333</v>
      </c>
    </row>
    <row r="5149" ht="15" customHeight="1" spans="1:25" x14ac:dyDescent="0.25">
      <c r="A5149" s="17" t="s">
        <v>14778</v>
      </c>
      <c r="B5149" s="17" t="s">
        <v>70</v>
      </c>
      <c r="C5149" s="17" t="s">
        <v>71</v>
      </c>
      <c r="D5149" t="s">
        <v>14779</v>
      </c>
      <c r="F5149" t="s">
        <v>14779</v>
      </c>
      <c r="K5149" s="18" t="s">
        <v>14780</v>
      </c>
      <c r="N5149" s="17" t="s">
        <v>77</v>
      </c>
      <c r="U5149" s="17"/>
      <c r="V5149" s="18" t="s">
        <v>14780</v>
      </c>
      <c r="W5149" t="s">
        <v>14781</v>
      </c>
      <c r="Y5149" s="17" t="s">
        <v>96</v>
      </c>
    </row>
    <row r="5150" ht="15" customHeight="1" spans="1:22" x14ac:dyDescent="0.25">
      <c r="A5150" s="17" t="s">
        <v>14782</v>
      </c>
      <c r="B5150" s="17" t="s">
        <v>70</v>
      </c>
      <c r="C5150" s="17" t="s">
        <v>71</v>
      </c>
      <c r="D5150" t="s">
        <v>14783</v>
      </c>
      <c r="F5150" t="s">
        <v>14784</v>
      </c>
      <c r="K5150" s="18">
        <f>6281292086337</f>
        <v>6281292086337</v>
      </c>
      <c r="N5150" s="17" t="s">
        <v>81</v>
      </c>
      <c r="V5150" s="18">
        <f>6281292086337</f>
        <v>6281292086337</v>
      </c>
    </row>
    <row r="5151" ht="15" customHeight="1" spans="1:22" x14ac:dyDescent="0.25">
      <c r="A5151" s="17" t="s">
        <v>14785</v>
      </c>
      <c r="B5151" s="17" t="s">
        <v>70</v>
      </c>
      <c r="C5151" s="17" t="s">
        <v>71</v>
      </c>
      <c r="D5151" t="s">
        <v>14379</v>
      </c>
      <c r="F5151" t="s">
        <v>14379</v>
      </c>
      <c r="K5151" s="18">
        <f>6281959738</f>
        <v>6281959738</v>
      </c>
      <c r="N5151" s="17" t="s">
        <v>81</v>
      </c>
      <c r="V5151" s="18">
        <f>6281959738</f>
        <v>6281959738</v>
      </c>
    </row>
    <row r="5152" ht="15" customHeight="1" spans="1:22" x14ac:dyDescent="0.25">
      <c r="A5152" s="17" t="s">
        <v>14786</v>
      </c>
      <c r="B5152" s="17" t="s">
        <v>70</v>
      </c>
      <c r="C5152" s="17" t="s">
        <v>71</v>
      </c>
      <c r="D5152" t="s">
        <v>14379</v>
      </c>
      <c r="F5152" t="s">
        <v>14787</v>
      </c>
      <c r="K5152" s="18">
        <f>6281310142226</f>
        <v>6281310142226</v>
      </c>
      <c r="N5152" s="17" t="s">
        <v>74</v>
      </c>
      <c r="V5152" s="18">
        <f>6281310142226</f>
        <v>6281310142226</v>
      </c>
    </row>
    <row r="5153" ht="15" customHeight="1" spans="1:28" x14ac:dyDescent="0.25">
      <c r="A5153" s="17" t="s">
        <v>14788</v>
      </c>
      <c r="B5153" s="17" t="s">
        <v>70</v>
      </c>
      <c r="C5153" s="17" t="s">
        <v>71</v>
      </c>
      <c r="D5153" t="s">
        <v>3623</v>
      </c>
      <c r="F5153" t="s">
        <v>14789</v>
      </c>
      <c r="J5153" s="17" t="s">
        <v>14790</v>
      </c>
      <c r="K5153" s="18" t="s">
        <v>14791</v>
      </c>
      <c r="N5153" s="17" t="s">
        <v>77</v>
      </c>
      <c r="O5153" t="s">
        <v>145</v>
      </c>
      <c r="V5153" s="18" t="s">
        <v>14791</v>
      </c>
      <c r="Y5153" t="s">
        <v>115</v>
      </c>
      <c r="AA5153" t="s">
        <v>115</v>
      </c>
      <c r="AB5153" t="s">
        <v>451</v>
      </c>
    </row>
    <row r="5154" ht="15" customHeight="1" spans="1:23" x14ac:dyDescent="0.25">
      <c r="A5154" s="17" t="s">
        <v>14792</v>
      </c>
      <c r="B5154" s="17" t="s">
        <v>70</v>
      </c>
      <c r="C5154" s="17" t="s">
        <v>71</v>
      </c>
      <c r="D5154" t="s">
        <v>14793</v>
      </c>
      <c r="F5154" t="s">
        <v>2386</v>
      </c>
      <c r="K5154" s="18">
        <f>628129102357</f>
        <v>628129102357</v>
      </c>
      <c r="N5154" s="17" t="s">
        <v>77</v>
      </c>
      <c r="U5154" s="17"/>
      <c r="V5154" s="18">
        <f>628129102357</f>
        <v>628129102357</v>
      </c>
      <c r="W5154" t="s">
        <v>14794</v>
      </c>
    </row>
    <row r="5155" ht="15" customHeight="1" spans="1:22" x14ac:dyDescent="0.25">
      <c r="A5155" s="17" t="s">
        <v>14795</v>
      </c>
      <c r="B5155" s="17" t="s">
        <v>70</v>
      </c>
      <c r="C5155" s="17" t="s">
        <v>71</v>
      </c>
      <c r="D5155" t="s">
        <v>14796</v>
      </c>
      <c r="F5155" t="s">
        <v>14796</v>
      </c>
      <c r="K5155" s="18">
        <f>6287782860655</f>
        <v>6287782860655</v>
      </c>
      <c r="N5155" s="17" t="s">
        <v>74</v>
      </c>
      <c r="V5155" s="18">
        <f>6287782860655</f>
        <v>6287782860655</v>
      </c>
    </row>
    <row r="5156" ht="15" customHeight="1" spans="1:28" x14ac:dyDescent="0.25">
      <c r="A5156" s="17" t="s">
        <v>14797</v>
      </c>
      <c r="B5156" s="17" t="s">
        <v>70</v>
      </c>
      <c r="C5156" s="17" t="s">
        <v>71</v>
      </c>
      <c r="D5156" t="s">
        <v>14798</v>
      </c>
      <c r="F5156" t="s">
        <v>2614</v>
      </c>
      <c r="J5156" s="17" t="s">
        <v>14799</v>
      </c>
      <c r="K5156" s="18" t="s">
        <v>14800</v>
      </c>
      <c r="N5156" s="17" t="s">
        <v>77</v>
      </c>
      <c r="O5156" t="s">
        <v>199</v>
      </c>
      <c r="U5156" s="17"/>
      <c r="V5156" s="18" t="s">
        <v>14800</v>
      </c>
      <c r="W5156" t="s">
        <v>14801</v>
      </c>
      <c r="Y5156" t="s">
        <v>90</v>
      </c>
      <c r="AA5156" t="s">
        <v>118</v>
      </c>
      <c r="AB5156" t="s">
        <v>119</v>
      </c>
    </row>
    <row r="5157" ht="15" customHeight="1" spans="1:22" x14ac:dyDescent="0.25">
      <c r="A5157" s="17" t="s">
        <v>14802</v>
      </c>
      <c r="B5157" s="17" t="s">
        <v>70</v>
      </c>
      <c r="C5157" s="17" t="s">
        <v>71</v>
      </c>
      <c r="D5157" t="s">
        <v>14798</v>
      </c>
      <c r="F5157" t="s">
        <v>7965</v>
      </c>
      <c r="K5157" s="18">
        <f>6282290704285</f>
        <v>6282290704285</v>
      </c>
      <c r="N5157" s="17" t="s">
        <v>81</v>
      </c>
      <c r="V5157" s="18">
        <f>6282290704285</f>
        <v>6282290704285</v>
      </c>
    </row>
    <row r="5158" ht="15" customHeight="1" spans="1:28" x14ac:dyDescent="0.25">
      <c r="A5158" s="17" t="s">
        <v>14803</v>
      </c>
      <c r="B5158" s="17" t="s">
        <v>70</v>
      </c>
      <c r="C5158" s="17" t="s">
        <v>71</v>
      </c>
      <c r="D5158" t="s">
        <v>14804</v>
      </c>
      <c r="F5158" t="s">
        <v>2279</v>
      </c>
      <c r="J5158" t="s">
        <v>115</v>
      </c>
      <c r="K5158" s="18" t="s">
        <v>14805</v>
      </c>
      <c r="N5158" s="17" t="s">
        <v>81</v>
      </c>
      <c r="O5158" t="s">
        <v>261</v>
      </c>
      <c r="U5158" s="17"/>
      <c r="V5158" s="18" t="s">
        <v>14805</v>
      </c>
      <c r="W5158" t="s">
        <v>14806</v>
      </c>
      <c r="Y5158" t="s">
        <v>217</v>
      </c>
      <c r="AA5158" t="s">
        <v>218</v>
      </c>
      <c r="AB5158" t="s">
        <v>119</v>
      </c>
    </row>
    <row r="5159" ht="15" customHeight="1" spans="1:28" x14ac:dyDescent="0.25">
      <c r="A5159" s="17" t="s">
        <v>14807</v>
      </c>
      <c r="B5159" s="17" t="s">
        <v>70</v>
      </c>
      <c r="C5159" s="17" t="s">
        <v>71</v>
      </c>
      <c r="D5159" t="s">
        <v>14804</v>
      </c>
      <c r="F5159" t="s">
        <v>14808</v>
      </c>
      <c r="J5159" t="s">
        <v>115</v>
      </c>
      <c r="K5159" s="18" t="s">
        <v>14809</v>
      </c>
      <c r="N5159" s="17" t="s">
        <v>77</v>
      </c>
      <c r="O5159" t="s">
        <v>145</v>
      </c>
      <c r="V5159" s="18" t="s">
        <v>14809</v>
      </c>
      <c r="Y5159" t="s">
        <v>190</v>
      </c>
      <c r="AA5159" t="s">
        <v>118</v>
      </c>
      <c r="AB5159" t="s">
        <v>119</v>
      </c>
    </row>
    <row r="5160" ht="15" customHeight="1" spans="1:28" x14ac:dyDescent="0.25">
      <c r="A5160" s="17" t="s">
        <v>14810</v>
      </c>
      <c r="B5160" s="17" t="s">
        <v>70</v>
      </c>
      <c r="C5160" s="17" t="s">
        <v>71</v>
      </c>
      <c r="D5160" t="s">
        <v>14804</v>
      </c>
      <c r="F5160" t="s">
        <v>14811</v>
      </c>
      <c r="J5160" t="s">
        <v>115</v>
      </c>
      <c r="K5160" s="18" t="s">
        <v>14812</v>
      </c>
      <c r="N5160" s="17" t="s">
        <v>77</v>
      </c>
      <c r="O5160" t="s">
        <v>117</v>
      </c>
      <c r="U5160" s="17"/>
      <c r="V5160" s="18" t="s">
        <v>14812</v>
      </c>
      <c r="W5160" t="s">
        <v>14813</v>
      </c>
      <c r="Y5160" s="17" t="s">
        <v>90</v>
      </c>
      <c r="AA5160" t="s">
        <v>118</v>
      </c>
      <c r="AB5160" t="s">
        <v>119</v>
      </c>
    </row>
    <row r="5161" ht="15" customHeight="1" spans="1:27" x14ac:dyDescent="0.25">
      <c r="A5161" s="17" t="s">
        <v>14814</v>
      </c>
      <c r="B5161" s="17" t="s">
        <v>70</v>
      </c>
      <c r="C5161" s="17" t="s">
        <v>71</v>
      </c>
      <c r="D5161" t="s">
        <v>14815</v>
      </c>
      <c r="F5161" t="s">
        <v>14816</v>
      </c>
      <c r="K5161" s="18">
        <f>62818150258</f>
        <v>62818150258</v>
      </c>
      <c r="N5161" s="17" t="s">
        <v>74</v>
      </c>
      <c r="U5161" s="17"/>
      <c r="V5161" s="18">
        <f>62818150258</f>
        <v>62818150258</v>
      </c>
      <c r="W5161" t="s">
        <v>14817</v>
      </c>
      <c r="AA5161" s="17">
        <v>12750</v>
      </c>
    </row>
    <row r="5162" ht="15" customHeight="1" spans="1:23" x14ac:dyDescent="0.25">
      <c r="A5162" s="17" t="s">
        <v>14818</v>
      </c>
      <c r="B5162" s="17" t="s">
        <v>70</v>
      </c>
      <c r="C5162" s="17" t="s">
        <v>71</v>
      </c>
      <c r="D5162" t="s">
        <v>7281</v>
      </c>
      <c r="F5162" t="s">
        <v>13405</v>
      </c>
      <c r="K5162" s="18">
        <f>6590468666</f>
        <v>6590468666</v>
      </c>
      <c r="N5162" s="17" t="s">
        <v>81</v>
      </c>
      <c r="U5162" s="17"/>
      <c r="V5162" s="18">
        <f>6590468666</f>
        <v>6590468666</v>
      </c>
      <c r="W5162" t="s">
        <v>2356</v>
      </c>
    </row>
    <row r="5163" ht="15" customHeight="1" spans="1:28" x14ac:dyDescent="0.25">
      <c r="A5163" s="17" t="s">
        <v>14819</v>
      </c>
      <c r="B5163" s="17" t="s">
        <v>70</v>
      </c>
      <c r="C5163" s="17" t="s">
        <v>71</v>
      </c>
      <c r="D5163" t="s">
        <v>14820</v>
      </c>
      <c r="F5163" t="s">
        <v>14821</v>
      </c>
      <c r="J5163" s="17" t="s">
        <v>14822</v>
      </c>
      <c r="K5163" s="18" t="s">
        <v>14823</v>
      </c>
      <c r="N5163" s="17" t="s">
        <v>77</v>
      </c>
      <c r="O5163" t="s">
        <v>145</v>
      </c>
      <c r="V5163" s="18" t="s">
        <v>14823</v>
      </c>
      <c r="Y5163" t="s">
        <v>115</v>
      </c>
      <c r="AA5163" t="s">
        <v>115</v>
      </c>
      <c r="AB5163" t="s">
        <v>1306</v>
      </c>
    </row>
    <row r="5164" ht="15" customHeight="1" spans="1:22" x14ac:dyDescent="0.25">
      <c r="A5164" s="17" t="s">
        <v>14824</v>
      </c>
      <c r="B5164" s="17" t="s">
        <v>70</v>
      </c>
      <c r="C5164" s="17" t="s">
        <v>71</v>
      </c>
      <c r="D5164" t="s">
        <v>7281</v>
      </c>
      <c r="F5164" t="s">
        <v>14825</v>
      </c>
      <c r="K5164" s="18">
        <f>6281350402718</f>
        <v>6281350402718</v>
      </c>
      <c r="N5164" s="17" t="s">
        <v>77</v>
      </c>
      <c r="V5164" s="18">
        <f>6281350402718</f>
        <v>6281350402718</v>
      </c>
    </row>
    <row r="5165" ht="15" customHeight="1" spans="1:22" x14ac:dyDescent="0.25">
      <c r="A5165" s="17" t="s">
        <v>14826</v>
      </c>
      <c r="B5165" s="17" t="s">
        <v>70</v>
      </c>
      <c r="C5165" s="17" t="s">
        <v>71</v>
      </c>
      <c r="D5165" t="s">
        <v>7281</v>
      </c>
      <c r="F5165" t="s">
        <v>14827</v>
      </c>
      <c r="K5165" s="18">
        <f>6282139115555</f>
        <v>6282139115555</v>
      </c>
      <c r="N5165" s="17" t="s">
        <v>77</v>
      </c>
      <c r="V5165" s="18">
        <f>6282139115555</f>
        <v>6282139115555</v>
      </c>
    </row>
    <row r="5166" ht="15" customHeight="1" spans="1:28" x14ac:dyDescent="0.25">
      <c r="A5166" s="17" t="s">
        <v>14828</v>
      </c>
      <c r="B5166" s="17" t="s">
        <v>70</v>
      </c>
      <c r="C5166" s="17" t="s">
        <v>71</v>
      </c>
      <c r="D5166" t="s">
        <v>7281</v>
      </c>
      <c r="F5166" t="s">
        <v>14829</v>
      </c>
      <c r="J5166" t="s">
        <v>115</v>
      </c>
      <c r="K5166" s="18" t="s">
        <v>14830</v>
      </c>
      <c r="N5166" s="17" t="s">
        <v>77</v>
      </c>
      <c r="O5166" t="s">
        <v>145</v>
      </c>
      <c r="V5166" s="18" t="s">
        <v>14830</v>
      </c>
      <c r="Y5166" t="s">
        <v>6100</v>
      </c>
      <c r="AA5166" t="s">
        <v>115</v>
      </c>
      <c r="AB5166" t="s">
        <v>119</v>
      </c>
    </row>
    <row r="5167" ht="15" customHeight="1" spans="1:28" x14ac:dyDescent="0.25">
      <c r="A5167" s="17" t="s">
        <v>14831</v>
      </c>
      <c r="B5167" s="17" t="s">
        <v>70</v>
      </c>
      <c r="C5167" s="17" t="s">
        <v>71</v>
      </c>
      <c r="D5167" t="s">
        <v>14832</v>
      </c>
      <c r="F5167" t="s">
        <v>7281</v>
      </c>
      <c r="J5167" s="17" t="s">
        <v>14833</v>
      </c>
      <c r="K5167" s="18" t="s">
        <v>14834</v>
      </c>
      <c r="N5167" s="17" t="s">
        <v>77</v>
      </c>
      <c r="O5167" t="s">
        <v>117</v>
      </c>
      <c r="V5167" s="18" t="s">
        <v>14834</v>
      </c>
      <c r="Y5167" t="s">
        <v>930</v>
      </c>
      <c r="AA5167" t="s">
        <v>115</v>
      </c>
      <c r="AB5167" t="s">
        <v>930</v>
      </c>
    </row>
    <row r="5168" ht="15" customHeight="1" spans="1:23" x14ac:dyDescent="0.25">
      <c r="A5168" s="17" t="s">
        <v>14835</v>
      </c>
      <c r="B5168" s="17" t="s">
        <v>70</v>
      </c>
      <c r="C5168" s="17" t="s">
        <v>71</v>
      </c>
      <c r="D5168" t="s">
        <v>14836</v>
      </c>
      <c r="F5168" t="s">
        <v>14837</v>
      </c>
      <c r="K5168" s="18">
        <f>628121119111</f>
        <v>628121119111</v>
      </c>
      <c r="N5168" s="17" t="s">
        <v>81</v>
      </c>
      <c r="U5168" s="17"/>
      <c r="V5168" s="18">
        <f>628121119111</f>
        <v>628121119111</v>
      </c>
      <c r="W5168" t="s">
        <v>14838</v>
      </c>
    </row>
    <row r="5169" ht="15" customHeight="1" spans="1:22" x14ac:dyDescent="0.25">
      <c r="A5169" s="17" t="s">
        <v>14839</v>
      </c>
      <c r="B5169" s="17" t="s">
        <v>70</v>
      </c>
      <c r="C5169" s="17" t="s">
        <v>71</v>
      </c>
      <c r="D5169" t="s">
        <v>14840</v>
      </c>
      <c r="F5169" t="s">
        <v>14840</v>
      </c>
      <c r="K5169" s="18">
        <f>62811811633</f>
        <v>62811811633</v>
      </c>
      <c r="N5169" s="17" t="s">
        <v>81</v>
      </c>
      <c r="V5169" s="18">
        <f>62811811633</f>
        <v>62811811633</v>
      </c>
    </row>
    <row r="5170" ht="15" customHeight="1" spans="1:27" x14ac:dyDescent="0.25">
      <c r="A5170" s="17" t="s">
        <v>14841</v>
      </c>
      <c r="B5170" s="17" t="s">
        <v>70</v>
      </c>
      <c r="C5170" s="17" t="s">
        <v>71</v>
      </c>
      <c r="D5170" t="s">
        <v>14840</v>
      </c>
      <c r="F5170" t="s">
        <v>14840</v>
      </c>
      <c r="K5170" s="18">
        <f>628567556424</f>
        <v>628567556424</v>
      </c>
      <c r="N5170" s="17" t="s">
        <v>77</v>
      </c>
      <c r="U5170" s="17"/>
      <c r="V5170" s="18">
        <f>628567556424</f>
        <v>628567556424</v>
      </c>
      <c r="W5170" t="s">
        <v>14842</v>
      </c>
      <c r="Y5170" s="17" t="s">
        <v>90</v>
      </c>
      <c r="AA5170" s="17" t="s">
        <v>7019</v>
      </c>
    </row>
    <row r="5171" ht="15" customHeight="1" spans="1:22" x14ac:dyDescent="0.25">
      <c r="A5171" s="17" t="s">
        <v>14843</v>
      </c>
      <c r="B5171" s="17" t="s">
        <v>70</v>
      </c>
      <c r="C5171" s="17" t="s">
        <v>71</v>
      </c>
      <c r="D5171" t="s">
        <v>14840</v>
      </c>
      <c r="F5171" t="s">
        <v>14844</v>
      </c>
      <c r="K5171" s="18">
        <f>819049401284</f>
        <v>819049401284</v>
      </c>
      <c r="N5171" s="17" t="s">
        <v>74</v>
      </c>
      <c r="V5171" s="18">
        <f>819049401284</f>
        <v>819049401284</v>
      </c>
    </row>
    <row r="5172" ht="15" customHeight="1" spans="1:22" x14ac:dyDescent="0.25">
      <c r="A5172" s="17" t="s">
        <v>14845</v>
      </c>
      <c r="B5172" s="17" t="s">
        <v>70</v>
      </c>
      <c r="C5172" s="17" t="s">
        <v>71</v>
      </c>
      <c r="D5172" t="s">
        <v>14846</v>
      </c>
      <c r="F5172" t="s">
        <v>14847</v>
      </c>
      <c r="K5172" s="18">
        <v>468461151</v>
      </c>
      <c r="N5172" s="17" t="s">
        <v>81</v>
      </c>
      <c r="V5172" s="18">
        <v>468461151</v>
      </c>
    </row>
    <row r="5173" ht="15" customHeight="1" spans="1:22" x14ac:dyDescent="0.25">
      <c r="A5173" s="17" t="s">
        <v>14848</v>
      </c>
      <c r="B5173" s="17" t="s">
        <v>70</v>
      </c>
      <c r="C5173" s="17" t="s">
        <v>71</v>
      </c>
      <c r="D5173" t="s">
        <v>14849</v>
      </c>
      <c r="F5173" t="s">
        <v>14849</v>
      </c>
      <c r="K5173" s="18">
        <f>62811104850</f>
        <v>62811104850</v>
      </c>
      <c r="N5173" s="17" t="s">
        <v>77</v>
      </c>
      <c r="V5173" s="18">
        <f>62811104850</f>
        <v>62811104850</v>
      </c>
    </row>
    <row r="5174" ht="15" customHeight="1" spans="1:22" x14ac:dyDescent="0.25">
      <c r="A5174" s="17" t="s">
        <v>14850</v>
      </c>
      <c r="B5174" s="17" t="s">
        <v>70</v>
      </c>
      <c r="C5174" s="17" t="s">
        <v>71</v>
      </c>
      <c r="D5174" t="s">
        <v>14849</v>
      </c>
      <c r="F5174" t="s">
        <v>14849</v>
      </c>
      <c r="K5174" s="18">
        <f>628111151585</f>
        <v>628111151585</v>
      </c>
      <c r="N5174" s="17" t="s">
        <v>81</v>
      </c>
      <c r="V5174" s="18">
        <f>628111151585</f>
        <v>628111151585</v>
      </c>
    </row>
    <row r="5175" ht="15" customHeight="1" spans="1:22" x14ac:dyDescent="0.25">
      <c r="A5175" s="17" t="s">
        <v>14851</v>
      </c>
      <c r="B5175" s="17" t="s">
        <v>70</v>
      </c>
      <c r="C5175" s="17" t="s">
        <v>71</v>
      </c>
      <c r="D5175" t="s">
        <v>14852</v>
      </c>
      <c r="F5175" t="s">
        <v>14853</v>
      </c>
      <c r="K5175" s="18">
        <f>628111770149</f>
        <v>628111770149</v>
      </c>
      <c r="N5175" s="17" t="s">
        <v>77</v>
      </c>
      <c r="V5175" s="18">
        <f>628111770149</f>
        <v>628111770149</v>
      </c>
    </row>
    <row r="5176" ht="15" customHeight="1" spans="1:28" x14ac:dyDescent="0.25">
      <c r="A5176" s="17" t="s">
        <v>14854</v>
      </c>
      <c r="B5176" s="17" t="s">
        <v>70</v>
      </c>
      <c r="C5176" s="17" t="s">
        <v>71</v>
      </c>
      <c r="D5176" t="s">
        <v>14852</v>
      </c>
      <c r="F5176" t="s">
        <v>14855</v>
      </c>
      <c r="J5176" t="s">
        <v>115</v>
      </c>
      <c r="K5176" s="18" t="s">
        <v>14856</v>
      </c>
      <c r="N5176" s="17" t="s">
        <v>77</v>
      </c>
      <c r="O5176" t="s">
        <v>117</v>
      </c>
      <c r="V5176" s="18" t="s">
        <v>14856</v>
      </c>
      <c r="Y5176" t="s">
        <v>90</v>
      </c>
      <c r="AA5176" t="s">
        <v>118</v>
      </c>
      <c r="AB5176" t="s">
        <v>119</v>
      </c>
    </row>
    <row r="5177" ht="15" customHeight="1" spans="1:22" x14ac:dyDescent="0.25">
      <c r="A5177" s="17" t="s">
        <v>14857</v>
      </c>
      <c r="B5177" s="17" t="s">
        <v>70</v>
      </c>
      <c r="C5177" s="17" t="s">
        <v>71</v>
      </c>
      <c r="D5177" t="s">
        <v>14858</v>
      </c>
      <c r="F5177" t="s">
        <v>14859</v>
      </c>
      <c r="K5177" s="18">
        <f>62811907631</f>
        <v>62811907631</v>
      </c>
      <c r="N5177" s="17" t="s">
        <v>77</v>
      </c>
      <c r="V5177" s="18">
        <f>62811907631</f>
        <v>62811907631</v>
      </c>
    </row>
    <row r="5178" ht="15" customHeight="1" spans="1:28" x14ac:dyDescent="0.25">
      <c r="A5178" s="17" t="s">
        <v>14860</v>
      </c>
      <c r="B5178" s="17" t="s">
        <v>70</v>
      </c>
      <c r="C5178" s="17" t="s">
        <v>71</v>
      </c>
      <c r="D5178" t="s">
        <v>14861</v>
      </c>
      <c r="F5178" t="s">
        <v>14862</v>
      </c>
      <c r="J5178" s="17" t="s">
        <v>14863</v>
      </c>
      <c r="K5178" s="18" t="s">
        <v>14864</v>
      </c>
      <c r="N5178" s="17" t="s">
        <v>77</v>
      </c>
      <c r="O5178" t="s">
        <v>117</v>
      </c>
      <c r="V5178" s="18" t="s">
        <v>14864</v>
      </c>
      <c r="Y5178" s="17" t="s">
        <v>14865</v>
      </c>
      <c r="AA5178" t="s">
        <v>115</v>
      </c>
      <c r="AB5178" t="s">
        <v>119</v>
      </c>
    </row>
    <row r="5179" ht="15" customHeight="1" spans="1:23" x14ac:dyDescent="0.25">
      <c r="A5179" s="17" t="s">
        <v>14866</v>
      </c>
      <c r="B5179" s="17" t="s">
        <v>70</v>
      </c>
      <c r="C5179" s="17" t="s">
        <v>71</v>
      </c>
      <c r="D5179" t="s">
        <v>14861</v>
      </c>
      <c r="F5179" t="s">
        <v>14867</v>
      </c>
      <c r="K5179" s="18">
        <f>9019995631</f>
        <v>9019995631</v>
      </c>
      <c r="N5179" s="17" t="s">
        <v>77</v>
      </c>
      <c r="U5179" s="17"/>
      <c r="V5179" s="18">
        <f>9019995631</f>
        <v>9019995631</v>
      </c>
      <c r="W5179" t="s">
        <v>14868</v>
      </c>
    </row>
    <row r="5180" ht="15" customHeight="1" spans="1:23" x14ac:dyDescent="0.25">
      <c r="A5180" s="17" t="s">
        <v>14869</v>
      </c>
      <c r="B5180" s="17" t="s">
        <v>70</v>
      </c>
      <c r="C5180" s="17" t="s">
        <v>71</v>
      </c>
      <c r="D5180" t="s">
        <v>14870</v>
      </c>
      <c r="F5180" t="s">
        <v>14871</v>
      </c>
      <c r="K5180" s="18">
        <v>534360071</v>
      </c>
      <c r="N5180" s="17" t="s">
        <v>77</v>
      </c>
      <c r="U5180" s="17"/>
      <c r="V5180" s="18">
        <v>534360071</v>
      </c>
      <c r="W5180" t="s">
        <v>14872</v>
      </c>
    </row>
    <row r="5181" ht="15" customHeight="1" spans="1:23" x14ac:dyDescent="0.25">
      <c r="A5181" s="17" t="s">
        <v>14873</v>
      </c>
      <c r="B5181" s="17" t="s">
        <v>70</v>
      </c>
      <c r="C5181" s="17" t="s">
        <v>71</v>
      </c>
      <c r="D5181" t="s">
        <v>14874</v>
      </c>
      <c r="F5181" t="s">
        <v>9835</v>
      </c>
      <c r="J5181" s="17" t="s">
        <v>14875</v>
      </c>
      <c r="K5181" s="18">
        <f>628118706763</f>
        <v>628118706763</v>
      </c>
      <c r="N5181" s="17" t="s">
        <v>81</v>
      </c>
      <c r="U5181" s="17"/>
      <c r="V5181" s="18">
        <f>628118706763</f>
        <v>628118706763</v>
      </c>
      <c r="W5181" t="s">
        <v>14876</v>
      </c>
    </row>
    <row r="5182" ht="15" customHeight="1" spans="1:25" x14ac:dyDescent="0.25">
      <c r="A5182" s="17" t="s">
        <v>14877</v>
      </c>
      <c r="B5182" s="17" t="s">
        <v>70</v>
      </c>
      <c r="C5182" s="17" t="s">
        <v>71</v>
      </c>
      <c r="D5182" t="s">
        <v>14878</v>
      </c>
      <c r="F5182" t="s">
        <v>5008</v>
      </c>
      <c r="K5182" s="18">
        <f>6281382818188</f>
        <v>6281382818188</v>
      </c>
      <c r="N5182" s="17" t="s">
        <v>77</v>
      </c>
      <c r="U5182" s="17"/>
      <c r="V5182" s="18">
        <f>6281382818188</f>
        <v>6281382818188</v>
      </c>
      <c r="W5182" t="s">
        <v>14879</v>
      </c>
      <c r="Y5182" s="17" t="s">
        <v>96</v>
      </c>
    </row>
    <row r="5183" ht="15" customHeight="1" spans="1:23" x14ac:dyDescent="0.25">
      <c r="A5183" s="17" t="s">
        <v>14880</v>
      </c>
      <c r="B5183" s="17" t="s">
        <v>70</v>
      </c>
      <c r="C5183" s="17" t="s">
        <v>71</v>
      </c>
      <c r="D5183" t="s">
        <v>14881</v>
      </c>
      <c r="F5183" t="s">
        <v>14882</v>
      </c>
      <c r="K5183" s="18">
        <f>62811175187</f>
        <v>62811175187</v>
      </c>
      <c r="N5183" s="17" t="s">
        <v>77</v>
      </c>
      <c r="U5183" s="17"/>
      <c r="V5183" s="18">
        <f>62811175187</f>
        <v>62811175187</v>
      </c>
      <c r="W5183" t="s">
        <v>14883</v>
      </c>
    </row>
    <row r="5184" ht="15" customHeight="1" spans="1:22" x14ac:dyDescent="0.25">
      <c r="A5184" s="17" t="s">
        <v>14884</v>
      </c>
      <c r="B5184" s="17" t="s">
        <v>70</v>
      </c>
      <c r="C5184" s="17" t="s">
        <v>71</v>
      </c>
      <c r="D5184" t="s">
        <v>14885</v>
      </c>
      <c r="F5184" t="s">
        <v>14885</v>
      </c>
      <c r="K5184" s="18">
        <f>6285710545555</f>
        <v>6285710545555</v>
      </c>
      <c r="N5184" s="17" t="s">
        <v>81</v>
      </c>
      <c r="V5184" s="18">
        <f>6285710545555</f>
        <v>6285710545555</v>
      </c>
    </row>
    <row r="5185" ht="15" customHeight="1" spans="1:22" x14ac:dyDescent="0.25">
      <c r="A5185" s="17" t="s">
        <v>14886</v>
      </c>
      <c r="B5185" s="17" t="s">
        <v>70</v>
      </c>
      <c r="C5185" s="17" t="s">
        <v>71</v>
      </c>
      <c r="D5185" t="s">
        <v>6196</v>
      </c>
      <c r="F5185" t="s">
        <v>6196</v>
      </c>
      <c r="J5185" s="17" t="s">
        <v>14887</v>
      </c>
      <c r="K5185" s="18">
        <f>62878354832228</f>
        <v>62878354832228</v>
      </c>
      <c r="N5185" s="17" t="s">
        <v>77</v>
      </c>
      <c r="V5185" s="18">
        <f>62878354832228</f>
        <v>62878354832228</v>
      </c>
    </row>
    <row r="5186" ht="15" customHeight="1" spans="1:22" x14ac:dyDescent="0.25">
      <c r="A5186" s="17" t="s">
        <v>14888</v>
      </c>
      <c r="B5186" s="17" t="s">
        <v>70</v>
      </c>
      <c r="C5186" s="17" t="s">
        <v>71</v>
      </c>
      <c r="D5186" t="s">
        <v>6196</v>
      </c>
      <c r="F5186" t="s">
        <v>14889</v>
      </c>
      <c r="K5186" s="18">
        <f>628118173186</f>
        <v>628118173186</v>
      </c>
      <c r="N5186" s="17" t="s">
        <v>81</v>
      </c>
      <c r="V5186" s="18">
        <f>628118173186</f>
        <v>628118173186</v>
      </c>
    </row>
    <row r="5187" ht="15" customHeight="1" spans="1:28" x14ac:dyDescent="0.25">
      <c r="A5187" s="17" t="s">
        <v>14890</v>
      </c>
      <c r="B5187" s="17" t="s">
        <v>70</v>
      </c>
      <c r="C5187" s="17" t="s">
        <v>71</v>
      </c>
      <c r="D5187" t="s">
        <v>6196</v>
      </c>
      <c r="F5187" t="s">
        <v>14891</v>
      </c>
      <c r="J5187" t="s">
        <v>115</v>
      </c>
      <c r="K5187" s="18" t="s">
        <v>14892</v>
      </c>
      <c r="N5187" s="17" t="s">
        <v>77</v>
      </c>
      <c r="O5187" t="s">
        <v>489</v>
      </c>
      <c r="V5187" s="18" t="s">
        <v>14892</v>
      </c>
      <c r="Y5187" s="17" t="s">
        <v>704</v>
      </c>
      <c r="AA5187" t="s">
        <v>705</v>
      </c>
      <c r="AB5187" t="s">
        <v>119</v>
      </c>
    </row>
    <row r="5188" ht="15" customHeight="1" spans="1:25" x14ac:dyDescent="0.25">
      <c r="A5188" s="17" t="s">
        <v>14893</v>
      </c>
      <c r="B5188" s="17" t="s">
        <v>70</v>
      </c>
      <c r="C5188" s="17" t="s">
        <v>71</v>
      </c>
      <c r="D5188" t="s">
        <v>6196</v>
      </c>
      <c r="F5188" t="s">
        <v>1869</v>
      </c>
      <c r="K5188" s="18">
        <f>6287726992900</f>
        <v>6287726992900</v>
      </c>
      <c r="N5188" s="17" t="s">
        <v>77</v>
      </c>
      <c r="U5188" s="17"/>
      <c r="V5188" s="18">
        <f>6287726992900</f>
        <v>6287726992900</v>
      </c>
      <c r="W5188" t="s">
        <v>14894</v>
      </c>
      <c r="Y5188" s="17" t="s">
        <v>384</v>
      </c>
    </row>
    <row r="5189" ht="15" customHeight="1" spans="1:28" x14ac:dyDescent="0.25">
      <c r="A5189" s="17" t="s">
        <v>14895</v>
      </c>
      <c r="B5189" s="17" t="s">
        <v>70</v>
      </c>
      <c r="C5189" s="17" t="s">
        <v>71</v>
      </c>
      <c r="D5189" t="s">
        <v>14896</v>
      </c>
      <c r="F5189" t="s">
        <v>153</v>
      </c>
      <c r="J5189" t="s">
        <v>115</v>
      </c>
      <c r="K5189" s="18" t="s">
        <v>14897</v>
      </c>
      <c r="N5189" s="17" t="s">
        <v>77</v>
      </c>
      <c r="O5189" t="s">
        <v>199</v>
      </c>
      <c r="V5189" s="18" t="s">
        <v>14897</v>
      </c>
      <c r="Y5189" t="s">
        <v>90</v>
      </c>
      <c r="AA5189" t="s">
        <v>118</v>
      </c>
      <c r="AB5189" t="s">
        <v>119</v>
      </c>
    </row>
    <row r="5190" ht="15" customHeight="1" spans="1:27" x14ac:dyDescent="0.25">
      <c r="A5190" s="17" t="s">
        <v>14898</v>
      </c>
      <c r="B5190" s="17" t="s">
        <v>70</v>
      </c>
      <c r="C5190" s="17" t="s">
        <v>71</v>
      </c>
      <c r="D5190" t="s">
        <v>14899</v>
      </c>
      <c r="F5190" t="s">
        <v>14900</v>
      </c>
      <c r="J5190" s="17" t="s">
        <v>14901</v>
      </c>
      <c r="K5190" s="18">
        <f>6281288135851</f>
        <v>6281288135851</v>
      </c>
      <c r="N5190" s="17" t="s">
        <v>77</v>
      </c>
      <c r="U5190" s="17"/>
      <c r="V5190" s="18">
        <f>6281288135851</f>
        <v>6281288135851</v>
      </c>
      <c r="W5190" t="s">
        <v>14902</v>
      </c>
      <c r="Y5190" s="17" t="s">
        <v>90</v>
      </c>
      <c r="AA5190" s="17">
        <v>11480</v>
      </c>
    </row>
    <row r="5191" ht="15" customHeight="1" spans="1:25" x14ac:dyDescent="0.25">
      <c r="A5191" s="17" t="s">
        <v>14903</v>
      </c>
      <c r="B5191" s="17" t="s">
        <v>70</v>
      </c>
      <c r="C5191" s="17" t="s">
        <v>71</v>
      </c>
      <c r="D5191" t="s">
        <v>5725</v>
      </c>
      <c r="F5191" t="s">
        <v>5725</v>
      </c>
      <c r="K5191" s="18">
        <f>6281321121109</f>
        <v>6281321121109</v>
      </c>
      <c r="N5191" s="17" t="s">
        <v>81</v>
      </c>
      <c r="U5191" s="17"/>
      <c r="V5191" s="18">
        <f>6281321121109</f>
        <v>6281321121109</v>
      </c>
      <c r="W5191" t="s">
        <v>14904</v>
      </c>
      <c r="Y5191" s="17" t="s">
        <v>500</v>
      </c>
    </row>
    <row r="5192" ht="15" customHeight="1" spans="1:22" x14ac:dyDescent="0.25">
      <c r="A5192" s="17" t="s">
        <v>14905</v>
      </c>
      <c r="B5192" s="17" t="s">
        <v>70</v>
      </c>
      <c r="C5192" s="17" t="s">
        <v>71</v>
      </c>
      <c r="D5192" t="s">
        <v>5725</v>
      </c>
      <c r="F5192" t="s">
        <v>4804</v>
      </c>
      <c r="K5192" s="18">
        <f>628179899171</f>
        <v>628179899171</v>
      </c>
      <c r="N5192" s="17" t="s">
        <v>77</v>
      </c>
      <c r="V5192" s="18">
        <f>628179899171</f>
        <v>628179899171</v>
      </c>
    </row>
    <row r="5193" ht="15" customHeight="1" spans="1:28" x14ac:dyDescent="0.25">
      <c r="A5193" s="17" t="s">
        <v>14906</v>
      </c>
      <c r="B5193" s="17" t="s">
        <v>70</v>
      </c>
      <c r="C5193" s="17" t="s">
        <v>71</v>
      </c>
      <c r="D5193" t="s">
        <v>5725</v>
      </c>
      <c r="F5193" t="s">
        <v>14907</v>
      </c>
      <c r="J5193" t="s">
        <v>14908</v>
      </c>
      <c r="K5193" s="18" t="s">
        <v>14909</v>
      </c>
      <c r="N5193" s="17" t="s">
        <v>77</v>
      </c>
      <c r="O5193" t="s">
        <v>261</v>
      </c>
      <c r="U5193" s="17"/>
      <c r="V5193" s="18" t="s">
        <v>14909</v>
      </c>
      <c r="W5193" t="s">
        <v>14910</v>
      </c>
      <c r="Y5193" s="17" t="s">
        <v>96</v>
      </c>
      <c r="AA5193" t="s">
        <v>693</v>
      </c>
      <c r="AB5193" t="s">
        <v>119</v>
      </c>
    </row>
    <row r="5194" ht="15" customHeight="1" spans="1:25" x14ac:dyDescent="0.25">
      <c r="A5194" s="17" t="s">
        <v>14911</v>
      </c>
      <c r="B5194" s="17" t="s">
        <v>70</v>
      </c>
      <c r="C5194" s="17" t="s">
        <v>71</v>
      </c>
      <c r="D5194" t="s">
        <v>5725</v>
      </c>
      <c r="F5194" t="s">
        <v>672</v>
      </c>
      <c r="J5194" s="17" t="s">
        <v>14912</v>
      </c>
      <c r="K5194" s="18">
        <f>6281717779797</f>
        <v>6281717779797</v>
      </c>
      <c r="N5194" s="17" t="s">
        <v>81</v>
      </c>
      <c r="U5194" s="17"/>
      <c r="V5194" s="18">
        <f>6281717779797</f>
        <v>6281717779797</v>
      </c>
      <c r="W5194" t="s">
        <v>14913</v>
      </c>
      <c r="Y5194" s="17" t="s">
        <v>704</v>
      </c>
    </row>
    <row r="5195" ht="15" customHeight="1" spans="1:22" x14ac:dyDescent="0.25">
      <c r="A5195" s="17" t="s">
        <v>14914</v>
      </c>
      <c r="B5195" s="17" t="s">
        <v>70</v>
      </c>
      <c r="C5195" s="17" t="s">
        <v>71</v>
      </c>
      <c r="D5195" t="s">
        <v>5725</v>
      </c>
      <c r="F5195" t="s">
        <v>14915</v>
      </c>
      <c r="K5195" s="18">
        <f>6282218180808</f>
        <v>6282218180808</v>
      </c>
      <c r="N5195" s="17" t="s">
        <v>77</v>
      </c>
      <c r="V5195" s="18">
        <f>6282218180808</f>
        <v>6282218180808</v>
      </c>
    </row>
    <row r="5196" ht="15" customHeight="1" spans="1:22" x14ac:dyDescent="0.25">
      <c r="A5196" s="17" t="s">
        <v>14916</v>
      </c>
      <c r="B5196" s="17" t="s">
        <v>70</v>
      </c>
      <c r="C5196" s="17" t="s">
        <v>71</v>
      </c>
      <c r="D5196" t="s">
        <v>14917</v>
      </c>
      <c r="F5196" t="s">
        <v>14918</v>
      </c>
      <c r="K5196" s="18">
        <f>628118163085</f>
        <v>628118163085</v>
      </c>
      <c r="N5196" s="17" t="s">
        <v>81</v>
      </c>
      <c r="V5196" s="18">
        <f>628118163085</f>
        <v>628118163085</v>
      </c>
    </row>
    <row r="5197" ht="15" customHeight="1" spans="1:22" x14ac:dyDescent="0.25">
      <c r="A5197" s="17" t="s">
        <v>14919</v>
      </c>
      <c r="B5197" s="17" t="s">
        <v>70</v>
      </c>
      <c r="C5197" s="17" t="s">
        <v>71</v>
      </c>
      <c r="D5197" t="s">
        <v>3497</v>
      </c>
      <c r="F5197" t="s">
        <v>4613</v>
      </c>
      <c r="K5197" s="18">
        <f>6281210561198</f>
        <v>6281210561198</v>
      </c>
      <c r="N5197" s="17" t="s">
        <v>74</v>
      </c>
      <c r="V5197" s="18">
        <f>6281210561198</f>
        <v>6281210561198</v>
      </c>
    </row>
    <row r="5198" ht="15" customHeight="1" spans="1:22" x14ac:dyDescent="0.25">
      <c r="A5198" s="17" t="s">
        <v>14920</v>
      </c>
      <c r="B5198" s="17" t="s">
        <v>70</v>
      </c>
      <c r="C5198" s="17" t="s">
        <v>71</v>
      </c>
      <c r="D5198" t="s">
        <v>3497</v>
      </c>
      <c r="F5198" t="s">
        <v>14921</v>
      </c>
      <c r="K5198" s="18">
        <f>6281293377711</f>
        <v>6281293377711</v>
      </c>
      <c r="N5198" s="17" t="s">
        <v>77</v>
      </c>
      <c r="V5198" s="18">
        <f>6281293377711</f>
        <v>6281293377711</v>
      </c>
    </row>
    <row r="5199" ht="15" customHeight="1" spans="1:27" x14ac:dyDescent="0.25">
      <c r="A5199" s="17" t="s">
        <v>14922</v>
      </c>
      <c r="B5199" s="17" t="s">
        <v>70</v>
      </c>
      <c r="C5199" s="17" t="s">
        <v>71</v>
      </c>
      <c r="D5199" t="s">
        <v>14923</v>
      </c>
      <c r="F5199" t="s">
        <v>14924</v>
      </c>
      <c r="K5199" s="18">
        <f>628170000582</f>
        <v>628170000582</v>
      </c>
      <c r="N5199" s="17" t="s">
        <v>77</v>
      </c>
      <c r="U5199" s="17"/>
      <c r="V5199" s="18">
        <f>628170000582</f>
        <v>628170000582</v>
      </c>
      <c r="W5199" t="s">
        <v>14925</v>
      </c>
      <c r="Y5199" s="17" t="s">
        <v>96</v>
      </c>
      <c r="AA5199" s="17">
        <v>12450</v>
      </c>
    </row>
    <row r="5200" ht="15" customHeight="1" spans="1:25" x14ac:dyDescent="0.25">
      <c r="A5200" s="17" t="s">
        <v>14926</v>
      </c>
      <c r="B5200" s="17" t="s">
        <v>70</v>
      </c>
      <c r="C5200" s="17" t="s">
        <v>71</v>
      </c>
      <c r="D5200" t="s">
        <v>14927</v>
      </c>
      <c r="F5200" t="s">
        <v>14928</v>
      </c>
      <c r="K5200" s="18">
        <f>6281315623478</f>
        <v>6281315623478</v>
      </c>
      <c r="N5200" s="17" t="s">
        <v>77</v>
      </c>
      <c r="U5200" s="17"/>
      <c r="V5200" s="18">
        <f>6281315623478</f>
        <v>6281315623478</v>
      </c>
      <c r="W5200" t="s">
        <v>14929</v>
      </c>
      <c r="Y5200" s="17" t="s">
        <v>500</v>
      </c>
    </row>
    <row r="5201" ht="15" customHeight="1" spans="1:22" x14ac:dyDescent="0.25">
      <c r="A5201" s="17" t="s">
        <v>14930</v>
      </c>
      <c r="B5201" s="17" t="s">
        <v>70</v>
      </c>
      <c r="C5201" s="17" t="s">
        <v>71</v>
      </c>
      <c r="D5201" t="s">
        <v>14931</v>
      </c>
      <c r="F5201" t="s">
        <v>14931</v>
      </c>
      <c r="K5201" s="18">
        <f>62811107267</f>
        <v>62811107267</v>
      </c>
      <c r="N5201" s="17" t="s">
        <v>77</v>
      </c>
      <c r="V5201" s="18">
        <f>62811107267</f>
        <v>62811107267</v>
      </c>
    </row>
    <row r="5202" ht="15" customHeight="1" spans="1:23" x14ac:dyDescent="0.25">
      <c r="A5202" s="17" t="s">
        <v>14932</v>
      </c>
      <c r="B5202" s="17" t="s">
        <v>70</v>
      </c>
      <c r="C5202" s="17" t="s">
        <v>71</v>
      </c>
      <c r="D5202" t="s">
        <v>14933</v>
      </c>
      <c r="F5202" t="s">
        <v>14934</v>
      </c>
      <c r="K5202" s="18">
        <f>381659111666</f>
        <v>381659111666</v>
      </c>
      <c r="N5202" s="17" t="s">
        <v>77</v>
      </c>
      <c r="U5202" s="17"/>
      <c r="V5202" s="18">
        <f>381659111666</f>
        <v>381659111666</v>
      </c>
      <c r="W5202" t="s">
        <v>14935</v>
      </c>
    </row>
    <row r="5203" ht="15" customHeight="1" spans="1:28" x14ac:dyDescent="0.25">
      <c r="A5203" s="17" t="s">
        <v>14936</v>
      </c>
      <c r="B5203" s="17" t="s">
        <v>70</v>
      </c>
      <c r="C5203" s="17" t="s">
        <v>71</v>
      </c>
      <c r="D5203" t="s">
        <v>14937</v>
      </c>
      <c r="F5203" t="s">
        <v>14938</v>
      </c>
      <c r="J5203" s="17" t="s">
        <v>14939</v>
      </c>
      <c r="K5203" s="18" t="s">
        <v>14940</v>
      </c>
      <c r="N5203" s="17" t="s">
        <v>77</v>
      </c>
      <c r="O5203" t="s">
        <v>199</v>
      </c>
      <c r="U5203" s="17"/>
      <c r="V5203" s="18" t="s">
        <v>14940</v>
      </c>
      <c r="W5203" t="s">
        <v>14941</v>
      </c>
      <c r="Y5203" t="s">
        <v>6146</v>
      </c>
      <c r="AA5203" t="s">
        <v>115</v>
      </c>
      <c r="AB5203" t="s">
        <v>119</v>
      </c>
    </row>
    <row r="5204" ht="15" customHeight="1" spans="1:23" x14ac:dyDescent="0.25">
      <c r="A5204" s="17" t="s">
        <v>14942</v>
      </c>
      <c r="B5204" s="17" t="s">
        <v>70</v>
      </c>
      <c r="C5204" s="17" t="s">
        <v>71</v>
      </c>
      <c r="D5204" t="s">
        <v>14943</v>
      </c>
      <c r="F5204" t="s">
        <v>818</v>
      </c>
      <c r="K5204" s="18">
        <f>6281220232003</f>
        <v>6281220232003</v>
      </c>
      <c r="N5204" s="17" t="s">
        <v>81</v>
      </c>
      <c r="U5204" s="17"/>
      <c r="V5204" s="18">
        <f>6281220232003</f>
        <v>6281220232003</v>
      </c>
      <c r="W5204" t="s">
        <v>14944</v>
      </c>
    </row>
    <row r="5205" ht="15" customHeight="1" spans="1:22" x14ac:dyDescent="0.25">
      <c r="A5205" s="17" t="s">
        <v>14945</v>
      </c>
      <c r="B5205" s="17" t="s">
        <v>70</v>
      </c>
      <c r="C5205" s="17" t="s">
        <v>71</v>
      </c>
      <c r="D5205" t="s">
        <v>14943</v>
      </c>
      <c r="F5205" t="s">
        <v>1690</v>
      </c>
      <c r="K5205" s="18">
        <f>6281293599596</f>
        <v>6281293599596</v>
      </c>
      <c r="N5205" s="17" t="s">
        <v>81</v>
      </c>
      <c r="V5205" s="18">
        <f>6281293599596</f>
        <v>6281293599596</v>
      </c>
    </row>
    <row r="5206" ht="15" customHeight="1" spans="1:22" x14ac:dyDescent="0.25">
      <c r="A5206" s="17" t="s">
        <v>14946</v>
      </c>
      <c r="B5206" s="17" t="s">
        <v>70</v>
      </c>
      <c r="C5206" s="17" t="s">
        <v>71</v>
      </c>
      <c r="D5206" t="s">
        <v>14943</v>
      </c>
      <c r="F5206" t="s">
        <v>14947</v>
      </c>
      <c r="K5206" s="18">
        <f>6281293599569</f>
        <v>6281293599569</v>
      </c>
      <c r="N5206" s="17" t="s">
        <v>81</v>
      </c>
      <c r="V5206" s="18">
        <f>6281293599569</f>
        <v>6281293599569</v>
      </c>
    </row>
    <row r="5207" ht="15" customHeight="1" spans="1:28" x14ac:dyDescent="0.25">
      <c r="A5207" s="17" t="s">
        <v>14948</v>
      </c>
      <c r="B5207" s="17" t="s">
        <v>70</v>
      </c>
      <c r="C5207" s="17" t="s">
        <v>71</v>
      </c>
      <c r="D5207" t="s">
        <v>14949</v>
      </c>
      <c r="F5207" t="s">
        <v>14950</v>
      </c>
      <c r="J5207" s="17" t="s">
        <v>14951</v>
      </c>
      <c r="K5207" s="18" t="s">
        <v>14952</v>
      </c>
      <c r="N5207" s="17" t="s">
        <v>77</v>
      </c>
      <c r="O5207" t="s">
        <v>145</v>
      </c>
      <c r="V5207" s="18" t="s">
        <v>14952</v>
      </c>
      <c r="Y5207" t="s">
        <v>190</v>
      </c>
      <c r="AA5207" t="s">
        <v>118</v>
      </c>
      <c r="AB5207" t="s">
        <v>119</v>
      </c>
    </row>
    <row r="5208" ht="15" customHeight="1" spans="1:22" x14ac:dyDescent="0.25">
      <c r="A5208" s="17" t="s">
        <v>14953</v>
      </c>
      <c r="B5208" s="17" t="s">
        <v>70</v>
      </c>
      <c r="C5208" s="17" t="s">
        <v>71</v>
      </c>
      <c r="D5208" t="s">
        <v>14954</v>
      </c>
      <c r="F5208" t="s">
        <v>14955</v>
      </c>
      <c r="K5208" s="18">
        <v>8615861131692</v>
      </c>
      <c r="N5208" s="17" t="s">
        <v>77</v>
      </c>
      <c r="V5208" s="18">
        <v>8615861131692</v>
      </c>
    </row>
    <row r="5209" ht="15" customHeight="1" spans="1:23" x14ac:dyDescent="0.25">
      <c r="A5209" s="17" t="s">
        <v>14956</v>
      </c>
      <c r="B5209" s="17" t="s">
        <v>70</v>
      </c>
      <c r="C5209" s="17" t="s">
        <v>71</v>
      </c>
      <c r="D5209" t="s">
        <v>14957</v>
      </c>
      <c r="F5209" t="s">
        <v>14958</v>
      </c>
      <c r="J5209" s="17" t="s">
        <v>14959</v>
      </c>
      <c r="K5209" s="18">
        <f>6281294637250</f>
        <v>6281294637250</v>
      </c>
      <c r="N5209" s="17" t="s">
        <v>77</v>
      </c>
      <c r="U5209" s="17"/>
      <c r="V5209" s="18">
        <f>6281294637250</f>
        <v>6281294637250</v>
      </c>
      <c r="W5209" t="s">
        <v>14960</v>
      </c>
    </row>
    <row r="5210" ht="15" customHeight="1" spans="1:28" x14ac:dyDescent="0.25">
      <c r="A5210" s="17" t="s">
        <v>14961</v>
      </c>
      <c r="B5210" s="17" t="s">
        <v>70</v>
      </c>
      <c r="C5210" s="17" t="s">
        <v>71</v>
      </c>
      <c r="D5210" t="s">
        <v>14962</v>
      </c>
      <c r="F5210" t="s">
        <v>14962</v>
      </c>
      <c r="J5210" t="s">
        <v>115</v>
      </c>
      <c r="K5210" s="18" t="s">
        <v>14963</v>
      </c>
      <c r="N5210" s="17" t="s">
        <v>77</v>
      </c>
      <c r="O5210" t="s">
        <v>261</v>
      </c>
      <c r="V5210" s="18" t="s">
        <v>14963</v>
      </c>
      <c r="Y5210" t="s">
        <v>3028</v>
      </c>
      <c r="AA5210" t="s">
        <v>9062</v>
      </c>
      <c r="AB5210" t="s">
        <v>119</v>
      </c>
    </row>
    <row r="5211" ht="15" customHeight="1" spans="1:23" x14ac:dyDescent="0.25">
      <c r="A5211" s="17" t="s">
        <v>14964</v>
      </c>
      <c r="B5211" s="17" t="s">
        <v>70</v>
      </c>
      <c r="C5211" s="17" t="s">
        <v>71</v>
      </c>
      <c r="D5211" t="s">
        <v>14962</v>
      </c>
      <c r="F5211" t="s">
        <v>14962</v>
      </c>
      <c r="K5211" s="18">
        <f>6281311160220</f>
        <v>6281311160220</v>
      </c>
      <c r="N5211" s="17" t="s">
        <v>77</v>
      </c>
      <c r="U5211" s="17"/>
      <c r="V5211" s="18">
        <f>6281311160220</f>
        <v>6281311160220</v>
      </c>
      <c r="W5211" t="s">
        <v>14965</v>
      </c>
    </row>
    <row r="5212" ht="15" customHeight="1" spans="1:28" x14ac:dyDescent="0.25">
      <c r="A5212" s="17" t="s">
        <v>14966</v>
      </c>
      <c r="B5212" s="17" t="s">
        <v>70</v>
      </c>
      <c r="C5212" s="17" t="s">
        <v>71</v>
      </c>
      <c r="D5212" t="s">
        <v>14967</v>
      </c>
      <c r="F5212" t="s">
        <v>14968</v>
      </c>
      <c r="J5212" t="s">
        <v>14969</v>
      </c>
      <c r="K5212" s="18" t="s">
        <v>14970</v>
      </c>
      <c r="N5212" s="17" t="s">
        <v>77</v>
      </c>
      <c r="O5212" t="s">
        <v>117</v>
      </c>
      <c r="V5212" s="18" t="s">
        <v>14970</v>
      </c>
      <c r="Y5212" t="s">
        <v>90</v>
      </c>
      <c r="AA5212" t="s">
        <v>118</v>
      </c>
      <c r="AB5212" t="s">
        <v>119</v>
      </c>
    </row>
    <row r="5213" ht="15" customHeight="1" spans="1:23" x14ac:dyDescent="0.25">
      <c r="A5213" s="17" t="s">
        <v>14971</v>
      </c>
      <c r="B5213" s="17" t="s">
        <v>70</v>
      </c>
      <c r="C5213" s="17" t="s">
        <v>71</v>
      </c>
      <c r="D5213" t="s">
        <v>14972</v>
      </c>
      <c r="F5213" t="s">
        <v>14973</v>
      </c>
      <c r="J5213" s="17" t="s">
        <v>14974</v>
      </c>
      <c r="K5213" s="18">
        <f>919425105076</f>
        <v>919425105076</v>
      </c>
      <c r="N5213" s="17" t="s">
        <v>77</v>
      </c>
      <c r="U5213" s="17"/>
      <c r="V5213" s="18">
        <f>919425105076</f>
        <v>919425105076</v>
      </c>
      <c r="W5213" t="s">
        <v>920</v>
      </c>
    </row>
    <row r="5214" ht="15" customHeight="1" spans="1:22" x14ac:dyDescent="0.25">
      <c r="A5214" s="17" t="s">
        <v>14975</v>
      </c>
      <c r="B5214" s="17" t="s">
        <v>70</v>
      </c>
      <c r="C5214" s="17" t="s">
        <v>71</v>
      </c>
      <c r="D5214" t="s">
        <v>14976</v>
      </c>
      <c r="F5214" t="s">
        <v>14977</v>
      </c>
      <c r="K5214" s="18">
        <f>6287882925408</f>
        <v>6287882925408</v>
      </c>
      <c r="N5214" s="17" t="s">
        <v>74</v>
      </c>
      <c r="V5214" s="18">
        <f>6287882925408</f>
        <v>6287882925408</v>
      </c>
    </row>
    <row r="5215" ht="15" customHeight="1" spans="1:22" x14ac:dyDescent="0.25">
      <c r="A5215" s="17" t="s">
        <v>14978</v>
      </c>
      <c r="B5215" s="17" t="s">
        <v>70</v>
      </c>
      <c r="C5215" s="17" t="s">
        <v>71</v>
      </c>
      <c r="D5215" t="s">
        <v>7283</v>
      </c>
      <c r="F5215" t="s">
        <v>7944</v>
      </c>
      <c r="K5215" s="18">
        <f>62811893222</f>
        <v>62811893222</v>
      </c>
      <c r="N5215" s="17" t="s">
        <v>77</v>
      </c>
      <c r="V5215" s="18">
        <f>62811893222</f>
        <v>62811893222</v>
      </c>
    </row>
    <row r="5216" ht="15" customHeight="1" spans="1:28" x14ac:dyDescent="0.25">
      <c r="A5216" s="17" t="s">
        <v>14979</v>
      </c>
      <c r="B5216" s="17" t="s">
        <v>70</v>
      </c>
      <c r="C5216" s="17" t="s">
        <v>71</v>
      </c>
      <c r="D5216" t="s">
        <v>14980</v>
      </c>
      <c r="F5216" t="s">
        <v>6048</v>
      </c>
      <c r="J5216" t="s">
        <v>115</v>
      </c>
      <c r="K5216" s="18" t="s">
        <v>14981</v>
      </c>
      <c r="N5216" s="17" t="s">
        <v>77</v>
      </c>
      <c r="O5216" t="s">
        <v>489</v>
      </c>
      <c r="V5216" s="18" t="s">
        <v>14981</v>
      </c>
      <c r="Y5216" t="s">
        <v>90</v>
      </c>
      <c r="AA5216" t="s">
        <v>118</v>
      </c>
      <c r="AB5216" t="s">
        <v>119</v>
      </c>
    </row>
    <row r="5217" ht="15" customHeight="1" spans="1:22" x14ac:dyDescent="0.25">
      <c r="A5217" s="17" t="s">
        <v>14982</v>
      </c>
      <c r="B5217" s="17" t="s">
        <v>70</v>
      </c>
      <c r="C5217" s="17" t="s">
        <v>71</v>
      </c>
      <c r="D5217" t="s">
        <v>14983</v>
      </c>
      <c r="F5217" t="s">
        <v>14983</v>
      </c>
      <c r="K5217" s="18">
        <f>6281318111777</f>
        <v>6281318111777</v>
      </c>
      <c r="N5217" s="17" t="s">
        <v>74</v>
      </c>
      <c r="V5217" s="18">
        <f>6281318111777</f>
        <v>6281318111777</v>
      </c>
    </row>
    <row r="5218" ht="15" customHeight="1" spans="1:22" x14ac:dyDescent="0.25">
      <c r="A5218" s="17" t="s">
        <v>14984</v>
      </c>
      <c r="B5218" s="17" t="s">
        <v>70</v>
      </c>
      <c r="C5218" s="17" t="s">
        <v>71</v>
      </c>
      <c r="D5218" t="s">
        <v>14985</v>
      </c>
      <c r="F5218" t="s">
        <v>14985</v>
      </c>
      <c r="K5218" s="18">
        <f>6281380905857</f>
        <v>6281380905857</v>
      </c>
      <c r="N5218" s="17" t="s">
        <v>77</v>
      </c>
      <c r="V5218" s="18">
        <f>6281380905857</f>
        <v>6281380905857</v>
      </c>
    </row>
    <row r="5219" ht="15" customHeight="1" spans="1:23" x14ac:dyDescent="0.25">
      <c r="A5219" s="17" t="s">
        <v>14986</v>
      </c>
      <c r="B5219" s="17" t="s">
        <v>70</v>
      </c>
      <c r="C5219" s="17" t="s">
        <v>71</v>
      </c>
      <c r="D5219" t="s">
        <v>14985</v>
      </c>
      <c r="F5219" t="s">
        <v>3092</v>
      </c>
      <c r="J5219" s="17" t="s">
        <v>14987</v>
      </c>
      <c r="K5219" s="18">
        <f>6281297803289</f>
        <v>6281297803289</v>
      </c>
      <c r="N5219" s="17" t="s">
        <v>81</v>
      </c>
      <c r="U5219" s="17"/>
      <c r="V5219" s="18">
        <f>6281297803289</f>
        <v>6281297803289</v>
      </c>
      <c r="W5219" t="s">
        <v>14988</v>
      </c>
    </row>
    <row r="5220" ht="15" customHeight="1" spans="1:23" x14ac:dyDescent="0.25">
      <c r="A5220" s="17" t="s">
        <v>14989</v>
      </c>
      <c r="B5220" s="17" t="s">
        <v>70</v>
      </c>
      <c r="C5220" s="17" t="s">
        <v>71</v>
      </c>
      <c r="D5220" t="s">
        <v>14985</v>
      </c>
      <c r="F5220" t="s">
        <v>7124</v>
      </c>
      <c r="K5220" s="18">
        <f>19092889666</f>
        <v>19092889666</v>
      </c>
      <c r="N5220" s="17" t="s">
        <v>77</v>
      </c>
      <c r="U5220" s="17"/>
      <c r="V5220" s="18">
        <f>19092889666</f>
        <v>19092889666</v>
      </c>
      <c r="W5220" t="s">
        <v>3140</v>
      </c>
    </row>
    <row r="5221" ht="15" customHeight="1" spans="1:22" x14ac:dyDescent="0.25">
      <c r="A5221" s="17" t="s">
        <v>14990</v>
      </c>
      <c r="B5221" s="17" t="s">
        <v>70</v>
      </c>
      <c r="C5221" s="17" t="s">
        <v>71</v>
      </c>
      <c r="D5221" t="s">
        <v>14985</v>
      </c>
      <c r="F5221" t="s">
        <v>14991</v>
      </c>
      <c r="K5221" s="18">
        <f>6281288191618</f>
        <v>6281288191618</v>
      </c>
      <c r="N5221" s="17" t="s">
        <v>81</v>
      </c>
      <c r="V5221" s="18">
        <f>6281288191618</f>
        <v>6281288191618</v>
      </c>
    </row>
    <row r="5222" ht="15" customHeight="1" spans="1:28" x14ac:dyDescent="0.25">
      <c r="A5222" s="17" t="s">
        <v>14992</v>
      </c>
      <c r="B5222" s="17" t="s">
        <v>70</v>
      </c>
      <c r="C5222" s="17" t="s">
        <v>71</v>
      </c>
      <c r="D5222" t="s">
        <v>14985</v>
      </c>
      <c r="F5222" t="s">
        <v>14993</v>
      </c>
      <c r="J5222" s="17" t="s">
        <v>14994</v>
      </c>
      <c r="K5222" s="18" t="s">
        <v>14995</v>
      </c>
      <c r="N5222" s="17" t="s">
        <v>77</v>
      </c>
      <c r="O5222" t="s">
        <v>145</v>
      </c>
      <c r="U5222" s="17"/>
      <c r="V5222" s="18" t="s">
        <v>14995</v>
      </c>
      <c r="W5222" t="s">
        <v>3140</v>
      </c>
      <c r="Y5222" t="s">
        <v>115</v>
      </c>
      <c r="AA5222" t="s">
        <v>115</v>
      </c>
      <c r="AB5222" t="s">
        <v>3140</v>
      </c>
    </row>
    <row r="5223" ht="15" customHeight="1" spans="1:22" x14ac:dyDescent="0.25">
      <c r="A5223" s="17" t="s">
        <v>14996</v>
      </c>
      <c r="B5223" s="17" t="s">
        <v>70</v>
      </c>
      <c r="C5223" s="17" t="s">
        <v>71</v>
      </c>
      <c r="D5223" t="s">
        <v>14985</v>
      </c>
      <c r="F5223" t="s">
        <v>14997</v>
      </c>
      <c r="K5223" s="18">
        <f>8618201283011</f>
        <v>8618201283011</v>
      </c>
      <c r="N5223" s="17" t="s">
        <v>77</v>
      </c>
      <c r="V5223" s="18">
        <f>8618201283011</f>
        <v>8618201283011</v>
      </c>
    </row>
    <row r="5224" ht="15" customHeight="1" spans="1:28" x14ac:dyDescent="0.25">
      <c r="A5224" s="17" t="s">
        <v>14998</v>
      </c>
      <c r="B5224" s="17" t="s">
        <v>70</v>
      </c>
      <c r="C5224" s="17" t="s">
        <v>71</v>
      </c>
      <c r="D5224" t="s">
        <v>13966</v>
      </c>
      <c r="F5224" t="s">
        <v>14985</v>
      </c>
      <c r="J5224" s="17" t="s">
        <v>14999</v>
      </c>
      <c r="K5224" s="18" t="s">
        <v>15000</v>
      </c>
      <c r="N5224" s="17" t="s">
        <v>77</v>
      </c>
      <c r="O5224" t="s">
        <v>117</v>
      </c>
      <c r="V5224" s="18" t="s">
        <v>15000</v>
      </c>
      <c r="Y5224" t="s">
        <v>3140</v>
      </c>
      <c r="AA5224" t="s">
        <v>115</v>
      </c>
      <c r="AB5224" t="s">
        <v>3140</v>
      </c>
    </row>
    <row r="5225" ht="15" customHeight="1" spans="1:28" x14ac:dyDescent="0.25">
      <c r="A5225" s="17" t="s">
        <v>15001</v>
      </c>
      <c r="B5225" s="17" t="s">
        <v>70</v>
      </c>
      <c r="C5225" s="17" t="s">
        <v>71</v>
      </c>
      <c r="D5225" t="s">
        <v>14985</v>
      </c>
      <c r="F5225" t="s">
        <v>7234</v>
      </c>
      <c r="J5225" t="s">
        <v>115</v>
      </c>
      <c r="K5225" s="18" t="s">
        <v>15002</v>
      </c>
      <c r="N5225" s="17" t="s">
        <v>77</v>
      </c>
      <c r="O5225" t="s">
        <v>117</v>
      </c>
      <c r="U5225" s="17"/>
      <c r="V5225" s="18" t="s">
        <v>15002</v>
      </c>
      <c r="W5225" t="s">
        <v>3140</v>
      </c>
      <c r="Y5225" t="s">
        <v>3140</v>
      </c>
      <c r="AA5225" t="s">
        <v>115</v>
      </c>
      <c r="AB5225" t="s">
        <v>3140</v>
      </c>
    </row>
    <row r="5226" ht="15" customHeight="1" spans="1:23" x14ac:dyDescent="0.25">
      <c r="A5226" s="17" t="s">
        <v>15003</v>
      </c>
      <c r="B5226" s="17" t="s">
        <v>70</v>
      </c>
      <c r="C5226" s="17" t="s">
        <v>71</v>
      </c>
      <c r="D5226" t="s">
        <v>15004</v>
      </c>
      <c r="F5226" t="s">
        <v>15005</v>
      </c>
      <c r="K5226" s="18">
        <f>8613851511451</f>
        <v>8613851511451</v>
      </c>
      <c r="N5226" s="17" t="s">
        <v>77</v>
      </c>
      <c r="U5226" s="17"/>
      <c r="V5226" s="18">
        <f>8613851511451</f>
        <v>8613851511451</v>
      </c>
      <c r="W5226" t="s">
        <v>7376</v>
      </c>
    </row>
    <row r="5227" ht="15" customHeight="1" spans="1:23" x14ac:dyDescent="0.25">
      <c r="A5227" s="17" t="s">
        <v>15006</v>
      </c>
      <c r="B5227" s="17" t="s">
        <v>70</v>
      </c>
      <c r="C5227" s="17" t="s">
        <v>71</v>
      </c>
      <c r="D5227" t="s">
        <v>15004</v>
      </c>
      <c r="F5227" t="s">
        <v>15007</v>
      </c>
      <c r="J5227" s="17" t="s">
        <v>15008</v>
      </c>
      <c r="K5227" s="18">
        <f>447908799777</f>
        <v>447908799777</v>
      </c>
      <c r="N5227" s="17" t="s">
        <v>77</v>
      </c>
      <c r="U5227" s="17"/>
      <c r="V5227" s="18">
        <f>447908799777</f>
        <v>447908799777</v>
      </c>
      <c r="W5227" t="s">
        <v>7376</v>
      </c>
    </row>
    <row r="5228" ht="15" customHeight="1" spans="1:28" x14ac:dyDescent="0.25">
      <c r="A5228" s="17" t="s">
        <v>15009</v>
      </c>
      <c r="B5228" s="17" t="s">
        <v>70</v>
      </c>
      <c r="C5228" s="17" t="s">
        <v>71</v>
      </c>
      <c r="D5228" t="s">
        <v>6082</v>
      </c>
      <c r="F5228" t="s">
        <v>15010</v>
      </c>
      <c r="J5228" s="17" t="s">
        <v>15011</v>
      </c>
      <c r="K5228" s="18" t="s">
        <v>15012</v>
      </c>
      <c r="N5228" s="17" t="s">
        <v>77</v>
      </c>
      <c r="O5228" t="s">
        <v>117</v>
      </c>
      <c r="U5228" s="17"/>
      <c r="V5228" s="18" t="s">
        <v>15012</v>
      </c>
      <c r="W5228" t="s">
        <v>3140</v>
      </c>
      <c r="Y5228" t="s">
        <v>115</v>
      </c>
      <c r="AA5228" t="s">
        <v>115</v>
      </c>
      <c r="AB5228" t="s">
        <v>3140</v>
      </c>
    </row>
    <row r="5229" ht="15" customHeight="1" spans="1:28" x14ac:dyDescent="0.25">
      <c r="A5229" s="17" t="s">
        <v>15013</v>
      </c>
      <c r="B5229" s="17" t="s">
        <v>70</v>
      </c>
      <c r="C5229" s="17" t="s">
        <v>71</v>
      </c>
      <c r="D5229" t="s">
        <v>9240</v>
      </c>
      <c r="F5229" t="s">
        <v>15014</v>
      </c>
      <c r="J5229" t="s">
        <v>115</v>
      </c>
      <c r="K5229" s="18" t="s">
        <v>15015</v>
      </c>
      <c r="N5229" s="17" t="s">
        <v>77</v>
      </c>
      <c r="O5229" t="s">
        <v>199</v>
      </c>
      <c r="V5229" s="18" t="s">
        <v>15015</v>
      </c>
      <c r="Y5229" t="s">
        <v>115</v>
      </c>
      <c r="AA5229" t="s">
        <v>115</v>
      </c>
      <c r="AB5229" t="s">
        <v>451</v>
      </c>
    </row>
    <row r="5230" ht="15" customHeight="1" spans="1:28" x14ac:dyDescent="0.25">
      <c r="A5230" s="17" t="s">
        <v>15016</v>
      </c>
      <c r="B5230" s="17" t="s">
        <v>70</v>
      </c>
      <c r="C5230" s="17" t="s">
        <v>71</v>
      </c>
      <c r="D5230" t="s">
        <v>15017</v>
      </c>
      <c r="F5230" t="s">
        <v>15018</v>
      </c>
      <c r="J5230" s="17" t="s">
        <v>15019</v>
      </c>
      <c r="K5230" s="18" t="s">
        <v>15020</v>
      </c>
      <c r="N5230" s="17" t="s">
        <v>77</v>
      </c>
      <c r="O5230" t="s">
        <v>261</v>
      </c>
      <c r="U5230" s="17"/>
      <c r="V5230" s="18" t="s">
        <v>15020</v>
      </c>
      <c r="W5230" t="s">
        <v>1908</v>
      </c>
      <c r="Y5230" t="s">
        <v>1909</v>
      </c>
      <c r="AA5230" t="s">
        <v>115</v>
      </c>
      <c r="AB5230" t="s">
        <v>1909</v>
      </c>
    </row>
    <row r="5231" ht="15" customHeight="1" spans="1:22" x14ac:dyDescent="0.25">
      <c r="A5231" s="17" t="s">
        <v>15021</v>
      </c>
      <c r="B5231" s="17" t="s">
        <v>70</v>
      </c>
      <c r="C5231" s="17" t="s">
        <v>71</v>
      </c>
      <c r="D5231" t="s">
        <v>15022</v>
      </c>
      <c r="F5231" t="s">
        <v>15023</v>
      </c>
      <c r="K5231" s="18">
        <f>6281807372222</f>
        <v>6281807372222</v>
      </c>
      <c r="N5231" s="17" t="s">
        <v>81</v>
      </c>
      <c r="V5231" s="18">
        <f>6281807372222</f>
        <v>6281807372222</v>
      </c>
    </row>
    <row r="5232" ht="15" customHeight="1" spans="1:25" x14ac:dyDescent="0.25">
      <c r="A5232" s="17" t="s">
        <v>15024</v>
      </c>
      <c r="B5232" s="17" t="s">
        <v>70</v>
      </c>
      <c r="C5232" s="17" t="s">
        <v>71</v>
      </c>
      <c r="D5232" t="s">
        <v>15025</v>
      </c>
      <c r="F5232" t="s">
        <v>15026</v>
      </c>
      <c r="K5232" s="18">
        <f>628161330700</f>
        <v>628161330700</v>
      </c>
      <c r="N5232" s="17" t="s">
        <v>77</v>
      </c>
      <c r="U5232" s="17"/>
      <c r="V5232" s="18">
        <f>628161330700</f>
        <v>628161330700</v>
      </c>
      <c r="W5232" t="s">
        <v>15027</v>
      </c>
      <c r="Y5232" s="17" t="s">
        <v>96</v>
      </c>
    </row>
    <row r="5233" ht="15" customHeight="1" spans="1:23" x14ac:dyDescent="0.25">
      <c r="A5233" s="17" t="s">
        <v>15028</v>
      </c>
      <c r="B5233" s="17" t="s">
        <v>70</v>
      </c>
      <c r="C5233" s="17" t="s">
        <v>71</v>
      </c>
      <c r="D5233" t="s">
        <v>15029</v>
      </c>
      <c r="F5233" t="s">
        <v>15030</v>
      </c>
      <c r="K5233" s="18">
        <f>17175861704</f>
        <v>17175861704</v>
      </c>
      <c r="N5233" s="17" t="s">
        <v>77</v>
      </c>
      <c r="U5233" s="17"/>
      <c r="V5233" s="18">
        <f>17175861704</f>
        <v>17175861704</v>
      </c>
      <c r="W5233" t="s">
        <v>930</v>
      </c>
    </row>
    <row r="5234" ht="15" customHeight="1" spans="1:22" x14ac:dyDescent="0.25">
      <c r="A5234" s="17" t="s">
        <v>15031</v>
      </c>
      <c r="B5234" s="17" t="s">
        <v>70</v>
      </c>
      <c r="C5234" s="17" t="s">
        <v>71</v>
      </c>
      <c r="D5234" t="s">
        <v>15032</v>
      </c>
      <c r="F5234" t="s">
        <v>15033</v>
      </c>
      <c r="K5234" s="18">
        <f>628119199312</f>
        <v>628119199312</v>
      </c>
      <c r="N5234" s="17" t="s">
        <v>81</v>
      </c>
      <c r="V5234" s="18">
        <f>628119199312</f>
        <v>628119199312</v>
      </c>
    </row>
    <row r="5235" ht="15" customHeight="1" spans="1:22" x14ac:dyDescent="0.25">
      <c r="A5235" s="17" t="s">
        <v>15034</v>
      </c>
      <c r="B5235" s="17" t="s">
        <v>70</v>
      </c>
      <c r="C5235" s="17" t="s">
        <v>71</v>
      </c>
      <c r="D5235" t="s">
        <v>15032</v>
      </c>
      <c r="F5235" t="s">
        <v>15035</v>
      </c>
      <c r="K5235" s="18">
        <f>62816892103</f>
        <v>62816892103</v>
      </c>
      <c r="N5235" s="17" t="s">
        <v>77</v>
      </c>
      <c r="V5235" s="18">
        <f>62816892103</f>
        <v>62816892103</v>
      </c>
    </row>
    <row r="5236" ht="15" customHeight="1" spans="1:28" x14ac:dyDescent="0.25">
      <c r="A5236" s="17" t="s">
        <v>15036</v>
      </c>
      <c r="B5236" s="17" t="s">
        <v>70</v>
      </c>
      <c r="C5236" s="17" t="s">
        <v>71</v>
      </c>
      <c r="D5236" t="s">
        <v>15037</v>
      </c>
      <c r="F5236" t="s">
        <v>15038</v>
      </c>
      <c r="J5236" t="s">
        <v>115</v>
      </c>
      <c r="K5236" s="18" t="s">
        <v>15039</v>
      </c>
      <c r="N5236" s="17" t="s">
        <v>77</v>
      </c>
      <c r="O5236" t="s">
        <v>145</v>
      </c>
      <c r="U5236" s="17"/>
      <c r="V5236" s="18" t="s">
        <v>15039</v>
      </c>
      <c r="W5236" t="s">
        <v>1908</v>
      </c>
      <c r="Y5236" t="s">
        <v>1909</v>
      </c>
      <c r="AA5236" t="s">
        <v>115</v>
      </c>
      <c r="AB5236" t="s">
        <v>1909</v>
      </c>
    </row>
    <row r="5237" ht="15" customHeight="1" spans="1:22" x14ac:dyDescent="0.25">
      <c r="A5237" s="17" t="s">
        <v>15040</v>
      </c>
      <c r="B5237" s="17" t="s">
        <v>70</v>
      </c>
      <c r="C5237" s="17" t="s">
        <v>71</v>
      </c>
      <c r="D5237" t="s">
        <v>15041</v>
      </c>
      <c r="F5237" t="s">
        <v>8858</v>
      </c>
      <c r="K5237" s="18">
        <f>6282115009888</f>
        <v>6282115009888</v>
      </c>
      <c r="N5237" s="17" t="s">
        <v>77</v>
      </c>
      <c r="V5237" s="18">
        <f>6282115009888</f>
        <v>6282115009888</v>
      </c>
    </row>
    <row r="5238" ht="15" customHeight="1" spans="1:23" x14ac:dyDescent="0.25">
      <c r="A5238" s="17" t="s">
        <v>15042</v>
      </c>
      <c r="B5238" s="17" t="s">
        <v>70</v>
      </c>
      <c r="C5238" s="17" t="s">
        <v>71</v>
      </c>
      <c r="D5238" t="s">
        <v>15043</v>
      </c>
      <c r="F5238" t="s">
        <v>15044</v>
      </c>
      <c r="K5238" s="18">
        <f>79854547176</f>
        <v>79854547176</v>
      </c>
      <c r="N5238" s="17" t="s">
        <v>77</v>
      </c>
      <c r="U5238" s="17"/>
      <c r="V5238" s="18">
        <f>79854547176</f>
        <v>79854547176</v>
      </c>
      <c r="W5238" t="s">
        <v>1909</v>
      </c>
    </row>
    <row r="5239" ht="15" customHeight="1" spans="1:22" x14ac:dyDescent="0.25">
      <c r="A5239" s="17" t="s">
        <v>15045</v>
      </c>
      <c r="B5239" s="17" t="s">
        <v>70</v>
      </c>
      <c r="C5239" s="17" t="s">
        <v>71</v>
      </c>
      <c r="D5239" t="s">
        <v>9048</v>
      </c>
      <c r="F5239" t="s">
        <v>9048</v>
      </c>
      <c r="K5239" s="18">
        <f>628128183288</f>
        <v>628128183288</v>
      </c>
      <c r="N5239" s="17" t="s">
        <v>77</v>
      </c>
      <c r="V5239" s="18">
        <f>628128183288</f>
        <v>628128183288</v>
      </c>
    </row>
    <row r="5240" ht="15" customHeight="1" spans="1:25" x14ac:dyDescent="0.25">
      <c r="A5240" s="17" t="s">
        <v>15046</v>
      </c>
      <c r="B5240" s="17" t="s">
        <v>70</v>
      </c>
      <c r="C5240" s="17" t="s">
        <v>71</v>
      </c>
      <c r="D5240" t="s">
        <v>9048</v>
      </c>
      <c r="F5240" t="s">
        <v>8225</v>
      </c>
      <c r="K5240" s="18">
        <f>622184597915</f>
        <v>622184597915</v>
      </c>
      <c r="N5240" s="17" t="s">
        <v>77</v>
      </c>
      <c r="U5240" s="17"/>
      <c r="V5240" s="18">
        <f>622184597915</f>
        <v>622184597915</v>
      </c>
      <c r="W5240" t="s">
        <v>15047</v>
      </c>
      <c r="Y5240" s="17" t="s">
        <v>515</v>
      </c>
    </row>
    <row r="5241" ht="15" customHeight="1" spans="1:22" x14ac:dyDescent="0.25">
      <c r="A5241" s="17" t="s">
        <v>15048</v>
      </c>
      <c r="B5241" s="17" t="s">
        <v>70</v>
      </c>
      <c r="C5241" s="17" t="s">
        <v>71</v>
      </c>
      <c r="D5241" t="s">
        <v>15049</v>
      </c>
      <c r="F5241" t="s">
        <v>15049</v>
      </c>
      <c r="K5241" s="18">
        <f>628121029706</f>
        <v>628121029706</v>
      </c>
      <c r="N5241" s="17" t="s">
        <v>81</v>
      </c>
      <c r="V5241" s="18">
        <f>628121029706</f>
        <v>628121029706</v>
      </c>
    </row>
    <row r="5242" ht="15" customHeight="1" spans="1:23" x14ac:dyDescent="0.25">
      <c r="A5242" s="17" t="s">
        <v>15050</v>
      </c>
      <c r="B5242" s="17" t="s">
        <v>70</v>
      </c>
      <c r="C5242" s="17" t="s">
        <v>71</v>
      </c>
      <c r="D5242" t="s">
        <v>15051</v>
      </c>
      <c r="F5242" t="s">
        <v>15052</v>
      </c>
      <c r="K5242" s="18">
        <f>905461066724</f>
        <v>905461066724</v>
      </c>
      <c r="N5242" s="17" t="s">
        <v>77</v>
      </c>
      <c r="U5242" s="17"/>
      <c r="V5242" s="18">
        <f>905461066724</f>
        <v>905461066724</v>
      </c>
      <c r="W5242" t="s">
        <v>1908</v>
      </c>
    </row>
    <row r="5243" ht="15" customHeight="1" spans="1:22" x14ac:dyDescent="0.25">
      <c r="A5243" s="17" t="s">
        <v>15053</v>
      </c>
      <c r="B5243" s="17" t="s">
        <v>70</v>
      </c>
      <c r="C5243" s="17" t="s">
        <v>71</v>
      </c>
      <c r="D5243" t="s">
        <v>15054</v>
      </c>
      <c r="F5243" t="s">
        <v>15054</v>
      </c>
      <c r="K5243" s="18">
        <f>6281398987577</f>
        <v>6281398987577</v>
      </c>
      <c r="N5243" s="17" t="s">
        <v>77</v>
      </c>
      <c r="V5243" s="18">
        <f>6281398987577</f>
        <v>6281398987577</v>
      </c>
    </row>
    <row r="5244" ht="15" customHeight="1" spans="1:28" x14ac:dyDescent="0.25">
      <c r="A5244" s="17" t="s">
        <v>15055</v>
      </c>
      <c r="B5244" s="17" t="s">
        <v>70</v>
      </c>
      <c r="C5244" s="17" t="s">
        <v>71</v>
      </c>
      <c r="D5244" t="s">
        <v>15056</v>
      </c>
      <c r="F5244" t="s">
        <v>2266</v>
      </c>
      <c r="J5244" t="s">
        <v>115</v>
      </c>
      <c r="K5244" s="18" t="s">
        <v>15057</v>
      </c>
      <c r="N5244" s="17" t="s">
        <v>77</v>
      </c>
      <c r="O5244" t="s">
        <v>117</v>
      </c>
      <c r="V5244" s="18" t="s">
        <v>15057</v>
      </c>
      <c r="Y5244" t="s">
        <v>181</v>
      </c>
      <c r="AA5244" t="s">
        <v>1672</v>
      </c>
      <c r="AB5244" t="s">
        <v>119</v>
      </c>
    </row>
    <row r="5245" ht="15" customHeight="1" spans="1:22" x14ac:dyDescent="0.25">
      <c r="A5245" s="17" t="s">
        <v>15058</v>
      </c>
      <c r="B5245" s="17" t="s">
        <v>70</v>
      </c>
      <c r="C5245" s="17" t="s">
        <v>71</v>
      </c>
      <c r="D5245" t="s">
        <v>15059</v>
      </c>
      <c r="F5245" t="s">
        <v>799</v>
      </c>
      <c r="K5245" s="18">
        <f>6281519169031</f>
        <v>6281519169031</v>
      </c>
      <c r="N5245" s="17" t="s">
        <v>74</v>
      </c>
      <c r="V5245" s="18">
        <f>6281519169031</f>
        <v>6281519169031</v>
      </c>
    </row>
    <row r="5246" ht="15" customHeight="1" spans="1:23" x14ac:dyDescent="0.25">
      <c r="A5246" s="17" t="s">
        <v>15060</v>
      </c>
      <c r="B5246" s="17" t="s">
        <v>70</v>
      </c>
      <c r="C5246" s="17" t="s">
        <v>71</v>
      </c>
      <c r="D5246" t="s">
        <v>15061</v>
      </c>
      <c r="F5246" t="s">
        <v>14579</v>
      </c>
      <c r="K5246" s="18">
        <f>3607721839</f>
        <v>3607721839</v>
      </c>
      <c r="N5246" s="17" t="s">
        <v>77</v>
      </c>
      <c r="U5246" s="17"/>
      <c r="V5246" s="18">
        <f>3607721839</f>
        <v>3607721839</v>
      </c>
      <c r="W5246" t="s">
        <v>15062</v>
      </c>
    </row>
    <row r="5247" ht="15" customHeight="1" spans="1:27" x14ac:dyDescent="0.25">
      <c r="A5247" s="17" t="s">
        <v>15063</v>
      </c>
      <c r="B5247" s="17" t="s">
        <v>70</v>
      </c>
      <c r="C5247" s="17" t="s">
        <v>71</v>
      </c>
      <c r="D5247" t="s">
        <v>6442</v>
      </c>
      <c r="F5247" t="s">
        <v>15064</v>
      </c>
      <c r="K5247" s="18">
        <f>628553706242</f>
        <v>628553706242</v>
      </c>
      <c r="N5247" s="17" t="s">
        <v>77</v>
      </c>
      <c r="U5247" s="17"/>
      <c r="V5247" s="18">
        <f>628553706242</f>
        <v>628553706242</v>
      </c>
      <c r="W5247" t="s">
        <v>15065</v>
      </c>
      <c r="Y5247" s="17" t="s">
        <v>181</v>
      </c>
      <c r="AA5247" s="17" t="s">
        <v>180</v>
      </c>
    </row>
    <row r="5248" ht="15" customHeight="1" spans="1:22" x14ac:dyDescent="0.25">
      <c r="A5248" s="17" t="s">
        <v>15066</v>
      </c>
      <c r="B5248" s="17" t="s">
        <v>70</v>
      </c>
      <c r="C5248" s="17" t="s">
        <v>71</v>
      </c>
      <c r="D5248" t="s">
        <v>6442</v>
      </c>
      <c r="F5248" t="s">
        <v>15067</v>
      </c>
      <c r="K5248" s="18">
        <f>6281337407552</f>
        <v>6281337407552</v>
      </c>
      <c r="N5248" s="17" t="s">
        <v>81</v>
      </c>
      <c r="V5248" s="18">
        <f>6281337407552</f>
        <v>6281337407552</v>
      </c>
    </row>
    <row r="5249" ht="15" customHeight="1" spans="1:28" x14ac:dyDescent="0.25">
      <c r="A5249" s="17" t="s">
        <v>15068</v>
      </c>
      <c r="B5249" s="17" t="s">
        <v>70</v>
      </c>
      <c r="C5249" s="17" t="s">
        <v>71</v>
      </c>
      <c r="D5249" t="s">
        <v>8709</v>
      </c>
      <c r="F5249" t="s">
        <v>15069</v>
      </c>
      <c r="J5249" s="17" t="s">
        <v>15070</v>
      </c>
      <c r="K5249" s="18" t="s">
        <v>15071</v>
      </c>
      <c r="N5249" s="17" t="s">
        <v>77</v>
      </c>
      <c r="O5249" t="s">
        <v>261</v>
      </c>
      <c r="U5249" s="17"/>
      <c r="V5249" s="18" t="s">
        <v>15071</v>
      </c>
      <c r="W5249" t="s">
        <v>250</v>
      </c>
      <c r="Y5249" t="s">
        <v>250</v>
      </c>
      <c r="AA5249" t="s">
        <v>115</v>
      </c>
      <c r="AB5249" t="s">
        <v>119</v>
      </c>
    </row>
    <row r="5250" ht="15" customHeight="1" spans="1:22" x14ac:dyDescent="0.25">
      <c r="A5250" s="17" t="s">
        <v>15072</v>
      </c>
      <c r="B5250" s="17" t="s">
        <v>70</v>
      </c>
      <c r="C5250" s="17" t="s">
        <v>71</v>
      </c>
      <c r="D5250" t="s">
        <v>15073</v>
      </c>
      <c r="F5250" t="s">
        <v>15074</v>
      </c>
      <c r="K5250" s="18">
        <f>6281310282810</f>
        <v>6281310282810</v>
      </c>
      <c r="N5250" s="17" t="s">
        <v>74</v>
      </c>
      <c r="V5250" s="18">
        <f>6281310282810</f>
        <v>6281310282810</v>
      </c>
    </row>
    <row r="5251" ht="15" customHeight="1" spans="1:22" x14ac:dyDescent="0.25">
      <c r="A5251" s="17" t="s">
        <v>15075</v>
      </c>
      <c r="B5251" s="17" t="s">
        <v>70</v>
      </c>
      <c r="C5251" s="17" t="s">
        <v>71</v>
      </c>
      <c r="D5251" t="s">
        <v>15076</v>
      </c>
      <c r="F5251" t="s">
        <v>15077</v>
      </c>
      <c r="K5251" s="18">
        <f>628161815610</f>
        <v>628161815610</v>
      </c>
      <c r="N5251" s="17" t="s">
        <v>74</v>
      </c>
      <c r="V5251" s="18">
        <f>628161815610</f>
        <v>628161815610</v>
      </c>
    </row>
    <row r="5252" ht="15" customHeight="1" spans="1:22" x14ac:dyDescent="0.25">
      <c r="A5252" s="17" t="s">
        <v>15078</v>
      </c>
      <c r="B5252" s="17" t="s">
        <v>70</v>
      </c>
      <c r="C5252" s="17" t="s">
        <v>71</v>
      </c>
      <c r="D5252" t="s">
        <v>15079</v>
      </c>
      <c r="F5252" t="s">
        <v>15080</v>
      </c>
      <c r="K5252" s="18">
        <f>6281617776109</f>
        <v>6281617776109</v>
      </c>
      <c r="N5252" s="17" t="s">
        <v>77</v>
      </c>
      <c r="V5252" s="18">
        <f>6281617776109</f>
        <v>6281617776109</v>
      </c>
    </row>
    <row r="5253" ht="15" customHeight="1" spans="1:22" x14ac:dyDescent="0.25">
      <c r="A5253" s="17" t="s">
        <v>15081</v>
      </c>
      <c r="B5253" s="17" t="s">
        <v>70</v>
      </c>
      <c r="C5253" s="17" t="s">
        <v>71</v>
      </c>
      <c r="D5253" t="s">
        <v>15082</v>
      </c>
      <c r="F5253" t="s">
        <v>15083</v>
      </c>
      <c r="K5253" s="18">
        <f>85205762727</f>
        <v>85205762727</v>
      </c>
      <c r="N5253" s="17" t="s">
        <v>81</v>
      </c>
      <c r="V5253" s="18">
        <f>85205762727</f>
        <v>85205762727</v>
      </c>
    </row>
    <row r="5254" ht="15" customHeight="1" spans="1:28" x14ac:dyDescent="0.25">
      <c r="A5254" s="17" t="s">
        <v>15084</v>
      </c>
      <c r="B5254" s="17" t="s">
        <v>70</v>
      </c>
      <c r="C5254" s="17" t="s">
        <v>71</v>
      </c>
      <c r="D5254" t="s">
        <v>15082</v>
      </c>
      <c r="F5254" t="s">
        <v>15085</v>
      </c>
      <c r="J5254" s="17" t="s">
        <v>15086</v>
      </c>
      <c r="K5254" s="18" t="s">
        <v>15087</v>
      </c>
      <c r="N5254" s="17" t="s">
        <v>77</v>
      </c>
      <c r="O5254" t="s">
        <v>117</v>
      </c>
      <c r="V5254" s="18" t="s">
        <v>15087</v>
      </c>
      <c r="Y5254" t="s">
        <v>115</v>
      </c>
      <c r="AA5254" t="s">
        <v>115</v>
      </c>
      <c r="AB5254" t="s">
        <v>3140</v>
      </c>
    </row>
    <row r="5255" ht="15" customHeight="1" spans="1:22" x14ac:dyDescent="0.25">
      <c r="A5255" s="17" t="s">
        <v>15088</v>
      </c>
      <c r="B5255" s="17" t="s">
        <v>70</v>
      </c>
      <c r="C5255" s="17" t="s">
        <v>71</v>
      </c>
      <c r="D5255" t="s">
        <v>15089</v>
      </c>
      <c r="F5255" t="s">
        <v>15089</v>
      </c>
      <c r="K5255" s="18">
        <f>62816999671</f>
        <v>62816999671</v>
      </c>
      <c r="N5255" s="17" t="s">
        <v>77</v>
      </c>
      <c r="V5255" s="18">
        <f>62816999671</f>
        <v>62816999671</v>
      </c>
    </row>
    <row r="5256" ht="15" customHeight="1" spans="1:28" x14ac:dyDescent="0.25">
      <c r="A5256" s="17" t="s">
        <v>15090</v>
      </c>
      <c r="B5256" s="17" t="s">
        <v>70</v>
      </c>
      <c r="C5256" s="17" t="s">
        <v>71</v>
      </c>
      <c r="D5256" t="s">
        <v>15091</v>
      </c>
      <c r="F5256" t="s">
        <v>13478</v>
      </c>
      <c r="J5256" s="17" t="s">
        <v>15092</v>
      </c>
      <c r="K5256" s="18" t="s">
        <v>15093</v>
      </c>
      <c r="N5256" s="17" t="s">
        <v>77</v>
      </c>
      <c r="O5256" t="s">
        <v>145</v>
      </c>
      <c r="U5256" s="17"/>
      <c r="V5256" s="18" t="s">
        <v>15093</v>
      </c>
      <c r="W5256" t="s">
        <v>15094</v>
      </c>
      <c r="Y5256" s="17" t="s">
        <v>90</v>
      </c>
      <c r="AA5256" t="s">
        <v>118</v>
      </c>
      <c r="AB5256" t="s">
        <v>119</v>
      </c>
    </row>
    <row r="5257" ht="15" customHeight="1" spans="1:22" x14ac:dyDescent="0.25">
      <c r="A5257" s="17" t="s">
        <v>15095</v>
      </c>
      <c r="B5257" s="17" t="s">
        <v>70</v>
      </c>
      <c r="C5257" s="17" t="s">
        <v>71</v>
      </c>
      <c r="D5257" t="s">
        <v>15096</v>
      </c>
      <c r="F5257" t="s">
        <v>1589</v>
      </c>
      <c r="K5257" s="18">
        <v>81226855058</v>
      </c>
      <c r="N5257" s="17" t="s">
        <v>81</v>
      </c>
      <c r="V5257" s="18">
        <v>81226855058</v>
      </c>
    </row>
    <row r="5258" ht="15" customHeight="1" spans="1:28" x14ac:dyDescent="0.25">
      <c r="A5258" s="17" t="s">
        <v>15097</v>
      </c>
      <c r="B5258" s="17" t="s">
        <v>70</v>
      </c>
      <c r="C5258" s="17" t="s">
        <v>71</v>
      </c>
      <c r="D5258" t="s">
        <v>15098</v>
      </c>
      <c r="F5258" t="s">
        <v>15099</v>
      </c>
      <c r="J5258" t="s">
        <v>115</v>
      </c>
      <c r="K5258" s="18" t="s">
        <v>15100</v>
      </c>
      <c r="N5258" s="17" t="s">
        <v>74</v>
      </c>
      <c r="O5258" t="s">
        <v>117</v>
      </c>
      <c r="V5258" s="18" t="s">
        <v>15100</v>
      </c>
      <c r="Y5258" t="s">
        <v>217</v>
      </c>
      <c r="AA5258" t="s">
        <v>218</v>
      </c>
      <c r="AB5258" t="s">
        <v>119</v>
      </c>
    </row>
    <row r="5259" ht="15" customHeight="1" spans="1:22" x14ac:dyDescent="0.25">
      <c r="A5259" s="17" t="s">
        <v>15101</v>
      </c>
      <c r="B5259" s="17" t="s">
        <v>70</v>
      </c>
      <c r="C5259" s="17" t="s">
        <v>71</v>
      </c>
      <c r="D5259" t="s">
        <v>15098</v>
      </c>
      <c r="F5259" t="s">
        <v>7909</v>
      </c>
      <c r="K5259" s="18">
        <f>62818761178</f>
        <v>62818761178</v>
      </c>
      <c r="N5259" s="17" t="s">
        <v>81</v>
      </c>
      <c r="V5259" s="18">
        <f>62818761178</f>
        <v>62818761178</v>
      </c>
    </row>
    <row r="5260" ht="15" customHeight="1" spans="1:22" x14ac:dyDescent="0.25">
      <c r="A5260" s="17" t="s">
        <v>15102</v>
      </c>
      <c r="B5260" s="17" t="s">
        <v>70</v>
      </c>
      <c r="C5260" s="17" t="s">
        <v>71</v>
      </c>
      <c r="D5260" t="s">
        <v>15098</v>
      </c>
      <c r="F5260" t="s">
        <v>15099</v>
      </c>
      <c r="K5260" s="18">
        <f>62818118890</f>
        <v>62818118890</v>
      </c>
      <c r="N5260" s="17" t="s">
        <v>77</v>
      </c>
      <c r="V5260" s="18">
        <f>62818118890</f>
        <v>62818118890</v>
      </c>
    </row>
    <row r="5261" ht="15" customHeight="1" spans="1:22" x14ac:dyDescent="0.25">
      <c r="A5261" s="17" t="s">
        <v>15103</v>
      </c>
      <c r="B5261" s="17" t="s">
        <v>70</v>
      </c>
      <c r="C5261" s="17" t="s">
        <v>71</v>
      </c>
      <c r="D5261" t="s">
        <v>15098</v>
      </c>
      <c r="F5261" t="s">
        <v>15104</v>
      </c>
      <c r="K5261" s="18">
        <f>6231771714</f>
        <v>6231771714</v>
      </c>
      <c r="N5261" s="17" t="s">
        <v>77</v>
      </c>
      <c r="V5261" s="18">
        <f>6231771714</f>
        <v>6231771714</v>
      </c>
    </row>
    <row r="5262" ht="15" customHeight="1" spans="1:23" x14ac:dyDescent="0.25">
      <c r="A5262" s="17" t="s">
        <v>15105</v>
      </c>
      <c r="B5262" s="17" t="s">
        <v>70</v>
      </c>
      <c r="C5262" s="17" t="s">
        <v>71</v>
      </c>
      <c r="D5262" t="s">
        <v>15106</v>
      </c>
      <c r="F5262" t="s">
        <v>15107</v>
      </c>
      <c r="K5262" s="18">
        <f>6596737988</f>
        <v>6596737988</v>
      </c>
      <c r="N5262" s="17" t="s">
        <v>74</v>
      </c>
      <c r="U5262" s="17"/>
      <c r="V5262" s="18">
        <f>6596737988</f>
        <v>6596737988</v>
      </c>
      <c r="W5262" t="s">
        <v>15108</v>
      </c>
    </row>
    <row r="5263" ht="15" customHeight="1" spans="1:23" x14ac:dyDescent="0.25">
      <c r="A5263" s="17" t="s">
        <v>15109</v>
      </c>
      <c r="B5263" s="17" t="s">
        <v>70</v>
      </c>
      <c r="C5263" s="17" t="s">
        <v>71</v>
      </c>
      <c r="D5263" t="s">
        <v>15110</v>
      </c>
      <c r="F5263" t="s">
        <v>15111</v>
      </c>
      <c r="K5263" s="18">
        <f>628118303032</f>
        <v>628118303032</v>
      </c>
      <c r="N5263" s="17" t="s">
        <v>81</v>
      </c>
      <c r="U5263" s="17"/>
      <c r="V5263" s="18">
        <f>628118303032</f>
        <v>628118303032</v>
      </c>
      <c r="W5263" t="s">
        <v>15112</v>
      </c>
    </row>
    <row r="5264" ht="15" customHeight="1" spans="1:22" x14ac:dyDescent="0.25">
      <c r="A5264" s="17" t="s">
        <v>15113</v>
      </c>
      <c r="B5264" s="17" t="s">
        <v>70</v>
      </c>
      <c r="C5264" s="17" t="s">
        <v>71</v>
      </c>
      <c r="D5264" t="s">
        <v>341</v>
      </c>
      <c r="F5264" t="s">
        <v>3346</v>
      </c>
      <c r="K5264" s="18">
        <f>628161975324</f>
        <v>628161975324</v>
      </c>
      <c r="N5264" s="17" t="s">
        <v>77</v>
      </c>
      <c r="V5264" s="18">
        <f>628161975324</f>
        <v>628161975324</v>
      </c>
    </row>
    <row r="5265" ht="15" customHeight="1" spans="1:28" x14ac:dyDescent="0.25">
      <c r="A5265" s="17" t="s">
        <v>15114</v>
      </c>
      <c r="B5265" s="17" t="s">
        <v>70</v>
      </c>
      <c r="C5265" s="17" t="s">
        <v>71</v>
      </c>
      <c r="D5265" t="s">
        <v>15115</v>
      </c>
      <c r="F5265" t="s">
        <v>15116</v>
      </c>
      <c r="J5265" t="s">
        <v>115</v>
      </c>
      <c r="K5265" s="18" t="s">
        <v>15117</v>
      </c>
      <c r="N5265" s="17" t="s">
        <v>77</v>
      </c>
      <c r="O5265" t="s">
        <v>117</v>
      </c>
      <c r="V5265" s="18" t="s">
        <v>15117</v>
      </c>
      <c r="Y5265" t="s">
        <v>190</v>
      </c>
      <c r="AA5265" t="s">
        <v>118</v>
      </c>
      <c r="AB5265" t="s">
        <v>119</v>
      </c>
    </row>
    <row r="5266" ht="15" customHeight="1" spans="1:22" x14ac:dyDescent="0.25">
      <c r="A5266" s="17" t="s">
        <v>15118</v>
      </c>
      <c r="B5266" s="17" t="s">
        <v>70</v>
      </c>
      <c r="C5266" s="17" t="s">
        <v>71</v>
      </c>
      <c r="D5266" t="s">
        <v>15119</v>
      </c>
      <c r="F5266" t="s">
        <v>282</v>
      </c>
      <c r="K5266" s="18">
        <f>628111097750</f>
        <v>628111097750</v>
      </c>
      <c r="N5266" s="17" t="s">
        <v>74</v>
      </c>
      <c r="V5266" s="18">
        <f>628111097750</f>
        <v>628111097750</v>
      </c>
    </row>
    <row r="5267" ht="15" customHeight="1" spans="1:22" x14ac:dyDescent="0.25">
      <c r="A5267" s="17" t="s">
        <v>15120</v>
      </c>
      <c r="B5267" s="17" t="s">
        <v>70</v>
      </c>
      <c r="C5267" s="17" t="s">
        <v>71</v>
      </c>
      <c r="D5267" t="s">
        <v>15121</v>
      </c>
      <c r="F5267" t="s">
        <v>15121</v>
      </c>
      <c r="K5267" s="18">
        <f>62811803159</f>
        <v>62811803159</v>
      </c>
      <c r="N5267" s="17" t="s">
        <v>81</v>
      </c>
      <c r="V5267" s="18">
        <f>62811803159</f>
        <v>62811803159</v>
      </c>
    </row>
    <row r="5268" ht="15" customHeight="1" spans="1:23" x14ac:dyDescent="0.25">
      <c r="A5268" s="17" t="s">
        <v>15122</v>
      </c>
      <c r="B5268" s="17" t="s">
        <v>70</v>
      </c>
      <c r="C5268" s="17" t="s">
        <v>71</v>
      </c>
      <c r="D5268" t="s">
        <v>15123</v>
      </c>
      <c r="F5268" t="s">
        <v>15124</v>
      </c>
      <c r="J5268" s="17" t="s">
        <v>15125</v>
      </c>
      <c r="K5268" s="18">
        <f>60129691202</f>
        <v>60129691202</v>
      </c>
      <c r="N5268" s="17" t="s">
        <v>77</v>
      </c>
      <c r="U5268" s="17"/>
      <c r="V5268" s="18">
        <f>60129691202</f>
        <v>60129691202</v>
      </c>
      <c r="W5268" t="s">
        <v>15126</v>
      </c>
    </row>
    <row r="5269" ht="15" customHeight="1" spans="1:22" x14ac:dyDescent="0.25">
      <c r="A5269" s="17" t="s">
        <v>15127</v>
      </c>
      <c r="B5269" s="17" t="s">
        <v>70</v>
      </c>
      <c r="C5269" s="17" t="s">
        <v>71</v>
      </c>
      <c r="D5269" t="s">
        <v>15123</v>
      </c>
      <c r="F5269" t="s">
        <v>15124</v>
      </c>
      <c r="J5269" s="17" t="s">
        <v>15128</v>
      </c>
      <c r="K5269" s="18">
        <f>6260129691202</f>
        <v>6260129691202</v>
      </c>
      <c r="N5269" s="17" t="s">
        <v>77</v>
      </c>
      <c r="V5269" s="18">
        <f>6260129691202</f>
        <v>6260129691202</v>
      </c>
    </row>
    <row r="5270" ht="15" customHeight="1" spans="1:22" x14ac:dyDescent="0.25">
      <c r="A5270" s="17" t="s">
        <v>15129</v>
      </c>
      <c r="B5270" s="17" t="s">
        <v>70</v>
      </c>
      <c r="C5270" s="17" t="s">
        <v>71</v>
      </c>
      <c r="D5270" t="s">
        <v>15130</v>
      </c>
      <c r="F5270" t="s">
        <v>15130</v>
      </c>
      <c r="K5270" s="18">
        <f>6281586416900</f>
        <v>6281586416900</v>
      </c>
      <c r="N5270" s="17" t="s">
        <v>77</v>
      </c>
      <c r="V5270" s="18">
        <f>6281586416900</f>
        <v>6281586416900</v>
      </c>
    </row>
    <row r="5271" ht="15" customHeight="1" spans="1:22" x14ac:dyDescent="0.25">
      <c r="A5271" s="17" t="s">
        <v>15131</v>
      </c>
      <c r="B5271" s="17" t="s">
        <v>70</v>
      </c>
      <c r="C5271" s="17" t="s">
        <v>71</v>
      </c>
      <c r="D5271" t="s">
        <v>15130</v>
      </c>
      <c r="F5271" t="s">
        <v>15132</v>
      </c>
      <c r="K5271" s="18">
        <f>628121270123</f>
        <v>628121270123</v>
      </c>
      <c r="N5271" s="17" t="s">
        <v>77</v>
      </c>
      <c r="V5271" s="18">
        <f>628121270123</f>
        <v>628121270123</v>
      </c>
    </row>
    <row r="5272" ht="15" customHeight="1" spans="1:25" x14ac:dyDescent="0.25">
      <c r="A5272" s="17" t="s">
        <v>15133</v>
      </c>
      <c r="B5272" s="17" t="s">
        <v>70</v>
      </c>
      <c r="C5272" s="17" t="s">
        <v>71</v>
      </c>
      <c r="D5272" t="s">
        <v>15130</v>
      </c>
      <c r="F5272" t="s">
        <v>2320</v>
      </c>
      <c r="K5272" s="18">
        <f>6281140946</f>
        <v>6281140946</v>
      </c>
      <c r="N5272" s="17" t="s">
        <v>77</v>
      </c>
      <c r="U5272" s="17"/>
      <c r="V5272" s="18">
        <f>6281140946</f>
        <v>6281140946</v>
      </c>
      <c r="W5272" t="s">
        <v>15134</v>
      </c>
      <c r="Y5272" s="17" t="s">
        <v>90</v>
      </c>
    </row>
    <row r="5273" ht="15" customHeight="1" spans="1:22" x14ac:dyDescent="0.25">
      <c r="A5273" s="17" t="s">
        <v>15135</v>
      </c>
      <c r="B5273" s="17" t="s">
        <v>70</v>
      </c>
      <c r="C5273" s="17" t="s">
        <v>71</v>
      </c>
      <c r="D5273" t="s">
        <v>15130</v>
      </c>
      <c r="F5273" t="s">
        <v>15136</v>
      </c>
      <c r="K5273" s="18">
        <f>6282137947656</f>
        <v>6282137947656</v>
      </c>
      <c r="N5273" s="17" t="s">
        <v>81</v>
      </c>
      <c r="V5273" s="18">
        <f>6282137947656</f>
        <v>6282137947656</v>
      </c>
    </row>
    <row r="5274" ht="15" customHeight="1" spans="1:28" x14ac:dyDescent="0.25">
      <c r="A5274" s="17" t="s">
        <v>15137</v>
      </c>
      <c r="B5274" s="17" t="s">
        <v>70</v>
      </c>
      <c r="C5274" s="17" t="s">
        <v>71</v>
      </c>
      <c r="D5274" t="s">
        <v>15138</v>
      </c>
      <c r="F5274" t="s">
        <v>15138</v>
      </c>
      <c r="J5274" t="s">
        <v>115</v>
      </c>
      <c r="K5274" s="18" t="s">
        <v>15139</v>
      </c>
      <c r="N5274" s="17" t="s">
        <v>77</v>
      </c>
      <c r="O5274" t="s">
        <v>199</v>
      </c>
      <c r="V5274" s="18" t="s">
        <v>15139</v>
      </c>
      <c r="Y5274" t="s">
        <v>115</v>
      </c>
      <c r="AA5274" t="s">
        <v>115</v>
      </c>
      <c r="AB5274" t="s">
        <v>119</v>
      </c>
    </row>
    <row r="5275" ht="15" customHeight="1" spans="1:22" x14ac:dyDescent="0.25">
      <c r="A5275" s="17" t="s">
        <v>15140</v>
      </c>
      <c r="B5275" s="17" t="s">
        <v>70</v>
      </c>
      <c r="C5275" s="17" t="s">
        <v>71</v>
      </c>
      <c r="D5275" t="s">
        <v>15141</v>
      </c>
      <c r="F5275" t="s">
        <v>3869</v>
      </c>
      <c r="K5275" s="18">
        <f>6282123480735</f>
        <v>6282123480735</v>
      </c>
      <c r="N5275" s="17" t="s">
        <v>77</v>
      </c>
      <c r="V5275" s="18">
        <f>6282123480735</f>
        <v>6282123480735</v>
      </c>
    </row>
    <row r="5276" ht="15" customHeight="1" spans="1:28" x14ac:dyDescent="0.25">
      <c r="A5276" s="17" t="s">
        <v>15142</v>
      </c>
      <c r="B5276" s="17" t="s">
        <v>70</v>
      </c>
      <c r="C5276" s="17" t="s">
        <v>71</v>
      </c>
      <c r="D5276" t="s">
        <v>15143</v>
      </c>
      <c r="F5276" t="s">
        <v>15144</v>
      </c>
      <c r="J5276" s="17" t="s">
        <v>15145</v>
      </c>
      <c r="K5276" s="18" t="s">
        <v>15146</v>
      </c>
      <c r="N5276" s="17" t="s">
        <v>77</v>
      </c>
      <c r="O5276" t="s">
        <v>145</v>
      </c>
      <c r="U5276" s="17"/>
      <c r="V5276" s="18" t="s">
        <v>15146</v>
      </c>
      <c r="W5276" t="s">
        <v>15147</v>
      </c>
      <c r="Y5276" t="s">
        <v>262</v>
      </c>
      <c r="AA5276" t="s">
        <v>115</v>
      </c>
      <c r="AB5276" t="s">
        <v>119</v>
      </c>
    </row>
    <row r="5277" ht="15" customHeight="1" spans="1:23" x14ac:dyDescent="0.25">
      <c r="A5277" s="17" t="s">
        <v>15148</v>
      </c>
      <c r="B5277" s="17" t="s">
        <v>70</v>
      </c>
      <c r="C5277" s="17" t="s">
        <v>71</v>
      </c>
      <c r="D5277" t="s">
        <v>15149</v>
      </c>
      <c r="F5277" t="s">
        <v>15150</v>
      </c>
      <c r="K5277" s="18">
        <f>628118752002</f>
        <v>628118752002</v>
      </c>
      <c r="N5277" s="17" t="s">
        <v>81</v>
      </c>
      <c r="U5277" s="17"/>
      <c r="V5277" s="18">
        <f>628118752002</f>
        <v>628118752002</v>
      </c>
      <c r="W5277" t="s">
        <v>15151</v>
      </c>
    </row>
    <row r="5278" ht="15" customHeight="1" spans="1:28" x14ac:dyDescent="0.25">
      <c r="A5278" s="17" t="s">
        <v>15152</v>
      </c>
      <c r="B5278" s="17" t="s">
        <v>70</v>
      </c>
      <c r="C5278" s="17" t="s">
        <v>71</v>
      </c>
      <c r="D5278" t="s">
        <v>15153</v>
      </c>
      <c r="F5278" t="s">
        <v>15154</v>
      </c>
      <c r="J5278" s="17" t="s">
        <v>15155</v>
      </c>
      <c r="K5278" s="18" t="s">
        <v>15156</v>
      </c>
      <c r="N5278" s="17" t="s">
        <v>77</v>
      </c>
      <c r="O5278" t="s">
        <v>145</v>
      </c>
      <c r="U5278" s="17"/>
      <c r="V5278" s="18" t="s">
        <v>15156</v>
      </c>
      <c r="W5278" t="s">
        <v>15157</v>
      </c>
      <c r="Y5278" t="s">
        <v>190</v>
      </c>
      <c r="AA5278" t="s">
        <v>118</v>
      </c>
      <c r="AB5278" t="s">
        <v>119</v>
      </c>
    </row>
    <row r="5279" ht="15" customHeight="1" spans="1:22" x14ac:dyDescent="0.25">
      <c r="A5279" s="17" t="s">
        <v>15158</v>
      </c>
      <c r="B5279" s="17" t="s">
        <v>70</v>
      </c>
      <c r="C5279" s="17" t="s">
        <v>71</v>
      </c>
      <c r="D5279" t="s">
        <v>15159</v>
      </c>
      <c r="F5279" t="s">
        <v>15160</v>
      </c>
      <c r="K5279" s="18">
        <f>628121015930</f>
        <v>628121015930</v>
      </c>
      <c r="N5279" s="17" t="s">
        <v>77</v>
      </c>
      <c r="V5279" s="18">
        <f>628121015930</f>
        <v>628121015930</v>
      </c>
    </row>
    <row r="5280" ht="15" customHeight="1" spans="1:22" x14ac:dyDescent="0.25">
      <c r="A5280" s="17" t="s">
        <v>15161</v>
      </c>
      <c r="B5280" s="17" t="s">
        <v>70</v>
      </c>
      <c r="C5280" s="17" t="s">
        <v>71</v>
      </c>
      <c r="D5280" t="s">
        <v>15162</v>
      </c>
      <c r="F5280" t="s">
        <v>15162</v>
      </c>
      <c r="J5280" s="17" t="s">
        <v>15163</v>
      </c>
      <c r="K5280" s="18">
        <f>6282234565111</f>
        <v>6282234565111</v>
      </c>
      <c r="N5280" s="17" t="s">
        <v>77</v>
      </c>
      <c r="V5280" s="18">
        <f>6282234565111</f>
        <v>6282234565111</v>
      </c>
    </row>
    <row r="5281" ht="15" customHeight="1" spans="1:23" x14ac:dyDescent="0.25">
      <c r="A5281" s="17" t="s">
        <v>15164</v>
      </c>
      <c r="B5281" s="17" t="s">
        <v>70</v>
      </c>
      <c r="C5281" s="17" t="s">
        <v>71</v>
      </c>
      <c r="D5281" t="s">
        <v>15162</v>
      </c>
      <c r="F5281" t="s">
        <v>8225</v>
      </c>
      <c r="K5281" s="18">
        <f>6281393988843</f>
        <v>6281393988843</v>
      </c>
      <c r="N5281" s="17" t="s">
        <v>81</v>
      </c>
      <c r="U5281" s="17"/>
      <c r="V5281" s="18">
        <f>6281393988843</f>
        <v>6281393988843</v>
      </c>
      <c r="W5281" t="s">
        <v>15165</v>
      </c>
    </row>
    <row r="5282" ht="15" customHeight="1" spans="1:22" x14ac:dyDescent="0.25">
      <c r="A5282" s="17" t="s">
        <v>15166</v>
      </c>
      <c r="B5282" s="17" t="s">
        <v>70</v>
      </c>
      <c r="C5282" s="17" t="s">
        <v>71</v>
      </c>
      <c r="D5282" t="s">
        <v>15162</v>
      </c>
      <c r="F5282" t="s">
        <v>755</v>
      </c>
      <c r="K5282" s="18">
        <f>62811996664</f>
        <v>62811996664</v>
      </c>
      <c r="N5282" s="17" t="s">
        <v>77</v>
      </c>
      <c r="V5282" s="18">
        <f>62811996664</f>
        <v>62811996664</v>
      </c>
    </row>
    <row r="5283" ht="15" customHeight="1" spans="1:23" x14ac:dyDescent="0.25">
      <c r="A5283" s="17" t="s">
        <v>15167</v>
      </c>
      <c r="B5283" s="17" t="s">
        <v>70</v>
      </c>
      <c r="C5283" s="17" t="s">
        <v>71</v>
      </c>
      <c r="D5283" t="s">
        <v>15162</v>
      </c>
      <c r="F5283" t="s">
        <v>799</v>
      </c>
      <c r="J5283" s="17" t="s">
        <v>15168</v>
      </c>
      <c r="K5283" s="18">
        <f>62816802666</f>
        <v>62816802666</v>
      </c>
      <c r="N5283" s="17" t="s">
        <v>74</v>
      </c>
      <c r="U5283" s="17"/>
      <c r="V5283" s="18">
        <f>62816802666</f>
        <v>62816802666</v>
      </c>
      <c r="W5283" t="s">
        <v>15169</v>
      </c>
    </row>
    <row r="5284" ht="15" customHeight="1" spans="1:28" x14ac:dyDescent="0.25">
      <c r="A5284" s="17" t="s">
        <v>15170</v>
      </c>
      <c r="B5284" s="17" t="s">
        <v>70</v>
      </c>
      <c r="C5284" s="17" t="s">
        <v>71</v>
      </c>
      <c r="D5284" t="s">
        <v>15171</v>
      </c>
      <c r="F5284" t="s">
        <v>4478</v>
      </c>
      <c r="J5284" t="s">
        <v>115</v>
      </c>
      <c r="K5284" s="18" t="s">
        <v>15172</v>
      </c>
      <c r="N5284" s="17" t="s">
        <v>77</v>
      </c>
      <c r="O5284" t="s">
        <v>117</v>
      </c>
      <c r="V5284" s="18" t="s">
        <v>15172</v>
      </c>
      <c r="Y5284" t="s">
        <v>90</v>
      </c>
      <c r="AA5284" t="s">
        <v>118</v>
      </c>
      <c r="AB5284" t="s">
        <v>119</v>
      </c>
    </row>
    <row r="5285" ht="15" customHeight="1" spans="1:23" x14ac:dyDescent="0.25">
      <c r="A5285" s="17" t="s">
        <v>15173</v>
      </c>
      <c r="B5285" s="17" t="s">
        <v>70</v>
      </c>
      <c r="C5285" s="17" t="s">
        <v>71</v>
      </c>
      <c r="D5285" t="s">
        <v>15174</v>
      </c>
      <c r="F5285" t="s">
        <v>15175</v>
      </c>
      <c r="K5285" s="18">
        <f>62811881997</f>
        <v>62811881997</v>
      </c>
      <c r="N5285" s="17" t="s">
        <v>81</v>
      </c>
      <c r="U5285" s="17"/>
      <c r="V5285" s="18">
        <f>62811881997</f>
        <v>62811881997</v>
      </c>
      <c r="W5285" t="s">
        <v>15176</v>
      </c>
    </row>
    <row r="5286" ht="15" customHeight="1" spans="1:28" x14ac:dyDescent="0.25">
      <c r="A5286" s="17" t="s">
        <v>15177</v>
      </c>
      <c r="B5286" s="17" t="s">
        <v>70</v>
      </c>
      <c r="C5286" s="17" t="s">
        <v>71</v>
      </c>
      <c r="D5286" t="s">
        <v>15178</v>
      </c>
      <c r="F5286" t="s">
        <v>15179</v>
      </c>
      <c r="J5286" t="s">
        <v>115</v>
      </c>
      <c r="K5286" s="18" t="s">
        <v>15180</v>
      </c>
      <c r="N5286" s="17" t="s">
        <v>77</v>
      </c>
      <c r="O5286" t="s">
        <v>489</v>
      </c>
      <c r="U5286" s="17"/>
      <c r="V5286" s="18" t="s">
        <v>15180</v>
      </c>
      <c r="W5286" t="s">
        <v>15181</v>
      </c>
      <c r="Y5286" t="s">
        <v>190</v>
      </c>
      <c r="AA5286" t="s">
        <v>118</v>
      </c>
      <c r="AB5286" t="s">
        <v>119</v>
      </c>
    </row>
    <row r="5287" ht="15" customHeight="1" spans="1:28" x14ac:dyDescent="0.25">
      <c r="A5287" s="17" t="s">
        <v>15182</v>
      </c>
      <c r="B5287" s="17" t="s">
        <v>70</v>
      </c>
      <c r="C5287" s="17" t="s">
        <v>71</v>
      </c>
      <c r="D5287" t="s">
        <v>15183</v>
      </c>
      <c r="F5287" t="s">
        <v>15184</v>
      </c>
      <c r="J5287" t="s">
        <v>115</v>
      </c>
      <c r="K5287" s="18" t="s">
        <v>15185</v>
      </c>
      <c r="N5287" s="17" t="s">
        <v>77</v>
      </c>
      <c r="O5287" t="s">
        <v>117</v>
      </c>
      <c r="V5287" s="18" t="s">
        <v>15185</v>
      </c>
      <c r="Y5287" t="s">
        <v>90</v>
      </c>
      <c r="AA5287" t="s">
        <v>118</v>
      </c>
      <c r="AB5287" t="s">
        <v>119</v>
      </c>
    </row>
    <row r="5288" ht="15" customHeight="1" spans="1:25" x14ac:dyDescent="0.25">
      <c r="A5288" s="17" t="s">
        <v>15186</v>
      </c>
      <c r="B5288" s="17" t="s">
        <v>70</v>
      </c>
      <c r="C5288" s="17" t="s">
        <v>71</v>
      </c>
      <c r="D5288" t="s">
        <v>15187</v>
      </c>
      <c r="F5288" t="s">
        <v>193</v>
      </c>
      <c r="K5288" s="18">
        <f>62811822204</f>
        <v>62811822204</v>
      </c>
      <c r="N5288" s="17" t="s">
        <v>77</v>
      </c>
      <c r="U5288" s="17"/>
      <c r="V5288" s="18">
        <f>62811822204</f>
        <v>62811822204</v>
      </c>
      <c r="W5288" t="s">
        <v>15188</v>
      </c>
      <c r="Y5288" s="17" t="s">
        <v>90</v>
      </c>
    </row>
    <row r="5289" ht="15" customHeight="1" spans="1:23" x14ac:dyDescent="0.25">
      <c r="A5289" s="17" t="s">
        <v>15189</v>
      </c>
      <c r="B5289" s="17" t="s">
        <v>70</v>
      </c>
      <c r="C5289" s="17" t="s">
        <v>71</v>
      </c>
      <c r="D5289" t="s">
        <v>15190</v>
      </c>
      <c r="F5289" t="s">
        <v>15191</v>
      </c>
      <c r="K5289" s="18">
        <f>971585817888</f>
        <v>971585817888</v>
      </c>
      <c r="N5289" s="17" t="s">
        <v>77</v>
      </c>
      <c r="U5289" s="17"/>
      <c r="V5289" s="18">
        <f>971585817888</f>
        <v>971585817888</v>
      </c>
      <c r="W5289" t="s">
        <v>15192</v>
      </c>
    </row>
    <row r="5290" ht="15" customHeight="1" spans="1:25" x14ac:dyDescent="0.25">
      <c r="A5290" s="17" t="s">
        <v>15193</v>
      </c>
      <c r="B5290" s="17" t="s">
        <v>70</v>
      </c>
      <c r="C5290" s="17" t="s">
        <v>71</v>
      </c>
      <c r="D5290" t="s">
        <v>15194</v>
      </c>
      <c r="F5290" t="s">
        <v>15194</v>
      </c>
      <c r="K5290" s="18">
        <f>6281280081987</f>
        <v>6281280081987</v>
      </c>
      <c r="N5290" s="17" t="s">
        <v>81</v>
      </c>
      <c r="U5290" s="17"/>
      <c r="V5290" s="18">
        <f>6281280081987</f>
        <v>6281280081987</v>
      </c>
      <c r="W5290" t="s">
        <v>15195</v>
      </c>
      <c r="Y5290" s="17" t="s">
        <v>15196</v>
      </c>
    </row>
    <row r="5291" ht="15" customHeight="1" spans="1:23" x14ac:dyDescent="0.25">
      <c r="A5291" s="17" t="s">
        <v>15197</v>
      </c>
      <c r="B5291" s="17" t="s">
        <v>70</v>
      </c>
      <c r="C5291" s="17" t="s">
        <v>71</v>
      </c>
      <c r="D5291" t="s">
        <v>15198</v>
      </c>
      <c r="F5291" t="s">
        <v>15199</v>
      </c>
      <c r="K5291" s="18">
        <f>6281513715381</f>
        <v>6281513715381</v>
      </c>
      <c r="N5291" s="17" t="s">
        <v>77</v>
      </c>
      <c r="U5291" s="17"/>
      <c r="V5291" s="18">
        <f>6281513715381</f>
        <v>6281513715381</v>
      </c>
      <c r="W5291" t="s">
        <v>15200</v>
      </c>
    </row>
    <row r="5292" ht="15" customHeight="1" spans="1:27" x14ac:dyDescent="0.25">
      <c r="A5292" s="17" t="s">
        <v>15201</v>
      </c>
      <c r="B5292" s="17" t="s">
        <v>70</v>
      </c>
      <c r="C5292" s="17" t="s">
        <v>71</v>
      </c>
      <c r="D5292" t="s">
        <v>15202</v>
      </c>
      <c r="F5292" t="s">
        <v>818</v>
      </c>
      <c r="K5292" s="18">
        <v>75817431</v>
      </c>
      <c r="N5292" s="17" t="s">
        <v>77</v>
      </c>
      <c r="U5292" s="17"/>
      <c r="V5292" s="18">
        <v>75817431</v>
      </c>
      <c r="W5292" t="s">
        <v>15203</v>
      </c>
      <c r="Y5292" s="17" t="s">
        <v>96</v>
      </c>
      <c r="AA5292" s="17" t="s">
        <v>15204</v>
      </c>
    </row>
    <row r="5293" ht="15" customHeight="1" spans="1:22" x14ac:dyDescent="0.25">
      <c r="A5293" s="17" t="s">
        <v>15205</v>
      </c>
      <c r="B5293" s="17" t="s">
        <v>70</v>
      </c>
      <c r="C5293" s="17" t="s">
        <v>71</v>
      </c>
      <c r="D5293" t="s">
        <v>15202</v>
      </c>
      <c r="F5293" t="s">
        <v>15206</v>
      </c>
      <c r="K5293" s="18">
        <f>6281919104104</f>
        <v>6281919104104</v>
      </c>
      <c r="N5293" s="17" t="s">
        <v>74</v>
      </c>
      <c r="V5293" s="18">
        <f>6281919104104</f>
        <v>6281919104104</v>
      </c>
    </row>
    <row r="5294" ht="15" customHeight="1" spans="1:22" x14ac:dyDescent="0.25">
      <c r="A5294" s="17" t="s">
        <v>15207</v>
      </c>
      <c r="B5294" s="17" t="s">
        <v>70</v>
      </c>
      <c r="C5294" s="17" t="s">
        <v>71</v>
      </c>
      <c r="D5294" t="s">
        <v>15208</v>
      </c>
      <c r="F5294" t="s">
        <v>15209</v>
      </c>
      <c r="J5294" s="17" t="s">
        <v>15210</v>
      </c>
      <c r="K5294" s="18">
        <f>6281808116208</f>
        <v>6281808116208</v>
      </c>
      <c r="N5294" s="17" t="s">
        <v>81</v>
      </c>
      <c r="V5294" s="18">
        <f>6281808116208</f>
        <v>6281808116208</v>
      </c>
    </row>
    <row r="5295" ht="15" customHeight="1" spans="1:22" x14ac:dyDescent="0.25">
      <c r="A5295" s="17" t="s">
        <v>15211</v>
      </c>
      <c r="B5295" s="17" t="s">
        <v>70</v>
      </c>
      <c r="C5295" s="17" t="s">
        <v>71</v>
      </c>
      <c r="D5295" t="s">
        <v>15212</v>
      </c>
      <c r="F5295" t="s">
        <v>15213</v>
      </c>
      <c r="K5295" s="18">
        <f>628111999988</f>
        <v>628111999988</v>
      </c>
      <c r="N5295" s="17" t="s">
        <v>81</v>
      </c>
      <c r="V5295" s="18">
        <f>628111999988</f>
        <v>628111999988</v>
      </c>
    </row>
    <row r="5296" ht="15" customHeight="1" spans="1:23" x14ac:dyDescent="0.25">
      <c r="A5296" s="17" t="s">
        <v>15214</v>
      </c>
      <c r="B5296" s="17" t="s">
        <v>70</v>
      </c>
      <c r="C5296" s="17" t="s">
        <v>71</v>
      </c>
      <c r="D5296" t="s">
        <v>15215</v>
      </c>
      <c r="F5296" t="s">
        <v>10707</v>
      </c>
      <c r="K5296" s="18">
        <f>447760444111</f>
        <v>447760444111</v>
      </c>
      <c r="N5296" s="17" t="s">
        <v>77</v>
      </c>
      <c r="U5296" s="17"/>
      <c r="V5296" s="18">
        <f>447760444111</f>
        <v>447760444111</v>
      </c>
      <c r="W5296" t="s">
        <v>15216</v>
      </c>
    </row>
    <row r="5297" ht="15" customHeight="1" spans="1:27" x14ac:dyDescent="0.25">
      <c r="A5297" s="17" t="s">
        <v>15217</v>
      </c>
      <c r="B5297" s="17" t="s">
        <v>70</v>
      </c>
      <c r="C5297" s="17" t="s">
        <v>71</v>
      </c>
      <c r="D5297" t="s">
        <v>15218</v>
      </c>
      <c r="F5297" t="s">
        <v>15219</v>
      </c>
      <c r="J5297" s="17" t="s">
        <v>15220</v>
      </c>
      <c r="K5297" s="18">
        <f>628161906882</f>
        <v>628161906882</v>
      </c>
      <c r="N5297" s="17" t="s">
        <v>77</v>
      </c>
      <c r="U5297" s="17"/>
      <c r="V5297" s="18">
        <f>628161906882</f>
        <v>628161906882</v>
      </c>
      <c r="W5297" t="s">
        <v>15221</v>
      </c>
      <c r="AA5297" s="17">
        <v>11460</v>
      </c>
    </row>
    <row r="5298" ht="15" customHeight="1" spans="1:22" x14ac:dyDescent="0.25">
      <c r="A5298" s="17" t="s">
        <v>15222</v>
      </c>
      <c r="B5298" s="17" t="s">
        <v>70</v>
      </c>
      <c r="C5298" s="17" t="s">
        <v>71</v>
      </c>
      <c r="D5298" t="s">
        <v>15223</v>
      </c>
      <c r="F5298" t="s">
        <v>15223</v>
      </c>
      <c r="K5298" s="18">
        <f>628111119083</f>
        <v>628111119083</v>
      </c>
      <c r="N5298" s="17" t="s">
        <v>81</v>
      </c>
      <c r="V5298" s="18">
        <f>628111119083</f>
        <v>628111119083</v>
      </c>
    </row>
    <row r="5299" ht="15" customHeight="1" spans="1:23" x14ac:dyDescent="0.25">
      <c r="A5299" s="17" t="s">
        <v>15224</v>
      </c>
      <c r="B5299" s="17" t="s">
        <v>70</v>
      </c>
      <c r="C5299" s="17" t="s">
        <v>71</v>
      </c>
      <c r="D5299" t="s">
        <v>15225</v>
      </c>
      <c r="F5299" t="s">
        <v>15226</v>
      </c>
      <c r="K5299" s="18">
        <f>628174874870</f>
        <v>628174874870</v>
      </c>
      <c r="N5299" s="17" t="s">
        <v>81</v>
      </c>
      <c r="U5299" s="17"/>
      <c r="V5299" s="18">
        <f>628174874870</f>
        <v>628174874870</v>
      </c>
      <c r="W5299" t="s">
        <v>15227</v>
      </c>
    </row>
    <row r="5300" ht="15" customHeight="1" spans="1:22" x14ac:dyDescent="0.25">
      <c r="A5300" s="17" t="s">
        <v>15228</v>
      </c>
      <c r="B5300" s="17" t="s">
        <v>70</v>
      </c>
      <c r="C5300" s="17" t="s">
        <v>71</v>
      </c>
      <c r="D5300" t="s">
        <v>15229</v>
      </c>
      <c r="F5300" t="s">
        <v>15229</v>
      </c>
      <c r="K5300" s="18">
        <f>62816770365</f>
        <v>62816770365</v>
      </c>
      <c r="N5300" s="17" t="s">
        <v>77</v>
      </c>
      <c r="V5300" s="18">
        <f>62816770365</f>
        <v>62816770365</v>
      </c>
    </row>
    <row r="5301" ht="15" customHeight="1" spans="1:27" x14ac:dyDescent="0.25">
      <c r="A5301" s="17" t="s">
        <v>15230</v>
      </c>
      <c r="B5301" s="17" t="s">
        <v>70</v>
      </c>
      <c r="C5301" s="17" t="s">
        <v>71</v>
      </c>
      <c r="D5301" t="s">
        <v>15229</v>
      </c>
      <c r="F5301" t="s">
        <v>13164</v>
      </c>
      <c r="K5301" s="18">
        <f>6287782964008</f>
        <v>6287782964008</v>
      </c>
      <c r="N5301" s="17" t="s">
        <v>77</v>
      </c>
      <c r="U5301" s="17"/>
      <c r="V5301" s="18">
        <f>6287782964008</f>
        <v>6287782964008</v>
      </c>
      <c r="W5301" t="s">
        <v>15231</v>
      </c>
      <c r="Y5301" s="17" t="s">
        <v>96</v>
      </c>
      <c r="AA5301" s="17">
        <v>12310</v>
      </c>
    </row>
    <row r="5302" ht="15" customHeight="1" spans="1:28" x14ac:dyDescent="0.25">
      <c r="A5302" s="17" t="s">
        <v>15232</v>
      </c>
      <c r="B5302" s="17" t="s">
        <v>70</v>
      </c>
      <c r="C5302" s="17" t="s">
        <v>71</v>
      </c>
      <c r="D5302" t="s">
        <v>15233</v>
      </c>
      <c r="F5302" t="s">
        <v>15234</v>
      </c>
      <c r="J5302" t="s">
        <v>115</v>
      </c>
      <c r="K5302" s="18" t="s">
        <v>15235</v>
      </c>
      <c r="N5302" s="17" t="s">
        <v>77</v>
      </c>
      <c r="O5302" t="s">
        <v>117</v>
      </c>
      <c r="V5302" s="18" t="s">
        <v>15235</v>
      </c>
      <c r="Y5302" t="s">
        <v>190</v>
      </c>
      <c r="AA5302" t="s">
        <v>118</v>
      </c>
      <c r="AB5302" t="s">
        <v>119</v>
      </c>
    </row>
    <row r="5303" ht="15" customHeight="1" spans="1:22" x14ac:dyDescent="0.25">
      <c r="A5303" s="17" t="s">
        <v>15236</v>
      </c>
      <c r="B5303" s="17" t="s">
        <v>70</v>
      </c>
      <c r="C5303" s="17" t="s">
        <v>71</v>
      </c>
      <c r="D5303" t="s">
        <v>15237</v>
      </c>
      <c r="F5303" t="s">
        <v>1269</v>
      </c>
      <c r="K5303" s="18">
        <f>6285692468822</f>
        <v>6285692468822</v>
      </c>
      <c r="N5303" s="17" t="s">
        <v>81</v>
      </c>
      <c r="V5303" s="18">
        <f>6285692468822</f>
        <v>6285692468822</v>
      </c>
    </row>
    <row r="5304" ht="15" customHeight="1" spans="1:22" x14ac:dyDescent="0.25">
      <c r="A5304" s="17" t="s">
        <v>15238</v>
      </c>
      <c r="B5304" s="17" t="s">
        <v>70</v>
      </c>
      <c r="C5304" s="17" t="s">
        <v>71</v>
      </c>
      <c r="D5304" t="s">
        <v>14132</v>
      </c>
      <c r="F5304" t="s">
        <v>15239</v>
      </c>
      <c r="K5304" s="18">
        <f>6597580426</f>
        <v>6597580426</v>
      </c>
      <c r="N5304" s="17" t="s">
        <v>77</v>
      </c>
      <c r="V5304" s="18">
        <f>6597580426</f>
        <v>6597580426</v>
      </c>
    </row>
    <row r="5305" ht="15" customHeight="1" spans="1:23" x14ac:dyDescent="0.25">
      <c r="A5305" s="17" t="s">
        <v>15240</v>
      </c>
      <c r="B5305" s="17" t="s">
        <v>70</v>
      </c>
      <c r="C5305" s="17" t="s">
        <v>71</v>
      </c>
      <c r="D5305" t="s">
        <v>15241</v>
      </c>
      <c r="F5305" t="s">
        <v>15242</v>
      </c>
      <c r="J5305" s="17" t="s">
        <v>15243</v>
      </c>
      <c r="K5305" s="18">
        <f>6281210013197</f>
        <v>6281210013197</v>
      </c>
      <c r="N5305" s="17" t="s">
        <v>77</v>
      </c>
      <c r="U5305" s="17"/>
      <c r="V5305" s="18">
        <f>6281210013197</f>
        <v>6281210013197</v>
      </c>
      <c r="W5305" t="s">
        <v>15244</v>
      </c>
    </row>
    <row r="5306" ht="15" customHeight="1" spans="1:28" x14ac:dyDescent="0.25">
      <c r="A5306" s="17" t="s">
        <v>15245</v>
      </c>
      <c r="B5306" s="17" t="s">
        <v>70</v>
      </c>
      <c r="C5306" s="17" t="s">
        <v>71</v>
      </c>
      <c r="D5306" t="s">
        <v>15241</v>
      </c>
      <c r="F5306" t="s">
        <v>15246</v>
      </c>
      <c r="J5306" t="s">
        <v>115</v>
      </c>
      <c r="K5306" s="18" t="s">
        <v>15247</v>
      </c>
      <c r="N5306" s="17" t="s">
        <v>74</v>
      </c>
      <c r="O5306" t="s">
        <v>117</v>
      </c>
      <c r="V5306" s="18" t="s">
        <v>15247</v>
      </c>
      <c r="Y5306" t="s">
        <v>90</v>
      </c>
      <c r="AA5306" t="s">
        <v>118</v>
      </c>
      <c r="AB5306" t="s">
        <v>119</v>
      </c>
    </row>
    <row r="5307" ht="15" customHeight="1" spans="1:22" x14ac:dyDescent="0.25">
      <c r="A5307" s="17" t="s">
        <v>15248</v>
      </c>
      <c r="B5307" s="17" t="s">
        <v>70</v>
      </c>
      <c r="C5307" s="17" t="s">
        <v>71</v>
      </c>
      <c r="D5307" t="s">
        <v>15241</v>
      </c>
      <c r="F5307" t="s">
        <v>5545</v>
      </c>
      <c r="K5307" s="18">
        <f>6281233732340</f>
        <v>6281233732340</v>
      </c>
      <c r="N5307" s="17" t="s">
        <v>77</v>
      </c>
      <c r="V5307" s="18">
        <f>6281233732340</f>
        <v>6281233732340</v>
      </c>
    </row>
    <row r="5308" ht="15" customHeight="1" spans="1:28" x14ac:dyDescent="0.25">
      <c r="A5308" s="17" t="s">
        <v>15249</v>
      </c>
      <c r="B5308" s="17" t="s">
        <v>70</v>
      </c>
      <c r="C5308" s="17" t="s">
        <v>71</v>
      </c>
      <c r="D5308" t="s">
        <v>15250</v>
      </c>
      <c r="F5308" t="s">
        <v>15251</v>
      </c>
      <c r="J5308" t="s">
        <v>115</v>
      </c>
      <c r="K5308" s="18" t="s">
        <v>15252</v>
      </c>
      <c r="N5308" s="17" t="s">
        <v>77</v>
      </c>
      <c r="O5308" t="s">
        <v>117</v>
      </c>
      <c r="V5308" s="18" t="s">
        <v>15252</v>
      </c>
      <c r="Y5308" t="s">
        <v>115</v>
      </c>
      <c r="AA5308" t="s">
        <v>115</v>
      </c>
      <c r="AB5308" t="s">
        <v>119</v>
      </c>
    </row>
    <row r="5309" ht="15" customHeight="1" spans="1:27" x14ac:dyDescent="0.25">
      <c r="A5309" s="17" t="s">
        <v>15253</v>
      </c>
      <c r="B5309" s="17" t="s">
        <v>70</v>
      </c>
      <c r="C5309" s="17" t="s">
        <v>71</v>
      </c>
      <c r="D5309" t="s">
        <v>15254</v>
      </c>
      <c r="F5309" t="s">
        <v>6947</v>
      </c>
      <c r="K5309" s="18">
        <f>6287869332219</f>
        <v>6287869332219</v>
      </c>
      <c r="N5309" s="17" t="s">
        <v>77</v>
      </c>
      <c r="U5309" s="17"/>
      <c r="V5309" s="18">
        <f>6287869332219</f>
        <v>6287869332219</v>
      </c>
      <c r="W5309" t="s">
        <v>15255</v>
      </c>
      <c r="Y5309" s="17" t="s">
        <v>1157</v>
      </c>
      <c r="AA5309" s="17">
        <v>20113</v>
      </c>
    </row>
    <row r="5310" ht="15" customHeight="1" spans="1:23" x14ac:dyDescent="0.25">
      <c r="A5310" s="17" t="s">
        <v>15256</v>
      </c>
      <c r="B5310" s="17" t="s">
        <v>70</v>
      </c>
      <c r="C5310" s="17" t="s">
        <v>71</v>
      </c>
      <c r="D5310" t="s">
        <v>15257</v>
      </c>
      <c r="F5310" t="s">
        <v>1208</v>
      </c>
      <c r="J5310" s="17" t="s">
        <v>15258</v>
      </c>
      <c r="K5310" s="18">
        <f>6282148926999</f>
        <v>6282148926999</v>
      </c>
      <c r="N5310" s="17" t="s">
        <v>81</v>
      </c>
      <c r="U5310" s="17"/>
      <c r="V5310" s="18">
        <f>6282148926999</f>
        <v>6282148926999</v>
      </c>
      <c r="W5310" t="s">
        <v>15259</v>
      </c>
    </row>
    <row r="5311" ht="15" customHeight="1" spans="1:23" x14ac:dyDescent="0.25">
      <c r="A5311" s="17" t="s">
        <v>15260</v>
      </c>
      <c r="B5311" s="17" t="s">
        <v>70</v>
      </c>
      <c r="C5311" s="17" t="s">
        <v>71</v>
      </c>
      <c r="D5311" t="s">
        <v>15257</v>
      </c>
      <c r="F5311" t="s">
        <v>15261</v>
      </c>
      <c r="K5311" s="18">
        <f>6281228828793</f>
        <v>6281228828793</v>
      </c>
      <c r="N5311" s="17" t="s">
        <v>77</v>
      </c>
      <c r="U5311" s="17"/>
      <c r="V5311" s="18">
        <f>6281228828793</f>
        <v>6281228828793</v>
      </c>
      <c r="W5311" t="s">
        <v>15262</v>
      </c>
    </row>
    <row r="5312" ht="15" customHeight="1" spans="1:23" x14ac:dyDescent="0.25">
      <c r="A5312" s="17" t="s">
        <v>15263</v>
      </c>
      <c r="B5312" s="17" t="s">
        <v>70</v>
      </c>
      <c r="C5312" s="17" t="s">
        <v>71</v>
      </c>
      <c r="D5312" t="s">
        <v>15257</v>
      </c>
      <c r="F5312" t="s">
        <v>737</v>
      </c>
      <c r="K5312" s="18">
        <f>62818727367</f>
        <v>62818727367</v>
      </c>
      <c r="N5312" s="17" t="s">
        <v>77</v>
      </c>
      <c r="U5312" s="17"/>
      <c r="V5312" s="18">
        <f>62818727367</f>
        <v>62818727367</v>
      </c>
      <c r="W5312" t="s">
        <v>15264</v>
      </c>
    </row>
    <row r="5313" ht="15" customHeight="1" spans="1:28" x14ac:dyDescent="0.25">
      <c r="A5313" s="17" t="s">
        <v>15265</v>
      </c>
      <c r="B5313" s="17" t="s">
        <v>70</v>
      </c>
      <c r="C5313" s="17" t="s">
        <v>71</v>
      </c>
      <c r="D5313" t="s">
        <v>15257</v>
      </c>
      <c r="F5313" t="s">
        <v>15266</v>
      </c>
      <c r="J5313" t="s">
        <v>115</v>
      </c>
      <c r="K5313" s="18" t="s">
        <v>15267</v>
      </c>
      <c r="N5313" s="17" t="s">
        <v>77</v>
      </c>
      <c r="O5313" t="s">
        <v>117</v>
      </c>
      <c r="U5313" s="17"/>
      <c r="V5313" s="18" t="s">
        <v>15267</v>
      </c>
      <c r="W5313" t="s">
        <v>15268</v>
      </c>
      <c r="Y5313" t="s">
        <v>90</v>
      </c>
      <c r="AA5313" t="s">
        <v>118</v>
      </c>
      <c r="AB5313" t="s">
        <v>119</v>
      </c>
    </row>
    <row r="5314" ht="15" customHeight="1" spans="1:22" x14ac:dyDescent="0.25">
      <c r="A5314" s="17" t="s">
        <v>15269</v>
      </c>
      <c r="B5314" s="17" t="s">
        <v>70</v>
      </c>
      <c r="C5314" s="17" t="s">
        <v>71</v>
      </c>
      <c r="D5314" t="s">
        <v>15257</v>
      </c>
      <c r="F5314" t="s">
        <v>15270</v>
      </c>
      <c r="K5314" s="18">
        <f>6281381157449</f>
        <v>6281381157449</v>
      </c>
      <c r="N5314" s="17" t="s">
        <v>74</v>
      </c>
      <c r="V5314" s="18">
        <f>6281381157449</f>
        <v>6281381157449</v>
      </c>
    </row>
    <row r="5315" ht="15" customHeight="1" spans="1:25" x14ac:dyDescent="0.25">
      <c r="A5315" s="17" t="s">
        <v>15271</v>
      </c>
      <c r="B5315" s="17" t="s">
        <v>70</v>
      </c>
      <c r="C5315" s="17" t="s">
        <v>71</v>
      </c>
      <c r="D5315" t="s">
        <v>15257</v>
      </c>
      <c r="F5315" t="s">
        <v>15272</v>
      </c>
      <c r="K5315" s="18">
        <f>628111552803</f>
        <v>628111552803</v>
      </c>
      <c r="N5315" s="17" t="s">
        <v>81</v>
      </c>
      <c r="U5315" s="17"/>
      <c r="V5315" s="18">
        <f>628111552803</f>
        <v>628111552803</v>
      </c>
      <c r="W5315" t="s">
        <v>15273</v>
      </c>
      <c r="Y5315" s="17" t="s">
        <v>90</v>
      </c>
    </row>
    <row r="5316" ht="15" customHeight="1" spans="1:22" x14ac:dyDescent="0.25">
      <c r="A5316" s="17" t="s">
        <v>15274</v>
      </c>
      <c r="B5316" s="17" t="s">
        <v>70</v>
      </c>
      <c r="C5316" s="17" t="s">
        <v>71</v>
      </c>
      <c r="D5316" t="s">
        <v>15257</v>
      </c>
      <c r="F5316" t="s">
        <v>15275</v>
      </c>
      <c r="K5316" s="18">
        <f>628115128660</f>
        <v>628115128660</v>
      </c>
      <c r="N5316" s="17" t="s">
        <v>81</v>
      </c>
      <c r="V5316" s="18">
        <f>628115128660</f>
        <v>628115128660</v>
      </c>
    </row>
    <row r="5317" ht="15" customHeight="1" spans="1:22" x14ac:dyDescent="0.25">
      <c r="A5317" s="17" t="s">
        <v>15276</v>
      </c>
      <c r="B5317" s="17" t="s">
        <v>70</v>
      </c>
      <c r="C5317" s="17" t="s">
        <v>71</v>
      </c>
      <c r="D5317" t="s">
        <v>15277</v>
      </c>
      <c r="F5317" t="s">
        <v>15277</v>
      </c>
      <c r="K5317" s="18">
        <f>6281313324009</f>
        <v>6281313324009</v>
      </c>
      <c r="N5317" s="17" t="s">
        <v>77</v>
      </c>
      <c r="V5317" s="18">
        <f>6281313324009</f>
        <v>6281313324009</v>
      </c>
    </row>
    <row r="5318" ht="15" customHeight="1" spans="1:28" x14ac:dyDescent="0.25">
      <c r="A5318" s="17" t="s">
        <v>15278</v>
      </c>
      <c r="B5318" s="17" t="s">
        <v>70</v>
      </c>
      <c r="C5318" s="17" t="s">
        <v>71</v>
      </c>
      <c r="D5318" t="s">
        <v>15279</v>
      </c>
      <c r="F5318" t="s">
        <v>15279</v>
      </c>
      <c r="J5318" t="s">
        <v>115</v>
      </c>
      <c r="K5318" s="18" t="s">
        <v>15280</v>
      </c>
      <c r="N5318" s="17" t="s">
        <v>77</v>
      </c>
      <c r="O5318" t="s">
        <v>117</v>
      </c>
      <c r="V5318" s="18" t="s">
        <v>15280</v>
      </c>
      <c r="Y5318" t="s">
        <v>115</v>
      </c>
      <c r="AA5318" t="s">
        <v>115</v>
      </c>
      <c r="AB5318" t="s">
        <v>119</v>
      </c>
    </row>
    <row r="5319" ht="15" customHeight="1" spans="1:22" x14ac:dyDescent="0.25">
      <c r="A5319" s="17" t="s">
        <v>15281</v>
      </c>
      <c r="B5319" s="17" t="s">
        <v>70</v>
      </c>
      <c r="C5319" s="17" t="s">
        <v>71</v>
      </c>
      <c r="D5319" t="s">
        <v>15279</v>
      </c>
      <c r="F5319" t="s">
        <v>1503</v>
      </c>
      <c r="K5319" s="18">
        <f>6285693333102</f>
        <v>6285693333102</v>
      </c>
      <c r="N5319" s="17" t="s">
        <v>77</v>
      </c>
      <c r="V5319" s="18">
        <f>6285693333102</f>
        <v>6285693333102</v>
      </c>
    </row>
    <row r="5320" ht="15" customHeight="1" spans="1:22" x14ac:dyDescent="0.25">
      <c r="A5320" s="17" t="s">
        <v>15282</v>
      </c>
      <c r="B5320" s="17" t="s">
        <v>70</v>
      </c>
      <c r="C5320" s="17" t="s">
        <v>71</v>
      </c>
      <c r="D5320" t="s">
        <v>15283</v>
      </c>
      <c r="F5320" t="s">
        <v>15284</v>
      </c>
      <c r="K5320" s="18">
        <f>62817887017</f>
        <v>62817887017</v>
      </c>
      <c r="N5320" s="17" t="s">
        <v>77</v>
      </c>
      <c r="V5320" s="18">
        <f>62817887017</f>
        <v>62817887017</v>
      </c>
    </row>
    <row r="5321" ht="15" customHeight="1" spans="1:25" x14ac:dyDescent="0.25">
      <c r="A5321" s="17" t="s">
        <v>15285</v>
      </c>
      <c r="B5321" s="17" t="s">
        <v>70</v>
      </c>
      <c r="C5321" s="17" t="s">
        <v>71</v>
      </c>
      <c r="D5321" t="s">
        <v>15286</v>
      </c>
      <c r="F5321" t="s">
        <v>15286</v>
      </c>
      <c r="K5321" s="18">
        <f>62811890667</f>
        <v>62811890667</v>
      </c>
      <c r="N5321" s="17" t="s">
        <v>74</v>
      </c>
      <c r="U5321" s="17"/>
      <c r="V5321" s="18">
        <f>62811890667</f>
        <v>62811890667</v>
      </c>
      <c r="W5321" t="s">
        <v>15287</v>
      </c>
      <c r="Y5321" s="17" t="s">
        <v>96</v>
      </c>
    </row>
    <row r="5322" ht="15" customHeight="1" spans="1:22" x14ac:dyDescent="0.25">
      <c r="A5322" s="17" t="s">
        <v>15288</v>
      </c>
      <c r="B5322" s="17" t="s">
        <v>70</v>
      </c>
      <c r="C5322" s="17" t="s">
        <v>71</v>
      </c>
      <c r="D5322" t="s">
        <v>15286</v>
      </c>
      <c r="F5322" t="s">
        <v>15289</v>
      </c>
      <c r="K5322" s="18">
        <f>628161814735</f>
        <v>628161814735</v>
      </c>
      <c r="N5322" s="17" t="s">
        <v>81</v>
      </c>
      <c r="V5322" s="18">
        <f>628161814735</f>
        <v>628161814735</v>
      </c>
    </row>
    <row r="5323" ht="15" customHeight="1" spans="1:23" x14ac:dyDescent="0.25">
      <c r="A5323" s="17" t="s">
        <v>15290</v>
      </c>
      <c r="B5323" s="17" t="s">
        <v>70</v>
      </c>
      <c r="C5323" s="17" t="s">
        <v>71</v>
      </c>
      <c r="D5323" t="s">
        <v>15291</v>
      </c>
      <c r="F5323" t="s">
        <v>15292</v>
      </c>
      <c r="K5323" s="18">
        <f>995555775555</f>
        <v>995555775555</v>
      </c>
      <c r="N5323" s="17" t="s">
        <v>77</v>
      </c>
      <c r="U5323" s="17"/>
      <c r="V5323" s="18">
        <f>995555775555</f>
        <v>995555775555</v>
      </c>
      <c r="W5323" t="s">
        <v>15293</v>
      </c>
    </row>
    <row r="5324" ht="15" customHeight="1" spans="1:22" x14ac:dyDescent="0.25">
      <c r="A5324" s="17" t="s">
        <v>15294</v>
      </c>
      <c r="B5324" s="17" t="s">
        <v>70</v>
      </c>
      <c r="C5324" s="17" t="s">
        <v>71</v>
      </c>
      <c r="D5324" t="s">
        <v>15295</v>
      </c>
      <c r="F5324" t="s">
        <v>442</v>
      </c>
      <c r="K5324" s="18">
        <f>628111817012</f>
        <v>628111817012</v>
      </c>
      <c r="N5324" s="17" t="s">
        <v>81</v>
      </c>
      <c r="V5324" s="18">
        <f>628111817012</f>
        <v>628111817012</v>
      </c>
    </row>
    <row r="5325" ht="15" customHeight="1" spans="1:22" x14ac:dyDescent="0.25">
      <c r="A5325" s="17" t="s">
        <v>15296</v>
      </c>
      <c r="B5325" s="17" t="s">
        <v>70</v>
      </c>
      <c r="C5325" s="17" t="s">
        <v>71</v>
      </c>
      <c r="D5325" t="s">
        <v>15297</v>
      </c>
      <c r="F5325" t="s">
        <v>15298</v>
      </c>
      <c r="K5325" s="18">
        <f>6281930758989</f>
        <v>6281930758989</v>
      </c>
      <c r="N5325" s="17" t="s">
        <v>81</v>
      </c>
      <c r="V5325" s="18">
        <f>6281930758989</f>
        <v>6281930758989</v>
      </c>
    </row>
    <row r="5326" ht="15" customHeight="1" spans="1:22" x14ac:dyDescent="0.25">
      <c r="A5326" s="17" t="s">
        <v>15299</v>
      </c>
      <c r="B5326" s="17" t="s">
        <v>70</v>
      </c>
      <c r="C5326" s="17" t="s">
        <v>71</v>
      </c>
      <c r="D5326" t="s">
        <v>15297</v>
      </c>
      <c r="F5326" t="s">
        <v>15300</v>
      </c>
      <c r="K5326" s="18">
        <f>6281807782824</f>
        <v>6281807782824</v>
      </c>
      <c r="N5326" s="17" t="s">
        <v>81</v>
      </c>
      <c r="V5326" s="18">
        <f>6281807782824</f>
        <v>6281807782824</v>
      </c>
    </row>
    <row r="5327" ht="15" customHeight="1" spans="1:22" x14ac:dyDescent="0.25">
      <c r="A5327" s="17" t="s">
        <v>15301</v>
      </c>
      <c r="B5327" s="17" t="s">
        <v>70</v>
      </c>
      <c r="C5327" s="17" t="s">
        <v>71</v>
      </c>
      <c r="D5327" t="s">
        <v>15302</v>
      </c>
      <c r="F5327" t="s">
        <v>7573</v>
      </c>
      <c r="K5327" s="18">
        <f>62818305881</f>
        <v>62818305881</v>
      </c>
      <c r="N5327" s="17" t="s">
        <v>81</v>
      </c>
      <c r="V5327" s="18">
        <f>62818305881</f>
        <v>62818305881</v>
      </c>
    </row>
    <row r="5328" ht="15" customHeight="1" spans="1:28" x14ac:dyDescent="0.25">
      <c r="A5328" s="17" t="s">
        <v>15303</v>
      </c>
      <c r="B5328" s="17" t="s">
        <v>70</v>
      </c>
      <c r="C5328" s="17" t="s">
        <v>71</v>
      </c>
      <c r="D5328" t="s">
        <v>15304</v>
      </c>
      <c r="F5328" t="s">
        <v>15305</v>
      </c>
      <c r="J5328" s="17" t="s">
        <v>15306</v>
      </c>
      <c r="K5328" s="18" t="s">
        <v>15307</v>
      </c>
      <c r="N5328" s="17" t="s">
        <v>77</v>
      </c>
      <c r="O5328" t="s">
        <v>145</v>
      </c>
      <c r="U5328" s="17"/>
      <c r="V5328" s="18" t="s">
        <v>15307</v>
      </c>
      <c r="W5328" t="s">
        <v>15308</v>
      </c>
      <c r="Y5328" t="s">
        <v>90</v>
      </c>
      <c r="AA5328" s="17" t="s">
        <v>118</v>
      </c>
      <c r="AB5328" t="s">
        <v>119</v>
      </c>
    </row>
    <row r="5329" ht="15" customHeight="1" spans="1:25" x14ac:dyDescent="0.25">
      <c r="A5329" s="17" t="s">
        <v>15309</v>
      </c>
      <c r="B5329" s="17" t="s">
        <v>70</v>
      </c>
      <c r="C5329" s="17" t="s">
        <v>71</v>
      </c>
      <c r="D5329" t="s">
        <v>15310</v>
      </c>
      <c r="F5329" t="s">
        <v>15311</v>
      </c>
      <c r="K5329" s="18">
        <v>251244255</v>
      </c>
      <c r="N5329" s="17" t="s">
        <v>77</v>
      </c>
      <c r="U5329" s="17"/>
      <c r="V5329" s="18">
        <v>251244255</v>
      </c>
      <c r="W5329" t="s">
        <v>15312</v>
      </c>
      <c r="Y5329" s="17" t="s">
        <v>622</v>
      </c>
    </row>
    <row r="5330" ht="15" customHeight="1" spans="1:28" x14ac:dyDescent="0.25">
      <c r="A5330" s="17" t="s">
        <v>15313</v>
      </c>
      <c r="B5330" s="17" t="s">
        <v>70</v>
      </c>
      <c r="C5330" s="17" t="s">
        <v>71</v>
      </c>
      <c r="D5330" t="s">
        <v>14968</v>
      </c>
      <c r="F5330" t="s">
        <v>15314</v>
      </c>
      <c r="J5330" t="s">
        <v>115</v>
      </c>
      <c r="K5330" s="18" t="s">
        <v>15315</v>
      </c>
      <c r="N5330" s="17" t="s">
        <v>77</v>
      </c>
      <c r="O5330" t="s">
        <v>199</v>
      </c>
      <c r="U5330" s="17"/>
      <c r="V5330" s="18" t="s">
        <v>15315</v>
      </c>
      <c r="W5330" t="s">
        <v>15316</v>
      </c>
      <c r="Y5330" t="s">
        <v>1151</v>
      </c>
      <c r="AA5330" t="s">
        <v>115</v>
      </c>
      <c r="AB5330" t="s">
        <v>119</v>
      </c>
    </row>
    <row r="5331" ht="15" customHeight="1" spans="1:25" x14ac:dyDescent="0.25">
      <c r="A5331" s="17" t="s">
        <v>15317</v>
      </c>
      <c r="B5331" s="17" t="s">
        <v>70</v>
      </c>
      <c r="C5331" s="17" t="s">
        <v>71</v>
      </c>
      <c r="D5331" t="s">
        <v>15318</v>
      </c>
      <c r="F5331" t="s">
        <v>1754</v>
      </c>
      <c r="K5331" s="18">
        <f>6281281999195</f>
        <v>6281281999195</v>
      </c>
      <c r="N5331" s="17" t="s">
        <v>77</v>
      </c>
      <c r="U5331" s="17"/>
      <c r="V5331" s="18">
        <f>6281281999195</f>
        <v>6281281999195</v>
      </c>
      <c r="W5331" t="s">
        <v>15319</v>
      </c>
      <c r="Y5331" s="17" t="s">
        <v>626</v>
      </c>
    </row>
    <row r="5332" ht="15" customHeight="1" spans="1:23" x14ac:dyDescent="0.25">
      <c r="A5332" s="17" t="s">
        <v>15320</v>
      </c>
      <c r="B5332" s="17" t="s">
        <v>70</v>
      </c>
      <c r="C5332" s="17" t="s">
        <v>71</v>
      </c>
      <c r="D5332" t="s">
        <v>9721</v>
      </c>
      <c r="F5332" t="s">
        <v>3005</v>
      </c>
      <c r="J5332" s="17" t="s">
        <v>15321</v>
      </c>
      <c r="K5332" s="18">
        <f>628552310999</f>
        <v>628552310999</v>
      </c>
      <c r="N5332" s="17" t="s">
        <v>81</v>
      </c>
      <c r="U5332" s="17"/>
      <c r="V5332" s="18">
        <f>628552310999</f>
        <v>628552310999</v>
      </c>
      <c r="W5332" t="s">
        <v>15322</v>
      </c>
    </row>
    <row r="5333" ht="15" customHeight="1" spans="1:25" x14ac:dyDescent="0.25">
      <c r="A5333" s="17" t="s">
        <v>15323</v>
      </c>
      <c r="B5333" s="17" t="s">
        <v>70</v>
      </c>
      <c r="C5333" s="17" t="s">
        <v>71</v>
      </c>
      <c r="D5333" t="s">
        <v>9721</v>
      </c>
      <c r="F5333" t="s">
        <v>3763</v>
      </c>
      <c r="K5333" s="18">
        <f>6281289433366</f>
        <v>6281289433366</v>
      </c>
      <c r="N5333" s="17" t="s">
        <v>77</v>
      </c>
      <c r="U5333" s="17"/>
      <c r="V5333" s="18">
        <f>6281289433366</f>
        <v>6281289433366</v>
      </c>
      <c r="W5333" t="s">
        <v>15324</v>
      </c>
      <c r="Y5333" s="17" t="s">
        <v>622</v>
      </c>
    </row>
    <row r="5334" ht="15" customHeight="1" spans="1:23" x14ac:dyDescent="0.25">
      <c r="A5334" s="17" t="s">
        <v>15325</v>
      </c>
      <c r="B5334" s="17" t="s">
        <v>70</v>
      </c>
      <c r="C5334" s="17" t="s">
        <v>71</v>
      </c>
      <c r="D5334" t="s">
        <v>9721</v>
      </c>
      <c r="F5334" t="s">
        <v>2258</v>
      </c>
      <c r="J5334" s="17" t="s">
        <v>15326</v>
      </c>
      <c r="K5334" s="18">
        <f>6281258440965</f>
        <v>6281258440965</v>
      </c>
      <c r="N5334" s="17" t="s">
        <v>81</v>
      </c>
      <c r="U5334" s="17"/>
      <c r="V5334" s="18">
        <f>6281258440965</f>
        <v>6281258440965</v>
      </c>
      <c r="W5334" t="s">
        <v>15327</v>
      </c>
    </row>
    <row r="5335" ht="15" customHeight="1" spans="1:22" x14ac:dyDescent="0.25">
      <c r="A5335" s="17" t="s">
        <v>15328</v>
      </c>
      <c r="B5335" s="17" t="s">
        <v>70</v>
      </c>
      <c r="C5335" s="17" t="s">
        <v>71</v>
      </c>
      <c r="D5335" t="s">
        <v>9721</v>
      </c>
      <c r="F5335" t="s">
        <v>15329</v>
      </c>
      <c r="K5335" s="18">
        <f>6287826084908</f>
        <v>6287826084908</v>
      </c>
      <c r="N5335" s="17" t="s">
        <v>77</v>
      </c>
      <c r="V5335" s="18">
        <f>6287826084908</f>
        <v>6287826084908</v>
      </c>
    </row>
    <row r="5336" ht="15" customHeight="1" spans="1:23" x14ac:dyDescent="0.25">
      <c r="A5336" s="17" t="s">
        <v>15330</v>
      </c>
      <c r="B5336" s="17" t="s">
        <v>70</v>
      </c>
      <c r="C5336" s="17" t="s">
        <v>71</v>
      </c>
      <c r="D5336" t="s">
        <v>15331</v>
      </c>
      <c r="F5336" t="s">
        <v>15332</v>
      </c>
      <c r="K5336" s="18">
        <f>628119451116</f>
        <v>628119451116</v>
      </c>
      <c r="N5336" s="17" t="s">
        <v>77</v>
      </c>
      <c r="U5336" s="17"/>
      <c r="V5336" s="18">
        <f>628119451116</f>
        <v>628119451116</v>
      </c>
      <c r="W5336" t="s">
        <v>15333</v>
      </c>
    </row>
    <row r="5337" ht="15" customHeight="1" spans="1:28" x14ac:dyDescent="0.25">
      <c r="A5337" s="17" t="s">
        <v>15334</v>
      </c>
      <c r="B5337" s="17" t="s">
        <v>70</v>
      </c>
      <c r="C5337" s="17" t="s">
        <v>71</v>
      </c>
      <c r="D5337" t="s">
        <v>15335</v>
      </c>
      <c r="F5337" t="s">
        <v>15336</v>
      </c>
      <c r="J5337" t="s">
        <v>115</v>
      </c>
      <c r="K5337" s="18" t="s">
        <v>15337</v>
      </c>
      <c r="N5337" s="17" t="s">
        <v>81</v>
      </c>
      <c r="O5337" t="s">
        <v>261</v>
      </c>
      <c r="U5337" s="17"/>
      <c r="V5337" s="18" t="s">
        <v>15337</v>
      </c>
      <c r="W5337" t="s">
        <v>15338</v>
      </c>
      <c r="Y5337" t="s">
        <v>190</v>
      </c>
      <c r="AA5337" t="s">
        <v>118</v>
      </c>
      <c r="AB5337" t="s">
        <v>119</v>
      </c>
    </row>
    <row r="5338" ht="15" customHeight="1" spans="1:22" x14ac:dyDescent="0.25">
      <c r="A5338" s="17" t="s">
        <v>15339</v>
      </c>
      <c r="B5338" s="17" t="s">
        <v>70</v>
      </c>
      <c r="C5338" s="17" t="s">
        <v>71</v>
      </c>
      <c r="D5338" t="s">
        <v>15335</v>
      </c>
      <c r="F5338" t="s">
        <v>9617</v>
      </c>
      <c r="K5338" s="18">
        <f>62818740184</f>
        <v>62818740184</v>
      </c>
      <c r="N5338" s="17" t="s">
        <v>77</v>
      </c>
      <c r="V5338" s="18">
        <f>62818740184</f>
        <v>62818740184</v>
      </c>
    </row>
    <row r="5339" ht="15" customHeight="1" spans="1:25" x14ac:dyDescent="0.25">
      <c r="A5339" s="17" t="s">
        <v>15340</v>
      </c>
      <c r="B5339" s="17" t="s">
        <v>70</v>
      </c>
      <c r="C5339" s="17" t="s">
        <v>71</v>
      </c>
      <c r="D5339" t="s">
        <v>15341</v>
      </c>
      <c r="F5339" t="s">
        <v>15342</v>
      </c>
      <c r="K5339" s="18">
        <f>62811916520</f>
        <v>62811916520</v>
      </c>
      <c r="N5339" s="17" t="s">
        <v>74</v>
      </c>
      <c r="U5339" s="17"/>
      <c r="V5339" s="18">
        <f>62811916520</f>
        <v>62811916520</v>
      </c>
      <c r="W5339" t="s">
        <v>15343</v>
      </c>
      <c r="Y5339" s="17" t="s">
        <v>6412</v>
      </c>
    </row>
    <row r="5340" ht="15" customHeight="1" spans="1:22" x14ac:dyDescent="0.25">
      <c r="A5340" s="17" t="s">
        <v>15344</v>
      </c>
      <c r="B5340" s="17" t="s">
        <v>70</v>
      </c>
      <c r="C5340" s="17" t="s">
        <v>71</v>
      </c>
      <c r="D5340" t="s">
        <v>15345</v>
      </c>
      <c r="F5340" t="s">
        <v>2159</v>
      </c>
      <c r="K5340" s="18">
        <f>628124310395</f>
        <v>628124310395</v>
      </c>
      <c r="N5340" s="17" t="s">
        <v>77</v>
      </c>
      <c r="V5340" s="18">
        <f>628124310395</f>
        <v>628124310395</v>
      </c>
    </row>
    <row r="5341" ht="15" customHeight="1" spans="1:22" x14ac:dyDescent="0.25">
      <c r="A5341" s="17" t="s">
        <v>15346</v>
      </c>
      <c r="B5341" s="17" t="s">
        <v>70</v>
      </c>
      <c r="C5341" s="17" t="s">
        <v>71</v>
      </c>
      <c r="D5341" t="s">
        <v>15347</v>
      </c>
      <c r="F5341" t="s">
        <v>15348</v>
      </c>
      <c r="K5341" s="18">
        <f>6281802800086</f>
        <v>6281802800086</v>
      </c>
      <c r="N5341" s="17" t="s">
        <v>81</v>
      </c>
      <c r="V5341" s="18">
        <f>6281802800086</f>
        <v>6281802800086</v>
      </c>
    </row>
    <row r="5342" ht="15" customHeight="1" spans="1:23" x14ac:dyDescent="0.25">
      <c r="A5342" s="17" t="s">
        <v>15349</v>
      </c>
      <c r="B5342" s="17" t="s">
        <v>70</v>
      </c>
      <c r="C5342" s="17" t="s">
        <v>71</v>
      </c>
      <c r="D5342" t="s">
        <v>15347</v>
      </c>
      <c r="F5342" t="s">
        <v>15350</v>
      </c>
      <c r="K5342" s="18">
        <f>6281212121619</f>
        <v>6281212121619</v>
      </c>
      <c r="N5342" s="17" t="s">
        <v>77</v>
      </c>
      <c r="U5342" s="17"/>
      <c r="V5342" s="18">
        <f>6281212121619</f>
        <v>6281212121619</v>
      </c>
      <c r="W5342" t="s">
        <v>15351</v>
      </c>
    </row>
    <row r="5343" ht="15" customHeight="1" spans="1:23" x14ac:dyDescent="0.25">
      <c r="A5343" s="17" t="s">
        <v>15352</v>
      </c>
      <c r="B5343" s="17" t="s">
        <v>70</v>
      </c>
      <c r="C5343" s="17" t="s">
        <v>71</v>
      </c>
      <c r="D5343" t="s">
        <v>15353</v>
      </c>
      <c r="F5343" t="s">
        <v>15354</v>
      </c>
      <c r="K5343" s="18">
        <f>628111888798</f>
        <v>628111888798</v>
      </c>
      <c r="N5343" s="17" t="s">
        <v>81</v>
      </c>
      <c r="U5343" s="17"/>
      <c r="V5343" s="18">
        <f>628111888798</f>
        <v>628111888798</v>
      </c>
      <c r="W5343" t="s">
        <v>15355</v>
      </c>
    </row>
    <row r="5344" ht="15" customHeight="1" spans="1:28" x14ac:dyDescent="0.25">
      <c r="A5344" s="17" t="s">
        <v>15356</v>
      </c>
      <c r="B5344" s="17" t="s">
        <v>70</v>
      </c>
      <c r="C5344" s="17" t="s">
        <v>71</v>
      </c>
      <c r="D5344" t="s">
        <v>15353</v>
      </c>
      <c r="F5344" t="s">
        <v>15357</v>
      </c>
      <c r="J5344" t="s">
        <v>115</v>
      </c>
      <c r="K5344" s="18" t="s">
        <v>15358</v>
      </c>
      <c r="N5344" s="17" t="s">
        <v>74</v>
      </c>
      <c r="O5344" t="s">
        <v>489</v>
      </c>
      <c r="V5344" s="18" t="s">
        <v>15358</v>
      </c>
      <c r="Y5344" t="s">
        <v>90</v>
      </c>
      <c r="AA5344" t="s">
        <v>118</v>
      </c>
      <c r="AB5344" t="s">
        <v>119</v>
      </c>
    </row>
    <row r="5345" ht="15" customHeight="1" spans="1:22" x14ac:dyDescent="0.25">
      <c r="A5345" s="17" t="s">
        <v>15359</v>
      </c>
      <c r="B5345" s="17" t="s">
        <v>70</v>
      </c>
      <c r="C5345" s="17" t="s">
        <v>71</v>
      </c>
      <c r="D5345" t="s">
        <v>15360</v>
      </c>
      <c r="F5345" t="s">
        <v>15361</v>
      </c>
      <c r="K5345" s="18">
        <f>6281191972</f>
        <v>6281191972</v>
      </c>
      <c r="N5345" s="17" t="s">
        <v>77</v>
      </c>
      <c r="V5345" s="18">
        <f>6281191972</f>
        <v>6281191972</v>
      </c>
    </row>
    <row r="5346" ht="15" customHeight="1" spans="1:25" x14ac:dyDescent="0.25">
      <c r="A5346" s="17" t="s">
        <v>15362</v>
      </c>
      <c r="B5346" s="17" t="s">
        <v>70</v>
      </c>
      <c r="C5346" s="17" t="s">
        <v>71</v>
      </c>
      <c r="D5346" t="s">
        <v>15363</v>
      </c>
      <c r="F5346" t="s">
        <v>1892</v>
      </c>
      <c r="K5346" s="18">
        <f>62811346924</f>
        <v>62811346924</v>
      </c>
      <c r="N5346" s="17" t="s">
        <v>77</v>
      </c>
      <c r="U5346" s="17"/>
      <c r="V5346" s="18">
        <f>62811346924</f>
        <v>62811346924</v>
      </c>
      <c r="W5346" t="s">
        <v>15364</v>
      </c>
      <c r="Y5346" s="17" t="s">
        <v>704</v>
      </c>
    </row>
    <row r="5347" ht="15" customHeight="1" spans="1:27" x14ac:dyDescent="0.25">
      <c r="A5347" s="17" t="s">
        <v>15365</v>
      </c>
      <c r="B5347" s="17" t="s">
        <v>70</v>
      </c>
      <c r="C5347" s="17" t="s">
        <v>71</v>
      </c>
      <c r="D5347" t="s">
        <v>942</v>
      </c>
      <c r="F5347" t="s">
        <v>15366</v>
      </c>
      <c r="J5347" s="17" t="s">
        <v>15367</v>
      </c>
      <c r="K5347" s="18">
        <f>6281255242953</f>
        <v>6281255242953</v>
      </c>
      <c r="N5347" s="17" t="s">
        <v>77</v>
      </c>
      <c r="U5347" s="17"/>
      <c r="V5347" s="18">
        <f>6281255242953</f>
        <v>6281255242953</v>
      </c>
      <c r="W5347" t="s">
        <v>15368</v>
      </c>
      <c r="AA5347" s="17">
        <v>12770</v>
      </c>
    </row>
    <row r="5348" ht="15" customHeight="1" spans="1:28" x14ac:dyDescent="0.25">
      <c r="A5348" s="17" t="s">
        <v>15369</v>
      </c>
      <c r="B5348" s="17" t="s">
        <v>70</v>
      </c>
      <c r="C5348" s="17" t="s">
        <v>71</v>
      </c>
      <c r="D5348" t="s">
        <v>15370</v>
      </c>
      <c r="F5348" t="s">
        <v>15371</v>
      </c>
      <c r="J5348" t="s">
        <v>15372</v>
      </c>
      <c r="K5348" s="18" t="s">
        <v>15373</v>
      </c>
      <c r="N5348" s="17" t="s">
        <v>77</v>
      </c>
      <c r="O5348" t="s">
        <v>489</v>
      </c>
      <c r="V5348" s="18" t="s">
        <v>15373</v>
      </c>
      <c r="Y5348" s="17" t="s">
        <v>1586</v>
      </c>
      <c r="AA5348" t="s">
        <v>115</v>
      </c>
      <c r="AB5348" t="s">
        <v>1586</v>
      </c>
    </row>
    <row r="5349" ht="15" customHeight="1" spans="1:28" x14ac:dyDescent="0.25">
      <c r="A5349" s="17" t="s">
        <v>15374</v>
      </c>
      <c r="B5349" s="17" t="s">
        <v>70</v>
      </c>
      <c r="C5349" s="17" t="s">
        <v>71</v>
      </c>
      <c r="D5349" t="s">
        <v>15375</v>
      </c>
      <c r="F5349" t="s">
        <v>14950</v>
      </c>
      <c r="J5349" s="17" t="s">
        <v>15376</v>
      </c>
      <c r="K5349" s="18" t="s">
        <v>15377</v>
      </c>
      <c r="N5349" s="17" t="s">
        <v>77</v>
      </c>
      <c r="O5349" t="s">
        <v>261</v>
      </c>
      <c r="V5349" s="18" t="s">
        <v>15377</v>
      </c>
      <c r="Y5349" t="s">
        <v>90</v>
      </c>
      <c r="AA5349" t="s">
        <v>118</v>
      </c>
      <c r="AB5349" t="s">
        <v>119</v>
      </c>
    </row>
    <row r="5350" ht="15" customHeight="1" spans="1:22" x14ac:dyDescent="0.25">
      <c r="A5350" s="17" t="s">
        <v>15378</v>
      </c>
      <c r="B5350" s="17" t="s">
        <v>70</v>
      </c>
      <c r="C5350" s="17" t="s">
        <v>71</v>
      </c>
      <c r="D5350" t="s">
        <v>3386</v>
      </c>
      <c r="F5350" t="s">
        <v>15379</v>
      </c>
      <c r="K5350" s="18">
        <f>628123420123</f>
        <v>628123420123</v>
      </c>
      <c r="N5350" s="17" t="s">
        <v>77</v>
      </c>
      <c r="V5350" s="18">
        <f>628123420123</f>
        <v>628123420123</v>
      </c>
    </row>
    <row r="5351" ht="15" customHeight="1" spans="1:22" x14ac:dyDescent="0.25">
      <c r="A5351" s="17" t="s">
        <v>15380</v>
      </c>
      <c r="B5351" s="17" t="s">
        <v>70</v>
      </c>
      <c r="C5351" s="17" t="s">
        <v>71</v>
      </c>
      <c r="D5351" t="s">
        <v>3386</v>
      </c>
      <c r="F5351" t="s">
        <v>15381</v>
      </c>
      <c r="K5351" s="18">
        <f>628129420123</f>
        <v>628129420123</v>
      </c>
      <c r="N5351" s="17" t="s">
        <v>81</v>
      </c>
      <c r="V5351" s="18">
        <f>628129420123</f>
        <v>628129420123</v>
      </c>
    </row>
    <row r="5352" ht="15" customHeight="1" spans="1:22" x14ac:dyDescent="0.25">
      <c r="A5352" s="17" t="s">
        <v>15382</v>
      </c>
      <c r="B5352" s="17" t="s">
        <v>70</v>
      </c>
      <c r="C5352" s="17" t="s">
        <v>71</v>
      </c>
      <c r="D5352" t="s">
        <v>15383</v>
      </c>
      <c r="F5352" t="s">
        <v>15383</v>
      </c>
      <c r="K5352" s="18">
        <f>6281281826328</f>
        <v>6281281826328</v>
      </c>
      <c r="N5352" s="17" t="s">
        <v>77</v>
      </c>
      <c r="V5352" s="18">
        <f>6281281826328</f>
        <v>6281281826328</v>
      </c>
    </row>
    <row r="5353" ht="15" customHeight="1" spans="1:23" x14ac:dyDescent="0.25">
      <c r="A5353" s="17" t="s">
        <v>15384</v>
      </c>
      <c r="B5353" s="17" t="s">
        <v>70</v>
      </c>
      <c r="C5353" s="17" t="s">
        <v>71</v>
      </c>
      <c r="D5353" t="s">
        <v>15385</v>
      </c>
      <c r="F5353" t="s">
        <v>15386</v>
      </c>
      <c r="K5353" s="18">
        <f>6590286182</f>
        <v>6590286182</v>
      </c>
      <c r="N5353" s="17" t="s">
        <v>74</v>
      </c>
      <c r="U5353" s="17"/>
      <c r="V5353" s="18">
        <f>6590286182</f>
        <v>6590286182</v>
      </c>
      <c r="W5353" t="s">
        <v>15387</v>
      </c>
    </row>
    <row r="5354" ht="15" customHeight="1" spans="1:22" x14ac:dyDescent="0.25">
      <c r="A5354" s="17" t="s">
        <v>15388</v>
      </c>
      <c r="B5354" s="17" t="s">
        <v>70</v>
      </c>
      <c r="C5354" s="17" t="s">
        <v>71</v>
      </c>
      <c r="D5354" t="s">
        <v>15385</v>
      </c>
      <c r="F5354" t="s">
        <v>13426</v>
      </c>
      <c r="K5354" s="18">
        <f>6594769773</f>
        <v>6594769773</v>
      </c>
      <c r="N5354" s="17" t="s">
        <v>77</v>
      </c>
      <c r="V5354" s="18">
        <f>6594769773</f>
        <v>6594769773</v>
      </c>
    </row>
    <row r="5355" ht="15" customHeight="1" spans="1:22" x14ac:dyDescent="0.25">
      <c r="A5355" s="17" t="s">
        <v>15389</v>
      </c>
      <c r="B5355" s="17" t="s">
        <v>70</v>
      </c>
      <c r="C5355" s="17" t="s">
        <v>71</v>
      </c>
      <c r="D5355" t="s">
        <v>15385</v>
      </c>
      <c r="F5355" t="s">
        <v>15390</v>
      </c>
      <c r="K5355" s="18">
        <f>628176378881</f>
        <v>628176378881</v>
      </c>
      <c r="N5355" s="17" t="s">
        <v>77</v>
      </c>
      <c r="V5355" s="18">
        <f>628176378881</f>
        <v>628176378881</v>
      </c>
    </row>
    <row r="5356" ht="15" customHeight="1" spans="1:22" x14ac:dyDescent="0.25">
      <c r="A5356" s="17" t="s">
        <v>15391</v>
      </c>
      <c r="B5356" s="17" t="s">
        <v>70</v>
      </c>
      <c r="C5356" s="17" t="s">
        <v>71</v>
      </c>
      <c r="D5356" t="s">
        <v>15392</v>
      </c>
      <c r="F5356" t="s">
        <v>15393</v>
      </c>
      <c r="K5356" s="18">
        <v>81281802103</v>
      </c>
      <c r="N5356" s="17" t="s">
        <v>81</v>
      </c>
      <c r="V5356" s="18">
        <v>81281802103</v>
      </c>
    </row>
    <row r="5357" ht="15" customHeight="1" spans="1:28" x14ac:dyDescent="0.25">
      <c r="A5357" s="17" t="s">
        <v>15394</v>
      </c>
      <c r="B5357" s="17" t="s">
        <v>70</v>
      </c>
      <c r="C5357" s="17" t="s">
        <v>71</v>
      </c>
      <c r="D5357" t="s">
        <v>15395</v>
      </c>
      <c r="F5357" t="s">
        <v>15396</v>
      </c>
      <c r="J5357" t="s">
        <v>115</v>
      </c>
      <c r="K5357" s="18" t="s">
        <v>15397</v>
      </c>
      <c r="N5357" s="17" t="s">
        <v>77</v>
      </c>
      <c r="O5357" t="s">
        <v>117</v>
      </c>
      <c r="U5357" s="17"/>
      <c r="V5357" s="18" t="s">
        <v>15397</v>
      </c>
      <c r="W5357" t="s">
        <v>15398</v>
      </c>
      <c r="Y5357" t="s">
        <v>90</v>
      </c>
      <c r="AA5357" t="s">
        <v>118</v>
      </c>
      <c r="AB5357" t="s">
        <v>119</v>
      </c>
    </row>
    <row r="5358" ht="15" customHeight="1" spans="1:23" x14ac:dyDescent="0.25">
      <c r="A5358" s="17" t="s">
        <v>15399</v>
      </c>
      <c r="B5358" s="17" t="s">
        <v>70</v>
      </c>
      <c r="C5358" s="17" t="s">
        <v>71</v>
      </c>
      <c r="D5358" t="s">
        <v>15400</v>
      </c>
      <c r="F5358" t="s">
        <v>3618</v>
      </c>
      <c r="K5358" s="18">
        <f>18623775174</f>
        <v>18623775174</v>
      </c>
      <c r="N5358" s="17" t="s">
        <v>77</v>
      </c>
      <c r="U5358" s="17"/>
      <c r="V5358" s="18">
        <f>18623775174</f>
        <v>18623775174</v>
      </c>
      <c r="W5358" t="s">
        <v>8622</v>
      </c>
    </row>
    <row r="5359" ht="15" customHeight="1" spans="1:28" x14ac:dyDescent="0.25">
      <c r="A5359" s="17" t="s">
        <v>15401</v>
      </c>
      <c r="B5359" s="17" t="s">
        <v>70</v>
      </c>
      <c r="C5359" s="17" t="s">
        <v>71</v>
      </c>
      <c r="D5359" t="s">
        <v>1905</v>
      </c>
      <c r="F5359" t="s">
        <v>6373</v>
      </c>
      <c r="J5359" s="17" t="s">
        <v>15402</v>
      </c>
      <c r="K5359" s="18" t="s">
        <v>15403</v>
      </c>
      <c r="N5359" s="17" t="s">
        <v>77</v>
      </c>
      <c r="O5359" t="s">
        <v>489</v>
      </c>
      <c r="V5359" s="18" t="s">
        <v>15403</v>
      </c>
      <c r="Y5359" s="17" t="s">
        <v>1909</v>
      </c>
      <c r="AA5359" t="s">
        <v>115</v>
      </c>
      <c r="AB5359" t="s">
        <v>1909</v>
      </c>
    </row>
    <row r="5360" ht="15" customHeight="1" spans="1:25" x14ac:dyDescent="0.25">
      <c r="A5360" s="17" t="s">
        <v>15404</v>
      </c>
      <c r="B5360" s="17" t="s">
        <v>70</v>
      </c>
      <c r="C5360" s="17" t="s">
        <v>71</v>
      </c>
      <c r="D5360" t="s">
        <v>15405</v>
      </c>
      <c r="F5360" t="s">
        <v>824</v>
      </c>
      <c r="K5360" s="18">
        <f>628111112200</f>
        <v>628111112200</v>
      </c>
      <c r="N5360" s="17" t="s">
        <v>77</v>
      </c>
      <c r="U5360" s="17"/>
      <c r="V5360" s="18">
        <f>628111112200</f>
        <v>628111112200</v>
      </c>
      <c r="W5360" t="s">
        <v>15406</v>
      </c>
      <c r="Y5360" s="17" t="s">
        <v>1084</v>
      </c>
    </row>
    <row r="5361" ht="15" customHeight="1" spans="1:23" x14ac:dyDescent="0.25">
      <c r="A5361" s="17" t="s">
        <v>15407</v>
      </c>
      <c r="B5361" s="17" t="s">
        <v>70</v>
      </c>
      <c r="C5361" s="17" t="s">
        <v>71</v>
      </c>
      <c r="D5361" t="s">
        <v>11817</v>
      </c>
      <c r="F5361" t="s">
        <v>15408</v>
      </c>
      <c r="K5361" s="18">
        <f>85260106887</f>
        <v>85260106887</v>
      </c>
      <c r="N5361" s="17" t="s">
        <v>77</v>
      </c>
      <c r="U5361" s="17"/>
      <c r="V5361" s="18">
        <f>85260106887</f>
        <v>85260106887</v>
      </c>
      <c r="W5361" t="s">
        <v>8335</v>
      </c>
    </row>
    <row r="5362" ht="15" customHeight="1" spans="1:22" x14ac:dyDescent="0.25">
      <c r="A5362" s="17" t="s">
        <v>15409</v>
      </c>
      <c r="B5362" s="17" t="s">
        <v>70</v>
      </c>
      <c r="C5362" s="17" t="s">
        <v>71</v>
      </c>
      <c r="D5362" t="s">
        <v>11817</v>
      </c>
      <c r="F5362" t="s">
        <v>13419</v>
      </c>
      <c r="J5362" s="17" t="s">
        <v>15410</v>
      </c>
      <c r="K5362" s="18">
        <f>8613862207955</f>
        <v>8613862207955</v>
      </c>
      <c r="N5362" s="17" t="s">
        <v>77</v>
      </c>
      <c r="V5362" s="18">
        <f>8613862207955</f>
        <v>8613862207955</v>
      </c>
    </row>
    <row r="5363" ht="15" customHeight="1" spans="1:28" x14ac:dyDescent="0.25">
      <c r="A5363" s="17" t="s">
        <v>15411</v>
      </c>
      <c r="B5363" s="17" t="s">
        <v>70</v>
      </c>
      <c r="C5363" s="17" t="s">
        <v>71</v>
      </c>
      <c r="D5363" t="s">
        <v>11817</v>
      </c>
      <c r="F5363" t="s">
        <v>15412</v>
      </c>
      <c r="J5363" t="s">
        <v>115</v>
      </c>
      <c r="K5363" s="18" t="s">
        <v>15413</v>
      </c>
      <c r="N5363" s="17" t="s">
        <v>77</v>
      </c>
      <c r="O5363" t="s">
        <v>145</v>
      </c>
      <c r="U5363" s="17"/>
      <c r="V5363" s="18" t="s">
        <v>15413</v>
      </c>
      <c r="W5363" t="s">
        <v>3140</v>
      </c>
      <c r="Y5363" t="s">
        <v>3140</v>
      </c>
      <c r="AA5363" t="s">
        <v>115</v>
      </c>
      <c r="AB5363" t="s">
        <v>3140</v>
      </c>
    </row>
    <row r="5364" ht="15" customHeight="1" spans="1:28" x14ac:dyDescent="0.25">
      <c r="A5364" s="17" t="s">
        <v>15414</v>
      </c>
      <c r="B5364" s="17" t="s">
        <v>70</v>
      </c>
      <c r="C5364" s="17" t="s">
        <v>71</v>
      </c>
      <c r="D5364" t="s">
        <v>11817</v>
      </c>
      <c r="F5364" t="s">
        <v>15415</v>
      </c>
      <c r="J5364" s="17" t="s">
        <v>15416</v>
      </c>
      <c r="K5364" s="18" t="s">
        <v>15417</v>
      </c>
      <c r="N5364" s="17" t="s">
        <v>77</v>
      </c>
      <c r="O5364" t="s">
        <v>117</v>
      </c>
      <c r="V5364" s="18" t="s">
        <v>15417</v>
      </c>
      <c r="Y5364" t="s">
        <v>115</v>
      </c>
      <c r="AA5364" t="s">
        <v>115</v>
      </c>
      <c r="AB5364" t="s">
        <v>3140</v>
      </c>
    </row>
    <row r="5365" ht="15" customHeight="1" spans="1:23" x14ac:dyDescent="0.25">
      <c r="A5365" s="17" t="s">
        <v>15418</v>
      </c>
      <c r="B5365" s="17" t="s">
        <v>70</v>
      </c>
      <c r="C5365" s="17" t="s">
        <v>71</v>
      </c>
      <c r="D5365" t="s">
        <v>15419</v>
      </c>
      <c r="F5365" t="s">
        <v>15420</v>
      </c>
      <c r="K5365" s="18">
        <f>61423538591</f>
        <v>61423538591</v>
      </c>
      <c r="N5365" s="17" t="s">
        <v>77</v>
      </c>
      <c r="U5365" s="17"/>
      <c r="V5365" s="18">
        <f>61423538591</f>
        <v>61423538591</v>
      </c>
      <c r="W5365" t="s">
        <v>3140</v>
      </c>
    </row>
    <row r="5366" ht="15" customHeight="1" spans="1:28" x14ac:dyDescent="0.25">
      <c r="A5366" s="17" t="s">
        <v>15421</v>
      </c>
      <c r="B5366" s="17" t="s">
        <v>70</v>
      </c>
      <c r="C5366" s="17" t="s">
        <v>71</v>
      </c>
      <c r="D5366" t="s">
        <v>15422</v>
      </c>
      <c r="F5366" t="s">
        <v>15423</v>
      </c>
      <c r="J5366" s="17" t="s">
        <v>15424</v>
      </c>
      <c r="K5366" s="18" t="s">
        <v>15425</v>
      </c>
      <c r="N5366" s="17" t="s">
        <v>77</v>
      </c>
      <c r="O5366" t="s">
        <v>145</v>
      </c>
      <c r="V5366" s="18" t="s">
        <v>15425</v>
      </c>
      <c r="Y5366" t="s">
        <v>1909</v>
      </c>
      <c r="AA5366" t="s">
        <v>115</v>
      </c>
      <c r="AB5366" t="s">
        <v>1909</v>
      </c>
    </row>
    <row r="5367" ht="15" customHeight="1" spans="1:22" x14ac:dyDescent="0.25">
      <c r="A5367" s="17" t="s">
        <v>15426</v>
      </c>
      <c r="B5367" s="17" t="s">
        <v>70</v>
      </c>
      <c r="C5367" s="17" t="s">
        <v>71</v>
      </c>
      <c r="D5367" t="s">
        <v>15427</v>
      </c>
      <c r="F5367" t="s">
        <v>12306</v>
      </c>
      <c r="K5367" s="18">
        <f>6281280933911</f>
        <v>6281280933911</v>
      </c>
      <c r="N5367" s="17" t="s">
        <v>77</v>
      </c>
      <c r="V5367" s="18">
        <f>6281280933911</f>
        <v>6281280933911</v>
      </c>
    </row>
    <row r="5368" ht="15" customHeight="1" spans="1:28" x14ac:dyDescent="0.25">
      <c r="A5368" s="17" t="s">
        <v>15428</v>
      </c>
      <c r="B5368" s="17" t="s">
        <v>70</v>
      </c>
      <c r="C5368" s="17" t="s">
        <v>71</v>
      </c>
      <c r="D5368" t="s">
        <v>15429</v>
      </c>
      <c r="F5368" t="s">
        <v>15430</v>
      </c>
      <c r="J5368" s="17" t="s">
        <v>15431</v>
      </c>
      <c r="K5368" s="18" t="s">
        <v>15432</v>
      </c>
      <c r="N5368" s="17" t="s">
        <v>77</v>
      </c>
      <c r="O5368" t="s">
        <v>489</v>
      </c>
      <c r="V5368" s="18" t="s">
        <v>15432</v>
      </c>
      <c r="Y5368" t="s">
        <v>115</v>
      </c>
      <c r="AA5368" t="s">
        <v>115</v>
      </c>
      <c r="AB5368" t="s">
        <v>451</v>
      </c>
    </row>
    <row r="5369" ht="15" customHeight="1" spans="1:28" x14ac:dyDescent="0.25">
      <c r="A5369" s="17" t="s">
        <v>15433</v>
      </c>
      <c r="B5369" s="17" t="s">
        <v>70</v>
      </c>
      <c r="C5369" s="17" t="s">
        <v>71</v>
      </c>
      <c r="D5369" t="s">
        <v>15434</v>
      </c>
      <c r="F5369" t="s">
        <v>15435</v>
      </c>
      <c r="J5369" s="17" t="s">
        <v>15436</v>
      </c>
      <c r="K5369" s="18" t="s">
        <v>15437</v>
      </c>
      <c r="N5369" s="17" t="s">
        <v>77</v>
      </c>
      <c r="O5369" t="s">
        <v>145</v>
      </c>
      <c r="U5369" s="17"/>
      <c r="V5369" s="18" t="s">
        <v>15437</v>
      </c>
      <c r="W5369" t="s">
        <v>920</v>
      </c>
      <c r="Y5369" t="s">
        <v>920</v>
      </c>
      <c r="AA5369" t="s">
        <v>115</v>
      </c>
      <c r="AB5369" t="s">
        <v>920</v>
      </c>
    </row>
    <row r="5370" ht="15" customHeight="1" spans="1:27" x14ac:dyDescent="0.25">
      <c r="A5370" s="17" t="s">
        <v>15438</v>
      </c>
      <c r="B5370" s="17" t="s">
        <v>70</v>
      </c>
      <c r="C5370" s="17" t="s">
        <v>71</v>
      </c>
      <c r="D5370" t="s">
        <v>15439</v>
      </c>
      <c r="F5370" t="s">
        <v>15439</v>
      </c>
      <c r="K5370" s="18">
        <f>62811167753</f>
        <v>62811167753</v>
      </c>
      <c r="N5370" s="17" t="s">
        <v>77</v>
      </c>
      <c r="U5370" s="17"/>
      <c r="V5370" s="18">
        <f>62811167753</f>
        <v>62811167753</v>
      </c>
      <c r="W5370" t="s">
        <v>15440</v>
      </c>
      <c r="Y5370" s="17" t="s">
        <v>96</v>
      </c>
      <c r="AA5370" s="17" t="s">
        <v>15441</v>
      </c>
    </row>
    <row r="5371" ht="15" customHeight="1" spans="1:22" x14ac:dyDescent="0.25">
      <c r="A5371" s="17" t="s">
        <v>15442</v>
      </c>
      <c r="B5371" s="17" t="s">
        <v>70</v>
      </c>
      <c r="C5371" s="17" t="s">
        <v>71</v>
      </c>
      <c r="D5371" t="s">
        <v>6723</v>
      </c>
      <c r="F5371" t="s">
        <v>618</v>
      </c>
      <c r="K5371" s="18">
        <f>628161443693</f>
        <v>628161443693</v>
      </c>
      <c r="N5371" s="17" t="s">
        <v>77</v>
      </c>
      <c r="V5371" s="18">
        <f>628161443693</f>
        <v>628161443693</v>
      </c>
    </row>
    <row r="5372" ht="15" customHeight="1" spans="1:28" x14ac:dyDescent="0.25">
      <c r="A5372" s="17" t="s">
        <v>15443</v>
      </c>
      <c r="B5372" s="17" t="s">
        <v>70</v>
      </c>
      <c r="C5372" s="17" t="s">
        <v>71</v>
      </c>
      <c r="D5372" t="s">
        <v>15444</v>
      </c>
      <c r="F5372" t="s">
        <v>15445</v>
      </c>
      <c r="J5372" s="17" t="s">
        <v>15446</v>
      </c>
      <c r="K5372" s="18" t="s">
        <v>15447</v>
      </c>
      <c r="N5372" s="17" t="s">
        <v>77</v>
      </c>
      <c r="O5372" t="s">
        <v>145</v>
      </c>
      <c r="V5372" s="18" t="s">
        <v>15447</v>
      </c>
      <c r="Y5372" t="s">
        <v>115</v>
      </c>
      <c r="AA5372" t="s">
        <v>115</v>
      </c>
      <c r="AB5372" t="s">
        <v>5358</v>
      </c>
    </row>
    <row r="5373" ht="15" customHeight="1" spans="1:22" x14ac:dyDescent="0.25">
      <c r="A5373" s="17" t="s">
        <v>15448</v>
      </c>
      <c r="B5373" s="17" t="s">
        <v>70</v>
      </c>
      <c r="C5373" s="17" t="s">
        <v>71</v>
      </c>
      <c r="D5373" t="s">
        <v>15449</v>
      </c>
      <c r="F5373" t="s">
        <v>15449</v>
      </c>
      <c r="K5373" s="18">
        <f>628176091088</f>
        <v>628176091088</v>
      </c>
      <c r="N5373" s="17" t="s">
        <v>81</v>
      </c>
      <c r="V5373" s="18">
        <f>628176091088</f>
        <v>628176091088</v>
      </c>
    </row>
    <row r="5374" ht="15" customHeight="1" spans="1:22" x14ac:dyDescent="0.25">
      <c r="A5374" s="17" t="s">
        <v>15450</v>
      </c>
      <c r="B5374" s="17" t="s">
        <v>70</v>
      </c>
      <c r="C5374" s="17" t="s">
        <v>71</v>
      </c>
      <c r="D5374" t="s">
        <v>15449</v>
      </c>
      <c r="F5374" t="s">
        <v>15449</v>
      </c>
      <c r="K5374" s="18">
        <f>6281318387633</f>
        <v>6281318387633</v>
      </c>
      <c r="N5374" s="17" t="s">
        <v>74</v>
      </c>
      <c r="V5374" s="18">
        <f>6281318387633</f>
        <v>6281318387633</v>
      </c>
    </row>
    <row r="5375" ht="15" customHeight="1" spans="1:25" x14ac:dyDescent="0.25">
      <c r="A5375" s="17" t="s">
        <v>15451</v>
      </c>
      <c r="B5375" s="17" t="s">
        <v>70</v>
      </c>
      <c r="C5375" s="17" t="s">
        <v>71</v>
      </c>
      <c r="D5375" t="s">
        <v>15449</v>
      </c>
      <c r="F5375" t="s">
        <v>15449</v>
      </c>
      <c r="K5375" s="18">
        <f>6281275933060</f>
        <v>6281275933060</v>
      </c>
      <c r="N5375" s="17" t="s">
        <v>77</v>
      </c>
      <c r="U5375" s="17"/>
      <c r="V5375" s="18">
        <f>6281275933060</f>
        <v>6281275933060</v>
      </c>
      <c r="W5375" t="s">
        <v>15452</v>
      </c>
      <c r="Y5375" s="17" t="s">
        <v>90</v>
      </c>
    </row>
    <row r="5376" ht="15" customHeight="1" spans="1:22" x14ac:dyDescent="0.25">
      <c r="A5376" s="17" t="s">
        <v>15453</v>
      </c>
      <c r="B5376" s="17" t="s">
        <v>70</v>
      </c>
      <c r="C5376" s="17" t="s">
        <v>71</v>
      </c>
      <c r="D5376" t="s">
        <v>15449</v>
      </c>
      <c r="F5376" t="s">
        <v>4209</v>
      </c>
      <c r="K5376" s="18">
        <f>62818852285</f>
        <v>62818852285</v>
      </c>
      <c r="N5376" s="17" t="s">
        <v>77</v>
      </c>
      <c r="V5376" s="18">
        <f>62818852285</f>
        <v>62818852285</v>
      </c>
    </row>
    <row r="5377" ht="15" customHeight="1" spans="1:22" x14ac:dyDescent="0.25">
      <c r="A5377" s="17" t="s">
        <v>15454</v>
      </c>
      <c r="B5377" s="17" t="s">
        <v>70</v>
      </c>
      <c r="C5377" s="17" t="s">
        <v>71</v>
      </c>
      <c r="D5377" t="s">
        <v>15449</v>
      </c>
      <c r="F5377" t="s">
        <v>1401</v>
      </c>
      <c r="K5377" s="18">
        <f>62811162509</f>
        <v>62811162509</v>
      </c>
      <c r="N5377" s="17" t="s">
        <v>77</v>
      </c>
      <c r="V5377" s="18">
        <f>62811162509</f>
        <v>62811162509</v>
      </c>
    </row>
    <row r="5378" ht="15" customHeight="1" spans="1:23" x14ac:dyDescent="0.25">
      <c r="A5378" s="17" t="s">
        <v>15455</v>
      </c>
      <c r="B5378" s="17" t="s">
        <v>70</v>
      </c>
      <c r="C5378" s="17" t="s">
        <v>71</v>
      </c>
      <c r="D5378" t="s">
        <v>15449</v>
      </c>
      <c r="F5378" t="s">
        <v>10099</v>
      </c>
      <c r="J5378" s="17" t="s">
        <v>15456</v>
      </c>
      <c r="K5378" s="18">
        <f>62811907234</f>
        <v>62811907234</v>
      </c>
      <c r="N5378" s="17" t="s">
        <v>77</v>
      </c>
      <c r="U5378" s="17"/>
      <c r="V5378" s="18">
        <f>62811907234</f>
        <v>62811907234</v>
      </c>
      <c r="W5378" t="s">
        <v>15457</v>
      </c>
    </row>
    <row r="5379" ht="15" customHeight="1" spans="1:22" x14ac:dyDescent="0.25">
      <c r="A5379" s="17" t="s">
        <v>15458</v>
      </c>
      <c r="B5379" s="17" t="s">
        <v>70</v>
      </c>
      <c r="C5379" s="17" t="s">
        <v>71</v>
      </c>
      <c r="D5379" t="s">
        <v>15449</v>
      </c>
      <c r="F5379" t="s">
        <v>15459</v>
      </c>
      <c r="K5379" s="18">
        <f>6281219567155</f>
        <v>6281219567155</v>
      </c>
      <c r="N5379" s="17" t="s">
        <v>81</v>
      </c>
      <c r="V5379" s="18">
        <f>6281219567155</f>
        <v>6281219567155</v>
      </c>
    </row>
    <row r="5380" ht="15" customHeight="1" spans="1:22" x14ac:dyDescent="0.25">
      <c r="A5380" s="17" t="s">
        <v>15460</v>
      </c>
      <c r="B5380" s="17" t="s">
        <v>70</v>
      </c>
      <c r="C5380" s="17" t="s">
        <v>71</v>
      </c>
      <c r="D5380" t="s">
        <v>15449</v>
      </c>
      <c r="F5380" t="s">
        <v>15461</v>
      </c>
      <c r="K5380" s="18">
        <f>6285776031583</f>
        <v>6285776031583</v>
      </c>
      <c r="N5380" s="17" t="s">
        <v>81</v>
      </c>
      <c r="V5380" s="18">
        <f>6285776031583</f>
        <v>6285776031583</v>
      </c>
    </row>
    <row r="5381" ht="15" customHeight="1" spans="1:22" x14ac:dyDescent="0.25">
      <c r="A5381" s="17" t="s">
        <v>15462</v>
      </c>
      <c r="B5381" s="17" t="s">
        <v>70</v>
      </c>
      <c r="C5381" s="17" t="s">
        <v>71</v>
      </c>
      <c r="D5381" t="s">
        <v>15449</v>
      </c>
      <c r="F5381" t="s">
        <v>9023</v>
      </c>
      <c r="K5381" s="18">
        <f>6281222229508</f>
        <v>6281222229508</v>
      </c>
      <c r="N5381" s="17" t="s">
        <v>81</v>
      </c>
      <c r="V5381" s="18">
        <f>6281222229508</f>
        <v>6281222229508</v>
      </c>
    </row>
    <row r="5382" ht="15" customHeight="1" spans="1:22" x14ac:dyDescent="0.25">
      <c r="A5382" s="17" t="s">
        <v>15463</v>
      </c>
      <c r="B5382" s="17" t="s">
        <v>70</v>
      </c>
      <c r="C5382" s="17" t="s">
        <v>71</v>
      </c>
      <c r="D5382" t="s">
        <v>15449</v>
      </c>
      <c r="F5382" t="s">
        <v>15464</v>
      </c>
      <c r="J5382" s="17" t="s">
        <v>15465</v>
      </c>
      <c r="K5382" s="18">
        <f>62811995177</f>
        <v>62811995177</v>
      </c>
      <c r="N5382" s="17" t="s">
        <v>74</v>
      </c>
      <c r="V5382" s="18">
        <f>62811995177</f>
        <v>62811995177</v>
      </c>
    </row>
    <row r="5383" ht="15" customHeight="1" spans="1:22" x14ac:dyDescent="0.25">
      <c r="A5383" s="17" t="s">
        <v>15466</v>
      </c>
      <c r="B5383" s="17" t="s">
        <v>70</v>
      </c>
      <c r="C5383" s="17" t="s">
        <v>71</v>
      </c>
      <c r="D5383" t="s">
        <v>15449</v>
      </c>
      <c r="F5383" t="s">
        <v>15449</v>
      </c>
      <c r="K5383" s="18">
        <f>6281387680838</f>
        <v>6281387680838</v>
      </c>
      <c r="N5383" s="17" t="s">
        <v>77</v>
      </c>
      <c r="V5383" s="18">
        <f>6281387680838</f>
        <v>6281387680838</v>
      </c>
    </row>
    <row r="5384" ht="15" customHeight="1" spans="1:28" x14ac:dyDescent="0.25">
      <c r="A5384" s="17" t="s">
        <v>15467</v>
      </c>
      <c r="B5384" s="17" t="s">
        <v>70</v>
      </c>
      <c r="C5384" s="17" t="s">
        <v>71</v>
      </c>
      <c r="D5384" t="s">
        <v>15449</v>
      </c>
      <c r="F5384" t="s">
        <v>15468</v>
      </c>
      <c r="J5384" t="s">
        <v>115</v>
      </c>
      <c r="K5384" s="18" t="s">
        <v>15469</v>
      </c>
      <c r="N5384" s="17" t="s">
        <v>77</v>
      </c>
      <c r="O5384" t="s">
        <v>117</v>
      </c>
      <c r="V5384" s="18" t="s">
        <v>15469</v>
      </c>
      <c r="Y5384" t="s">
        <v>190</v>
      </c>
      <c r="AA5384" t="s">
        <v>118</v>
      </c>
      <c r="AB5384" t="s">
        <v>119</v>
      </c>
    </row>
    <row r="5385" ht="15" customHeight="1" spans="1:28" x14ac:dyDescent="0.25">
      <c r="A5385" s="17" t="s">
        <v>15470</v>
      </c>
      <c r="B5385" s="17" t="s">
        <v>70</v>
      </c>
      <c r="C5385" s="17" t="s">
        <v>71</v>
      </c>
      <c r="D5385" t="s">
        <v>15449</v>
      </c>
      <c r="F5385" t="s">
        <v>15471</v>
      </c>
      <c r="J5385" s="17" t="s">
        <v>15472</v>
      </c>
      <c r="K5385" s="18" t="s">
        <v>15473</v>
      </c>
      <c r="N5385" s="17" t="s">
        <v>77</v>
      </c>
      <c r="O5385" t="s">
        <v>117</v>
      </c>
      <c r="V5385" s="18" t="s">
        <v>15473</v>
      </c>
      <c r="Y5385" t="s">
        <v>90</v>
      </c>
      <c r="AA5385" t="s">
        <v>118</v>
      </c>
      <c r="AB5385" t="s">
        <v>119</v>
      </c>
    </row>
    <row r="5386" ht="15" customHeight="1" spans="1:22" x14ac:dyDescent="0.25">
      <c r="A5386" s="17" t="s">
        <v>15474</v>
      </c>
      <c r="B5386" s="17" t="s">
        <v>70</v>
      </c>
      <c r="C5386" s="17" t="s">
        <v>71</v>
      </c>
      <c r="D5386" t="s">
        <v>15449</v>
      </c>
      <c r="F5386" t="s">
        <v>14950</v>
      </c>
      <c r="K5386" s="18">
        <f>628128800100</f>
        <v>628128800100</v>
      </c>
      <c r="N5386" s="17" t="s">
        <v>77</v>
      </c>
      <c r="V5386" s="18">
        <f>628128800100</f>
        <v>628128800100</v>
      </c>
    </row>
    <row r="5387" ht="15" customHeight="1" spans="1:28" x14ac:dyDescent="0.25">
      <c r="A5387" s="17" t="s">
        <v>15475</v>
      </c>
      <c r="B5387" s="17" t="s">
        <v>70</v>
      </c>
      <c r="C5387" s="17" t="s">
        <v>71</v>
      </c>
      <c r="D5387" t="s">
        <v>15449</v>
      </c>
      <c r="F5387" t="s">
        <v>150</v>
      </c>
      <c r="J5387" t="s">
        <v>115</v>
      </c>
      <c r="K5387" s="18" t="s">
        <v>15476</v>
      </c>
      <c r="N5387" s="17" t="s">
        <v>81</v>
      </c>
      <c r="O5387" t="s">
        <v>117</v>
      </c>
      <c r="V5387" s="18" t="s">
        <v>15476</v>
      </c>
      <c r="Y5387" t="s">
        <v>90</v>
      </c>
      <c r="AA5387" t="s">
        <v>118</v>
      </c>
      <c r="AB5387" t="s">
        <v>119</v>
      </c>
    </row>
    <row r="5388" ht="15" customHeight="1" spans="1:23" x14ac:dyDescent="0.25">
      <c r="A5388" s="17" t="s">
        <v>15477</v>
      </c>
      <c r="B5388" s="17" t="s">
        <v>70</v>
      </c>
      <c r="C5388" s="17" t="s">
        <v>71</v>
      </c>
      <c r="D5388" t="s">
        <v>15449</v>
      </c>
      <c r="F5388" t="s">
        <v>15478</v>
      </c>
      <c r="K5388" s="18">
        <f>628129999782</f>
        <v>628129999782</v>
      </c>
      <c r="N5388" s="17" t="s">
        <v>81</v>
      </c>
      <c r="U5388" s="17"/>
      <c r="V5388" s="18">
        <f>628129999782</f>
        <v>628129999782</v>
      </c>
      <c r="W5388" t="s">
        <v>15479</v>
      </c>
    </row>
    <row r="5389" ht="15" customHeight="1" spans="1:28" x14ac:dyDescent="0.25">
      <c r="A5389" s="17" t="s">
        <v>15480</v>
      </c>
      <c r="B5389" s="17" t="s">
        <v>70</v>
      </c>
      <c r="C5389" s="17" t="s">
        <v>71</v>
      </c>
      <c r="D5389" t="s">
        <v>15449</v>
      </c>
      <c r="F5389" t="s">
        <v>15481</v>
      </c>
      <c r="J5389" t="s">
        <v>15482</v>
      </c>
      <c r="K5389" s="18" t="s">
        <v>15483</v>
      </c>
      <c r="N5389" s="17" t="s">
        <v>77</v>
      </c>
      <c r="O5389" t="s">
        <v>199</v>
      </c>
      <c r="U5389" s="17"/>
      <c r="V5389" s="18" t="s">
        <v>15483</v>
      </c>
      <c r="W5389" t="s">
        <v>15484</v>
      </c>
      <c r="Y5389" s="17" t="s">
        <v>190</v>
      </c>
      <c r="AA5389" t="s">
        <v>118</v>
      </c>
      <c r="AB5389" t="s">
        <v>119</v>
      </c>
    </row>
    <row r="5390" ht="15" customHeight="1" spans="1:23" x14ac:dyDescent="0.25">
      <c r="A5390" s="17" t="s">
        <v>15485</v>
      </c>
      <c r="B5390" s="17" t="s">
        <v>70</v>
      </c>
      <c r="C5390" s="17" t="s">
        <v>71</v>
      </c>
      <c r="D5390" t="s">
        <v>15449</v>
      </c>
      <c r="F5390" t="s">
        <v>15486</v>
      </c>
      <c r="K5390" s="18">
        <f>6287887411009</f>
        <v>6287887411009</v>
      </c>
      <c r="N5390" s="17" t="s">
        <v>77</v>
      </c>
      <c r="U5390" s="17"/>
      <c r="V5390" s="18">
        <f>6287887411009</f>
        <v>6287887411009</v>
      </c>
      <c r="W5390" t="s">
        <v>15487</v>
      </c>
    </row>
    <row r="5391" ht="15" customHeight="1" spans="1:27" x14ac:dyDescent="0.25">
      <c r="A5391" s="17" t="s">
        <v>15488</v>
      </c>
      <c r="B5391" s="17" t="s">
        <v>70</v>
      </c>
      <c r="C5391" s="17" t="s">
        <v>71</v>
      </c>
      <c r="D5391" t="s">
        <v>15449</v>
      </c>
      <c r="F5391" t="s">
        <v>15489</v>
      </c>
      <c r="J5391" s="17" t="s">
        <v>15490</v>
      </c>
      <c r="K5391" s="18">
        <f>6285858220408</f>
        <v>6285858220408</v>
      </c>
      <c r="N5391" s="17" t="s">
        <v>77</v>
      </c>
      <c r="U5391" s="17"/>
      <c r="V5391" s="18">
        <f>6285858220408</f>
        <v>6285858220408</v>
      </c>
      <c r="W5391" t="s">
        <v>15491</v>
      </c>
      <c r="AA5391" s="17">
        <v>11210</v>
      </c>
    </row>
    <row r="5392" ht="15" customHeight="1" spans="1:22" x14ac:dyDescent="0.25">
      <c r="A5392" s="17" t="s">
        <v>15492</v>
      </c>
      <c r="B5392" s="17" t="s">
        <v>70</v>
      </c>
      <c r="C5392" s="17" t="s">
        <v>71</v>
      </c>
      <c r="D5392" t="s">
        <v>15449</v>
      </c>
      <c r="F5392" t="s">
        <v>3574</v>
      </c>
      <c r="K5392" s="18">
        <f>6282120500857</f>
        <v>6282120500857</v>
      </c>
      <c r="N5392" s="17" t="s">
        <v>77</v>
      </c>
      <c r="V5392" s="18">
        <f>6282120500857</f>
        <v>6282120500857</v>
      </c>
    </row>
    <row r="5393" ht="15" customHeight="1" spans="1:28" x14ac:dyDescent="0.25">
      <c r="A5393" s="17" t="s">
        <v>15493</v>
      </c>
      <c r="B5393" s="17" t="s">
        <v>70</v>
      </c>
      <c r="C5393" s="17" t="s">
        <v>71</v>
      </c>
      <c r="D5393" t="s">
        <v>15449</v>
      </c>
      <c r="F5393" t="s">
        <v>15494</v>
      </c>
      <c r="J5393" t="s">
        <v>115</v>
      </c>
      <c r="K5393" s="18" t="s">
        <v>15495</v>
      </c>
      <c r="N5393" s="17" t="s">
        <v>74</v>
      </c>
      <c r="O5393" t="s">
        <v>489</v>
      </c>
      <c r="U5393" s="17"/>
      <c r="V5393" s="18" t="s">
        <v>15495</v>
      </c>
      <c r="W5393" t="s">
        <v>15496</v>
      </c>
      <c r="Y5393" s="17" t="s">
        <v>90</v>
      </c>
      <c r="AA5393" s="17" t="s">
        <v>118</v>
      </c>
      <c r="AB5393" t="s">
        <v>119</v>
      </c>
    </row>
    <row r="5394" ht="15" customHeight="1" spans="1:22" x14ac:dyDescent="0.25">
      <c r="A5394" s="17" t="s">
        <v>15497</v>
      </c>
      <c r="B5394" s="17" t="s">
        <v>70</v>
      </c>
      <c r="C5394" s="17" t="s">
        <v>71</v>
      </c>
      <c r="D5394" t="s">
        <v>15449</v>
      </c>
      <c r="F5394" t="s">
        <v>8683</v>
      </c>
      <c r="K5394" s="18">
        <f>6287800139000</f>
        <v>6287800139000</v>
      </c>
      <c r="N5394" s="17" t="s">
        <v>74</v>
      </c>
      <c r="V5394" s="18">
        <f>6287800139000</f>
        <v>6287800139000</v>
      </c>
    </row>
    <row r="5395" ht="15" customHeight="1" spans="1:28" x14ac:dyDescent="0.25">
      <c r="A5395" s="17" t="s">
        <v>15498</v>
      </c>
      <c r="B5395" s="17" t="s">
        <v>70</v>
      </c>
      <c r="C5395" s="17" t="s">
        <v>71</v>
      </c>
      <c r="D5395" t="s">
        <v>15449</v>
      </c>
      <c r="F5395" t="s">
        <v>15499</v>
      </c>
      <c r="J5395" t="s">
        <v>115</v>
      </c>
      <c r="K5395" s="18" t="s">
        <v>15500</v>
      </c>
      <c r="N5395" s="17" t="s">
        <v>77</v>
      </c>
      <c r="O5395" t="s">
        <v>489</v>
      </c>
      <c r="V5395" s="18" t="s">
        <v>15500</v>
      </c>
      <c r="Y5395" t="s">
        <v>90</v>
      </c>
      <c r="AA5395" t="s">
        <v>118</v>
      </c>
      <c r="AB5395" t="s">
        <v>119</v>
      </c>
    </row>
    <row r="5396" ht="15" customHeight="1" spans="1:22" x14ac:dyDescent="0.25">
      <c r="A5396" s="17" t="s">
        <v>15501</v>
      </c>
      <c r="B5396" s="17" t="s">
        <v>70</v>
      </c>
      <c r="C5396" s="17" t="s">
        <v>71</v>
      </c>
      <c r="D5396" t="s">
        <v>15449</v>
      </c>
      <c r="F5396" t="s">
        <v>4918</v>
      </c>
      <c r="K5396" s="18">
        <f>62816725609</f>
        <v>62816725609</v>
      </c>
      <c r="N5396" s="17" t="s">
        <v>81</v>
      </c>
      <c r="V5396" s="18">
        <f>62816725609</f>
        <v>62816725609</v>
      </c>
    </row>
    <row r="5397" ht="15" customHeight="1" spans="1:27" x14ac:dyDescent="0.25">
      <c r="A5397" s="17" t="s">
        <v>15502</v>
      </c>
      <c r="B5397" s="17" t="s">
        <v>70</v>
      </c>
      <c r="C5397" s="17" t="s">
        <v>71</v>
      </c>
      <c r="D5397" t="s">
        <v>15449</v>
      </c>
      <c r="F5397" t="s">
        <v>3346</v>
      </c>
      <c r="K5397" s="18">
        <f>6281317553222</f>
        <v>6281317553222</v>
      </c>
      <c r="N5397" s="17" t="s">
        <v>74</v>
      </c>
      <c r="U5397" s="17"/>
      <c r="V5397" s="18">
        <f>6281317553222</f>
        <v>6281317553222</v>
      </c>
      <c r="W5397" t="s">
        <v>15503</v>
      </c>
      <c r="Y5397" s="17" t="s">
        <v>217</v>
      </c>
      <c r="AA5397" s="17" t="s">
        <v>15504</v>
      </c>
    </row>
    <row r="5398" ht="15" customHeight="1" spans="1:22" x14ac:dyDescent="0.25">
      <c r="A5398" s="17" t="s">
        <v>15505</v>
      </c>
      <c r="B5398" s="17" t="s">
        <v>70</v>
      </c>
      <c r="C5398" s="17" t="s">
        <v>71</v>
      </c>
      <c r="D5398" t="s">
        <v>15449</v>
      </c>
      <c r="F5398" t="s">
        <v>15506</v>
      </c>
      <c r="K5398" s="18">
        <f>62816827130</f>
        <v>62816827130</v>
      </c>
      <c r="N5398" s="17" t="s">
        <v>74</v>
      </c>
      <c r="V5398" s="18">
        <f>62816827130</f>
        <v>62816827130</v>
      </c>
    </row>
    <row r="5399" ht="15" customHeight="1" spans="1:27" x14ac:dyDescent="0.25">
      <c r="A5399" s="17" t="s">
        <v>15507</v>
      </c>
      <c r="B5399" s="17" t="s">
        <v>70</v>
      </c>
      <c r="C5399" s="17" t="s">
        <v>71</v>
      </c>
      <c r="D5399" t="s">
        <v>15508</v>
      </c>
      <c r="F5399" t="s">
        <v>15509</v>
      </c>
      <c r="K5399" s="18">
        <f>62818689908</f>
        <v>62818689908</v>
      </c>
      <c r="N5399" s="17" t="s">
        <v>77</v>
      </c>
      <c r="U5399" s="17"/>
      <c r="V5399" s="18">
        <f>62818689908</f>
        <v>62818689908</v>
      </c>
      <c r="W5399" t="s">
        <v>15510</v>
      </c>
      <c r="Y5399" s="17" t="s">
        <v>2596</v>
      </c>
      <c r="AA5399" s="17">
        <v>11840</v>
      </c>
    </row>
    <row r="5400" ht="15" customHeight="1" spans="1:22" x14ac:dyDescent="0.25">
      <c r="A5400" s="17" t="s">
        <v>15511</v>
      </c>
      <c r="B5400" s="17" t="s">
        <v>70</v>
      </c>
      <c r="C5400" s="17" t="s">
        <v>71</v>
      </c>
      <c r="D5400" t="s">
        <v>9240</v>
      </c>
      <c r="F5400" t="s">
        <v>9240</v>
      </c>
      <c r="K5400" s="18">
        <f>6287878102859</f>
        <v>6287878102859</v>
      </c>
      <c r="N5400" s="17" t="s">
        <v>77</v>
      </c>
      <c r="V5400" s="18">
        <f>6287878102859</f>
        <v>6287878102859</v>
      </c>
    </row>
    <row r="5401" ht="15" customHeight="1" spans="1:23" x14ac:dyDescent="0.25">
      <c r="A5401" s="17" t="s">
        <v>15512</v>
      </c>
      <c r="B5401" s="17" t="s">
        <v>70</v>
      </c>
      <c r="C5401" s="17" t="s">
        <v>71</v>
      </c>
      <c r="D5401" t="s">
        <v>9240</v>
      </c>
      <c r="F5401" t="s">
        <v>15513</v>
      </c>
      <c r="K5401" s="18">
        <f>6281510805777</f>
        <v>6281510805777</v>
      </c>
      <c r="N5401" s="17" t="s">
        <v>77</v>
      </c>
      <c r="U5401" s="17"/>
      <c r="V5401" s="18">
        <f>6281510805777</f>
        <v>6281510805777</v>
      </c>
      <c r="W5401" t="s">
        <v>15514</v>
      </c>
    </row>
    <row r="5402" ht="15" customHeight="1" spans="1:22" x14ac:dyDescent="0.25">
      <c r="A5402" s="17" t="s">
        <v>15515</v>
      </c>
      <c r="B5402" s="17" t="s">
        <v>70</v>
      </c>
      <c r="C5402" s="17" t="s">
        <v>71</v>
      </c>
      <c r="D5402" t="s">
        <v>9240</v>
      </c>
      <c r="F5402" t="s">
        <v>15516</v>
      </c>
      <c r="K5402" s="18">
        <f>6282197756688</f>
        <v>6282197756688</v>
      </c>
      <c r="N5402" s="17" t="s">
        <v>77</v>
      </c>
      <c r="V5402" s="18">
        <f>6282197756688</f>
        <v>6282197756688</v>
      </c>
    </row>
    <row r="5403" ht="15" customHeight="1" spans="1:28" x14ac:dyDescent="0.25">
      <c r="A5403" s="17" t="s">
        <v>15517</v>
      </c>
      <c r="B5403" s="17" t="s">
        <v>70</v>
      </c>
      <c r="C5403" s="17" t="s">
        <v>71</v>
      </c>
      <c r="D5403" t="s">
        <v>9240</v>
      </c>
      <c r="F5403" t="s">
        <v>15518</v>
      </c>
      <c r="J5403" t="s">
        <v>15519</v>
      </c>
      <c r="K5403" s="18" t="s">
        <v>15520</v>
      </c>
      <c r="N5403" s="17" t="s">
        <v>77</v>
      </c>
      <c r="O5403" t="s">
        <v>489</v>
      </c>
      <c r="V5403" s="18" t="s">
        <v>15520</v>
      </c>
      <c r="Y5403" t="s">
        <v>190</v>
      </c>
      <c r="AA5403" t="s">
        <v>118</v>
      </c>
      <c r="AB5403" t="s">
        <v>119</v>
      </c>
    </row>
    <row r="5404" ht="15" customHeight="1" spans="1:28" x14ac:dyDescent="0.25">
      <c r="A5404" s="17" t="s">
        <v>15521</v>
      </c>
      <c r="B5404" s="17" t="s">
        <v>70</v>
      </c>
      <c r="C5404" s="17" t="s">
        <v>71</v>
      </c>
      <c r="D5404" t="s">
        <v>9240</v>
      </c>
      <c r="F5404" t="s">
        <v>2184</v>
      </c>
      <c r="J5404" t="s">
        <v>15522</v>
      </c>
      <c r="K5404" s="18" t="s">
        <v>15523</v>
      </c>
      <c r="N5404" s="17" t="s">
        <v>77</v>
      </c>
      <c r="O5404" t="s">
        <v>145</v>
      </c>
      <c r="V5404" s="18" t="s">
        <v>15523</v>
      </c>
      <c r="Y5404" t="s">
        <v>90</v>
      </c>
      <c r="AA5404" t="s">
        <v>118</v>
      </c>
      <c r="AB5404" t="s">
        <v>119</v>
      </c>
    </row>
    <row r="5405" ht="15" customHeight="1" spans="1:28" x14ac:dyDescent="0.25">
      <c r="A5405" s="17" t="s">
        <v>15524</v>
      </c>
      <c r="B5405" s="17" t="s">
        <v>70</v>
      </c>
      <c r="C5405" s="17" t="s">
        <v>71</v>
      </c>
      <c r="D5405" t="s">
        <v>9240</v>
      </c>
      <c r="F5405" t="s">
        <v>15525</v>
      </c>
      <c r="J5405" t="s">
        <v>115</v>
      </c>
      <c r="K5405" s="18" t="s">
        <v>15526</v>
      </c>
      <c r="N5405" s="17" t="s">
        <v>77</v>
      </c>
      <c r="O5405" t="s">
        <v>489</v>
      </c>
      <c r="V5405" s="18" t="s">
        <v>15526</v>
      </c>
      <c r="Y5405" t="s">
        <v>90</v>
      </c>
      <c r="AA5405" t="s">
        <v>118</v>
      </c>
      <c r="AB5405" t="s">
        <v>119</v>
      </c>
    </row>
    <row r="5406" ht="15" customHeight="1" spans="1:23" x14ac:dyDescent="0.25">
      <c r="A5406" s="17" t="s">
        <v>15527</v>
      </c>
      <c r="B5406" s="17" t="s">
        <v>70</v>
      </c>
      <c r="C5406" s="17" t="s">
        <v>71</v>
      </c>
      <c r="D5406" t="s">
        <v>15528</v>
      </c>
      <c r="F5406" t="s">
        <v>15529</v>
      </c>
      <c r="K5406" s="18">
        <f>35677038760</f>
        <v>35677038760</v>
      </c>
      <c r="N5406" s="17" t="s">
        <v>77</v>
      </c>
      <c r="U5406" s="17"/>
      <c r="V5406" s="18">
        <f>35677038760</f>
        <v>35677038760</v>
      </c>
      <c r="W5406" t="s">
        <v>148</v>
      </c>
    </row>
    <row r="5407" ht="15" customHeight="1" spans="1:23" x14ac:dyDescent="0.25">
      <c r="A5407" s="17" t="s">
        <v>15530</v>
      </c>
      <c r="B5407" s="17" t="s">
        <v>70</v>
      </c>
      <c r="C5407" s="17" t="s">
        <v>71</v>
      </c>
      <c r="D5407" t="s">
        <v>15531</v>
      </c>
      <c r="F5407" t="s">
        <v>15532</v>
      </c>
      <c r="K5407" s="18">
        <f>85368727480</f>
        <v>85368727480</v>
      </c>
      <c r="N5407" s="17" t="s">
        <v>77</v>
      </c>
      <c r="U5407" s="17"/>
      <c r="V5407" s="18">
        <f>85368727480</f>
        <v>85368727480</v>
      </c>
      <c r="W5407" t="s">
        <v>1349</v>
      </c>
    </row>
    <row r="5408" ht="15" customHeight="1" spans="1:22" x14ac:dyDescent="0.25">
      <c r="A5408" s="17" t="s">
        <v>15533</v>
      </c>
      <c r="B5408" s="17" t="s">
        <v>70</v>
      </c>
      <c r="C5408" s="17" t="s">
        <v>71</v>
      </c>
      <c r="D5408" t="s">
        <v>15534</v>
      </c>
      <c r="F5408" t="s">
        <v>15535</v>
      </c>
      <c r="K5408" s="18">
        <f>628111980806</f>
        <v>628111980806</v>
      </c>
      <c r="N5408" s="17" t="s">
        <v>77</v>
      </c>
      <c r="V5408" s="18">
        <f>628111980806</f>
        <v>628111980806</v>
      </c>
    </row>
    <row r="5409" ht="15" customHeight="1" spans="1:22" x14ac:dyDescent="0.25">
      <c r="A5409" s="17" t="s">
        <v>15536</v>
      </c>
      <c r="B5409" s="17" t="s">
        <v>70</v>
      </c>
      <c r="C5409" s="17" t="s">
        <v>71</v>
      </c>
      <c r="D5409" t="s">
        <v>15537</v>
      </c>
      <c r="F5409" t="s">
        <v>15538</v>
      </c>
      <c r="K5409" s="18">
        <f>6281219649610</f>
        <v>6281219649610</v>
      </c>
      <c r="N5409" s="17" t="s">
        <v>77</v>
      </c>
      <c r="V5409" s="18">
        <f>6281219649610</f>
        <v>6281219649610</v>
      </c>
    </row>
    <row r="5410" ht="15" customHeight="1" spans="1:22" x14ac:dyDescent="0.25">
      <c r="A5410" s="17" t="s">
        <v>15539</v>
      </c>
      <c r="B5410" s="17" t="s">
        <v>70</v>
      </c>
      <c r="C5410" s="17" t="s">
        <v>71</v>
      </c>
      <c r="D5410" t="s">
        <v>15540</v>
      </c>
      <c r="F5410" t="s">
        <v>15538</v>
      </c>
      <c r="K5410" s="18">
        <f>628129649610</f>
        <v>628129649610</v>
      </c>
      <c r="N5410" s="17" t="s">
        <v>81</v>
      </c>
      <c r="V5410" s="18">
        <f>628129649610</f>
        <v>628129649610</v>
      </c>
    </row>
    <row r="5411" ht="15" customHeight="1" spans="1:28" x14ac:dyDescent="0.25">
      <c r="A5411" s="17" t="s">
        <v>15541</v>
      </c>
      <c r="B5411" s="17" t="s">
        <v>70</v>
      </c>
      <c r="C5411" s="17" t="s">
        <v>71</v>
      </c>
      <c r="D5411" t="s">
        <v>15540</v>
      </c>
      <c r="F5411" t="s">
        <v>1690</v>
      </c>
      <c r="J5411" t="s">
        <v>115</v>
      </c>
      <c r="K5411" s="18" t="s">
        <v>15542</v>
      </c>
      <c r="N5411" s="17" t="s">
        <v>77</v>
      </c>
      <c r="O5411" t="s">
        <v>117</v>
      </c>
      <c r="V5411" s="18" t="s">
        <v>15542</v>
      </c>
      <c r="Y5411" t="s">
        <v>90</v>
      </c>
      <c r="AA5411" t="s">
        <v>118</v>
      </c>
      <c r="AB5411" t="s">
        <v>119</v>
      </c>
    </row>
    <row r="5412" ht="15" customHeight="1" spans="1:23" x14ac:dyDescent="0.25">
      <c r="A5412" s="17" t="s">
        <v>15543</v>
      </c>
      <c r="B5412" s="17" t="s">
        <v>70</v>
      </c>
      <c r="C5412" s="17" t="s">
        <v>71</v>
      </c>
      <c r="D5412" t="s">
        <v>14216</v>
      </c>
      <c r="F5412" t="s">
        <v>14216</v>
      </c>
      <c r="K5412" s="18">
        <f>79585801959</f>
        <v>79585801959</v>
      </c>
      <c r="N5412" s="17" t="s">
        <v>81</v>
      </c>
      <c r="U5412" s="17"/>
      <c r="V5412" s="18">
        <f>79585801959</f>
        <v>79585801959</v>
      </c>
      <c r="W5412" t="s">
        <v>15544</v>
      </c>
    </row>
    <row r="5413" ht="15" customHeight="1" spans="1:22" x14ac:dyDescent="0.25">
      <c r="A5413" s="17" t="s">
        <v>15545</v>
      </c>
      <c r="B5413" s="17" t="s">
        <v>70</v>
      </c>
      <c r="C5413" s="17" t="s">
        <v>71</v>
      </c>
      <c r="D5413" t="s">
        <v>14216</v>
      </c>
      <c r="F5413" t="s">
        <v>15546</v>
      </c>
      <c r="K5413" s="18">
        <f>62818114734</f>
        <v>62818114734</v>
      </c>
      <c r="N5413" s="17" t="s">
        <v>81</v>
      </c>
      <c r="V5413" s="18">
        <f>62818114734</f>
        <v>62818114734</v>
      </c>
    </row>
    <row r="5414" ht="15" customHeight="1" spans="1:22" x14ac:dyDescent="0.25">
      <c r="A5414" s="17" t="s">
        <v>15547</v>
      </c>
      <c r="B5414" s="17" t="s">
        <v>70</v>
      </c>
      <c r="C5414" s="17" t="s">
        <v>71</v>
      </c>
      <c r="D5414" t="s">
        <v>14216</v>
      </c>
      <c r="F5414" t="s">
        <v>15548</v>
      </c>
      <c r="K5414" s="18">
        <f>628161309530</f>
        <v>628161309530</v>
      </c>
      <c r="N5414" s="17" t="s">
        <v>77</v>
      </c>
      <c r="V5414" s="18">
        <f>628161309530</f>
        <v>628161309530</v>
      </c>
    </row>
    <row r="5415" ht="15" customHeight="1" spans="1:28" x14ac:dyDescent="0.25">
      <c r="A5415" s="17" t="s">
        <v>15549</v>
      </c>
      <c r="B5415" s="17" t="s">
        <v>70</v>
      </c>
      <c r="C5415" s="17" t="s">
        <v>71</v>
      </c>
      <c r="D5415" t="s">
        <v>14216</v>
      </c>
      <c r="F5415" t="s">
        <v>3346</v>
      </c>
      <c r="J5415" t="s">
        <v>115</v>
      </c>
      <c r="K5415" s="18" t="s">
        <v>15550</v>
      </c>
      <c r="N5415" s="17" t="s">
        <v>81</v>
      </c>
      <c r="O5415" t="s">
        <v>145</v>
      </c>
      <c r="V5415" s="18" t="s">
        <v>15550</v>
      </c>
      <c r="Y5415" t="s">
        <v>190</v>
      </c>
      <c r="AA5415" t="s">
        <v>118</v>
      </c>
      <c r="AB5415" t="s">
        <v>119</v>
      </c>
    </row>
    <row r="5416" ht="15" customHeight="1" spans="1:22" x14ac:dyDescent="0.25">
      <c r="A5416" s="17" t="s">
        <v>15551</v>
      </c>
      <c r="B5416" s="17" t="s">
        <v>70</v>
      </c>
      <c r="C5416" s="17" t="s">
        <v>71</v>
      </c>
      <c r="D5416" t="s">
        <v>15552</v>
      </c>
      <c r="F5416" t="s">
        <v>1016</v>
      </c>
      <c r="K5416" s="18">
        <f>62811180202</f>
        <v>62811180202</v>
      </c>
      <c r="N5416" s="17" t="s">
        <v>77</v>
      </c>
      <c r="V5416" s="18">
        <f>62811180202</f>
        <v>62811180202</v>
      </c>
    </row>
    <row r="5417" ht="15" customHeight="1" spans="1:28" x14ac:dyDescent="0.25">
      <c r="A5417" s="17" t="s">
        <v>15553</v>
      </c>
      <c r="B5417" s="17" t="s">
        <v>70</v>
      </c>
      <c r="C5417" s="17" t="s">
        <v>71</v>
      </c>
      <c r="D5417" t="s">
        <v>15554</v>
      </c>
      <c r="F5417" t="s">
        <v>15555</v>
      </c>
      <c r="J5417" s="17" t="s">
        <v>15556</v>
      </c>
      <c r="K5417" s="18" t="s">
        <v>15557</v>
      </c>
      <c r="N5417" s="17" t="s">
        <v>77</v>
      </c>
      <c r="O5417" t="s">
        <v>145</v>
      </c>
      <c r="U5417" s="17"/>
      <c r="V5417" s="18" t="s">
        <v>15557</v>
      </c>
      <c r="W5417" t="s">
        <v>15558</v>
      </c>
      <c r="Y5417" t="s">
        <v>190</v>
      </c>
      <c r="AA5417" t="s">
        <v>118</v>
      </c>
      <c r="AB5417" t="s">
        <v>119</v>
      </c>
    </row>
    <row r="5418" ht="15" customHeight="1" spans="1:23" x14ac:dyDescent="0.25">
      <c r="A5418" s="17" t="s">
        <v>15559</v>
      </c>
      <c r="B5418" s="17" t="s">
        <v>70</v>
      </c>
      <c r="C5418" s="17" t="s">
        <v>71</v>
      </c>
      <c r="D5418" t="s">
        <v>15554</v>
      </c>
      <c r="F5418" t="s">
        <v>5476</v>
      </c>
      <c r="K5418" s="18">
        <f>62818955566</f>
        <v>62818955566</v>
      </c>
      <c r="N5418" s="17" t="s">
        <v>77</v>
      </c>
      <c r="U5418" s="17"/>
      <c r="V5418" s="18">
        <f>62818955566</f>
        <v>62818955566</v>
      </c>
      <c r="W5418" t="s">
        <v>15560</v>
      </c>
    </row>
    <row r="5419" ht="15" customHeight="1" spans="1:28" x14ac:dyDescent="0.25">
      <c r="A5419" s="17" t="s">
        <v>15561</v>
      </c>
      <c r="B5419" s="17" t="s">
        <v>70</v>
      </c>
      <c r="C5419" s="17" t="s">
        <v>71</v>
      </c>
      <c r="D5419" t="s">
        <v>15562</v>
      </c>
      <c r="F5419" t="s">
        <v>15563</v>
      </c>
      <c r="J5419" s="17" t="s">
        <v>15564</v>
      </c>
      <c r="K5419" s="18" t="s">
        <v>15565</v>
      </c>
      <c r="N5419" s="17" t="s">
        <v>77</v>
      </c>
      <c r="O5419" t="s">
        <v>199</v>
      </c>
      <c r="V5419" s="18" t="s">
        <v>15565</v>
      </c>
      <c r="Y5419" t="s">
        <v>115</v>
      </c>
      <c r="AA5419" t="s">
        <v>115</v>
      </c>
      <c r="AB5419" t="s">
        <v>6737</v>
      </c>
    </row>
    <row r="5420" ht="15" customHeight="1" spans="1:22" x14ac:dyDescent="0.25">
      <c r="A5420" s="17" t="s">
        <v>15566</v>
      </c>
      <c r="B5420" s="17" t="s">
        <v>70</v>
      </c>
      <c r="C5420" s="17" t="s">
        <v>71</v>
      </c>
      <c r="D5420" t="s">
        <v>15567</v>
      </c>
      <c r="F5420" t="s">
        <v>15568</v>
      </c>
      <c r="K5420" s="18">
        <f>628161908090</f>
        <v>628161908090</v>
      </c>
      <c r="N5420" s="17" t="s">
        <v>74</v>
      </c>
      <c r="V5420" s="18">
        <f>628161908090</f>
        <v>628161908090</v>
      </c>
    </row>
    <row r="5421" ht="15" customHeight="1" spans="1:28" x14ac:dyDescent="0.25">
      <c r="A5421" s="17" t="s">
        <v>15569</v>
      </c>
      <c r="B5421" s="17" t="s">
        <v>70</v>
      </c>
      <c r="C5421" s="17" t="s">
        <v>71</v>
      </c>
      <c r="D5421" t="s">
        <v>15570</v>
      </c>
      <c r="F5421" t="s">
        <v>15571</v>
      </c>
      <c r="J5421" t="s">
        <v>115</v>
      </c>
      <c r="K5421" s="18" t="s">
        <v>15572</v>
      </c>
      <c r="N5421" s="17" t="s">
        <v>77</v>
      </c>
      <c r="O5421" t="s">
        <v>261</v>
      </c>
      <c r="U5421" s="17"/>
      <c r="V5421" s="18" t="s">
        <v>15572</v>
      </c>
      <c r="W5421" t="s">
        <v>1908</v>
      </c>
      <c r="Y5421" t="s">
        <v>250</v>
      </c>
      <c r="AA5421" t="s">
        <v>115</v>
      </c>
      <c r="AB5421" t="s">
        <v>119</v>
      </c>
    </row>
    <row r="5422" ht="15" customHeight="1" spans="1:28" x14ac:dyDescent="0.25">
      <c r="A5422" s="17" t="s">
        <v>15573</v>
      </c>
      <c r="B5422" s="17" t="s">
        <v>70</v>
      </c>
      <c r="C5422" s="17" t="s">
        <v>71</v>
      </c>
      <c r="D5422" t="s">
        <v>15574</v>
      </c>
      <c r="F5422" t="s">
        <v>15575</v>
      </c>
      <c r="J5422" t="s">
        <v>115</v>
      </c>
      <c r="K5422" s="18" t="s">
        <v>15576</v>
      </c>
      <c r="N5422" s="17" t="s">
        <v>77</v>
      </c>
      <c r="O5422" t="s">
        <v>145</v>
      </c>
      <c r="U5422" s="17"/>
      <c r="V5422" s="18" t="s">
        <v>15576</v>
      </c>
      <c r="W5422" t="s">
        <v>6818</v>
      </c>
      <c r="Y5422" t="s">
        <v>930</v>
      </c>
      <c r="AA5422" t="s">
        <v>115</v>
      </c>
      <c r="AB5422" t="s">
        <v>930</v>
      </c>
    </row>
    <row r="5423" ht="15" customHeight="1" spans="1:22" x14ac:dyDescent="0.25">
      <c r="A5423" s="17" t="s">
        <v>15577</v>
      </c>
      <c r="B5423" s="17" t="s">
        <v>70</v>
      </c>
      <c r="C5423" s="17" t="s">
        <v>71</v>
      </c>
      <c r="D5423" t="s">
        <v>15578</v>
      </c>
      <c r="F5423" t="s">
        <v>9848</v>
      </c>
      <c r="K5423" s="18">
        <f>628129061763</f>
        <v>628129061763</v>
      </c>
      <c r="N5423" s="17" t="s">
        <v>77</v>
      </c>
      <c r="V5423" s="18">
        <f>628129061763</f>
        <v>628129061763</v>
      </c>
    </row>
    <row r="5424" ht="15" customHeight="1" spans="1:28" x14ac:dyDescent="0.25">
      <c r="A5424" s="17" t="s">
        <v>15579</v>
      </c>
      <c r="B5424" s="17" t="s">
        <v>70</v>
      </c>
      <c r="C5424" s="17" t="s">
        <v>71</v>
      </c>
      <c r="D5424" t="s">
        <v>15578</v>
      </c>
      <c r="F5424" t="s">
        <v>15580</v>
      </c>
      <c r="J5424" t="s">
        <v>115</v>
      </c>
      <c r="K5424" s="18" t="s">
        <v>15581</v>
      </c>
      <c r="N5424" s="17" t="s">
        <v>77</v>
      </c>
      <c r="O5424" t="s">
        <v>145</v>
      </c>
      <c r="V5424" s="18" t="s">
        <v>15581</v>
      </c>
      <c r="Y5424" t="s">
        <v>3140</v>
      </c>
      <c r="AA5424" t="s">
        <v>115</v>
      </c>
      <c r="AB5424" t="s">
        <v>3140</v>
      </c>
    </row>
    <row r="5425" ht="15" customHeight="1" spans="1:28" x14ac:dyDescent="0.25">
      <c r="A5425" s="17" t="s">
        <v>15582</v>
      </c>
      <c r="B5425" s="17" t="s">
        <v>70</v>
      </c>
      <c r="C5425" s="17" t="s">
        <v>71</v>
      </c>
      <c r="D5425" t="s">
        <v>15583</v>
      </c>
      <c r="F5425" t="s">
        <v>15578</v>
      </c>
      <c r="J5425" t="s">
        <v>115</v>
      </c>
      <c r="K5425" s="18" t="s">
        <v>15584</v>
      </c>
      <c r="N5425" s="17" t="s">
        <v>77</v>
      </c>
      <c r="O5425" t="s">
        <v>117</v>
      </c>
      <c r="U5425" s="17"/>
      <c r="V5425" s="18" t="s">
        <v>15584</v>
      </c>
      <c r="W5425" t="s">
        <v>15585</v>
      </c>
      <c r="Y5425" s="17" t="s">
        <v>90</v>
      </c>
      <c r="AA5425" t="s">
        <v>118</v>
      </c>
      <c r="AB5425" t="s">
        <v>119</v>
      </c>
    </row>
    <row r="5426" ht="15" customHeight="1" spans="1:22" x14ac:dyDescent="0.25">
      <c r="A5426" s="17" t="s">
        <v>15586</v>
      </c>
      <c r="B5426" s="17" t="s">
        <v>70</v>
      </c>
      <c r="C5426" s="17" t="s">
        <v>71</v>
      </c>
      <c r="D5426" t="s">
        <v>15578</v>
      </c>
      <c r="F5426" t="s">
        <v>15578</v>
      </c>
      <c r="K5426" s="18">
        <f>6282298888665</f>
        <v>6282298888665</v>
      </c>
      <c r="N5426" s="17" t="s">
        <v>81</v>
      </c>
      <c r="V5426" s="18">
        <f>6282298888665</f>
        <v>6282298888665</v>
      </c>
    </row>
    <row r="5427" ht="15" customHeight="1" spans="1:22" x14ac:dyDescent="0.25">
      <c r="A5427" s="17" t="s">
        <v>15587</v>
      </c>
      <c r="B5427" s="17" t="s">
        <v>70</v>
      </c>
      <c r="C5427" s="17" t="s">
        <v>71</v>
      </c>
      <c r="D5427" t="s">
        <v>15578</v>
      </c>
      <c r="F5427" t="s">
        <v>15588</v>
      </c>
      <c r="K5427" s="18">
        <f>6282249052817</f>
        <v>6282249052817</v>
      </c>
      <c r="N5427" s="17" t="s">
        <v>81</v>
      </c>
      <c r="V5427" s="18">
        <f>6282249052817</f>
        <v>6282249052817</v>
      </c>
    </row>
    <row r="5428" ht="15" customHeight="1" spans="1:28" x14ac:dyDescent="0.25">
      <c r="A5428" s="17" t="s">
        <v>15589</v>
      </c>
      <c r="B5428" s="17" t="s">
        <v>70</v>
      </c>
      <c r="C5428" s="17" t="s">
        <v>71</v>
      </c>
      <c r="D5428" t="s">
        <v>15578</v>
      </c>
      <c r="F5428" t="s">
        <v>15590</v>
      </c>
      <c r="J5428" s="17" t="s">
        <v>15591</v>
      </c>
      <c r="K5428" s="18" t="s">
        <v>15592</v>
      </c>
      <c r="N5428" s="17" t="s">
        <v>77</v>
      </c>
      <c r="O5428" t="s">
        <v>117</v>
      </c>
      <c r="V5428" s="18" t="s">
        <v>15592</v>
      </c>
      <c r="Y5428" t="s">
        <v>3140</v>
      </c>
      <c r="AA5428" t="s">
        <v>115</v>
      </c>
      <c r="AB5428" t="s">
        <v>3140</v>
      </c>
    </row>
    <row r="5429" ht="15" customHeight="1" spans="1:23" x14ac:dyDescent="0.25">
      <c r="A5429" s="17" t="s">
        <v>15593</v>
      </c>
      <c r="B5429" s="17" t="s">
        <v>70</v>
      </c>
      <c r="C5429" s="17" t="s">
        <v>71</v>
      </c>
      <c r="D5429" t="s">
        <v>15594</v>
      </c>
      <c r="F5429" t="s">
        <v>7315</v>
      </c>
      <c r="J5429" s="17" t="s">
        <v>15595</v>
      </c>
      <c r="K5429" s="18">
        <f>86150004102922</f>
        <v>86150004102922</v>
      </c>
      <c r="N5429" s="17" t="s">
        <v>77</v>
      </c>
      <c r="U5429" s="17"/>
      <c r="V5429" s="18">
        <f>86150004102922</f>
        <v>86150004102922</v>
      </c>
      <c r="W5429" t="s">
        <v>7374</v>
      </c>
    </row>
    <row r="5430" ht="15" customHeight="1" spans="1:23" x14ac:dyDescent="0.25">
      <c r="A5430" s="17" t="s">
        <v>15596</v>
      </c>
      <c r="B5430" s="17" t="s">
        <v>70</v>
      </c>
      <c r="C5430" s="17" t="s">
        <v>71</v>
      </c>
      <c r="D5430" t="s">
        <v>15594</v>
      </c>
      <c r="F5430" t="s">
        <v>15597</v>
      </c>
      <c r="K5430" s="18">
        <f>8613671718841</f>
        <v>8613671718841</v>
      </c>
      <c r="N5430" s="17" t="s">
        <v>77</v>
      </c>
      <c r="U5430" s="17"/>
      <c r="V5430" s="18">
        <f>8613671718841</f>
        <v>8613671718841</v>
      </c>
      <c r="W5430" t="s">
        <v>7374</v>
      </c>
    </row>
    <row r="5431" ht="15" customHeight="1" spans="1:22" x14ac:dyDescent="0.25">
      <c r="A5431" s="17" t="s">
        <v>15598</v>
      </c>
      <c r="B5431" s="17" t="s">
        <v>70</v>
      </c>
      <c r="C5431" s="17" t="s">
        <v>71</v>
      </c>
      <c r="D5431" t="s">
        <v>15386</v>
      </c>
      <c r="F5431" t="s">
        <v>15599</v>
      </c>
      <c r="K5431" s="18">
        <f>6281315985128</f>
        <v>6281315985128</v>
      </c>
      <c r="N5431" s="17" t="s">
        <v>81</v>
      </c>
      <c r="V5431" s="18">
        <f>6281315985128</f>
        <v>6281315985128</v>
      </c>
    </row>
    <row r="5432" ht="15" customHeight="1" spans="1:28" x14ac:dyDescent="0.25">
      <c r="A5432" s="17" t="s">
        <v>15600</v>
      </c>
      <c r="B5432" s="17" t="s">
        <v>70</v>
      </c>
      <c r="C5432" s="17" t="s">
        <v>71</v>
      </c>
      <c r="D5432" t="s">
        <v>15601</v>
      </c>
      <c r="F5432" t="s">
        <v>3866</v>
      </c>
      <c r="J5432" t="s">
        <v>115</v>
      </c>
      <c r="K5432" s="18" t="s">
        <v>15602</v>
      </c>
      <c r="N5432" s="17" t="s">
        <v>77</v>
      </c>
      <c r="O5432" t="s">
        <v>199</v>
      </c>
      <c r="V5432" s="18" t="s">
        <v>15602</v>
      </c>
      <c r="Y5432" t="s">
        <v>90</v>
      </c>
      <c r="AA5432" t="s">
        <v>118</v>
      </c>
      <c r="AB5432" t="s">
        <v>119</v>
      </c>
    </row>
    <row r="5433" ht="15" customHeight="1" spans="1:22" x14ac:dyDescent="0.25">
      <c r="A5433" s="17" t="s">
        <v>15603</v>
      </c>
      <c r="B5433" s="17" t="s">
        <v>70</v>
      </c>
      <c r="C5433" s="17" t="s">
        <v>71</v>
      </c>
      <c r="D5433" t="s">
        <v>15604</v>
      </c>
      <c r="F5433" t="s">
        <v>15604</v>
      </c>
      <c r="K5433" s="18">
        <f>6281613911766180</f>
        <v>6281613911766180</v>
      </c>
      <c r="N5433" s="17" t="s">
        <v>77</v>
      </c>
      <c r="V5433" s="18">
        <f>6281613911766180</f>
        <v>6281613911766180</v>
      </c>
    </row>
    <row r="5434" ht="15" customHeight="1" spans="1:28" x14ac:dyDescent="0.25">
      <c r="A5434" s="17" t="s">
        <v>15605</v>
      </c>
      <c r="B5434" s="17" t="s">
        <v>70</v>
      </c>
      <c r="C5434" s="17" t="s">
        <v>71</v>
      </c>
      <c r="D5434" t="s">
        <v>15606</v>
      </c>
      <c r="F5434" t="s">
        <v>15606</v>
      </c>
      <c r="J5434" t="s">
        <v>115</v>
      </c>
      <c r="K5434" s="18" t="s">
        <v>15607</v>
      </c>
      <c r="N5434" s="17" t="s">
        <v>77</v>
      </c>
      <c r="O5434" t="s">
        <v>145</v>
      </c>
      <c r="V5434" s="18" t="s">
        <v>15607</v>
      </c>
      <c r="Y5434" t="s">
        <v>1553</v>
      </c>
      <c r="AA5434" t="s">
        <v>115</v>
      </c>
      <c r="AB5434" t="s">
        <v>119</v>
      </c>
    </row>
    <row r="5435" ht="15" customHeight="1" spans="1:22" x14ac:dyDescent="0.25">
      <c r="A5435" s="17" t="s">
        <v>15608</v>
      </c>
      <c r="B5435" s="17" t="s">
        <v>70</v>
      </c>
      <c r="C5435" s="17" t="s">
        <v>71</v>
      </c>
      <c r="D5435" t="s">
        <v>15609</v>
      </c>
      <c r="F5435" t="s">
        <v>15610</v>
      </c>
      <c r="K5435" s="18">
        <f>6281212959372</f>
        <v>6281212959372</v>
      </c>
      <c r="N5435" s="17" t="s">
        <v>77</v>
      </c>
      <c r="V5435" s="18">
        <f>6281212959372</f>
        <v>6281212959372</v>
      </c>
    </row>
    <row r="5436" ht="15" customHeight="1" spans="1:22" x14ac:dyDescent="0.25">
      <c r="A5436" s="17" t="s">
        <v>15611</v>
      </c>
      <c r="B5436" s="17" t="s">
        <v>70</v>
      </c>
      <c r="C5436" s="17" t="s">
        <v>71</v>
      </c>
      <c r="D5436" t="s">
        <v>10641</v>
      </c>
      <c r="F5436" t="s">
        <v>10641</v>
      </c>
      <c r="K5436" s="18">
        <f>6281297039655</f>
        <v>6281297039655</v>
      </c>
      <c r="N5436" s="17" t="s">
        <v>77</v>
      </c>
      <c r="V5436" s="18">
        <f>6281297039655</f>
        <v>6281297039655</v>
      </c>
    </row>
    <row r="5437" ht="15" customHeight="1" spans="1:22" x14ac:dyDescent="0.25">
      <c r="A5437" s="17" t="s">
        <v>15612</v>
      </c>
      <c r="B5437" s="17" t="s">
        <v>70</v>
      </c>
      <c r="C5437" s="17" t="s">
        <v>71</v>
      </c>
      <c r="D5437" t="s">
        <v>10641</v>
      </c>
      <c r="F5437" t="s">
        <v>7281</v>
      </c>
      <c r="K5437" s="18">
        <f>971563561963</f>
        <v>971563561963</v>
      </c>
      <c r="N5437" s="17" t="s">
        <v>77</v>
      </c>
      <c r="V5437" s="18">
        <f>971563561963</f>
        <v>971563561963</v>
      </c>
    </row>
    <row r="5438" ht="15" customHeight="1" spans="1:22" x14ac:dyDescent="0.25">
      <c r="A5438" s="17" t="s">
        <v>15613</v>
      </c>
      <c r="B5438" s="17" t="s">
        <v>70</v>
      </c>
      <c r="C5438" s="17" t="s">
        <v>71</v>
      </c>
      <c r="D5438" t="s">
        <v>10641</v>
      </c>
      <c r="F5438" t="s">
        <v>8387</v>
      </c>
      <c r="K5438" s="18">
        <f>6281219048594</f>
        <v>6281219048594</v>
      </c>
      <c r="N5438" s="17" t="s">
        <v>77</v>
      </c>
      <c r="V5438" s="18">
        <f>6281219048594</f>
        <v>6281219048594</v>
      </c>
    </row>
    <row r="5439" ht="15" customHeight="1" spans="1:28" x14ac:dyDescent="0.25">
      <c r="A5439" s="17" t="s">
        <v>15614</v>
      </c>
      <c r="B5439" s="17" t="s">
        <v>70</v>
      </c>
      <c r="C5439" s="17" t="s">
        <v>71</v>
      </c>
      <c r="D5439" t="s">
        <v>15615</v>
      </c>
      <c r="F5439" t="s">
        <v>15616</v>
      </c>
      <c r="J5439" t="s">
        <v>115</v>
      </c>
      <c r="K5439" s="18" t="s">
        <v>15617</v>
      </c>
      <c r="N5439" s="17" t="s">
        <v>81</v>
      </c>
      <c r="O5439" t="s">
        <v>145</v>
      </c>
      <c r="V5439" s="18" t="s">
        <v>15617</v>
      </c>
      <c r="Y5439" t="s">
        <v>90</v>
      </c>
      <c r="AA5439" t="s">
        <v>118</v>
      </c>
      <c r="AB5439" t="s">
        <v>119</v>
      </c>
    </row>
    <row r="5440" ht="15" customHeight="1" spans="1:22" x14ac:dyDescent="0.25">
      <c r="A5440" s="17" t="s">
        <v>15618</v>
      </c>
      <c r="B5440" s="17" t="s">
        <v>70</v>
      </c>
      <c r="C5440" s="17" t="s">
        <v>71</v>
      </c>
      <c r="D5440" t="s">
        <v>15619</v>
      </c>
      <c r="F5440" t="s">
        <v>15620</v>
      </c>
      <c r="J5440" s="17" t="s">
        <v>15621</v>
      </c>
      <c r="K5440" s="18">
        <f>77073888694</f>
        <v>77073888694</v>
      </c>
      <c r="N5440" s="17" t="s">
        <v>81</v>
      </c>
      <c r="V5440" s="18">
        <f>77073888694</f>
        <v>77073888694</v>
      </c>
    </row>
    <row r="5441" ht="15" customHeight="1" spans="1:22" x14ac:dyDescent="0.25">
      <c r="A5441" s="17" t="s">
        <v>15622</v>
      </c>
      <c r="B5441" s="17" t="s">
        <v>70</v>
      </c>
      <c r="C5441" s="17" t="s">
        <v>71</v>
      </c>
      <c r="D5441" t="s">
        <v>5549</v>
      </c>
      <c r="F5441" t="s">
        <v>15623</v>
      </c>
      <c r="K5441" s="18">
        <f>628118163138</f>
        <v>628118163138</v>
      </c>
      <c r="N5441" s="17" t="s">
        <v>81</v>
      </c>
      <c r="V5441" s="18">
        <f>628118163138</f>
        <v>628118163138</v>
      </c>
    </row>
    <row r="5442" ht="15" customHeight="1" spans="1:22" x14ac:dyDescent="0.25">
      <c r="A5442" s="17" t="s">
        <v>15624</v>
      </c>
      <c r="B5442" s="17" t="s">
        <v>70</v>
      </c>
      <c r="C5442" s="17" t="s">
        <v>71</v>
      </c>
      <c r="D5442" t="s">
        <v>15625</v>
      </c>
      <c r="F5442" t="s">
        <v>15625</v>
      </c>
      <c r="K5442" s="18">
        <f>62818779602</f>
        <v>62818779602</v>
      </c>
      <c r="N5442" s="17" t="s">
        <v>81</v>
      </c>
      <c r="V5442" s="18">
        <f>62818779602</f>
        <v>62818779602</v>
      </c>
    </row>
    <row r="5443" ht="15" customHeight="1" spans="1:22" x14ac:dyDescent="0.25">
      <c r="A5443" s="17" t="s">
        <v>15626</v>
      </c>
      <c r="B5443" s="17" t="s">
        <v>70</v>
      </c>
      <c r="C5443" s="17" t="s">
        <v>71</v>
      </c>
      <c r="D5443" t="s">
        <v>618</v>
      </c>
      <c r="F5443" t="s">
        <v>618</v>
      </c>
      <c r="K5443" s="18">
        <f>628158050148</f>
        <v>628158050148</v>
      </c>
      <c r="N5443" s="17" t="s">
        <v>81</v>
      </c>
      <c r="V5443" s="18">
        <f>628158050148</f>
        <v>628158050148</v>
      </c>
    </row>
    <row r="5444" ht="15" customHeight="1" spans="1:22" x14ac:dyDescent="0.25">
      <c r="A5444" s="17" t="s">
        <v>15627</v>
      </c>
      <c r="B5444" s="17" t="s">
        <v>70</v>
      </c>
      <c r="C5444" s="17" t="s">
        <v>71</v>
      </c>
      <c r="D5444" t="s">
        <v>618</v>
      </c>
      <c r="F5444" t="s">
        <v>618</v>
      </c>
      <c r="K5444" s="18">
        <f>61417995059</f>
        <v>61417995059</v>
      </c>
      <c r="N5444" s="17" t="s">
        <v>74</v>
      </c>
      <c r="V5444" s="18">
        <f>61417995059</f>
        <v>61417995059</v>
      </c>
    </row>
    <row r="5445" ht="15" customHeight="1" spans="1:22" x14ac:dyDescent="0.25">
      <c r="A5445" s="17" t="s">
        <v>15628</v>
      </c>
      <c r="B5445" s="17" t="s">
        <v>70</v>
      </c>
      <c r="C5445" s="17" t="s">
        <v>71</v>
      </c>
      <c r="D5445" t="s">
        <v>618</v>
      </c>
      <c r="F5445" t="s">
        <v>618</v>
      </c>
      <c r="K5445" s="18">
        <f>6281285998868</f>
        <v>6281285998868</v>
      </c>
      <c r="N5445" s="17" t="s">
        <v>77</v>
      </c>
      <c r="V5445" s="18">
        <f>6281285998868</f>
        <v>6281285998868</v>
      </c>
    </row>
    <row r="5446" ht="15" customHeight="1" spans="1:22" x14ac:dyDescent="0.25">
      <c r="A5446" s="17" t="s">
        <v>15629</v>
      </c>
      <c r="B5446" s="17" t="s">
        <v>70</v>
      </c>
      <c r="C5446" s="17" t="s">
        <v>71</v>
      </c>
      <c r="D5446" t="s">
        <v>618</v>
      </c>
      <c r="F5446" t="s">
        <v>618</v>
      </c>
      <c r="K5446" s="18">
        <f>628788900072</f>
        <v>628788900072</v>
      </c>
      <c r="N5446" s="17" t="s">
        <v>77</v>
      </c>
      <c r="V5446" s="18">
        <f>628788900072</f>
        <v>628788900072</v>
      </c>
    </row>
    <row r="5447" ht="15" customHeight="1" spans="1:22" x14ac:dyDescent="0.25">
      <c r="A5447" s="17" t="s">
        <v>15630</v>
      </c>
      <c r="B5447" s="17" t="s">
        <v>70</v>
      </c>
      <c r="C5447" s="17" t="s">
        <v>71</v>
      </c>
      <c r="D5447" t="s">
        <v>618</v>
      </c>
      <c r="F5447" t="s">
        <v>618</v>
      </c>
      <c r="K5447" s="18">
        <f>628158807588</f>
        <v>628158807588</v>
      </c>
      <c r="N5447" s="17" t="s">
        <v>77</v>
      </c>
      <c r="V5447" s="18">
        <f>628158807588</f>
        <v>628158807588</v>
      </c>
    </row>
    <row r="5448" ht="15" customHeight="1" spans="1:22" x14ac:dyDescent="0.25">
      <c r="A5448" s="17" t="s">
        <v>15631</v>
      </c>
      <c r="B5448" s="17" t="s">
        <v>70</v>
      </c>
      <c r="C5448" s="17" t="s">
        <v>71</v>
      </c>
      <c r="D5448" t="s">
        <v>618</v>
      </c>
      <c r="F5448" t="s">
        <v>1891</v>
      </c>
      <c r="K5448" s="18">
        <f>62816800270</f>
        <v>62816800270</v>
      </c>
      <c r="N5448" s="17" t="s">
        <v>77</v>
      </c>
      <c r="V5448" s="18">
        <f>62816800270</f>
        <v>62816800270</v>
      </c>
    </row>
    <row r="5449" ht="15" customHeight="1" spans="1:22" x14ac:dyDescent="0.25">
      <c r="A5449" s="17" t="s">
        <v>15632</v>
      </c>
      <c r="B5449" s="17" t="s">
        <v>70</v>
      </c>
      <c r="C5449" s="17" t="s">
        <v>71</v>
      </c>
      <c r="D5449" t="s">
        <v>618</v>
      </c>
      <c r="F5449" t="s">
        <v>15633</v>
      </c>
      <c r="K5449" s="18">
        <f>62818708956</f>
        <v>62818708956</v>
      </c>
      <c r="N5449" s="17" t="s">
        <v>77</v>
      </c>
      <c r="V5449" s="18">
        <f>62818708956</f>
        <v>62818708956</v>
      </c>
    </row>
    <row r="5450" ht="15" customHeight="1" spans="1:25" x14ac:dyDescent="0.25">
      <c r="A5450" s="17" t="s">
        <v>15634</v>
      </c>
      <c r="B5450" s="17" t="s">
        <v>70</v>
      </c>
      <c r="C5450" s="17" t="s">
        <v>71</v>
      </c>
      <c r="D5450" t="s">
        <v>618</v>
      </c>
      <c r="F5450" t="s">
        <v>15633</v>
      </c>
      <c r="J5450" s="17" t="s">
        <v>15635</v>
      </c>
      <c r="K5450" s="18">
        <f>628122685004</f>
        <v>628122685004</v>
      </c>
      <c r="N5450" s="17" t="s">
        <v>77</v>
      </c>
      <c r="U5450" s="17"/>
      <c r="V5450" s="18">
        <f>628122685004</f>
        <v>628122685004</v>
      </c>
      <c r="W5450" t="s">
        <v>15636</v>
      </c>
      <c r="Y5450" s="17" t="s">
        <v>1042</v>
      </c>
    </row>
    <row r="5451" ht="15" customHeight="1" spans="1:23" x14ac:dyDescent="0.25">
      <c r="A5451" s="17" t="s">
        <v>15637</v>
      </c>
      <c r="B5451" s="17" t="s">
        <v>70</v>
      </c>
      <c r="C5451" s="17" t="s">
        <v>71</v>
      </c>
      <c r="D5451" t="s">
        <v>618</v>
      </c>
      <c r="F5451" t="s">
        <v>15638</v>
      </c>
      <c r="K5451" s="18">
        <f>628158831951</f>
        <v>628158831951</v>
      </c>
      <c r="N5451" s="17" t="s">
        <v>74</v>
      </c>
      <c r="U5451" s="17"/>
      <c r="V5451" s="18">
        <f>628158831951</f>
        <v>628158831951</v>
      </c>
      <c r="W5451" t="s">
        <v>15639</v>
      </c>
    </row>
    <row r="5452" ht="15" customHeight="1" spans="1:23" x14ac:dyDescent="0.25">
      <c r="A5452" s="17" t="s">
        <v>15640</v>
      </c>
      <c r="B5452" s="17" t="s">
        <v>70</v>
      </c>
      <c r="C5452" s="17" t="s">
        <v>71</v>
      </c>
      <c r="D5452" t="s">
        <v>618</v>
      </c>
      <c r="F5452" t="s">
        <v>15641</v>
      </c>
      <c r="J5452" s="17" t="s">
        <v>15642</v>
      </c>
      <c r="K5452" s="18">
        <f>628161933890</f>
        <v>628161933890</v>
      </c>
      <c r="N5452" s="17" t="s">
        <v>77</v>
      </c>
      <c r="U5452" s="17"/>
      <c r="V5452" s="18">
        <f>628161933890</f>
        <v>628161933890</v>
      </c>
      <c r="W5452" t="s">
        <v>15643</v>
      </c>
    </row>
    <row r="5453" ht="15" customHeight="1" spans="1:28" x14ac:dyDescent="0.25">
      <c r="A5453" s="17" t="s">
        <v>15644</v>
      </c>
      <c r="B5453" s="17" t="s">
        <v>70</v>
      </c>
      <c r="C5453" s="17" t="s">
        <v>71</v>
      </c>
      <c r="D5453" t="s">
        <v>618</v>
      </c>
      <c r="F5453" t="s">
        <v>15645</v>
      </c>
      <c r="J5453" t="s">
        <v>115</v>
      </c>
      <c r="K5453" s="18" t="s">
        <v>15646</v>
      </c>
      <c r="N5453" s="17" t="s">
        <v>74</v>
      </c>
      <c r="O5453" t="s">
        <v>261</v>
      </c>
      <c r="V5453" s="18" t="s">
        <v>15646</v>
      </c>
      <c r="Y5453" s="17" t="s">
        <v>90</v>
      </c>
      <c r="AA5453" t="s">
        <v>118</v>
      </c>
      <c r="AB5453" t="s">
        <v>119</v>
      </c>
    </row>
    <row r="5454" ht="15" customHeight="1" spans="1:23" x14ac:dyDescent="0.25">
      <c r="A5454" s="17" t="s">
        <v>15647</v>
      </c>
      <c r="B5454" s="17" t="s">
        <v>70</v>
      </c>
      <c r="C5454" s="17" t="s">
        <v>71</v>
      </c>
      <c r="D5454" t="s">
        <v>618</v>
      </c>
      <c r="F5454" t="s">
        <v>15648</v>
      </c>
      <c r="J5454" s="17" t="s">
        <v>15649</v>
      </c>
      <c r="K5454" s="18">
        <f>628161629900</f>
        <v>628161629900</v>
      </c>
      <c r="N5454" s="17" t="s">
        <v>77</v>
      </c>
      <c r="U5454" s="17"/>
      <c r="V5454" s="18">
        <f>628161629900</f>
        <v>628161629900</v>
      </c>
      <c r="W5454" t="s">
        <v>15650</v>
      </c>
    </row>
    <row r="5455" ht="15" customHeight="1" spans="1:22" x14ac:dyDescent="0.25">
      <c r="A5455" s="17" t="s">
        <v>15651</v>
      </c>
      <c r="B5455" s="17" t="s">
        <v>70</v>
      </c>
      <c r="C5455" s="17" t="s">
        <v>71</v>
      </c>
      <c r="D5455" t="s">
        <v>618</v>
      </c>
      <c r="F5455" t="s">
        <v>1730</v>
      </c>
      <c r="K5455" s="18">
        <f>62816926241</f>
        <v>62816926241</v>
      </c>
      <c r="N5455" s="17" t="s">
        <v>77</v>
      </c>
      <c r="V5455" s="18">
        <f>62816926241</f>
        <v>62816926241</v>
      </c>
    </row>
    <row r="5456" ht="15" customHeight="1" spans="1:22" x14ac:dyDescent="0.25">
      <c r="A5456" s="17" t="s">
        <v>15652</v>
      </c>
      <c r="B5456" s="17" t="s">
        <v>70</v>
      </c>
      <c r="C5456" s="17" t="s">
        <v>71</v>
      </c>
      <c r="D5456" t="s">
        <v>618</v>
      </c>
      <c r="F5456" t="s">
        <v>15653</v>
      </c>
      <c r="K5456" s="18">
        <f>628123501483</f>
        <v>628123501483</v>
      </c>
      <c r="N5456" s="17" t="s">
        <v>81</v>
      </c>
      <c r="V5456" s="18">
        <f>628123501483</f>
        <v>628123501483</v>
      </c>
    </row>
    <row r="5457" ht="15" customHeight="1" spans="1:22" x14ac:dyDescent="0.25">
      <c r="A5457" s="17" t="s">
        <v>15654</v>
      </c>
      <c r="B5457" s="17" t="s">
        <v>70</v>
      </c>
      <c r="C5457" s="17" t="s">
        <v>71</v>
      </c>
      <c r="D5457" t="s">
        <v>618</v>
      </c>
      <c r="F5457" t="s">
        <v>1169</v>
      </c>
      <c r="K5457" s="18">
        <f>62816834096</f>
        <v>62816834096</v>
      </c>
      <c r="N5457" s="17" t="s">
        <v>77</v>
      </c>
      <c r="V5457" s="18">
        <f>62816834096</f>
        <v>62816834096</v>
      </c>
    </row>
    <row r="5458" ht="15" customHeight="1" spans="1:28" x14ac:dyDescent="0.25">
      <c r="A5458" s="17" t="s">
        <v>15655</v>
      </c>
      <c r="B5458" s="17" t="s">
        <v>70</v>
      </c>
      <c r="C5458" s="17" t="s">
        <v>71</v>
      </c>
      <c r="D5458" t="s">
        <v>618</v>
      </c>
      <c r="F5458" t="s">
        <v>2004</v>
      </c>
      <c r="J5458" t="s">
        <v>115</v>
      </c>
      <c r="K5458" s="18" t="s">
        <v>15656</v>
      </c>
      <c r="N5458" s="17" t="s">
        <v>77</v>
      </c>
      <c r="O5458" t="s">
        <v>117</v>
      </c>
      <c r="U5458" s="17"/>
      <c r="V5458" s="18" t="s">
        <v>15656</v>
      </c>
      <c r="W5458" t="s">
        <v>15657</v>
      </c>
      <c r="Y5458" t="s">
        <v>190</v>
      </c>
      <c r="AA5458" t="s">
        <v>118</v>
      </c>
      <c r="AB5458" t="s">
        <v>119</v>
      </c>
    </row>
    <row r="5459" ht="15" customHeight="1" spans="1:22" x14ac:dyDescent="0.25">
      <c r="A5459" s="17" t="s">
        <v>15658</v>
      </c>
      <c r="B5459" s="17" t="s">
        <v>70</v>
      </c>
      <c r="C5459" s="17" t="s">
        <v>71</v>
      </c>
      <c r="D5459" t="s">
        <v>618</v>
      </c>
      <c r="F5459" t="s">
        <v>4197</v>
      </c>
      <c r="K5459" s="18">
        <f>13235225551</f>
        <v>13235225551</v>
      </c>
      <c r="N5459" s="17" t="s">
        <v>81</v>
      </c>
      <c r="V5459" s="18">
        <f>13235225551</f>
        <v>13235225551</v>
      </c>
    </row>
    <row r="5460" ht="15" customHeight="1" spans="1:28" x14ac:dyDescent="0.25">
      <c r="A5460" s="17" t="s">
        <v>15659</v>
      </c>
      <c r="B5460" s="17" t="s">
        <v>70</v>
      </c>
      <c r="C5460" s="17" t="s">
        <v>71</v>
      </c>
      <c r="D5460" t="s">
        <v>15660</v>
      </c>
      <c r="F5460" t="s">
        <v>15661</v>
      </c>
      <c r="J5460" t="s">
        <v>15662</v>
      </c>
      <c r="K5460" s="18" t="s">
        <v>15663</v>
      </c>
      <c r="N5460" s="17" t="s">
        <v>77</v>
      </c>
      <c r="O5460" t="s">
        <v>117</v>
      </c>
      <c r="V5460" s="18" t="s">
        <v>15663</v>
      </c>
      <c r="Y5460" t="s">
        <v>90</v>
      </c>
      <c r="AA5460" t="s">
        <v>118</v>
      </c>
      <c r="AB5460" t="s">
        <v>119</v>
      </c>
    </row>
    <row r="5461" ht="15" customHeight="1" spans="1:22" x14ac:dyDescent="0.25">
      <c r="A5461" s="17" t="s">
        <v>15664</v>
      </c>
      <c r="B5461" s="17" t="s">
        <v>70</v>
      </c>
      <c r="C5461" s="17" t="s">
        <v>71</v>
      </c>
      <c r="D5461" t="s">
        <v>2706</v>
      </c>
      <c r="F5461" t="s">
        <v>15665</v>
      </c>
      <c r="J5461" s="17" t="s">
        <v>15666</v>
      </c>
      <c r="K5461" s="18">
        <f>6281282884889</f>
        <v>6281282884889</v>
      </c>
      <c r="N5461" s="17" t="s">
        <v>81</v>
      </c>
      <c r="V5461" s="18">
        <f>6281282884889</f>
        <v>6281282884889</v>
      </c>
    </row>
    <row r="5462" ht="15" customHeight="1" spans="1:22" x14ac:dyDescent="0.25">
      <c r="A5462" s="17" t="s">
        <v>15667</v>
      </c>
      <c r="B5462" s="17" t="s">
        <v>70</v>
      </c>
      <c r="C5462" s="17" t="s">
        <v>71</v>
      </c>
      <c r="D5462" t="s">
        <v>2706</v>
      </c>
      <c r="F5462" t="s">
        <v>3585</v>
      </c>
      <c r="J5462" s="17" t="s">
        <v>15668</v>
      </c>
      <c r="K5462" s="18">
        <f>62817114887</f>
        <v>62817114887</v>
      </c>
      <c r="N5462" s="17" t="s">
        <v>81</v>
      </c>
      <c r="V5462" s="18">
        <f>62817114887</f>
        <v>62817114887</v>
      </c>
    </row>
    <row r="5463" ht="15" customHeight="1" spans="1:25" x14ac:dyDescent="0.25">
      <c r="A5463" s="17" t="s">
        <v>15669</v>
      </c>
      <c r="B5463" s="17" t="s">
        <v>70</v>
      </c>
      <c r="C5463" s="17" t="s">
        <v>71</v>
      </c>
      <c r="D5463" t="s">
        <v>2706</v>
      </c>
      <c r="F5463" t="s">
        <v>4918</v>
      </c>
      <c r="K5463" s="18">
        <f>62811983718</f>
        <v>62811983718</v>
      </c>
      <c r="N5463" s="17" t="s">
        <v>77</v>
      </c>
      <c r="U5463" s="17"/>
      <c r="V5463" s="18">
        <f>62811983718</f>
        <v>62811983718</v>
      </c>
      <c r="W5463" t="s">
        <v>15670</v>
      </c>
      <c r="Y5463" s="17" t="s">
        <v>90</v>
      </c>
    </row>
    <row r="5464" ht="15" customHeight="1" spans="1:28" x14ac:dyDescent="0.25">
      <c r="A5464" s="17" t="s">
        <v>15671</v>
      </c>
      <c r="B5464" s="17" t="s">
        <v>70</v>
      </c>
      <c r="C5464" s="17" t="s">
        <v>71</v>
      </c>
      <c r="D5464" t="s">
        <v>2706</v>
      </c>
      <c r="F5464" t="s">
        <v>6173</v>
      </c>
      <c r="J5464" s="17" t="s">
        <v>15672</v>
      </c>
      <c r="K5464" s="18" t="s">
        <v>15673</v>
      </c>
      <c r="N5464" s="17" t="s">
        <v>77</v>
      </c>
      <c r="O5464" t="s">
        <v>489</v>
      </c>
      <c r="U5464" s="17"/>
      <c r="V5464" s="18" t="s">
        <v>15673</v>
      </c>
      <c r="W5464" t="s">
        <v>15674</v>
      </c>
      <c r="Y5464" t="s">
        <v>90</v>
      </c>
      <c r="AA5464" t="s">
        <v>118</v>
      </c>
      <c r="AB5464" t="s">
        <v>119</v>
      </c>
    </row>
    <row r="5465" ht="15" customHeight="1" spans="1:28" x14ac:dyDescent="0.25">
      <c r="A5465" s="17" t="s">
        <v>15675</v>
      </c>
      <c r="B5465" s="17" t="s">
        <v>70</v>
      </c>
      <c r="C5465" s="17" t="s">
        <v>71</v>
      </c>
      <c r="D5465" t="s">
        <v>15676</v>
      </c>
      <c r="F5465" t="s">
        <v>15677</v>
      </c>
      <c r="J5465" t="s">
        <v>115</v>
      </c>
      <c r="K5465" s="18" t="s">
        <v>15678</v>
      </c>
      <c r="N5465" s="17" t="s">
        <v>81</v>
      </c>
      <c r="O5465" t="s">
        <v>117</v>
      </c>
      <c r="U5465" s="17"/>
      <c r="V5465" s="18" t="s">
        <v>15678</v>
      </c>
      <c r="W5465" t="s">
        <v>15679</v>
      </c>
      <c r="Y5465" s="17" t="s">
        <v>596</v>
      </c>
      <c r="AA5465" t="s">
        <v>597</v>
      </c>
      <c r="AB5465" t="s">
        <v>119</v>
      </c>
    </row>
    <row r="5466" ht="15" customHeight="1" spans="1:22" x14ac:dyDescent="0.25">
      <c r="A5466" s="17" t="s">
        <v>15680</v>
      </c>
      <c r="B5466" s="17" t="s">
        <v>70</v>
      </c>
      <c r="C5466" s="17" t="s">
        <v>71</v>
      </c>
      <c r="D5466" t="s">
        <v>7285</v>
      </c>
      <c r="F5466" t="s">
        <v>15681</v>
      </c>
      <c r="K5466" s="18">
        <f>6282112738169</f>
        <v>6282112738169</v>
      </c>
      <c r="N5466" s="17" t="s">
        <v>81</v>
      </c>
      <c r="V5466" s="18">
        <f>6282112738169</f>
        <v>6282112738169</v>
      </c>
    </row>
    <row r="5467" ht="15" customHeight="1" spans="1:23" x14ac:dyDescent="0.25">
      <c r="A5467" s="17" t="s">
        <v>15682</v>
      </c>
      <c r="B5467" s="17" t="s">
        <v>70</v>
      </c>
      <c r="C5467" s="17" t="s">
        <v>71</v>
      </c>
      <c r="D5467" t="s">
        <v>7285</v>
      </c>
      <c r="F5467" t="s">
        <v>15683</v>
      </c>
      <c r="K5467" s="18">
        <f>6282378977773</f>
        <v>6282378977773</v>
      </c>
      <c r="N5467" s="17" t="s">
        <v>81</v>
      </c>
      <c r="U5467" s="17"/>
      <c r="V5467" s="18">
        <f>6282378977773</f>
        <v>6282378977773</v>
      </c>
      <c r="W5467" t="s">
        <v>15684</v>
      </c>
    </row>
    <row r="5468" ht="15" customHeight="1" spans="1:28" x14ac:dyDescent="0.25">
      <c r="A5468" s="17" t="s">
        <v>15685</v>
      </c>
      <c r="B5468" s="17" t="s">
        <v>70</v>
      </c>
      <c r="C5468" s="17" t="s">
        <v>71</v>
      </c>
      <c r="D5468" t="s">
        <v>7285</v>
      </c>
      <c r="F5468" t="s">
        <v>15686</v>
      </c>
      <c r="J5468" s="17" t="s">
        <v>15687</v>
      </c>
      <c r="K5468" s="18" t="s">
        <v>15688</v>
      </c>
      <c r="N5468" s="17" t="s">
        <v>77</v>
      </c>
      <c r="O5468" t="s">
        <v>145</v>
      </c>
      <c r="U5468" s="17"/>
      <c r="V5468" s="18" t="s">
        <v>15688</v>
      </c>
      <c r="W5468" t="s">
        <v>3140</v>
      </c>
      <c r="Y5468" t="s">
        <v>7108</v>
      </c>
      <c r="AA5468" t="s">
        <v>115</v>
      </c>
      <c r="AB5468" t="s">
        <v>7108</v>
      </c>
    </row>
    <row r="5469" ht="15" customHeight="1" spans="1:22" x14ac:dyDescent="0.25">
      <c r="A5469" s="17" t="s">
        <v>15689</v>
      </c>
      <c r="B5469" s="17" t="s">
        <v>70</v>
      </c>
      <c r="C5469" s="17" t="s">
        <v>71</v>
      </c>
      <c r="D5469" t="s">
        <v>7285</v>
      </c>
      <c r="F5469" t="s">
        <v>3866</v>
      </c>
      <c r="K5469" s="18">
        <f>6281218222142</f>
        <v>6281218222142</v>
      </c>
      <c r="N5469" s="17" t="s">
        <v>81</v>
      </c>
      <c r="V5469" s="18">
        <f>6281218222142</f>
        <v>6281218222142</v>
      </c>
    </row>
    <row r="5470" ht="15" customHeight="1" spans="1:28" x14ac:dyDescent="0.25">
      <c r="A5470" s="17" t="s">
        <v>15690</v>
      </c>
      <c r="B5470" s="17" t="s">
        <v>70</v>
      </c>
      <c r="C5470" s="17" t="s">
        <v>71</v>
      </c>
      <c r="D5470" t="s">
        <v>7285</v>
      </c>
      <c r="F5470" t="s">
        <v>15691</v>
      </c>
      <c r="J5470" t="s">
        <v>115</v>
      </c>
      <c r="K5470" s="18" t="s">
        <v>15692</v>
      </c>
      <c r="N5470" s="17" t="s">
        <v>77</v>
      </c>
      <c r="O5470" t="s">
        <v>145</v>
      </c>
      <c r="V5470" s="18" t="s">
        <v>15692</v>
      </c>
      <c r="Y5470" t="s">
        <v>3140</v>
      </c>
      <c r="AA5470" t="s">
        <v>115</v>
      </c>
      <c r="AB5470" t="s">
        <v>3140</v>
      </c>
    </row>
    <row r="5471" ht="15" customHeight="1" spans="1:25" x14ac:dyDescent="0.25">
      <c r="A5471" s="17" t="s">
        <v>15693</v>
      </c>
      <c r="B5471" s="17" t="s">
        <v>70</v>
      </c>
      <c r="C5471" s="17" t="s">
        <v>71</v>
      </c>
      <c r="D5471" t="s">
        <v>7285</v>
      </c>
      <c r="F5471" t="s">
        <v>15694</v>
      </c>
      <c r="K5471" s="18">
        <f>6281290063522</f>
        <v>6281290063522</v>
      </c>
      <c r="N5471" s="17" t="s">
        <v>77</v>
      </c>
      <c r="V5471" s="18">
        <f>6281290063522</f>
        <v>6281290063522</v>
      </c>
      <c r="Y5471" s="17" t="s">
        <v>7269</v>
      </c>
    </row>
    <row r="5472" ht="15" customHeight="1" spans="1:22" x14ac:dyDescent="0.25">
      <c r="A5472" s="17" t="s">
        <v>15695</v>
      </c>
      <c r="B5472" s="17" t="s">
        <v>70</v>
      </c>
      <c r="C5472" s="17" t="s">
        <v>71</v>
      </c>
      <c r="D5472" t="s">
        <v>7285</v>
      </c>
      <c r="F5472" t="s">
        <v>8400</v>
      </c>
      <c r="K5472" s="18">
        <f>6597159520</f>
        <v>6597159520</v>
      </c>
      <c r="N5472" s="17" t="s">
        <v>77</v>
      </c>
      <c r="V5472" s="18">
        <f>6597159520</f>
        <v>6597159520</v>
      </c>
    </row>
    <row r="5473" ht="15" customHeight="1" spans="1:22" x14ac:dyDescent="0.25">
      <c r="A5473" s="17" t="s">
        <v>15696</v>
      </c>
      <c r="B5473" s="17" t="s">
        <v>70</v>
      </c>
      <c r="C5473" s="17" t="s">
        <v>71</v>
      </c>
      <c r="D5473" t="s">
        <v>15697</v>
      </c>
      <c r="F5473" t="s">
        <v>15698</v>
      </c>
      <c r="K5473" s="18">
        <f>61433767023</f>
        <v>61433767023</v>
      </c>
      <c r="N5473" s="17" t="s">
        <v>77</v>
      </c>
      <c r="V5473" s="18">
        <f>61433767023</f>
        <v>61433767023</v>
      </c>
    </row>
    <row r="5474" ht="15" customHeight="1" spans="1:28" x14ac:dyDescent="0.25">
      <c r="A5474" s="17" t="s">
        <v>15699</v>
      </c>
      <c r="B5474" s="17" t="s">
        <v>70</v>
      </c>
      <c r="C5474" s="17" t="s">
        <v>71</v>
      </c>
      <c r="D5474" t="s">
        <v>7285</v>
      </c>
      <c r="F5474" t="s">
        <v>15700</v>
      </c>
      <c r="J5474" s="17" t="s">
        <v>15701</v>
      </c>
      <c r="K5474" s="18" t="s">
        <v>15702</v>
      </c>
      <c r="N5474" s="17" t="s">
        <v>77</v>
      </c>
      <c r="O5474" t="s">
        <v>117</v>
      </c>
      <c r="U5474" s="17"/>
      <c r="V5474" s="18" t="s">
        <v>15702</v>
      </c>
      <c r="W5474" t="s">
        <v>3140</v>
      </c>
      <c r="Y5474" t="s">
        <v>115</v>
      </c>
      <c r="AA5474" t="s">
        <v>115</v>
      </c>
      <c r="AB5474" t="s">
        <v>3140</v>
      </c>
    </row>
    <row r="5475" ht="15" customHeight="1" spans="1:28" x14ac:dyDescent="0.25">
      <c r="A5475" s="17" t="s">
        <v>15703</v>
      </c>
      <c r="B5475" s="17" t="s">
        <v>70</v>
      </c>
      <c r="C5475" s="17" t="s">
        <v>71</v>
      </c>
      <c r="D5475" t="s">
        <v>15704</v>
      </c>
      <c r="F5475" t="s">
        <v>15705</v>
      </c>
      <c r="J5475" s="17" t="s">
        <v>15706</v>
      </c>
      <c r="K5475" s="18" t="s">
        <v>15707</v>
      </c>
      <c r="N5475" s="17" t="s">
        <v>77</v>
      </c>
      <c r="O5475" t="s">
        <v>117</v>
      </c>
      <c r="U5475" s="17"/>
      <c r="V5475" s="18" t="s">
        <v>15707</v>
      </c>
      <c r="W5475" t="s">
        <v>3140</v>
      </c>
      <c r="Y5475" t="s">
        <v>115</v>
      </c>
      <c r="AA5475" t="s">
        <v>115</v>
      </c>
      <c r="AB5475" t="s">
        <v>148</v>
      </c>
    </row>
    <row r="5476" ht="15" customHeight="1" spans="1:28" x14ac:dyDescent="0.25">
      <c r="A5476" s="17" t="s">
        <v>15708</v>
      </c>
      <c r="B5476" s="17" t="s">
        <v>70</v>
      </c>
      <c r="C5476" s="17" t="s">
        <v>71</v>
      </c>
      <c r="D5476" t="s">
        <v>15697</v>
      </c>
      <c r="F5476" t="s">
        <v>15709</v>
      </c>
      <c r="J5476" s="17" t="s">
        <v>15710</v>
      </c>
      <c r="K5476" s="18" t="s">
        <v>15711</v>
      </c>
      <c r="N5476" s="17" t="s">
        <v>77</v>
      </c>
      <c r="O5476" t="s">
        <v>117</v>
      </c>
      <c r="U5476" s="17"/>
      <c r="V5476" s="18" t="s">
        <v>15711</v>
      </c>
      <c r="W5476" t="s">
        <v>3140</v>
      </c>
      <c r="Y5476" t="s">
        <v>3140</v>
      </c>
      <c r="AA5476" t="s">
        <v>115</v>
      </c>
      <c r="AB5476" t="s">
        <v>3140</v>
      </c>
    </row>
    <row r="5477" ht="15" customHeight="1" spans="1:22" x14ac:dyDescent="0.25">
      <c r="A5477" s="17" t="s">
        <v>15712</v>
      </c>
      <c r="B5477" s="17" t="s">
        <v>70</v>
      </c>
      <c r="C5477" s="17" t="s">
        <v>71</v>
      </c>
      <c r="D5477" t="s">
        <v>15713</v>
      </c>
      <c r="F5477" t="s">
        <v>15714</v>
      </c>
      <c r="K5477" s="18">
        <f>628155761014</f>
        <v>628155761014</v>
      </c>
      <c r="N5477" s="17" t="s">
        <v>77</v>
      </c>
      <c r="V5477" s="18">
        <f>628155761014</f>
        <v>628155761014</v>
      </c>
    </row>
    <row r="5478" ht="15" customHeight="1" spans="1:28" x14ac:dyDescent="0.25">
      <c r="A5478" s="17" t="s">
        <v>15715</v>
      </c>
      <c r="B5478" s="17" t="s">
        <v>70</v>
      </c>
      <c r="C5478" s="17" t="s">
        <v>71</v>
      </c>
      <c r="D5478" t="s">
        <v>15716</v>
      </c>
      <c r="F5478" t="s">
        <v>15717</v>
      </c>
      <c r="J5478" s="17" t="s">
        <v>15718</v>
      </c>
      <c r="K5478" s="18" t="s">
        <v>15719</v>
      </c>
      <c r="N5478" s="17" t="s">
        <v>77</v>
      </c>
      <c r="O5478" t="s">
        <v>199</v>
      </c>
      <c r="U5478" s="17"/>
      <c r="V5478" s="18" t="s">
        <v>15719</v>
      </c>
      <c r="W5478" t="s">
        <v>1909</v>
      </c>
      <c r="Y5478" t="s">
        <v>1909</v>
      </c>
      <c r="AA5478" t="s">
        <v>115</v>
      </c>
      <c r="AB5478" t="s">
        <v>1909</v>
      </c>
    </row>
    <row r="5479" ht="15" customHeight="1" spans="1:22" x14ac:dyDescent="0.25">
      <c r="A5479" s="17" t="s">
        <v>15720</v>
      </c>
      <c r="B5479" s="17" t="s">
        <v>70</v>
      </c>
      <c r="C5479" s="17" t="s">
        <v>71</v>
      </c>
      <c r="D5479" t="s">
        <v>1061</v>
      </c>
      <c r="F5479" t="s">
        <v>1061</v>
      </c>
      <c r="K5479" s="18">
        <f>6281336824878</f>
        <v>6281336824878</v>
      </c>
      <c r="N5479" s="17" t="s">
        <v>81</v>
      </c>
      <c r="V5479" s="18">
        <f>6281336824878</f>
        <v>6281336824878</v>
      </c>
    </row>
    <row r="5480" ht="15" customHeight="1" spans="1:23" x14ac:dyDescent="0.25">
      <c r="A5480" s="17" t="s">
        <v>15721</v>
      </c>
      <c r="B5480" s="17" t="s">
        <v>70</v>
      </c>
      <c r="C5480" s="17" t="s">
        <v>71</v>
      </c>
      <c r="D5480" t="s">
        <v>15722</v>
      </c>
      <c r="F5480" t="s">
        <v>8630</v>
      </c>
      <c r="K5480" s="18">
        <f>6287780000148</f>
        <v>6287780000148</v>
      </c>
      <c r="N5480" s="17" t="s">
        <v>77</v>
      </c>
      <c r="U5480" s="17"/>
      <c r="V5480" s="18">
        <f>6287780000148</f>
        <v>6287780000148</v>
      </c>
      <c r="W5480" t="s">
        <v>15723</v>
      </c>
    </row>
    <row r="5481" ht="15" customHeight="1" spans="1:23" x14ac:dyDescent="0.25">
      <c r="A5481" s="17" t="s">
        <v>15724</v>
      </c>
      <c r="B5481" s="17" t="s">
        <v>70</v>
      </c>
      <c r="C5481" s="17" t="s">
        <v>71</v>
      </c>
      <c r="D5481" t="s">
        <v>15725</v>
      </c>
      <c r="F5481" t="s">
        <v>15726</v>
      </c>
      <c r="J5481" s="17" t="s">
        <v>15727</v>
      </c>
      <c r="K5481" s="18">
        <f>79250115803</f>
        <v>79250115803</v>
      </c>
      <c r="N5481" s="17" t="s">
        <v>77</v>
      </c>
      <c r="U5481" s="17"/>
      <c r="V5481" s="18">
        <f>79250115803</f>
        <v>79250115803</v>
      </c>
      <c r="W5481" t="s">
        <v>1908</v>
      </c>
    </row>
    <row r="5482" ht="15" customHeight="1" spans="1:28" x14ac:dyDescent="0.25">
      <c r="A5482" s="17" t="s">
        <v>15728</v>
      </c>
      <c r="B5482" s="17" t="s">
        <v>70</v>
      </c>
      <c r="C5482" s="17" t="s">
        <v>71</v>
      </c>
      <c r="D5482" t="s">
        <v>15729</v>
      </c>
      <c r="F5482" t="s">
        <v>15729</v>
      </c>
      <c r="J5482" t="s">
        <v>15730</v>
      </c>
      <c r="K5482" s="18" t="s">
        <v>15731</v>
      </c>
      <c r="N5482" s="17" t="s">
        <v>77</v>
      </c>
      <c r="O5482" t="s">
        <v>117</v>
      </c>
      <c r="U5482" s="17"/>
      <c r="V5482" s="18" t="s">
        <v>15731</v>
      </c>
      <c r="W5482" t="s">
        <v>15732</v>
      </c>
      <c r="Y5482" t="s">
        <v>190</v>
      </c>
      <c r="AA5482" t="s">
        <v>118</v>
      </c>
      <c r="AB5482" t="s">
        <v>119</v>
      </c>
    </row>
    <row r="5483" ht="15" customHeight="1" spans="1:23" x14ac:dyDescent="0.25">
      <c r="A5483" s="17" t="s">
        <v>15733</v>
      </c>
      <c r="B5483" s="17" t="s">
        <v>70</v>
      </c>
      <c r="C5483" s="17" t="s">
        <v>71</v>
      </c>
      <c r="D5483" t="s">
        <v>7029</v>
      </c>
      <c r="F5483" t="s">
        <v>15734</v>
      </c>
      <c r="K5483" s="18">
        <f>6281236717601</f>
        <v>6281236717601</v>
      </c>
      <c r="N5483" s="17" t="s">
        <v>77</v>
      </c>
      <c r="U5483" s="17"/>
      <c r="V5483" s="18">
        <f>6281236717601</f>
        <v>6281236717601</v>
      </c>
      <c r="W5483" t="s">
        <v>15735</v>
      </c>
    </row>
    <row r="5484" ht="15" customHeight="1" spans="1:23" x14ac:dyDescent="0.25">
      <c r="A5484" s="17" t="s">
        <v>15736</v>
      </c>
      <c r="B5484" s="17" t="s">
        <v>70</v>
      </c>
      <c r="C5484" s="17" t="s">
        <v>71</v>
      </c>
      <c r="D5484" t="s">
        <v>7029</v>
      </c>
      <c r="F5484" t="s">
        <v>4458</v>
      </c>
      <c r="K5484" s="18">
        <f>6285761177088</f>
        <v>6285761177088</v>
      </c>
      <c r="N5484" s="17" t="s">
        <v>77</v>
      </c>
      <c r="U5484" s="17"/>
      <c r="V5484" s="18">
        <f>6285761177088</f>
        <v>6285761177088</v>
      </c>
      <c r="W5484" t="s">
        <v>15737</v>
      </c>
    </row>
    <row r="5485" ht="15" customHeight="1" spans="1:28" x14ac:dyDescent="0.25">
      <c r="A5485" s="17" t="s">
        <v>15738</v>
      </c>
      <c r="B5485" s="17" t="s">
        <v>70</v>
      </c>
      <c r="C5485" s="17" t="s">
        <v>71</v>
      </c>
      <c r="D5485" t="s">
        <v>15739</v>
      </c>
      <c r="F5485" t="s">
        <v>4458</v>
      </c>
      <c r="J5485" t="s">
        <v>15740</v>
      </c>
      <c r="K5485" s="18" t="s">
        <v>15741</v>
      </c>
      <c r="N5485" s="17" t="s">
        <v>81</v>
      </c>
      <c r="O5485" t="s">
        <v>489</v>
      </c>
      <c r="U5485" s="17"/>
      <c r="V5485" s="18" t="s">
        <v>15741</v>
      </c>
      <c r="W5485" t="s">
        <v>15742</v>
      </c>
      <c r="Y5485" s="17" t="s">
        <v>96</v>
      </c>
      <c r="AA5485" s="17" t="s">
        <v>693</v>
      </c>
      <c r="AB5485" t="s">
        <v>119</v>
      </c>
    </row>
    <row r="5486" ht="15" customHeight="1" spans="1:28" x14ac:dyDescent="0.25">
      <c r="A5486" s="17" t="s">
        <v>15743</v>
      </c>
      <c r="B5486" s="17" t="s">
        <v>70</v>
      </c>
      <c r="C5486" s="17" t="s">
        <v>71</v>
      </c>
      <c r="D5486" t="s">
        <v>15739</v>
      </c>
      <c r="F5486" t="s">
        <v>15744</v>
      </c>
      <c r="J5486" t="s">
        <v>115</v>
      </c>
      <c r="K5486" s="18" t="s">
        <v>15745</v>
      </c>
      <c r="N5486" s="17" t="s">
        <v>81</v>
      </c>
      <c r="O5486" t="s">
        <v>489</v>
      </c>
      <c r="U5486" s="17"/>
      <c r="V5486" s="18" t="s">
        <v>15745</v>
      </c>
      <c r="W5486" t="s">
        <v>15746</v>
      </c>
      <c r="Y5486" t="s">
        <v>190</v>
      </c>
      <c r="AA5486" t="s">
        <v>118</v>
      </c>
      <c r="AB5486" t="s">
        <v>119</v>
      </c>
    </row>
    <row r="5487" ht="15" customHeight="1" spans="1:25" x14ac:dyDescent="0.25">
      <c r="A5487" s="17" t="s">
        <v>15747</v>
      </c>
      <c r="B5487" s="17" t="s">
        <v>70</v>
      </c>
      <c r="C5487" s="17" t="s">
        <v>71</v>
      </c>
      <c r="D5487" t="s">
        <v>7029</v>
      </c>
      <c r="F5487" t="s">
        <v>4288</v>
      </c>
      <c r="J5487" s="17" t="s">
        <v>15748</v>
      </c>
      <c r="K5487" s="18">
        <v>561571180</v>
      </c>
      <c r="N5487" s="17" t="s">
        <v>77</v>
      </c>
      <c r="V5487" s="18">
        <v>561571180</v>
      </c>
      <c r="Y5487" s="17" t="s">
        <v>1151</v>
      </c>
    </row>
    <row r="5488" ht="15" customHeight="1" spans="1:22" x14ac:dyDescent="0.25">
      <c r="A5488" s="17" t="s">
        <v>15749</v>
      </c>
      <c r="B5488" s="17" t="s">
        <v>70</v>
      </c>
      <c r="C5488" s="17" t="s">
        <v>71</v>
      </c>
      <c r="D5488" t="s">
        <v>7029</v>
      </c>
      <c r="F5488" t="s">
        <v>1608</v>
      </c>
      <c r="K5488" s="18">
        <f>62812103437</f>
        <v>62812103437</v>
      </c>
      <c r="N5488" s="17" t="s">
        <v>77</v>
      </c>
      <c r="V5488" s="18">
        <f>62812103437</f>
        <v>62812103437</v>
      </c>
    </row>
    <row r="5489" ht="15" customHeight="1" spans="1:22" x14ac:dyDescent="0.25">
      <c r="A5489" s="17" t="s">
        <v>15750</v>
      </c>
      <c r="B5489" s="17" t="s">
        <v>70</v>
      </c>
      <c r="C5489" s="17" t="s">
        <v>71</v>
      </c>
      <c r="D5489" t="s">
        <v>7029</v>
      </c>
      <c r="F5489" t="s">
        <v>15751</v>
      </c>
      <c r="K5489" s="18">
        <f>6281317078488</f>
        <v>6281317078488</v>
      </c>
      <c r="N5489" s="17" t="s">
        <v>74</v>
      </c>
      <c r="V5489" s="18">
        <f>6281317078488</f>
        <v>6281317078488</v>
      </c>
    </row>
    <row r="5490" ht="15" customHeight="1" spans="1:22" x14ac:dyDescent="0.25">
      <c r="A5490" s="17" t="s">
        <v>15752</v>
      </c>
      <c r="B5490" s="17" t="s">
        <v>70</v>
      </c>
      <c r="C5490" s="17" t="s">
        <v>71</v>
      </c>
      <c r="D5490" t="s">
        <v>7029</v>
      </c>
      <c r="F5490" t="s">
        <v>15753</v>
      </c>
      <c r="K5490" s="18">
        <f>62811188318</f>
        <v>62811188318</v>
      </c>
      <c r="N5490" s="17" t="s">
        <v>77</v>
      </c>
      <c r="V5490" s="18">
        <f>62811188318</f>
        <v>62811188318</v>
      </c>
    </row>
    <row r="5491" ht="15" customHeight="1" spans="1:28" x14ac:dyDescent="0.25">
      <c r="A5491" s="17" t="s">
        <v>15754</v>
      </c>
      <c r="B5491" s="17" t="s">
        <v>70</v>
      </c>
      <c r="C5491" s="17" t="s">
        <v>71</v>
      </c>
      <c r="D5491" t="s">
        <v>15755</v>
      </c>
      <c r="F5491" t="s">
        <v>15756</v>
      </c>
      <c r="J5491" t="s">
        <v>115</v>
      </c>
      <c r="K5491" s="18" t="s">
        <v>15757</v>
      </c>
      <c r="N5491" s="17" t="s">
        <v>81</v>
      </c>
      <c r="O5491" t="s">
        <v>489</v>
      </c>
      <c r="U5491" s="17"/>
      <c r="V5491" s="18" t="s">
        <v>15757</v>
      </c>
      <c r="W5491" t="s">
        <v>2953</v>
      </c>
      <c r="Y5491" t="s">
        <v>90</v>
      </c>
      <c r="AA5491" t="s">
        <v>118</v>
      </c>
      <c r="AB5491" t="s">
        <v>119</v>
      </c>
    </row>
    <row r="5492" ht="15" customHeight="1" spans="1:28" x14ac:dyDescent="0.25">
      <c r="A5492" s="17" t="s">
        <v>15758</v>
      </c>
      <c r="B5492" s="17" t="s">
        <v>70</v>
      </c>
      <c r="C5492" s="17" t="s">
        <v>71</v>
      </c>
      <c r="D5492" t="s">
        <v>15759</v>
      </c>
      <c r="F5492" t="s">
        <v>15760</v>
      </c>
      <c r="J5492" t="s">
        <v>115</v>
      </c>
      <c r="K5492" s="18" t="s">
        <v>15761</v>
      </c>
      <c r="N5492" s="17" t="s">
        <v>81</v>
      </c>
      <c r="O5492" t="s">
        <v>117</v>
      </c>
      <c r="U5492" s="17"/>
      <c r="V5492" s="18" t="s">
        <v>15761</v>
      </c>
      <c r="W5492" t="s">
        <v>15762</v>
      </c>
      <c r="Y5492" s="17" t="s">
        <v>90</v>
      </c>
      <c r="AA5492" t="s">
        <v>118</v>
      </c>
      <c r="AB5492" t="s">
        <v>119</v>
      </c>
    </row>
    <row r="5493" ht="15" customHeight="1" spans="1:28" x14ac:dyDescent="0.25">
      <c r="A5493" s="17" t="s">
        <v>15763</v>
      </c>
      <c r="B5493" s="17" t="s">
        <v>70</v>
      </c>
      <c r="C5493" s="17" t="s">
        <v>71</v>
      </c>
      <c r="D5493" t="s">
        <v>15764</v>
      </c>
      <c r="F5493" t="s">
        <v>15765</v>
      </c>
      <c r="J5493" s="17" t="s">
        <v>15766</v>
      </c>
      <c r="K5493" s="18" t="s">
        <v>15767</v>
      </c>
      <c r="N5493" s="17" t="s">
        <v>77</v>
      </c>
      <c r="O5493" t="s">
        <v>145</v>
      </c>
      <c r="U5493" s="17"/>
      <c r="V5493" s="18" t="s">
        <v>15767</v>
      </c>
      <c r="W5493" t="s">
        <v>15768</v>
      </c>
      <c r="Y5493" s="17" t="s">
        <v>90</v>
      </c>
      <c r="AA5493" t="s">
        <v>118</v>
      </c>
      <c r="AB5493" t="s">
        <v>119</v>
      </c>
    </row>
    <row r="5494" ht="15" customHeight="1" spans="1:23" x14ac:dyDescent="0.25">
      <c r="A5494" s="17" t="s">
        <v>15769</v>
      </c>
      <c r="B5494" s="17" t="s">
        <v>70</v>
      </c>
      <c r="C5494" s="17" t="s">
        <v>71</v>
      </c>
      <c r="D5494" t="s">
        <v>15770</v>
      </c>
      <c r="F5494" t="s">
        <v>3623</v>
      </c>
      <c r="K5494" s="18">
        <f>33602071082</f>
        <v>33602071082</v>
      </c>
      <c r="N5494" s="17" t="s">
        <v>81</v>
      </c>
      <c r="U5494" s="17"/>
      <c r="V5494" s="18">
        <f>33602071082</f>
        <v>33602071082</v>
      </c>
      <c r="W5494" t="s">
        <v>2914</v>
      </c>
    </row>
    <row r="5495" ht="15" customHeight="1" spans="1:27" x14ac:dyDescent="0.25">
      <c r="A5495" s="17" t="s">
        <v>15771</v>
      </c>
      <c r="B5495" s="17" t="s">
        <v>70</v>
      </c>
      <c r="C5495" s="17" t="s">
        <v>71</v>
      </c>
      <c r="D5495" t="s">
        <v>15772</v>
      </c>
      <c r="F5495" t="s">
        <v>13121</v>
      </c>
      <c r="J5495" s="17" t="s">
        <v>15773</v>
      </c>
      <c r="K5495" s="18">
        <f>6281517110686</f>
        <v>6281517110686</v>
      </c>
      <c r="N5495" s="17" t="s">
        <v>77</v>
      </c>
      <c r="U5495" s="17"/>
      <c r="V5495" s="18">
        <f>6281517110686</f>
        <v>6281517110686</v>
      </c>
      <c r="W5495" t="s">
        <v>15774</v>
      </c>
      <c r="AA5495" s="17">
        <v>14240</v>
      </c>
    </row>
    <row r="5496" ht="15" customHeight="1" spans="1:22" x14ac:dyDescent="0.25">
      <c r="A5496" s="17" t="s">
        <v>15775</v>
      </c>
      <c r="B5496" s="17" t="s">
        <v>70</v>
      </c>
      <c r="C5496" s="17" t="s">
        <v>71</v>
      </c>
      <c r="D5496" t="s">
        <v>15776</v>
      </c>
      <c r="F5496" t="s">
        <v>15776</v>
      </c>
      <c r="K5496" s="18">
        <f>6281212123889</f>
        <v>6281212123889</v>
      </c>
      <c r="N5496" s="17" t="s">
        <v>81</v>
      </c>
      <c r="V5496" s="18">
        <f>6281212123889</f>
        <v>6281212123889</v>
      </c>
    </row>
    <row r="5497" ht="15" customHeight="1" spans="1:25" x14ac:dyDescent="0.25">
      <c r="A5497" s="17" t="s">
        <v>15777</v>
      </c>
      <c r="B5497" s="17" t="s">
        <v>70</v>
      </c>
      <c r="C5497" s="17" t="s">
        <v>71</v>
      </c>
      <c r="D5497" t="s">
        <v>15778</v>
      </c>
      <c r="F5497" t="s">
        <v>12418</v>
      </c>
      <c r="K5497" s="18">
        <f>628115471234</f>
        <v>628115471234</v>
      </c>
      <c r="N5497" s="17" t="s">
        <v>81</v>
      </c>
      <c r="U5497" s="17"/>
      <c r="V5497" s="18">
        <f>628115471234</f>
        <v>628115471234</v>
      </c>
      <c r="W5497" t="s">
        <v>15779</v>
      </c>
      <c r="Y5497" s="17" t="s">
        <v>384</v>
      </c>
    </row>
    <row r="5498" ht="15" customHeight="1" spans="1:28" x14ac:dyDescent="0.25">
      <c r="A5498" s="17" t="s">
        <v>15780</v>
      </c>
      <c r="B5498" s="17" t="s">
        <v>70</v>
      </c>
      <c r="C5498" s="17" t="s">
        <v>71</v>
      </c>
      <c r="D5498" t="s">
        <v>1754</v>
      </c>
      <c r="F5498" t="s">
        <v>15781</v>
      </c>
      <c r="J5498" t="s">
        <v>115</v>
      </c>
      <c r="K5498" s="18" t="s">
        <v>15782</v>
      </c>
      <c r="N5498" s="17" t="s">
        <v>74</v>
      </c>
      <c r="O5498" t="s">
        <v>117</v>
      </c>
      <c r="V5498" s="18" t="s">
        <v>15782</v>
      </c>
      <c r="Y5498" t="s">
        <v>190</v>
      </c>
      <c r="AA5498" t="s">
        <v>118</v>
      </c>
      <c r="AB5498" t="s">
        <v>119</v>
      </c>
    </row>
    <row r="5499" ht="15" customHeight="1" spans="1:22" x14ac:dyDescent="0.25">
      <c r="A5499" s="17" t="s">
        <v>15783</v>
      </c>
      <c r="B5499" s="17" t="s">
        <v>70</v>
      </c>
      <c r="C5499" s="17" t="s">
        <v>71</v>
      </c>
      <c r="D5499" t="s">
        <v>167</v>
      </c>
      <c r="F5499" t="s">
        <v>494</v>
      </c>
      <c r="K5499" s="18">
        <f>6281221221255</f>
        <v>6281221221255</v>
      </c>
      <c r="N5499" s="17" t="s">
        <v>77</v>
      </c>
      <c r="V5499" s="18">
        <f>6281221221255</f>
        <v>6281221221255</v>
      </c>
    </row>
    <row r="5500" ht="15" customHeight="1" spans="1:22" x14ac:dyDescent="0.25">
      <c r="A5500" s="17" t="s">
        <v>15784</v>
      </c>
      <c r="B5500" s="17" t="s">
        <v>70</v>
      </c>
      <c r="C5500" s="17" t="s">
        <v>71</v>
      </c>
      <c r="D5500" t="s">
        <v>167</v>
      </c>
      <c r="F5500" t="s">
        <v>1750</v>
      </c>
      <c r="K5500" s="18">
        <f>6282153088875</f>
        <v>6282153088875</v>
      </c>
      <c r="N5500" s="17" t="s">
        <v>81</v>
      </c>
      <c r="V5500" s="18">
        <f>6282153088875</f>
        <v>6282153088875</v>
      </c>
    </row>
    <row r="5501" ht="15" customHeight="1" spans="1:22" x14ac:dyDescent="0.25">
      <c r="A5501" s="17" t="s">
        <v>15785</v>
      </c>
      <c r="B5501" s="17" t="s">
        <v>70</v>
      </c>
      <c r="C5501" s="17" t="s">
        <v>71</v>
      </c>
      <c r="D5501" t="s">
        <v>7043</v>
      </c>
      <c r="F5501" t="s">
        <v>193</v>
      </c>
      <c r="K5501" s="18">
        <f>6281377731987</f>
        <v>6281377731987</v>
      </c>
      <c r="N5501" s="17" t="s">
        <v>81</v>
      </c>
      <c r="V5501" s="18">
        <f>6281377731987</f>
        <v>6281377731987</v>
      </c>
    </row>
    <row r="5502" ht="15" customHeight="1" spans="1:22" x14ac:dyDescent="0.25">
      <c r="A5502" s="17" t="s">
        <v>15786</v>
      </c>
      <c r="B5502" s="17" t="s">
        <v>70</v>
      </c>
      <c r="C5502" s="17" t="s">
        <v>71</v>
      </c>
      <c r="D5502" t="s">
        <v>7043</v>
      </c>
      <c r="F5502" t="s">
        <v>4139</v>
      </c>
      <c r="K5502" s="18">
        <f>62811939917</f>
        <v>62811939917</v>
      </c>
      <c r="N5502" s="17" t="s">
        <v>81</v>
      </c>
      <c r="V5502" s="18">
        <f>62811939917</f>
        <v>62811939917</v>
      </c>
    </row>
    <row r="5503" ht="15" customHeight="1" spans="1:23" x14ac:dyDescent="0.25">
      <c r="A5503" s="17" t="s">
        <v>15787</v>
      </c>
      <c r="B5503" s="17" t="s">
        <v>70</v>
      </c>
      <c r="C5503" s="17" t="s">
        <v>71</v>
      </c>
      <c r="D5503" t="s">
        <v>7043</v>
      </c>
      <c r="F5503" t="s">
        <v>15788</v>
      </c>
      <c r="K5503" s="18">
        <f>6281188160549</f>
        <v>6281188160549</v>
      </c>
      <c r="N5503" s="17" t="s">
        <v>77</v>
      </c>
      <c r="U5503" s="17"/>
      <c r="V5503" s="18">
        <f>6281188160549</f>
        <v>6281188160549</v>
      </c>
      <c r="W5503" t="s">
        <v>15789</v>
      </c>
    </row>
    <row r="5504" ht="15" customHeight="1" spans="1:25" x14ac:dyDescent="0.25">
      <c r="A5504" s="17" t="s">
        <v>15790</v>
      </c>
      <c r="B5504" s="17" t="s">
        <v>70</v>
      </c>
      <c r="C5504" s="17" t="s">
        <v>71</v>
      </c>
      <c r="D5504" t="s">
        <v>7043</v>
      </c>
      <c r="F5504" t="s">
        <v>6573</v>
      </c>
      <c r="K5504" s="18">
        <f>622195084777</f>
        <v>622195084777</v>
      </c>
      <c r="N5504" s="17" t="s">
        <v>77</v>
      </c>
      <c r="U5504" s="17"/>
      <c r="V5504" s="18">
        <f>622195084777</f>
        <v>622195084777</v>
      </c>
      <c r="W5504" t="s">
        <v>15791</v>
      </c>
      <c r="Y5504" s="17" t="s">
        <v>90</v>
      </c>
    </row>
    <row r="5505" ht="15" customHeight="1" spans="1:22" x14ac:dyDescent="0.25">
      <c r="A5505" s="17" t="s">
        <v>15792</v>
      </c>
      <c r="B5505" s="17" t="s">
        <v>70</v>
      </c>
      <c r="C5505" s="17" t="s">
        <v>71</v>
      </c>
      <c r="D5505" t="s">
        <v>7043</v>
      </c>
      <c r="F5505" t="s">
        <v>15793</v>
      </c>
      <c r="K5505" s="18">
        <f>6281211673580</f>
        <v>6281211673580</v>
      </c>
      <c r="N5505" s="17" t="s">
        <v>77</v>
      </c>
      <c r="V5505" s="18">
        <f>6281211673580</f>
        <v>6281211673580</v>
      </c>
    </row>
    <row r="5506" ht="15" customHeight="1" spans="1:23" x14ac:dyDescent="0.25">
      <c r="A5506" s="17" t="s">
        <v>15794</v>
      </c>
      <c r="B5506" s="17" t="s">
        <v>70</v>
      </c>
      <c r="C5506" s="17" t="s">
        <v>71</v>
      </c>
      <c r="D5506" t="s">
        <v>7043</v>
      </c>
      <c r="F5506" t="s">
        <v>15795</v>
      </c>
      <c r="K5506" s="18">
        <f>6281256307775</f>
        <v>6281256307775</v>
      </c>
      <c r="N5506" s="17" t="s">
        <v>81</v>
      </c>
      <c r="U5506" s="17"/>
      <c r="V5506" s="18">
        <f>6281256307775</f>
        <v>6281256307775</v>
      </c>
      <c r="W5506" t="s">
        <v>15796</v>
      </c>
    </row>
    <row r="5507" ht="15" customHeight="1" spans="1:25" x14ac:dyDescent="0.25">
      <c r="A5507" s="17" t="s">
        <v>15797</v>
      </c>
      <c r="B5507" s="17" t="s">
        <v>70</v>
      </c>
      <c r="C5507" s="17" t="s">
        <v>71</v>
      </c>
      <c r="D5507" t="s">
        <v>7043</v>
      </c>
      <c r="F5507" t="s">
        <v>186</v>
      </c>
      <c r="K5507" s="18">
        <f>62811852190</f>
        <v>62811852190</v>
      </c>
      <c r="N5507" s="17" t="s">
        <v>77</v>
      </c>
      <c r="U5507" s="17"/>
      <c r="V5507" s="18">
        <f>62811852190</f>
        <v>62811852190</v>
      </c>
      <c r="W5507" t="s">
        <v>15798</v>
      </c>
      <c r="Y5507" s="17" t="s">
        <v>378</v>
      </c>
    </row>
    <row r="5508" ht="15" customHeight="1" spans="1:25" x14ac:dyDescent="0.25">
      <c r="A5508" s="17" t="s">
        <v>15799</v>
      </c>
      <c r="B5508" s="17" t="s">
        <v>70</v>
      </c>
      <c r="C5508" s="17" t="s">
        <v>71</v>
      </c>
      <c r="D5508" t="s">
        <v>7043</v>
      </c>
      <c r="F5508" t="s">
        <v>15800</v>
      </c>
      <c r="K5508" s="18">
        <f>6285251322398</f>
        <v>6285251322398</v>
      </c>
      <c r="N5508" s="17" t="s">
        <v>77</v>
      </c>
      <c r="U5508" s="17"/>
      <c r="V5508" s="18">
        <f>6285251322398</f>
        <v>6285251322398</v>
      </c>
      <c r="W5508" t="s">
        <v>15801</v>
      </c>
      <c r="Y5508" s="17" t="s">
        <v>3195</v>
      </c>
    </row>
    <row r="5509" ht="15" customHeight="1" spans="1:23" x14ac:dyDescent="0.25">
      <c r="A5509" s="17" t="s">
        <v>15802</v>
      </c>
      <c r="B5509" s="17" t="s">
        <v>70</v>
      </c>
      <c r="C5509" s="17" t="s">
        <v>71</v>
      </c>
      <c r="D5509" t="s">
        <v>7043</v>
      </c>
      <c r="F5509" t="s">
        <v>15803</v>
      </c>
      <c r="K5509" s="18">
        <f>6281345020077</f>
        <v>6281345020077</v>
      </c>
      <c r="N5509" s="17" t="s">
        <v>81</v>
      </c>
      <c r="U5509" s="17"/>
      <c r="V5509" s="18">
        <f>6281345020077</f>
        <v>6281345020077</v>
      </c>
      <c r="W5509" t="s">
        <v>15804</v>
      </c>
    </row>
    <row r="5510" ht="15" customHeight="1" spans="1:23" x14ac:dyDescent="0.25">
      <c r="A5510" s="17" t="s">
        <v>15805</v>
      </c>
      <c r="B5510" s="17" t="s">
        <v>70</v>
      </c>
      <c r="C5510" s="17" t="s">
        <v>71</v>
      </c>
      <c r="D5510" t="s">
        <v>15806</v>
      </c>
      <c r="F5510" t="s">
        <v>15807</v>
      </c>
      <c r="K5510" s="18">
        <f>6281140011</f>
        <v>6281140011</v>
      </c>
      <c r="N5510" s="17" t="s">
        <v>77</v>
      </c>
      <c r="U5510" s="17"/>
      <c r="V5510" s="18">
        <f>6281140011</f>
        <v>6281140011</v>
      </c>
      <c r="W5510" t="s">
        <v>15808</v>
      </c>
    </row>
    <row r="5511" ht="15" customHeight="1" spans="1:27" x14ac:dyDescent="0.25">
      <c r="A5511" s="17" t="s">
        <v>15809</v>
      </c>
      <c r="B5511" s="17" t="s">
        <v>70</v>
      </c>
      <c r="C5511" s="17" t="s">
        <v>71</v>
      </c>
      <c r="D5511" t="s">
        <v>15810</v>
      </c>
      <c r="F5511" t="s">
        <v>2073</v>
      </c>
      <c r="K5511" s="18">
        <f>628158870406</f>
        <v>628158870406</v>
      </c>
      <c r="N5511" s="17" t="s">
        <v>77</v>
      </c>
      <c r="U5511" s="17"/>
      <c r="V5511" s="18">
        <f>628158870406</f>
        <v>628158870406</v>
      </c>
      <c r="W5511" t="s">
        <v>15811</v>
      </c>
      <c r="AA5511" s="17">
        <v>12790</v>
      </c>
    </row>
    <row r="5512" ht="15" customHeight="1" spans="1:22" x14ac:dyDescent="0.25">
      <c r="A5512" s="17" t="s">
        <v>15812</v>
      </c>
      <c r="B5512" s="17" t="s">
        <v>70</v>
      </c>
      <c r="C5512" s="17" t="s">
        <v>71</v>
      </c>
      <c r="D5512" t="s">
        <v>15813</v>
      </c>
      <c r="F5512" t="s">
        <v>15814</v>
      </c>
      <c r="K5512" s="18">
        <f>62811443158</f>
        <v>62811443158</v>
      </c>
      <c r="N5512" s="17" t="s">
        <v>74</v>
      </c>
      <c r="V5512" s="18">
        <f>62811443158</f>
        <v>62811443158</v>
      </c>
    </row>
    <row r="5513" ht="15" customHeight="1" spans="1:23" x14ac:dyDescent="0.25">
      <c r="A5513" s="17" t="s">
        <v>15815</v>
      </c>
      <c r="B5513" s="17" t="s">
        <v>70</v>
      </c>
      <c r="C5513" s="17" t="s">
        <v>71</v>
      </c>
      <c r="D5513" t="s">
        <v>15816</v>
      </c>
      <c r="F5513" t="s">
        <v>15816</v>
      </c>
      <c r="K5513" s="18">
        <f>62811713276</f>
        <v>62811713276</v>
      </c>
      <c r="N5513" s="17" t="s">
        <v>77</v>
      </c>
      <c r="U5513" s="17"/>
      <c r="V5513" s="18">
        <f>62811713276</f>
        <v>62811713276</v>
      </c>
      <c r="W5513" t="s">
        <v>90</v>
      </c>
    </row>
    <row r="5514" ht="15" customHeight="1" spans="1:22" x14ac:dyDescent="0.25">
      <c r="A5514" s="17" t="s">
        <v>15817</v>
      </c>
      <c r="B5514" s="17" t="s">
        <v>70</v>
      </c>
      <c r="C5514" s="17" t="s">
        <v>71</v>
      </c>
      <c r="D5514" t="s">
        <v>15818</v>
      </c>
      <c r="F5514" t="s">
        <v>15819</v>
      </c>
      <c r="K5514" s="18">
        <f>628125558506</f>
        <v>628125558506</v>
      </c>
      <c r="N5514" s="17" t="s">
        <v>77</v>
      </c>
      <c r="V5514" s="18">
        <f>628125558506</f>
        <v>628125558506</v>
      </c>
    </row>
    <row r="5515" ht="15" customHeight="1" spans="1:22" x14ac:dyDescent="0.25">
      <c r="A5515" s="17" t="s">
        <v>15820</v>
      </c>
      <c r="B5515" s="17" t="s">
        <v>70</v>
      </c>
      <c r="C5515" s="17" t="s">
        <v>71</v>
      </c>
      <c r="D5515" t="s">
        <v>15821</v>
      </c>
      <c r="F5515" t="s">
        <v>15822</v>
      </c>
      <c r="J5515" s="17" t="s">
        <v>15823</v>
      </c>
      <c r="K5515" s="18">
        <f>628111344401</f>
        <v>628111344401</v>
      </c>
      <c r="N5515" s="17" t="s">
        <v>74</v>
      </c>
      <c r="V5515" s="18">
        <f>628111344401</f>
        <v>628111344401</v>
      </c>
    </row>
    <row r="5516" ht="15" customHeight="1" spans="1:23" x14ac:dyDescent="0.25">
      <c r="A5516" s="17" t="s">
        <v>15824</v>
      </c>
      <c r="B5516" s="17" t="s">
        <v>70</v>
      </c>
      <c r="C5516" s="17" t="s">
        <v>71</v>
      </c>
      <c r="D5516" t="s">
        <v>15825</v>
      </c>
      <c r="F5516" t="s">
        <v>15826</v>
      </c>
      <c r="J5516" s="17" t="s">
        <v>15827</v>
      </c>
      <c r="K5516" s="18">
        <f>966532893333</f>
        <v>966532893333</v>
      </c>
      <c r="N5516" s="17" t="s">
        <v>77</v>
      </c>
      <c r="U5516" s="17"/>
      <c r="V5516" s="18">
        <f>966532893333</f>
        <v>966532893333</v>
      </c>
      <c r="W5516" t="s">
        <v>15828</v>
      </c>
    </row>
    <row r="5517" ht="15" customHeight="1" spans="1:22" x14ac:dyDescent="0.25">
      <c r="A5517" s="17" t="s">
        <v>15829</v>
      </c>
      <c r="B5517" s="17" t="s">
        <v>70</v>
      </c>
      <c r="C5517" s="17" t="s">
        <v>71</v>
      </c>
      <c r="D5517" t="s">
        <v>15830</v>
      </c>
      <c r="F5517" t="s">
        <v>15831</v>
      </c>
      <c r="K5517" s="18">
        <f>6281380334567</f>
        <v>6281380334567</v>
      </c>
      <c r="N5517" s="17" t="s">
        <v>81</v>
      </c>
      <c r="V5517" s="18">
        <f>6281380334567</f>
        <v>6281380334567</v>
      </c>
    </row>
    <row r="5518" ht="15" customHeight="1" spans="1:22" x14ac:dyDescent="0.25">
      <c r="A5518" s="17" t="s">
        <v>15832</v>
      </c>
      <c r="B5518" s="17" t="s">
        <v>70</v>
      </c>
      <c r="C5518" s="17" t="s">
        <v>71</v>
      </c>
      <c r="D5518" t="s">
        <v>15833</v>
      </c>
      <c r="F5518" t="s">
        <v>15833</v>
      </c>
      <c r="K5518" s="18">
        <f>62816957846</f>
        <v>62816957846</v>
      </c>
      <c r="N5518" s="17" t="s">
        <v>77</v>
      </c>
      <c r="V5518" s="18">
        <f>62816957846</f>
        <v>62816957846</v>
      </c>
    </row>
    <row r="5519" ht="15" customHeight="1" spans="1:22" x14ac:dyDescent="0.25">
      <c r="A5519" s="17" t="s">
        <v>15834</v>
      </c>
      <c r="B5519" s="17" t="s">
        <v>70</v>
      </c>
      <c r="C5519" s="17" t="s">
        <v>71</v>
      </c>
      <c r="D5519" t="s">
        <v>15835</v>
      </c>
      <c r="F5519" t="s">
        <v>15835</v>
      </c>
      <c r="K5519" s="18">
        <f>6285260014606</f>
        <v>6285260014606</v>
      </c>
      <c r="N5519" s="17" t="s">
        <v>74</v>
      </c>
      <c r="V5519" s="18">
        <f>6285260014606</f>
        <v>6285260014606</v>
      </c>
    </row>
    <row r="5520" ht="15" customHeight="1" spans="1:22" x14ac:dyDescent="0.25">
      <c r="A5520" s="17" t="s">
        <v>15836</v>
      </c>
      <c r="B5520" s="17" t="s">
        <v>70</v>
      </c>
      <c r="C5520" s="17" t="s">
        <v>71</v>
      </c>
      <c r="D5520" t="s">
        <v>15837</v>
      </c>
      <c r="F5520" t="s">
        <v>15838</v>
      </c>
      <c r="K5520" s="18">
        <f>6282219180658</f>
        <v>6282219180658</v>
      </c>
      <c r="N5520" s="17" t="s">
        <v>77</v>
      </c>
      <c r="V5520" s="18">
        <f>6282219180658</f>
        <v>6282219180658</v>
      </c>
    </row>
    <row r="5521" ht="15" customHeight="1" spans="1:23" x14ac:dyDescent="0.25">
      <c r="A5521" s="17" t="s">
        <v>15839</v>
      </c>
      <c r="B5521" s="17" t="s">
        <v>70</v>
      </c>
      <c r="C5521" s="17" t="s">
        <v>71</v>
      </c>
      <c r="D5521" t="s">
        <v>15840</v>
      </c>
      <c r="F5521" t="s">
        <v>15826</v>
      </c>
      <c r="K5521" s="18">
        <v>10042026</v>
      </c>
      <c r="N5521" s="17" t="s">
        <v>77</v>
      </c>
      <c r="U5521" s="17"/>
      <c r="V5521" s="18">
        <v>10042026</v>
      </c>
      <c r="W5521" t="s">
        <v>15841</v>
      </c>
    </row>
    <row r="5522" ht="15" customHeight="1" spans="1:23" x14ac:dyDescent="0.25">
      <c r="A5522" s="17" t="s">
        <v>15842</v>
      </c>
      <c r="B5522" s="17" t="s">
        <v>70</v>
      </c>
      <c r="C5522" s="17" t="s">
        <v>71</v>
      </c>
      <c r="D5522" t="s">
        <v>15843</v>
      </c>
      <c r="F5522" t="s">
        <v>15803</v>
      </c>
      <c r="K5522" s="18">
        <f>82244224469</f>
        <v>82244224469</v>
      </c>
      <c r="N5522" s="17" t="s">
        <v>81</v>
      </c>
      <c r="U5522" s="17"/>
      <c r="V5522" s="18">
        <f>82244224469</f>
        <v>82244224469</v>
      </c>
      <c r="W5522" t="s">
        <v>15844</v>
      </c>
    </row>
    <row r="5523" ht="15" customHeight="1" spans="1:25" x14ac:dyDescent="0.25">
      <c r="A5523" s="17" t="s">
        <v>15845</v>
      </c>
      <c r="B5523" s="17" t="s">
        <v>70</v>
      </c>
      <c r="C5523" s="17" t="s">
        <v>71</v>
      </c>
      <c r="D5523" t="s">
        <v>15846</v>
      </c>
      <c r="F5523" t="s">
        <v>15847</v>
      </c>
      <c r="K5523" s="18">
        <f>62811899753</f>
        <v>62811899753</v>
      </c>
      <c r="N5523" s="17" t="s">
        <v>77</v>
      </c>
      <c r="U5523" s="17"/>
      <c r="V5523" s="18">
        <f>62811899753</f>
        <v>62811899753</v>
      </c>
      <c r="W5523" t="s">
        <v>15848</v>
      </c>
      <c r="Y5523" s="17" t="s">
        <v>96</v>
      </c>
    </row>
    <row r="5524" ht="15" customHeight="1" spans="1:22" x14ac:dyDescent="0.25">
      <c r="A5524" s="17" t="s">
        <v>15849</v>
      </c>
      <c r="B5524" s="17" t="s">
        <v>70</v>
      </c>
      <c r="C5524" s="17" t="s">
        <v>71</v>
      </c>
      <c r="D5524" t="s">
        <v>15850</v>
      </c>
      <c r="F5524" t="s">
        <v>7440</v>
      </c>
      <c r="K5524" s="18">
        <f>6281890248811</f>
        <v>6281890248811</v>
      </c>
      <c r="N5524" s="17" t="s">
        <v>77</v>
      </c>
      <c r="V5524" s="18">
        <f>6281890248811</f>
        <v>6281890248811</v>
      </c>
    </row>
    <row r="5525" ht="15" customHeight="1" spans="1:22" x14ac:dyDescent="0.25">
      <c r="A5525" s="17" t="s">
        <v>15851</v>
      </c>
      <c r="B5525" s="17" t="s">
        <v>70</v>
      </c>
      <c r="C5525" s="17" t="s">
        <v>71</v>
      </c>
      <c r="D5525" t="s">
        <v>15850</v>
      </c>
      <c r="F5525" t="s">
        <v>15852</v>
      </c>
      <c r="K5525" s="18">
        <f>62811970710</f>
        <v>62811970710</v>
      </c>
      <c r="N5525" s="17" t="s">
        <v>77</v>
      </c>
      <c r="V5525" s="18">
        <f>62811970710</f>
        <v>62811970710</v>
      </c>
    </row>
    <row r="5526" ht="15" customHeight="1" spans="1:25" x14ac:dyDescent="0.25">
      <c r="A5526" s="17" t="s">
        <v>15853</v>
      </c>
      <c r="B5526" s="17" t="s">
        <v>70</v>
      </c>
      <c r="C5526" s="17" t="s">
        <v>71</v>
      </c>
      <c r="D5526" t="s">
        <v>15854</v>
      </c>
      <c r="F5526" t="s">
        <v>15855</v>
      </c>
      <c r="K5526" s="18">
        <f>628111111999</f>
        <v>628111111999</v>
      </c>
      <c r="N5526" s="17" t="s">
        <v>81</v>
      </c>
      <c r="U5526" s="17"/>
      <c r="V5526" s="18">
        <f>628111111999</f>
        <v>628111111999</v>
      </c>
      <c r="W5526" t="s">
        <v>15856</v>
      </c>
      <c r="Y5526" s="17" t="s">
        <v>96</v>
      </c>
    </row>
    <row r="5527" ht="15" customHeight="1" spans="1:28" x14ac:dyDescent="0.25">
      <c r="A5527" s="17" t="s">
        <v>15857</v>
      </c>
      <c r="B5527" s="17" t="s">
        <v>70</v>
      </c>
      <c r="C5527" s="17" t="s">
        <v>71</v>
      </c>
      <c r="D5527" t="s">
        <v>15858</v>
      </c>
      <c r="F5527" t="s">
        <v>15858</v>
      </c>
      <c r="J5527" t="s">
        <v>115</v>
      </c>
      <c r="K5527" s="18" t="s">
        <v>15859</v>
      </c>
      <c r="N5527" s="17" t="s">
        <v>77</v>
      </c>
      <c r="O5527" t="s">
        <v>145</v>
      </c>
      <c r="V5527" s="18" t="s">
        <v>15859</v>
      </c>
      <c r="Y5527" t="s">
        <v>90</v>
      </c>
      <c r="AA5527" t="s">
        <v>118</v>
      </c>
      <c r="AB5527" t="s">
        <v>119</v>
      </c>
    </row>
    <row r="5528" ht="15" customHeight="1" spans="1:27" x14ac:dyDescent="0.25">
      <c r="A5528" s="17" t="s">
        <v>15860</v>
      </c>
      <c r="B5528" s="17" t="s">
        <v>70</v>
      </c>
      <c r="C5528" s="17" t="s">
        <v>71</v>
      </c>
      <c r="D5528" t="s">
        <v>15858</v>
      </c>
      <c r="F5528" t="s">
        <v>15861</v>
      </c>
      <c r="J5528" s="17" t="s">
        <v>15862</v>
      </c>
      <c r="K5528" s="18">
        <f>6281298760090</f>
        <v>6281298760090</v>
      </c>
      <c r="N5528" s="17" t="s">
        <v>81</v>
      </c>
      <c r="U5528" s="17"/>
      <c r="V5528" s="18">
        <f>6281298760090</f>
        <v>6281298760090</v>
      </c>
      <c r="W5528" t="s">
        <v>15863</v>
      </c>
      <c r="Y5528" s="17" t="s">
        <v>15864</v>
      </c>
      <c r="AA5528" s="17">
        <v>13340</v>
      </c>
    </row>
    <row r="5529" ht="15" customHeight="1" spans="1:22" x14ac:dyDescent="0.25">
      <c r="A5529" s="17" t="s">
        <v>15865</v>
      </c>
      <c r="B5529" s="17" t="s">
        <v>70</v>
      </c>
      <c r="C5529" s="17" t="s">
        <v>71</v>
      </c>
      <c r="D5529" t="s">
        <v>13011</v>
      </c>
      <c r="F5529" t="s">
        <v>13011</v>
      </c>
      <c r="K5529" s="18">
        <f>628119162218</f>
        <v>628119162218</v>
      </c>
      <c r="N5529" s="17" t="s">
        <v>74</v>
      </c>
      <c r="V5529" s="18">
        <f>628119162218</f>
        <v>628119162218</v>
      </c>
    </row>
    <row r="5530" ht="15" customHeight="1" spans="1:22" x14ac:dyDescent="0.25">
      <c r="A5530" s="17" t="s">
        <v>15866</v>
      </c>
      <c r="B5530" s="17" t="s">
        <v>70</v>
      </c>
      <c r="C5530" s="17" t="s">
        <v>71</v>
      </c>
      <c r="D5530" t="s">
        <v>13011</v>
      </c>
      <c r="F5530" t="s">
        <v>13011</v>
      </c>
      <c r="K5530" s="18">
        <f>6281282362248</f>
        <v>6281282362248</v>
      </c>
      <c r="N5530" s="17" t="s">
        <v>77</v>
      </c>
      <c r="V5530" s="18">
        <f>6281282362248</f>
        <v>6281282362248</v>
      </c>
    </row>
    <row r="5531" ht="15" customHeight="1" spans="1:22" x14ac:dyDescent="0.25">
      <c r="A5531" s="17" t="s">
        <v>15867</v>
      </c>
      <c r="B5531" s="17" t="s">
        <v>70</v>
      </c>
      <c r="C5531" s="17" t="s">
        <v>71</v>
      </c>
      <c r="D5531" t="s">
        <v>13011</v>
      </c>
      <c r="F5531" t="s">
        <v>13011</v>
      </c>
      <c r="K5531" s="18">
        <f>628111869909</f>
        <v>628111869909</v>
      </c>
      <c r="N5531" s="17" t="s">
        <v>77</v>
      </c>
      <c r="V5531" s="18">
        <f>628111869909</f>
        <v>628111869909</v>
      </c>
    </row>
    <row r="5532" ht="15" customHeight="1" spans="1:22" x14ac:dyDescent="0.25">
      <c r="A5532" s="17" t="s">
        <v>15868</v>
      </c>
      <c r="B5532" s="17" t="s">
        <v>70</v>
      </c>
      <c r="C5532" s="17" t="s">
        <v>71</v>
      </c>
      <c r="D5532" t="s">
        <v>15869</v>
      </c>
      <c r="F5532" t="s">
        <v>15869</v>
      </c>
      <c r="K5532" s="18">
        <f>62818331588</f>
        <v>62818331588</v>
      </c>
      <c r="N5532" s="17" t="s">
        <v>81</v>
      </c>
      <c r="V5532" s="18">
        <f>62818331588</f>
        <v>62818331588</v>
      </c>
    </row>
    <row r="5533" ht="15" customHeight="1" spans="1:22" x14ac:dyDescent="0.25">
      <c r="A5533" s="17" t="s">
        <v>15870</v>
      </c>
      <c r="B5533" s="17" t="s">
        <v>70</v>
      </c>
      <c r="C5533" s="17" t="s">
        <v>71</v>
      </c>
      <c r="D5533" t="s">
        <v>13011</v>
      </c>
      <c r="F5533" t="s">
        <v>5942</v>
      </c>
      <c r="K5533" s="18">
        <f>6281389151968</f>
        <v>6281389151968</v>
      </c>
      <c r="N5533" s="17" t="s">
        <v>81</v>
      </c>
      <c r="V5533" s="18">
        <f>6281389151968</f>
        <v>6281389151968</v>
      </c>
    </row>
    <row r="5534" ht="15" customHeight="1" spans="1:25" x14ac:dyDescent="0.25">
      <c r="A5534" s="17" t="s">
        <v>15871</v>
      </c>
      <c r="B5534" s="17" t="s">
        <v>70</v>
      </c>
      <c r="C5534" s="17" t="s">
        <v>71</v>
      </c>
      <c r="D5534" t="s">
        <v>13011</v>
      </c>
      <c r="F5534" t="s">
        <v>2700</v>
      </c>
      <c r="K5534" s="18">
        <f>62818190321</f>
        <v>62818190321</v>
      </c>
      <c r="N5534" s="17" t="s">
        <v>77</v>
      </c>
      <c r="U5534" s="17"/>
      <c r="V5534" s="18">
        <f>62818190321</f>
        <v>62818190321</v>
      </c>
      <c r="W5534" t="s">
        <v>15872</v>
      </c>
      <c r="Y5534" s="17" t="s">
        <v>1084</v>
      </c>
    </row>
    <row r="5535" ht="15" customHeight="1" spans="1:22" x14ac:dyDescent="0.25">
      <c r="A5535" s="17" t="s">
        <v>15873</v>
      </c>
      <c r="B5535" s="17" t="s">
        <v>70</v>
      </c>
      <c r="C5535" s="17" t="s">
        <v>71</v>
      </c>
      <c r="D5535" t="s">
        <v>13011</v>
      </c>
      <c r="F5535" t="s">
        <v>15874</v>
      </c>
      <c r="K5535" s="18">
        <f>62811972877</f>
        <v>62811972877</v>
      </c>
      <c r="N5535" s="17" t="s">
        <v>77</v>
      </c>
      <c r="V5535" s="18">
        <f>62811972877</f>
        <v>62811972877</v>
      </c>
    </row>
    <row r="5536" ht="15" customHeight="1" spans="1:22" x14ac:dyDescent="0.25">
      <c r="A5536" s="17" t="s">
        <v>15875</v>
      </c>
      <c r="B5536" s="17" t="s">
        <v>70</v>
      </c>
      <c r="C5536" s="17" t="s">
        <v>71</v>
      </c>
      <c r="D5536" t="s">
        <v>13011</v>
      </c>
      <c r="F5536" t="s">
        <v>10210</v>
      </c>
      <c r="K5536" s="18">
        <f>6281770002818</f>
        <v>6281770002818</v>
      </c>
      <c r="N5536" s="17" t="s">
        <v>77</v>
      </c>
      <c r="V5536" s="18">
        <f>6281770002818</f>
        <v>6281770002818</v>
      </c>
    </row>
    <row r="5537" ht="15" customHeight="1" spans="1:22" x14ac:dyDescent="0.25">
      <c r="A5537" s="17" t="s">
        <v>15876</v>
      </c>
      <c r="B5537" s="17" t="s">
        <v>70</v>
      </c>
      <c r="C5537" s="17" t="s">
        <v>71</v>
      </c>
      <c r="D5537" t="s">
        <v>13011</v>
      </c>
      <c r="F5537" t="s">
        <v>1169</v>
      </c>
      <c r="K5537" s="18">
        <f>62816864131</f>
        <v>62816864131</v>
      </c>
      <c r="N5537" s="17" t="s">
        <v>74</v>
      </c>
      <c r="V5537" s="18">
        <f>62816864131</f>
        <v>62816864131</v>
      </c>
    </row>
    <row r="5538" ht="15" customHeight="1" spans="1:22" x14ac:dyDescent="0.25">
      <c r="A5538" s="17" t="s">
        <v>15877</v>
      </c>
      <c r="B5538" s="17" t="s">
        <v>70</v>
      </c>
      <c r="C5538" s="17" t="s">
        <v>71</v>
      </c>
      <c r="D5538" t="s">
        <v>13011</v>
      </c>
      <c r="F5538" t="s">
        <v>672</v>
      </c>
      <c r="K5538" s="18">
        <f>62816730009</f>
        <v>62816730009</v>
      </c>
      <c r="N5538" s="17" t="s">
        <v>77</v>
      </c>
      <c r="V5538" s="18">
        <f>62816730009</f>
        <v>62816730009</v>
      </c>
    </row>
    <row r="5539" ht="15" customHeight="1" spans="1:22" x14ac:dyDescent="0.25">
      <c r="A5539" s="17" t="s">
        <v>15878</v>
      </c>
      <c r="B5539" s="17" t="s">
        <v>70</v>
      </c>
      <c r="C5539" s="17" t="s">
        <v>71</v>
      </c>
      <c r="D5539" t="s">
        <v>15879</v>
      </c>
      <c r="F5539" t="s">
        <v>669</v>
      </c>
      <c r="K5539" s="18">
        <f>62811179600</f>
        <v>62811179600</v>
      </c>
      <c r="N5539" s="17" t="s">
        <v>77</v>
      </c>
      <c r="V5539" s="18">
        <f>62811179600</f>
        <v>62811179600</v>
      </c>
    </row>
    <row r="5540" ht="15" customHeight="1" spans="1:22" x14ac:dyDescent="0.25">
      <c r="A5540" s="17" t="s">
        <v>15880</v>
      </c>
      <c r="B5540" s="17" t="s">
        <v>70</v>
      </c>
      <c r="C5540" s="17" t="s">
        <v>71</v>
      </c>
      <c r="D5540" t="s">
        <v>15881</v>
      </c>
      <c r="F5540" t="s">
        <v>15882</v>
      </c>
      <c r="K5540" s="18">
        <f>628118838882</f>
        <v>628118838882</v>
      </c>
      <c r="N5540" s="17" t="s">
        <v>77</v>
      </c>
      <c r="V5540" s="18">
        <f>628118838882</f>
        <v>628118838882</v>
      </c>
    </row>
    <row r="5541" ht="15" customHeight="1" spans="1:23" x14ac:dyDescent="0.25">
      <c r="A5541" s="17" t="s">
        <v>15883</v>
      </c>
      <c r="B5541" s="17" t="s">
        <v>70</v>
      </c>
      <c r="C5541" s="17" t="s">
        <v>71</v>
      </c>
      <c r="D5541" t="s">
        <v>15881</v>
      </c>
      <c r="F5541" t="s">
        <v>15884</v>
      </c>
      <c r="K5541" s="18">
        <f>6282164449999</f>
        <v>6282164449999</v>
      </c>
      <c r="N5541" s="17" t="s">
        <v>77</v>
      </c>
      <c r="U5541" s="17"/>
      <c r="V5541" s="18">
        <f>6282164449999</f>
        <v>6282164449999</v>
      </c>
      <c r="W5541" t="s">
        <v>2857</v>
      </c>
    </row>
    <row r="5542" ht="15" customHeight="1" spans="1:22" x14ac:dyDescent="0.25">
      <c r="A5542" s="17" t="s">
        <v>15885</v>
      </c>
      <c r="B5542" s="17" t="s">
        <v>70</v>
      </c>
      <c r="C5542" s="17" t="s">
        <v>71</v>
      </c>
      <c r="D5542" t="s">
        <v>15881</v>
      </c>
      <c r="F5542" t="s">
        <v>15886</v>
      </c>
      <c r="K5542" s="18">
        <f>62816766416</f>
        <v>62816766416</v>
      </c>
      <c r="N5542" s="17" t="s">
        <v>81</v>
      </c>
      <c r="V5542" s="18">
        <f>62816766416</f>
        <v>62816766416</v>
      </c>
    </row>
    <row r="5543" ht="15" customHeight="1" spans="1:22" x14ac:dyDescent="0.25">
      <c r="A5543" s="17" t="s">
        <v>15887</v>
      </c>
      <c r="B5543" s="17" t="s">
        <v>70</v>
      </c>
      <c r="C5543" s="17" t="s">
        <v>71</v>
      </c>
      <c r="D5543" t="s">
        <v>15888</v>
      </c>
      <c r="F5543" t="s">
        <v>3869</v>
      </c>
      <c r="K5543" s="18">
        <f>628118402069</f>
        <v>628118402069</v>
      </c>
      <c r="N5543" s="17" t="s">
        <v>81</v>
      </c>
      <c r="V5543" s="18">
        <f>628118402069</f>
        <v>628118402069</v>
      </c>
    </row>
    <row r="5544" ht="15" customHeight="1" spans="1:23" x14ac:dyDescent="0.25">
      <c r="A5544" s="17" t="s">
        <v>15889</v>
      </c>
      <c r="B5544" s="17" t="s">
        <v>70</v>
      </c>
      <c r="C5544" s="17" t="s">
        <v>71</v>
      </c>
      <c r="D5544" t="s">
        <v>15890</v>
      </c>
      <c r="F5544" t="s">
        <v>15891</v>
      </c>
      <c r="K5544" s="18">
        <f>6285277544554</f>
        <v>6285277544554</v>
      </c>
      <c r="N5544" s="17" t="s">
        <v>81</v>
      </c>
      <c r="U5544" s="17"/>
      <c r="V5544" s="18">
        <f>6285277544554</f>
        <v>6285277544554</v>
      </c>
      <c r="W5544" t="s">
        <v>9772</v>
      </c>
    </row>
    <row r="5545" ht="15" customHeight="1" spans="1:22" x14ac:dyDescent="0.25">
      <c r="A5545" s="17" t="s">
        <v>15892</v>
      </c>
      <c r="B5545" s="17" t="s">
        <v>70</v>
      </c>
      <c r="C5545" s="17" t="s">
        <v>71</v>
      </c>
      <c r="D5545" t="s">
        <v>15893</v>
      </c>
      <c r="F5545" t="s">
        <v>271</v>
      </c>
      <c r="K5545" s="18">
        <f>628117221175</f>
        <v>628117221175</v>
      </c>
      <c r="N5545" s="17" t="s">
        <v>81</v>
      </c>
      <c r="V5545" s="18">
        <f>628117221175</f>
        <v>628117221175</v>
      </c>
    </row>
    <row r="5546" ht="15" customHeight="1" spans="1:23" x14ac:dyDescent="0.25">
      <c r="A5546" s="17" t="s">
        <v>15894</v>
      </c>
      <c r="B5546" s="17" t="s">
        <v>70</v>
      </c>
      <c r="C5546" s="17" t="s">
        <v>71</v>
      </c>
      <c r="D5546" t="s">
        <v>15893</v>
      </c>
      <c r="F5546" t="s">
        <v>14297</v>
      </c>
      <c r="K5546" s="18">
        <f>62817108606</f>
        <v>62817108606</v>
      </c>
      <c r="N5546" s="17" t="s">
        <v>77</v>
      </c>
      <c r="U5546" s="17"/>
      <c r="V5546" s="18">
        <f>62817108606</f>
        <v>62817108606</v>
      </c>
      <c r="W5546" t="s">
        <v>15895</v>
      </c>
    </row>
    <row r="5547" ht="15" customHeight="1" spans="1:22" x14ac:dyDescent="0.25">
      <c r="A5547" s="17" t="s">
        <v>15896</v>
      </c>
      <c r="B5547" s="17" t="s">
        <v>70</v>
      </c>
      <c r="C5547" s="17" t="s">
        <v>71</v>
      </c>
      <c r="D5547" t="s">
        <v>15897</v>
      </c>
      <c r="F5547" t="s">
        <v>15898</v>
      </c>
      <c r="K5547" s="18">
        <f>628118517707</f>
        <v>628118517707</v>
      </c>
      <c r="N5547" s="17" t="s">
        <v>81</v>
      </c>
      <c r="V5547" s="18">
        <f>628118517707</f>
        <v>628118517707</v>
      </c>
    </row>
    <row r="5548" ht="15" customHeight="1" spans="1:27" x14ac:dyDescent="0.25">
      <c r="A5548" s="17" t="s">
        <v>15899</v>
      </c>
      <c r="B5548" s="17" t="s">
        <v>70</v>
      </c>
      <c r="C5548" s="17" t="s">
        <v>71</v>
      </c>
      <c r="D5548" t="s">
        <v>15900</v>
      </c>
      <c r="F5548" t="s">
        <v>3009</v>
      </c>
      <c r="K5548" s="18">
        <f>622175816336</f>
        <v>622175816336</v>
      </c>
      <c r="N5548" s="17" t="s">
        <v>74</v>
      </c>
      <c r="U5548" s="17"/>
      <c r="V5548" s="18">
        <f>622175816336</f>
        <v>622175816336</v>
      </c>
      <c r="W5548" t="s">
        <v>15901</v>
      </c>
      <c r="Y5548" s="17" t="s">
        <v>96</v>
      </c>
      <c r="AA5548" s="17">
        <v>12310</v>
      </c>
    </row>
    <row r="5549" ht="15" customHeight="1" spans="1:22" x14ac:dyDescent="0.25">
      <c r="A5549" s="17" t="s">
        <v>15902</v>
      </c>
      <c r="B5549" s="17" t="s">
        <v>70</v>
      </c>
      <c r="C5549" s="17" t="s">
        <v>71</v>
      </c>
      <c r="D5549" t="s">
        <v>15903</v>
      </c>
      <c r="F5549" t="s">
        <v>492</v>
      </c>
      <c r="K5549" s="18">
        <f>6285217587648</f>
        <v>6285217587648</v>
      </c>
      <c r="N5549" s="17" t="s">
        <v>81</v>
      </c>
      <c r="V5549" s="18">
        <f>6285217587648</f>
        <v>6285217587648</v>
      </c>
    </row>
    <row r="5550" ht="15" customHeight="1" spans="1:22" x14ac:dyDescent="0.25">
      <c r="A5550" s="17" t="s">
        <v>15904</v>
      </c>
      <c r="B5550" s="17" t="s">
        <v>70</v>
      </c>
      <c r="C5550" s="17" t="s">
        <v>71</v>
      </c>
      <c r="D5550" t="s">
        <v>15903</v>
      </c>
      <c r="F5550" t="s">
        <v>492</v>
      </c>
      <c r="K5550" s="18">
        <f>6282114228989</f>
        <v>6282114228989</v>
      </c>
      <c r="N5550" s="17" t="s">
        <v>77</v>
      </c>
      <c r="V5550" s="18">
        <f>6282114228989</f>
        <v>6282114228989</v>
      </c>
    </row>
    <row r="5551" ht="15" customHeight="1" spans="1:22" x14ac:dyDescent="0.25">
      <c r="A5551" s="17" t="s">
        <v>15905</v>
      </c>
      <c r="B5551" s="17" t="s">
        <v>70</v>
      </c>
      <c r="C5551" s="17" t="s">
        <v>71</v>
      </c>
      <c r="D5551" t="s">
        <v>15906</v>
      </c>
      <c r="F5551" t="s">
        <v>15906</v>
      </c>
      <c r="K5551" s="18">
        <f>628112812404</f>
        <v>628112812404</v>
      </c>
      <c r="N5551" s="17" t="s">
        <v>77</v>
      </c>
      <c r="V5551" s="18">
        <f>628112812404</f>
        <v>628112812404</v>
      </c>
    </row>
    <row r="5552" ht="15" customHeight="1" spans="1:23" x14ac:dyDescent="0.25">
      <c r="A5552" s="17" t="s">
        <v>15907</v>
      </c>
      <c r="B5552" s="17" t="s">
        <v>70</v>
      </c>
      <c r="C5552" s="17" t="s">
        <v>71</v>
      </c>
      <c r="D5552" t="s">
        <v>15908</v>
      </c>
      <c r="F5552" t="s">
        <v>15909</v>
      </c>
      <c r="K5552" s="18">
        <f>628116202255</f>
        <v>628116202255</v>
      </c>
      <c r="N5552" s="17" t="s">
        <v>77</v>
      </c>
      <c r="U5552" s="17"/>
      <c r="V5552" s="18">
        <f>628116202255</f>
        <v>628116202255</v>
      </c>
      <c r="W5552" t="s">
        <v>15910</v>
      </c>
    </row>
    <row r="5553" ht="15" customHeight="1" spans="1:22" x14ac:dyDescent="0.25">
      <c r="A5553" s="17" t="s">
        <v>15911</v>
      </c>
      <c r="B5553" s="17" t="s">
        <v>70</v>
      </c>
      <c r="C5553" s="17" t="s">
        <v>71</v>
      </c>
      <c r="D5553" t="s">
        <v>15912</v>
      </c>
      <c r="F5553" t="s">
        <v>9094</v>
      </c>
      <c r="K5553" s="18">
        <f>81398118532</f>
        <v>81398118532</v>
      </c>
      <c r="N5553" s="17" t="s">
        <v>81</v>
      </c>
      <c r="V5553" s="18">
        <f>81398118532</f>
        <v>81398118532</v>
      </c>
    </row>
    <row r="5554" ht="15" customHeight="1" spans="1:22" x14ac:dyDescent="0.25">
      <c r="A5554" s="17" t="s">
        <v>15913</v>
      </c>
      <c r="B5554" s="17" t="s">
        <v>70</v>
      </c>
      <c r="C5554" s="17" t="s">
        <v>71</v>
      </c>
      <c r="D5554" t="s">
        <v>15914</v>
      </c>
      <c r="F5554" t="s">
        <v>15915</v>
      </c>
      <c r="K5554" s="18">
        <f>6281299238096</f>
        <v>6281299238096</v>
      </c>
      <c r="N5554" s="17" t="s">
        <v>77</v>
      </c>
      <c r="V5554" s="18">
        <f>6281299238096</f>
        <v>6281299238096</v>
      </c>
    </row>
    <row r="5555" ht="15" customHeight="1" spans="1:22" x14ac:dyDescent="0.25">
      <c r="A5555" s="17" t="s">
        <v>15916</v>
      </c>
      <c r="B5555" s="17" t="s">
        <v>70</v>
      </c>
      <c r="C5555" s="17" t="s">
        <v>71</v>
      </c>
      <c r="D5555" t="s">
        <v>15917</v>
      </c>
      <c r="F5555" t="s">
        <v>7315</v>
      </c>
      <c r="K5555" s="18">
        <f>6282213580001</f>
        <v>6282213580001</v>
      </c>
      <c r="N5555" s="17" t="s">
        <v>77</v>
      </c>
      <c r="V5555" s="18">
        <f>6282213580001</f>
        <v>6282213580001</v>
      </c>
    </row>
    <row r="5556" ht="15" customHeight="1" spans="1:25" x14ac:dyDescent="0.25">
      <c r="A5556" s="17" t="s">
        <v>15918</v>
      </c>
      <c r="B5556" s="17" t="s">
        <v>70</v>
      </c>
      <c r="C5556" s="17" t="s">
        <v>71</v>
      </c>
      <c r="D5556" t="s">
        <v>15919</v>
      </c>
      <c r="F5556" t="s">
        <v>3585</v>
      </c>
      <c r="K5556" s="18">
        <f>62818315315</f>
        <v>62818315315</v>
      </c>
      <c r="N5556" s="17" t="s">
        <v>77</v>
      </c>
      <c r="U5556" s="17"/>
      <c r="V5556" s="18">
        <f>62818315315</f>
        <v>62818315315</v>
      </c>
      <c r="W5556" t="s">
        <v>15920</v>
      </c>
      <c r="Y5556" s="17" t="s">
        <v>96</v>
      </c>
    </row>
    <row r="5557" ht="15" customHeight="1" spans="1:28" x14ac:dyDescent="0.25">
      <c r="A5557" s="17" t="s">
        <v>15921</v>
      </c>
      <c r="B5557" s="17" t="s">
        <v>70</v>
      </c>
      <c r="C5557" s="17" t="s">
        <v>71</v>
      </c>
      <c r="D5557" t="s">
        <v>15922</v>
      </c>
      <c r="F5557" t="s">
        <v>15923</v>
      </c>
      <c r="J5557" s="17" t="s">
        <v>15924</v>
      </c>
      <c r="K5557" s="18" t="s">
        <v>15925</v>
      </c>
      <c r="N5557" s="17" t="s">
        <v>74</v>
      </c>
      <c r="O5557" t="s">
        <v>145</v>
      </c>
      <c r="U5557" s="17"/>
      <c r="V5557" s="18" t="s">
        <v>15925</v>
      </c>
      <c r="W5557" t="s">
        <v>15926</v>
      </c>
      <c r="Y5557" t="s">
        <v>90</v>
      </c>
      <c r="AA5557" t="s">
        <v>118</v>
      </c>
      <c r="AB5557" t="s">
        <v>119</v>
      </c>
    </row>
    <row r="5558" ht="15" customHeight="1" spans="1:28" x14ac:dyDescent="0.25">
      <c r="A5558" s="17" t="s">
        <v>15927</v>
      </c>
      <c r="B5558" s="17" t="s">
        <v>70</v>
      </c>
      <c r="C5558" s="17" t="s">
        <v>71</v>
      </c>
      <c r="D5558" t="s">
        <v>15928</v>
      </c>
      <c r="F5558" t="s">
        <v>7093</v>
      </c>
      <c r="J5558" t="s">
        <v>115</v>
      </c>
      <c r="K5558" s="18" t="s">
        <v>15929</v>
      </c>
      <c r="N5558" s="17" t="s">
        <v>81</v>
      </c>
      <c r="O5558" t="s">
        <v>117</v>
      </c>
      <c r="V5558" s="18" t="s">
        <v>15929</v>
      </c>
      <c r="Y5558" t="s">
        <v>190</v>
      </c>
      <c r="AA5558" t="s">
        <v>118</v>
      </c>
      <c r="AB5558" t="s">
        <v>119</v>
      </c>
    </row>
    <row r="5559" ht="15" customHeight="1" spans="1:22" x14ac:dyDescent="0.25">
      <c r="A5559" s="17" t="s">
        <v>15930</v>
      </c>
      <c r="B5559" s="17" t="s">
        <v>70</v>
      </c>
      <c r="C5559" s="17" t="s">
        <v>71</v>
      </c>
      <c r="D5559" t="s">
        <v>15931</v>
      </c>
      <c r="F5559" t="s">
        <v>15932</v>
      </c>
      <c r="K5559" s="18">
        <f>6281337801887</f>
        <v>6281337801887</v>
      </c>
      <c r="N5559" s="17" t="s">
        <v>81</v>
      </c>
      <c r="V5559" s="18">
        <f>6281337801887</f>
        <v>6281337801887</v>
      </c>
    </row>
    <row r="5560" ht="15" customHeight="1" spans="1:22" x14ac:dyDescent="0.25">
      <c r="A5560" s="17" t="s">
        <v>15933</v>
      </c>
      <c r="B5560" s="17" t="s">
        <v>70</v>
      </c>
      <c r="C5560" s="17" t="s">
        <v>71</v>
      </c>
      <c r="D5560" t="s">
        <v>209</v>
      </c>
      <c r="F5560" t="s">
        <v>2320</v>
      </c>
      <c r="K5560" s="18">
        <f>62816895599</f>
        <v>62816895599</v>
      </c>
      <c r="N5560" s="17" t="s">
        <v>74</v>
      </c>
      <c r="V5560" s="18">
        <f>62816895599</f>
        <v>62816895599</v>
      </c>
    </row>
    <row r="5561" ht="15" customHeight="1" spans="1:28" x14ac:dyDescent="0.25">
      <c r="A5561" s="17" t="s">
        <v>15934</v>
      </c>
      <c r="B5561" s="17" t="s">
        <v>70</v>
      </c>
      <c r="C5561" s="17" t="s">
        <v>71</v>
      </c>
      <c r="D5561" t="s">
        <v>15935</v>
      </c>
      <c r="F5561" t="s">
        <v>15936</v>
      </c>
      <c r="J5561" t="s">
        <v>115</v>
      </c>
      <c r="K5561" s="18" t="s">
        <v>15937</v>
      </c>
      <c r="N5561" s="17" t="s">
        <v>77</v>
      </c>
      <c r="O5561" t="s">
        <v>145</v>
      </c>
      <c r="V5561" s="18" t="s">
        <v>15937</v>
      </c>
      <c r="Y5561" t="s">
        <v>90</v>
      </c>
      <c r="AA5561" t="s">
        <v>118</v>
      </c>
      <c r="AB5561" t="s">
        <v>119</v>
      </c>
    </row>
    <row r="5562" ht="15" customHeight="1" spans="1:28" x14ac:dyDescent="0.25">
      <c r="A5562" s="17" t="s">
        <v>15938</v>
      </c>
      <c r="B5562" s="17" t="s">
        <v>70</v>
      </c>
      <c r="C5562" s="17" t="s">
        <v>71</v>
      </c>
      <c r="D5562" t="s">
        <v>15939</v>
      </c>
      <c r="F5562" t="s">
        <v>15940</v>
      </c>
      <c r="J5562" s="17" t="s">
        <v>15941</v>
      </c>
      <c r="K5562" s="18" t="s">
        <v>15942</v>
      </c>
      <c r="N5562" s="17" t="s">
        <v>77</v>
      </c>
      <c r="O5562" t="s">
        <v>199</v>
      </c>
      <c r="V5562" s="18" t="s">
        <v>15942</v>
      </c>
      <c r="Y5562" s="17" t="s">
        <v>15943</v>
      </c>
      <c r="AA5562" t="s">
        <v>115</v>
      </c>
      <c r="AB5562" t="s">
        <v>451</v>
      </c>
    </row>
    <row r="5563" ht="15" customHeight="1" spans="1:28" x14ac:dyDescent="0.25">
      <c r="A5563" s="17" t="s">
        <v>15944</v>
      </c>
      <c r="B5563" s="17" t="s">
        <v>70</v>
      </c>
      <c r="C5563" s="17" t="s">
        <v>71</v>
      </c>
      <c r="D5563" t="s">
        <v>212</v>
      </c>
      <c r="F5563" t="s">
        <v>15945</v>
      </c>
      <c r="J5563" t="s">
        <v>115</v>
      </c>
      <c r="K5563" s="18" t="s">
        <v>15946</v>
      </c>
      <c r="N5563" s="17" t="s">
        <v>77</v>
      </c>
      <c r="O5563" t="s">
        <v>199</v>
      </c>
      <c r="V5563" s="18" t="s">
        <v>15946</v>
      </c>
      <c r="Y5563" t="s">
        <v>115</v>
      </c>
      <c r="AA5563" t="s">
        <v>115</v>
      </c>
      <c r="AB5563" t="s">
        <v>7229</v>
      </c>
    </row>
    <row r="5564" ht="15" customHeight="1" spans="1:23" x14ac:dyDescent="0.25">
      <c r="A5564" s="17" t="s">
        <v>15947</v>
      </c>
      <c r="B5564" s="17" t="s">
        <v>70</v>
      </c>
      <c r="C5564" s="17" t="s">
        <v>71</v>
      </c>
      <c r="D5564" t="s">
        <v>212</v>
      </c>
      <c r="F5564" t="s">
        <v>15948</v>
      </c>
      <c r="K5564" s="18">
        <f>628551036057</f>
        <v>628551036057</v>
      </c>
      <c r="N5564" s="17" t="s">
        <v>74</v>
      </c>
      <c r="U5564" s="17"/>
      <c r="V5564" s="18">
        <f>628551036057</f>
        <v>628551036057</v>
      </c>
      <c r="W5564" t="s">
        <v>15639</v>
      </c>
    </row>
    <row r="5565" ht="15" customHeight="1" spans="1:22" x14ac:dyDescent="0.25">
      <c r="A5565" s="17" t="s">
        <v>15949</v>
      </c>
      <c r="B5565" s="17" t="s">
        <v>70</v>
      </c>
      <c r="C5565" s="17" t="s">
        <v>71</v>
      </c>
      <c r="D5565" t="s">
        <v>212</v>
      </c>
      <c r="F5565" t="s">
        <v>15950</v>
      </c>
      <c r="K5565" s="18">
        <f>6281973189999</f>
        <v>6281973189999</v>
      </c>
      <c r="N5565" s="17" t="s">
        <v>81</v>
      </c>
      <c r="V5565" s="18">
        <f>6281973189999</f>
        <v>6281973189999</v>
      </c>
    </row>
    <row r="5566" ht="15" customHeight="1" spans="1:22" x14ac:dyDescent="0.25">
      <c r="A5566" s="17" t="s">
        <v>15951</v>
      </c>
      <c r="B5566" s="17" t="s">
        <v>70</v>
      </c>
      <c r="C5566" s="17" t="s">
        <v>71</v>
      </c>
      <c r="D5566" t="s">
        <v>212</v>
      </c>
      <c r="F5566" t="s">
        <v>15952</v>
      </c>
      <c r="J5566" s="17" t="s">
        <v>15953</v>
      </c>
      <c r="K5566" s="18">
        <f>6281213701888</f>
        <v>6281213701888</v>
      </c>
      <c r="N5566" s="17" t="s">
        <v>77</v>
      </c>
      <c r="V5566" s="18">
        <f>6281213701888</f>
        <v>6281213701888</v>
      </c>
    </row>
    <row r="5567" ht="15" customHeight="1" spans="1:22" x14ac:dyDescent="0.25">
      <c r="A5567" s="17" t="s">
        <v>15954</v>
      </c>
      <c r="B5567" s="17" t="s">
        <v>70</v>
      </c>
      <c r="C5567" s="17" t="s">
        <v>71</v>
      </c>
      <c r="D5567" t="s">
        <v>15955</v>
      </c>
      <c r="F5567" t="s">
        <v>15955</v>
      </c>
      <c r="K5567" s="18">
        <f>6281999151300</f>
        <v>6281999151300</v>
      </c>
      <c r="N5567" s="17" t="s">
        <v>81</v>
      </c>
      <c r="V5567" s="18">
        <f>6281999151300</f>
        <v>6281999151300</v>
      </c>
    </row>
    <row r="5568" ht="15" customHeight="1" spans="1:23" x14ac:dyDescent="0.25">
      <c r="A5568" s="17" t="s">
        <v>15956</v>
      </c>
      <c r="B5568" s="17" t="s">
        <v>70</v>
      </c>
      <c r="C5568" s="17" t="s">
        <v>71</v>
      </c>
      <c r="D5568" t="s">
        <v>15957</v>
      </c>
      <c r="F5568" t="s">
        <v>11341</v>
      </c>
      <c r="J5568" s="17" t="s">
        <v>15958</v>
      </c>
      <c r="K5568" s="18">
        <f>17705960915</f>
        <v>17705960915</v>
      </c>
      <c r="N5568" s="17" t="s">
        <v>77</v>
      </c>
      <c r="U5568" s="17"/>
      <c r="V5568" s="18">
        <f>17705960915</f>
        <v>17705960915</v>
      </c>
      <c r="W5568" t="s">
        <v>451</v>
      </c>
    </row>
    <row r="5569" ht="15" customHeight="1" spans="1:28" x14ac:dyDescent="0.25">
      <c r="A5569" s="17" t="s">
        <v>15959</v>
      </c>
      <c r="B5569" s="17" t="s">
        <v>70</v>
      </c>
      <c r="C5569" s="17" t="s">
        <v>71</v>
      </c>
      <c r="D5569" t="s">
        <v>15957</v>
      </c>
      <c r="F5569" t="s">
        <v>15960</v>
      </c>
      <c r="J5569" s="17" t="s">
        <v>15961</v>
      </c>
      <c r="K5569" s="18" t="s">
        <v>15962</v>
      </c>
      <c r="N5569" s="17" t="s">
        <v>77</v>
      </c>
      <c r="O5569" t="s">
        <v>145</v>
      </c>
      <c r="V5569" s="18" t="s">
        <v>15962</v>
      </c>
      <c r="Y5569" t="s">
        <v>930</v>
      </c>
      <c r="AA5569" t="s">
        <v>115</v>
      </c>
      <c r="AB5569" t="s">
        <v>930</v>
      </c>
    </row>
    <row r="5570" ht="15" customHeight="1" spans="1:22" x14ac:dyDescent="0.25">
      <c r="A5570" s="17" t="s">
        <v>15963</v>
      </c>
      <c r="B5570" s="17" t="s">
        <v>70</v>
      </c>
      <c r="C5570" s="17" t="s">
        <v>71</v>
      </c>
      <c r="D5570" t="s">
        <v>15964</v>
      </c>
      <c r="F5570" t="s">
        <v>3904</v>
      </c>
      <c r="K5570" s="18">
        <f>6287786722811</f>
        <v>6287786722811</v>
      </c>
      <c r="N5570" s="17" t="s">
        <v>77</v>
      </c>
      <c r="V5570" s="18">
        <f>6287786722811</f>
        <v>6287786722811</v>
      </c>
    </row>
    <row r="5571" ht="15" customHeight="1" spans="1:22" x14ac:dyDescent="0.25">
      <c r="A5571" s="17" t="s">
        <v>15965</v>
      </c>
      <c r="B5571" s="17" t="s">
        <v>70</v>
      </c>
      <c r="C5571" s="17" t="s">
        <v>71</v>
      </c>
      <c r="D5571" t="s">
        <v>15966</v>
      </c>
      <c r="F5571" t="s">
        <v>15967</v>
      </c>
      <c r="K5571" s="18">
        <f>62811656520</f>
        <v>62811656520</v>
      </c>
      <c r="N5571" s="17" t="s">
        <v>74</v>
      </c>
      <c r="V5571" s="18">
        <f>62811656520</f>
        <v>62811656520</v>
      </c>
    </row>
    <row r="5572" ht="15" customHeight="1" spans="1:22" x14ac:dyDescent="0.25">
      <c r="A5572" s="17" t="s">
        <v>15968</v>
      </c>
      <c r="B5572" s="17" t="s">
        <v>70</v>
      </c>
      <c r="C5572" s="17" t="s">
        <v>71</v>
      </c>
      <c r="D5572" t="s">
        <v>1262</v>
      </c>
      <c r="F5572" t="s">
        <v>1262</v>
      </c>
      <c r="K5572" s="18">
        <f>6283875950023</f>
        <v>6283875950023</v>
      </c>
      <c r="N5572" s="17" t="s">
        <v>77</v>
      </c>
      <c r="V5572" s="18">
        <f>6283875950023</f>
        <v>6283875950023</v>
      </c>
    </row>
    <row r="5573" ht="15" customHeight="1" spans="1:22" x14ac:dyDescent="0.25">
      <c r="A5573" s="17" t="s">
        <v>15969</v>
      </c>
      <c r="B5573" s="17" t="s">
        <v>70</v>
      </c>
      <c r="C5573" s="17" t="s">
        <v>71</v>
      </c>
      <c r="D5573" t="s">
        <v>1262</v>
      </c>
      <c r="F5573" t="s">
        <v>1262</v>
      </c>
      <c r="K5573" s="18">
        <f>6281255807966</f>
        <v>6281255807966</v>
      </c>
      <c r="N5573" s="17" t="s">
        <v>81</v>
      </c>
      <c r="V5573" s="18">
        <f>6281255807966</f>
        <v>6281255807966</v>
      </c>
    </row>
    <row r="5574" ht="15" customHeight="1" spans="1:27" x14ac:dyDescent="0.25">
      <c r="A5574" s="17" t="s">
        <v>15970</v>
      </c>
      <c r="B5574" s="17" t="s">
        <v>70</v>
      </c>
      <c r="C5574" s="17" t="s">
        <v>71</v>
      </c>
      <c r="D5574" t="s">
        <v>15971</v>
      </c>
      <c r="F5574" t="s">
        <v>672</v>
      </c>
      <c r="J5574" s="17" t="s">
        <v>15972</v>
      </c>
      <c r="K5574" s="18">
        <f>6285780042715</f>
        <v>6285780042715</v>
      </c>
      <c r="N5574" s="17" t="s">
        <v>77</v>
      </c>
      <c r="U5574" s="17"/>
      <c r="V5574" s="18">
        <f>6285780042715</f>
        <v>6285780042715</v>
      </c>
      <c r="W5574" t="s">
        <v>15973</v>
      </c>
      <c r="Y5574" s="17" t="s">
        <v>217</v>
      </c>
      <c r="AA5574" s="17">
        <v>15157</v>
      </c>
    </row>
    <row r="5575" ht="15" customHeight="1" spans="1:28" x14ac:dyDescent="0.25">
      <c r="A5575" s="17" t="s">
        <v>15974</v>
      </c>
      <c r="B5575" s="17" t="s">
        <v>70</v>
      </c>
      <c r="C5575" s="17" t="s">
        <v>71</v>
      </c>
      <c r="D5575" t="s">
        <v>15975</v>
      </c>
      <c r="F5575" t="s">
        <v>15975</v>
      </c>
      <c r="J5575" t="s">
        <v>115</v>
      </c>
      <c r="K5575" s="18" t="s">
        <v>15976</v>
      </c>
      <c r="N5575" s="17" t="s">
        <v>77</v>
      </c>
      <c r="O5575" t="s">
        <v>117</v>
      </c>
      <c r="U5575" s="17"/>
      <c r="V5575" s="18" t="s">
        <v>15976</v>
      </c>
      <c r="W5575" t="s">
        <v>14499</v>
      </c>
      <c r="Y5575" t="s">
        <v>5216</v>
      </c>
      <c r="AA5575" t="s">
        <v>115</v>
      </c>
      <c r="AB5575" t="s">
        <v>119</v>
      </c>
    </row>
    <row r="5576" ht="15" customHeight="1" spans="1:23" x14ac:dyDescent="0.25">
      <c r="A5576" s="17" t="s">
        <v>15977</v>
      </c>
      <c r="B5576" s="17" t="s">
        <v>70</v>
      </c>
      <c r="C5576" s="17" t="s">
        <v>71</v>
      </c>
      <c r="D5576" t="s">
        <v>15978</v>
      </c>
      <c r="F5576" t="s">
        <v>15979</v>
      </c>
      <c r="K5576" s="18">
        <f>62811822760</f>
        <v>62811822760</v>
      </c>
      <c r="N5576" s="17" t="s">
        <v>77</v>
      </c>
      <c r="U5576" s="17"/>
      <c r="V5576" s="18">
        <f>62811822760</f>
        <v>62811822760</v>
      </c>
      <c r="W5576" t="s">
        <v>15980</v>
      </c>
    </row>
    <row r="5577" ht="15" customHeight="1" spans="1:27" x14ac:dyDescent="0.25">
      <c r="A5577" s="17" t="s">
        <v>15981</v>
      </c>
      <c r="B5577" s="17" t="s">
        <v>70</v>
      </c>
      <c r="C5577" s="17" t="s">
        <v>71</v>
      </c>
      <c r="D5577" t="s">
        <v>5361</v>
      </c>
      <c r="F5577" t="s">
        <v>15982</v>
      </c>
      <c r="K5577" s="18">
        <f>6281286121338</f>
        <v>6281286121338</v>
      </c>
      <c r="N5577" s="17" t="s">
        <v>74</v>
      </c>
      <c r="U5577" s="17"/>
      <c r="V5577" s="18">
        <f>6281286121338</f>
        <v>6281286121338</v>
      </c>
      <c r="W5577" t="s">
        <v>15983</v>
      </c>
      <c r="Y5577" s="17" t="s">
        <v>567</v>
      </c>
      <c r="AA5577" s="17" t="s">
        <v>15984</v>
      </c>
    </row>
    <row r="5578" ht="15" customHeight="1" spans="1:22" x14ac:dyDescent="0.25">
      <c r="A5578" s="17" t="s">
        <v>15985</v>
      </c>
      <c r="B5578" s="17" t="s">
        <v>70</v>
      </c>
      <c r="C5578" s="17" t="s">
        <v>71</v>
      </c>
      <c r="D5578" t="s">
        <v>1303</v>
      </c>
      <c r="F5578" t="s">
        <v>1303</v>
      </c>
      <c r="K5578" s="18">
        <f>6287722255111</f>
        <v>6287722255111</v>
      </c>
      <c r="N5578" s="17" t="s">
        <v>81</v>
      </c>
      <c r="V5578" s="18">
        <f>6287722255111</f>
        <v>6287722255111</v>
      </c>
    </row>
    <row r="5579" ht="15" customHeight="1" spans="1:28" x14ac:dyDescent="0.25">
      <c r="A5579" s="17" t="s">
        <v>15986</v>
      </c>
      <c r="B5579" s="17" t="s">
        <v>70</v>
      </c>
      <c r="C5579" s="17" t="s">
        <v>71</v>
      </c>
      <c r="D5579" t="s">
        <v>1303</v>
      </c>
      <c r="F5579" t="s">
        <v>15987</v>
      </c>
      <c r="J5579" s="17" t="s">
        <v>15988</v>
      </c>
      <c r="K5579" s="18" t="s">
        <v>15989</v>
      </c>
      <c r="N5579" s="17" t="s">
        <v>77</v>
      </c>
      <c r="O5579" t="s">
        <v>199</v>
      </c>
      <c r="U5579" s="17"/>
      <c r="V5579" s="18" t="s">
        <v>15989</v>
      </c>
      <c r="W5579" t="s">
        <v>7007</v>
      </c>
      <c r="Y5579" t="s">
        <v>7939</v>
      </c>
      <c r="AA5579" t="s">
        <v>115</v>
      </c>
      <c r="AB5579" t="s">
        <v>119</v>
      </c>
    </row>
    <row r="5580" ht="15" customHeight="1" spans="1:22" x14ac:dyDescent="0.25">
      <c r="A5580" s="17" t="s">
        <v>15990</v>
      </c>
      <c r="B5580" s="17" t="s">
        <v>70</v>
      </c>
      <c r="C5580" s="17" t="s">
        <v>71</v>
      </c>
      <c r="D5580" t="s">
        <v>1303</v>
      </c>
      <c r="F5580" t="s">
        <v>15991</v>
      </c>
      <c r="J5580" s="17" t="s">
        <v>15992</v>
      </c>
      <c r="K5580" s="18">
        <f>628618680240108</f>
        <v>628618680240108</v>
      </c>
      <c r="N5580" s="17" t="s">
        <v>77</v>
      </c>
      <c r="V5580" s="18">
        <f>628618680240108</f>
        <v>628618680240108</v>
      </c>
    </row>
    <row r="5581" ht="15" customHeight="1" spans="1:22" x14ac:dyDescent="0.25">
      <c r="A5581" s="17" t="s">
        <v>15993</v>
      </c>
      <c r="B5581" s="17" t="s">
        <v>70</v>
      </c>
      <c r="C5581" s="17" t="s">
        <v>71</v>
      </c>
      <c r="D5581" t="s">
        <v>1303</v>
      </c>
      <c r="F5581" t="s">
        <v>15994</v>
      </c>
      <c r="K5581" s="18">
        <f>6282166668600</f>
        <v>6282166668600</v>
      </c>
      <c r="N5581" s="17" t="s">
        <v>77</v>
      </c>
      <c r="V5581" s="18">
        <f>6282166668600</f>
        <v>6282166668600</v>
      </c>
    </row>
    <row r="5582" ht="15" customHeight="1" spans="1:28" x14ac:dyDescent="0.25">
      <c r="A5582" s="17" t="s">
        <v>15995</v>
      </c>
      <c r="B5582" s="17" t="s">
        <v>70</v>
      </c>
      <c r="C5582" s="17" t="s">
        <v>71</v>
      </c>
      <c r="D5582" t="s">
        <v>3190</v>
      </c>
      <c r="F5582" t="s">
        <v>153</v>
      </c>
      <c r="J5582" t="s">
        <v>115</v>
      </c>
      <c r="K5582" s="18" t="s">
        <v>15996</v>
      </c>
      <c r="N5582" s="17" t="s">
        <v>77</v>
      </c>
      <c r="O5582" t="s">
        <v>489</v>
      </c>
      <c r="V5582" s="18" t="s">
        <v>15996</v>
      </c>
      <c r="Y5582" t="s">
        <v>704</v>
      </c>
      <c r="AA5582" t="s">
        <v>705</v>
      </c>
      <c r="AB5582" t="s">
        <v>119</v>
      </c>
    </row>
    <row r="5583" ht="15" customHeight="1" spans="1:22" x14ac:dyDescent="0.25">
      <c r="A5583" s="17" t="s">
        <v>15997</v>
      </c>
      <c r="B5583" s="17" t="s">
        <v>70</v>
      </c>
      <c r="C5583" s="17" t="s">
        <v>71</v>
      </c>
      <c r="D5583" t="s">
        <v>1303</v>
      </c>
      <c r="F5583" t="s">
        <v>15998</v>
      </c>
      <c r="K5583" s="18">
        <f>62817772043</f>
        <v>62817772043</v>
      </c>
      <c r="N5583" s="17" t="s">
        <v>74</v>
      </c>
      <c r="V5583" s="18">
        <f>62817772043</f>
        <v>62817772043</v>
      </c>
    </row>
    <row r="5584" ht="15" customHeight="1" spans="1:23" x14ac:dyDescent="0.25">
      <c r="A5584" s="17" t="s">
        <v>15999</v>
      </c>
      <c r="B5584" s="17" t="s">
        <v>70</v>
      </c>
      <c r="C5584" s="17" t="s">
        <v>71</v>
      </c>
      <c r="D5584" t="s">
        <v>1303</v>
      </c>
      <c r="F5584" t="s">
        <v>16000</v>
      </c>
      <c r="K5584" s="18">
        <f>8613811358076</f>
        <v>8613811358076</v>
      </c>
      <c r="N5584" s="17" t="s">
        <v>77</v>
      </c>
      <c r="U5584" s="17"/>
      <c r="V5584" s="18" t="s">
        <v>16001</v>
      </c>
      <c r="W5584" t="s">
        <v>16002</v>
      </c>
    </row>
    <row r="5585" ht="15" customHeight="1" spans="1:28" x14ac:dyDescent="0.25">
      <c r="A5585" s="17" t="s">
        <v>16003</v>
      </c>
      <c r="B5585" s="17" t="s">
        <v>70</v>
      </c>
      <c r="C5585" s="17" t="s">
        <v>71</v>
      </c>
      <c r="D5585" t="s">
        <v>1303</v>
      </c>
      <c r="F5585" t="s">
        <v>16004</v>
      </c>
      <c r="J5585" t="s">
        <v>115</v>
      </c>
      <c r="K5585" s="18" t="s">
        <v>16005</v>
      </c>
      <c r="N5585" s="17" t="s">
        <v>77</v>
      </c>
      <c r="O5585" t="s">
        <v>117</v>
      </c>
      <c r="V5585" s="18" t="s">
        <v>16005</v>
      </c>
      <c r="Y5585" t="s">
        <v>90</v>
      </c>
      <c r="AA5585" t="s">
        <v>118</v>
      </c>
      <c r="AB5585" t="s">
        <v>119</v>
      </c>
    </row>
    <row r="5586" ht="15" customHeight="1" spans="1:22" x14ac:dyDescent="0.25">
      <c r="A5586" s="17" t="s">
        <v>16006</v>
      </c>
      <c r="B5586" s="17" t="s">
        <v>70</v>
      </c>
      <c r="C5586" s="17" t="s">
        <v>71</v>
      </c>
      <c r="D5586" t="s">
        <v>16007</v>
      </c>
      <c r="F5586" t="s">
        <v>16008</v>
      </c>
      <c r="K5586" s="18">
        <f>13266795888</f>
        <v>13266795888</v>
      </c>
      <c r="N5586" s="17" t="s">
        <v>81</v>
      </c>
      <c r="V5586" s="18">
        <f>13266795888</f>
        <v>13266795888</v>
      </c>
    </row>
    <row r="5587" ht="15" customHeight="1" spans="1:28" x14ac:dyDescent="0.25">
      <c r="A5587" s="17" t="s">
        <v>16009</v>
      </c>
      <c r="B5587" s="17" t="s">
        <v>70</v>
      </c>
      <c r="C5587" s="17" t="s">
        <v>71</v>
      </c>
      <c r="D5587" t="s">
        <v>1303</v>
      </c>
      <c r="F5587" t="s">
        <v>16010</v>
      </c>
      <c r="J5587" s="17" t="s">
        <v>16011</v>
      </c>
      <c r="K5587" s="18" t="s">
        <v>16012</v>
      </c>
      <c r="N5587" s="17" t="s">
        <v>77</v>
      </c>
      <c r="O5587" t="s">
        <v>117</v>
      </c>
      <c r="V5587" s="18" t="s">
        <v>16012</v>
      </c>
      <c r="Y5587" t="s">
        <v>115</v>
      </c>
      <c r="AA5587" t="s">
        <v>115</v>
      </c>
      <c r="AB5587" t="s">
        <v>3140</v>
      </c>
    </row>
    <row r="5588" ht="15" customHeight="1" spans="1:28" x14ac:dyDescent="0.25">
      <c r="A5588" s="17" t="s">
        <v>16013</v>
      </c>
      <c r="B5588" s="17" t="s">
        <v>70</v>
      </c>
      <c r="C5588" s="17" t="s">
        <v>71</v>
      </c>
      <c r="D5588" t="s">
        <v>1303</v>
      </c>
      <c r="F5588" t="s">
        <v>16014</v>
      </c>
      <c r="J5588" s="17" t="s">
        <v>16015</v>
      </c>
      <c r="K5588" s="18" t="s">
        <v>16016</v>
      </c>
      <c r="N5588" s="17" t="s">
        <v>77</v>
      </c>
      <c r="O5588" t="s">
        <v>117</v>
      </c>
      <c r="U5588" s="17"/>
      <c r="V5588" s="18" t="s">
        <v>16016</v>
      </c>
      <c r="W5588" t="s">
        <v>3140</v>
      </c>
      <c r="Y5588" t="s">
        <v>148</v>
      </c>
      <c r="AA5588" t="s">
        <v>115</v>
      </c>
      <c r="AB5588" t="s">
        <v>148</v>
      </c>
    </row>
    <row r="5589" ht="15" customHeight="1" spans="1:23" x14ac:dyDescent="0.25">
      <c r="A5589" s="17" t="s">
        <v>16017</v>
      </c>
      <c r="B5589" s="17" t="s">
        <v>70</v>
      </c>
      <c r="C5589" s="17" t="s">
        <v>71</v>
      </c>
      <c r="D5589" t="s">
        <v>16007</v>
      </c>
      <c r="F5589" t="s">
        <v>16018</v>
      </c>
      <c r="J5589" s="17" t="s">
        <v>16019</v>
      </c>
      <c r="K5589" s="18">
        <f>85290255298</f>
        <v>85290255298</v>
      </c>
      <c r="N5589" s="17" t="s">
        <v>77</v>
      </c>
      <c r="U5589" s="17"/>
      <c r="V5589" s="18">
        <f>85290255298</f>
        <v>85290255298</v>
      </c>
      <c r="W5589" t="s">
        <v>3140</v>
      </c>
    </row>
    <row r="5590" ht="15" customHeight="1" spans="1:28" x14ac:dyDescent="0.25">
      <c r="A5590" s="17" t="s">
        <v>16020</v>
      </c>
      <c r="B5590" s="17" t="s">
        <v>70</v>
      </c>
      <c r="C5590" s="17" t="s">
        <v>71</v>
      </c>
      <c r="D5590" t="s">
        <v>1303</v>
      </c>
      <c r="F5590" t="s">
        <v>16021</v>
      </c>
      <c r="J5590" t="s">
        <v>115</v>
      </c>
      <c r="K5590" s="18" t="s">
        <v>16022</v>
      </c>
      <c r="N5590" s="17" t="s">
        <v>77</v>
      </c>
      <c r="O5590" t="s">
        <v>117</v>
      </c>
      <c r="U5590" s="17"/>
      <c r="V5590" s="18" t="s">
        <v>16022</v>
      </c>
      <c r="W5590" t="s">
        <v>3140</v>
      </c>
      <c r="Y5590" t="s">
        <v>3140</v>
      </c>
      <c r="AA5590" t="s">
        <v>115</v>
      </c>
      <c r="AB5590" t="s">
        <v>3140</v>
      </c>
    </row>
    <row r="5591" ht="15" customHeight="1" spans="1:23" x14ac:dyDescent="0.25">
      <c r="A5591" s="17" t="s">
        <v>16023</v>
      </c>
      <c r="B5591" s="17" t="s">
        <v>70</v>
      </c>
      <c r="C5591" s="17" t="s">
        <v>71</v>
      </c>
      <c r="D5591" t="s">
        <v>16024</v>
      </c>
      <c r="F5591" t="s">
        <v>16024</v>
      </c>
      <c r="K5591" s="18">
        <f>628118002499</f>
        <v>628118002499</v>
      </c>
      <c r="N5591" s="17" t="s">
        <v>81</v>
      </c>
      <c r="U5591" s="17"/>
      <c r="V5591" s="18">
        <f>628118002499</f>
        <v>628118002499</v>
      </c>
      <c r="W5591" t="s">
        <v>16025</v>
      </c>
    </row>
    <row r="5592" ht="15" customHeight="1" spans="1:23" x14ac:dyDescent="0.25">
      <c r="A5592" s="17" t="s">
        <v>16026</v>
      </c>
      <c r="B5592" s="17" t="s">
        <v>70</v>
      </c>
      <c r="C5592" s="17" t="s">
        <v>71</v>
      </c>
      <c r="D5592" t="s">
        <v>16024</v>
      </c>
      <c r="F5592" t="s">
        <v>16027</v>
      </c>
      <c r="K5592" s="18">
        <f>62878801287233</f>
        <v>62878801287233</v>
      </c>
      <c r="N5592" s="17" t="s">
        <v>77</v>
      </c>
      <c r="U5592" s="17"/>
      <c r="V5592" s="18">
        <f>62878801287233</f>
        <v>62878801287233</v>
      </c>
      <c r="W5592" t="s">
        <v>16028</v>
      </c>
    </row>
    <row r="5593" ht="15" customHeight="1" spans="1:28" x14ac:dyDescent="0.25">
      <c r="A5593" s="17" t="s">
        <v>16029</v>
      </c>
      <c r="B5593" s="17" t="s">
        <v>70</v>
      </c>
      <c r="C5593" s="17" t="s">
        <v>71</v>
      </c>
      <c r="D5593" t="s">
        <v>16024</v>
      </c>
      <c r="F5593" t="s">
        <v>16030</v>
      </c>
      <c r="J5593" t="s">
        <v>16031</v>
      </c>
      <c r="K5593" s="18" t="s">
        <v>16032</v>
      </c>
      <c r="N5593" s="17" t="s">
        <v>77</v>
      </c>
      <c r="O5593" t="s">
        <v>145</v>
      </c>
      <c r="U5593" s="17"/>
      <c r="V5593" s="18" t="s">
        <v>16032</v>
      </c>
      <c r="W5593" t="s">
        <v>16033</v>
      </c>
      <c r="Y5593" t="s">
        <v>96</v>
      </c>
      <c r="AA5593" t="s">
        <v>693</v>
      </c>
      <c r="AB5593" t="s">
        <v>119</v>
      </c>
    </row>
    <row r="5594" ht="15" customHeight="1" spans="1:28" x14ac:dyDescent="0.25">
      <c r="A5594" s="17" t="s">
        <v>16034</v>
      </c>
      <c r="B5594" s="17" t="s">
        <v>70</v>
      </c>
      <c r="C5594" s="17" t="s">
        <v>71</v>
      </c>
      <c r="D5594" t="s">
        <v>16024</v>
      </c>
      <c r="F5594" t="s">
        <v>16035</v>
      </c>
      <c r="J5594" t="s">
        <v>115</v>
      </c>
      <c r="K5594" s="18" t="s">
        <v>16036</v>
      </c>
      <c r="N5594" s="17" t="s">
        <v>77</v>
      </c>
      <c r="O5594" t="s">
        <v>199</v>
      </c>
      <c r="V5594" s="18" t="s">
        <v>16036</v>
      </c>
      <c r="Y5594" t="s">
        <v>190</v>
      </c>
      <c r="AA5594" t="s">
        <v>118</v>
      </c>
      <c r="AB5594" t="s">
        <v>119</v>
      </c>
    </row>
    <row r="5595" ht="15" customHeight="1" spans="1:25" x14ac:dyDescent="0.25">
      <c r="A5595" s="17" t="s">
        <v>16037</v>
      </c>
      <c r="B5595" s="17" t="s">
        <v>70</v>
      </c>
      <c r="C5595" s="17" t="s">
        <v>71</v>
      </c>
      <c r="D5595" t="s">
        <v>16024</v>
      </c>
      <c r="F5595" t="s">
        <v>16038</v>
      </c>
      <c r="K5595" s="18">
        <f>62817121227</f>
        <v>62817121227</v>
      </c>
      <c r="N5595" s="17" t="s">
        <v>81</v>
      </c>
      <c r="U5595" s="17"/>
      <c r="V5595" s="18">
        <f>62817121227</f>
        <v>62817121227</v>
      </c>
      <c r="W5595" t="s">
        <v>16039</v>
      </c>
      <c r="Y5595" s="17" t="s">
        <v>567</v>
      </c>
    </row>
    <row r="5596" ht="15" customHeight="1" spans="1:23" x14ac:dyDescent="0.25">
      <c r="A5596" s="17" t="s">
        <v>16040</v>
      </c>
      <c r="B5596" s="17" t="s">
        <v>70</v>
      </c>
      <c r="C5596" s="17" t="s">
        <v>71</v>
      </c>
      <c r="D5596" t="s">
        <v>16024</v>
      </c>
      <c r="F5596" t="s">
        <v>16041</v>
      </c>
      <c r="K5596" s="18">
        <f>62818764661</f>
        <v>62818764661</v>
      </c>
      <c r="N5596" s="17" t="s">
        <v>74</v>
      </c>
      <c r="U5596" s="17"/>
      <c r="V5596" s="18">
        <f>62818764661</f>
        <v>62818764661</v>
      </c>
      <c r="W5596" t="s">
        <v>16042</v>
      </c>
    </row>
    <row r="5597" ht="15" customHeight="1" spans="1:22" x14ac:dyDescent="0.25">
      <c r="A5597" s="17" t="s">
        <v>16043</v>
      </c>
      <c r="B5597" s="17" t="s">
        <v>70</v>
      </c>
      <c r="C5597" s="17" t="s">
        <v>71</v>
      </c>
      <c r="D5597" t="s">
        <v>4654</v>
      </c>
      <c r="F5597" t="s">
        <v>16044</v>
      </c>
      <c r="K5597" s="18">
        <f>62818862989</f>
        <v>62818862989</v>
      </c>
      <c r="N5597" s="17" t="s">
        <v>74</v>
      </c>
      <c r="V5597" s="18">
        <f>62818862989</f>
        <v>62818862989</v>
      </c>
    </row>
    <row r="5598" ht="15" customHeight="1" spans="1:28" x14ac:dyDescent="0.25">
      <c r="A5598" s="17" t="s">
        <v>16045</v>
      </c>
      <c r="B5598" s="17" t="s">
        <v>70</v>
      </c>
      <c r="C5598" s="17" t="s">
        <v>71</v>
      </c>
      <c r="D5598" t="s">
        <v>16046</v>
      </c>
      <c r="F5598" t="s">
        <v>16047</v>
      </c>
      <c r="J5598" t="s">
        <v>115</v>
      </c>
      <c r="K5598" s="18" t="s">
        <v>16048</v>
      </c>
      <c r="N5598" s="17" t="s">
        <v>77</v>
      </c>
      <c r="O5598" t="s">
        <v>145</v>
      </c>
      <c r="U5598" s="17"/>
      <c r="V5598" s="18" t="s">
        <v>16048</v>
      </c>
      <c r="W5598" t="s">
        <v>16049</v>
      </c>
      <c r="Y5598" t="s">
        <v>4036</v>
      </c>
      <c r="AA5598" t="s">
        <v>115</v>
      </c>
      <c r="AB5598" t="s">
        <v>4036</v>
      </c>
    </row>
    <row r="5599" ht="15" customHeight="1" spans="1:28" x14ac:dyDescent="0.25">
      <c r="A5599" s="17" t="s">
        <v>16050</v>
      </c>
      <c r="B5599" s="17" t="s">
        <v>70</v>
      </c>
      <c r="C5599" s="17" t="s">
        <v>71</v>
      </c>
      <c r="D5599" t="s">
        <v>7709</v>
      </c>
      <c r="F5599" t="s">
        <v>7709</v>
      </c>
      <c r="J5599" s="17" t="s">
        <v>16051</v>
      </c>
      <c r="K5599" s="18" t="s">
        <v>16052</v>
      </c>
      <c r="N5599" s="17" t="s">
        <v>77</v>
      </c>
      <c r="O5599" t="s">
        <v>145</v>
      </c>
      <c r="U5599" s="17"/>
      <c r="V5599" s="18" t="s">
        <v>16052</v>
      </c>
      <c r="W5599" t="s">
        <v>16053</v>
      </c>
      <c r="Y5599" t="s">
        <v>16054</v>
      </c>
      <c r="AA5599" t="s">
        <v>115</v>
      </c>
      <c r="AB5599" t="s">
        <v>119</v>
      </c>
    </row>
    <row r="5600" ht="15" customHeight="1" spans="1:28" x14ac:dyDescent="0.25">
      <c r="A5600" s="17" t="s">
        <v>16055</v>
      </c>
      <c r="B5600" s="17" t="s">
        <v>70</v>
      </c>
      <c r="C5600" s="17" t="s">
        <v>71</v>
      </c>
      <c r="D5600" t="s">
        <v>7709</v>
      </c>
      <c r="F5600" t="s">
        <v>16056</v>
      </c>
      <c r="J5600" t="s">
        <v>115</v>
      </c>
      <c r="K5600" s="18" t="s">
        <v>616</v>
      </c>
      <c r="N5600" s="17" t="s">
        <v>74</v>
      </c>
      <c r="O5600" t="s">
        <v>117</v>
      </c>
      <c r="V5600" s="18" t="s">
        <v>616</v>
      </c>
      <c r="Y5600" t="s">
        <v>90</v>
      </c>
      <c r="AA5600" t="s">
        <v>118</v>
      </c>
      <c r="AB5600" t="s">
        <v>119</v>
      </c>
    </row>
    <row r="5601" ht="15" customHeight="1" spans="1:25" x14ac:dyDescent="0.25">
      <c r="A5601" s="17" t="s">
        <v>16057</v>
      </c>
      <c r="B5601" s="17" t="s">
        <v>70</v>
      </c>
      <c r="C5601" s="17" t="s">
        <v>71</v>
      </c>
      <c r="D5601" t="s">
        <v>16058</v>
      </c>
      <c r="F5601" t="s">
        <v>16058</v>
      </c>
      <c r="K5601" s="18">
        <f>62215276834</f>
        <v>62215276834</v>
      </c>
      <c r="N5601" s="17" t="s">
        <v>77</v>
      </c>
      <c r="U5601" s="17"/>
      <c r="V5601" s="18">
        <f>62215276834</f>
        <v>62215276834</v>
      </c>
      <c r="W5601" t="s">
        <v>16059</v>
      </c>
      <c r="Y5601" s="17" t="s">
        <v>96</v>
      </c>
    </row>
    <row r="5602" ht="15" customHeight="1" spans="1:28" x14ac:dyDescent="0.25">
      <c r="A5602" s="17" t="s">
        <v>16060</v>
      </c>
      <c r="B5602" s="17" t="s">
        <v>70</v>
      </c>
      <c r="C5602" s="17" t="s">
        <v>71</v>
      </c>
      <c r="D5602" t="s">
        <v>16061</v>
      </c>
      <c r="F5602" t="s">
        <v>5408</v>
      </c>
      <c r="J5602" s="17" t="s">
        <v>16062</v>
      </c>
      <c r="K5602" s="18" t="s">
        <v>16063</v>
      </c>
      <c r="N5602" s="17" t="s">
        <v>77</v>
      </c>
      <c r="O5602" t="s">
        <v>145</v>
      </c>
      <c r="V5602" s="18" t="s">
        <v>16063</v>
      </c>
      <c r="Y5602" t="s">
        <v>190</v>
      </c>
      <c r="AA5602" t="s">
        <v>118</v>
      </c>
      <c r="AB5602" t="s">
        <v>119</v>
      </c>
    </row>
    <row r="5603" ht="15" customHeight="1" spans="1:25" x14ac:dyDescent="0.25">
      <c r="A5603" s="17" t="s">
        <v>16064</v>
      </c>
      <c r="B5603" s="17" t="s">
        <v>70</v>
      </c>
      <c r="C5603" s="17" t="s">
        <v>71</v>
      </c>
      <c r="D5603" t="s">
        <v>16061</v>
      </c>
      <c r="F5603" t="s">
        <v>16065</v>
      </c>
      <c r="K5603" s="18">
        <f>62816963228</f>
        <v>62816963228</v>
      </c>
      <c r="N5603" s="17" t="s">
        <v>77</v>
      </c>
      <c r="U5603" s="17"/>
      <c r="V5603" s="18">
        <f>62816963228</f>
        <v>62816963228</v>
      </c>
      <c r="W5603" t="s">
        <v>16066</v>
      </c>
      <c r="Y5603" s="17" t="s">
        <v>378</v>
      </c>
    </row>
    <row r="5604" ht="15" customHeight="1" spans="1:25" x14ac:dyDescent="0.25">
      <c r="A5604" s="17" t="s">
        <v>16067</v>
      </c>
      <c r="B5604" s="17" t="s">
        <v>70</v>
      </c>
      <c r="C5604" s="17" t="s">
        <v>71</v>
      </c>
      <c r="D5604" t="s">
        <v>16061</v>
      </c>
      <c r="F5604" t="s">
        <v>16068</v>
      </c>
      <c r="K5604" s="18" t="s">
        <v>16069</v>
      </c>
      <c r="N5604" s="17" t="s">
        <v>77</v>
      </c>
      <c r="U5604" s="17"/>
      <c r="V5604" s="18" t="s">
        <v>16069</v>
      </c>
      <c r="W5604" t="s">
        <v>16070</v>
      </c>
      <c r="Y5604" s="17" t="s">
        <v>1084</v>
      </c>
    </row>
    <row r="5605" ht="15" customHeight="1" spans="1:22" x14ac:dyDescent="0.25">
      <c r="A5605" s="17" t="s">
        <v>16071</v>
      </c>
      <c r="B5605" s="17" t="s">
        <v>70</v>
      </c>
      <c r="C5605" s="17" t="s">
        <v>71</v>
      </c>
      <c r="D5605" t="s">
        <v>16072</v>
      </c>
      <c r="F5605" t="s">
        <v>16073</v>
      </c>
      <c r="K5605" s="18">
        <f>628569808218</f>
        <v>628569808218</v>
      </c>
      <c r="N5605" s="17" t="s">
        <v>77</v>
      </c>
      <c r="V5605" s="18">
        <f>628569808218</f>
        <v>628569808218</v>
      </c>
    </row>
    <row r="5606" ht="15" customHeight="1" spans="1:22" x14ac:dyDescent="0.25">
      <c r="A5606" s="17" t="s">
        <v>16074</v>
      </c>
      <c r="B5606" s="17" t="s">
        <v>70</v>
      </c>
      <c r="C5606" s="17" t="s">
        <v>71</v>
      </c>
      <c r="D5606" t="s">
        <v>16075</v>
      </c>
      <c r="F5606" t="s">
        <v>16076</v>
      </c>
      <c r="J5606" s="17" t="s">
        <v>16077</v>
      </c>
      <c r="K5606" s="18">
        <f>6281555602299</f>
        <v>6281555602299</v>
      </c>
      <c r="N5606" s="17" t="s">
        <v>74</v>
      </c>
      <c r="V5606" s="18">
        <f>6281555602299</f>
        <v>6281555602299</v>
      </c>
    </row>
    <row r="5607" ht="15" customHeight="1" spans="1:22" x14ac:dyDescent="0.25">
      <c r="A5607" s="17" t="s">
        <v>16078</v>
      </c>
      <c r="B5607" s="17" t="s">
        <v>70</v>
      </c>
      <c r="C5607" s="17" t="s">
        <v>71</v>
      </c>
      <c r="D5607" t="s">
        <v>4833</v>
      </c>
      <c r="F5607" t="s">
        <v>4833</v>
      </c>
      <c r="K5607" s="18">
        <f>62816700842</f>
        <v>62816700842</v>
      </c>
      <c r="N5607" s="17" t="s">
        <v>74</v>
      </c>
      <c r="V5607" s="18">
        <f>62816700842</f>
        <v>62816700842</v>
      </c>
    </row>
    <row r="5608" ht="15" customHeight="1" spans="1:22" x14ac:dyDescent="0.25">
      <c r="A5608" s="17" t="s">
        <v>16079</v>
      </c>
      <c r="B5608" s="17" t="s">
        <v>70</v>
      </c>
      <c r="C5608" s="17" t="s">
        <v>71</v>
      </c>
      <c r="D5608" t="s">
        <v>4833</v>
      </c>
      <c r="F5608" t="s">
        <v>16080</v>
      </c>
      <c r="K5608" s="18">
        <f>62816963326</f>
        <v>62816963326</v>
      </c>
      <c r="N5608" s="17" t="s">
        <v>77</v>
      </c>
      <c r="V5608" s="18">
        <f>62816963326</f>
        <v>62816963326</v>
      </c>
    </row>
    <row r="5609" ht="15" customHeight="1" spans="1:28" x14ac:dyDescent="0.25">
      <c r="A5609" s="17" t="s">
        <v>16081</v>
      </c>
      <c r="B5609" s="17" t="s">
        <v>70</v>
      </c>
      <c r="C5609" s="17" t="s">
        <v>71</v>
      </c>
      <c r="D5609" t="s">
        <v>4833</v>
      </c>
      <c r="F5609" t="s">
        <v>16082</v>
      </c>
      <c r="J5609" t="s">
        <v>115</v>
      </c>
      <c r="K5609" s="18" t="s">
        <v>16083</v>
      </c>
      <c r="N5609" s="17" t="s">
        <v>74</v>
      </c>
      <c r="O5609" t="s">
        <v>489</v>
      </c>
      <c r="V5609" s="18" t="s">
        <v>16083</v>
      </c>
      <c r="Y5609" t="s">
        <v>90</v>
      </c>
      <c r="AA5609" t="s">
        <v>118</v>
      </c>
      <c r="AB5609" t="s">
        <v>119</v>
      </c>
    </row>
    <row r="5610" ht="15" customHeight="1" spans="1:22" x14ac:dyDescent="0.25">
      <c r="A5610" s="17" t="s">
        <v>16084</v>
      </c>
      <c r="B5610" s="17" t="s">
        <v>70</v>
      </c>
      <c r="C5610" s="17" t="s">
        <v>71</v>
      </c>
      <c r="D5610" t="s">
        <v>824</v>
      </c>
      <c r="F5610" t="s">
        <v>824</v>
      </c>
      <c r="K5610" s="18">
        <f>62817125252</f>
        <v>62817125252</v>
      </c>
      <c r="N5610" s="17" t="s">
        <v>77</v>
      </c>
      <c r="V5610" s="18">
        <f>62817125252</f>
        <v>62817125252</v>
      </c>
    </row>
    <row r="5611" ht="15" customHeight="1" spans="1:22" x14ac:dyDescent="0.25">
      <c r="A5611" s="17" t="s">
        <v>16085</v>
      </c>
      <c r="B5611" s="17" t="s">
        <v>70</v>
      </c>
      <c r="C5611" s="17" t="s">
        <v>71</v>
      </c>
      <c r="D5611" t="s">
        <v>824</v>
      </c>
      <c r="F5611" t="s">
        <v>16086</v>
      </c>
      <c r="K5611" s="18">
        <f>628123844546</f>
        <v>628123844546</v>
      </c>
      <c r="N5611" s="17" t="s">
        <v>77</v>
      </c>
      <c r="V5611" s="18">
        <f>628123844546</f>
        <v>628123844546</v>
      </c>
    </row>
    <row r="5612" ht="15" customHeight="1" spans="1:28" x14ac:dyDescent="0.25">
      <c r="A5612" s="17" t="s">
        <v>16087</v>
      </c>
      <c r="B5612" s="17" t="s">
        <v>70</v>
      </c>
      <c r="C5612" s="17" t="s">
        <v>71</v>
      </c>
      <c r="D5612" t="s">
        <v>824</v>
      </c>
      <c r="F5612" t="s">
        <v>1730</v>
      </c>
      <c r="J5612" s="17" t="s">
        <v>16088</v>
      </c>
      <c r="K5612" s="18" t="s">
        <v>16089</v>
      </c>
      <c r="N5612" s="17" t="s">
        <v>77</v>
      </c>
      <c r="O5612" t="s">
        <v>145</v>
      </c>
      <c r="V5612" s="18" t="s">
        <v>16089</v>
      </c>
      <c r="Y5612" t="s">
        <v>90</v>
      </c>
      <c r="AA5612" t="s">
        <v>118</v>
      </c>
      <c r="AB5612" t="s">
        <v>119</v>
      </c>
    </row>
    <row r="5613" ht="15" customHeight="1" spans="1:22" x14ac:dyDescent="0.25">
      <c r="A5613" s="17" t="s">
        <v>16090</v>
      </c>
      <c r="B5613" s="17" t="s">
        <v>70</v>
      </c>
      <c r="C5613" s="17" t="s">
        <v>71</v>
      </c>
      <c r="D5613" t="s">
        <v>16091</v>
      </c>
      <c r="F5613" t="s">
        <v>16091</v>
      </c>
      <c r="K5613" s="18">
        <f>62811711877</f>
        <v>62811711877</v>
      </c>
      <c r="N5613" s="17" t="s">
        <v>81</v>
      </c>
      <c r="V5613" s="18">
        <f>62811711877</f>
        <v>62811711877</v>
      </c>
    </row>
    <row r="5614" ht="15" customHeight="1" spans="1:22" x14ac:dyDescent="0.25">
      <c r="A5614" s="17" t="s">
        <v>16092</v>
      </c>
      <c r="B5614" s="17" t="s">
        <v>70</v>
      </c>
      <c r="C5614" s="17" t="s">
        <v>71</v>
      </c>
      <c r="D5614" t="s">
        <v>16093</v>
      </c>
      <c r="F5614" t="s">
        <v>16093</v>
      </c>
      <c r="K5614" s="18">
        <f>6281514688888</f>
        <v>6281514688888</v>
      </c>
      <c r="N5614" s="17" t="s">
        <v>77</v>
      </c>
      <c r="V5614" s="18">
        <f>6281514688888</f>
        <v>6281514688888</v>
      </c>
    </row>
    <row r="5615" ht="15" customHeight="1" spans="1:22" x14ac:dyDescent="0.25">
      <c r="A5615" s="17" t="s">
        <v>16094</v>
      </c>
      <c r="B5615" s="17" t="s">
        <v>70</v>
      </c>
      <c r="C5615" s="17" t="s">
        <v>71</v>
      </c>
      <c r="D5615" t="s">
        <v>16093</v>
      </c>
      <c r="F5615" t="s">
        <v>16093</v>
      </c>
      <c r="K5615" s="18">
        <f>628179350752</f>
        <v>628179350752</v>
      </c>
      <c r="N5615" s="17" t="s">
        <v>77</v>
      </c>
      <c r="V5615" s="18">
        <f>628179350752</f>
        <v>628179350752</v>
      </c>
    </row>
    <row r="5616" ht="15" customHeight="1" spans="1:22" x14ac:dyDescent="0.25">
      <c r="A5616" s="17" t="s">
        <v>16095</v>
      </c>
      <c r="B5616" s="17" t="s">
        <v>70</v>
      </c>
      <c r="C5616" s="17" t="s">
        <v>71</v>
      </c>
      <c r="D5616" t="s">
        <v>16093</v>
      </c>
      <c r="F5616" t="s">
        <v>16096</v>
      </c>
      <c r="J5616" s="17" t="s">
        <v>16097</v>
      </c>
      <c r="K5616" s="18">
        <f>62811763900</f>
        <v>62811763900</v>
      </c>
      <c r="N5616" s="17" t="s">
        <v>81</v>
      </c>
      <c r="V5616" s="18">
        <f>62811763900</f>
        <v>62811763900</v>
      </c>
    </row>
    <row r="5617" ht="15" customHeight="1" spans="1:22" x14ac:dyDescent="0.25">
      <c r="A5617" s="17" t="s">
        <v>16098</v>
      </c>
      <c r="B5617" s="17" t="s">
        <v>70</v>
      </c>
      <c r="C5617" s="17" t="s">
        <v>71</v>
      </c>
      <c r="D5617" t="s">
        <v>16093</v>
      </c>
      <c r="F5617" t="s">
        <v>4479</v>
      </c>
      <c r="K5617" s="18">
        <f>628122115012</f>
        <v>628122115012</v>
      </c>
      <c r="N5617" s="17" t="s">
        <v>81</v>
      </c>
      <c r="V5617" s="18">
        <f>628122115012</f>
        <v>628122115012</v>
      </c>
    </row>
    <row r="5618" ht="15" customHeight="1" spans="1:28" x14ac:dyDescent="0.25">
      <c r="A5618" s="17" t="s">
        <v>16099</v>
      </c>
      <c r="B5618" s="17" t="s">
        <v>70</v>
      </c>
      <c r="C5618" s="17" t="s">
        <v>71</v>
      </c>
      <c r="D5618" t="s">
        <v>16093</v>
      </c>
      <c r="F5618" t="s">
        <v>1064</v>
      </c>
      <c r="J5618" t="s">
        <v>115</v>
      </c>
      <c r="K5618" s="18" t="s">
        <v>16100</v>
      </c>
      <c r="N5618" s="17" t="s">
        <v>77</v>
      </c>
      <c r="O5618" t="s">
        <v>145</v>
      </c>
      <c r="V5618" s="18" t="s">
        <v>16100</v>
      </c>
      <c r="Y5618" t="s">
        <v>90</v>
      </c>
      <c r="AA5618" t="s">
        <v>118</v>
      </c>
      <c r="AB5618" t="s">
        <v>119</v>
      </c>
    </row>
    <row r="5619" ht="15" customHeight="1" spans="1:23" x14ac:dyDescent="0.25">
      <c r="A5619" s="17" t="s">
        <v>16101</v>
      </c>
      <c r="B5619" s="17" t="s">
        <v>70</v>
      </c>
      <c r="C5619" s="17" t="s">
        <v>71</v>
      </c>
      <c r="D5619" t="s">
        <v>16093</v>
      </c>
      <c r="F5619" t="s">
        <v>1064</v>
      </c>
      <c r="J5619" s="17" t="s">
        <v>16102</v>
      </c>
      <c r="K5619" s="18">
        <f>62817848150</f>
        <v>62817848150</v>
      </c>
      <c r="N5619" s="17" t="s">
        <v>81</v>
      </c>
      <c r="U5619" s="17"/>
      <c r="V5619" s="18">
        <f>62817848150</f>
        <v>62817848150</v>
      </c>
      <c r="W5619" t="s">
        <v>16103</v>
      </c>
    </row>
    <row r="5620" ht="15" customHeight="1" spans="1:22" x14ac:dyDescent="0.25">
      <c r="A5620" s="17" t="s">
        <v>16104</v>
      </c>
      <c r="B5620" s="17" t="s">
        <v>70</v>
      </c>
      <c r="C5620" s="17" t="s">
        <v>71</v>
      </c>
      <c r="D5620" t="s">
        <v>16093</v>
      </c>
      <c r="F5620" t="s">
        <v>16105</v>
      </c>
      <c r="K5620" s="18">
        <f>6281313061888</f>
        <v>6281313061888</v>
      </c>
      <c r="N5620" s="17" t="s">
        <v>77</v>
      </c>
      <c r="V5620" s="18">
        <f>6281313061888</f>
        <v>6281313061888</v>
      </c>
    </row>
    <row r="5621" ht="15" customHeight="1" spans="1:22" x14ac:dyDescent="0.25">
      <c r="A5621" s="17" t="s">
        <v>16106</v>
      </c>
      <c r="B5621" s="17" t="s">
        <v>70</v>
      </c>
      <c r="C5621" s="17" t="s">
        <v>71</v>
      </c>
      <c r="D5621" t="s">
        <v>16093</v>
      </c>
      <c r="F5621" t="s">
        <v>16107</v>
      </c>
      <c r="K5621" s="18">
        <f>628118448863</f>
        <v>628118448863</v>
      </c>
      <c r="N5621" s="17" t="s">
        <v>77</v>
      </c>
      <c r="V5621" s="18">
        <f>628118448863</f>
        <v>628118448863</v>
      </c>
    </row>
    <row r="5622" ht="15" customHeight="1" spans="1:28" x14ac:dyDescent="0.25">
      <c r="A5622" s="17" t="s">
        <v>16108</v>
      </c>
      <c r="B5622" s="17" t="s">
        <v>70</v>
      </c>
      <c r="C5622" s="17" t="s">
        <v>71</v>
      </c>
      <c r="D5622" t="s">
        <v>16093</v>
      </c>
      <c r="F5622" t="s">
        <v>153</v>
      </c>
      <c r="J5622" t="s">
        <v>115</v>
      </c>
      <c r="K5622" s="18" t="s">
        <v>16109</v>
      </c>
      <c r="N5622" s="17" t="s">
        <v>77</v>
      </c>
      <c r="O5622" t="s">
        <v>145</v>
      </c>
      <c r="V5622" s="18" t="s">
        <v>16109</v>
      </c>
      <c r="Y5622" t="s">
        <v>190</v>
      </c>
      <c r="AA5622" t="s">
        <v>118</v>
      </c>
      <c r="AB5622" t="s">
        <v>119</v>
      </c>
    </row>
    <row r="5623" ht="15" customHeight="1" spans="1:28" x14ac:dyDescent="0.25">
      <c r="A5623" s="17" t="s">
        <v>16110</v>
      </c>
      <c r="B5623" s="17" t="s">
        <v>70</v>
      </c>
      <c r="C5623" s="17" t="s">
        <v>71</v>
      </c>
      <c r="D5623" t="s">
        <v>16111</v>
      </c>
      <c r="F5623" t="s">
        <v>16112</v>
      </c>
      <c r="J5623" s="17" t="s">
        <v>16113</v>
      </c>
      <c r="K5623" s="18" t="s">
        <v>16114</v>
      </c>
      <c r="N5623" s="17" t="s">
        <v>77</v>
      </c>
      <c r="O5623" t="s">
        <v>199</v>
      </c>
      <c r="V5623" s="18" t="s">
        <v>16114</v>
      </c>
      <c r="Y5623" t="s">
        <v>115</v>
      </c>
      <c r="AA5623" t="s">
        <v>115</v>
      </c>
      <c r="AB5623" t="s">
        <v>2356</v>
      </c>
    </row>
    <row r="5624" ht="15" customHeight="1" spans="1:22" x14ac:dyDescent="0.25">
      <c r="A5624" s="17" t="s">
        <v>16115</v>
      </c>
      <c r="B5624" s="17" t="s">
        <v>70</v>
      </c>
      <c r="C5624" s="17" t="s">
        <v>71</v>
      </c>
      <c r="D5624" t="s">
        <v>16116</v>
      </c>
      <c r="F5624" t="s">
        <v>14878</v>
      </c>
      <c r="K5624" s="18">
        <f>6281511593029</f>
        <v>6281511593029</v>
      </c>
      <c r="N5624" s="17" t="s">
        <v>77</v>
      </c>
      <c r="V5624" s="18">
        <f>6281511593029</f>
        <v>6281511593029</v>
      </c>
    </row>
    <row r="5625" ht="15" customHeight="1" spans="1:28" x14ac:dyDescent="0.25">
      <c r="A5625" s="17" t="s">
        <v>16117</v>
      </c>
      <c r="B5625" s="17" t="s">
        <v>70</v>
      </c>
      <c r="C5625" s="17" t="s">
        <v>71</v>
      </c>
      <c r="D5625" t="s">
        <v>16118</v>
      </c>
      <c r="F5625" t="s">
        <v>16118</v>
      </c>
      <c r="J5625" t="s">
        <v>115</v>
      </c>
      <c r="K5625" s="18" t="s">
        <v>16119</v>
      </c>
      <c r="N5625" s="17" t="s">
        <v>81</v>
      </c>
      <c r="O5625" t="s">
        <v>117</v>
      </c>
      <c r="V5625" s="18" t="s">
        <v>16119</v>
      </c>
      <c r="Y5625" t="s">
        <v>190</v>
      </c>
      <c r="AA5625" t="s">
        <v>118</v>
      </c>
      <c r="AB5625" t="s">
        <v>119</v>
      </c>
    </row>
    <row r="5626" ht="15" customHeight="1" spans="1:22" x14ac:dyDescent="0.25">
      <c r="A5626" s="17" t="s">
        <v>16120</v>
      </c>
      <c r="B5626" s="17" t="s">
        <v>70</v>
      </c>
      <c r="C5626" s="17" t="s">
        <v>71</v>
      </c>
      <c r="D5626" t="s">
        <v>16118</v>
      </c>
      <c r="F5626" t="s">
        <v>16121</v>
      </c>
      <c r="K5626" s="18">
        <f>6281808398615</f>
        <v>6281808398615</v>
      </c>
      <c r="N5626" s="17" t="s">
        <v>77</v>
      </c>
      <c r="V5626" s="18">
        <f>6281808398615</f>
        <v>6281808398615</v>
      </c>
    </row>
    <row r="5627" ht="15" customHeight="1" spans="1:28" x14ac:dyDescent="0.25">
      <c r="A5627" s="17" t="s">
        <v>16122</v>
      </c>
      <c r="B5627" s="17" t="s">
        <v>70</v>
      </c>
      <c r="C5627" s="17" t="s">
        <v>71</v>
      </c>
      <c r="D5627" t="s">
        <v>16118</v>
      </c>
      <c r="F5627" t="s">
        <v>16123</v>
      </c>
      <c r="J5627" t="s">
        <v>115</v>
      </c>
      <c r="K5627" s="18" t="s">
        <v>16124</v>
      </c>
      <c r="N5627" s="17" t="s">
        <v>77</v>
      </c>
      <c r="O5627" t="s">
        <v>199</v>
      </c>
      <c r="V5627" s="18" t="s">
        <v>16124</v>
      </c>
      <c r="Y5627" t="s">
        <v>90</v>
      </c>
      <c r="AA5627" t="s">
        <v>118</v>
      </c>
      <c r="AB5627" t="s">
        <v>119</v>
      </c>
    </row>
    <row r="5628" ht="15" customHeight="1" spans="1:22" x14ac:dyDescent="0.25">
      <c r="A5628" s="17" t="s">
        <v>16125</v>
      </c>
      <c r="B5628" s="17" t="s">
        <v>70</v>
      </c>
      <c r="C5628" s="17" t="s">
        <v>71</v>
      </c>
      <c r="D5628" t="s">
        <v>16118</v>
      </c>
      <c r="F5628" t="s">
        <v>9553</v>
      </c>
      <c r="K5628" s="18">
        <f>6285633011330</f>
        <v>6285633011330</v>
      </c>
      <c r="N5628" s="17" t="s">
        <v>81</v>
      </c>
      <c r="V5628" s="18">
        <f>6285633011330</f>
        <v>6285633011330</v>
      </c>
    </row>
    <row r="5629" ht="15" customHeight="1" spans="1:22" x14ac:dyDescent="0.25">
      <c r="A5629" s="17" t="s">
        <v>16126</v>
      </c>
      <c r="B5629" s="17" t="s">
        <v>70</v>
      </c>
      <c r="C5629" s="17" t="s">
        <v>71</v>
      </c>
      <c r="D5629" t="s">
        <v>16118</v>
      </c>
      <c r="F5629" t="s">
        <v>7709</v>
      </c>
      <c r="K5629" s="18">
        <f>6281905527031</f>
        <v>6281905527031</v>
      </c>
      <c r="N5629" s="17" t="s">
        <v>74</v>
      </c>
      <c r="V5629" s="18">
        <f>6281905527031</f>
        <v>6281905527031</v>
      </c>
    </row>
    <row r="5630" ht="15" customHeight="1" spans="1:28" x14ac:dyDescent="0.25">
      <c r="A5630" s="17" t="s">
        <v>16127</v>
      </c>
      <c r="B5630" s="17" t="s">
        <v>70</v>
      </c>
      <c r="C5630" s="17" t="s">
        <v>71</v>
      </c>
      <c r="D5630" t="s">
        <v>16128</v>
      </c>
      <c r="F5630" t="s">
        <v>2345</v>
      </c>
      <c r="J5630" s="17" t="s">
        <v>16129</v>
      </c>
      <c r="K5630" s="18" t="s">
        <v>16130</v>
      </c>
      <c r="N5630" s="17" t="s">
        <v>77</v>
      </c>
      <c r="O5630" t="s">
        <v>261</v>
      </c>
      <c r="U5630" s="17"/>
      <c r="V5630" s="18" t="s">
        <v>16130</v>
      </c>
      <c r="W5630" t="s">
        <v>16131</v>
      </c>
      <c r="Y5630" t="s">
        <v>96</v>
      </c>
      <c r="AA5630" t="s">
        <v>693</v>
      </c>
      <c r="AB5630" t="s">
        <v>119</v>
      </c>
    </row>
    <row r="5631" ht="15" customHeight="1" spans="1:22" x14ac:dyDescent="0.25">
      <c r="A5631" s="17" t="s">
        <v>16132</v>
      </c>
      <c r="B5631" s="17" t="s">
        <v>70</v>
      </c>
      <c r="C5631" s="17" t="s">
        <v>71</v>
      </c>
      <c r="D5631" t="s">
        <v>16128</v>
      </c>
      <c r="F5631" t="s">
        <v>16133</v>
      </c>
      <c r="K5631" s="18">
        <f>628111772900</f>
        <v>628111772900</v>
      </c>
      <c r="N5631" s="17" t="s">
        <v>81</v>
      </c>
      <c r="V5631" s="18">
        <f>628111772900</f>
        <v>628111772900</v>
      </c>
    </row>
    <row r="5632" ht="15" customHeight="1" spans="1:28" x14ac:dyDescent="0.25">
      <c r="A5632" s="17" t="s">
        <v>16134</v>
      </c>
      <c r="B5632" s="17" t="s">
        <v>70</v>
      </c>
      <c r="C5632" s="17" t="s">
        <v>71</v>
      </c>
      <c r="D5632" t="s">
        <v>16135</v>
      </c>
      <c r="F5632" t="s">
        <v>16136</v>
      </c>
      <c r="J5632" t="s">
        <v>115</v>
      </c>
      <c r="K5632" s="18" t="s">
        <v>16137</v>
      </c>
      <c r="N5632" s="17" t="s">
        <v>77</v>
      </c>
      <c r="O5632" t="s">
        <v>117</v>
      </c>
      <c r="V5632" s="18" t="s">
        <v>16137</v>
      </c>
      <c r="Y5632" t="s">
        <v>190</v>
      </c>
      <c r="AA5632" t="s">
        <v>118</v>
      </c>
      <c r="AB5632" t="s">
        <v>119</v>
      </c>
    </row>
    <row r="5633" ht="15" customHeight="1" spans="1:28" x14ac:dyDescent="0.25">
      <c r="A5633" s="17" t="s">
        <v>16138</v>
      </c>
      <c r="B5633" s="17" t="s">
        <v>70</v>
      </c>
      <c r="C5633" s="17" t="s">
        <v>71</v>
      </c>
      <c r="D5633" t="s">
        <v>16139</v>
      </c>
      <c r="F5633" t="s">
        <v>16139</v>
      </c>
      <c r="J5633" t="s">
        <v>115</v>
      </c>
      <c r="K5633" s="18" t="s">
        <v>16140</v>
      </c>
      <c r="N5633" s="17" t="s">
        <v>77</v>
      </c>
      <c r="O5633" t="s">
        <v>199</v>
      </c>
      <c r="V5633" s="18" t="s">
        <v>16140</v>
      </c>
      <c r="Y5633" t="s">
        <v>90</v>
      </c>
      <c r="AA5633" t="s">
        <v>118</v>
      </c>
      <c r="AB5633" t="s">
        <v>119</v>
      </c>
    </row>
    <row r="5634" ht="15" customHeight="1" spans="1:27" x14ac:dyDescent="0.25">
      <c r="A5634" s="17" t="s">
        <v>16141</v>
      </c>
      <c r="B5634" s="17" t="s">
        <v>70</v>
      </c>
      <c r="C5634" s="17" t="s">
        <v>71</v>
      </c>
      <c r="D5634" t="s">
        <v>16142</v>
      </c>
      <c r="F5634" t="s">
        <v>4821</v>
      </c>
      <c r="K5634" s="18">
        <f>628161901717</f>
        <v>628161901717</v>
      </c>
      <c r="N5634" s="17" t="s">
        <v>77</v>
      </c>
      <c r="U5634" s="17"/>
      <c r="V5634" s="18">
        <f>628161901717</f>
        <v>628161901717</v>
      </c>
      <c r="W5634" t="s">
        <v>16143</v>
      </c>
      <c r="Y5634" s="17" t="s">
        <v>217</v>
      </c>
      <c r="AA5634" s="17" t="s">
        <v>16144</v>
      </c>
    </row>
    <row r="5635" ht="15" customHeight="1" spans="1:22" x14ac:dyDescent="0.25">
      <c r="A5635" s="17" t="s">
        <v>16145</v>
      </c>
      <c r="B5635" s="17" t="s">
        <v>70</v>
      </c>
      <c r="C5635" s="17" t="s">
        <v>71</v>
      </c>
      <c r="D5635" t="s">
        <v>2912</v>
      </c>
      <c r="F5635" t="s">
        <v>2912</v>
      </c>
      <c r="K5635" s="18">
        <f>6281283453975</f>
        <v>6281283453975</v>
      </c>
      <c r="N5635" s="17" t="s">
        <v>74</v>
      </c>
      <c r="V5635" s="18">
        <f>6281283453975</f>
        <v>6281283453975</v>
      </c>
    </row>
    <row r="5636" ht="15" customHeight="1" spans="1:27" x14ac:dyDescent="0.25">
      <c r="A5636" s="17" t="s">
        <v>16146</v>
      </c>
      <c r="B5636" s="17" t="s">
        <v>70</v>
      </c>
      <c r="C5636" s="17" t="s">
        <v>71</v>
      </c>
      <c r="D5636" t="s">
        <v>2912</v>
      </c>
      <c r="F5636" t="s">
        <v>16147</v>
      </c>
      <c r="K5636" s="18">
        <f>62811911808</f>
        <v>62811911808</v>
      </c>
      <c r="N5636" s="17" t="s">
        <v>81</v>
      </c>
      <c r="U5636" s="17"/>
      <c r="V5636" s="18">
        <f>62811911808</f>
        <v>62811911808</v>
      </c>
      <c r="W5636" t="s">
        <v>16148</v>
      </c>
      <c r="Y5636" s="17" t="s">
        <v>6412</v>
      </c>
      <c r="AA5636" s="17">
        <v>12170</v>
      </c>
    </row>
    <row r="5637" ht="15" customHeight="1" spans="1:23" x14ac:dyDescent="0.25">
      <c r="A5637" s="17" t="s">
        <v>16149</v>
      </c>
      <c r="B5637" s="17" t="s">
        <v>70</v>
      </c>
      <c r="C5637" s="17" t="s">
        <v>71</v>
      </c>
      <c r="D5637" t="s">
        <v>2912</v>
      </c>
      <c r="F5637" t="s">
        <v>3898</v>
      </c>
      <c r="K5637" s="18">
        <f>17122022</f>
        <v>17122022</v>
      </c>
      <c r="N5637" s="17" t="s">
        <v>77</v>
      </c>
      <c r="U5637" s="17"/>
      <c r="V5637" s="18">
        <f>17122022</f>
        <v>17122022</v>
      </c>
      <c r="W5637" t="s">
        <v>930</v>
      </c>
    </row>
    <row r="5638" ht="15" customHeight="1" spans="1:28" x14ac:dyDescent="0.25">
      <c r="A5638" s="17" t="s">
        <v>16150</v>
      </c>
      <c r="B5638" s="17" t="s">
        <v>70</v>
      </c>
      <c r="C5638" s="17" t="s">
        <v>71</v>
      </c>
      <c r="D5638" t="s">
        <v>2912</v>
      </c>
      <c r="F5638" t="s">
        <v>9486</v>
      </c>
      <c r="J5638" t="s">
        <v>115</v>
      </c>
      <c r="K5638" s="18" t="s">
        <v>16151</v>
      </c>
      <c r="N5638" s="17" t="s">
        <v>77</v>
      </c>
      <c r="O5638" t="s">
        <v>489</v>
      </c>
      <c r="U5638" s="17"/>
      <c r="V5638" s="18" t="s">
        <v>16151</v>
      </c>
      <c r="W5638" t="s">
        <v>16152</v>
      </c>
      <c r="Y5638" s="17" t="s">
        <v>96</v>
      </c>
      <c r="AA5638" s="17" t="s">
        <v>693</v>
      </c>
      <c r="AB5638" t="s">
        <v>119</v>
      </c>
    </row>
    <row r="5639" ht="15" customHeight="1" spans="1:28" x14ac:dyDescent="0.25">
      <c r="A5639" s="17" t="s">
        <v>16153</v>
      </c>
      <c r="B5639" s="17" t="s">
        <v>70</v>
      </c>
      <c r="C5639" s="17" t="s">
        <v>71</v>
      </c>
      <c r="D5639" t="s">
        <v>2912</v>
      </c>
      <c r="F5639" t="s">
        <v>1754</v>
      </c>
      <c r="J5639" t="s">
        <v>115</v>
      </c>
      <c r="K5639" s="18" t="s">
        <v>16154</v>
      </c>
      <c r="N5639" s="17" t="s">
        <v>77</v>
      </c>
      <c r="O5639" t="s">
        <v>489</v>
      </c>
      <c r="U5639" s="17"/>
      <c r="V5639" s="18" t="s">
        <v>16154</v>
      </c>
      <c r="W5639" t="s">
        <v>16155</v>
      </c>
      <c r="Y5639" t="s">
        <v>90</v>
      </c>
      <c r="AA5639" t="s">
        <v>118</v>
      </c>
      <c r="AB5639" t="s">
        <v>119</v>
      </c>
    </row>
    <row r="5640" ht="15" customHeight="1" spans="1:23" x14ac:dyDescent="0.25">
      <c r="A5640" s="17" t="s">
        <v>16156</v>
      </c>
      <c r="B5640" s="17" t="s">
        <v>70</v>
      </c>
      <c r="C5640" s="17" t="s">
        <v>71</v>
      </c>
      <c r="D5640" t="s">
        <v>2912</v>
      </c>
      <c r="F5640" t="s">
        <v>2949</v>
      </c>
      <c r="K5640" s="18">
        <f>628111988987</f>
        <v>628111988987</v>
      </c>
      <c r="N5640" s="17" t="s">
        <v>77</v>
      </c>
      <c r="U5640" s="17"/>
      <c r="V5640" s="18">
        <f>628111988987</f>
        <v>628111988987</v>
      </c>
      <c r="W5640" t="s">
        <v>16157</v>
      </c>
    </row>
    <row r="5641" ht="15" customHeight="1" spans="1:23" x14ac:dyDescent="0.25">
      <c r="A5641" s="17" t="s">
        <v>16158</v>
      </c>
      <c r="B5641" s="17" t="s">
        <v>70</v>
      </c>
      <c r="C5641" s="17" t="s">
        <v>71</v>
      </c>
      <c r="D5641" t="s">
        <v>2912</v>
      </c>
      <c r="F5641" t="s">
        <v>16159</v>
      </c>
      <c r="K5641" s="18">
        <f>628111836525</f>
        <v>628111836525</v>
      </c>
      <c r="N5641" s="17" t="s">
        <v>77</v>
      </c>
      <c r="U5641" s="17"/>
      <c r="V5641" s="18">
        <f>628111836525</f>
        <v>628111836525</v>
      </c>
      <c r="W5641" t="s">
        <v>16160</v>
      </c>
    </row>
    <row r="5642" ht="15" customHeight="1" spans="1:28" x14ac:dyDescent="0.25">
      <c r="A5642" s="17" t="s">
        <v>16161</v>
      </c>
      <c r="B5642" s="17" t="s">
        <v>70</v>
      </c>
      <c r="C5642" s="17" t="s">
        <v>71</v>
      </c>
      <c r="D5642" t="s">
        <v>2912</v>
      </c>
      <c r="F5642" t="s">
        <v>16162</v>
      </c>
      <c r="J5642" s="17" t="s">
        <v>16163</v>
      </c>
      <c r="K5642" s="18" t="s">
        <v>16164</v>
      </c>
      <c r="N5642" s="17" t="s">
        <v>77</v>
      </c>
      <c r="O5642" t="s">
        <v>117</v>
      </c>
      <c r="U5642" s="17"/>
      <c r="V5642" s="18" t="s">
        <v>16164</v>
      </c>
      <c r="W5642" t="s">
        <v>16165</v>
      </c>
      <c r="Y5642" s="17" t="s">
        <v>90</v>
      </c>
      <c r="AA5642" t="s">
        <v>118</v>
      </c>
      <c r="AB5642" t="s">
        <v>119</v>
      </c>
    </row>
    <row r="5643" ht="15" customHeight="1" spans="1:23" x14ac:dyDescent="0.25">
      <c r="A5643" s="17" t="s">
        <v>16166</v>
      </c>
      <c r="B5643" s="17" t="s">
        <v>70</v>
      </c>
      <c r="C5643" s="17" t="s">
        <v>71</v>
      </c>
      <c r="D5643" t="s">
        <v>2912</v>
      </c>
      <c r="F5643" t="s">
        <v>1169</v>
      </c>
      <c r="K5643" s="18">
        <f>62811824320</f>
        <v>62811824320</v>
      </c>
      <c r="N5643" s="17" t="s">
        <v>77</v>
      </c>
      <c r="U5643" s="17"/>
      <c r="V5643" s="18">
        <f>62811824320</f>
        <v>62811824320</v>
      </c>
      <c r="W5643" t="s">
        <v>16167</v>
      </c>
    </row>
    <row r="5644" ht="15" customHeight="1" spans="1:23" x14ac:dyDescent="0.25">
      <c r="A5644" s="17" t="s">
        <v>16168</v>
      </c>
      <c r="B5644" s="17" t="s">
        <v>70</v>
      </c>
      <c r="C5644" s="17" t="s">
        <v>71</v>
      </c>
      <c r="D5644" t="s">
        <v>16169</v>
      </c>
      <c r="F5644" t="s">
        <v>16170</v>
      </c>
      <c r="K5644" s="18">
        <f>4915146670301</f>
        <v>4915146670301</v>
      </c>
      <c r="N5644" s="17" t="s">
        <v>77</v>
      </c>
      <c r="U5644" s="17"/>
      <c r="V5644" s="18">
        <f>4915146670301</f>
        <v>4915146670301</v>
      </c>
      <c r="W5644" t="s">
        <v>10893</v>
      </c>
    </row>
    <row r="5645" ht="15" customHeight="1" spans="1:23" x14ac:dyDescent="0.25">
      <c r="A5645" s="17" t="s">
        <v>16171</v>
      </c>
      <c r="B5645" s="17" t="s">
        <v>70</v>
      </c>
      <c r="C5645" s="17" t="s">
        <v>71</v>
      </c>
      <c r="D5645" t="s">
        <v>16172</v>
      </c>
      <c r="F5645" t="s">
        <v>16172</v>
      </c>
      <c r="J5645" s="17" t="s">
        <v>16173</v>
      </c>
      <c r="K5645" s="18">
        <f>628111816799</f>
        <v>628111816799</v>
      </c>
      <c r="N5645" s="17" t="s">
        <v>81</v>
      </c>
      <c r="U5645" s="17"/>
      <c r="V5645" s="18">
        <f>628111816799</f>
        <v>628111816799</v>
      </c>
      <c r="W5645" t="s">
        <v>16174</v>
      </c>
    </row>
    <row r="5646" ht="15" customHeight="1" spans="1:28" x14ac:dyDescent="0.25">
      <c r="A5646" s="17" t="s">
        <v>16175</v>
      </c>
      <c r="B5646" s="17" t="s">
        <v>70</v>
      </c>
      <c r="C5646" s="17" t="s">
        <v>71</v>
      </c>
      <c r="D5646" t="s">
        <v>16172</v>
      </c>
      <c r="F5646" t="s">
        <v>16176</v>
      </c>
      <c r="J5646" t="s">
        <v>16177</v>
      </c>
      <c r="K5646" s="18" t="s">
        <v>16178</v>
      </c>
      <c r="N5646" s="17" t="s">
        <v>77</v>
      </c>
      <c r="O5646" t="s">
        <v>261</v>
      </c>
      <c r="V5646" s="18" t="s">
        <v>16178</v>
      </c>
      <c r="Y5646" t="s">
        <v>90</v>
      </c>
      <c r="AA5646" t="s">
        <v>118</v>
      </c>
      <c r="AB5646" t="s">
        <v>119</v>
      </c>
    </row>
    <row r="5647" ht="15" customHeight="1" spans="1:23" x14ac:dyDescent="0.25">
      <c r="A5647" s="17" t="s">
        <v>16179</v>
      </c>
      <c r="B5647" s="17" t="s">
        <v>70</v>
      </c>
      <c r="C5647" s="17" t="s">
        <v>71</v>
      </c>
      <c r="D5647" t="s">
        <v>16172</v>
      </c>
      <c r="F5647" t="s">
        <v>16180</v>
      </c>
      <c r="K5647" s="18">
        <f>6281310101999</f>
        <v>6281310101999</v>
      </c>
      <c r="N5647" s="17" t="s">
        <v>77</v>
      </c>
      <c r="U5647" s="17"/>
      <c r="V5647" s="18">
        <f>6281310101999</f>
        <v>6281310101999</v>
      </c>
      <c r="W5647" t="s">
        <v>16181</v>
      </c>
    </row>
    <row r="5648" ht="15" customHeight="1" spans="1:22" x14ac:dyDescent="0.25">
      <c r="A5648" s="17" t="s">
        <v>16182</v>
      </c>
      <c r="B5648" s="17" t="s">
        <v>70</v>
      </c>
      <c r="C5648" s="17" t="s">
        <v>71</v>
      </c>
      <c r="D5648" t="s">
        <v>16172</v>
      </c>
      <c r="F5648" t="s">
        <v>16183</v>
      </c>
      <c r="K5648" s="18">
        <f>62811986318</f>
        <v>62811986318</v>
      </c>
      <c r="N5648" s="17" t="s">
        <v>77</v>
      </c>
      <c r="V5648" s="18">
        <f>62811986318</f>
        <v>62811986318</v>
      </c>
    </row>
    <row r="5649" ht="15" customHeight="1" spans="1:28" x14ac:dyDescent="0.25">
      <c r="A5649" s="17" t="s">
        <v>16184</v>
      </c>
      <c r="B5649" s="17" t="s">
        <v>70</v>
      </c>
      <c r="C5649" s="17" t="s">
        <v>71</v>
      </c>
      <c r="D5649" t="s">
        <v>16185</v>
      </c>
      <c r="F5649" t="s">
        <v>16186</v>
      </c>
      <c r="J5649" t="s">
        <v>115</v>
      </c>
      <c r="K5649" s="18" t="s">
        <v>16187</v>
      </c>
      <c r="N5649" s="17" t="s">
        <v>77</v>
      </c>
      <c r="O5649" t="s">
        <v>117</v>
      </c>
      <c r="U5649" s="17"/>
      <c r="V5649" s="18" t="s">
        <v>16187</v>
      </c>
      <c r="W5649" t="s">
        <v>16188</v>
      </c>
      <c r="Y5649" t="s">
        <v>90</v>
      </c>
      <c r="AA5649" t="s">
        <v>118</v>
      </c>
      <c r="AB5649" t="s">
        <v>119</v>
      </c>
    </row>
    <row r="5650" ht="15" customHeight="1" spans="1:25" x14ac:dyDescent="0.25">
      <c r="A5650" s="17" t="s">
        <v>16189</v>
      </c>
      <c r="B5650" s="17" t="s">
        <v>70</v>
      </c>
      <c r="C5650" s="17" t="s">
        <v>71</v>
      </c>
      <c r="D5650" t="s">
        <v>16172</v>
      </c>
      <c r="F5650" t="s">
        <v>16190</v>
      </c>
      <c r="K5650" s="18">
        <f>628161878964</f>
        <v>628161878964</v>
      </c>
      <c r="N5650" s="17" t="s">
        <v>77</v>
      </c>
      <c r="U5650" s="17"/>
      <c r="V5650" s="18">
        <f>628161878964</f>
        <v>628161878964</v>
      </c>
      <c r="W5650" t="s">
        <v>16191</v>
      </c>
      <c r="Y5650" s="17" t="s">
        <v>1084</v>
      </c>
    </row>
    <row r="5651" ht="15" customHeight="1" spans="1:22" x14ac:dyDescent="0.25">
      <c r="A5651" s="17" t="s">
        <v>16192</v>
      </c>
      <c r="B5651" s="17" t="s">
        <v>70</v>
      </c>
      <c r="C5651" s="17" t="s">
        <v>71</v>
      </c>
      <c r="D5651" t="s">
        <v>16172</v>
      </c>
      <c r="F5651" t="s">
        <v>1657</v>
      </c>
      <c r="K5651" s="18">
        <f>628129413017</f>
        <v>628129413017</v>
      </c>
      <c r="N5651" s="17" t="s">
        <v>74</v>
      </c>
      <c r="V5651" s="18">
        <f>628129413017</f>
        <v>628129413017</v>
      </c>
    </row>
    <row r="5652" ht="15" customHeight="1" spans="1:28" x14ac:dyDescent="0.25">
      <c r="A5652" s="17" t="s">
        <v>16193</v>
      </c>
      <c r="B5652" s="17" t="s">
        <v>70</v>
      </c>
      <c r="C5652" s="17" t="s">
        <v>71</v>
      </c>
      <c r="D5652" t="s">
        <v>16172</v>
      </c>
      <c r="F5652" t="s">
        <v>16194</v>
      </c>
      <c r="J5652" t="s">
        <v>115</v>
      </c>
      <c r="K5652" s="18" t="s">
        <v>16195</v>
      </c>
      <c r="N5652" s="17" t="s">
        <v>77</v>
      </c>
      <c r="O5652" t="s">
        <v>261</v>
      </c>
      <c r="U5652" s="17"/>
      <c r="V5652" s="18" t="s">
        <v>16195</v>
      </c>
      <c r="W5652" t="s">
        <v>16196</v>
      </c>
      <c r="Y5652" s="17" t="s">
        <v>90</v>
      </c>
      <c r="AA5652" t="s">
        <v>118</v>
      </c>
      <c r="AB5652" t="s">
        <v>119</v>
      </c>
    </row>
    <row r="5653" ht="15" customHeight="1" spans="1:27" x14ac:dyDescent="0.25">
      <c r="A5653" s="17" t="s">
        <v>16197</v>
      </c>
      <c r="B5653" s="17" t="s">
        <v>70</v>
      </c>
      <c r="C5653" s="17" t="s">
        <v>71</v>
      </c>
      <c r="D5653" t="s">
        <v>16172</v>
      </c>
      <c r="F5653" t="s">
        <v>6652</v>
      </c>
      <c r="K5653" s="18">
        <f>6285811116363</f>
        <v>6285811116363</v>
      </c>
      <c r="N5653" s="17" t="s">
        <v>4266</v>
      </c>
      <c r="U5653" s="17"/>
      <c r="V5653" s="18">
        <f>6285811116363</f>
        <v>6285811116363</v>
      </c>
      <c r="W5653" t="s">
        <v>16198</v>
      </c>
      <c r="AA5653" s="17">
        <v>10610</v>
      </c>
    </row>
    <row r="5654" ht="15" customHeight="1" spans="1:28" x14ac:dyDescent="0.25">
      <c r="A5654" s="17" t="s">
        <v>16199</v>
      </c>
      <c r="B5654" s="17" t="s">
        <v>70</v>
      </c>
      <c r="C5654" s="17" t="s">
        <v>71</v>
      </c>
      <c r="D5654" t="s">
        <v>16172</v>
      </c>
      <c r="F5654" t="s">
        <v>672</v>
      </c>
      <c r="J5654" t="s">
        <v>115</v>
      </c>
      <c r="K5654" s="18" t="s">
        <v>16200</v>
      </c>
      <c r="N5654" s="17" t="s">
        <v>77</v>
      </c>
      <c r="O5654" t="s">
        <v>489</v>
      </c>
      <c r="U5654" s="17"/>
      <c r="V5654" s="18" t="s">
        <v>16200</v>
      </c>
      <c r="W5654" t="s">
        <v>16201</v>
      </c>
      <c r="Y5654" s="17" t="s">
        <v>181</v>
      </c>
      <c r="AA5654" t="s">
        <v>1672</v>
      </c>
      <c r="AB5654" t="s">
        <v>119</v>
      </c>
    </row>
    <row r="5655" ht="15" customHeight="1" spans="1:22" x14ac:dyDescent="0.25">
      <c r="A5655" s="17" t="s">
        <v>16202</v>
      </c>
      <c r="B5655" s="17" t="s">
        <v>70</v>
      </c>
      <c r="C5655" s="17" t="s">
        <v>71</v>
      </c>
      <c r="D5655" t="s">
        <v>16172</v>
      </c>
      <c r="F5655" t="s">
        <v>16203</v>
      </c>
      <c r="K5655" s="18">
        <f>62811712500</f>
        <v>62811712500</v>
      </c>
      <c r="N5655" s="17" t="s">
        <v>77</v>
      </c>
      <c r="V5655" s="18">
        <f>62811712500</f>
        <v>62811712500</v>
      </c>
    </row>
    <row r="5656" ht="15" customHeight="1" spans="1:25" x14ac:dyDescent="0.25">
      <c r="A5656" s="17" t="s">
        <v>16204</v>
      </c>
      <c r="B5656" s="17" t="s">
        <v>70</v>
      </c>
      <c r="C5656" s="17" t="s">
        <v>71</v>
      </c>
      <c r="D5656" t="s">
        <v>16205</v>
      </c>
      <c r="F5656" t="s">
        <v>2412</v>
      </c>
      <c r="K5656" s="18">
        <f>6281514666777</f>
        <v>6281514666777</v>
      </c>
      <c r="N5656" s="17" t="s">
        <v>81</v>
      </c>
      <c r="U5656" s="17"/>
      <c r="V5656" s="18">
        <f>6281514666777</f>
        <v>6281514666777</v>
      </c>
      <c r="W5656" t="s">
        <v>16206</v>
      </c>
      <c r="Y5656" s="17" t="s">
        <v>378</v>
      </c>
    </row>
    <row r="5657" ht="15" customHeight="1" spans="1:22" x14ac:dyDescent="0.25">
      <c r="A5657" s="17" t="s">
        <v>16207</v>
      </c>
      <c r="B5657" s="17" t="s">
        <v>70</v>
      </c>
      <c r="C5657" s="17" t="s">
        <v>71</v>
      </c>
      <c r="D5657" t="s">
        <v>16208</v>
      </c>
      <c r="F5657" t="s">
        <v>16208</v>
      </c>
      <c r="K5657" s="18">
        <f>628161172025</f>
        <v>628161172025</v>
      </c>
      <c r="N5657" s="17" t="s">
        <v>77</v>
      </c>
      <c r="V5657" s="18">
        <f>628161172025</f>
        <v>628161172025</v>
      </c>
    </row>
    <row r="5658" ht="15" customHeight="1" spans="1:22" x14ac:dyDescent="0.25">
      <c r="A5658" s="17" t="s">
        <v>16209</v>
      </c>
      <c r="B5658" s="17" t="s">
        <v>70</v>
      </c>
      <c r="C5658" s="17" t="s">
        <v>71</v>
      </c>
      <c r="D5658" t="s">
        <v>16210</v>
      </c>
      <c r="F5658" t="s">
        <v>1711</v>
      </c>
      <c r="K5658" s="18">
        <f>6282219003513</f>
        <v>6282219003513</v>
      </c>
      <c r="N5658" s="17" t="s">
        <v>81</v>
      </c>
      <c r="V5658" s="18">
        <f>6282219003513</f>
        <v>6282219003513</v>
      </c>
    </row>
    <row r="5659" ht="15" customHeight="1" spans="1:22" x14ac:dyDescent="0.25">
      <c r="A5659" s="17" t="s">
        <v>16211</v>
      </c>
      <c r="B5659" s="17" t="s">
        <v>70</v>
      </c>
      <c r="C5659" s="17" t="s">
        <v>71</v>
      </c>
      <c r="D5659" t="s">
        <v>16210</v>
      </c>
      <c r="F5659" t="s">
        <v>2159</v>
      </c>
      <c r="K5659" s="18">
        <f>6281339113998</f>
        <v>6281339113998</v>
      </c>
      <c r="N5659" s="17" t="s">
        <v>77</v>
      </c>
      <c r="V5659" s="18">
        <f>6281339113998</f>
        <v>6281339113998</v>
      </c>
    </row>
    <row r="5660" ht="15" customHeight="1" spans="1:22" x14ac:dyDescent="0.25">
      <c r="A5660" s="17" t="s">
        <v>16212</v>
      </c>
      <c r="B5660" s="17" t="s">
        <v>70</v>
      </c>
      <c r="C5660" s="17" t="s">
        <v>71</v>
      </c>
      <c r="D5660" t="s">
        <v>16210</v>
      </c>
      <c r="F5660" t="s">
        <v>16213</v>
      </c>
      <c r="K5660" s="18">
        <f>6281818200791</f>
        <v>6281818200791</v>
      </c>
      <c r="N5660" s="17" t="s">
        <v>77</v>
      </c>
      <c r="V5660" s="18">
        <f>6281818200791</f>
        <v>6281818200791</v>
      </c>
    </row>
    <row r="5661" ht="15" customHeight="1" spans="1:22" x14ac:dyDescent="0.25">
      <c r="A5661" s="17" t="s">
        <v>16214</v>
      </c>
      <c r="B5661" s="17" t="s">
        <v>70</v>
      </c>
      <c r="C5661" s="17" t="s">
        <v>71</v>
      </c>
      <c r="D5661" t="s">
        <v>16210</v>
      </c>
      <c r="F5661" t="s">
        <v>2322</v>
      </c>
      <c r="J5661" s="17" t="s">
        <v>16215</v>
      </c>
      <c r="K5661" s="18">
        <f>6289608509470</f>
        <v>6289608509470</v>
      </c>
      <c r="N5661" s="17" t="s">
        <v>81</v>
      </c>
      <c r="V5661" s="18">
        <f>6289608509470</f>
        <v>6289608509470</v>
      </c>
    </row>
    <row r="5662" ht="15" customHeight="1" spans="1:22" x14ac:dyDescent="0.25">
      <c r="A5662" s="17" t="s">
        <v>16216</v>
      </c>
      <c r="B5662" s="17" t="s">
        <v>70</v>
      </c>
      <c r="C5662" s="17" t="s">
        <v>71</v>
      </c>
      <c r="D5662" t="s">
        <v>16210</v>
      </c>
      <c r="F5662" t="s">
        <v>4291</v>
      </c>
      <c r="K5662" s="18">
        <f>6285718291989</f>
        <v>6285718291989</v>
      </c>
      <c r="N5662" s="17" t="s">
        <v>81</v>
      </c>
      <c r="V5662" s="18">
        <f>6285718291989</f>
        <v>6285718291989</v>
      </c>
    </row>
    <row r="5663" ht="15" customHeight="1" spans="1:22" x14ac:dyDescent="0.25">
      <c r="A5663" s="17" t="s">
        <v>16217</v>
      </c>
      <c r="B5663" s="17" t="s">
        <v>70</v>
      </c>
      <c r="C5663" s="17" t="s">
        <v>71</v>
      </c>
      <c r="D5663" t="s">
        <v>16210</v>
      </c>
      <c r="F5663" t="s">
        <v>672</v>
      </c>
      <c r="K5663" s="18">
        <f>6281319340676</f>
        <v>6281319340676</v>
      </c>
      <c r="N5663" s="17" t="s">
        <v>74</v>
      </c>
      <c r="V5663" s="18">
        <f>6281319340676</f>
        <v>6281319340676</v>
      </c>
    </row>
    <row r="5664" ht="15" customHeight="1" spans="1:25" x14ac:dyDescent="0.25">
      <c r="A5664" s="17" t="s">
        <v>16218</v>
      </c>
      <c r="B5664" s="17" t="s">
        <v>70</v>
      </c>
      <c r="C5664" s="17" t="s">
        <v>71</v>
      </c>
      <c r="D5664" t="s">
        <v>16219</v>
      </c>
      <c r="F5664" t="s">
        <v>1533</v>
      </c>
      <c r="K5664" s="18">
        <f>628119473708</f>
        <v>628119473708</v>
      </c>
      <c r="N5664" s="17" t="s">
        <v>81</v>
      </c>
      <c r="U5664" s="17"/>
      <c r="V5664" s="18">
        <f>628119473708</f>
        <v>628119473708</v>
      </c>
      <c r="W5664" t="s">
        <v>16220</v>
      </c>
      <c r="Y5664" s="17" t="s">
        <v>2953</v>
      </c>
    </row>
    <row r="5665" ht="15" customHeight="1" spans="1:23" x14ac:dyDescent="0.25">
      <c r="A5665" s="17" t="s">
        <v>16221</v>
      </c>
      <c r="B5665" s="17" t="s">
        <v>70</v>
      </c>
      <c r="C5665" s="17" t="s">
        <v>71</v>
      </c>
      <c r="D5665" t="s">
        <v>16222</v>
      </c>
      <c r="F5665" t="s">
        <v>16223</v>
      </c>
      <c r="K5665" s="18">
        <f>628970708888</f>
        <v>628970708888</v>
      </c>
      <c r="N5665" s="17" t="s">
        <v>77</v>
      </c>
      <c r="U5665" s="17"/>
      <c r="V5665" s="18">
        <f>628970708888</f>
        <v>628970708888</v>
      </c>
      <c r="W5665" t="s">
        <v>16224</v>
      </c>
    </row>
    <row r="5666" ht="15" customHeight="1" spans="1:23" x14ac:dyDescent="0.25">
      <c r="A5666" s="17" t="s">
        <v>16225</v>
      </c>
      <c r="B5666" s="17" t="s">
        <v>70</v>
      </c>
      <c r="C5666" s="17" t="s">
        <v>71</v>
      </c>
      <c r="D5666" t="s">
        <v>16226</v>
      </c>
      <c r="F5666" t="s">
        <v>16226</v>
      </c>
      <c r="K5666" s="18">
        <f>62811359998</f>
        <v>62811359998</v>
      </c>
      <c r="N5666" s="17" t="s">
        <v>81</v>
      </c>
      <c r="U5666" s="17"/>
      <c r="V5666" s="18">
        <f>62811359998</f>
        <v>62811359998</v>
      </c>
      <c r="W5666" t="s">
        <v>16227</v>
      </c>
    </row>
    <row r="5667" ht="15" customHeight="1" spans="1:22" x14ac:dyDescent="0.25">
      <c r="A5667" s="17" t="s">
        <v>16228</v>
      </c>
      <c r="B5667" s="17" t="s">
        <v>70</v>
      </c>
      <c r="C5667" s="17" t="s">
        <v>71</v>
      </c>
      <c r="D5667" t="s">
        <v>16226</v>
      </c>
      <c r="F5667" t="s">
        <v>16229</v>
      </c>
      <c r="K5667" s="18">
        <f>6281338519191</f>
        <v>6281338519191</v>
      </c>
      <c r="N5667" s="17" t="s">
        <v>81</v>
      </c>
      <c r="V5667" s="18">
        <f>6281338519191</f>
        <v>6281338519191</v>
      </c>
    </row>
    <row r="5668" ht="15" customHeight="1" spans="1:23" x14ac:dyDescent="0.25">
      <c r="A5668" s="17" t="s">
        <v>16230</v>
      </c>
      <c r="B5668" s="17" t="s">
        <v>70</v>
      </c>
      <c r="C5668" s="17" t="s">
        <v>71</v>
      </c>
      <c r="D5668" t="s">
        <v>7345</v>
      </c>
      <c r="F5668" t="s">
        <v>7944</v>
      </c>
      <c r="K5668" s="18">
        <f>8618701358857</f>
        <v>8618701358857</v>
      </c>
      <c r="N5668" s="17" t="s">
        <v>77</v>
      </c>
      <c r="U5668" s="17"/>
      <c r="V5668" s="18">
        <f>8618701358857</f>
        <v>8618701358857</v>
      </c>
      <c r="W5668" t="s">
        <v>16231</v>
      </c>
    </row>
    <row r="5669" ht="15" customHeight="1" spans="1:22" x14ac:dyDescent="0.25">
      <c r="A5669" s="17" t="s">
        <v>16232</v>
      </c>
      <c r="B5669" s="17" t="s">
        <v>70</v>
      </c>
      <c r="C5669" s="17" t="s">
        <v>71</v>
      </c>
      <c r="D5669" t="s">
        <v>7345</v>
      </c>
      <c r="F5669" t="s">
        <v>7440</v>
      </c>
      <c r="K5669" s="18">
        <f>6281274327850</f>
        <v>6281274327850</v>
      </c>
      <c r="N5669" s="17" t="s">
        <v>77</v>
      </c>
      <c r="V5669" s="18">
        <f>6281274327850</f>
        <v>6281274327850</v>
      </c>
    </row>
    <row r="5670" ht="15" customHeight="1" spans="1:28" x14ac:dyDescent="0.25">
      <c r="A5670" s="17" t="s">
        <v>16233</v>
      </c>
      <c r="B5670" s="17" t="s">
        <v>70</v>
      </c>
      <c r="C5670" s="17" t="s">
        <v>71</v>
      </c>
      <c r="D5670" t="s">
        <v>16234</v>
      </c>
      <c r="F5670" t="s">
        <v>16235</v>
      </c>
      <c r="J5670" s="17" t="s">
        <v>16236</v>
      </c>
      <c r="K5670" s="18" t="s">
        <v>16237</v>
      </c>
      <c r="N5670" s="17" t="s">
        <v>77</v>
      </c>
      <c r="O5670" t="s">
        <v>145</v>
      </c>
      <c r="U5670" s="17"/>
      <c r="V5670" s="18" t="s">
        <v>16237</v>
      </c>
      <c r="W5670" t="s">
        <v>3140</v>
      </c>
      <c r="Y5670" t="s">
        <v>115</v>
      </c>
      <c r="AA5670" t="s">
        <v>115</v>
      </c>
      <c r="AB5670" t="s">
        <v>3140</v>
      </c>
    </row>
    <row r="5671" ht="15" customHeight="1" spans="1:28" x14ac:dyDescent="0.25">
      <c r="A5671" s="17" t="s">
        <v>16238</v>
      </c>
      <c r="B5671" s="17" t="s">
        <v>70</v>
      </c>
      <c r="C5671" s="17" t="s">
        <v>71</v>
      </c>
      <c r="D5671" t="s">
        <v>16239</v>
      </c>
      <c r="F5671" t="s">
        <v>2159</v>
      </c>
      <c r="J5671" t="s">
        <v>16240</v>
      </c>
      <c r="K5671" s="18" t="s">
        <v>16241</v>
      </c>
      <c r="N5671" s="17" t="s">
        <v>77</v>
      </c>
      <c r="O5671" t="s">
        <v>489</v>
      </c>
      <c r="U5671" s="17"/>
      <c r="V5671" s="18" t="s">
        <v>16241</v>
      </c>
      <c r="W5671" t="s">
        <v>16242</v>
      </c>
      <c r="Y5671" s="17" t="s">
        <v>1968</v>
      </c>
      <c r="AA5671" s="17" t="s">
        <v>1969</v>
      </c>
      <c r="AB5671" t="s">
        <v>119</v>
      </c>
    </row>
    <row r="5672" ht="15" customHeight="1" spans="1:22" x14ac:dyDescent="0.25">
      <c r="A5672" s="17" t="s">
        <v>16243</v>
      </c>
      <c r="B5672" s="17" t="s">
        <v>70</v>
      </c>
      <c r="C5672" s="17" t="s">
        <v>71</v>
      </c>
      <c r="D5672" t="s">
        <v>16244</v>
      </c>
      <c r="F5672" t="s">
        <v>16245</v>
      </c>
      <c r="K5672" s="18">
        <f>628551122128</f>
        <v>628551122128</v>
      </c>
      <c r="N5672" s="17" t="s">
        <v>77</v>
      </c>
      <c r="V5672" s="18">
        <f>628551122128</f>
        <v>628551122128</v>
      </c>
    </row>
    <row r="5673" ht="15" customHeight="1" spans="1:28" x14ac:dyDescent="0.25">
      <c r="A5673" s="17" t="s">
        <v>16246</v>
      </c>
      <c r="B5673" s="17" t="s">
        <v>70</v>
      </c>
      <c r="C5673" s="17" t="s">
        <v>71</v>
      </c>
      <c r="D5673" t="s">
        <v>16244</v>
      </c>
      <c r="F5673" t="s">
        <v>672</v>
      </c>
      <c r="J5673" t="s">
        <v>115</v>
      </c>
      <c r="K5673" s="18" t="s">
        <v>16247</v>
      </c>
      <c r="N5673" s="17" t="s">
        <v>77</v>
      </c>
      <c r="O5673" t="s">
        <v>489</v>
      </c>
      <c r="U5673" s="17"/>
      <c r="V5673" s="18" t="s">
        <v>16247</v>
      </c>
      <c r="W5673" t="s">
        <v>16248</v>
      </c>
      <c r="Y5673" t="s">
        <v>96</v>
      </c>
      <c r="AA5673" t="s">
        <v>693</v>
      </c>
      <c r="AB5673" t="s">
        <v>119</v>
      </c>
    </row>
    <row r="5674" ht="15" customHeight="1" spans="1:22" x14ac:dyDescent="0.25">
      <c r="A5674" s="17" t="s">
        <v>16249</v>
      </c>
      <c r="B5674" s="17" t="s">
        <v>70</v>
      </c>
      <c r="C5674" s="17" t="s">
        <v>71</v>
      </c>
      <c r="D5674" t="s">
        <v>4409</v>
      </c>
      <c r="F5674" t="s">
        <v>4409</v>
      </c>
      <c r="K5674" s="18">
        <f>62821135930715</f>
        <v>62821135930715</v>
      </c>
      <c r="N5674" s="17" t="s">
        <v>81</v>
      </c>
      <c r="V5674" s="18">
        <f>62821135930715</f>
        <v>62821135930715</v>
      </c>
    </row>
    <row r="5675" ht="15" customHeight="1" spans="1:22" x14ac:dyDescent="0.25">
      <c r="A5675" s="17" t="s">
        <v>16250</v>
      </c>
      <c r="B5675" s="17" t="s">
        <v>70</v>
      </c>
      <c r="C5675" s="17" t="s">
        <v>71</v>
      </c>
      <c r="D5675" t="s">
        <v>4409</v>
      </c>
      <c r="F5675" t="s">
        <v>4409</v>
      </c>
      <c r="K5675" s="18">
        <f>628112540266</f>
        <v>628112540266</v>
      </c>
      <c r="N5675" s="17" t="s">
        <v>74</v>
      </c>
      <c r="V5675" s="18">
        <f>628112540266</f>
        <v>628112540266</v>
      </c>
    </row>
    <row r="5676" ht="15" customHeight="1" spans="1:22" x14ac:dyDescent="0.25">
      <c r="A5676" s="17" t="s">
        <v>16251</v>
      </c>
      <c r="B5676" s="17" t="s">
        <v>70</v>
      </c>
      <c r="C5676" s="17" t="s">
        <v>71</v>
      </c>
      <c r="D5676" t="s">
        <v>4409</v>
      </c>
      <c r="F5676" t="s">
        <v>16252</v>
      </c>
      <c r="K5676" s="18">
        <f>6287878781188</f>
        <v>6287878781188</v>
      </c>
      <c r="N5676" s="17" t="s">
        <v>81</v>
      </c>
      <c r="V5676" s="18">
        <f>6287878781188</f>
        <v>6287878781188</v>
      </c>
    </row>
    <row r="5677" ht="15" customHeight="1" spans="1:22" x14ac:dyDescent="0.25">
      <c r="A5677" s="17" t="s">
        <v>16253</v>
      </c>
      <c r="B5677" s="17" t="s">
        <v>70</v>
      </c>
      <c r="C5677" s="17" t="s">
        <v>71</v>
      </c>
      <c r="D5677" t="s">
        <v>16254</v>
      </c>
      <c r="F5677" t="s">
        <v>16254</v>
      </c>
      <c r="K5677" s="18">
        <f>62816838172</f>
        <v>62816838172</v>
      </c>
      <c r="N5677" s="17" t="s">
        <v>81</v>
      </c>
      <c r="V5677" s="18">
        <f>62816838172</f>
        <v>62816838172</v>
      </c>
    </row>
    <row r="5678" ht="15" customHeight="1" spans="1:25" x14ac:dyDescent="0.25">
      <c r="A5678" s="17" t="s">
        <v>16255</v>
      </c>
      <c r="B5678" s="17" t="s">
        <v>70</v>
      </c>
      <c r="C5678" s="17" t="s">
        <v>71</v>
      </c>
      <c r="D5678" t="s">
        <v>8466</v>
      </c>
      <c r="F5678" t="s">
        <v>10192</v>
      </c>
      <c r="K5678" s="18">
        <f>628161970463</f>
        <v>628161970463</v>
      </c>
      <c r="N5678" s="17" t="s">
        <v>77</v>
      </c>
      <c r="U5678" s="17"/>
      <c r="V5678" s="18">
        <f>628161970463</f>
        <v>628161970463</v>
      </c>
      <c r="W5678" t="s">
        <v>16256</v>
      </c>
      <c r="Y5678" s="17" t="s">
        <v>378</v>
      </c>
    </row>
    <row r="5679" ht="15" customHeight="1" spans="1:22" x14ac:dyDescent="0.25">
      <c r="A5679" s="17" t="s">
        <v>16257</v>
      </c>
      <c r="B5679" s="17" t="s">
        <v>70</v>
      </c>
      <c r="C5679" s="17" t="s">
        <v>71</v>
      </c>
      <c r="D5679" t="s">
        <v>10442</v>
      </c>
      <c r="F5679" t="s">
        <v>10442</v>
      </c>
      <c r="K5679" s="18">
        <f>6281511099636</f>
        <v>6281511099636</v>
      </c>
      <c r="N5679" s="17" t="s">
        <v>81</v>
      </c>
      <c r="V5679" s="18">
        <f>6281511099636</f>
        <v>6281511099636</v>
      </c>
    </row>
    <row r="5680" ht="15" customHeight="1" spans="1:22" x14ac:dyDescent="0.25">
      <c r="A5680" s="17" t="s">
        <v>16258</v>
      </c>
      <c r="B5680" s="17" t="s">
        <v>70</v>
      </c>
      <c r="C5680" s="17" t="s">
        <v>71</v>
      </c>
      <c r="D5680" t="s">
        <v>10442</v>
      </c>
      <c r="F5680" t="s">
        <v>672</v>
      </c>
      <c r="K5680" s="18">
        <f>628198869090</f>
        <v>628198869090</v>
      </c>
      <c r="N5680" s="17" t="s">
        <v>77</v>
      </c>
      <c r="V5680" s="18">
        <f>628198869090</f>
        <v>628198869090</v>
      </c>
    </row>
    <row r="5681" ht="15" customHeight="1" spans="1:27" x14ac:dyDescent="0.25">
      <c r="A5681" s="17" t="s">
        <v>16259</v>
      </c>
      <c r="B5681" s="17" t="s">
        <v>70</v>
      </c>
      <c r="C5681" s="17" t="s">
        <v>71</v>
      </c>
      <c r="D5681" t="s">
        <v>16260</v>
      </c>
      <c r="F5681" t="s">
        <v>16261</v>
      </c>
      <c r="J5681" s="17" t="s">
        <v>16262</v>
      </c>
      <c r="K5681" s="18">
        <f>6281319183333</f>
        <v>6281319183333</v>
      </c>
      <c r="N5681" s="17" t="s">
        <v>81</v>
      </c>
      <c r="U5681" s="17"/>
      <c r="V5681" s="18">
        <f>6281319183333</f>
        <v>6281319183333</v>
      </c>
      <c r="W5681" t="s">
        <v>16263</v>
      </c>
      <c r="Y5681" s="17" t="s">
        <v>90</v>
      </c>
      <c r="AA5681" s="17">
        <v>14460</v>
      </c>
    </row>
    <row r="5682" ht="15" customHeight="1" spans="1:22" x14ac:dyDescent="0.25">
      <c r="A5682" s="17" t="s">
        <v>16264</v>
      </c>
      <c r="B5682" s="17" t="s">
        <v>70</v>
      </c>
      <c r="C5682" s="17" t="s">
        <v>71</v>
      </c>
      <c r="D5682" t="s">
        <v>16265</v>
      </c>
      <c r="F5682" t="s">
        <v>16265</v>
      </c>
      <c r="K5682" s="18">
        <f>62818665563</f>
        <v>62818665563</v>
      </c>
      <c r="N5682" s="17" t="s">
        <v>77</v>
      </c>
      <c r="V5682" s="18">
        <f>62818665563</f>
        <v>62818665563</v>
      </c>
    </row>
    <row r="5683" ht="15" customHeight="1" spans="1:22" x14ac:dyDescent="0.25">
      <c r="A5683" s="17" t="s">
        <v>16266</v>
      </c>
      <c r="B5683" s="17" t="s">
        <v>70</v>
      </c>
      <c r="C5683" s="17" t="s">
        <v>71</v>
      </c>
      <c r="D5683" t="s">
        <v>16267</v>
      </c>
      <c r="F5683" t="s">
        <v>16267</v>
      </c>
      <c r="J5683" s="17" t="s">
        <v>16268</v>
      </c>
      <c r="K5683" s="18">
        <f>628118198732</f>
        <v>628118198732</v>
      </c>
      <c r="N5683" s="17" t="s">
        <v>77</v>
      </c>
      <c r="V5683" s="18">
        <f>628118198732</f>
        <v>628118198732</v>
      </c>
    </row>
    <row r="5684" ht="15" customHeight="1" spans="1:22" x14ac:dyDescent="0.25">
      <c r="A5684" s="17" t="s">
        <v>16269</v>
      </c>
      <c r="B5684" s="17" t="s">
        <v>70</v>
      </c>
      <c r="C5684" s="17" t="s">
        <v>71</v>
      </c>
      <c r="D5684" t="s">
        <v>16270</v>
      </c>
      <c r="F5684" t="s">
        <v>16270</v>
      </c>
      <c r="K5684" s="18">
        <f>6281388991972</f>
        <v>6281388991972</v>
      </c>
      <c r="N5684" s="17" t="s">
        <v>81</v>
      </c>
      <c r="V5684" s="18">
        <f>6281388991972</f>
        <v>6281388991972</v>
      </c>
    </row>
    <row r="5685" ht="15" customHeight="1" spans="1:22" x14ac:dyDescent="0.25">
      <c r="A5685" s="17" t="s">
        <v>16271</v>
      </c>
      <c r="B5685" s="17" t="s">
        <v>70</v>
      </c>
      <c r="C5685" s="17" t="s">
        <v>71</v>
      </c>
      <c r="D5685" t="s">
        <v>16270</v>
      </c>
      <c r="F5685" t="s">
        <v>16270</v>
      </c>
      <c r="K5685" s="18">
        <f>628121018879</f>
        <v>628121018879</v>
      </c>
      <c r="N5685" s="17" t="s">
        <v>77</v>
      </c>
      <c r="V5685" s="18">
        <f>628121018879</f>
        <v>628121018879</v>
      </c>
    </row>
    <row r="5686" ht="15" customHeight="1" spans="1:22" x14ac:dyDescent="0.25">
      <c r="A5686" s="17" t="s">
        <v>16272</v>
      </c>
      <c r="B5686" s="17" t="s">
        <v>70</v>
      </c>
      <c r="C5686" s="17" t="s">
        <v>71</v>
      </c>
      <c r="D5686" t="s">
        <v>16270</v>
      </c>
      <c r="F5686" t="s">
        <v>16270</v>
      </c>
      <c r="K5686" s="18">
        <f>62811113743</f>
        <v>62811113743</v>
      </c>
      <c r="N5686" s="17" t="s">
        <v>77</v>
      </c>
      <c r="V5686" s="18">
        <f>62811113743</f>
        <v>62811113743</v>
      </c>
    </row>
    <row r="5687" ht="15" customHeight="1" spans="1:22" x14ac:dyDescent="0.25">
      <c r="A5687" s="17" t="s">
        <v>16273</v>
      </c>
      <c r="B5687" s="17" t="s">
        <v>70</v>
      </c>
      <c r="C5687" s="17" t="s">
        <v>71</v>
      </c>
      <c r="D5687" t="s">
        <v>16270</v>
      </c>
      <c r="F5687" t="s">
        <v>3759</v>
      </c>
      <c r="K5687" s="18">
        <f>6287877984593</f>
        <v>6287877984593</v>
      </c>
      <c r="N5687" s="17" t="s">
        <v>77</v>
      </c>
      <c r="V5687" s="18">
        <f>6287877984593</f>
        <v>6287877984593</v>
      </c>
    </row>
    <row r="5688" ht="15" customHeight="1" spans="1:22" x14ac:dyDescent="0.25">
      <c r="A5688" s="17" t="s">
        <v>16274</v>
      </c>
      <c r="B5688" s="17" t="s">
        <v>70</v>
      </c>
      <c r="C5688" s="17" t="s">
        <v>71</v>
      </c>
      <c r="D5688" t="s">
        <v>16270</v>
      </c>
      <c r="F5688" t="s">
        <v>282</v>
      </c>
      <c r="K5688" s="18">
        <f>62818214106777</f>
        <v>62818214106777</v>
      </c>
      <c r="N5688" s="17" t="s">
        <v>77</v>
      </c>
      <c r="V5688" s="18">
        <f>62818214106777</f>
        <v>62818214106777</v>
      </c>
    </row>
    <row r="5689" ht="15" customHeight="1" spans="1:22" x14ac:dyDescent="0.25">
      <c r="A5689" s="17" t="s">
        <v>16275</v>
      </c>
      <c r="B5689" s="17" t="s">
        <v>70</v>
      </c>
      <c r="C5689" s="17" t="s">
        <v>71</v>
      </c>
      <c r="D5689" t="s">
        <v>16270</v>
      </c>
      <c r="F5689" t="s">
        <v>16276</v>
      </c>
      <c r="K5689" s="18">
        <f>62816922516</f>
        <v>62816922516</v>
      </c>
      <c r="N5689" s="17" t="s">
        <v>77</v>
      </c>
      <c r="V5689" s="18">
        <f>62816922516</f>
        <v>62816922516</v>
      </c>
    </row>
    <row r="5690" ht="15" customHeight="1" spans="1:28" x14ac:dyDescent="0.25">
      <c r="A5690" s="17" t="s">
        <v>16277</v>
      </c>
      <c r="B5690" s="17" t="s">
        <v>70</v>
      </c>
      <c r="C5690" s="17" t="s">
        <v>71</v>
      </c>
      <c r="D5690" t="s">
        <v>16278</v>
      </c>
      <c r="F5690" t="s">
        <v>16279</v>
      </c>
      <c r="J5690" t="s">
        <v>115</v>
      </c>
      <c r="K5690" s="18" t="s">
        <v>16280</v>
      </c>
      <c r="N5690" s="17" t="s">
        <v>81</v>
      </c>
      <c r="O5690" t="s">
        <v>261</v>
      </c>
      <c r="U5690" s="17"/>
      <c r="V5690" s="18" t="s">
        <v>16280</v>
      </c>
      <c r="W5690" t="s">
        <v>16281</v>
      </c>
      <c r="Y5690" t="s">
        <v>115</v>
      </c>
      <c r="AA5690" t="s">
        <v>115</v>
      </c>
      <c r="AB5690" t="s">
        <v>119</v>
      </c>
    </row>
    <row r="5691" ht="15" customHeight="1" spans="1:22" x14ac:dyDescent="0.25">
      <c r="A5691" s="17" t="s">
        <v>16282</v>
      </c>
      <c r="B5691" s="17" t="s">
        <v>70</v>
      </c>
      <c r="C5691" s="17" t="s">
        <v>71</v>
      </c>
      <c r="D5691" t="s">
        <v>16283</v>
      </c>
      <c r="F5691" t="s">
        <v>16283</v>
      </c>
      <c r="K5691" s="18">
        <f>62811671142</f>
        <v>62811671142</v>
      </c>
      <c r="N5691" s="17" t="s">
        <v>77</v>
      </c>
      <c r="V5691" s="18">
        <f>62811671142</f>
        <v>62811671142</v>
      </c>
    </row>
    <row r="5692" ht="15" customHeight="1" spans="1:27" x14ac:dyDescent="0.25">
      <c r="A5692" s="17" t="s">
        <v>16284</v>
      </c>
      <c r="B5692" s="17" t="s">
        <v>70</v>
      </c>
      <c r="C5692" s="17" t="s">
        <v>71</v>
      </c>
      <c r="D5692" t="s">
        <v>4269</v>
      </c>
      <c r="F5692" t="s">
        <v>4269</v>
      </c>
      <c r="J5692" s="17" t="s">
        <v>16285</v>
      </c>
      <c r="K5692" s="18">
        <f>628111003377</f>
        <v>628111003377</v>
      </c>
      <c r="N5692" s="17" t="s">
        <v>77</v>
      </c>
      <c r="U5692" s="17"/>
      <c r="V5692" s="18">
        <f>628111003377</f>
        <v>628111003377</v>
      </c>
      <c r="W5692" t="s">
        <v>16286</v>
      </c>
      <c r="Y5692" s="17" t="s">
        <v>626</v>
      </c>
      <c r="AA5692" s="17">
        <v>11460</v>
      </c>
    </row>
    <row r="5693" ht="15" customHeight="1" spans="1:25" x14ac:dyDescent="0.25">
      <c r="A5693" s="17" t="s">
        <v>16287</v>
      </c>
      <c r="B5693" s="17" t="s">
        <v>70</v>
      </c>
      <c r="C5693" s="17" t="s">
        <v>71</v>
      </c>
      <c r="D5693" t="s">
        <v>4269</v>
      </c>
      <c r="F5693" t="s">
        <v>4269</v>
      </c>
      <c r="K5693" s="18">
        <f>62816860758</f>
        <v>62816860758</v>
      </c>
      <c r="N5693" s="17" t="s">
        <v>77</v>
      </c>
      <c r="U5693" s="17"/>
      <c r="V5693" s="18">
        <f>62816860758</f>
        <v>62816860758</v>
      </c>
      <c r="W5693" t="s">
        <v>16288</v>
      </c>
      <c r="Y5693" s="17" t="s">
        <v>626</v>
      </c>
    </row>
    <row r="5694" ht="15" customHeight="1" spans="1:22" x14ac:dyDescent="0.25">
      <c r="A5694" s="17" t="s">
        <v>16289</v>
      </c>
      <c r="B5694" s="17" t="s">
        <v>70</v>
      </c>
      <c r="C5694" s="17" t="s">
        <v>71</v>
      </c>
      <c r="D5694" t="s">
        <v>16290</v>
      </c>
      <c r="F5694" t="s">
        <v>3346</v>
      </c>
      <c r="K5694" s="18">
        <f>628161433333</f>
        <v>628161433333</v>
      </c>
      <c r="N5694" s="17" t="s">
        <v>77</v>
      </c>
      <c r="V5694" s="18">
        <f>628161433333</f>
        <v>628161433333</v>
      </c>
    </row>
    <row r="5695" ht="15" customHeight="1" spans="1:22" x14ac:dyDescent="0.25">
      <c r="A5695" s="17" t="s">
        <v>16291</v>
      </c>
      <c r="B5695" s="17" t="s">
        <v>70</v>
      </c>
      <c r="C5695" s="17" t="s">
        <v>71</v>
      </c>
      <c r="D5695" t="s">
        <v>16292</v>
      </c>
      <c r="F5695" t="s">
        <v>282</v>
      </c>
      <c r="K5695" s="18">
        <f>6281211436880</f>
        <v>6281211436880</v>
      </c>
      <c r="N5695" s="17" t="s">
        <v>81</v>
      </c>
      <c r="V5695" s="18">
        <f>6281211436880</f>
        <v>6281211436880</v>
      </c>
    </row>
    <row r="5696" ht="15" customHeight="1" spans="1:28" x14ac:dyDescent="0.25">
      <c r="A5696" s="17" t="s">
        <v>16293</v>
      </c>
      <c r="B5696" s="17" t="s">
        <v>70</v>
      </c>
      <c r="C5696" s="17" t="s">
        <v>71</v>
      </c>
      <c r="D5696" t="s">
        <v>16294</v>
      </c>
      <c r="F5696" t="s">
        <v>16295</v>
      </c>
      <c r="J5696" t="s">
        <v>115</v>
      </c>
      <c r="K5696" s="18" t="s">
        <v>16296</v>
      </c>
      <c r="N5696" s="17" t="s">
        <v>81</v>
      </c>
      <c r="O5696" t="s">
        <v>199</v>
      </c>
      <c r="U5696" s="17"/>
      <c r="V5696" s="18" t="s">
        <v>16296</v>
      </c>
      <c r="W5696" t="s">
        <v>16297</v>
      </c>
      <c r="Y5696" t="s">
        <v>704</v>
      </c>
      <c r="AA5696" t="s">
        <v>705</v>
      </c>
      <c r="AB5696" t="s">
        <v>119</v>
      </c>
    </row>
    <row r="5697" ht="15" customHeight="1" spans="1:22" x14ac:dyDescent="0.25">
      <c r="A5697" s="17" t="s">
        <v>16298</v>
      </c>
      <c r="B5697" s="17" t="s">
        <v>70</v>
      </c>
      <c r="C5697" s="17" t="s">
        <v>71</v>
      </c>
      <c r="D5697" t="s">
        <v>16294</v>
      </c>
      <c r="F5697" t="s">
        <v>1850</v>
      </c>
      <c r="K5697" s="18">
        <f>62811140962</f>
        <v>62811140962</v>
      </c>
      <c r="N5697" s="17" t="s">
        <v>74</v>
      </c>
      <c r="V5697" s="18">
        <f>62811140962</f>
        <v>62811140962</v>
      </c>
    </row>
    <row r="5698" ht="15" customHeight="1" spans="1:25" x14ac:dyDescent="0.25">
      <c r="A5698" s="17" t="s">
        <v>16299</v>
      </c>
      <c r="B5698" s="17" t="s">
        <v>70</v>
      </c>
      <c r="C5698" s="17" t="s">
        <v>71</v>
      </c>
      <c r="D5698" t="s">
        <v>16300</v>
      </c>
      <c r="F5698" t="s">
        <v>16301</v>
      </c>
      <c r="K5698" s="18">
        <f>628119003377</f>
        <v>628119003377</v>
      </c>
      <c r="N5698" s="17" t="s">
        <v>77</v>
      </c>
      <c r="U5698" s="17"/>
      <c r="V5698" s="18">
        <f>628119003377</f>
        <v>628119003377</v>
      </c>
      <c r="W5698" t="s">
        <v>16302</v>
      </c>
      <c r="Y5698" s="17" t="s">
        <v>515</v>
      </c>
    </row>
    <row r="5699" ht="15" customHeight="1" spans="1:22" x14ac:dyDescent="0.25">
      <c r="A5699" s="17" t="s">
        <v>16303</v>
      </c>
      <c r="B5699" s="17" t="s">
        <v>70</v>
      </c>
      <c r="C5699" s="17" t="s">
        <v>71</v>
      </c>
      <c r="D5699" t="s">
        <v>16304</v>
      </c>
      <c r="F5699" t="s">
        <v>16305</v>
      </c>
      <c r="K5699" s="18">
        <f>62816841087</f>
        <v>62816841087</v>
      </c>
      <c r="N5699" s="17" t="s">
        <v>74</v>
      </c>
      <c r="V5699" s="18">
        <f>62816841087</f>
        <v>62816841087</v>
      </c>
    </row>
    <row r="5700" ht="15" customHeight="1" spans="1:28" x14ac:dyDescent="0.25">
      <c r="A5700" s="17" t="s">
        <v>16306</v>
      </c>
      <c r="B5700" s="17" t="s">
        <v>70</v>
      </c>
      <c r="C5700" s="17" t="s">
        <v>71</v>
      </c>
      <c r="D5700" t="s">
        <v>214</v>
      </c>
      <c r="F5700" t="s">
        <v>214</v>
      </c>
      <c r="J5700" t="s">
        <v>115</v>
      </c>
      <c r="K5700" s="18" t="s">
        <v>16307</v>
      </c>
      <c r="N5700" s="17" t="s">
        <v>77</v>
      </c>
      <c r="O5700" t="s">
        <v>117</v>
      </c>
      <c r="V5700" s="18" t="s">
        <v>16307</v>
      </c>
      <c r="Y5700" t="s">
        <v>7238</v>
      </c>
      <c r="AA5700" t="s">
        <v>115</v>
      </c>
      <c r="AB5700" t="s">
        <v>7238</v>
      </c>
    </row>
    <row r="5701" ht="15" customHeight="1" spans="1:28" x14ac:dyDescent="0.25">
      <c r="A5701" s="17" t="s">
        <v>16308</v>
      </c>
      <c r="B5701" s="17" t="s">
        <v>70</v>
      </c>
      <c r="C5701" s="17" t="s">
        <v>71</v>
      </c>
      <c r="D5701" t="s">
        <v>214</v>
      </c>
      <c r="F5701" t="s">
        <v>1064</v>
      </c>
      <c r="J5701" t="s">
        <v>115</v>
      </c>
      <c r="K5701" s="18" t="s">
        <v>16309</v>
      </c>
      <c r="N5701" s="17" t="s">
        <v>81</v>
      </c>
      <c r="O5701" t="s">
        <v>199</v>
      </c>
      <c r="U5701" s="17"/>
      <c r="V5701" s="18" t="s">
        <v>16309</v>
      </c>
      <c r="W5701" t="s">
        <v>12068</v>
      </c>
      <c r="Y5701" s="17" t="s">
        <v>190</v>
      </c>
      <c r="AA5701" t="s">
        <v>118</v>
      </c>
      <c r="AB5701" t="s">
        <v>119</v>
      </c>
    </row>
    <row r="5702" ht="15" customHeight="1" spans="1:28" x14ac:dyDescent="0.25">
      <c r="A5702" s="17" t="s">
        <v>16310</v>
      </c>
      <c r="B5702" s="17" t="s">
        <v>70</v>
      </c>
      <c r="C5702" s="17" t="s">
        <v>71</v>
      </c>
      <c r="D5702" t="s">
        <v>214</v>
      </c>
      <c r="F5702" t="s">
        <v>301</v>
      </c>
      <c r="J5702" t="s">
        <v>115</v>
      </c>
      <c r="K5702" s="18" t="s">
        <v>16311</v>
      </c>
      <c r="N5702" s="17" t="s">
        <v>77</v>
      </c>
      <c r="O5702" t="s">
        <v>199</v>
      </c>
      <c r="V5702" s="18" t="s">
        <v>16311</v>
      </c>
      <c r="Y5702" t="s">
        <v>90</v>
      </c>
      <c r="AA5702" t="s">
        <v>118</v>
      </c>
      <c r="AB5702" t="s">
        <v>119</v>
      </c>
    </row>
    <row r="5703" ht="15" customHeight="1" spans="1:23" x14ac:dyDescent="0.25">
      <c r="A5703" s="17" t="s">
        <v>16312</v>
      </c>
      <c r="B5703" s="17" t="s">
        <v>70</v>
      </c>
      <c r="C5703" s="17" t="s">
        <v>71</v>
      </c>
      <c r="D5703" t="s">
        <v>214</v>
      </c>
      <c r="F5703" t="s">
        <v>16313</v>
      </c>
      <c r="K5703" s="18">
        <f>6281380885523</f>
        <v>6281380885523</v>
      </c>
      <c r="N5703" s="17" t="s">
        <v>77</v>
      </c>
      <c r="U5703" s="17"/>
      <c r="V5703" s="18">
        <f>6281380885523</f>
        <v>6281380885523</v>
      </c>
      <c r="W5703" t="s">
        <v>16314</v>
      </c>
    </row>
    <row r="5704" ht="15" customHeight="1" spans="1:22" x14ac:dyDescent="0.25">
      <c r="A5704" s="17" t="s">
        <v>16315</v>
      </c>
      <c r="B5704" s="17" t="s">
        <v>70</v>
      </c>
      <c r="C5704" s="17" t="s">
        <v>71</v>
      </c>
      <c r="D5704" t="s">
        <v>214</v>
      </c>
      <c r="F5704" t="s">
        <v>16316</v>
      </c>
      <c r="K5704" s="18">
        <f>62811146631</f>
        <v>62811146631</v>
      </c>
      <c r="N5704" s="17" t="s">
        <v>74</v>
      </c>
      <c r="V5704" s="18">
        <f>62811146631</f>
        <v>62811146631</v>
      </c>
    </row>
    <row r="5705" ht="15" customHeight="1" spans="1:22" x14ac:dyDescent="0.25">
      <c r="A5705" s="17" t="s">
        <v>16317</v>
      </c>
      <c r="B5705" s="17" t="s">
        <v>70</v>
      </c>
      <c r="C5705" s="17" t="s">
        <v>71</v>
      </c>
      <c r="D5705" t="s">
        <v>214</v>
      </c>
      <c r="F5705" t="s">
        <v>16318</v>
      </c>
      <c r="K5705" s="18">
        <f>6281384899512</f>
        <v>6281384899512</v>
      </c>
      <c r="N5705" s="17" t="s">
        <v>77</v>
      </c>
      <c r="V5705" s="18">
        <f>6281384899512</f>
        <v>6281384899512</v>
      </c>
    </row>
    <row r="5706" ht="15" customHeight="1" spans="1:22" x14ac:dyDescent="0.25">
      <c r="A5706" s="17" t="s">
        <v>16319</v>
      </c>
      <c r="B5706" s="17" t="s">
        <v>70</v>
      </c>
      <c r="C5706" s="17" t="s">
        <v>71</v>
      </c>
      <c r="D5706" t="s">
        <v>214</v>
      </c>
      <c r="F5706" t="s">
        <v>16320</v>
      </c>
      <c r="K5706" s="18">
        <f>6281214477774</f>
        <v>6281214477774</v>
      </c>
      <c r="N5706" s="17" t="s">
        <v>77</v>
      </c>
      <c r="V5706" s="18">
        <f>6281214477774</f>
        <v>6281214477774</v>
      </c>
    </row>
    <row r="5707" ht="15" customHeight="1" spans="1:22" x14ac:dyDescent="0.25">
      <c r="A5707" s="17" t="s">
        <v>16321</v>
      </c>
      <c r="B5707" s="17" t="s">
        <v>70</v>
      </c>
      <c r="C5707" s="17" t="s">
        <v>71</v>
      </c>
      <c r="D5707" t="s">
        <v>16322</v>
      </c>
      <c r="F5707" t="s">
        <v>584</v>
      </c>
      <c r="K5707" s="18">
        <f>6285256777659</f>
        <v>6285256777659</v>
      </c>
      <c r="N5707" s="17" t="s">
        <v>81</v>
      </c>
      <c r="V5707" s="18">
        <f>6285256777659</f>
        <v>6285256777659</v>
      </c>
    </row>
    <row r="5708" ht="15" customHeight="1" spans="1:22" x14ac:dyDescent="0.25">
      <c r="A5708" s="17" t="s">
        <v>16323</v>
      </c>
      <c r="B5708" s="17" t="s">
        <v>70</v>
      </c>
      <c r="C5708" s="17" t="s">
        <v>71</v>
      </c>
      <c r="D5708" t="s">
        <v>16324</v>
      </c>
      <c r="F5708" t="s">
        <v>16324</v>
      </c>
      <c r="K5708" s="18">
        <f>628111981745</f>
        <v>628111981745</v>
      </c>
      <c r="N5708" s="17" t="s">
        <v>77</v>
      </c>
      <c r="V5708" s="18">
        <f>628111981745</f>
        <v>628111981745</v>
      </c>
    </row>
    <row r="5709" ht="15" customHeight="1" spans="1:22" x14ac:dyDescent="0.25">
      <c r="A5709" s="17" t="s">
        <v>16325</v>
      </c>
      <c r="B5709" s="17" t="s">
        <v>70</v>
      </c>
      <c r="C5709" s="17" t="s">
        <v>71</v>
      </c>
      <c r="D5709" t="s">
        <v>16326</v>
      </c>
      <c r="F5709" t="s">
        <v>16327</v>
      </c>
      <c r="K5709" s="18">
        <f>628111952999</f>
        <v>628111952999</v>
      </c>
      <c r="N5709" s="17" t="s">
        <v>81</v>
      </c>
      <c r="V5709" s="18">
        <f>628111952999</f>
        <v>628111952999</v>
      </c>
    </row>
    <row r="5710" ht="15" customHeight="1" spans="1:27" x14ac:dyDescent="0.25">
      <c r="A5710" s="17" t="s">
        <v>16328</v>
      </c>
      <c r="B5710" s="17" t="s">
        <v>70</v>
      </c>
      <c r="C5710" s="17" t="s">
        <v>71</v>
      </c>
      <c r="D5710" t="s">
        <v>16329</v>
      </c>
      <c r="F5710" t="s">
        <v>1169</v>
      </c>
      <c r="J5710" s="17" t="s">
        <v>16330</v>
      </c>
      <c r="K5710" s="18">
        <f>62811812581</f>
        <v>62811812581</v>
      </c>
      <c r="N5710" s="17" t="s">
        <v>77</v>
      </c>
      <c r="U5710" s="17"/>
      <c r="V5710" s="18">
        <f>62811812581</f>
        <v>62811812581</v>
      </c>
      <c r="W5710" t="s">
        <v>16331</v>
      </c>
      <c r="Y5710" s="17" t="s">
        <v>96</v>
      </c>
      <c r="AA5710" s="17">
        <v>12310</v>
      </c>
    </row>
    <row r="5711" ht="15" customHeight="1" spans="1:27" x14ac:dyDescent="0.25">
      <c r="A5711" s="17" t="s">
        <v>16332</v>
      </c>
      <c r="B5711" s="17" t="s">
        <v>70</v>
      </c>
      <c r="C5711" s="17" t="s">
        <v>71</v>
      </c>
      <c r="D5711" t="s">
        <v>16333</v>
      </c>
      <c r="F5711" t="s">
        <v>16334</v>
      </c>
      <c r="J5711" s="17" t="s">
        <v>16335</v>
      </c>
      <c r="K5711" s="18">
        <f>6285233161718</f>
        <v>6285233161718</v>
      </c>
      <c r="N5711" s="17" t="s">
        <v>77</v>
      </c>
      <c r="U5711" s="17"/>
      <c r="V5711" s="18">
        <f>6285233161718</f>
        <v>6285233161718</v>
      </c>
      <c r="W5711" t="s">
        <v>16336</v>
      </c>
      <c r="Y5711" s="17" t="s">
        <v>704</v>
      </c>
      <c r="AA5711" s="17">
        <v>60225</v>
      </c>
    </row>
    <row r="5712" ht="15" customHeight="1" spans="1:23" x14ac:dyDescent="0.25">
      <c r="A5712" s="17" t="s">
        <v>16337</v>
      </c>
      <c r="B5712" s="17" t="s">
        <v>70</v>
      </c>
      <c r="C5712" s="17" t="s">
        <v>71</v>
      </c>
      <c r="D5712" t="s">
        <v>11240</v>
      </c>
      <c r="F5712" t="s">
        <v>16338</v>
      </c>
      <c r="K5712" s="18">
        <f>62816834810</f>
        <v>62816834810</v>
      </c>
      <c r="N5712" s="17" t="s">
        <v>81</v>
      </c>
      <c r="U5712" s="17"/>
      <c r="V5712" s="18">
        <f>62816834810</f>
        <v>62816834810</v>
      </c>
      <c r="W5712" t="s">
        <v>16339</v>
      </c>
    </row>
    <row r="5713" ht="15" customHeight="1" spans="1:25" x14ac:dyDescent="0.25">
      <c r="A5713" s="17" t="s">
        <v>16340</v>
      </c>
      <c r="B5713" s="17" t="s">
        <v>70</v>
      </c>
      <c r="C5713" s="17" t="s">
        <v>71</v>
      </c>
      <c r="D5713" t="s">
        <v>11240</v>
      </c>
      <c r="F5713" t="s">
        <v>16341</v>
      </c>
      <c r="K5713" s="18" t="s">
        <v>16342</v>
      </c>
      <c r="N5713" s="17" t="s">
        <v>77</v>
      </c>
      <c r="U5713" s="17"/>
      <c r="V5713" s="18" t="s">
        <v>16342</v>
      </c>
      <c r="W5713" t="s">
        <v>16343</v>
      </c>
      <c r="Y5713" s="17" t="s">
        <v>626</v>
      </c>
    </row>
    <row r="5714" ht="15" customHeight="1" spans="1:22" x14ac:dyDescent="0.25">
      <c r="A5714" s="17" t="s">
        <v>16344</v>
      </c>
      <c r="B5714" s="17" t="s">
        <v>70</v>
      </c>
      <c r="C5714" s="17" t="s">
        <v>71</v>
      </c>
      <c r="D5714" t="s">
        <v>16345</v>
      </c>
      <c r="F5714" t="s">
        <v>16346</v>
      </c>
      <c r="K5714" s="18">
        <f>62217268193</f>
        <v>62217268193</v>
      </c>
      <c r="N5714" s="17" t="s">
        <v>77</v>
      </c>
      <c r="V5714" s="18">
        <f>62217268193</f>
        <v>62217268193</v>
      </c>
    </row>
    <row r="5715" ht="15" customHeight="1" spans="1:25" x14ac:dyDescent="0.25">
      <c r="A5715" s="17" t="s">
        <v>16347</v>
      </c>
      <c r="B5715" s="17" t="s">
        <v>70</v>
      </c>
      <c r="C5715" s="17" t="s">
        <v>71</v>
      </c>
      <c r="D5715" t="s">
        <v>16348</v>
      </c>
      <c r="F5715" t="s">
        <v>16349</v>
      </c>
      <c r="K5715" s="18">
        <f>628111558106</f>
        <v>628111558106</v>
      </c>
      <c r="N5715" s="17" t="s">
        <v>77</v>
      </c>
      <c r="U5715" s="17"/>
      <c r="V5715" s="18">
        <f>628111558106</f>
        <v>628111558106</v>
      </c>
      <c r="W5715" t="s">
        <v>16350</v>
      </c>
      <c r="Y5715" s="17" t="s">
        <v>3320</v>
      </c>
    </row>
    <row r="5716" ht="15" customHeight="1" spans="1:22" x14ac:dyDescent="0.25">
      <c r="A5716" s="17" t="s">
        <v>16351</v>
      </c>
      <c r="B5716" s="17" t="s">
        <v>70</v>
      </c>
      <c r="C5716" s="17" t="s">
        <v>71</v>
      </c>
      <c r="D5716" t="s">
        <v>16352</v>
      </c>
      <c r="F5716" t="s">
        <v>16353</v>
      </c>
      <c r="K5716" s="18">
        <f>6281360088880</f>
        <v>6281360088880</v>
      </c>
      <c r="N5716" s="17" t="s">
        <v>81</v>
      </c>
      <c r="V5716" s="18">
        <f>6281360088880</f>
        <v>6281360088880</v>
      </c>
    </row>
    <row r="5717" ht="15" customHeight="1" spans="1:22" x14ac:dyDescent="0.25">
      <c r="A5717" s="17" t="s">
        <v>16354</v>
      </c>
      <c r="B5717" s="17" t="s">
        <v>70</v>
      </c>
      <c r="C5717" s="17" t="s">
        <v>71</v>
      </c>
      <c r="D5717" t="s">
        <v>16355</v>
      </c>
      <c r="F5717" t="s">
        <v>16355</v>
      </c>
      <c r="K5717" s="18">
        <f>6281514340290</f>
        <v>6281514340290</v>
      </c>
      <c r="N5717" s="17" t="s">
        <v>77</v>
      </c>
      <c r="V5717" s="18">
        <f>6281514340290</f>
        <v>6281514340290</v>
      </c>
    </row>
    <row r="5718" ht="15" customHeight="1" spans="1:25" x14ac:dyDescent="0.25">
      <c r="A5718" s="17" t="s">
        <v>16356</v>
      </c>
      <c r="B5718" s="17" t="s">
        <v>70</v>
      </c>
      <c r="C5718" s="17" t="s">
        <v>71</v>
      </c>
      <c r="D5718" t="s">
        <v>16357</v>
      </c>
      <c r="F5718" t="s">
        <v>913</v>
      </c>
      <c r="K5718" s="18">
        <f>628196050530</f>
        <v>628196050530</v>
      </c>
      <c r="N5718" s="17" t="s">
        <v>81</v>
      </c>
      <c r="U5718" s="17"/>
      <c r="V5718" s="18">
        <f>628196050530</f>
        <v>628196050530</v>
      </c>
      <c r="W5718" t="s">
        <v>16358</v>
      </c>
      <c r="Y5718" s="17" t="s">
        <v>16359</v>
      </c>
    </row>
    <row r="5719" ht="15" customHeight="1" spans="1:23" x14ac:dyDescent="0.25">
      <c r="A5719" s="17" t="s">
        <v>16360</v>
      </c>
      <c r="B5719" s="17" t="s">
        <v>70</v>
      </c>
      <c r="C5719" s="17" t="s">
        <v>71</v>
      </c>
      <c r="D5719" t="s">
        <v>16361</v>
      </c>
      <c r="F5719" t="s">
        <v>16361</v>
      </c>
      <c r="K5719" s="18">
        <f>6281213520709</f>
        <v>6281213520709</v>
      </c>
      <c r="N5719" s="17" t="s">
        <v>77</v>
      </c>
      <c r="U5719" s="17"/>
      <c r="V5719" s="18">
        <f>6281213520709</f>
        <v>6281213520709</v>
      </c>
      <c r="W5719" t="s">
        <v>16362</v>
      </c>
    </row>
    <row r="5720" ht="15" customHeight="1" spans="1:25" x14ac:dyDescent="0.25">
      <c r="A5720" s="17" t="s">
        <v>16363</v>
      </c>
      <c r="B5720" s="17" t="s">
        <v>70</v>
      </c>
      <c r="C5720" s="17" t="s">
        <v>71</v>
      </c>
      <c r="D5720" t="s">
        <v>16364</v>
      </c>
      <c r="F5720" t="s">
        <v>16365</v>
      </c>
      <c r="J5720" s="17" t="s">
        <v>16366</v>
      </c>
      <c r="K5720" s="18">
        <f>971504246668</f>
        <v>971504246668</v>
      </c>
      <c r="N5720" s="17" t="s">
        <v>77</v>
      </c>
      <c r="U5720" s="17"/>
      <c r="V5720" s="18">
        <f>971504246668</f>
        <v>971504246668</v>
      </c>
      <c r="W5720" t="s">
        <v>16367</v>
      </c>
      <c r="Y5720" s="17" t="s">
        <v>250</v>
      </c>
    </row>
    <row r="5721" ht="15" customHeight="1" spans="1:27" x14ac:dyDescent="0.25">
      <c r="A5721" s="17" t="s">
        <v>16368</v>
      </c>
      <c r="B5721" s="17" t="s">
        <v>70</v>
      </c>
      <c r="C5721" s="17" t="s">
        <v>71</v>
      </c>
      <c r="D5721" t="s">
        <v>16369</v>
      </c>
      <c r="F5721" t="s">
        <v>16370</v>
      </c>
      <c r="J5721" s="17" t="s">
        <v>16371</v>
      </c>
      <c r="K5721" s="18">
        <f>6282188888506</f>
        <v>6282188888506</v>
      </c>
      <c r="N5721" s="17" t="s">
        <v>77</v>
      </c>
      <c r="U5721" s="17"/>
      <c r="V5721" s="18">
        <f>6282188888506</f>
        <v>6282188888506</v>
      </c>
      <c r="W5721" t="s">
        <v>16372</v>
      </c>
      <c r="AA5721" s="17">
        <v>10350</v>
      </c>
    </row>
    <row r="5722" ht="15" customHeight="1" spans="1:22" x14ac:dyDescent="0.25">
      <c r="A5722" s="17" t="s">
        <v>16373</v>
      </c>
      <c r="B5722" s="17" t="s">
        <v>70</v>
      </c>
      <c r="C5722" s="17" t="s">
        <v>71</v>
      </c>
      <c r="D5722" t="s">
        <v>3638</v>
      </c>
      <c r="F5722" t="s">
        <v>3638</v>
      </c>
      <c r="K5722" s="18">
        <f>628122232001</f>
        <v>628122232001</v>
      </c>
      <c r="N5722" s="17" t="s">
        <v>77</v>
      </c>
      <c r="V5722" s="18">
        <f>628122232001</f>
        <v>628122232001</v>
      </c>
    </row>
    <row r="5723" ht="15" customHeight="1" spans="1:28" x14ac:dyDescent="0.25">
      <c r="A5723" s="17" t="s">
        <v>16374</v>
      </c>
      <c r="B5723" s="17" t="s">
        <v>70</v>
      </c>
      <c r="C5723" s="17" t="s">
        <v>71</v>
      </c>
      <c r="D5723" t="s">
        <v>3638</v>
      </c>
      <c r="F5723" t="s">
        <v>16375</v>
      </c>
      <c r="J5723" t="s">
        <v>115</v>
      </c>
      <c r="K5723" s="18" t="s">
        <v>16376</v>
      </c>
      <c r="N5723" s="17" t="s">
        <v>77</v>
      </c>
      <c r="O5723" t="s">
        <v>199</v>
      </c>
      <c r="V5723" s="18" t="s">
        <v>16376</v>
      </c>
      <c r="Y5723" t="s">
        <v>90</v>
      </c>
      <c r="AA5723" t="s">
        <v>118</v>
      </c>
      <c r="AB5723" t="s">
        <v>119</v>
      </c>
    </row>
    <row r="5724" ht="15" customHeight="1" spans="1:23" x14ac:dyDescent="0.25">
      <c r="A5724" s="17" t="s">
        <v>16377</v>
      </c>
      <c r="B5724" s="17" t="s">
        <v>70</v>
      </c>
      <c r="C5724" s="17" t="s">
        <v>71</v>
      </c>
      <c r="D5724" t="s">
        <v>3638</v>
      </c>
      <c r="F5724" t="s">
        <v>16378</v>
      </c>
      <c r="K5724" s="18">
        <f>62816930379</f>
        <v>62816930379</v>
      </c>
      <c r="N5724" s="17" t="s">
        <v>81</v>
      </c>
      <c r="U5724" s="17"/>
      <c r="V5724" s="18">
        <f>62816930379</f>
        <v>62816930379</v>
      </c>
      <c r="W5724" t="s">
        <v>16379</v>
      </c>
    </row>
    <row r="5725" ht="15" customHeight="1" spans="1:28" x14ac:dyDescent="0.25">
      <c r="A5725" s="17" t="s">
        <v>16380</v>
      </c>
      <c r="B5725" s="17" t="s">
        <v>70</v>
      </c>
      <c r="C5725" s="17" t="s">
        <v>71</v>
      </c>
      <c r="D5725" t="s">
        <v>3638</v>
      </c>
      <c r="F5725" t="s">
        <v>16381</v>
      </c>
      <c r="J5725" t="s">
        <v>115</v>
      </c>
      <c r="K5725" s="18" t="s">
        <v>16382</v>
      </c>
      <c r="N5725" s="17" t="s">
        <v>81</v>
      </c>
      <c r="O5725" t="s">
        <v>145</v>
      </c>
      <c r="V5725" s="18" t="s">
        <v>16382</v>
      </c>
      <c r="Y5725" t="s">
        <v>90</v>
      </c>
      <c r="AA5725" t="s">
        <v>118</v>
      </c>
      <c r="AB5725" t="s">
        <v>119</v>
      </c>
    </row>
    <row r="5726" ht="15" customHeight="1" spans="1:28" x14ac:dyDescent="0.25">
      <c r="A5726" s="17" t="s">
        <v>16383</v>
      </c>
      <c r="B5726" s="17" t="s">
        <v>70</v>
      </c>
      <c r="C5726" s="17" t="s">
        <v>71</v>
      </c>
      <c r="D5726" t="s">
        <v>3638</v>
      </c>
      <c r="F5726" t="s">
        <v>16384</v>
      </c>
      <c r="J5726" s="17" t="s">
        <v>16385</v>
      </c>
      <c r="K5726" s="18" t="s">
        <v>16386</v>
      </c>
      <c r="N5726" s="17" t="s">
        <v>77</v>
      </c>
      <c r="O5726" t="s">
        <v>145</v>
      </c>
      <c r="V5726" s="18" t="s">
        <v>16386</v>
      </c>
      <c r="Y5726" t="s">
        <v>115</v>
      </c>
      <c r="AA5726" t="s">
        <v>115</v>
      </c>
      <c r="AB5726" t="s">
        <v>1903</v>
      </c>
    </row>
    <row r="5727" ht="15" customHeight="1" spans="1:28" x14ac:dyDescent="0.25">
      <c r="A5727" s="17" t="s">
        <v>16387</v>
      </c>
      <c r="B5727" s="17" t="s">
        <v>70</v>
      </c>
      <c r="C5727" s="17" t="s">
        <v>71</v>
      </c>
      <c r="D5727" t="s">
        <v>3638</v>
      </c>
      <c r="F5727" t="s">
        <v>672</v>
      </c>
      <c r="J5727" s="17" t="s">
        <v>16388</v>
      </c>
      <c r="K5727" s="18" t="s">
        <v>16389</v>
      </c>
      <c r="N5727" s="17" t="s">
        <v>77</v>
      </c>
      <c r="O5727" t="s">
        <v>199</v>
      </c>
      <c r="V5727" s="18" t="s">
        <v>16389</v>
      </c>
      <c r="Y5727" t="s">
        <v>190</v>
      </c>
      <c r="AA5727" t="s">
        <v>118</v>
      </c>
      <c r="AB5727" t="s">
        <v>119</v>
      </c>
    </row>
    <row r="5728" ht="15" customHeight="1" spans="1:22" x14ac:dyDescent="0.25">
      <c r="A5728" s="17" t="s">
        <v>16390</v>
      </c>
      <c r="B5728" s="17" t="s">
        <v>70</v>
      </c>
      <c r="C5728" s="17" t="s">
        <v>71</v>
      </c>
      <c r="D5728" t="s">
        <v>16391</v>
      </c>
      <c r="F5728" t="s">
        <v>16391</v>
      </c>
      <c r="K5728" s="18">
        <f>6287878575477</f>
        <v>6287878575477</v>
      </c>
      <c r="N5728" s="17" t="s">
        <v>81</v>
      </c>
      <c r="V5728" s="18">
        <f>6287878575477</f>
        <v>6287878575477</v>
      </c>
    </row>
    <row r="5729" ht="15" customHeight="1" spans="1:22" x14ac:dyDescent="0.25">
      <c r="A5729" s="17" t="s">
        <v>16392</v>
      </c>
      <c r="B5729" s="17" t="s">
        <v>70</v>
      </c>
      <c r="C5729" s="17" t="s">
        <v>71</v>
      </c>
      <c r="D5729" t="s">
        <v>16391</v>
      </c>
      <c r="F5729" t="s">
        <v>16391</v>
      </c>
      <c r="K5729" s="18">
        <f>6281210126580</f>
        <v>6281210126580</v>
      </c>
      <c r="N5729" s="17" t="s">
        <v>77</v>
      </c>
      <c r="V5729" s="18">
        <f>6281210126580</f>
        <v>6281210126580</v>
      </c>
    </row>
    <row r="5730" ht="15" customHeight="1" spans="1:28" x14ac:dyDescent="0.25">
      <c r="A5730" s="17" t="s">
        <v>16393</v>
      </c>
      <c r="B5730" s="17" t="s">
        <v>70</v>
      </c>
      <c r="C5730" s="17" t="s">
        <v>71</v>
      </c>
      <c r="D5730" t="s">
        <v>16391</v>
      </c>
      <c r="F5730" t="s">
        <v>2903</v>
      </c>
      <c r="J5730" t="s">
        <v>115</v>
      </c>
      <c r="K5730" s="18" t="s">
        <v>16394</v>
      </c>
      <c r="N5730" s="17" t="s">
        <v>81</v>
      </c>
      <c r="O5730" t="s">
        <v>117</v>
      </c>
      <c r="V5730" s="18" t="s">
        <v>16394</v>
      </c>
      <c r="Y5730" t="s">
        <v>90</v>
      </c>
      <c r="AA5730" t="s">
        <v>118</v>
      </c>
      <c r="AB5730" t="s">
        <v>119</v>
      </c>
    </row>
    <row r="5731" ht="15" customHeight="1" spans="1:28" x14ac:dyDescent="0.25">
      <c r="A5731" s="17" t="s">
        <v>16395</v>
      </c>
      <c r="B5731" s="17" t="s">
        <v>70</v>
      </c>
      <c r="C5731" s="17" t="s">
        <v>71</v>
      </c>
      <c r="D5731" t="s">
        <v>16391</v>
      </c>
      <c r="F5731" t="s">
        <v>16391</v>
      </c>
      <c r="J5731" t="s">
        <v>115</v>
      </c>
      <c r="K5731" s="18" t="s">
        <v>16396</v>
      </c>
      <c r="N5731" s="17" t="s">
        <v>77</v>
      </c>
      <c r="O5731" t="s">
        <v>117</v>
      </c>
      <c r="V5731" s="18" t="s">
        <v>16396</v>
      </c>
      <c r="Y5731" t="s">
        <v>90</v>
      </c>
      <c r="AA5731" t="s">
        <v>118</v>
      </c>
      <c r="AB5731" t="s">
        <v>119</v>
      </c>
    </row>
    <row r="5732" ht="15" customHeight="1" spans="1:22" x14ac:dyDescent="0.25">
      <c r="A5732" s="17" t="s">
        <v>16397</v>
      </c>
      <c r="B5732" s="17" t="s">
        <v>70</v>
      </c>
      <c r="C5732" s="17" t="s">
        <v>71</v>
      </c>
      <c r="D5732" t="s">
        <v>16391</v>
      </c>
      <c r="F5732" t="s">
        <v>3134</v>
      </c>
      <c r="K5732" s="18">
        <f>628121121881</f>
        <v>628121121881</v>
      </c>
      <c r="N5732" s="17" t="s">
        <v>77</v>
      </c>
      <c r="V5732" s="18">
        <f>628121121881</f>
        <v>628121121881</v>
      </c>
    </row>
    <row r="5733" ht="15" customHeight="1" spans="1:22" x14ac:dyDescent="0.25">
      <c r="A5733" s="17" t="s">
        <v>16398</v>
      </c>
      <c r="B5733" s="17" t="s">
        <v>70</v>
      </c>
      <c r="C5733" s="17" t="s">
        <v>71</v>
      </c>
      <c r="D5733" t="s">
        <v>16391</v>
      </c>
      <c r="F5733" t="s">
        <v>16399</v>
      </c>
      <c r="K5733" s="18">
        <f>62816950500</f>
        <v>62816950500</v>
      </c>
      <c r="N5733" s="17" t="s">
        <v>77</v>
      </c>
      <c r="V5733" s="18">
        <f>62816950500</f>
        <v>62816950500</v>
      </c>
    </row>
    <row r="5734" ht="15" customHeight="1" spans="1:28" x14ac:dyDescent="0.25">
      <c r="A5734" s="17" t="s">
        <v>16400</v>
      </c>
      <c r="B5734" s="17" t="s">
        <v>70</v>
      </c>
      <c r="C5734" s="17" t="s">
        <v>71</v>
      </c>
      <c r="D5734" t="s">
        <v>15032</v>
      </c>
      <c r="F5734" t="s">
        <v>2159</v>
      </c>
      <c r="J5734" t="s">
        <v>115</v>
      </c>
      <c r="K5734" s="18" t="s">
        <v>16401</v>
      </c>
      <c r="N5734" s="17" t="s">
        <v>77</v>
      </c>
      <c r="O5734" t="s">
        <v>117</v>
      </c>
      <c r="V5734" s="18" t="s">
        <v>16401</v>
      </c>
      <c r="Y5734" t="s">
        <v>90</v>
      </c>
      <c r="AA5734" t="s">
        <v>118</v>
      </c>
      <c r="AB5734" t="s">
        <v>119</v>
      </c>
    </row>
    <row r="5735" ht="15" customHeight="1" spans="1:27" x14ac:dyDescent="0.25">
      <c r="A5735" s="17" t="s">
        <v>16402</v>
      </c>
      <c r="B5735" s="17" t="s">
        <v>70</v>
      </c>
      <c r="C5735" s="17" t="s">
        <v>71</v>
      </c>
      <c r="D5735" t="s">
        <v>16391</v>
      </c>
      <c r="F5735" t="s">
        <v>16403</v>
      </c>
      <c r="J5735" s="17" t="s">
        <v>16404</v>
      </c>
      <c r="K5735" s="18">
        <f>62818260778</f>
        <v>62818260778</v>
      </c>
      <c r="N5735" s="17" t="s">
        <v>77</v>
      </c>
      <c r="U5735" s="17"/>
      <c r="V5735" s="18">
        <f>62818260778</f>
        <v>62818260778</v>
      </c>
      <c r="W5735" t="s">
        <v>16405</v>
      </c>
      <c r="AA5735" s="17">
        <v>13220</v>
      </c>
    </row>
    <row r="5736" ht="15" customHeight="1" spans="1:25" x14ac:dyDescent="0.25">
      <c r="A5736" s="17" t="s">
        <v>16406</v>
      </c>
      <c r="B5736" s="17" t="s">
        <v>70</v>
      </c>
      <c r="C5736" s="17" t="s">
        <v>71</v>
      </c>
      <c r="D5736" t="s">
        <v>16391</v>
      </c>
      <c r="F5736" t="s">
        <v>16407</v>
      </c>
      <c r="K5736" s="18">
        <f>6281380607607</f>
        <v>6281380607607</v>
      </c>
      <c r="N5736" s="17" t="s">
        <v>77</v>
      </c>
      <c r="U5736" s="17"/>
      <c r="V5736" s="18">
        <f>6281380607607</f>
        <v>6281380607607</v>
      </c>
      <c r="W5736" t="s">
        <v>16408</v>
      </c>
      <c r="Y5736" s="17" t="s">
        <v>4993</v>
      </c>
    </row>
    <row r="5737" ht="15" customHeight="1" spans="1:25" x14ac:dyDescent="0.25">
      <c r="A5737" s="17" t="s">
        <v>16409</v>
      </c>
      <c r="B5737" s="17" t="s">
        <v>70</v>
      </c>
      <c r="C5737" s="17" t="s">
        <v>71</v>
      </c>
      <c r="D5737" t="s">
        <v>16391</v>
      </c>
      <c r="F5737" t="s">
        <v>16410</v>
      </c>
      <c r="J5737" s="17" t="s">
        <v>16411</v>
      </c>
      <c r="K5737" s="18">
        <f>6281807892632</f>
        <v>6281807892632</v>
      </c>
      <c r="N5737" s="17" t="s">
        <v>74</v>
      </c>
      <c r="U5737" s="17"/>
      <c r="V5737" s="18">
        <f>6281807892632</f>
        <v>6281807892632</v>
      </c>
      <c r="W5737" t="s">
        <v>16412</v>
      </c>
      <c r="Y5737" s="17" t="s">
        <v>16413</v>
      </c>
    </row>
    <row r="5738" ht="15" customHeight="1" spans="1:23" x14ac:dyDescent="0.25">
      <c r="A5738" s="17" t="s">
        <v>16414</v>
      </c>
      <c r="B5738" s="17" t="s">
        <v>70</v>
      </c>
      <c r="C5738" s="17" t="s">
        <v>71</v>
      </c>
      <c r="D5738" t="s">
        <v>16391</v>
      </c>
      <c r="F5738" t="s">
        <v>16415</v>
      </c>
      <c r="K5738" s="18">
        <f>6281285001991</f>
        <v>6281285001991</v>
      </c>
      <c r="N5738" s="17" t="s">
        <v>81</v>
      </c>
      <c r="U5738" s="17"/>
      <c r="V5738" s="18">
        <f>6281285001991</f>
        <v>6281285001991</v>
      </c>
      <c r="W5738" t="s">
        <v>16416</v>
      </c>
    </row>
    <row r="5739" ht="15" customHeight="1" spans="1:22" x14ac:dyDescent="0.25">
      <c r="A5739" s="17" t="s">
        <v>16417</v>
      </c>
      <c r="B5739" s="17" t="s">
        <v>70</v>
      </c>
      <c r="C5739" s="17" t="s">
        <v>71</v>
      </c>
      <c r="D5739" t="s">
        <v>16391</v>
      </c>
      <c r="F5739" t="s">
        <v>3585</v>
      </c>
      <c r="K5739" s="18">
        <f>628161129409</f>
        <v>628161129409</v>
      </c>
      <c r="N5739" s="17" t="s">
        <v>77</v>
      </c>
      <c r="V5739" s="18">
        <f>628161129409</f>
        <v>628161129409</v>
      </c>
    </row>
    <row r="5740" ht="15" customHeight="1" spans="1:25" x14ac:dyDescent="0.25">
      <c r="A5740" s="17" t="s">
        <v>16418</v>
      </c>
      <c r="B5740" s="17" t="s">
        <v>70</v>
      </c>
      <c r="C5740" s="17" t="s">
        <v>71</v>
      </c>
      <c r="D5740" t="s">
        <v>16391</v>
      </c>
      <c r="F5740" t="s">
        <v>16419</v>
      </c>
      <c r="K5740" s="18">
        <f>628161320660</f>
        <v>628161320660</v>
      </c>
      <c r="N5740" s="17" t="s">
        <v>77</v>
      </c>
      <c r="U5740" s="17"/>
      <c r="V5740" s="18">
        <f>628161320660</f>
        <v>628161320660</v>
      </c>
      <c r="W5740" t="s">
        <v>16420</v>
      </c>
      <c r="Y5740" s="17" t="s">
        <v>217</v>
      </c>
    </row>
    <row r="5741" ht="15" customHeight="1" spans="1:28" x14ac:dyDescent="0.25">
      <c r="A5741" s="17" t="s">
        <v>16421</v>
      </c>
      <c r="B5741" s="17" t="s">
        <v>70</v>
      </c>
      <c r="C5741" s="17" t="s">
        <v>71</v>
      </c>
      <c r="D5741" t="s">
        <v>16270</v>
      </c>
      <c r="F5741" t="s">
        <v>8645</v>
      </c>
      <c r="J5741" t="s">
        <v>115</v>
      </c>
      <c r="K5741" s="18" t="s">
        <v>16422</v>
      </c>
      <c r="N5741" s="17" t="s">
        <v>77</v>
      </c>
      <c r="O5741" t="s">
        <v>117</v>
      </c>
      <c r="V5741" s="18" t="s">
        <v>16422</v>
      </c>
      <c r="Y5741" t="s">
        <v>515</v>
      </c>
      <c r="AA5741" t="s">
        <v>1614</v>
      </c>
      <c r="AB5741" t="s">
        <v>119</v>
      </c>
    </row>
    <row r="5742" ht="15" customHeight="1" spans="1:22" x14ac:dyDescent="0.25">
      <c r="A5742" s="17" t="s">
        <v>16423</v>
      </c>
      <c r="B5742" s="17" t="s">
        <v>70</v>
      </c>
      <c r="C5742" s="17" t="s">
        <v>71</v>
      </c>
      <c r="D5742" t="s">
        <v>16391</v>
      </c>
      <c r="F5742" t="s">
        <v>16424</v>
      </c>
      <c r="K5742" s="18">
        <v>42879113</v>
      </c>
      <c r="N5742" s="17" t="s">
        <v>77</v>
      </c>
      <c r="V5742" s="18">
        <v>42879113</v>
      </c>
    </row>
    <row r="5743" ht="15" customHeight="1" spans="1:22" x14ac:dyDescent="0.25">
      <c r="A5743" s="17" t="s">
        <v>16425</v>
      </c>
      <c r="B5743" s="17" t="s">
        <v>70</v>
      </c>
      <c r="C5743" s="17" t="s">
        <v>71</v>
      </c>
      <c r="D5743" t="s">
        <v>16391</v>
      </c>
      <c r="F5743" t="s">
        <v>1024</v>
      </c>
      <c r="K5743" s="18">
        <f>6281257873888</f>
        <v>6281257873888</v>
      </c>
      <c r="N5743" s="17" t="s">
        <v>77</v>
      </c>
      <c r="V5743" s="18">
        <f>6281257873888</f>
        <v>6281257873888</v>
      </c>
    </row>
    <row r="5744" ht="15" customHeight="1" spans="1:22" x14ac:dyDescent="0.25">
      <c r="A5744" s="17" t="s">
        <v>16426</v>
      </c>
      <c r="B5744" s="17" t="s">
        <v>70</v>
      </c>
      <c r="C5744" s="17" t="s">
        <v>71</v>
      </c>
      <c r="D5744" t="s">
        <v>16391</v>
      </c>
      <c r="F5744" t="s">
        <v>16427</v>
      </c>
      <c r="K5744" s="18">
        <f>62816647906</f>
        <v>62816647906</v>
      </c>
      <c r="N5744" s="17" t="s">
        <v>77</v>
      </c>
      <c r="V5744" s="18">
        <f>62816647906</f>
        <v>62816647906</v>
      </c>
    </row>
    <row r="5745" ht="15" customHeight="1" spans="1:25" x14ac:dyDescent="0.25">
      <c r="A5745" s="17" t="s">
        <v>16428</v>
      </c>
      <c r="B5745" s="17" t="s">
        <v>70</v>
      </c>
      <c r="C5745" s="17" t="s">
        <v>71</v>
      </c>
      <c r="D5745" t="s">
        <v>16391</v>
      </c>
      <c r="F5745" t="s">
        <v>672</v>
      </c>
      <c r="K5745" s="18">
        <f>6281808080462</f>
        <v>6281808080462</v>
      </c>
      <c r="N5745" s="17" t="s">
        <v>77</v>
      </c>
      <c r="U5745" s="17"/>
      <c r="V5745" s="18">
        <f>6281808080462</f>
        <v>6281808080462</v>
      </c>
      <c r="W5745" t="s">
        <v>16429</v>
      </c>
      <c r="Y5745" s="17" t="s">
        <v>6412</v>
      </c>
    </row>
    <row r="5746" ht="15" customHeight="1" spans="1:22" x14ac:dyDescent="0.25">
      <c r="A5746" s="17" t="s">
        <v>16430</v>
      </c>
      <c r="B5746" s="17" t="s">
        <v>70</v>
      </c>
      <c r="C5746" s="17" t="s">
        <v>71</v>
      </c>
      <c r="D5746" t="s">
        <v>16391</v>
      </c>
      <c r="F5746" t="s">
        <v>16431</v>
      </c>
      <c r="K5746" s="18">
        <f>62816817906</f>
        <v>62816817906</v>
      </c>
      <c r="N5746" s="17" t="s">
        <v>77</v>
      </c>
      <c r="V5746" s="18">
        <f>62816817906</f>
        <v>62816817906</v>
      </c>
    </row>
    <row r="5747" ht="15" customHeight="1" spans="1:22" x14ac:dyDescent="0.25">
      <c r="A5747" s="17" t="s">
        <v>16432</v>
      </c>
      <c r="B5747" s="17" t="s">
        <v>70</v>
      </c>
      <c r="C5747" s="17" t="s">
        <v>71</v>
      </c>
      <c r="D5747" t="s">
        <v>16433</v>
      </c>
      <c r="F5747" t="s">
        <v>16433</v>
      </c>
      <c r="K5747" s="18">
        <f>628118171591</f>
        <v>628118171591</v>
      </c>
      <c r="N5747" s="17" t="s">
        <v>77</v>
      </c>
      <c r="V5747" s="18">
        <f>628118171591</f>
        <v>628118171591</v>
      </c>
    </row>
    <row r="5748" ht="15" customHeight="1" spans="1:22" x14ac:dyDescent="0.25">
      <c r="A5748" s="17" t="s">
        <v>16434</v>
      </c>
      <c r="B5748" s="17" t="s">
        <v>70</v>
      </c>
      <c r="C5748" s="17" t="s">
        <v>71</v>
      </c>
      <c r="D5748" t="s">
        <v>1982</v>
      </c>
      <c r="F5748" t="s">
        <v>1982</v>
      </c>
      <c r="K5748" s="18">
        <f>628119988856</f>
        <v>628119988856</v>
      </c>
      <c r="N5748" s="17" t="s">
        <v>81</v>
      </c>
      <c r="V5748" s="18">
        <f>628119988856</f>
        <v>628119988856</v>
      </c>
    </row>
    <row r="5749" ht="15" customHeight="1" spans="1:22" x14ac:dyDescent="0.25">
      <c r="A5749" s="17" t="s">
        <v>16435</v>
      </c>
      <c r="B5749" s="17" t="s">
        <v>70</v>
      </c>
      <c r="C5749" s="17" t="s">
        <v>71</v>
      </c>
      <c r="D5749" t="s">
        <v>1982</v>
      </c>
      <c r="F5749" t="s">
        <v>282</v>
      </c>
      <c r="K5749" s="18">
        <f>62811802098</f>
        <v>62811802098</v>
      </c>
      <c r="N5749" s="17" t="s">
        <v>77</v>
      </c>
      <c r="V5749" s="18">
        <f>62811802098</f>
        <v>62811802098</v>
      </c>
    </row>
    <row r="5750" ht="15" customHeight="1" spans="1:22" x14ac:dyDescent="0.25">
      <c r="A5750" s="17" t="s">
        <v>16436</v>
      </c>
      <c r="B5750" s="17" t="s">
        <v>70</v>
      </c>
      <c r="C5750" s="17" t="s">
        <v>71</v>
      </c>
      <c r="D5750" t="s">
        <v>16437</v>
      </c>
      <c r="F5750" t="s">
        <v>16438</v>
      </c>
      <c r="K5750" s="18">
        <f>62816103355</f>
        <v>62816103355</v>
      </c>
      <c r="N5750" s="17" t="s">
        <v>81</v>
      </c>
      <c r="V5750" s="18">
        <f>62816103355</f>
        <v>62816103355</v>
      </c>
    </row>
    <row r="5751" ht="15" customHeight="1" spans="1:22" x14ac:dyDescent="0.25">
      <c r="A5751" s="17" t="s">
        <v>16439</v>
      </c>
      <c r="B5751" s="17" t="s">
        <v>70</v>
      </c>
      <c r="C5751" s="17" t="s">
        <v>71</v>
      </c>
      <c r="D5751" t="s">
        <v>16437</v>
      </c>
      <c r="F5751" t="s">
        <v>4291</v>
      </c>
      <c r="J5751" s="17" t="s">
        <v>16440</v>
      </c>
      <c r="K5751" s="18">
        <f>628121057318</f>
        <v>628121057318</v>
      </c>
      <c r="N5751" s="17" t="s">
        <v>74</v>
      </c>
      <c r="V5751" s="18">
        <f>628121057318</f>
        <v>628121057318</v>
      </c>
    </row>
    <row r="5752" ht="15" customHeight="1" spans="1:28" x14ac:dyDescent="0.25">
      <c r="A5752" s="17" t="s">
        <v>16441</v>
      </c>
      <c r="B5752" s="17" t="s">
        <v>70</v>
      </c>
      <c r="C5752" s="17" t="s">
        <v>71</v>
      </c>
      <c r="D5752" t="s">
        <v>16442</v>
      </c>
      <c r="F5752" t="s">
        <v>913</v>
      </c>
      <c r="J5752" t="s">
        <v>115</v>
      </c>
      <c r="K5752" s="18" t="s">
        <v>16443</v>
      </c>
      <c r="N5752" s="17" t="s">
        <v>77</v>
      </c>
      <c r="O5752" t="s">
        <v>117</v>
      </c>
      <c r="V5752" s="18" t="s">
        <v>16443</v>
      </c>
      <c r="Y5752" t="s">
        <v>190</v>
      </c>
      <c r="AA5752" t="s">
        <v>118</v>
      </c>
      <c r="AB5752" t="s">
        <v>119</v>
      </c>
    </row>
    <row r="5753" ht="15" customHeight="1" spans="1:27" x14ac:dyDescent="0.25">
      <c r="A5753" s="17" t="s">
        <v>16444</v>
      </c>
      <c r="B5753" s="17" t="s">
        <v>70</v>
      </c>
      <c r="C5753" s="17" t="s">
        <v>71</v>
      </c>
      <c r="D5753" t="s">
        <v>16445</v>
      </c>
      <c r="F5753" t="s">
        <v>9853</v>
      </c>
      <c r="K5753" s="18">
        <f>628161118343</f>
        <v>628161118343</v>
      </c>
      <c r="N5753" s="17" t="s">
        <v>77</v>
      </c>
      <c r="U5753" s="17"/>
      <c r="V5753" s="18">
        <f>628161118343</f>
        <v>628161118343</v>
      </c>
      <c r="W5753" t="s">
        <v>16446</v>
      </c>
      <c r="Y5753" s="17" t="s">
        <v>96</v>
      </c>
      <c r="AA5753" s="17">
        <v>12310</v>
      </c>
    </row>
    <row r="5754" ht="15" customHeight="1" spans="1:23" x14ac:dyDescent="0.25">
      <c r="A5754" s="17" t="s">
        <v>16447</v>
      </c>
      <c r="B5754" s="17" t="s">
        <v>70</v>
      </c>
      <c r="C5754" s="17" t="s">
        <v>71</v>
      </c>
      <c r="D5754" t="s">
        <v>2938</v>
      </c>
      <c r="F5754" t="s">
        <v>15881</v>
      </c>
      <c r="K5754" s="18">
        <f>85297508858</f>
        <v>85297508858</v>
      </c>
      <c r="N5754" s="17" t="s">
        <v>77</v>
      </c>
      <c r="U5754" s="17"/>
      <c r="V5754" s="18">
        <f>85297508858</f>
        <v>85297508858</v>
      </c>
      <c r="W5754" t="s">
        <v>16448</v>
      </c>
    </row>
    <row r="5755" ht="15" customHeight="1" spans="1:22" x14ac:dyDescent="0.25">
      <c r="A5755" s="17" t="s">
        <v>16449</v>
      </c>
      <c r="B5755" s="17" t="s">
        <v>70</v>
      </c>
      <c r="C5755" s="17" t="s">
        <v>71</v>
      </c>
      <c r="D5755" t="s">
        <v>2938</v>
      </c>
      <c r="F5755" t="s">
        <v>16450</v>
      </c>
      <c r="K5755" s="18">
        <f>6287801705911</f>
        <v>6287801705911</v>
      </c>
      <c r="N5755" s="17" t="s">
        <v>81</v>
      </c>
      <c r="V5755" s="18">
        <f>6287801705911</f>
        <v>6287801705911</v>
      </c>
    </row>
    <row r="5756" ht="15" customHeight="1" spans="1:23" x14ac:dyDescent="0.25">
      <c r="A5756" s="17" t="s">
        <v>16451</v>
      </c>
      <c r="B5756" s="17" t="s">
        <v>70</v>
      </c>
      <c r="C5756" s="17" t="s">
        <v>71</v>
      </c>
      <c r="D5756" t="s">
        <v>16452</v>
      </c>
      <c r="F5756" t="s">
        <v>16452</v>
      </c>
      <c r="J5756" s="17" t="s">
        <v>16453</v>
      </c>
      <c r="K5756" s="18">
        <f>6281318881931</f>
        <v>6281318881931</v>
      </c>
      <c r="N5756" s="17" t="s">
        <v>77</v>
      </c>
      <c r="U5756" s="17"/>
      <c r="V5756" s="18">
        <f>6281318881931</f>
        <v>6281318881931</v>
      </c>
      <c r="W5756" t="s">
        <v>16454</v>
      </c>
    </row>
    <row r="5757" ht="15" customHeight="1" spans="1:22" x14ac:dyDescent="0.25">
      <c r="A5757" s="17" t="s">
        <v>16455</v>
      </c>
      <c r="B5757" s="17" t="s">
        <v>70</v>
      </c>
      <c r="C5757" s="17" t="s">
        <v>71</v>
      </c>
      <c r="D5757" t="s">
        <v>3775</v>
      </c>
      <c r="F5757" t="s">
        <v>15898</v>
      </c>
      <c r="K5757" s="18">
        <f>6282282011111</f>
        <v>6282282011111</v>
      </c>
      <c r="N5757" s="17" t="s">
        <v>81</v>
      </c>
      <c r="V5757" s="18">
        <f>6282282011111</f>
        <v>6282282011111</v>
      </c>
    </row>
    <row r="5758" ht="15" customHeight="1" spans="1:28" x14ac:dyDescent="0.25">
      <c r="A5758" s="17" t="s">
        <v>16456</v>
      </c>
      <c r="B5758" s="17" t="s">
        <v>70</v>
      </c>
      <c r="C5758" s="17" t="s">
        <v>71</v>
      </c>
      <c r="D5758" t="s">
        <v>3259</v>
      </c>
      <c r="F5758" t="s">
        <v>16457</v>
      </c>
      <c r="J5758" t="s">
        <v>115</v>
      </c>
      <c r="K5758" s="18" t="s">
        <v>16458</v>
      </c>
      <c r="N5758" s="17" t="s">
        <v>77</v>
      </c>
      <c r="O5758" t="s">
        <v>489</v>
      </c>
      <c r="U5758" s="17"/>
      <c r="V5758" s="18" t="s">
        <v>16458</v>
      </c>
      <c r="W5758" t="s">
        <v>16459</v>
      </c>
      <c r="Y5758" t="s">
        <v>96</v>
      </c>
      <c r="AA5758" s="17" t="s">
        <v>693</v>
      </c>
      <c r="AB5758" t="s">
        <v>119</v>
      </c>
    </row>
    <row r="5759" ht="15" customHeight="1" spans="1:22" x14ac:dyDescent="0.25">
      <c r="A5759" s="17" t="s">
        <v>16460</v>
      </c>
      <c r="B5759" s="17" t="s">
        <v>70</v>
      </c>
      <c r="C5759" s="17" t="s">
        <v>71</v>
      </c>
      <c r="D5759" t="s">
        <v>3259</v>
      </c>
      <c r="F5759" t="s">
        <v>16461</v>
      </c>
      <c r="K5759" s="18">
        <f>628161988201</f>
        <v>628161988201</v>
      </c>
      <c r="N5759" s="17" t="s">
        <v>77</v>
      </c>
      <c r="V5759" s="18">
        <f>628161988201</f>
        <v>628161988201</v>
      </c>
    </row>
    <row r="5760" ht="15" customHeight="1" spans="1:22" x14ac:dyDescent="0.25">
      <c r="A5760" s="17" t="s">
        <v>16462</v>
      </c>
      <c r="B5760" s="17" t="s">
        <v>70</v>
      </c>
      <c r="C5760" s="17" t="s">
        <v>71</v>
      </c>
      <c r="D5760" t="s">
        <v>16463</v>
      </c>
      <c r="F5760" t="s">
        <v>3638</v>
      </c>
      <c r="K5760" s="18">
        <f>6281223111010</f>
        <v>6281223111010</v>
      </c>
      <c r="N5760" s="17" t="s">
        <v>77</v>
      </c>
      <c r="V5760" s="18">
        <f>6281223111010</f>
        <v>6281223111010</v>
      </c>
    </row>
    <row r="5761" ht="15" customHeight="1" spans="1:27" x14ac:dyDescent="0.25">
      <c r="A5761" s="17" t="s">
        <v>16464</v>
      </c>
      <c r="B5761" s="17" t="s">
        <v>70</v>
      </c>
      <c r="C5761" s="17" t="s">
        <v>71</v>
      </c>
      <c r="D5761" t="s">
        <v>16465</v>
      </c>
      <c r="F5761" t="s">
        <v>16466</v>
      </c>
      <c r="J5761" s="17" t="s">
        <v>16467</v>
      </c>
      <c r="K5761" s="18">
        <f>628115726699</f>
        <v>628115726699</v>
      </c>
      <c r="N5761" s="17" t="s">
        <v>77</v>
      </c>
      <c r="U5761" s="17"/>
      <c r="V5761" s="18">
        <f>628115726699</f>
        <v>628115726699</v>
      </c>
      <c r="W5761" t="s">
        <v>16468</v>
      </c>
      <c r="Y5761" s="17" t="s">
        <v>1151</v>
      </c>
      <c r="AA5761" s="17">
        <v>78121</v>
      </c>
    </row>
    <row r="5762" ht="15" customHeight="1" spans="1:22" x14ac:dyDescent="0.25">
      <c r="A5762" s="17" t="s">
        <v>16469</v>
      </c>
      <c r="B5762" s="17" t="s">
        <v>70</v>
      </c>
      <c r="C5762" s="17" t="s">
        <v>71</v>
      </c>
      <c r="D5762" t="s">
        <v>548</v>
      </c>
      <c r="F5762" t="s">
        <v>548</v>
      </c>
      <c r="K5762" s="18">
        <f>62811870247</f>
        <v>62811870247</v>
      </c>
      <c r="N5762" s="17" t="s">
        <v>77</v>
      </c>
      <c r="V5762" s="18">
        <f>62811870247</f>
        <v>62811870247</v>
      </c>
    </row>
    <row r="5763" ht="15" customHeight="1" spans="1:23" x14ac:dyDescent="0.25">
      <c r="A5763" s="17" t="s">
        <v>16470</v>
      </c>
      <c r="B5763" s="17" t="s">
        <v>70</v>
      </c>
      <c r="C5763" s="17" t="s">
        <v>71</v>
      </c>
      <c r="D5763" t="s">
        <v>548</v>
      </c>
      <c r="F5763" t="s">
        <v>3125</v>
      </c>
      <c r="J5763" s="17" t="s">
        <v>16471</v>
      </c>
      <c r="K5763" s="18">
        <f>628128251162</f>
        <v>628128251162</v>
      </c>
      <c r="N5763" s="17" t="s">
        <v>77</v>
      </c>
      <c r="U5763" s="17"/>
      <c r="V5763" s="18">
        <f>628128251162</f>
        <v>628128251162</v>
      </c>
      <c r="W5763" t="s">
        <v>16472</v>
      </c>
    </row>
    <row r="5764" ht="15" customHeight="1" spans="1:23" x14ac:dyDescent="0.25">
      <c r="A5764" s="17" t="s">
        <v>16473</v>
      </c>
      <c r="B5764" s="17" t="s">
        <v>70</v>
      </c>
      <c r="C5764" s="17" t="s">
        <v>71</v>
      </c>
      <c r="D5764" t="s">
        <v>548</v>
      </c>
      <c r="F5764" t="s">
        <v>2159</v>
      </c>
      <c r="K5764" s="18">
        <f>62811946111</f>
        <v>62811946111</v>
      </c>
      <c r="N5764" s="17" t="s">
        <v>81</v>
      </c>
      <c r="U5764" s="17"/>
      <c r="V5764" s="18">
        <f>62811946111</f>
        <v>62811946111</v>
      </c>
      <c r="W5764" t="s">
        <v>16474</v>
      </c>
    </row>
    <row r="5765" ht="15" customHeight="1" spans="1:22" x14ac:dyDescent="0.25">
      <c r="A5765" s="17" t="s">
        <v>16475</v>
      </c>
      <c r="B5765" s="17" t="s">
        <v>70</v>
      </c>
      <c r="C5765" s="17" t="s">
        <v>71</v>
      </c>
      <c r="D5765" t="s">
        <v>548</v>
      </c>
      <c r="F5765" t="s">
        <v>16476</v>
      </c>
      <c r="K5765" s="18">
        <f>6281383821945</f>
        <v>6281383821945</v>
      </c>
      <c r="N5765" s="17" t="s">
        <v>77</v>
      </c>
      <c r="V5765" s="18">
        <f>6281383821945</f>
        <v>6281383821945</v>
      </c>
    </row>
    <row r="5766" ht="15" customHeight="1" spans="1:28" x14ac:dyDescent="0.25">
      <c r="A5766" s="17" t="s">
        <v>16477</v>
      </c>
      <c r="B5766" s="17" t="s">
        <v>70</v>
      </c>
      <c r="C5766" s="17" t="s">
        <v>71</v>
      </c>
      <c r="D5766" t="s">
        <v>548</v>
      </c>
      <c r="F5766" t="s">
        <v>3587</v>
      </c>
      <c r="J5766" s="17" t="s">
        <v>16478</v>
      </c>
      <c r="K5766" s="18" t="s">
        <v>16479</v>
      </c>
      <c r="N5766" s="17" t="s">
        <v>77</v>
      </c>
      <c r="O5766" t="s">
        <v>489</v>
      </c>
      <c r="V5766" s="18" t="s">
        <v>16479</v>
      </c>
      <c r="Y5766" t="s">
        <v>190</v>
      </c>
      <c r="AA5766" t="s">
        <v>118</v>
      </c>
      <c r="AB5766" t="s">
        <v>119</v>
      </c>
    </row>
    <row r="5767" ht="15" customHeight="1" spans="1:22" x14ac:dyDescent="0.25">
      <c r="A5767" s="17" t="s">
        <v>16480</v>
      </c>
      <c r="B5767" s="17" t="s">
        <v>70</v>
      </c>
      <c r="C5767" s="17" t="s">
        <v>71</v>
      </c>
      <c r="D5767" t="s">
        <v>16481</v>
      </c>
      <c r="F5767" t="s">
        <v>16482</v>
      </c>
      <c r="K5767" s="18">
        <f>6281280001215</f>
        <v>6281280001215</v>
      </c>
      <c r="N5767" s="17" t="s">
        <v>77</v>
      </c>
      <c r="V5767" s="18">
        <f>6281280001215</f>
        <v>6281280001215</v>
      </c>
    </row>
    <row r="5768" ht="15" customHeight="1" spans="1:23" x14ac:dyDescent="0.25">
      <c r="A5768" s="17" t="s">
        <v>16483</v>
      </c>
      <c r="B5768" s="17" t="s">
        <v>70</v>
      </c>
      <c r="C5768" s="17" t="s">
        <v>71</v>
      </c>
      <c r="D5768" t="s">
        <v>16484</v>
      </c>
      <c r="F5768" t="s">
        <v>16484</v>
      </c>
      <c r="K5768" s="18">
        <f>628111777862</f>
        <v>628111777862</v>
      </c>
      <c r="N5768" s="17" t="s">
        <v>77</v>
      </c>
      <c r="U5768" s="17"/>
      <c r="V5768" s="18">
        <f>628111777862</f>
        <v>628111777862</v>
      </c>
      <c r="W5768" t="s">
        <v>16485</v>
      </c>
    </row>
    <row r="5769" ht="15" customHeight="1" spans="1:22" x14ac:dyDescent="0.25">
      <c r="A5769" s="17" t="s">
        <v>16486</v>
      </c>
      <c r="B5769" s="17" t="s">
        <v>70</v>
      </c>
      <c r="C5769" s="17" t="s">
        <v>71</v>
      </c>
      <c r="D5769" t="s">
        <v>16484</v>
      </c>
      <c r="F5769" t="s">
        <v>16487</v>
      </c>
      <c r="K5769" s="18">
        <f>62811834254</f>
        <v>62811834254</v>
      </c>
      <c r="N5769" s="17" t="s">
        <v>77</v>
      </c>
      <c r="V5769" s="18">
        <f>62811834254</f>
        <v>62811834254</v>
      </c>
    </row>
    <row r="5770" ht="15" customHeight="1" spans="1:25" x14ac:dyDescent="0.25">
      <c r="A5770" s="17" t="s">
        <v>16488</v>
      </c>
      <c r="B5770" s="17" t="s">
        <v>70</v>
      </c>
      <c r="C5770" s="17" t="s">
        <v>71</v>
      </c>
      <c r="D5770" t="s">
        <v>16484</v>
      </c>
      <c r="F5770" t="s">
        <v>16489</v>
      </c>
      <c r="K5770" s="18">
        <f>62816898088</f>
        <v>62816898088</v>
      </c>
      <c r="N5770" s="17" t="s">
        <v>77</v>
      </c>
      <c r="U5770" s="17"/>
      <c r="V5770" s="18">
        <f>62816898088</f>
        <v>62816898088</v>
      </c>
      <c r="W5770" t="s">
        <v>16490</v>
      </c>
      <c r="Y5770" s="17" t="s">
        <v>90</v>
      </c>
    </row>
    <row r="5771" ht="15" customHeight="1" spans="1:28" x14ac:dyDescent="0.25">
      <c r="A5771" s="17" t="s">
        <v>16491</v>
      </c>
      <c r="B5771" s="17" t="s">
        <v>70</v>
      </c>
      <c r="C5771" s="17" t="s">
        <v>71</v>
      </c>
      <c r="D5771" t="s">
        <v>16484</v>
      </c>
      <c r="F5771" t="s">
        <v>16492</v>
      </c>
      <c r="J5771" t="s">
        <v>115</v>
      </c>
      <c r="K5771" s="18" t="s">
        <v>16493</v>
      </c>
      <c r="N5771" s="17" t="s">
        <v>77</v>
      </c>
      <c r="O5771" t="s">
        <v>145</v>
      </c>
      <c r="V5771" s="18" t="s">
        <v>16493</v>
      </c>
      <c r="Y5771" t="s">
        <v>190</v>
      </c>
      <c r="AA5771" t="s">
        <v>118</v>
      </c>
      <c r="AB5771" t="s">
        <v>119</v>
      </c>
    </row>
    <row r="5772" ht="15" customHeight="1" spans="1:22" x14ac:dyDescent="0.25">
      <c r="A5772" s="17" t="s">
        <v>16494</v>
      </c>
      <c r="B5772" s="17" t="s">
        <v>70</v>
      </c>
      <c r="C5772" s="17" t="s">
        <v>71</v>
      </c>
      <c r="D5772" t="s">
        <v>16495</v>
      </c>
      <c r="F5772" t="s">
        <v>16495</v>
      </c>
      <c r="K5772" s="18">
        <f>6287770001000</f>
        <v>6287770001000</v>
      </c>
      <c r="N5772" s="17" t="s">
        <v>77</v>
      </c>
      <c r="V5772" s="18">
        <f>6287770001000</f>
        <v>6287770001000</v>
      </c>
    </row>
    <row r="5773" ht="15" customHeight="1" spans="1:25" x14ac:dyDescent="0.25">
      <c r="A5773" s="17" t="s">
        <v>16496</v>
      </c>
      <c r="B5773" s="17" t="s">
        <v>70</v>
      </c>
      <c r="C5773" s="17" t="s">
        <v>71</v>
      </c>
      <c r="D5773" t="s">
        <v>16495</v>
      </c>
      <c r="F5773" t="s">
        <v>115</v>
      </c>
      <c r="K5773" s="18">
        <f>628888088808</f>
        <v>628888088808</v>
      </c>
      <c r="N5773" s="17" t="s">
        <v>77</v>
      </c>
      <c r="U5773" s="17"/>
      <c r="V5773" s="18">
        <f>628888088808</f>
        <v>628888088808</v>
      </c>
      <c r="W5773" t="s">
        <v>16497</v>
      </c>
      <c r="Y5773" s="17" t="s">
        <v>704</v>
      </c>
    </row>
    <row r="5774" ht="15" customHeight="1" spans="1:22" x14ac:dyDescent="0.25">
      <c r="A5774" s="17" t="s">
        <v>16498</v>
      </c>
      <c r="B5774" s="17" t="s">
        <v>70</v>
      </c>
      <c r="C5774" s="17" t="s">
        <v>71</v>
      </c>
      <c r="D5774" t="s">
        <v>16495</v>
      </c>
      <c r="F5774" t="s">
        <v>282</v>
      </c>
      <c r="K5774" s="18">
        <f>6281233208888</f>
        <v>6281233208888</v>
      </c>
      <c r="N5774" s="17" t="s">
        <v>81</v>
      </c>
      <c r="V5774" s="18">
        <f>6281233208888</f>
        <v>6281233208888</v>
      </c>
    </row>
    <row r="5775" ht="15" customHeight="1" spans="1:22" x14ac:dyDescent="0.25">
      <c r="A5775" s="17" t="s">
        <v>16499</v>
      </c>
      <c r="B5775" s="17" t="s">
        <v>70</v>
      </c>
      <c r="C5775" s="17" t="s">
        <v>71</v>
      </c>
      <c r="D5775" t="s">
        <v>16495</v>
      </c>
      <c r="F5775" t="s">
        <v>16500</v>
      </c>
      <c r="K5775" s="18">
        <f>6281331897888</f>
        <v>6281331897888</v>
      </c>
      <c r="N5775" s="17" t="s">
        <v>77</v>
      </c>
      <c r="V5775" s="18">
        <f>6281331897888</f>
        <v>6281331897888</v>
      </c>
    </row>
    <row r="5776" ht="15" customHeight="1" spans="1:28" x14ac:dyDescent="0.25">
      <c r="A5776" s="17" t="s">
        <v>16501</v>
      </c>
      <c r="B5776" s="17" t="s">
        <v>70</v>
      </c>
      <c r="C5776" s="17" t="s">
        <v>71</v>
      </c>
      <c r="D5776" t="s">
        <v>16495</v>
      </c>
      <c r="F5776" t="s">
        <v>1153</v>
      </c>
      <c r="J5776" t="s">
        <v>115</v>
      </c>
      <c r="K5776" s="18" t="s">
        <v>16502</v>
      </c>
      <c r="N5776" s="17" t="s">
        <v>77</v>
      </c>
      <c r="O5776" t="s">
        <v>199</v>
      </c>
      <c r="V5776" s="18" t="s">
        <v>16502</v>
      </c>
      <c r="Y5776" t="s">
        <v>11496</v>
      </c>
      <c r="AA5776" t="s">
        <v>1969</v>
      </c>
      <c r="AB5776" t="s">
        <v>119</v>
      </c>
    </row>
    <row r="5777" ht="15" customHeight="1" spans="1:22" x14ac:dyDescent="0.25">
      <c r="A5777" s="17" t="s">
        <v>16503</v>
      </c>
      <c r="B5777" s="17" t="s">
        <v>70</v>
      </c>
      <c r="C5777" s="17" t="s">
        <v>71</v>
      </c>
      <c r="D5777" t="s">
        <v>16495</v>
      </c>
      <c r="F5777" t="s">
        <v>16504</v>
      </c>
      <c r="K5777" s="18">
        <f>62818325639</f>
        <v>62818325639</v>
      </c>
      <c r="N5777" s="17" t="s">
        <v>77</v>
      </c>
      <c r="V5777" s="18">
        <f>62818325639</f>
        <v>62818325639</v>
      </c>
    </row>
    <row r="5778" ht="15" customHeight="1" spans="1:22" x14ac:dyDescent="0.25">
      <c r="A5778" s="17" t="s">
        <v>16505</v>
      </c>
      <c r="B5778" s="17" t="s">
        <v>70</v>
      </c>
      <c r="C5778" s="17" t="s">
        <v>71</v>
      </c>
      <c r="D5778" t="s">
        <v>16495</v>
      </c>
      <c r="F5778" t="s">
        <v>1024</v>
      </c>
      <c r="K5778" s="18">
        <f>62811981938</f>
        <v>62811981938</v>
      </c>
      <c r="N5778" s="17" t="s">
        <v>77</v>
      </c>
      <c r="V5778" s="18">
        <f>62811981938</f>
        <v>62811981938</v>
      </c>
    </row>
    <row r="5779" ht="15" customHeight="1" spans="1:22" x14ac:dyDescent="0.25">
      <c r="A5779" s="17" t="s">
        <v>16506</v>
      </c>
      <c r="B5779" s="17" t="s">
        <v>70</v>
      </c>
      <c r="C5779" s="17" t="s">
        <v>71</v>
      </c>
      <c r="D5779" t="s">
        <v>3419</v>
      </c>
      <c r="F5779" t="s">
        <v>16507</v>
      </c>
      <c r="K5779" s="18">
        <f>62818801717</f>
        <v>62818801717</v>
      </c>
      <c r="N5779" s="17" t="s">
        <v>77</v>
      </c>
      <c r="V5779" s="18">
        <f>62818801717</f>
        <v>62818801717</v>
      </c>
    </row>
    <row r="5780" ht="15" customHeight="1" spans="1:22" x14ac:dyDescent="0.25">
      <c r="A5780" s="17" t="s">
        <v>16508</v>
      </c>
      <c r="B5780" s="17" t="s">
        <v>70</v>
      </c>
      <c r="C5780" s="17" t="s">
        <v>71</v>
      </c>
      <c r="D5780" t="s">
        <v>12593</v>
      </c>
      <c r="F5780" t="s">
        <v>12593</v>
      </c>
      <c r="K5780" s="18">
        <f>62811872357</f>
        <v>62811872357</v>
      </c>
      <c r="N5780" s="17" t="s">
        <v>77</v>
      </c>
      <c r="V5780" s="18">
        <f>62811872357</f>
        <v>62811872357</v>
      </c>
    </row>
    <row r="5781" ht="15" customHeight="1" spans="1:28" x14ac:dyDescent="0.25">
      <c r="A5781" s="17" t="s">
        <v>16509</v>
      </c>
      <c r="B5781" s="17" t="s">
        <v>70</v>
      </c>
      <c r="C5781" s="17" t="s">
        <v>71</v>
      </c>
      <c r="D5781" t="s">
        <v>12593</v>
      </c>
      <c r="F5781" t="s">
        <v>1792</v>
      </c>
      <c r="J5781" t="s">
        <v>16510</v>
      </c>
      <c r="K5781" s="18" t="s">
        <v>16511</v>
      </c>
      <c r="N5781" s="17" t="s">
        <v>77</v>
      </c>
      <c r="O5781" t="s">
        <v>1188</v>
      </c>
      <c r="V5781" s="18" t="s">
        <v>16511</v>
      </c>
      <c r="Y5781" t="s">
        <v>190</v>
      </c>
      <c r="AA5781" t="s">
        <v>118</v>
      </c>
      <c r="AB5781" t="s">
        <v>119</v>
      </c>
    </row>
    <row r="5782" ht="15" customHeight="1" spans="1:22" x14ac:dyDescent="0.25">
      <c r="A5782" s="17" t="s">
        <v>16512</v>
      </c>
      <c r="B5782" s="17" t="s">
        <v>70</v>
      </c>
      <c r="C5782" s="17" t="s">
        <v>71</v>
      </c>
      <c r="D5782" t="s">
        <v>6381</v>
      </c>
      <c r="F5782" t="s">
        <v>6381</v>
      </c>
      <c r="K5782" s="18">
        <f>62816851850</f>
        <v>62816851850</v>
      </c>
      <c r="N5782" s="17" t="s">
        <v>81</v>
      </c>
      <c r="V5782" s="18">
        <f>62816851850</f>
        <v>62816851850</v>
      </c>
    </row>
    <row r="5783" ht="15" customHeight="1" spans="1:27" x14ac:dyDescent="0.25">
      <c r="A5783" s="17" t="s">
        <v>16513</v>
      </c>
      <c r="B5783" s="17" t="s">
        <v>70</v>
      </c>
      <c r="C5783" s="17" t="s">
        <v>71</v>
      </c>
      <c r="D5783" t="s">
        <v>6381</v>
      </c>
      <c r="F5783" t="s">
        <v>16514</v>
      </c>
      <c r="K5783" s="18">
        <f>62811927862</f>
        <v>62811927862</v>
      </c>
      <c r="N5783" s="17" t="s">
        <v>77</v>
      </c>
      <c r="U5783" s="17"/>
      <c r="V5783" s="18">
        <f>62811927862</f>
        <v>62811927862</v>
      </c>
      <c r="W5783" t="s">
        <v>16515</v>
      </c>
      <c r="Y5783" s="17" t="s">
        <v>515</v>
      </c>
      <c r="AA5783" s="17" t="s">
        <v>16516</v>
      </c>
    </row>
    <row r="5784" ht="15" customHeight="1" spans="1:27" x14ac:dyDescent="0.25">
      <c r="A5784" s="17" t="s">
        <v>16517</v>
      </c>
      <c r="B5784" s="17" t="s">
        <v>70</v>
      </c>
      <c r="C5784" s="17" t="s">
        <v>71</v>
      </c>
      <c r="D5784" t="s">
        <v>6381</v>
      </c>
      <c r="F5784" t="s">
        <v>6235</v>
      </c>
      <c r="K5784" s="18">
        <f>62811881167</f>
        <v>62811881167</v>
      </c>
      <c r="N5784" s="17" t="s">
        <v>77</v>
      </c>
      <c r="U5784" s="17"/>
      <c r="V5784" s="18">
        <f>62811881167</f>
        <v>62811881167</v>
      </c>
      <c r="W5784" t="s">
        <v>16518</v>
      </c>
      <c r="Y5784" s="17" t="s">
        <v>90</v>
      </c>
      <c r="AA5784" s="17">
        <v>12130</v>
      </c>
    </row>
    <row r="5785" ht="15" customHeight="1" spans="1:23" x14ac:dyDescent="0.25">
      <c r="A5785" s="17" t="s">
        <v>16519</v>
      </c>
      <c r="B5785" s="17" t="s">
        <v>70</v>
      </c>
      <c r="C5785" s="17" t="s">
        <v>71</v>
      </c>
      <c r="D5785" t="s">
        <v>6381</v>
      </c>
      <c r="F5785" t="s">
        <v>16520</v>
      </c>
      <c r="K5785" s="18">
        <f>62811856685</f>
        <v>62811856685</v>
      </c>
      <c r="N5785" s="17" t="s">
        <v>77</v>
      </c>
      <c r="U5785" s="17"/>
      <c r="V5785" s="18">
        <f>62811856685</f>
        <v>62811856685</v>
      </c>
      <c r="W5785" t="s">
        <v>16521</v>
      </c>
    </row>
    <row r="5786" ht="15" customHeight="1" spans="1:22" x14ac:dyDescent="0.25">
      <c r="A5786" s="17" t="s">
        <v>16522</v>
      </c>
      <c r="B5786" s="17" t="s">
        <v>70</v>
      </c>
      <c r="C5786" s="17" t="s">
        <v>71</v>
      </c>
      <c r="D5786" t="s">
        <v>6381</v>
      </c>
      <c r="F5786" t="s">
        <v>1064</v>
      </c>
      <c r="K5786" s="18">
        <f>62816801599</f>
        <v>62816801599</v>
      </c>
      <c r="N5786" s="17" t="s">
        <v>77</v>
      </c>
      <c r="V5786" s="18">
        <f>62816801599</f>
        <v>62816801599</v>
      </c>
    </row>
    <row r="5787" ht="15" customHeight="1" spans="1:22" x14ac:dyDescent="0.25">
      <c r="A5787" s="17" t="s">
        <v>16523</v>
      </c>
      <c r="B5787" s="17" t="s">
        <v>70</v>
      </c>
      <c r="C5787" s="17" t="s">
        <v>71</v>
      </c>
      <c r="D5787" t="s">
        <v>6381</v>
      </c>
      <c r="F5787" t="s">
        <v>16524</v>
      </c>
      <c r="K5787" s="18">
        <f>62818838666</f>
        <v>62818838666</v>
      </c>
      <c r="N5787" s="17" t="s">
        <v>81</v>
      </c>
      <c r="V5787" s="18">
        <f>62818838666</f>
        <v>62818838666</v>
      </c>
    </row>
    <row r="5788" ht="15" customHeight="1" spans="1:22" x14ac:dyDescent="0.25">
      <c r="A5788" s="17" t="s">
        <v>16525</v>
      </c>
      <c r="B5788" s="17" t="s">
        <v>70</v>
      </c>
      <c r="C5788" s="17" t="s">
        <v>71</v>
      </c>
      <c r="D5788" t="s">
        <v>16526</v>
      </c>
      <c r="F5788" t="s">
        <v>16526</v>
      </c>
      <c r="K5788" s="18">
        <f>62811856686</f>
        <v>62811856686</v>
      </c>
      <c r="N5788" s="17" t="s">
        <v>74</v>
      </c>
      <c r="V5788" s="18">
        <f>62811856686</f>
        <v>62811856686</v>
      </c>
    </row>
    <row r="5789" ht="15" customHeight="1" spans="1:23" x14ac:dyDescent="0.25">
      <c r="A5789" s="17" t="s">
        <v>16527</v>
      </c>
      <c r="B5789" s="17" t="s">
        <v>70</v>
      </c>
      <c r="C5789" s="17" t="s">
        <v>71</v>
      </c>
      <c r="D5789" t="s">
        <v>16528</v>
      </c>
      <c r="F5789" t="s">
        <v>4918</v>
      </c>
      <c r="J5789" s="17" t="s">
        <v>16529</v>
      </c>
      <c r="K5789" s="18">
        <f>628128681673</f>
        <v>628128681673</v>
      </c>
      <c r="N5789" s="17" t="s">
        <v>81</v>
      </c>
      <c r="U5789" s="17"/>
      <c r="V5789" s="18">
        <f>628128681673</f>
        <v>628128681673</v>
      </c>
      <c r="W5789" t="s">
        <v>16530</v>
      </c>
    </row>
    <row r="5790" ht="15" customHeight="1" spans="1:25" x14ac:dyDescent="0.25">
      <c r="A5790" s="17" t="s">
        <v>16531</v>
      </c>
      <c r="B5790" s="17" t="s">
        <v>70</v>
      </c>
      <c r="C5790" s="17" t="s">
        <v>71</v>
      </c>
      <c r="D5790" t="s">
        <v>5476</v>
      </c>
      <c r="F5790" t="s">
        <v>16532</v>
      </c>
      <c r="K5790" s="18">
        <f>62217801214</f>
        <v>62217801214</v>
      </c>
      <c r="N5790" s="17" t="s">
        <v>77</v>
      </c>
      <c r="U5790" s="17"/>
      <c r="V5790" s="18">
        <f>62217801214</f>
        <v>62217801214</v>
      </c>
      <c r="W5790" t="s">
        <v>16533</v>
      </c>
      <c r="Y5790" s="17" t="s">
        <v>96</v>
      </c>
    </row>
    <row r="5791" ht="15" customHeight="1" spans="1:22" x14ac:dyDescent="0.25">
      <c r="A5791" s="17" t="s">
        <v>16534</v>
      </c>
      <c r="B5791" s="17" t="s">
        <v>70</v>
      </c>
      <c r="C5791" s="17" t="s">
        <v>71</v>
      </c>
      <c r="D5791" t="s">
        <v>5476</v>
      </c>
      <c r="F5791" t="s">
        <v>16535</v>
      </c>
      <c r="K5791" s="18">
        <f>6281383618788</f>
        <v>6281383618788</v>
      </c>
      <c r="N5791" s="17" t="s">
        <v>77</v>
      </c>
      <c r="V5791" s="18">
        <f>6281383618788</f>
        <v>6281383618788</v>
      </c>
    </row>
    <row r="5792" ht="15" customHeight="1" spans="1:22" x14ac:dyDescent="0.25">
      <c r="A5792" s="17" t="s">
        <v>16536</v>
      </c>
      <c r="B5792" s="17" t="s">
        <v>70</v>
      </c>
      <c r="C5792" s="17" t="s">
        <v>71</v>
      </c>
      <c r="D5792" t="s">
        <v>5476</v>
      </c>
      <c r="F5792" t="s">
        <v>1564</v>
      </c>
      <c r="K5792" s="18">
        <f>6281281802500</f>
        <v>6281281802500</v>
      </c>
      <c r="N5792" s="17" t="s">
        <v>77</v>
      </c>
      <c r="V5792" s="18">
        <f>6281281802500</f>
        <v>6281281802500</v>
      </c>
    </row>
    <row r="5793" ht="15" customHeight="1" spans="1:22" x14ac:dyDescent="0.25">
      <c r="A5793" s="17" t="s">
        <v>16537</v>
      </c>
      <c r="B5793" s="17" t="s">
        <v>70</v>
      </c>
      <c r="C5793" s="17" t="s">
        <v>71</v>
      </c>
      <c r="D5793" t="s">
        <v>186</v>
      </c>
      <c r="F5793" t="s">
        <v>186</v>
      </c>
      <c r="K5793" s="18">
        <f>628158394811</f>
        <v>628158394811</v>
      </c>
      <c r="N5793" s="17" t="s">
        <v>81</v>
      </c>
      <c r="V5793" s="18">
        <f>628158394811</f>
        <v>628158394811</v>
      </c>
    </row>
    <row r="5794" ht="15" customHeight="1" spans="1:23" x14ac:dyDescent="0.25">
      <c r="A5794" s="17" t="s">
        <v>16538</v>
      </c>
      <c r="B5794" s="17" t="s">
        <v>70</v>
      </c>
      <c r="C5794" s="17" t="s">
        <v>71</v>
      </c>
      <c r="D5794" t="s">
        <v>186</v>
      </c>
      <c r="F5794" t="s">
        <v>794</v>
      </c>
      <c r="K5794" s="18">
        <f>628111989599</f>
        <v>628111989599</v>
      </c>
      <c r="N5794" s="17" t="s">
        <v>81</v>
      </c>
      <c r="U5794" s="17"/>
      <c r="V5794" s="18">
        <f>628111989599</f>
        <v>628111989599</v>
      </c>
      <c r="W5794" t="s">
        <v>16539</v>
      </c>
    </row>
    <row r="5795" ht="15" customHeight="1" spans="1:22" x14ac:dyDescent="0.25">
      <c r="A5795" s="17" t="s">
        <v>16540</v>
      </c>
      <c r="B5795" s="17" t="s">
        <v>70</v>
      </c>
      <c r="C5795" s="17" t="s">
        <v>71</v>
      </c>
      <c r="D5795" t="s">
        <v>186</v>
      </c>
      <c r="F5795" t="s">
        <v>16541</v>
      </c>
      <c r="K5795" s="18">
        <f>6281294650121</f>
        <v>6281294650121</v>
      </c>
      <c r="N5795" s="17" t="s">
        <v>81</v>
      </c>
      <c r="V5795" s="18">
        <f>6281294650121</f>
        <v>6281294650121</v>
      </c>
    </row>
    <row r="5796" ht="15" customHeight="1" spans="1:22" x14ac:dyDescent="0.25">
      <c r="A5796" s="17" t="s">
        <v>16542</v>
      </c>
      <c r="B5796" s="17" t="s">
        <v>70</v>
      </c>
      <c r="C5796" s="17" t="s">
        <v>71</v>
      </c>
      <c r="D5796" t="s">
        <v>16543</v>
      </c>
      <c r="F5796" t="s">
        <v>16543</v>
      </c>
      <c r="K5796" s="18">
        <f>6285361496777</f>
        <v>6285361496777</v>
      </c>
      <c r="N5796" s="17" t="s">
        <v>81</v>
      </c>
      <c r="V5796" s="18">
        <f>6285361496777</f>
        <v>6285361496777</v>
      </c>
    </row>
    <row r="5797" ht="15" customHeight="1" spans="1:22" x14ac:dyDescent="0.25">
      <c r="A5797" s="17" t="s">
        <v>16544</v>
      </c>
      <c r="B5797" s="17" t="s">
        <v>70</v>
      </c>
      <c r="C5797" s="17" t="s">
        <v>71</v>
      </c>
      <c r="D5797" t="s">
        <v>10768</v>
      </c>
      <c r="F5797" t="s">
        <v>10768</v>
      </c>
      <c r="K5797" s="18">
        <f>6281291758733</f>
        <v>6281291758733</v>
      </c>
      <c r="N5797" s="17" t="s">
        <v>74</v>
      </c>
      <c r="V5797" s="18">
        <f>6281291758733</f>
        <v>6281291758733</v>
      </c>
    </row>
    <row r="5798" ht="15" customHeight="1" spans="1:25" x14ac:dyDescent="0.25">
      <c r="A5798" s="17" t="s">
        <v>16545</v>
      </c>
      <c r="B5798" s="17" t="s">
        <v>70</v>
      </c>
      <c r="C5798" s="17" t="s">
        <v>71</v>
      </c>
      <c r="D5798" t="s">
        <v>14369</v>
      </c>
      <c r="F5798" t="s">
        <v>16546</v>
      </c>
      <c r="K5798" s="18">
        <f>62811881118</f>
        <v>62811881118</v>
      </c>
      <c r="N5798" s="17" t="s">
        <v>77</v>
      </c>
      <c r="U5798" s="17"/>
      <c r="V5798" s="18">
        <f>62811881118</f>
        <v>62811881118</v>
      </c>
      <c r="W5798" t="s">
        <v>16547</v>
      </c>
      <c r="Y5798" s="17" t="s">
        <v>2930</v>
      </c>
    </row>
    <row r="5799" ht="15" customHeight="1" spans="1:22" x14ac:dyDescent="0.25">
      <c r="A5799" s="17" t="s">
        <v>16548</v>
      </c>
      <c r="B5799" s="17" t="s">
        <v>70</v>
      </c>
      <c r="C5799" s="17" t="s">
        <v>71</v>
      </c>
      <c r="D5799" t="s">
        <v>386</v>
      </c>
      <c r="F5799" t="s">
        <v>386</v>
      </c>
      <c r="K5799" s="18">
        <f>6281290062888</f>
        <v>6281290062888</v>
      </c>
      <c r="N5799" s="17" t="s">
        <v>81</v>
      </c>
      <c r="V5799" s="18">
        <f>6281290062888</f>
        <v>6281290062888</v>
      </c>
    </row>
    <row r="5800" ht="15" customHeight="1" spans="1:25" x14ac:dyDescent="0.25">
      <c r="A5800" s="17" t="s">
        <v>16549</v>
      </c>
      <c r="B5800" s="17" t="s">
        <v>70</v>
      </c>
      <c r="C5800" s="17" t="s">
        <v>71</v>
      </c>
      <c r="D5800" t="s">
        <v>16550</v>
      </c>
      <c r="F5800" t="s">
        <v>16551</v>
      </c>
      <c r="K5800" s="18">
        <f>628128208901</f>
        <v>628128208901</v>
      </c>
      <c r="N5800" s="17" t="s">
        <v>77</v>
      </c>
      <c r="U5800" s="17"/>
      <c r="V5800" s="18">
        <f>628128208901</f>
        <v>628128208901</v>
      </c>
      <c r="W5800" t="s">
        <v>16552</v>
      </c>
      <c r="Y5800" s="17" t="s">
        <v>6412</v>
      </c>
    </row>
    <row r="5801" ht="15" customHeight="1" spans="1:27" x14ac:dyDescent="0.25">
      <c r="A5801" s="17" t="s">
        <v>16553</v>
      </c>
      <c r="B5801" s="17" t="s">
        <v>70</v>
      </c>
      <c r="C5801" s="17" t="s">
        <v>71</v>
      </c>
      <c r="D5801" t="s">
        <v>16554</v>
      </c>
      <c r="F5801" t="s">
        <v>301</v>
      </c>
      <c r="J5801" s="17" t="s">
        <v>16555</v>
      </c>
      <c r="K5801" s="18">
        <f>6287781200992</f>
        <v>6287781200992</v>
      </c>
      <c r="N5801" s="17" t="s">
        <v>77</v>
      </c>
      <c r="U5801" s="17"/>
      <c r="V5801" s="18">
        <f>6287781200992</f>
        <v>6287781200992</v>
      </c>
      <c r="W5801" t="s">
        <v>16556</v>
      </c>
      <c r="Y5801" s="17" t="s">
        <v>90</v>
      </c>
      <c r="AA5801" s="17">
        <v>14240</v>
      </c>
    </row>
    <row r="5802" ht="15" customHeight="1" spans="1:28" x14ac:dyDescent="0.25">
      <c r="A5802" s="17" t="s">
        <v>16557</v>
      </c>
      <c r="B5802" s="17" t="s">
        <v>70</v>
      </c>
      <c r="C5802" s="17" t="s">
        <v>71</v>
      </c>
      <c r="D5802" t="s">
        <v>16558</v>
      </c>
      <c r="F5802" t="s">
        <v>16558</v>
      </c>
      <c r="J5802" t="s">
        <v>115</v>
      </c>
      <c r="K5802" s="18" t="s">
        <v>16559</v>
      </c>
      <c r="N5802" s="17" t="s">
        <v>77</v>
      </c>
      <c r="O5802" t="s">
        <v>117</v>
      </c>
      <c r="V5802" s="18" t="s">
        <v>16559</v>
      </c>
      <c r="Y5802" t="s">
        <v>90</v>
      </c>
      <c r="AA5802" t="s">
        <v>118</v>
      </c>
      <c r="AB5802" t="s">
        <v>119</v>
      </c>
    </row>
    <row r="5803" ht="15" customHeight="1" spans="1:22" x14ac:dyDescent="0.25">
      <c r="A5803" s="17" t="s">
        <v>16560</v>
      </c>
      <c r="B5803" s="17" t="s">
        <v>70</v>
      </c>
      <c r="C5803" s="17" t="s">
        <v>71</v>
      </c>
      <c r="D5803" t="s">
        <v>16561</v>
      </c>
      <c r="F5803" t="s">
        <v>14246</v>
      </c>
      <c r="K5803" s="18">
        <f>628119503486</f>
        <v>628119503486</v>
      </c>
      <c r="N5803" s="17" t="s">
        <v>81</v>
      </c>
      <c r="V5803" s="18">
        <f>628119503486</f>
        <v>628119503486</v>
      </c>
    </row>
    <row r="5804" ht="15" customHeight="1" spans="1:28" x14ac:dyDescent="0.25">
      <c r="A5804" s="17" t="s">
        <v>16562</v>
      </c>
      <c r="B5804" s="17" t="s">
        <v>70</v>
      </c>
      <c r="C5804" s="17" t="s">
        <v>71</v>
      </c>
      <c r="D5804" t="s">
        <v>16561</v>
      </c>
      <c r="F5804" t="s">
        <v>16563</v>
      </c>
      <c r="J5804" t="s">
        <v>115</v>
      </c>
      <c r="K5804" s="18" t="s">
        <v>16564</v>
      </c>
      <c r="N5804" s="17" t="s">
        <v>74</v>
      </c>
      <c r="O5804" t="s">
        <v>117</v>
      </c>
      <c r="V5804" s="18" t="s">
        <v>16564</v>
      </c>
      <c r="Y5804" t="s">
        <v>190</v>
      </c>
      <c r="AA5804" t="s">
        <v>118</v>
      </c>
      <c r="AB5804" t="s">
        <v>119</v>
      </c>
    </row>
    <row r="5805" ht="15" customHeight="1" spans="1:22" x14ac:dyDescent="0.25">
      <c r="A5805" s="17" t="s">
        <v>16565</v>
      </c>
      <c r="B5805" s="17" t="s">
        <v>70</v>
      </c>
      <c r="C5805" s="17" t="s">
        <v>71</v>
      </c>
      <c r="D5805" t="s">
        <v>16566</v>
      </c>
      <c r="F5805" t="s">
        <v>212</v>
      </c>
      <c r="K5805" s="18">
        <f>6281288104878</f>
        <v>6281288104878</v>
      </c>
      <c r="N5805" s="17" t="s">
        <v>74</v>
      </c>
      <c r="V5805" s="18">
        <f>6281288104878</f>
        <v>6281288104878</v>
      </c>
    </row>
    <row r="5806" ht="15" customHeight="1" spans="1:22" x14ac:dyDescent="0.25">
      <c r="A5806" s="17" t="s">
        <v>16567</v>
      </c>
      <c r="B5806" s="17" t="s">
        <v>70</v>
      </c>
      <c r="C5806" s="17" t="s">
        <v>71</v>
      </c>
      <c r="D5806" t="s">
        <v>16566</v>
      </c>
      <c r="F5806" t="s">
        <v>212</v>
      </c>
      <c r="K5806" s="18">
        <f>6287882340018</f>
        <v>6287882340018</v>
      </c>
      <c r="N5806" s="17" t="s">
        <v>77</v>
      </c>
      <c r="V5806" s="18">
        <f>6287882340018</f>
        <v>6287882340018</v>
      </c>
    </row>
    <row r="5807" ht="15" customHeight="1" spans="1:25" x14ac:dyDescent="0.25">
      <c r="A5807" s="17" t="s">
        <v>16568</v>
      </c>
      <c r="B5807" s="17" t="s">
        <v>70</v>
      </c>
      <c r="C5807" s="17" t="s">
        <v>71</v>
      </c>
      <c r="D5807" t="s">
        <v>16566</v>
      </c>
      <c r="F5807" t="s">
        <v>16569</v>
      </c>
      <c r="K5807" s="18" t="s">
        <v>16570</v>
      </c>
      <c r="N5807" s="17" t="s">
        <v>77</v>
      </c>
      <c r="U5807" s="17"/>
      <c r="V5807" s="18" t="s">
        <v>16570</v>
      </c>
      <c r="W5807" t="s">
        <v>16571</v>
      </c>
      <c r="Y5807" s="17" t="s">
        <v>626</v>
      </c>
    </row>
    <row r="5808" ht="15" customHeight="1" spans="1:22" x14ac:dyDescent="0.25">
      <c r="A5808" s="17" t="s">
        <v>16572</v>
      </c>
      <c r="B5808" s="17" t="s">
        <v>70</v>
      </c>
      <c r="C5808" s="17" t="s">
        <v>71</v>
      </c>
      <c r="D5808" t="s">
        <v>16566</v>
      </c>
      <c r="F5808" t="s">
        <v>16569</v>
      </c>
      <c r="K5808" s="18">
        <f>6287875556795</f>
        <v>6287875556795</v>
      </c>
      <c r="N5808" s="17" t="s">
        <v>77</v>
      </c>
      <c r="V5808" s="18">
        <f>6287875556795</f>
        <v>6287875556795</v>
      </c>
    </row>
    <row r="5809" ht="15" customHeight="1" spans="1:28" x14ac:dyDescent="0.25">
      <c r="A5809" s="17" t="s">
        <v>16573</v>
      </c>
      <c r="B5809" s="17" t="s">
        <v>70</v>
      </c>
      <c r="C5809" s="17" t="s">
        <v>71</v>
      </c>
      <c r="D5809" t="s">
        <v>16566</v>
      </c>
      <c r="F5809" t="s">
        <v>16574</v>
      </c>
      <c r="J5809" t="s">
        <v>16575</v>
      </c>
      <c r="K5809" s="18" t="s">
        <v>16576</v>
      </c>
      <c r="N5809" s="17" t="s">
        <v>81</v>
      </c>
      <c r="O5809" t="s">
        <v>261</v>
      </c>
      <c r="V5809" s="18" t="s">
        <v>16576</v>
      </c>
      <c r="Y5809" t="s">
        <v>90</v>
      </c>
      <c r="AA5809" t="s">
        <v>118</v>
      </c>
      <c r="AB5809" t="s">
        <v>119</v>
      </c>
    </row>
    <row r="5810" ht="15" customHeight="1" spans="1:23" x14ac:dyDescent="0.25">
      <c r="A5810" s="17" t="s">
        <v>16577</v>
      </c>
      <c r="B5810" s="17" t="s">
        <v>70</v>
      </c>
      <c r="C5810" s="17" t="s">
        <v>71</v>
      </c>
      <c r="D5810" t="s">
        <v>16578</v>
      </c>
      <c r="F5810" t="s">
        <v>16579</v>
      </c>
      <c r="K5810" s="18">
        <f>6281244437969</f>
        <v>6281244437969</v>
      </c>
      <c r="N5810" s="17" t="s">
        <v>81</v>
      </c>
      <c r="U5810" s="17"/>
      <c r="V5810" s="18">
        <f>6281244437969</f>
        <v>6281244437969</v>
      </c>
      <c r="W5810" t="s">
        <v>16580</v>
      </c>
    </row>
    <row r="5811" ht="15" customHeight="1" spans="1:22" x14ac:dyDescent="0.25">
      <c r="A5811" s="17" t="s">
        <v>16581</v>
      </c>
      <c r="B5811" s="17" t="s">
        <v>70</v>
      </c>
      <c r="C5811" s="17" t="s">
        <v>71</v>
      </c>
      <c r="D5811" t="s">
        <v>16582</v>
      </c>
      <c r="F5811" t="s">
        <v>16582</v>
      </c>
      <c r="K5811" s="18">
        <f>6281319999678</f>
        <v>6281319999678</v>
      </c>
      <c r="N5811" s="17" t="s">
        <v>81</v>
      </c>
      <c r="V5811" s="18">
        <f>6281319999678</f>
        <v>6281319999678</v>
      </c>
    </row>
    <row r="5812" ht="15" customHeight="1" spans="1:22" x14ac:dyDescent="0.25">
      <c r="A5812" s="17" t="s">
        <v>16583</v>
      </c>
      <c r="B5812" s="17" t="s">
        <v>70</v>
      </c>
      <c r="C5812" s="17" t="s">
        <v>71</v>
      </c>
      <c r="D5812" t="s">
        <v>16584</v>
      </c>
      <c r="F5812" t="s">
        <v>9975</v>
      </c>
      <c r="K5812" s="18">
        <f>62811352099</f>
        <v>62811352099</v>
      </c>
      <c r="N5812" s="17" t="s">
        <v>77</v>
      </c>
      <c r="V5812" s="18">
        <f>62811352099</f>
        <v>62811352099</v>
      </c>
    </row>
    <row r="5813" ht="15" customHeight="1" spans="1:22" x14ac:dyDescent="0.25">
      <c r="A5813" s="17" t="s">
        <v>16585</v>
      </c>
      <c r="B5813" s="17" t="s">
        <v>70</v>
      </c>
      <c r="C5813" s="17" t="s">
        <v>71</v>
      </c>
      <c r="D5813" t="s">
        <v>16586</v>
      </c>
      <c r="F5813" t="s">
        <v>16586</v>
      </c>
      <c r="K5813" s="18">
        <f>62811142370</f>
        <v>62811142370</v>
      </c>
      <c r="N5813" s="17" t="s">
        <v>77</v>
      </c>
      <c r="V5813" s="18">
        <f>62811142370</f>
        <v>62811142370</v>
      </c>
    </row>
    <row r="5814" ht="15" customHeight="1" spans="1:22" x14ac:dyDescent="0.25">
      <c r="A5814" s="17" t="s">
        <v>16587</v>
      </c>
      <c r="B5814" s="17" t="s">
        <v>70</v>
      </c>
      <c r="C5814" s="17" t="s">
        <v>71</v>
      </c>
      <c r="D5814" t="s">
        <v>16588</v>
      </c>
      <c r="F5814" t="s">
        <v>167</v>
      </c>
      <c r="K5814" s="18">
        <f>62811452166</f>
        <v>62811452166</v>
      </c>
      <c r="N5814" s="17" t="s">
        <v>77</v>
      </c>
      <c r="V5814" s="18">
        <f>62811452166</f>
        <v>62811452166</v>
      </c>
    </row>
    <row r="5815" ht="15" customHeight="1" spans="1:25" x14ac:dyDescent="0.25">
      <c r="A5815" s="17" t="s">
        <v>16589</v>
      </c>
      <c r="B5815" s="17" t="s">
        <v>70</v>
      </c>
      <c r="C5815" s="17" t="s">
        <v>71</v>
      </c>
      <c r="D5815" t="s">
        <v>16590</v>
      </c>
      <c r="F5815" t="s">
        <v>16590</v>
      </c>
      <c r="K5815" s="18">
        <f>628127174283</f>
        <v>628127174283</v>
      </c>
      <c r="N5815" s="17" t="s">
        <v>77</v>
      </c>
      <c r="U5815" s="17"/>
      <c r="V5815" s="18">
        <f>628127174283</f>
        <v>628127174283</v>
      </c>
      <c r="W5815" t="s">
        <v>16591</v>
      </c>
      <c r="Y5815" s="17" t="s">
        <v>6647</v>
      </c>
    </row>
    <row r="5816" ht="15" customHeight="1" spans="1:28" x14ac:dyDescent="0.25">
      <c r="A5816" s="17" t="s">
        <v>16592</v>
      </c>
      <c r="B5816" s="17" t="s">
        <v>70</v>
      </c>
      <c r="C5816" s="17" t="s">
        <v>71</v>
      </c>
      <c r="D5816" t="s">
        <v>16590</v>
      </c>
      <c r="F5816" t="s">
        <v>16593</v>
      </c>
      <c r="J5816" s="17" t="s">
        <v>16594</v>
      </c>
      <c r="K5816" s="18" t="s">
        <v>16595</v>
      </c>
      <c r="N5816" s="17" t="s">
        <v>77</v>
      </c>
      <c r="O5816" t="s">
        <v>1188</v>
      </c>
      <c r="V5816" s="18" t="s">
        <v>16595</v>
      </c>
      <c r="Y5816" t="s">
        <v>190</v>
      </c>
      <c r="AA5816" t="s">
        <v>118</v>
      </c>
      <c r="AB5816" t="s">
        <v>119</v>
      </c>
    </row>
    <row r="5817" ht="15" customHeight="1" spans="1:22" x14ac:dyDescent="0.25">
      <c r="A5817" s="17" t="s">
        <v>16596</v>
      </c>
      <c r="B5817" s="17" t="s">
        <v>70</v>
      </c>
      <c r="C5817" s="17" t="s">
        <v>71</v>
      </c>
      <c r="D5817" t="s">
        <v>16597</v>
      </c>
      <c r="F5817" t="s">
        <v>16598</v>
      </c>
      <c r="K5817" s="18">
        <f>62818108606</f>
        <v>62818108606</v>
      </c>
      <c r="N5817" s="17" t="s">
        <v>77</v>
      </c>
      <c r="V5817" s="18">
        <f>62818108606</f>
        <v>62818108606</v>
      </c>
    </row>
    <row r="5818" ht="15" customHeight="1" spans="1:22" x14ac:dyDescent="0.25">
      <c r="A5818" s="17" t="s">
        <v>16599</v>
      </c>
      <c r="B5818" s="17" t="s">
        <v>70</v>
      </c>
      <c r="C5818" s="17" t="s">
        <v>71</v>
      </c>
      <c r="D5818" t="s">
        <v>16600</v>
      </c>
      <c r="F5818" t="s">
        <v>10444</v>
      </c>
      <c r="K5818" s="18">
        <f>628158009997</f>
        <v>628158009997</v>
      </c>
      <c r="N5818" s="17" t="s">
        <v>77</v>
      </c>
      <c r="V5818" s="18">
        <f>628158009997</f>
        <v>628158009997</v>
      </c>
    </row>
    <row r="5819" ht="15" customHeight="1" spans="1:28" x14ac:dyDescent="0.25">
      <c r="A5819" s="17" t="s">
        <v>16601</v>
      </c>
      <c r="B5819" s="17" t="s">
        <v>70</v>
      </c>
      <c r="C5819" s="17" t="s">
        <v>71</v>
      </c>
      <c r="D5819" t="s">
        <v>16602</v>
      </c>
      <c r="F5819" t="s">
        <v>16603</v>
      </c>
      <c r="J5819" s="17" t="s">
        <v>16604</v>
      </c>
      <c r="K5819" s="18" t="s">
        <v>16605</v>
      </c>
      <c r="N5819" s="17" t="s">
        <v>77</v>
      </c>
      <c r="O5819" t="s">
        <v>261</v>
      </c>
      <c r="U5819" s="17"/>
      <c r="V5819" s="18" t="s">
        <v>16605</v>
      </c>
      <c r="W5819" t="s">
        <v>2244</v>
      </c>
      <c r="Y5819" t="s">
        <v>2244</v>
      </c>
      <c r="AA5819" t="s">
        <v>115</v>
      </c>
      <c r="AB5819" t="s">
        <v>119</v>
      </c>
    </row>
    <row r="5820" ht="15" customHeight="1" spans="1:25" x14ac:dyDescent="0.25">
      <c r="A5820" s="17" t="s">
        <v>16606</v>
      </c>
      <c r="B5820" s="17" t="s">
        <v>70</v>
      </c>
      <c r="C5820" s="17" t="s">
        <v>71</v>
      </c>
      <c r="D5820" t="s">
        <v>16607</v>
      </c>
      <c r="F5820" t="s">
        <v>16608</v>
      </c>
      <c r="K5820" s="18">
        <f>6281511170299</f>
        <v>6281511170299</v>
      </c>
      <c r="N5820" s="17" t="s">
        <v>74</v>
      </c>
      <c r="U5820" s="17"/>
      <c r="V5820" s="18">
        <f>6281511170299</f>
        <v>6281511170299</v>
      </c>
      <c r="W5820" t="s">
        <v>16609</v>
      </c>
      <c r="Y5820" s="17" t="s">
        <v>378</v>
      </c>
    </row>
    <row r="5821" ht="15" customHeight="1" spans="1:22" x14ac:dyDescent="0.25">
      <c r="A5821" s="17" t="s">
        <v>16610</v>
      </c>
      <c r="B5821" s="17" t="s">
        <v>70</v>
      </c>
      <c r="C5821" s="17" t="s">
        <v>71</v>
      </c>
      <c r="D5821" t="s">
        <v>16611</v>
      </c>
      <c r="F5821" t="s">
        <v>16612</v>
      </c>
      <c r="K5821" s="18">
        <f>6285280685800</f>
        <v>6285280685800</v>
      </c>
      <c r="N5821" s="17" t="s">
        <v>77</v>
      </c>
      <c r="V5821" s="18">
        <f>6285280685800</f>
        <v>6285280685800</v>
      </c>
    </row>
    <row r="5822" ht="15" customHeight="1" spans="1:23" x14ac:dyDescent="0.25">
      <c r="A5822" s="17" t="s">
        <v>16613</v>
      </c>
      <c r="B5822" s="17" t="s">
        <v>70</v>
      </c>
      <c r="C5822" s="17" t="s">
        <v>71</v>
      </c>
      <c r="D5822" t="s">
        <v>16614</v>
      </c>
      <c r="F5822" t="s">
        <v>4076</v>
      </c>
      <c r="K5822" s="18">
        <f>61432185147</f>
        <v>61432185147</v>
      </c>
      <c r="N5822" s="17" t="s">
        <v>77</v>
      </c>
      <c r="U5822" s="17"/>
      <c r="V5822" s="18">
        <f>61432185147</f>
        <v>61432185147</v>
      </c>
      <c r="W5822" t="s">
        <v>1903</v>
      </c>
    </row>
    <row r="5823" ht="15" customHeight="1" spans="1:22" x14ac:dyDescent="0.25">
      <c r="A5823" s="17" t="s">
        <v>16615</v>
      </c>
      <c r="B5823" s="17" t="s">
        <v>70</v>
      </c>
      <c r="C5823" s="17" t="s">
        <v>71</v>
      </c>
      <c r="D5823" t="s">
        <v>16616</v>
      </c>
      <c r="F5823" t="s">
        <v>16617</v>
      </c>
      <c r="K5823" s="18">
        <f>6281281662184</f>
        <v>6281281662184</v>
      </c>
      <c r="N5823" s="17" t="s">
        <v>77</v>
      </c>
      <c r="V5823" s="18">
        <f>6281281662184</f>
        <v>6281281662184</v>
      </c>
    </row>
    <row r="5824" ht="15" customHeight="1" spans="1:23" x14ac:dyDescent="0.25">
      <c r="A5824" s="17" t="s">
        <v>16618</v>
      </c>
      <c r="B5824" s="17" t="s">
        <v>70</v>
      </c>
      <c r="C5824" s="17" t="s">
        <v>71</v>
      </c>
      <c r="D5824" t="s">
        <v>16619</v>
      </c>
      <c r="F5824" t="s">
        <v>16619</v>
      </c>
      <c r="K5824" s="18">
        <f>6281225012250</f>
        <v>6281225012250</v>
      </c>
      <c r="N5824" s="17" t="s">
        <v>77</v>
      </c>
      <c r="U5824" s="17"/>
      <c r="V5824" s="18">
        <f>6281225012250</f>
        <v>6281225012250</v>
      </c>
      <c r="W5824" t="s">
        <v>16620</v>
      </c>
    </row>
    <row r="5825" ht="15" customHeight="1" spans="1:28" x14ac:dyDescent="0.25">
      <c r="A5825" s="17" t="s">
        <v>16621</v>
      </c>
      <c r="B5825" s="17" t="s">
        <v>70</v>
      </c>
      <c r="C5825" s="17" t="s">
        <v>71</v>
      </c>
      <c r="D5825" t="s">
        <v>16622</v>
      </c>
      <c r="F5825" t="s">
        <v>16623</v>
      </c>
      <c r="J5825" t="s">
        <v>115</v>
      </c>
      <c r="K5825" s="18" t="s">
        <v>16624</v>
      </c>
      <c r="N5825" s="17" t="s">
        <v>77</v>
      </c>
      <c r="O5825" t="s">
        <v>145</v>
      </c>
      <c r="V5825" s="18" t="s">
        <v>16624</v>
      </c>
      <c r="Y5825" t="s">
        <v>90</v>
      </c>
      <c r="AA5825" t="s">
        <v>118</v>
      </c>
      <c r="AB5825" t="s">
        <v>119</v>
      </c>
    </row>
    <row r="5826" ht="15" customHeight="1" spans="1:23" x14ac:dyDescent="0.25">
      <c r="A5826" s="17" t="s">
        <v>16625</v>
      </c>
      <c r="B5826" s="17" t="s">
        <v>70</v>
      </c>
      <c r="C5826" s="17" t="s">
        <v>71</v>
      </c>
      <c r="D5826" t="s">
        <v>16626</v>
      </c>
      <c r="F5826" t="s">
        <v>7153</v>
      </c>
      <c r="K5826" s="18">
        <f>6590882100</f>
        <v>6590882100</v>
      </c>
      <c r="N5826" s="17" t="s">
        <v>77</v>
      </c>
      <c r="U5826" s="17"/>
      <c r="V5826" s="18">
        <f>6590882100</f>
        <v>6590882100</v>
      </c>
      <c r="W5826" t="s">
        <v>16627</v>
      </c>
    </row>
    <row r="5827" ht="15" customHeight="1" spans="1:27" x14ac:dyDescent="0.25">
      <c r="A5827" s="17" t="s">
        <v>16628</v>
      </c>
      <c r="B5827" s="17" t="s">
        <v>70</v>
      </c>
      <c r="C5827" s="17" t="s">
        <v>71</v>
      </c>
      <c r="D5827" t="s">
        <v>16629</v>
      </c>
      <c r="F5827" t="s">
        <v>16630</v>
      </c>
      <c r="K5827" s="18">
        <f>6281510522043</f>
        <v>6281510522043</v>
      </c>
      <c r="N5827" s="17" t="s">
        <v>81</v>
      </c>
      <c r="U5827" s="17"/>
      <c r="V5827" s="18">
        <f>6281510522043</f>
        <v>6281510522043</v>
      </c>
      <c r="W5827" t="s">
        <v>16631</v>
      </c>
      <c r="AA5827" s="17">
        <v>11530</v>
      </c>
    </row>
    <row r="5828" ht="15" customHeight="1" spans="1:22" x14ac:dyDescent="0.25">
      <c r="A5828" s="17" t="s">
        <v>16632</v>
      </c>
      <c r="B5828" s="17" t="s">
        <v>70</v>
      </c>
      <c r="C5828" s="17" t="s">
        <v>71</v>
      </c>
      <c r="D5828" t="s">
        <v>16633</v>
      </c>
      <c r="F5828" t="s">
        <v>16633</v>
      </c>
      <c r="K5828" s="18">
        <f>628121033433</f>
        <v>628121033433</v>
      </c>
      <c r="N5828" s="17" t="s">
        <v>74</v>
      </c>
      <c r="V5828" s="18">
        <f>628121033433</f>
        <v>628121033433</v>
      </c>
    </row>
    <row r="5829" ht="15" customHeight="1" spans="1:23" x14ac:dyDescent="0.25">
      <c r="A5829" s="17" t="s">
        <v>16634</v>
      </c>
      <c r="B5829" s="17" t="s">
        <v>70</v>
      </c>
      <c r="C5829" s="17" t="s">
        <v>71</v>
      </c>
      <c r="D5829" t="s">
        <v>16635</v>
      </c>
      <c r="F5829" t="s">
        <v>1205</v>
      </c>
      <c r="K5829" s="18">
        <f>62811367044</f>
        <v>62811367044</v>
      </c>
      <c r="N5829" s="17" t="s">
        <v>74</v>
      </c>
      <c r="U5829" s="17"/>
      <c r="V5829" s="18">
        <f>62811367044</f>
        <v>62811367044</v>
      </c>
      <c r="W5829" t="s">
        <v>16636</v>
      </c>
    </row>
    <row r="5830" ht="15" customHeight="1" spans="1:22" x14ac:dyDescent="0.25">
      <c r="A5830" s="17" t="s">
        <v>16637</v>
      </c>
      <c r="B5830" s="17" t="s">
        <v>70</v>
      </c>
      <c r="C5830" s="17" t="s">
        <v>71</v>
      </c>
      <c r="D5830" t="s">
        <v>10788</v>
      </c>
      <c r="F5830" t="s">
        <v>10788</v>
      </c>
      <c r="K5830" s="18">
        <f>6282258984590</f>
        <v>6282258984590</v>
      </c>
      <c r="N5830" s="17" t="s">
        <v>81</v>
      </c>
      <c r="V5830" s="18">
        <f>6282258984590</f>
        <v>6282258984590</v>
      </c>
    </row>
    <row r="5831" ht="15" customHeight="1" spans="1:22" x14ac:dyDescent="0.25">
      <c r="A5831" s="17" t="s">
        <v>16638</v>
      </c>
      <c r="B5831" s="17" t="s">
        <v>70</v>
      </c>
      <c r="C5831" s="17" t="s">
        <v>71</v>
      </c>
      <c r="D5831" t="s">
        <v>10788</v>
      </c>
      <c r="F5831" t="s">
        <v>16639</v>
      </c>
      <c r="K5831" s="18">
        <f>6281286307918</f>
        <v>6281286307918</v>
      </c>
      <c r="N5831" s="17" t="s">
        <v>77</v>
      </c>
      <c r="V5831" s="18">
        <f>6281286307918</f>
        <v>6281286307918</v>
      </c>
    </row>
    <row r="5832" ht="15" customHeight="1" spans="1:22" x14ac:dyDescent="0.25">
      <c r="A5832" s="17" t="s">
        <v>16640</v>
      </c>
      <c r="B5832" s="17" t="s">
        <v>70</v>
      </c>
      <c r="C5832" s="17" t="s">
        <v>71</v>
      </c>
      <c r="D5832" t="s">
        <v>10788</v>
      </c>
      <c r="F5832" t="s">
        <v>16641</v>
      </c>
      <c r="K5832" s="18">
        <f>6287875234336</f>
        <v>6287875234336</v>
      </c>
      <c r="N5832" s="17" t="s">
        <v>81</v>
      </c>
      <c r="V5832" s="18">
        <f>6287875234336</f>
        <v>6287875234336</v>
      </c>
    </row>
    <row r="5833" ht="15" customHeight="1" spans="1:22" x14ac:dyDescent="0.25">
      <c r="A5833" s="17" t="s">
        <v>16642</v>
      </c>
      <c r="B5833" s="17" t="s">
        <v>70</v>
      </c>
      <c r="C5833" s="17" t="s">
        <v>71</v>
      </c>
      <c r="D5833" t="s">
        <v>10788</v>
      </c>
      <c r="F5833" t="s">
        <v>16643</v>
      </c>
      <c r="K5833" s="18">
        <f>6282136911111</f>
        <v>6282136911111</v>
      </c>
      <c r="N5833" s="17" t="s">
        <v>81</v>
      </c>
      <c r="V5833" s="18">
        <f>6282136911111</f>
        <v>6282136911111</v>
      </c>
    </row>
    <row r="5834" ht="15" customHeight="1" spans="1:28" x14ac:dyDescent="0.25">
      <c r="A5834" s="17" t="s">
        <v>16644</v>
      </c>
      <c r="B5834" s="17" t="s">
        <v>70</v>
      </c>
      <c r="C5834" s="17" t="s">
        <v>71</v>
      </c>
      <c r="D5834" t="s">
        <v>10788</v>
      </c>
      <c r="F5834" t="s">
        <v>16645</v>
      </c>
      <c r="J5834" s="17" t="s">
        <v>16646</v>
      </c>
      <c r="K5834" s="18" t="s">
        <v>16647</v>
      </c>
      <c r="N5834" s="17" t="s">
        <v>77</v>
      </c>
      <c r="O5834" t="s">
        <v>117</v>
      </c>
      <c r="U5834" s="17"/>
      <c r="V5834" s="18" t="s">
        <v>16647</v>
      </c>
      <c r="W5834" t="s">
        <v>3140</v>
      </c>
      <c r="Y5834" t="s">
        <v>3140</v>
      </c>
      <c r="AA5834" t="s">
        <v>115</v>
      </c>
      <c r="AB5834" t="s">
        <v>3140</v>
      </c>
    </row>
    <row r="5835" ht="15" customHeight="1" spans="1:28" x14ac:dyDescent="0.25">
      <c r="A5835" s="17" t="s">
        <v>16648</v>
      </c>
      <c r="B5835" s="17" t="s">
        <v>70</v>
      </c>
      <c r="C5835" s="17" t="s">
        <v>71</v>
      </c>
      <c r="D5835" t="s">
        <v>16649</v>
      </c>
      <c r="F5835" t="s">
        <v>13426</v>
      </c>
      <c r="J5835" s="17" t="s">
        <v>16650</v>
      </c>
      <c r="K5835" s="18" t="s">
        <v>16651</v>
      </c>
      <c r="N5835" s="17" t="s">
        <v>77</v>
      </c>
      <c r="O5835" t="s">
        <v>117</v>
      </c>
      <c r="U5835" s="17"/>
      <c r="V5835" s="18" t="s">
        <v>16651</v>
      </c>
      <c r="W5835" t="s">
        <v>3140</v>
      </c>
      <c r="Y5835" t="s">
        <v>3140</v>
      </c>
      <c r="AA5835" t="s">
        <v>115</v>
      </c>
      <c r="AB5835" t="s">
        <v>3140</v>
      </c>
    </row>
    <row r="5836" ht="15" customHeight="1" spans="1:28" x14ac:dyDescent="0.25">
      <c r="A5836" s="17" t="s">
        <v>16652</v>
      </c>
      <c r="B5836" s="17" t="s">
        <v>70</v>
      </c>
      <c r="C5836" s="17" t="s">
        <v>71</v>
      </c>
      <c r="D5836" t="s">
        <v>16649</v>
      </c>
      <c r="F5836" t="s">
        <v>16653</v>
      </c>
      <c r="J5836" s="17" t="s">
        <v>16654</v>
      </c>
      <c r="K5836" s="18" t="s">
        <v>16655</v>
      </c>
      <c r="N5836" s="17" t="s">
        <v>77</v>
      </c>
      <c r="O5836" t="s">
        <v>117</v>
      </c>
      <c r="U5836" s="17"/>
      <c r="V5836" s="18" t="s">
        <v>16655</v>
      </c>
      <c r="W5836" t="s">
        <v>3140</v>
      </c>
      <c r="Y5836" t="s">
        <v>3140</v>
      </c>
      <c r="AA5836" t="s">
        <v>115</v>
      </c>
      <c r="AB5836" t="s">
        <v>3140</v>
      </c>
    </row>
    <row r="5837" ht="15" customHeight="1" spans="1:28" x14ac:dyDescent="0.25">
      <c r="A5837" s="17" t="s">
        <v>16656</v>
      </c>
      <c r="B5837" s="17" t="s">
        <v>70</v>
      </c>
      <c r="C5837" s="17" t="s">
        <v>71</v>
      </c>
      <c r="D5837" t="s">
        <v>10788</v>
      </c>
      <c r="F5837" t="s">
        <v>16657</v>
      </c>
      <c r="J5837" s="17" t="s">
        <v>16658</v>
      </c>
      <c r="K5837" s="18" t="s">
        <v>16659</v>
      </c>
      <c r="N5837" s="17" t="s">
        <v>77</v>
      </c>
      <c r="O5837" t="s">
        <v>117</v>
      </c>
      <c r="U5837" s="17"/>
      <c r="V5837" s="18" t="s">
        <v>16659</v>
      </c>
      <c r="W5837" t="s">
        <v>3140</v>
      </c>
      <c r="Y5837" t="s">
        <v>3140</v>
      </c>
      <c r="AA5837" t="s">
        <v>115</v>
      </c>
      <c r="AB5837" t="s">
        <v>3140</v>
      </c>
    </row>
    <row r="5838" ht="15" customHeight="1" spans="1:28" x14ac:dyDescent="0.25">
      <c r="A5838" s="17" t="s">
        <v>16660</v>
      </c>
      <c r="B5838" s="17" t="s">
        <v>70</v>
      </c>
      <c r="C5838" s="17" t="s">
        <v>71</v>
      </c>
      <c r="D5838" t="s">
        <v>16661</v>
      </c>
      <c r="F5838" t="s">
        <v>16662</v>
      </c>
      <c r="J5838" t="s">
        <v>115</v>
      </c>
      <c r="K5838" s="18" t="s">
        <v>16663</v>
      </c>
      <c r="N5838" s="17" t="s">
        <v>81</v>
      </c>
      <c r="O5838" t="s">
        <v>117</v>
      </c>
      <c r="V5838" s="18" t="s">
        <v>16663</v>
      </c>
      <c r="Y5838" t="s">
        <v>90</v>
      </c>
      <c r="AA5838" t="s">
        <v>118</v>
      </c>
      <c r="AB5838" t="s">
        <v>119</v>
      </c>
    </row>
    <row r="5839" ht="15" customHeight="1" spans="1:28" x14ac:dyDescent="0.25">
      <c r="A5839" s="17" t="s">
        <v>16664</v>
      </c>
      <c r="B5839" s="17" t="s">
        <v>70</v>
      </c>
      <c r="C5839" s="17" t="s">
        <v>71</v>
      </c>
      <c r="D5839" t="s">
        <v>16665</v>
      </c>
      <c r="F5839" t="s">
        <v>16666</v>
      </c>
      <c r="J5839" s="22" t="s">
        <v>16667</v>
      </c>
      <c r="K5839" s="18" t="s">
        <v>16668</v>
      </c>
      <c r="N5839" s="17" t="s">
        <v>77</v>
      </c>
      <c r="O5839" t="s">
        <v>145</v>
      </c>
      <c r="U5839" s="17"/>
      <c r="V5839" s="18" t="s">
        <v>16668</v>
      </c>
      <c r="W5839" t="s">
        <v>16669</v>
      </c>
      <c r="Y5839" s="17" t="s">
        <v>16670</v>
      </c>
      <c r="AA5839" t="s">
        <v>115</v>
      </c>
      <c r="AB5839" t="s">
        <v>119</v>
      </c>
    </row>
    <row r="5840" ht="15" customHeight="1" spans="1:22" x14ac:dyDescent="0.25">
      <c r="A5840" s="17" t="s">
        <v>16671</v>
      </c>
      <c r="B5840" s="17" t="s">
        <v>70</v>
      </c>
      <c r="C5840" s="17" t="s">
        <v>71</v>
      </c>
      <c r="D5840" t="s">
        <v>16672</v>
      </c>
      <c r="F5840" t="s">
        <v>16673</v>
      </c>
      <c r="K5840" s="18">
        <v>966555820225</v>
      </c>
      <c r="N5840" s="17" t="s">
        <v>77</v>
      </c>
      <c r="V5840" s="18">
        <v>966555820225</v>
      </c>
    </row>
    <row r="5841" ht="15" customHeight="1" spans="1:23" x14ac:dyDescent="0.25">
      <c r="A5841" s="17" t="s">
        <v>16674</v>
      </c>
      <c r="B5841" s="17" t="s">
        <v>70</v>
      </c>
      <c r="C5841" s="17" t="s">
        <v>71</v>
      </c>
      <c r="D5841" t="s">
        <v>16675</v>
      </c>
      <c r="F5841" t="s">
        <v>16676</v>
      </c>
      <c r="K5841" s="18">
        <f>33687854055</f>
        <v>33687854055</v>
      </c>
      <c r="N5841" s="17" t="s">
        <v>81</v>
      </c>
      <c r="U5841" s="17"/>
      <c r="V5841" s="18">
        <f>33687854055</f>
        <v>33687854055</v>
      </c>
      <c r="W5841" t="s">
        <v>5358</v>
      </c>
    </row>
    <row r="5842" ht="15" customHeight="1" spans="1:25" x14ac:dyDescent="0.25">
      <c r="A5842" s="17" t="s">
        <v>16677</v>
      </c>
      <c r="B5842" s="17" t="s">
        <v>70</v>
      </c>
      <c r="C5842" s="17" t="s">
        <v>71</v>
      </c>
      <c r="D5842" t="s">
        <v>16678</v>
      </c>
      <c r="F5842" t="s">
        <v>16679</v>
      </c>
      <c r="K5842" s="18">
        <f>62811231777</f>
        <v>62811231777</v>
      </c>
      <c r="N5842" s="17" t="s">
        <v>74</v>
      </c>
      <c r="U5842" s="17"/>
      <c r="V5842" s="18">
        <f>62811231777</f>
        <v>62811231777</v>
      </c>
      <c r="W5842" t="s">
        <v>16680</v>
      </c>
      <c r="Y5842" s="17" t="s">
        <v>90</v>
      </c>
    </row>
    <row r="5843" ht="15" customHeight="1" spans="1:25" x14ac:dyDescent="0.25">
      <c r="A5843" s="17" t="s">
        <v>16681</v>
      </c>
      <c r="B5843" s="17" t="s">
        <v>70</v>
      </c>
      <c r="C5843" s="17" t="s">
        <v>71</v>
      </c>
      <c r="D5843" t="s">
        <v>16682</v>
      </c>
      <c r="F5843" t="s">
        <v>16683</v>
      </c>
      <c r="J5843" s="17" t="s">
        <v>16684</v>
      </c>
      <c r="K5843" s="18">
        <f>62811800020</f>
        <v>62811800020</v>
      </c>
      <c r="N5843" s="17" t="s">
        <v>77</v>
      </c>
      <c r="U5843" s="17"/>
      <c r="V5843" s="18">
        <f>62811800020</f>
        <v>62811800020</v>
      </c>
      <c r="W5843" t="s">
        <v>16685</v>
      </c>
      <c r="Y5843" s="17" t="s">
        <v>96</v>
      </c>
    </row>
    <row r="5844" ht="15" customHeight="1" spans="1:28" x14ac:dyDescent="0.25">
      <c r="A5844" s="17" t="s">
        <v>16686</v>
      </c>
      <c r="B5844" s="17" t="s">
        <v>70</v>
      </c>
      <c r="C5844" s="17" t="s">
        <v>71</v>
      </c>
      <c r="D5844" t="s">
        <v>16682</v>
      </c>
      <c r="F5844" t="s">
        <v>16687</v>
      </c>
      <c r="J5844" s="17" t="s">
        <v>16688</v>
      </c>
      <c r="K5844" s="18" t="s">
        <v>16689</v>
      </c>
      <c r="N5844" s="17" t="s">
        <v>77</v>
      </c>
      <c r="O5844" t="s">
        <v>489</v>
      </c>
      <c r="V5844" s="18" t="s">
        <v>16689</v>
      </c>
      <c r="Y5844" s="17" t="s">
        <v>7238</v>
      </c>
      <c r="AA5844" t="s">
        <v>115</v>
      </c>
      <c r="AB5844" t="s">
        <v>7238</v>
      </c>
    </row>
    <row r="5845" ht="15" customHeight="1" spans="1:28" x14ac:dyDescent="0.25">
      <c r="A5845" s="17" t="s">
        <v>16690</v>
      </c>
      <c r="B5845" s="17" t="s">
        <v>70</v>
      </c>
      <c r="C5845" s="17" t="s">
        <v>71</v>
      </c>
      <c r="D5845" t="s">
        <v>16691</v>
      </c>
      <c r="F5845" t="s">
        <v>16692</v>
      </c>
      <c r="J5845" s="17" t="s">
        <v>16693</v>
      </c>
      <c r="K5845" s="18" t="s">
        <v>16694</v>
      </c>
      <c r="N5845" s="17" t="s">
        <v>77</v>
      </c>
      <c r="O5845" t="s">
        <v>145</v>
      </c>
      <c r="U5845" s="17"/>
      <c r="V5845" s="18" t="s">
        <v>16694</v>
      </c>
      <c r="W5845" t="s">
        <v>5003</v>
      </c>
      <c r="Y5845" t="s">
        <v>190</v>
      </c>
      <c r="AA5845" t="s">
        <v>118</v>
      </c>
      <c r="AB5845" t="s">
        <v>16695</v>
      </c>
    </row>
    <row r="5846" ht="15" customHeight="1" spans="1:22" x14ac:dyDescent="0.25">
      <c r="A5846" s="17" t="s">
        <v>16696</v>
      </c>
      <c r="B5846" s="17" t="s">
        <v>70</v>
      </c>
      <c r="C5846" s="17" t="s">
        <v>71</v>
      </c>
      <c r="D5846" t="s">
        <v>16691</v>
      </c>
      <c r="F5846" t="s">
        <v>7093</v>
      </c>
      <c r="K5846" s="18">
        <f>62818485506</f>
        <v>62818485506</v>
      </c>
      <c r="N5846" s="17" t="s">
        <v>77</v>
      </c>
      <c r="V5846" s="18">
        <f>62818485506</f>
        <v>62818485506</v>
      </c>
    </row>
    <row r="5847" ht="15" customHeight="1" spans="1:25" x14ac:dyDescent="0.25">
      <c r="A5847" s="17" t="s">
        <v>16697</v>
      </c>
      <c r="B5847" s="17" t="s">
        <v>70</v>
      </c>
      <c r="C5847" s="17" t="s">
        <v>71</v>
      </c>
      <c r="D5847" t="s">
        <v>16698</v>
      </c>
      <c r="F5847" t="s">
        <v>3869</v>
      </c>
      <c r="J5847" s="17" t="s">
        <v>16699</v>
      </c>
      <c r="K5847" s="18">
        <f>6281126620299</f>
        <v>6281126620299</v>
      </c>
      <c r="N5847" s="17" t="s">
        <v>74</v>
      </c>
      <c r="U5847" s="17"/>
      <c r="V5847" s="18">
        <f>6281126620299</f>
        <v>6281126620299</v>
      </c>
      <c r="W5847" t="s">
        <v>16700</v>
      </c>
      <c r="Y5847" s="17" t="s">
        <v>16701</v>
      </c>
    </row>
    <row r="5848" ht="15" customHeight="1" spans="1:28" x14ac:dyDescent="0.25">
      <c r="A5848" s="17" t="s">
        <v>16702</v>
      </c>
      <c r="B5848" s="17" t="s">
        <v>70</v>
      </c>
      <c r="C5848" s="17" t="s">
        <v>71</v>
      </c>
      <c r="D5848" t="s">
        <v>16703</v>
      </c>
      <c r="F5848" t="s">
        <v>7914</v>
      </c>
      <c r="J5848" s="17" t="s">
        <v>16704</v>
      </c>
      <c r="K5848" s="18" t="s">
        <v>16705</v>
      </c>
      <c r="N5848" s="17" t="s">
        <v>77</v>
      </c>
      <c r="O5848" t="s">
        <v>145</v>
      </c>
      <c r="U5848" s="17"/>
      <c r="V5848" s="18" t="s">
        <v>16705</v>
      </c>
      <c r="W5848" t="s">
        <v>16706</v>
      </c>
      <c r="Y5848" s="17" t="s">
        <v>90</v>
      </c>
      <c r="AA5848" t="s">
        <v>118</v>
      </c>
      <c r="AB5848" t="s">
        <v>119</v>
      </c>
    </row>
    <row r="5849" ht="15" customHeight="1" spans="1:28" x14ac:dyDescent="0.25">
      <c r="A5849" s="17" t="s">
        <v>16707</v>
      </c>
      <c r="B5849" s="17" t="s">
        <v>70</v>
      </c>
      <c r="C5849" s="17" t="s">
        <v>71</v>
      </c>
      <c r="D5849" t="s">
        <v>16708</v>
      </c>
      <c r="F5849" t="s">
        <v>16709</v>
      </c>
      <c r="J5849" s="17" t="s">
        <v>16710</v>
      </c>
      <c r="K5849" s="18" t="s">
        <v>16711</v>
      </c>
      <c r="N5849" s="17" t="s">
        <v>77</v>
      </c>
      <c r="O5849" t="s">
        <v>199</v>
      </c>
      <c r="V5849" s="18" t="s">
        <v>16711</v>
      </c>
      <c r="Y5849" t="s">
        <v>115</v>
      </c>
      <c r="AA5849" t="s">
        <v>115</v>
      </c>
      <c r="AB5849" t="s">
        <v>1298</v>
      </c>
    </row>
    <row r="5850" ht="15" customHeight="1" spans="1:28" x14ac:dyDescent="0.25">
      <c r="A5850" s="17" t="s">
        <v>16712</v>
      </c>
      <c r="B5850" s="17" t="s">
        <v>70</v>
      </c>
      <c r="C5850" s="17" t="s">
        <v>71</v>
      </c>
      <c r="D5850" t="s">
        <v>16713</v>
      </c>
      <c r="F5850" t="s">
        <v>16714</v>
      </c>
      <c r="J5850" t="s">
        <v>115</v>
      </c>
      <c r="K5850" s="18" t="s">
        <v>16715</v>
      </c>
      <c r="N5850" s="17" t="s">
        <v>81</v>
      </c>
      <c r="O5850" t="s">
        <v>261</v>
      </c>
      <c r="U5850" s="17"/>
      <c r="V5850" s="18" t="s">
        <v>16715</v>
      </c>
      <c r="W5850" t="s">
        <v>16716</v>
      </c>
      <c r="Y5850" t="s">
        <v>90</v>
      </c>
      <c r="AA5850" t="s">
        <v>118</v>
      </c>
      <c r="AB5850" t="s">
        <v>119</v>
      </c>
    </row>
    <row r="5851" ht="15" customHeight="1" spans="1:22" x14ac:dyDescent="0.25">
      <c r="A5851" s="17" t="s">
        <v>16717</v>
      </c>
      <c r="B5851" s="17" t="s">
        <v>70</v>
      </c>
      <c r="C5851" s="17" t="s">
        <v>71</v>
      </c>
      <c r="D5851" t="s">
        <v>16718</v>
      </c>
      <c r="F5851" t="s">
        <v>16718</v>
      </c>
      <c r="K5851" s="18">
        <f>628159903620</f>
        <v>628159903620</v>
      </c>
      <c r="N5851" s="17" t="s">
        <v>77</v>
      </c>
      <c r="V5851" s="18">
        <f>628159903620</f>
        <v>628159903620</v>
      </c>
    </row>
    <row r="5852" ht="15" customHeight="1" spans="1:25" x14ac:dyDescent="0.25">
      <c r="A5852" s="17" t="s">
        <v>16719</v>
      </c>
      <c r="B5852" s="17" t="s">
        <v>70</v>
      </c>
      <c r="C5852" s="17" t="s">
        <v>71</v>
      </c>
      <c r="D5852" t="s">
        <v>15568</v>
      </c>
      <c r="F5852" t="s">
        <v>15568</v>
      </c>
      <c r="K5852" s="18">
        <f>628126095722</f>
        <v>628126095722</v>
      </c>
      <c r="N5852" s="17" t="s">
        <v>81</v>
      </c>
      <c r="U5852" s="17"/>
      <c r="V5852" s="18">
        <f>628126095722</f>
        <v>628126095722</v>
      </c>
      <c r="W5852" t="s">
        <v>16720</v>
      </c>
      <c r="Y5852" s="17" t="s">
        <v>1157</v>
      </c>
    </row>
    <row r="5853" ht="15" customHeight="1" spans="1:22" x14ac:dyDescent="0.25">
      <c r="A5853" s="17" t="s">
        <v>16721</v>
      </c>
      <c r="B5853" s="17" t="s">
        <v>70</v>
      </c>
      <c r="C5853" s="17" t="s">
        <v>71</v>
      </c>
      <c r="D5853" t="s">
        <v>15568</v>
      </c>
      <c r="F5853" t="s">
        <v>15568</v>
      </c>
      <c r="K5853" s="18">
        <f>6281584784800</f>
        <v>6281584784800</v>
      </c>
      <c r="N5853" s="17" t="s">
        <v>81</v>
      </c>
      <c r="V5853" s="18">
        <f>6281584784800</f>
        <v>6281584784800</v>
      </c>
    </row>
    <row r="5854" ht="15" customHeight="1" spans="1:22" x14ac:dyDescent="0.25">
      <c r="A5854" s="17" t="s">
        <v>16722</v>
      </c>
      <c r="B5854" s="17" t="s">
        <v>70</v>
      </c>
      <c r="C5854" s="17" t="s">
        <v>71</v>
      </c>
      <c r="D5854" t="s">
        <v>15568</v>
      </c>
      <c r="F5854" t="s">
        <v>1205</v>
      </c>
      <c r="K5854" s="18">
        <f>628193275335</f>
        <v>628193275335</v>
      </c>
      <c r="N5854" s="17" t="s">
        <v>77</v>
      </c>
      <c r="V5854" s="18">
        <f>628193275335</f>
        <v>628193275335</v>
      </c>
    </row>
    <row r="5855" ht="15" customHeight="1" spans="1:22" x14ac:dyDescent="0.25">
      <c r="A5855" s="17" t="s">
        <v>16723</v>
      </c>
      <c r="B5855" s="17" t="s">
        <v>70</v>
      </c>
      <c r="C5855" s="17" t="s">
        <v>71</v>
      </c>
      <c r="D5855" t="s">
        <v>15568</v>
      </c>
      <c r="F5855" t="s">
        <v>3268</v>
      </c>
      <c r="K5855" s="18">
        <f>6287779990028</f>
        <v>6287779990028</v>
      </c>
      <c r="N5855" s="17" t="s">
        <v>77</v>
      </c>
      <c r="V5855" s="18">
        <f>6287779990028</f>
        <v>6287779990028</v>
      </c>
    </row>
    <row r="5856" ht="15" customHeight="1" spans="1:22" x14ac:dyDescent="0.25">
      <c r="A5856" s="17" t="s">
        <v>16724</v>
      </c>
      <c r="B5856" s="17" t="s">
        <v>70</v>
      </c>
      <c r="C5856" s="17" t="s">
        <v>71</v>
      </c>
      <c r="D5856" t="s">
        <v>15568</v>
      </c>
      <c r="F5856" t="s">
        <v>16725</v>
      </c>
      <c r="K5856" s="18">
        <f>628119883689</f>
        <v>628119883689</v>
      </c>
      <c r="N5856" s="17" t="s">
        <v>81</v>
      </c>
      <c r="V5856" s="18">
        <f>628119883689</f>
        <v>628119883689</v>
      </c>
    </row>
    <row r="5857" ht="15" customHeight="1" spans="1:22" x14ac:dyDescent="0.25">
      <c r="A5857" s="17" t="s">
        <v>16726</v>
      </c>
      <c r="B5857" s="17" t="s">
        <v>70</v>
      </c>
      <c r="C5857" s="17" t="s">
        <v>71</v>
      </c>
      <c r="D5857" t="s">
        <v>15568</v>
      </c>
      <c r="F5857" t="s">
        <v>548</v>
      </c>
      <c r="K5857" s="18">
        <f>628119782838</f>
        <v>628119782838</v>
      </c>
      <c r="N5857" s="17" t="s">
        <v>77</v>
      </c>
      <c r="V5857" s="18">
        <f>628119782838</f>
        <v>628119782838</v>
      </c>
    </row>
    <row r="5858" ht="15" customHeight="1" spans="1:23" x14ac:dyDescent="0.25">
      <c r="A5858" s="17" t="s">
        <v>16727</v>
      </c>
      <c r="B5858" s="17" t="s">
        <v>70</v>
      </c>
      <c r="C5858" s="17" t="s">
        <v>71</v>
      </c>
      <c r="D5858" t="s">
        <v>15568</v>
      </c>
      <c r="F5858" t="s">
        <v>16728</v>
      </c>
      <c r="K5858" s="18">
        <f>62816829832</f>
        <v>62816829832</v>
      </c>
      <c r="N5858" s="17" t="s">
        <v>77</v>
      </c>
      <c r="U5858" s="17"/>
      <c r="V5858" s="18">
        <f>62816829832</f>
        <v>62816829832</v>
      </c>
      <c r="W5858" t="s">
        <v>16729</v>
      </c>
    </row>
    <row r="5859" ht="15" customHeight="1" spans="1:28" x14ac:dyDescent="0.25">
      <c r="A5859" s="17" t="s">
        <v>16730</v>
      </c>
      <c r="B5859" s="17" t="s">
        <v>70</v>
      </c>
      <c r="C5859" s="17" t="s">
        <v>71</v>
      </c>
      <c r="D5859" t="s">
        <v>15568</v>
      </c>
      <c r="F5859" t="s">
        <v>16731</v>
      </c>
      <c r="J5859" t="s">
        <v>115</v>
      </c>
      <c r="K5859" s="18" t="s">
        <v>16732</v>
      </c>
      <c r="N5859" s="17" t="s">
        <v>77</v>
      </c>
      <c r="O5859" t="s">
        <v>489</v>
      </c>
      <c r="U5859" s="17"/>
      <c r="V5859" s="18" t="s">
        <v>16732</v>
      </c>
      <c r="W5859" t="s">
        <v>16733</v>
      </c>
      <c r="Y5859" t="s">
        <v>190</v>
      </c>
      <c r="AA5859" t="s">
        <v>118</v>
      </c>
      <c r="AB5859" t="s">
        <v>119</v>
      </c>
    </row>
    <row r="5860" ht="15" customHeight="1" spans="1:22" x14ac:dyDescent="0.25">
      <c r="A5860" s="17" t="s">
        <v>16734</v>
      </c>
      <c r="B5860" s="17" t="s">
        <v>70</v>
      </c>
      <c r="C5860" s="17" t="s">
        <v>71</v>
      </c>
      <c r="D5860" t="s">
        <v>15568</v>
      </c>
      <c r="F5860" t="s">
        <v>16735</v>
      </c>
      <c r="K5860" s="18">
        <f>62816960748</f>
        <v>62816960748</v>
      </c>
      <c r="N5860" s="17" t="s">
        <v>77</v>
      </c>
      <c r="V5860" s="18">
        <f>62816960748</f>
        <v>62816960748</v>
      </c>
    </row>
    <row r="5861" ht="15" customHeight="1" spans="1:28" x14ac:dyDescent="0.25">
      <c r="A5861" s="17" t="s">
        <v>16736</v>
      </c>
      <c r="B5861" s="17" t="s">
        <v>70</v>
      </c>
      <c r="C5861" s="17" t="s">
        <v>71</v>
      </c>
      <c r="D5861" t="s">
        <v>15568</v>
      </c>
      <c r="F5861" t="s">
        <v>16737</v>
      </c>
      <c r="J5861" s="17" t="s">
        <v>16738</v>
      </c>
      <c r="K5861" s="18" t="s">
        <v>16739</v>
      </c>
      <c r="N5861" s="17" t="s">
        <v>77</v>
      </c>
      <c r="O5861" t="s">
        <v>117</v>
      </c>
      <c r="V5861" s="18" t="s">
        <v>16739</v>
      </c>
      <c r="Y5861" t="s">
        <v>90</v>
      </c>
      <c r="AA5861" t="s">
        <v>118</v>
      </c>
      <c r="AB5861" t="s">
        <v>119</v>
      </c>
    </row>
    <row r="5862" ht="15" customHeight="1" spans="1:27" x14ac:dyDescent="0.25">
      <c r="A5862" s="17" t="s">
        <v>16740</v>
      </c>
      <c r="B5862" s="17" t="s">
        <v>70</v>
      </c>
      <c r="C5862" s="17" t="s">
        <v>71</v>
      </c>
      <c r="D5862" t="s">
        <v>15568</v>
      </c>
      <c r="F5862" t="s">
        <v>7530</v>
      </c>
      <c r="K5862" s="18">
        <f>628111571008</f>
        <v>628111571008</v>
      </c>
      <c r="N5862" s="17" t="s">
        <v>77</v>
      </c>
      <c r="U5862" s="17"/>
      <c r="V5862" s="18">
        <f>628111571008</f>
        <v>628111571008</v>
      </c>
      <c r="W5862" t="s">
        <v>16741</v>
      </c>
      <c r="Y5862" s="17" t="s">
        <v>90</v>
      </c>
      <c r="AA5862" s="17">
        <v>10350</v>
      </c>
    </row>
    <row r="5863" ht="15" customHeight="1" spans="1:22" x14ac:dyDescent="0.25">
      <c r="A5863" s="17" t="s">
        <v>16742</v>
      </c>
      <c r="B5863" s="17" t="s">
        <v>70</v>
      </c>
      <c r="C5863" s="17" t="s">
        <v>71</v>
      </c>
      <c r="D5863" t="s">
        <v>15568</v>
      </c>
      <c r="F5863" t="s">
        <v>16743</v>
      </c>
      <c r="K5863" s="18">
        <f>6281310591958</f>
        <v>6281310591958</v>
      </c>
      <c r="N5863" s="17" t="s">
        <v>77</v>
      </c>
      <c r="V5863" s="18">
        <f>6281310591958</f>
        <v>6281310591958</v>
      </c>
    </row>
    <row r="5864" ht="15" customHeight="1" spans="1:23" x14ac:dyDescent="0.25">
      <c r="A5864" s="17" t="s">
        <v>16744</v>
      </c>
      <c r="B5864" s="17" t="s">
        <v>70</v>
      </c>
      <c r="C5864" s="17" t="s">
        <v>71</v>
      </c>
      <c r="D5864" t="s">
        <v>15568</v>
      </c>
      <c r="F5864" t="s">
        <v>8962</v>
      </c>
      <c r="J5864" s="17" t="s">
        <v>16745</v>
      </c>
      <c r="K5864" s="18">
        <f>6281807821852</f>
        <v>6281807821852</v>
      </c>
      <c r="N5864" s="17" t="s">
        <v>77</v>
      </c>
      <c r="U5864" s="17"/>
      <c r="V5864" s="18">
        <f>6281807821852</f>
        <v>6281807821852</v>
      </c>
      <c r="W5864" t="s">
        <v>16746</v>
      </c>
    </row>
    <row r="5865" ht="15" customHeight="1" spans="1:28" x14ac:dyDescent="0.25">
      <c r="A5865" s="17" t="s">
        <v>16747</v>
      </c>
      <c r="B5865" s="17" t="s">
        <v>70</v>
      </c>
      <c r="C5865" s="17" t="s">
        <v>71</v>
      </c>
      <c r="D5865" t="s">
        <v>16748</v>
      </c>
      <c r="F5865" t="s">
        <v>131</v>
      </c>
      <c r="J5865" t="s">
        <v>115</v>
      </c>
      <c r="K5865" s="18" t="s">
        <v>16749</v>
      </c>
      <c r="N5865" s="17" t="s">
        <v>74</v>
      </c>
      <c r="O5865" t="s">
        <v>261</v>
      </c>
      <c r="U5865" s="17"/>
      <c r="V5865" s="18" t="s">
        <v>16749</v>
      </c>
      <c r="W5865" t="s">
        <v>16750</v>
      </c>
      <c r="Y5865" t="s">
        <v>90</v>
      </c>
      <c r="AA5865" t="s">
        <v>118</v>
      </c>
      <c r="AB5865" t="s">
        <v>119</v>
      </c>
    </row>
    <row r="5866" ht="15" customHeight="1" spans="1:28" x14ac:dyDescent="0.25">
      <c r="A5866" s="17" t="s">
        <v>16751</v>
      </c>
      <c r="B5866" s="17" t="s">
        <v>70</v>
      </c>
      <c r="C5866" s="17" t="s">
        <v>71</v>
      </c>
      <c r="D5866" t="s">
        <v>16752</v>
      </c>
      <c r="F5866" t="s">
        <v>6671</v>
      </c>
      <c r="J5866" t="s">
        <v>115</v>
      </c>
      <c r="K5866" s="18" t="s">
        <v>16753</v>
      </c>
      <c r="N5866" s="17" t="s">
        <v>77</v>
      </c>
      <c r="O5866" t="s">
        <v>117</v>
      </c>
      <c r="V5866" s="18" t="s">
        <v>16753</v>
      </c>
      <c r="Y5866" t="s">
        <v>190</v>
      </c>
      <c r="AA5866" t="s">
        <v>118</v>
      </c>
      <c r="AB5866" t="s">
        <v>119</v>
      </c>
    </row>
    <row r="5867" ht="15" customHeight="1" spans="1:22" x14ac:dyDescent="0.25">
      <c r="A5867" s="17" t="s">
        <v>16754</v>
      </c>
      <c r="B5867" s="17" t="s">
        <v>70</v>
      </c>
      <c r="C5867" s="17" t="s">
        <v>71</v>
      </c>
      <c r="D5867" t="s">
        <v>15568</v>
      </c>
      <c r="F5867" t="s">
        <v>16755</v>
      </c>
      <c r="K5867" s="18">
        <f>628158084135</f>
        <v>628158084135</v>
      </c>
      <c r="N5867" s="17" t="s">
        <v>77</v>
      </c>
      <c r="V5867" s="18">
        <f>628158084135</f>
        <v>628158084135</v>
      </c>
    </row>
    <row r="5868" ht="15" customHeight="1" spans="1:22" x14ac:dyDescent="0.25">
      <c r="A5868" s="17" t="s">
        <v>16756</v>
      </c>
      <c r="B5868" s="17" t="s">
        <v>70</v>
      </c>
      <c r="C5868" s="17" t="s">
        <v>71</v>
      </c>
      <c r="D5868" t="s">
        <v>15568</v>
      </c>
      <c r="F5868" t="s">
        <v>16757</v>
      </c>
      <c r="K5868" s="18">
        <f>6281333888393</f>
        <v>6281333888393</v>
      </c>
      <c r="N5868" s="17" t="s">
        <v>81</v>
      </c>
      <c r="V5868" s="18">
        <f>6281333888393</f>
        <v>6281333888393</v>
      </c>
    </row>
    <row r="5869" ht="15" customHeight="1" spans="1:22" x14ac:dyDescent="0.25">
      <c r="A5869" s="17" t="s">
        <v>16758</v>
      </c>
      <c r="B5869" s="17" t="s">
        <v>70</v>
      </c>
      <c r="C5869" s="17" t="s">
        <v>71</v>
      </c>
      <c r="D5869" t="s">
        <v>313</v>
      </c>
      <c r="F5869" t="s">
        <v>16759</v>
      </c>
      <c r="K5869" s="18">
        <f>6281399061953</f>
        <v>6281399061953</v>
      </c>
      <c r="N5869" s="17" t="s">
        <v>77</v>
      </c>
      <c r="V5869" s="18">
        <f>6281399061953</f>
        <v>6281399061953</v>
      </c>
    </row>
    <row r="5870" ht="15" customHeight="1" spans="1:25" x14ac:dyDescent="0.25">
      <c r="A5870" s="17" t="s">
        <v>16760</v>
      </c>
      <c r="B5870" s="17" t="s">
        <v>70</v>
      </c>
      <c r="C5870" s="17" t="s">
        <v>71</v>
      </c>
      <c r="D5870" t="s">
        <v>313</v>
      </c>
      <c r="F5870" t="s">
        <v>6671</v>
      </c>
      <c r="K5870" s="18">
        <f>6281327169000</f>
        <v>6281327169000</v>
      </c>
      <c r="N5870" s="17" t="s">
        <v>81</v>
      </c>
      <c r="U5870" s="17"/>
      <c r="V5870" s="18">
        <f>6281327169000</f>
        <v>6281327169000</v>
      </c>
      <c r="W5870" t="s">
        <v>16761</v>
      </c>
      <c r="Y5870" s="17" t="s">
        <v>410</v>
      </c>
    </row>
    <row r="5871" ht="15" customHeight="1" spans="1:28" x14ac:dyDescent="0.25">
      <c r="A5871" s="17" t="s">
        <v>16762</v>
      </c>
      <c r="B5871" s="17" t="s">
        <v>70</v>
      </c>
      <c r="C5871" s="17" t="s">
        <v>71</v>
      </c>
      <c r="D5871" t="s">
        <v>16763</v>
      </c>
      <c r="F5871" t="s">
        <v>6621</v>
      </c>
      <c r="J5871" s="17" t="s">
        <v>16764</v>
      </c>
      <c r="K5871" s="18" t="s">
        <v>16765</v>
      </c>
      <c r="N5871" s="17" t="s">
        <v>77</v>
      </c>
      <c r="O5871" t="s">
        <v>145</v>
      </c>
      <c r="U5871" s="17"/>
      <c r="V5871" s="18" t="s">
        <v>16765</v>
      </c>
      <c r="W5871" t="s">
        <v>16766</v>
      </c>
      <c r="Y5871" t="s">
        <v>190</v>
      </c>
      <c r="AA5871" s="17" t="s">
        <v>118</v>
      </c>
      <c r="AB5871" t="s">
        <v>119</v>
      </c>
    </row>
    <row r="5872" ht="15" customHeight="1" spans="1:27" x14ac:dyDescent="0.25">
      <c r="A5872" s="17" t="s">
        <v>16767</v>
      </c>
      <c r="B5872" s="17" t="s">
        <v>70</v>
      </c>
      <c r="C5872" s="17" t="s">
        <v>71</v>
      </c>
      <c r="D5872" t="s">
        <v>313</v>
      </c>
      <c r="F5872" t="s">
        <v>13757</v>
      </c>
      <c r="J5872" s="17" t="s">
        <v>16768</v>
      </c>
      <c r="K5872" s="18">
        <f>628118386088</f>
        <v>628118386088</v>
      </c>
      <c r="N5872" s="17" t="s">
        <v>81</v>
      </c>
      <c r="U5872" s="17"/>
      <c r="V5872" s="18">
        <f>628118386088</f>
        <v>628118386088</v>
      </c>
      <c r="W5872" t="s">
        <v>16769</v>
      </c>
      <c r="Y5872" s="17" t="s">
        <v>90</v>
      </c>
      <c r="AA5872" s="17">
        <v>14450</v>
      </c>
    </row>
    <row r="5873" ht="15" customHeight="1" spans="1:28" x14ac:dyDescent="0.25">
      <c r="A5873" s="17" t="s">
        <v>16770</v>
      </c>
      <c r="B5873" s="17" t="s">
        <v>70</v>
      </c>
      <c r="C5873" s="17" t="s">
        <v>71</v>
      </c>
      <c r="D5873" t="s">
        <v>313</v>
      </c>
      <c r="F5873" t="s">
        <v>16771</v>
      </c>
      <c r="J5873" s="17" t="s">
        <v>16772</v>
      </c>
      <c r="K5873" s="18" t="s">
        <v>16773</v>
      </c>
      <c r="N5873" s="17" t="s">
        <v>74</v>
      </c>
      <c r="O5873" t="s">
        <v>117</v>
      </c>
      <c r="U5873" s="17"/>
      <c r="V5873" s="18" t="s">
        <v>16773</v>
      </c>
      <c r="W5873" t="s">
        <v>16774</v>
      </c>
      <c r="Y5873" s="17" t="s">
        <v>190</v>
      </c>
      <c r="AA5873" t="s">
        <v>118</v>
      </c>
      <c r="AB5873" t="s">
        <v>119</v>
      </c>
    </row>
    <row r="5874" ht="15" customHeight="1" spans="1:22" x14ac:dyDescent="0.25">
      <c r="A5874" s="17" t="s">
        <v>16775</v>
      </c>
      <c r="B5874" s="17" t="s">
        <v>70</v>
      </c>
      <c r="C5874" s="17" t="s">
        <v>71</v>
      </c>
      <c r="D5874" t="s">
        <v>16776</v>
      </c>
      <c r="F5874" t="s">
        <v>16777</v>
      </c>
      <c r="K5874" s="18">
        <f>6281343043600</f>
        <v>6281343043600</v>
      </c>
      <c r="N5874" s="17" t="s">
        <v>74</v>
      </c>
      <c r="V5874" s="18">
        <f>6281343043600</f>
        <v>6281343043600</v>
      </c>
    </row>
    <row r="5875" ht="15" customHeight="1" spans="1:23" x14ac:dyDescent="0.25">
      <c r="A5875" s="17" t="s">
        <v>16778</v>
      </c>
      <c r="B5875" s="17" t="s">
        <v>70</v>
      </c>
      <c r="C5875" s="17" t="s">
        <v>71</v>
      </c>
      <c r="D5875" t="s">
        <v>16776</v>
      </c>
      <c r="F5875" t="s">
        <v>16779</v>
      </c>
      <c r="J5875" s="17" t="s">
        <v>16780</v>
      </c>
      <c r="K5875" s="18">
        <f>62811791187</f>
        <v>62811791187</v>
      </c>
      <c r="N5875" s="17" t="s">
        <v>77</v>
      </c>
      <c r="U5875" s="17"/>
      <c r="V5875" s="18">
        <f>62811791187</f>
        <v>62811791187</v>
      </c>
      <c r="W5875" t="s">
        <v>16781</v>
      </c>
    </row>
    <row r="5876" ht="15" customHeight="1" spans="1:28" x14ac:dyDescent="0.25">
      <c r="A5876" s="17" t="s">
        <v>16782</v>
      </c>
      <c r="B5876" s="17" t="s">
        <v>70</v>
      </c>
      <c r="C5876" s="17" t="s">
        <v>71</v>
      </c>
      <c r="D5876" t="s">
        <v>16783</v>
      </c>
      <c r="F5876" t="s">
        <v>16783</v>
      </c>
      <c r="J5876" s="17" t="s">
        <v>16784</v>
      </c>
      <c r="K5876" s="18" t="s">
        <v>16785</v>
      </c>
      <c r="N5876" s="17" t="s">
        <v>74</v>
      </c>
      <c r="O5876" t="s">
        <v>145</v>
      </c>
      <c r="U5876" s="17"/>
      <c r="V5876" s="18" t="s">
        <v>16785</v>
      </c>
      <c r="W5876" t="s">
        <v>16786</v>
      </c>
      <c r="Y5876" s="17" t="s">
        <v>90</v>
      </c>
      <c r="AA5876" t="s">
        <v>118</v>
      </c>
      <c r="AB5876" t="s">
        <v>119</v>
      </c>
    </row>
    <row r="5877" ht="15" customHeight="1" spans="1:22" x14ac:dyDescent="0.25">
      <c r="A5877" s="17" t="s">
        <v>16787</v>
      </c>
      <c r="B5877" s="17" t="s">
        <v>70</v>
      </c>
      <c r="C5877" s="17" t="s">
        <v>71</v>
      </c>
      <c r="D5877" t="s">
        <v>16788</v>
      </c>
      <c r="F5877" t="s">
        <v>16789</v>
      </c>
      <c r="K5877" s="18">
        <f>6281318800938</f>
        <v>6281318800938</v>
      </c>
      <c r="N5877" s="17" t="s">
        <v>81</v>
      </c>
      <c r="V5877" s="18">
        <f>6281318800938</f>
        <v>6281318800938</v>
      </c>
    </row>
    <row r="5878" ht="15" customHeight="1" spans="1:22" x14ac:dyDescent="0.25">
      <c r="A5878" s="17" t="s">
        <v>16790</v>
      </c>
      <c r="B5878" s="17" t="s">
        <v>70</v>
      </c>
      <c r="C5878" s="17" t="s">
        <v>71</v>
      </c>
      <c r="D5878" t="s">
        <v>16791</v>
      </c>
      <c r="F5878" t="s">
        <v>1208</v>
      </c>
      <c r="K5878" s="18">
        <f>6287881651169</f>
        <v>6287881651169</v>
      </c>
      <c r="N5878" s="17" t="s">
        <v>77</v>
      </c>
      <c r="V5878" s="18">
        <f>6287881651169</f>
        <v>6287881651169</v>
      </c>
    </row>
    <row r="5879" ht="15" customHeight="1" spans="1:28" x14ac:dyDescent="0.25">
      <c r="A5879" s="17" t="s">
        <v>16792</v>
      </c>
      <c r="B5879" s="17" t="s">
        <v>70</v>
      </c>
      <c r="C5879" s="17" t="s">
        <v>71</v>
      </c>
      <c r="D5879" t="s">
        <v>16793</v>
      </c>
      <c r="F5879" t="s">
        <v>2073</v>
      </c>
      <c r="J5879" t="s">
        <v>16794</v>
      </c>
      <c r="K5879" s="18" t="s">
        <v>16795</v>
      </c>
      <c r="N5879" s="17" t="s">
        <v>77</v>
      </c>
      <c r="O5879" t="s">
        <v>199</v>
      </c>
      <c r="U5879" s="17"/>
      <c r="V5879" s="18" t="s">
        <v>16795</v>
      </c>
      <c r="W5879" t="s">
        <v>16796</v>
      </c>
      <c r="Y5879" s="17" t="s">
        <v>567</v>
      </c>
      <c r="AA5879" t="s">
        <v>2291</v>
      </c>
      <c r="AB5879" t="s">
        <v>119</v>
      </c>
    </row>
    <row r="5880" ht="15" customHeight="1" spans="1:22" x14ac:dyDescent="0.25">
      <c r="A5880" s="17" t="s">
        <v>16797</v>
      </c>
      <c r="B5880" s="17" t="s">
        <v>70</v>
      </c>
      <c r="C5880" s="17" t="s">
        <v>71</v>
      </c>
      <c r="D5880" t="s">
        <v>16793</v>
      </c>
      <c r="F5880" t="s">
        <v>16798</v>
      </c>
      <c r="K5880" s="18">
        <f>628128212840</f>
        <v>628128212840</v>
      </c>
      <c r="N5880" s="17" t="s">
        <v>77</v>
      </c>
      <c r="V5880" s="18">
        <f>628128212840</f>
        <v>628128212840</v>
      </c>
    </row>
    <row r="5881" ht="15" customHeight="1" spans="1:23" x14ac:dyDescent="0.25">
      <c r="A5881" s="17" t="s">
        <v>16799</v>
      </c>
      <c r="B5881" s="17" t="s">
        <v>70</v>
      </c>
      <c r="C5881" s="17" t="s">
        <v>71</v>
      </c>
      <c r="D5881" t="s">
        <v>16800</v>
      </c>
      <c r="F5881" t="s">
        <v>16800</v>
      </c>
      <c r="K5881" s="18">
        <f>6287886666515</f>
        <v>6287886666515</v>
      </c>
      <c r="N5881" s="17" t="s">
        <v>74</v>
      </c>
      <c r="U5881" s="17"/>
      <c r="V5881" s="18">
        <f>6287886666515</f>
        <v>6287886666515</v>
      </c>
      <c r="W5881" t="s">
        <v>16801</v>
      </c>
    </row>
    <row r="5882" ht="15" customHeight="1" spans="1:22" x14ac:dyDescent="0.25">
      <c r="A5882" s="17" t="s">
        <v>16802</v>
      </c>
      <c r="B5882" s="17" t="s">
        <v>70</v>
      </c>
      <c r="C5882" s="17" t="s">
        <v>71</v>
      </c>
      <c r="D5882" t="s">
        <v>16803</v>
      </c>
      <c r="F5882" t="s">
        <v>16803</v>
      </c>
      <c r="K5882" s="18">
        <f>62811607970</f>
        <v>62811607970</v>
      </c>
      <c r="N5882" s="17" t="s">
        <v>81</v>
      </c>
      <c r="V5882" s="18">
        <f>62811607970</f>
        <v>62811607970</v>
      </c>
    </row>
    <row r="5883" ht="15" customHeight="1" spans="1:28" x14ac:dyDescent="0.25">
      <c r="A5883" s="17" t="s">
        <v>16804</v>
      </c>
      <c r="B5883" s="17" t="s">
        <v>70</v>
      </c>
      <c r="C5883" s="17" t="s">
        <v>71</v>
      </c>
      <c r="D5883" t="s">
        <v>16805</v>
      </c>
      <c r="F5883" t="s">
        <v>2782</v>
      </c>
      <c r="J5883" s="17" t="s">
        <v>16806</v>
      </c>
      <c r="K5883" s="18" t="s">
        <v>16807</v>
      </c>
      <c r="N5883" s="17" t="s">
        <v>77</v>
      </c>
      <c r="O5883" t="s">
        <v>489</v>
      </c>
      <c r="V5883" s="18" t="s">
        <v>16807</v>
      </c>
      <c r="Y5883" t="s">
        <v>190</v>
      </c>
      <c r="AA5883" t="s">
        <v>118</v>
      </c>
      <c r="AB5883" t="s">
        <v>119</v>
      </c>
    </row>
    <row r="5884" ht="15" customHeight="1" spans="1:22" x14ac:dyDescent="0.25">
      <c r="A5884" s="17" t="s">
        <v>16808</v>
      </c>
      <c r="B5884" s="17" t="s">
        <v>70</v>
      </c>
      <c r="C5884" s="17" t="s">
        <v>71</v>
      </c>
      <c r="D5884" t="s">
        <v>16809</v>
      </c>
      <c r="F5884" t="s">
        <v>150</v>
      </c>
      <c r="K5884" s="18">
        <f>6281513883444</f>
        <v>6281513883444</v>
      </c>
      <c r="N5884" s="17" t="s">
        <v>74</v>
      </c>
      <c r="V5884" s="18">
        <f>6281513883444</f>
        <v>6281513883444</v>
      </c>
    </row>
    <row r="5885" ht="15" customHeight="1" spans="1:22" x14ac:dyDescent="0.25">
      <c r="A5885" s="17" t="s">
        <v>16810</v>
      </c>
      <c r="B5885" s="17" t="s">
        <v>70</v>
      </c>
      <c r="C5885" s="17" t="s">
        <v>71</v>
      </c>
      <c r="D5885" t="s">
        <v>7046</v>
      </c>
      <c r="F5885" t="s">
        <v>7046</v>
      </c>
      <c r="K5885" s="18">
        <f>628119781382</f>
        <v>628119781382</v>
      </c>
      <c r="N5885" s="17" t="s">
        <v>77</v>
      </c>
      <c r="V5885" s="18">
        <f>628119781382</f>
        <v>628119781382</v>
      </c>
    </row>
    <row r="5886" ht="15" customHeight="1" spans="1:22" x14ac:dyDescent="0.25">
      <c r="A5886" s="17" t="s">
        <v>16811</v>
      </c>
      <c r="B5886" s="17" t="s">
        <v>70</v>
      </c>
      <c r="C5886" s="17" t="s">
        <v>71</v>
      </c>
      <c r="D5886" t="s">
        <v>7046</v>
      </c>
      <c r="F5886" t="s">
        <v>7046</v>
      </c>
      <c r="K5886" s="18">
        <f>6285280482676</f>
        <v>6285280482676</v>
      </c>
      <c r="N5886" s="17" t="s">
        <v>77</v>
      </c>
      <c r="V5886" s="18">
        <f>6285280482676</f>
        <v>6285280482676</v>
      </c>
    </row>
    <row r="5887" ht="15" customHeight="1" spans="1:22" x14ac:dyDescent="0.25">
      <c r="A5887" s="17" t="s">
        <v>16812</v>
      </c>
      <c r="B5887" s="17" t="s">
        <v>70</v>
      </c>
      <c r="C5887" s="17" t="s">
        <v>71</v>
      </c>
      <c r="D5887" t="s">
        <v>7046</v>
      </c>
      <c r="F5887" t="s">
        <v>7046</v>
      </c>
      <c r="K5887" s="18">
        <f>6281288075090</f>
        <v>6281288075090</v>
      </c>
      <c r="N5887" s="17" t="s">
        <v>81</v>
      </c>
      <c r="V5887" s="18">
        <f>6281288075090</f>
        <v>6281288075090</v>
      </c>
    </row>
    <row r="5888" ht="15" customHeight="1" spans="1:22" x14ac:dyDescent="0.25">
      <c r="A5888" s="17" t="s">
        <v>16813</v>
      </c>
      <c r="B5888" s="17" t="s">
        <v>70</v>
      </c>
      <c r="C5888" s="17" t="s">
        <v>71</v>
      </c>
      <c r="D5888" t="s">
        <v>7046</v>
      </c>
      <c r="F5888" t="s">
        <v>7046</v>
      </c>
      <c r="K5888" s="18">
        <f>62818168313</f>
        <v>62818168313</v>
      </c>
      <c r="N5888" s="17" t="s">
        <v>77</v>
      </c>
      <c r="V5888" s="18">
        <f>62818168313</f>
        <v>62818168313</v>
      </c>
    </row>
    <row r="5889" ht="15" customHeight="1" spans="1:22" x14ac:dyDescent="0.25">
      <c r="A5889" s="17" t="s">
        <v>16814</v>
      </c>
      <c r="B5889" s="17" t="s">
        <v>70</v>
      </c>
      <c r="C5889" s="17" t="s">
        <v>71</v>
      </c>
      <c r="D5889" t="s">
        <v>7046</v>
      </c>
      <c r="F5889" t="s">
        <v>7046</v>
      </c>
      <c r="K5889" s="18">
        <f>6281251544914</f>
        <v>6281251544914</v>
      </c>
      <c r="N5889" s="17" t="s">
        <v>81</v>
      </c>
      <c r="V5889" s="18">
        <f>6281251544914</f>
        <v>6281251544914</v>
      </c>
    </row>
    <row r="5890" ht="15" customHeight="1" spans="1:27" x14ac:dyDescent="0.25">
      <c r="A5890" s="17" t="s">
        <v>16815</v>
      </c>
      <c r="B5890" s="17" t="s">
        <v>70</v>
      </c>
      <c r="C5890" s="17" t="s">
        <v>71</v>
      </c>
      <c r="D5890" t="s">
        <v>7046</v>
      </c>
      <c r="F5890" t="s">
        <v>5459</v>
      </c>
      <c r="K5890" s="18">
        <f>6285714505858</f>
        <v>6285714505858</v>
      </c>
      <c r="N5890" s="17" t="s">
        <v>81</v>
      </c>
      <c r="U5890" s="17"/>
      <c r="V5890" s="18">
        <f>6285714505858</f>
        <v>6285714505858</v>
      </c>
      <c r="W5890" t="s">
        <v>16816</v>
      </c>
      <c r="AA5890" s="17">
        <v>11460</v>
      </c>
    </row>
    <row r="5891" ht="15" customHeight="1" spans="1:22" x14ac:dyDescent="0.25">
      <c r="A5891" s="17" t="s">
        <v>16817</v>
      </c>
      <c r="B5891" s="17" t="s">
        <v>70</v>
      </c>
      <c r="C5891" s="17" t="s">
        <v>71</v>
      </c>
      <c r="D5891" t="s">
        <v>7046</v>
      </c>
      <c r="F5891" t="s">
        <v>3746</v>
      </c>
      <c r="K5891" s="18">
        <f>6281317613298</f>
        <v>6281317613298</v>
      </c>
      <c r="N5891" s="17" t="s">
        <v>81</v>
      </c>
      <c r="V5891" s="18">
        <f>6281317613298</f>
        <v>6281317613298</v>
      </c>
    </row>
    <row r="5892" ht="15" customHeight="1" spans="1:28" x14ac:dyDescent="0.25">
      <c r="A5892" s="17" t="s">
        <v>16818</v>
      </c>
      <c r="B5892" s="17" t="s">
        <v>70</v>
      </c>
      <c r="C5892" s="17" t="s">
        <v>71</v>
      </c>
      <c r="D5892" t="s">
        <v>7046</v>
      </c>
      <c r="F5892" t="s">
        <v>6235</v>
      </c>
      <c r="J5892" s="17" t="s">
        <v>16819</v>
      </c>
      <c r="K5892" s="18" t="s">
        <v>16820</v>
      </c>
      <c r="N5892" s="17" t="s">
        <v>81</v>
      </c>
      <c r="O5892" t="s">
        <v>261</v>
      </c>
      <c r="U5892" s="17"/>
      <c r="V5892" s="18" t="s">
        <v>16820</v>
      </c>
      <c r="W5892" t="s">
        <v>16821</v>
      </c>
      <c r="Y5892" t="s">
        <v>217</v>
      </c>
      <c r="AA5892" t="s">
        <v>218</v>
      </c>
      <c r="AB5892" t="s">
        <v>119</v>
      </c>
    </row>
    <row r="5893" ht="15" customHeight="1" spans="1:23" x14ac:dyDescent="0.25">
      <c r="A5893" s="17" t="s">
        <v>16822</v>
      </c>
      <c r="B5893" s="17" t="s">
        <v>70</v>
      </c>
      <c r="C5893" s="17" t="s">
        <v>71</v>
      </c>
      <c r="D5893" t="s">
        <v>7046</v>
      </c>
      <c r="F5893" t="s">
        <v>14414</v>
      </c>
      <c r="K5893" s="18">
        <f>62811392336</f>
        <v>62811392336</v>
      </c>
      <c r="N5893" s="17" t="s">
        <v>77</v>
      </c>
      <c r="U5893" s="17"/>
      <c r="V5893" s="18">
        <f>62811392336</f>
        <v>62811392336</v>
      </c>
      <c r="W5893" t="s">
        <v>16823</v>
      </c>
    </row>
    <row r="5894" ht="15" customHeight="1" spans="1:25" x14ac:dyDescent="0.25">
      <c r="A5894" s="17" t="s">
        <v>16824</v>
      </c>
      <c r="B5894" s="17" t="s">
        <v>70</v>
      </c>
      <c r="C5894" s="17" t="s">
        <v>71</v>
      </c>
      <c r="D5894" t="s">
        <v>7046</v>
      </c>
      <c r="F5894" t="s">
        <v>618</v>
      </c>
      <c r="K5894" s="18">
        <f>6281511773333</f>
        <v>6281511773333</v>
      </c>
      <c r="N5894" s="17" t="s">
        <v>77</v>
      </c>
      <c r="U5894" s="17"/>
      <c r="V5894" s="18">
        <f>6281511773333</f>
        <v>6281511773333</v>
      </c>
      <c r="W5894" t="s">
        <v>16825</v>
      </c>
      <c r="Y5894" s="17" t="s">
        <v>96</v>
      </c>
    </row>
    <row r="5895" ht="15" customHeight="1" spans="1:28" x14ac:dyDescent="0.25">
      <c r="A5895" s="17" t="s">
        <v>16826</v>
      </c>
      <c r="B5895" s="17" t="s">
        <v>70</v>
      </c>
      <c r="C5895" s="17" t="s">
        <v>71</v>
      </c>
      <c r="D5895" t="s">
        <v>7046</v>
      </c>
      <c r="F5895" t="s">
        <v>167</v>
      </c>
      <c r="J5895" t="s">
        <v>115</v>
      </c>
      <c r="K5895" s="18" t="s">
        <v>16827</v>
      </c>
      <c r="N5895" s="17" t="s">
        <v>77</v>
      </c>
      <c r="O5895" t="s">
        <v>117</v>
      </c>
      <c r="V5895" s="18" t="s">
        <v>16827</v>
      </c>
      <c r="Y5895" t="s">
        <v>190</v>
      </c>
      <c r="AA5895" t="s">
        <v>118</v>
      </c>
      <c r="AB5895" t="s">
        <v>119</v>
      </c>
    </row>
    <row r="5896" ht="15" customHeight="1" spans="1:28" x14ac:dyDescent="0.25">
      <c r="A5896" s="17" t="s">
        <v>16828</v>
      </c>
      <c r="B5896" s="17" t="s">
        <v>70</v>
      </c>
      <c r="C5896" s="17" t="s">
        <v>71</v>
      </c>
      <c r="D5896" t="s">
        <v>7046</v>
      </c>
      <c r="F5896" t="s">
        <v>7046</v>
      </c>
      <c r="J5896" t="s">
        <v>115</v>
      </c>
      <c r="K5896" s="18" t="s">
        <v>16829</v>
      </c>
      <c r="N5896" s="17" t="s">
        <v>77</v>
      </c>
      <c r="O5896" t="s">
        <v>199</v>
      </c>
      <c r="V5896" s="18" t="s">
        <v>16829</v>
      </c>
      <c r="Y5896" t="s">
        <v>90</v>
      </c>
      <c r="AA5896" t="s">
        <v>118</v>
      </c>
      <c r="AB5896" t="s">
        <v>119</v>
      </c>
    </row>
    <row r="5897" ht="15" customHeight="1" spans="1:28" x14ac:dyDescent="0.25">
      <c r="A5897" s="17" t="s">
        <v>16830</v>
      </c>
      <c r="B5897" s="17" t="s">
        <v>70</v>
      </c>
      <c r="C5897" s="17" t="s">
        <v>71</v>
      </c>
      <c r="D5897" t="s">
        <v>7046</v>
      </c>
      <c r="F5897" t="s">
        <v>16831</v>
      </c>
      <c r="J5897" t="s">
        <v>115</v>
      </c>
      <c r="K5897" s="18" t="s">
        <v>16832</v>
      </c>
      <c r="N5897" s="17" t="s">
        <v>77</v>
      </c>
      <c r="O5897" t="s">
        <v>261</v>
      </c>
      <c r="V5897" s="18" t="s">
        <v>16832</v>
      </c>
      <c r="Y5897" t="s">
        <v>181</v>
      </c>
      <c r="AA5897" t="s">
        <v>1672</v>
      </c>
      <c r="AB5897" t="s">
        <v>119</v>
      </c>
    </row>
    <row r="5898" ht="15" customHeight="1" spans="1:22" x14ac:dyDescent="0.25">
      <c r="A5898" s="17" t="s">
        <v>16833</v>
      </c>
      <c r="B5898" s="17" t="s">
        <v>70</v>
      </c>
      <c r="C5898" s="17" t="s">
        <v>71</v>
      </c>
      <c r="D5898" t="s">
        <v>7046</v>
      </c>
      <c r="F5898" t="s">
        <v>16834</v>
      </c>
      <c r="K5898" s="18">
        <f>62811178397</f>
        <v>62811178397</v>
      </c>
      <c r="N5898" s="17" t="s">
        <v>81</v>
      </c>
      <c r="V5898" s="18">
        <f>62811178397</f>
        <v>62811178397</v>
      </c>
    </row>
    <row r="5899" ht="15" customHeight="1" spans="1:27" x14ac:dyDescent="0.25">
      <c r="A5899" s="17" t="s">
        <v>16835</v>
      </c>
      <c r="B5899" s="17" t="s">
        <v>70</v>
      </c>
      <c r="C5899" s="17" t="s">
        <v>71</v>
      </c>
      <c r="D5899" t="s">
        <v>7046</v>
      </c>
      <c r="F5899" t="s">
        <v>3025</v>
      </c>
      <c r="K5899" s="18">
        <f>62817599799</f>
        <v>62817599799</v>
      </c>
      <c r="N5899" s="17" t="s">
        <v>77</v>
      </c>
      <c r="U5899" s="17"/>
      <c r="V5899" s="18">
        <f>62817599799</f>
        <v>62817599799</v>
      </c>
      <c r="W5899" t="s">
        <v>16836</v>
      </c>
      <c r="Y5899" s="17" t="s">
        <v>378</v>
      </c>
      <c r="AA5899" s="17">
        <v>10530</v>
      </c>
    </row>
    <row r="5900" ht="15" customHeight="1" spans="1:28" x14ac:dyDescent="0.25">
      <c r="A5900" s="17" t="s">
        <v>16837</v>
      </c>
      <c r="B5900" s="17" t="s">
        <v>70</v>
      </c>
      <c r="C5900" s="17" t="s">
        <v>71</v>
      </c>
      <c r="D5900" t="s">
        <v>7046</v>
      </c>
      <c r="F5900" t="s">
        <v>16838</v>
      </c>
      <c r="J5900" t="s">
        <v>115</v>
      </c>
      <c r="K5900" s="18" t="s">
        <v>16839</v>
      </c>
      <c r="N5900" s="17" t="s">
        <v>77</v>
      </c>
      <c r="O5900" t="s">
        <v>117</v>
      </c>
      <c r="V5900" s="18" t="s">
        <v>16839</v>
      </c>
      <c r="Y5900" t="s">
        <v>190</v>
      </c>
      <c r="AA5900" t="s">
        <v>118</v>
      </c>
      <c r="AB5900" t="s">
        <v>119</v>
      </c>
    </row>
    <row r="5901" ht="15" customHeight="1" spans="1:28" x14ac:dyDescent="0.25">
      <c r="A5901" s="17" t="s">
        <v>16840</v>
      </c>
      <c r="B5901" s="17" t="s">
        <v>70</v>
      </c>
      <c r="C5901" s="17" t="s">
        <v>71</v>
      </c>
      <c r="D5901" t="s">
        <v>6142</v>
      </c>
      <c r="F5901" t="s">
        <v>16841</v>
      </c>
      <c r="J5901" t="s">
        <v>115</v>
      </c>
      <c r="K5901" s="18" t="s">
        <v>16842</v>
      </c>
      <c r="N5901" s="17" t="s">
        <v>81</v>
      </c>
      <c r="O5901" t="s">
        <v>117</v>
      </c>
      <c r="U5901" s="17"/>
      <c r="V5901" s="18" t="s">
        <v>16842</v>
      </c>
      <c r="W5901" t="s">
        <v>16843</v>
      </c>
      <c r="Y5901" s="17" t="s">
        <v>90</v>
      </c>
      <c r="AA5901" t="s">
        <v>118</v>
      </c>
      <c r="AB5901" t="s">
        <v>119</v>
      </c>
    </row>
    <row r="5902" ht="15" customHeight="1" spans="1:28" x14ac:dyDescent="0.25">
      <c r="A5902" s="17" t="s">
        <v>16844</v>
      </c>
      <c r="B5902" s="17" t="s">
        <v>70</v>
      </c>
      <c r="C5902" s="17" t="s">
        <v>71</v>
      </c>
      <c r="D5902" t="s">
        <v>16845</v>
      </c>
      <c r="F5902" t="s">
        <v>13843</v>
      </c>
      <c r="J5902" t="s">
        <v>16846</v>
      </c>
      <c r="K5902" s="18" t="s">
        <v>16847</v>
      </c>
      <c r="N5902" s="17" t="s">
        <v>77</v>
      </c>
      <c r="O5902" t="s">
        <v>117</v>
      </c>
      <c r="U5902" s="17"/>
      <c r="V5902" s="18" t="s">
        <v>16847</v>
      </c>
      <c r="W5902" t="s">
        <v>16848</v>
      </c>
      <c r="Y5902" s="17" t="s">
        <v>1084</v>
      </c>
      <c r="AA5902" t="s">
        <v>3146</v>
      </c>
      <c r="AB5902" t="s">
        <v>119</v>
      </c>
    </row>
    <row r="5903" ht="15" customHeight="1" spans="1:28" x14ac:dyDescent="0.25">
      <c r="A5903" s="17" t="s">
        <v>16849</v>
      </c>
      <c r="B5903" s="17" t="s">
        <v>70</v>
      </c>
      <c r="C5903" s="17" t="s">
        <v>71</v>
      </c>
      <c r="D5903" t="s">
        <v>7046</v>
      </c>
      <c r="F5903" t="s">
        <v>1153</v>
      </c>
      <c r="J5903" s="17" t="s">
        <v>16850</v>
      </c>
      <c r="K5903" s="18" t="s">
        <v>16851</v>
      </c>
      <c r="N5903" s="17" t="s">
        <v>77</v>
      </c>
      <c r="O5903" t="s">
        <v>117</v>
      </c>
      <c r="U5903" s="17"/>
      <c r="V5903" s="18" t="s">
        <v>16851</v>
      </c>
      <c r="W5903" t="s">
        <v>16852</v>
      </c>
      <c r="Y5903" s="17" t="s">
        <v>90</v>
      </c>
      <c r="AA5903" t="s">
        <v>118</v>
      </c>
      <c r="AB5903" t="s">
        <v>119</v>
      </c>
    </row>
    <row r="5904" ht="15" customHeight="1" spans="1:22" x14ac:dyDescent="0.25">
      <c r="A5904" s="17" t="s">
        <v>16853</v>
      </c>
      <c r="B5904" s="17" t="s">
        <v>70</v>
      </c>
      <c r="C5904" s="17" t="s">
        <v>71</v>
      </c>
      <c r="D5904" t="s">
        <v>7046</v>
      </c>
      <c r="F5904" t="s">
        <v>3009</v>
      </c>
      <c r="K5904" s="18">
        <f>6281510545576</f>
        <v>6281510545576</v>
      </c>
      <c r="N5904" s="17" t="s">
        <v>77</v>
      </c>
      <c r="V5904" s="18">
        <f>6281510545576</f>
        <v>6281510545576</v>
      </c>
    </row>
    <row r="5905" ht="15" customHeight="1" spans="1:28" x14ac:dyDescent="0.25">
      <c r="A5905" s="17" t="s">
        <v>16854</v>
      </c>
      <c r="B5905" s="17" t="s">
        <v>70</v>
      </c>
      <c r="C5905" s="17" t="s">
        <v>71</v>
      </c>
      <c r="D5905" t="s">
        <v>7046</v>
      </c>
      <c r="F5905" t="s">
        <v>16855</v>
      </c>
      <c r="J5905" s="17" t="s">
        <v>16856</v>
      </c>
      <c r="K5905" s="18" t="s">
        <v>16857</v>
      </c>
      <c r="N5905" s="17" t="s">
        <v>77</v>
      </c>
      <c r="O5905" t="s">
        <v>261</v>
      </c>
      <c r="U5905" s="17"/>
      <c r="V5905" s="18" t="s">
        <v>16857</v>
      </c>
      <c r="W5905" t="s">
        <v>16858</v>
      </c>
      <c r="Y5905" s="17" t="s">
        <v>90</v>
      </c>
      <c r="AA5905" t="s">
        <v>115</v>
      </c>
      <c r="AB5905" t="s">
        <v>119</v>
      </c>
    </row>
    <row r="5906" ht="15" customHeight="1" spans="1:25" x14ac:dyDescent="0.25">
      <c r="A5906" s="17" t="s">
        <v>16859</v>
      </c>
      <c r="B5906" s="17" t="s">
        <v>70</v>
      </c>
      <c r="C5906" s="17" t="s">
        <v>71</v>
      </c>
      <c r="D5906" t="s">
        <v>7046</v>
      </c>
      <c r="F5906" t="s">
        <v>672</v>
      </c>
      <c r="K5906" s="18">
        <f>6285211001980</f>
        <v>6285211001980</v>
      </c>
      <c r="N5906" s="17" t="s">
        <v>81</v>
      </c>
      <c r="U5906" s="17"/>
      <c r="V5906" s="18">
        <f>6285211001980</f>
        <v>6285211001980</v>
      </c>
      <c r="W5906" t="s">
        <v>16860</v>
      </c>
      <c r="Y5906" s="17" t="s">
        <v>1157</v>
      </c>
    </row>
    <row r="5907" ht="15" customHeight="1" spans="1:22" x14ac:dyDescent="0.25">
      <c r="A5907" s="17" t="s">
        <v>16861</v>
      </c>
      <c r="B5907" s="17" t="s">
        <v>70</v>
      </c>
      <c r="C5907" s="17" t="s">
        <v>71</v>
      </c>
      <c r="D5907" t="s">
        <v>16862</v>
      </c>
      <c r="F5907" t="s">
        <v>16862</v>
      </c>
      <c r="K5907" s="18">
        <f>62811804231</f>
        <v>62811804231</v>
      </c>
      <c r="N5907" s="17" t="s">
        <v>81</v>
      </c>
      <c r="V5907" s="18">
        <f>62811804231</f>
        <v>62811804231</v>
      </c>
    </row>
    <row r="5908" ht="15" customHeight="1" spans="1:22" x14ac:dyDescent="0.25">
      <c r="A5908" s="17" t="s">
        <v>16863</v>
      </c>
      <c r="B5908" s="17" t="s">
        <v>70</v>
      </c>
      <c r="C5908" s="17" t="s">
        <v>71</v>
      </c>
      <c r="D5908" t="s">
        <v>7046</v>
      </c>
      <c r="F5908" t="s">
        <v>7046</v>
      </c>
      <c r="K5908" s="18">
        <f>6281256609880</f>
        <v>6281256609880</v>
      </c>
      <c r="N5908" s="17" t="s">
        <v>77</v>
      </c>
      <c r="V5908" s="18">
        <f>6281256609880</f>
        <v>6281256609880</v>
      </c>
    </row>
    <row r="5909" ht="15" customHeight="1" spans="1:28" x14ac:dyDescent="0.25">
      <c r="A5909" s="17" t="s">
        <v>16864</v>
      </c>
      <c r="B5909" s="17" t="s">
        <v>70</v>
      </c>
      <c r="C5909" s="17" t="s">
        <v>71</v>
      </c>
      <c r="D5909" t="s">
        <v>11674</v>
      </c>
      <c r="F5909" t="s">
        <v>11674</v>
      </c>
      <c r="J5909" t="s">
        <v>115</v>
      </c>
      <c r="K5909" s="18" t="s">
        <v>16865</v>
      </c>
      <c r="N5909" s="17" t="s">
        <v>74</v>
      </c>
      <c r="O5909" t="s">
        <v>489</v>
      </c>
      <c r="U5909" s="17"/>
      <c r="V5909" s="18" t="s">
        <v>16865</v>
      </c>
      <c r="W5909" t="s">
        <v>16866</v>
      </c>
      <c r="Y5909" t="s">
        <v>1247</v>
      </c>
      <c r="AA5909" t="s">
        <v>115</v>
      </c>
      <c r="AB5909" t="s">
        <v>119</v>
      </c>
    </row>
    <row r="5910" ht="15" customHeight="1" spans="1:27" x14ac:dyDescent="0.25">
      <c r="A5910" s="17" t="s">
        <v>16867</v>
      </c>
      <c r="B5910" s="17" t="s">
        <v>70</v>
      </c>
      <c r="C5910" s="17" t="s">
        <v>71</v>
      </c>
      <c r="D5910" t="s">
        <v>11674</v>
      </c>
      <c r="F5910" t="s">
        <v>16868</v>
      </c>
      <c r="K5910" s="18">
        <f>62811970306</f>
        <v>62811970306</v>
      </c>
      <c r="N5910" s="17" t="s">
        <v>77</v>
      </c>
      <c r="U5910" s="17"/>
      <c r="V5910" s="18">
        <f>62811970306</f>
        <v>62811970306</v>
      </c>
      <c r="W5910" t="s">
        <v>16869</v>
      </c>
      <c r="Y5910" s="17" t="s">
        <v>217</v>
      </c>
      <c r="AA5910" s="17" t="s">
        <v>8658</v>
      </c>
    </row>
    <row r="5911" ht="15" customHeight="1" spans="1:23" x14ac:dyDescent="0.25">
      <c r="A5911" s="17" t="s">
        <v>16870</v>
      </c>
      <c r="B5911" s="17" t="s">
        <v>70</v>
      </c>
      <c r="C5911" s="17" t="s">
        <v>71</v>
      </c>
      <c r="D5911" t="s">
        <v>16871</v>
      </c>
      <c r="F5911" t="s">
        <v>16871</v>
      </c>
      <c r="K5911" s="18">
        <f>628129326771</f>
        <v>628129326771</v>
      </c>
      <c r="N5911" s="17" t="s">
        <v>77</v>
      </c>
      <c r="U5911" s="17"/>
      <c r="V5911" s="18">
        <f>628129326771</f>
        <v>628129326771</v>
      </c>
      <c r="W5911" t="s">
        <v>16872</v>
      </c>
    </row>
    <row r="5912" ht="15" customHeight="1" spans="1:28" x14ac:dyDescent="0.25">
      <c r="A5912" s="17" t="s">
        <v>16873</v>
      </c>
      <c r="B5912" s="17" t="s">
        <v>70</v>
      </c>
      <c r="C5912" s="17" t="s">
        <v>71</v>
      </c>
      <c r="D5912" t="s">
        <v>16871</v>
      </c>
      <c r="F5912" t="s">
        <v>16871</v>
      </c>
      <c r="J5912" t="s">
        <v>115</v>
      </c>
      <c r="K5912" s="18" t="s">
        <v>16874</v>
      </c>
      <c r="N5912" s="17" t="s">
        <v>81</v>
      </c>
      <c r="O5912" t="s">
        <v>117</v>
      </c>
      <c r="V5912" s="18" t="s">
        <v>16874</v>
      </c>
      <c r="Y5912" t="s">
        <v>90</v>
      </c>
      <c r="AA5912" t="s">
        <v>118</v>
      </c>
      <c r="AB5912" t="s">
        <v>119</v>
      </c>
    </row>
    <row r="5913" ht="15" customHeight="1" spans="1:22" x14ac:dyDescent="0.25">
      <c r="A5913" s="17" t="s">
        <v>16875</v>
      </c>
      <c r="B5913" s="17" t="s">
        <v>70</v>
      </c>
      <c r="C5913" s="17" t="s">
        <v>71</v>
      </c>
      <c r="D5913" t="s">
        <v>16871</v>
      </c>
      <c r="F5913" t="s">
        <v>16876</v>
      </c>
      <c r="J5913" s="17" t="s">
        <v>16877</v>
      </c>
      <c r="K5913" s="18">
        <f>628192129986</f>
        <v>628192129986</v>
      </c>
      <c r="N5913" s="17" t="s">
        <v>77</v>
      </c>
      <c r="V5913" s="18">
        <f>628192129986</f>
        <v>628192129986</v>
      </c>
    </row>
    <row r="5914" ht="15" customHeight="1" spans="1:25" x14ac:dyDescent="0.25">
      <c r="A5914" s="17" t="s">
        <v>16878</v>
      </c>
      <c r="B5914" s="17" t="s">
        <v>70</v>
      </c>
      <c r="C5914" s="17" t="s">
        <v>71</v>
      </c>
      <c r="D5914" t="s">
        <v>16871</v>
      </c>
      <c r="F5914" t="s">
        <v>16879</v>
      </c>
      <c r="K5914" s="18">
        <f>6281212114974</f>
        <v>6281212114974</v>
      </c>
      <c r="N5914" s="17" t="s">
        <v>77</v>
      </c>
      <c r="U5914" s="17"/>
      <c r="V5914" s="18">
        <f>6281212114974</f>
        <v>6281212114974</v>
      </c>
      <c r="W5914" t="s">
        <v>16880</v>
      </c>
      <c r="Y5914" s="17" t="s">
        <v>397</v>
      </c>
    </row>
    <row r="5915" ht="15" customHeight="1" spans="1:22" x14ac:dyDescent="0.25">
      <c r="A5915" s="17" t="s">
        <v>16881</v>
      </c>
      <c r="B5915" s="17" t="s">
        <v>70</v>
      </c>
      <c r="C5915" s="17" t="s">
        <v>71</v>
      </c>
      <c r="D5915" t="s">
        <v>16871</v>
      </c>
      <c r="F5915" t="s">
        <v>11889</v>
      </c>
      <c r="K5915" s="18">
        <f>62811166562</f>
        <v>62811166562</v>
      </c>
      <c r="N5915" s="17" t="s">
        <v>74</v>
      </c>
      <c r="V5915" s="18">
        <f>62811166562</f>
        <v>62811166562</v>
      </c>
    </row>
    <row r="5916" ht="15" customHeight="1" spans="1:27" x14ac:dyDescent="0.25">
      <c r="A5916" s="17" t="s">
        <v>16882</v>
      </c>
      <c r="B5916" s="17" t="s">
        <v>70</v>
      </c>
      <c r="C5916" s="17" t="s">
        <v>71</v>
      </c>
      <c r="D5916" t="s">
        <v>15107</v>
      </c>
      <c r="F5916" t="s">
        <v>12313</v>
      </c>
      <c r="K5916" s="18">
        <f>6281318388199</f>
        <v>6281318388199</v>
      </c>
      <c r="N5916" s="17" t="s">
        <v>77</v>
      </c>
      <c r="U5916" s="17"/>
      <c r="V5916" s="18">
        <f>6281318388199</f>
        <v>6281318388199</v>
      </c>
      <c r="W5916" t="s">
        <v>16883</v>
      </c>
      <c r="Y5916" s="17" t="s">
        <v>384</v>
      </c>
      <c r="AA5916" s="17">
        <v>15117</v>
      </c>
    </row>
    <row r="5917" ht="15" customHeight="1" spans="1:28" x14ac:dyDescent="0.25">
      <c r="A5917" s="17" t="s">
        <v>16884</v>
      </c>
      <c r="B5917" s="17" t="s">
        <v>70</v>
      </c>
      <c r="C5917" s="17" t="s">
        <v>71</v>
      </c>
      <c r="D5917" t="s">
        <v>16885</v>
      </c>
      <c r="F5917" t="s">
        <v>301</v>
      </c>
      <c r="J5917" s="17" t="s">
        <v>16886</v>
      </c>
      <c r="K5917" s="18" t="s">
        <v>16887</v>
      </c>
      <c r="N5917" s="17" t="s">
        <v>77</v>
      </c>
      <c r="O5917" t="s">
        <v>261</v>
      </c>
      <c r="U5917" s="17"/>
      <c r="V5917" s="18" t="s">
        <v>16887</v>
      </c>
      <c r="W5917" t="s">
        <v>16888</v>
      </c>
      <c r="Y5917" t="s">
        <v>90</v>
      </c>
      <c r="AA5917" s="17" t="s">
        <v>118</v>
      </c>
      <c r="AB5917" t="s">
        <v>119</v>
      </c>
    </row>
    <row r="5918" ht="15" customHeight="1" spans="1:22" x14ac:dyDescent="0.25">
      <c r="A5918" s="17" t="s">
        <v>16889</v>
      </c>
      <c r="B5918" s="17" t="s">
        <v>70</v>
      </c>
      <c r="C5918" s="17" t="s">
        <v>71</v>
      </c>
      <c r="D5918" t="s">
        <v>16890</v>
      </c>
      <c r="F5918" t="s">
        <v>16890</v>
      </c>
      <c r="K5918" s="18">
        <f>6281361641927</f>
        <v>6281361641927</v>
      </c>
      <c r="N5918" s="17" t="s">
        <v>74</v>
      </c>
      <c r="V5918" s="18">
        <f>6281361641927</f>
        <v>6281361641927</v>
      </c>
    </row>
    <row r="5919" ht="15" customHeight="1" spans="1:22" x14ac:dyDescent="0.25">
      <c r="A5919" s="17" t="s">
        <v>16891</v>
      </c>
      <c r="B5919" s="17" t="s">
        <v>70</v>
      </c>
      <c r="C5919" s="17" t="s">
        <v>71</v>
      </c>
      <c r="D5919" t="s">
        <v>16890</v>
      </c>
      <c r="F5919" t="s">
        <v>16892</v>
      </c>
      <c r="K5919" s="18">
        <f>6282398867255</f>
        <v>6282398867255</v>
      </c>
      <c r="N5919" s="17" t="s">
        <v>74</v>
      </c>
      <c r="V5919" s="18">
        <f>6282398867255</f>
        <v>6282398867255</v>
      </c>
    </row>
    <row r="5920" ht="15" customHeight="1" spans="1:22" x14ac:dyDescent="0.25">
      <c r="A5920" s="17" t="s">
        <v>16893</v>
      </c>
      <c r="B5920" s="17" t="s">
        <v>70</v>
      </c>
      <c r="C5920" s="17" t="s">
        <v>71</v>
      </c>
      <c r="D5920" t="s">
        <v>16890</v>
      </c>
      <c r="F5920" t="s">
        <v>1064</v>
      </c>
      <c r="K5920" s="18">
        <f>6287887608762</f>
        <v>6287887608762</v>
      </c>
      <c r="N5920" s="17" t="s">
        <v>77</v>
      </c>
      <c r="V5920" s="18">
        <f>6287887608762</f>
        <v>6287887608762</v>
      </c>
    </row>
    <row r="5921" ht="15" customHeight="1" spans="1:22" x14ac:dyDescent="0.25">
      <c r="A5921" s="17" t="s">
        <v>16894</v>
      </c>
      <c r="B5921" s="17" t="s">
        <v>70</v>
      </c>
      <c r="C5921" s="17" t="s">
        <v>71</v>
      </c>
      <c r="D5921" t="s">
        <v>16890</v>
      </c>
      <c r="F5921" t="s">
        <v>16895</v>
      </c>
      <c r="K5921" s="18">
        <f>6281213333111</f>
        <v>6281213333111</v>
      </c>
      <c r="N5921" s="17" t="s">
        <v>77</v>
      </c>
      <c r="V5921" s="18">
        <f>6281213333111</f>
        <v>6281213333111</v>
      </c>
    </row>
    <row r="5922" ht="15" customHeight="1" spans="1:28" x14ac:dyDescent="0.25">
      <c r="A5922" s="17" t="s">
        <v>16896</v>
      </c>
      <c r="B5922" s="17" t="s">
        <v>70</v>
      </c>
      <c r="C5922" s="17" t="s">
        <v>71</v>
      </c>
      <c r="D5922" t="s">
        <v>16890</v>
      </c>
      <c r="F5922" t="s">
        <v>3481</v>
      </c>
      <c r="J5922" t="s">
        <v>115</v>
      </c>
      <c r="K5922" s="18" t="s">
        <v>16897</v>
      </c>
      <c r="N5922" s="17" t="s">
        <v>81</v>
      </c>
      <c r="O5922" t="s">
        <v>117</v>
      </c>
      <c r="V5922" s="18" t="s">
        <v>16897</v>
      </c>
      <c r="Y5922" t="s">
        <v>190</v>
      </c>
      <c r="AA5922" t="s">
        <v>118</v>
      </c>
      <c r="AB5922" t="s">
        <v>119</v>
      </c>
    </row>
    <row r="5923" ht="15" customHeight="1" spans="1:22" x14ac:dyDescent="0.25">
      <c r="A5923" s="17" t="s">
        <v>16898</v>
      </c>
      <c r="B5923" s="17" t="s">
        <v>70</v>
      </c>
      <c r="C5923" s="17" t="s">
        <v>71</v>
      </c>
      <c r="D5923" t="s">
        <v>16890</v>
      </c>
      <c r="F5923" t="s">
        <v>16899</v>
      </c>
      <c r="K5923" s="18">
        <f>62811819747</f>
        <v>62811819747</v>
      </c>
      <c r="N5923" s="17" t="s">
        <v>74</v>
      </c>
      <c r="V5923" s="18">
        <f>62811819747</f>
        <v>62811819747</v>
      </c>
    </row>
    <row r="5924" ht="15" customHeight="1" spans="1:22" x14ac:dyDescent="0.25">
      <c r="A5924" s="17" t="s">
        <v>16900</v>
      </c>
      <c r="B5924" s="17" t="s">
        <v>70</v>
      </c>
      <c r="C5924" s="17" t="s">
        <v>71</v>
      </c>
      <c r="D5924" t="s">
        <v>16901</v>
      </c>
      <c r="F5924" t="s">
        <v>16901</v>
      </c>
      <c r="K5924" s="18">
        <f>6287886943898</f>
        <v>6287886943898</v>
      </c>
      <c r="N5924" s="17" t="s">
        <v>81</v>
      </c>
      <c r="V5924" s="18">
        <f>6287886943898</f>
        <v>6287886943898</v>
      </c>
    </row>
    <row r="5925" ht="15" customHeight="1" spans="1:22" x14ac:dyDescent="0.25">
      <c r="A5925" s="17" t="s">
        <v>16902</v>
      </c>
      <c r="B5925" s="17" t="s">
        <v>70</v>
      </c>
      <c r="C5925" s="17" t="s">
        <v>71</v>
      </c>
      <c r="D5925" t="s">
        <v>16901</v>
      </c>
      <c r="F5925" t="s">
        <v>16901</v>
      </c>
      <c r="K5925" s="18">
        <f>6281286868811</f>
        <v>6281286868811</v>
      </c>
      <c r="N5925" s="17" t="s">
        <v>77</v>
      </c>
      <c r="V5925" s="18">
        <f>6281286868811</f>
        <v>6281286868811</v>
      </c>
    </row>
    <row r="5926" ht="15" customHeight="1" spans="1:22" x14ac:dyDescent="0.25">
      <c r="A5926" s="17" t="s">
        <v>16903</v>
      </c>
      <c r="B5926" s="17" t="s">
        <v>70</v>
      </c>
      <c r="C5926" s="17" t="s">
        <v>71</v>
      </c>
      <c r="D5926" t="s">
        <v>16904</v>
      </c>
      <c r="F5926" t="s">
        <v>16905</v>
      </c>
      <c r="K5926" s="18">
        <f>62811191729</f>
        <v>62811191729</v>
      </c>
      <c r="N5926" s="17" t="s">
        <v>77</v>
      </c>
      <c r="V5926" s="18">
        <f>62811191729</f>
        <v>62811191729</v>
      </c>
    </row>
    <row r="5927" ht="15" customHeight="1" spans="1:22" x14ac:dyDescent="0.25">
      <c r="A5927" s="17" t="s">
        <v>16906</v>
      </c>
      <c r="B5927" s="17" t="s">
        <v>70</v>
      </c>
      <c r="C5927" s="17" t="s">
        <v>71</v>
      </c>
      <c r="D5927" t="s">
        <v>16907</v>
      </c>
      <c r="F5927" t="s">
        <v>16907</v>
      </c>
      <c r="K5927" s="18">
        <f>628111014646</f>
        <v>628111014646</v>
      </c>
      <c r="N5927" s="17" t="s">
        <v>81</v>
      </c>
      <c r="V5927" s="18">
        <f>628111014646</f>
        <v>628111014646</v>
      </c>
    </row>
    <row r="5928" ht="15" customHeight="1" spans="1:25" x14ac:dyDescent="0.25">
      <c r="A5928" s="17" t="s">
        <v>16908</v>
      </c>
      <c r="B5928" s="17" t="s">
        <v>70</v>
      </c>
      <c r="C5928" s="17" t="s">
        <v>71</v>
      </c>
      <c r="D5928" t="s">
        <v>16907</v>
      </c>
      <c r="F5928" t="s">
        <v>10615</v>
      </c>
      <c r="K5928" s="18">
        <f>6281321556666</f>
        <v>6281321556666</v>
      </c>
      <c r="N5928" s="17" t="s">
        <v>77</v>
      </c>
      <c r="U5928" s="17"/>
      <c r="V5928" s="18">
        <f>6281321556666</f>
        <v>6281321556666</v>
      </c>
      <c r="W5928" t="s">
        <v>16909</v>
      </c>
      <c r="Y5928" s="17" t="s">
        <v>500</v>
      </c>
    </row>
    <row r="5929" ht="15" customHeight="1" spans="1:23" x14ac:dyDescent="0.25">
      <c r="A5929" s="17" t="s">
        <v>16910</v>
      </c>
      <c r="B5929" s="17" t="s">
        <v>70</v>
      </c>
      <c r="C5929" s="17" t="s">
        <v>71</v>
      </c>
      <c r="D5929" t="s">
        <v>16907</v>
      </c>
      <c r="F5929" t="s">
        <v>16911</v>
      </c>
      <c r="K5929" s="18">
        <f>6281290077747</f>
        <v>6281290077747</v>
      </c>
      <c r="N5929" s="17" t="s">
        <v>77</v>
      </c>
      <c r="U5929" s="17"/>
      <c r="V5929" s="18">
        <f>6281290077747</f>
        <v>6281290077747</v>
      </c>
      <c r="W5929" t="s">
        <v>16912</v>
      </c>
    </row>
    <row r="5930" ht="15" customHeight="1" spans="1:25" x14ac:dyDescent="0.25">
      <c r="A5930" s="17" t="s">
        <v>16913</v>
      </c>
      <c r="B5930" s="17" t="s">
        <v>70</v>
      </c>
      <c r="C5930" s="17" t="s">
        <v>71</v>
      </c>
      <c r="D5930" t="s">
        <v>16914</v>
      </c>
      <c r="F5930" t="s">
        <v>16914</v>
      </c>
      <c r="J5930" s="17" t="s">
        <v>16915</v>
      </c>
      <c r="K5930" s="18">
        <f>62817721389</f>
        <v>62817721389</v>
      </c>
      <c r="N5930" s="17" t="s">
        <v>81</v>
      </c>
      <c r="U5930" s="17"/>
      <c r="V5930" s="18">
        <f>62817721389</f>
        <v>62817721389</v>
      </c>
      <c r="W5930" t="s">
        <v>16916</v>
      </c>
      <c r="Y5930" s="17" t="s">
        <v>96</v>
      </c>
    </row>
    <row r="5931" ht="15" customHeight="1" spans="1:22" x14ac:dyDescent="0.25">
      <c r="A5931" s="17" t="s">
        <v>16917</v>
      </c>
      <c r="B5931" s="17" t="s">
        <v>70</v>
      </c>
      <c r="C5931" s="17" t="s">
        <v>71</v>
      </c>
      <c r="D5931" t="s">
        <v>16918</v>
      </c>
      <c r="F5931" t="s">
        <v>16918</v>
      </c>
      <c r="K5931" s="18">
        <f>6281514199976</f>
        <v>6281514199976</v>
      </c>
      <c r="N5931" s="17" t="s">
        <v>77</v>
      </c>
      <c r="V5931" s="18">
        <f>6281514199976</f>
        <v>6281514199976</v>
      </c>
    </row>
    <row r="5932" ht="15" customHeight="1" spans="1:22" x14ac:dyDescent="0.25">
      <c r="A5932" s="17" t="s">
        <v>16919</v>
      </c>
      <c r="B5932" s="17" t="s">
        <v>70</v>
      </c>
      <c r="C5932" s="17" t="s">
        <v>71</v>
      </c>
      <c r="D5932" t="s">
        <v>16918</v>
      </c>
      <c r="F5932" t="s">
        <v>16918</v>
      </c>
      <c r="K5932" s="18">
        <f>6282112112911</f>
        <v>6282112112911</v>
      </c>
      <c r="N5932" s="17" t="s">
        <v>81</v>
      </c>
      <c r="V5932" s="18">
        <f>6282112112911</f>
        <v>6282112112911</v>
      </c>
    </row>
    <row r="5933" ht="15" customHeight="1" spans="1:27" x14ac:dyDescent="0.25">
      <c r="A5933" s="17" t="s">
        <v>16920</v>
      </c>
      <c r="B5933" s="17" t="s">
        <v>70</v>
      </c>
      <c r="C5933" s="17" t="s">
        <v>71</v>
      </c>
      <c r="D5933" t="s">
        <v>16918</v>
      </c>
      <c r="F5933" t="s">
        <v>16921</v>
      </c>
      <c r="J5933" s="17" t="s">
        <v>16922</v>
      </c>
      <c r="K5933" s="18">
        <f>6282366666777</f>
        <v>6282366666777</v>
      </c>
      <c r="N5933" s="17" t="s">
        <v>81</v>
      </c>
      <c r="U5933" s="17"/>
      <c r="V5933" s="18">
        <f>6282366666777</f>
        <v>6282366666777</v>
      </c>
      <c r="W5933" t="s">
        <v>16923</v>
      </c>
      <c r="AA5933" s="17">
        <v>36136</v>
      </c>
    </row>
    <row r="5934" ht="15" customHeight="1" spans="1:25" x14ac:dyDescent="0.25">
      <c r="A5934" s="17" t="s">
        <v>16924</v>
      </c>
      <c r="B5934" s="17" t="s">
        <v>70</v>
      </c>
      <c r="C5934" s="17" t="s">
        <v>71</v>
      </c>
      <c r="D5934" t="s">
        <v>16918</v>
      </c>
      <c r="F5934" t="s">
        <v>5826</v>
      </c>
      <c r="K5934" s="18">
        <f>62811149488</f>
        <v>62811149488</v>
      </c>
      <c r="N5934" s="17" t="s">
        <v>74</v>
      </c>
      <c r="U5934" s="17"/>
      <c r="V5934" s="18">
        <f>62811149488</f>
        <v>62811149488</v>
      </c>
      <c r="W5934" t="s">
        <v>16925</v>
      </c>
      <c r="Y5934" s="17" t="s">
        <v>1084</v>
      </c>
    </row>
    <row r="5935" ht="15" customHeight="1" spans="1:28" x14ac:dyDescent="0.25">
      <c r="A5935" s="17" t="s">
        <v>16926</v>
      </c>
      <c r="B5935" s="17" t="s">
        <v>70</v>
      </c>
      <c r="C5935" s="17" t="s">
        <v>71</v>
      </c>
      <c r="D5935" t="s">
        <v>16918</v>
      </c>
      <c r="F5935" t="s">
        <v>16927</v>
      </c>
      <c r="J5935" t="s">
        <v>115</v>
      </c>
      <c r="K5935" s="18" t="s">
        <v>16928</v>
      </c>
      <c r="N5935" s="17" t="s">
        <v>77</v>
      </c>
      <c r="O5935" t="s">
        <v>117</v>
      </c>
      <c r="U5935" s="17"/>
      <c r="V5935" s="18" t="s">
        <v>16928</v>
      </c>
      <c r="W5935" t="s">
        <v>16929</v>
      </c>
      <c r="Y5935" t="s">
        <v>90</v>
      </c>
      <c r="AA5935" t="s">
        <v>118</v>
      </c>
      <c r="AB5935" t="s">
        <v>119</v>
      </c>
    </row>
    <row r="5936" ht="15" customHeight="1" spans="1:22" x14ac:dyDescent="0.25">
      <c r="A5936" s="17" t="s">
        <v>16930</v>
      </c>
      <c r="B5936" s="17" t="s">
        <v>70</v>
      </c>
      <c r="C5936" s="17" t="s">
        <v>71</v>
      </c>
      <c r="D5936" t="s">
        <v>16918</v>
      </c>
      <c r="F5936" t="s">
        <v>4669</v>
      </c>
      <c r="K5936" s="18">
        <f>62811252588</f>
        <v>62811252588</v>
      </c>
      <c r="N5936" s="17" t="s">
        <v>74</v>
      </c>
      <c r="V5936" s="18">
        <f>62811252588</f>
        <v>62811252588</v>
      </c>
    </row>
    <row r="5937" ht="15" customHeight="1" spans="1:25" x14ac:dyDescent="0.25">
      <c r="A5937" s="17" t="s">
        <v>16931</v>
      </c>
      <c r="B5937" s="17" t="s">
        <v>70</v>
      </c>
      <c r="C5937" s="17" t="s">
        <v>71</v>
      </c>
      <c r="D5937" t="s">
        <v>16918</v>
      </c>
      <c r="F5937" t="s">
        <v>16932</v>
      </c>
      <c r="K5937" s="18">
        <f>62811921195</f>
        <v>62811921195</v>
      </c>
      <c r="N5937" s="17" t="s">
        <v>77</v>
      </c>
      <c r="U5937" s="17"/>
      <c r="V5937" s="18">
        <f>62811921195</f>
        <v>62811921195</v>
      </c>
      <c r="W5937" t="s">
        <v>16933</v>
      </c>
      <c r="Y5937" s="17" t="s">
        <v>90</v>
      </c>
    </row>
    <row r="5938" ht="15" customHeight="1" spans="1:22" x14ac:dyDescent="0.25">
      <c r="A5938" s="17" t="s">
        <v>16934</v>
      </c>
      <c r="B5938" s="17" t="s">
        <v>70</v>
      </c>
      <c r="C5938" s="17" t="s">
        <v>71</v>
      </c>
      <c r="D5938" t="s">
        <v>16918</v>
      </c>
      <c r="F5938" t="s">
        <v>3585</v>
      </c>
      <c r="K5938" s="18">
        <f>6282112888999</f>
        <v>6282112888999</v>
      </c>
      <c r="N5938" s="17" t="s">
        <v>77</v>
      </c>
      <c r="V5938" s="18">
        <f>6282112888999</f>
        <v>6282112888999</v>
      </c>
    </row>
    <row r="5939" ht="15" customHeight="1" spans="1:22" x14ac:dyDescent="0.25">
      <c r="A5939" s="17" t="s">
        <v>16935</v>
      </c>
      <c r="B5939" s="17" t="s">
        <v>70</v>
      </c>
      <c r="C5939" s="17" t="s">
        <v>71</v>
      </c>
      <c r="D5939" t="s">
        <v>16918</v>
      </c>
      <c r="F5939" t="s">
        <v>301</v>
      </c>
      <c r="K5939" s="18">
        <f>6281210692525</f>
        <v>6281210692525</v>
      </c>
      <c r="N5939" s="17" t="s">
        <v>81</v>
      </c>
      <c r="V5939" s="18">
        <f>6281210692525</f>
        <v>6281210692525</v>
      </c>
    </row>
    <row r="5940" ht="15" customHeight="1" spans="1:22" x14ac:dyDescent="0.25">
      <c r="A5940" s="17" t="s">
        <v>16936</v>
      </c>
      <c r="B5940" s="17" t="s">
        <v>70</v>
      </c>
      <c r="C5940" s="17" t="s">
        <v>71</v>
      </c>
      <c r="D5940" t="s">
        <v>16918</v>
      </c>
      <c r="F5940" t="s">
        <v>16937</v>
      </c>
      <c r="K5940" s="18">
        <f>62811802887</f>
        <v>62811802887</v>
      </c>
      <c r="N5940" s="17" t="s">
        <v>77</v>
      </c>
      <c r="V5940" s="18">
        <f>62811802887</f>
        <v>62811802887</v>
      </c>
    </row>
    <row r="5941" ht="15" customHeight="1" spans="1:25" x14ac:dyDescent="0.25">
      <c r="A5941" s="17" t="s">
        <v>16938</v>
      </c>
      <c r="B5941" s="17" t="s">
        <v>70</v>
      </c>
      <c r="C5941" s="17" t="s">
        <v>71</v>
      </c>
      <c r="D5941" t="s">
        <v>16918</v>
      </c>
      <c r="F5941" t="s">
        <v>16939</v>
      </c>
      <c r="J5941" s="17" t="s">
        <v>16940</v>
      </c>
      <c r="K5941" s="18">
        <f>6281321295593</f>
        <v>6281321295593</v>
      </c>
      <c r="N5941" s="17" t="s">
        <v>77</v>
      </c>
      <c r="U5941" s="17"/>
      <c r="V5941" s="18">
        <f>6281321295593</f>
        <v>6281321295593</v>
      </c>
      <c r="W5941" t="s">
        <v>16941</v>
      </c>
      <c r="Y5941" s="17" t="s">
        <v>90</v>
      </c>
    </row>
    <row r="5942" ht="15" customHeight="1" spans="1:28" x14ac:dyDescent="0.25">
      <c r="A5942" s="17" t="s">
        <v>16942</v>
      </c>
      <c r="B5942" s="17" t="s">
        <v>70</v>
      </c>
      <c r="C5942" s="17" t="s">
        <v>71</v>
      </c>
      <c r="D5942" t="s">
        <v>16918</v>
      </c>
      <c r="F5942" t="s">
        <v>2159</v>
      </c>
      <c r="J5942" t="s">
        <v>115</v>
      </c>
      <c r="K5942" s="18" t="s">
        <v>16943</v>
      </c>
      <c r="N5942" s="17" t="s">
        <v>81</v>
      </c>
      <c r="O5942" t="s">
        <v>489</v>
      </c>
      <c r="V5942" s="18" t="s">
        <v>16943</v>
      </c>
      <c r="Y5942" t="s">
        <v>115</v>
      </c>
      <c r="AA5942" t="s">
        <v>115</v>
      </c>
      <c r="AB5942" t="s">
        <v>119</v>
      </c>
    </row>
    <row r="5943" ht="15" customHeight="1" spans="1:22" x14ac:dyDescent="0.25">
      <c r="A5943" s="17" t="s">
        <v>16944</v>
      </c>
      <c r="B5943" s="17" t="s">
        <v>70</v>
      </c>
      <c r="C5943" s="17" t="s">
        <v>71</v>
      </c>
      <c r="D5943" t="s">
        <v>16918</v>
      </c>
      <c r="F5943" t="s">
        <v>16945</v>
      </c>
      <c r="K5943" s="18">
        <f>628117760811</f>
        <v>628117760811</v>
      </c>
      <c r="N5943" s="17" t="s">
        <v>81</v>
      </c>
      <c r="V5943" s="18">
        <f>628117760811</f>
        <v>628117760811</v>
      </c>
    </row>
    <row r="5944" ht="15" customHeight="1" spans="1:22" x14ac:dyDescent="0.25">
      <c r="A5944" s="17" t="s">
        <v>16946</v>
      </c>
      <c r="B5944" s="17" t="s">
        <v>70</v>
      </c>
      <c r="C5944" s="17" t="s">
        <v>71</v>
      </c>
      <c r="D5944" t="s">
        <v>16947</v>
      </c>
      <c r="F5944" t="s">
        <v>16947</v>
      </c>
      <c r="K5944" s="18">
        <f>62818684318</f>
        <v>62818684318</v>
      </c>
      <c r="N5944" s="17" t="s">
        <v>77</v>
      </c>
      <c r="V5944" s="18">
        <f>62818684318</f>
        <v>62818684318</v>
      </c>
    </row>
    <row r="5945" ht="15" customHeight="1" spans="1:22" x14ac:dyDescent="0.25">
      <c r="A5945" s="17" t="s">
        <v>16948</v>
      </c>
      <c r="B5945" s="17" t="s">
        <v>70</v>
      </c>
      <c r="C5945" s="17" t="s">
        <v>71</v>
      </c>
      <c r="D5945" t="s">
        <v>16949</v>
      </c>
      <c r="F5945" t="s">
        <v>16949</v>
      </c>
      <c r="K5945" s="18">
        <f>6285751930678</f>
        <v>6285751930678</v>
      </c>
      <c r="N5945" s="17" t="s">
        <v>77</v>
      </c>
      <c r="V5945" s="18">
        <f>6285751930678</f>
        <v>6285751930678</v>
      </c>
    </row>
    <row r="5946" ht="15" customHeight="1" spans="1:25" x14ac:dyDescent="0.25">
      <c r="A5946" s="17" t="s">
        <v>16950</v>
      </c>
      <c r="B5946" s="17" t="s">
        <v>70</v>
      </c>
      <c r="C5946" s="17" t="s">
        <v>71</v>
      </c>
      <c r="D5946" t="s">
        <v>16949</v>
      </c>
      <c r="F5946" t="s">
        <v>618</v>
      </c>
      <c r="K5946" s="18">
        <f>628127823171</f>
        <v>628127823171</v>
      </c>
      <c r="N5946" s="17" t="s">
        <v>77</v>
      </c>
      <c r="V5946" s="18">
        <f>628127823171</f>
        <v>628127823171</v>
      </c>
      <c r="Y5946" s="17" t="s">
        <v>217</v>
      </c>
    </row>
    <row r="5947" ht="15" customHeight="1" spans="1:22" x14ac:dyDescent="0.25">
      <c r="A5947" s="17" t="s">
        <v>16951</v>
      </c>
      <c r="B5947" s="17" t="s">
        <v>70</v>
      </c>
      <c r="C5947" s="17" t="s">
        <v>71</v>
      </c>
      <c r="D5947" t="s">
        <v>16949</v>
      </c>
      <c r="F5947" t="s">
        <v>1064</v>
      </c>
      <c r="K5947" s="18">
        <f>6281298184051</f>
        <v>6281298184051</v>
      </c>
      <c r="N5947" s="17" t="s">
        <v>81</v>
      </c>
      <c r="V5947" s="18">
        <f>6281298184051</f>
        <v>6281298184051</v>
      </c>
    </row>
    <row r="5948" ht="15" customHeight="1" spans="1:28" x14ac:dyDescent="0.25">
      <c r="A5948" s="17" t="s">
        <v>16952</v>
      </c>
      <c r="B5948" s="17" t="s">
        <v>70</v>
      </c>
      <c r="C5948" s="17" t="s">
        <v>71</v>
      </c>
      <c r="D5948" t="s">
        <v>16949</v>
      </c>
      <c r="F5948" t="s">
        <v>6588</v>
      </c>
      <c r="J5948" t="s">
        <v>115</v>
      </c>
      <c r="K5948" s="18" t="s">
        <v>16953</v>
      </c>
      <c r="N5948" s="17" t="s">
        <v>74</v>
      </c>
      <c r="O5948" t="s">
        <v>117</v>
      </c>
      <c r="V5948" s="18" t="s">
        <v>16953</v>
      </c>
      <c r="Y5948" t="s">
        <v>190</v>
      </c>
      <c r="AA5948" t="s">
        <v>118</v>
      </c>
      <c r="AB5948" t="s">
        <v>119</v>
      </c>
    </row>
    <row r="5949" ht="15" customHeight="1" spans="1:28" x14ac:dyDescent="0.25">
      <c r="A5949" s="17" t="s">
        <v>16954</v>
      </c>
      <c r="B5949" s="17" t="s">
        <v>70</v>
      </c>
      <c r="C5949" s="17" t="s">
        <v>71</v>
      </c>
      <c r="D5949" t="s">
        <v>16955</v>
      </c>
      <c r="F5949" t="s">
        <v>16956</v>
      </c>
      <c r="J5949" t="s">
        <v>115</v>
      </c>
      <c r="K5949" s="18" t="s">
        <v>16957</v>
      </c>
      <c r="N5949" s="17" t="s">
        <v>77</v>
      </c>
      <c r="O5949" t="s">
        <v>117</v>
      </c>
      <c r="V5949" s="18" t="s">
        <v>16957</v>
      </c>
      <c r="Y5949" t="s">
        <v>90</v>
      </c>
      <c r="AA5949" t="s">
        <v>118</v>
      </c>
      <c r="AB5949" t="s">
        <v>119</v>
      </c>
    </row>
    <row r="5950" ht="15" customHeight="1" spans="1:28" x14ac:dyDescent="0.25">
      <c r="A5950" s="17" t="s">
        <v>16958</v>
      </c>
      <c r="B5950" s="17" t="s">
        <v>70</v>
      </c>
      <c r="C5950" s="17" t="s">
        <v>71</v>
      </c>
      <c r="D5950" t="s">
        <v>1363</v>
      </c>
      <c r="F5950" t="s">
        <v>16959</v>
      </c>
      <c r="J5950" s="17" t="s">
        <v>16960</v>
      </c>
      <c r="K5950" s="18" t="s">
        <v>16961</v>
      </c>
      <c r="N5950" s="17" t="s">
        <v>77</v>
      </c>
      <c r="O5950" t="s">
        <v>145</v>
      </c>
      <c r="U5950" s="17"/>
      <c r="V5950" s="18" t="s">
        <v>16961</v>
      </c>
      <c r="W5950" t="s">
        <v>7229</v>
      </c>
      <c r="Y5950" t="s">
        <v>7238</v>
      </c>
      <c r="AA5950" t="s">
        <v>115</v>
      </c>
      <c r="AB5950" t="s">
        <v>7238</v>
      </c>
    </row>
    <row r="5951" ht="15" customHeight="1" spans="1:22" x14ac:dyDescent="0.25">
      <c r="A5951" s="17" t="s">
        <v>16962</v>
      </c>
      <c r="B5951" s="17" t="s">
        <v>70</v>
      </c>
      <c r="C5951" s="17" t="s">
        <v>71</v>
      </c>
      <c r="D5951" t="s">
        <v>1363</v>
      </c>
      <c r="F5951" t="s">
        <v>8387</v>
      </c>
      <c r="K5951" s="18">
        <f>8618688980074</f>
        <v>8618688980074</v>
      </c>
      <c r="N5951" s="17" t="s">
        <v>77</v>
      </c>
      <c r="V5951" s="18">
        <f>8618688980074</f>
        <v>8618688980074</v>
      </c>
    </row>
    <row r="5952" ht="15" customHeight="1" spans="1:22" x14ac:dyDescent="0.25">
      <c r="A5952" s="17" t="s">
        <v>16963</v>
      </c>
      <c r="B5952" s="17" t="s">
        <v>70</v>
      </c>
      <c r="C5952" s="17" t="s">
        <v>71</v>
      </c>
      <c r="D5952" t="s">
        <v>16964</v>
      </c>
      <c r="F5952" t="s">
        <v>16965</v>
      </c>
      <c r="K5952" s="18">
        <f>62811852158</f>
        <v>62811852158</v>
      </c>
      <c r="N5952" s="17" t="s">
        <v>77</v>
      </c>
      <c r="V5952" s="18">
        <f>62811852158</f>
        <v>62811852158</v>
      </c>
    </row>
    <row r="5953" ht="15" customHeight="1" spans="1:28" x14ac:dyDescent="0.25">
      <c r="A5953" s="17" t="s">
        <v>16966</v>
      </c>
      <c r="B5953" s="17" t="s">
        <v>70</v>
      </c>
      <c r="C5953" s="17" t="s">
        <v>71</v>
      </c>
      <c r="D5953" t="s">
        <v>16967</v>
      </c>
      <c r="F5953" t="s">
        <v>618</v>
      </c>
      <c r="J5953" t="s">
        <v>115</v>
      </c>
      <c r="K5953" s="18" t="s">
        <v>16968</v>
      </c>
      <c r="N5953" s="17" t="s">
        <v>77</v>
      </c>
      <c r="O5953" t="s">
        <v>117</v>
      </c>
      <c r="V5953" s="18" t="s">
        <v>16968</v>
      </c>
      <c r="Y5953" t="s">
        <v>500</v>
      </c>
      <c r="AA5953" t="s">
        <v>501</v>
      </c>
      <c r="AB5953" t="s">
        <v>119</v>
      </c>
    </row>
    <row r="5954" ht="15" customHeight="1" spans="1:23" x14ac:dyDescent="0.25">
      <c r="A5954" s="17" t="s">
        <v>16969</v>
      </c>
      <c r="B5954" s="17" t="s">
        <v>70</v>
      </c>
      <c r="C5954" s="17" t="s">
        <v>71</v>
      </c>
      <c r="D5954" t="s">
        <v>16970</v>
      </c>
      <c r="F5954" t="s">
        <v>618</v>
      </c>
      <c r="K5954" s="18">
        <f>62811230945</f>
        <v>62811230945</v>
      </c>
      <c r="N5954" s="17" t="s">
        <v>77</v>
      </c>
      <c r="U5954" s="17"/>
      <c r="V5954" s="18">
        <f>62811230945</f>
        <v>62811230945</v>
      </c>
      <c r="W5954" t="s">
        <v>16971</v>
      </c>
    </row>
    <row r="5955" ht="15" customHeight="1" spans="1:23" x14ac:dyDescent="0.25">
      <c r="A5955" s="17" t="s">
        <v>16972</v>
      </c>
      <c r="B5955" s="17" t="s">
        <v>70</v>
      </c>
      <c r="C5955" s="17" t="s">
        <v>71</v>
      </c>
      <c r="D5955" t="s">
        <v>16970</v>
      </c>
      <c r="F5955" t="s">
        <v>669</v>
      </c>
      <c r="K5955" s="18">
        <f>628121878685</f>
        <v>628121878685</v>
      </c>
      <c r="N5955" s="17" t="s">
        <v>81</v>
      </c>
      <c r="U5955" s="17"/>
      <c r="V5955" s="18">
        <f>628121878685</f>
        <v>628121878685</v>
      </c>
      <c r="W5955" t="s">
        <v>16973</v>
      </c>
    </row>
    <row r="5956" ht="15" customHeight="1" spans="1:22" x14ac:dyDescent="0.25">
      <c r="A5956" s="17" t="s">
        <v>16974</v>
      </c>
      <c r="B5956" s="17" t="s">
        <v>70</v>
      </c>
      <c r="C5956" s="17" t="s">
        <v>71</v>
      </c>
      <c r="D5956" t="s">
        <v>16970</v>
      </c>
      <c r="F5956" t="s">
        <v>16975</v>
      </c>
      <c r="K5956" s="18">
        <f>628114001907</f>
        <v>628114001907</v>
      </c>
      <c r="N5956" s="17" t="s">
        <v>77</v>
      </c>
      <c r="V5956" s="18">
        <f>628114001907</f>
        <v>628114001907</v>
      </c>
    </row>
    <row r="5957" ht="15" customHeight="1" spans="1:22" x14ac:dyDescent="0.25">
      <c r="A5957" s="17" t="s">
        <v>16976</v>
      </c>
      <c r="B5957" s="17" t="s">
        <v>70</v>
      </c>
      <c r="C5957" s="17" t="s">
        <v>71</v>
      </c>
      <c r="D5957" t="s">
        <v>16970</v>
      </c>
      <c r="F5957" t="s">
        <v>672</v>
      </c>
      <c r="K5957" s="18">
        <f>62818192709</f>
        <v>62818192709</v>
      </c>
      <c r="N5957" s="17" t="s">
        <v>81</v>
      </c>
      <c r="V5957" s="18">
        <f>62818192709</f>
        <v>62818192709</v>
      </c>
    </row>
    <row r="5958" ht="15" customHeight="1" spans="1:22" x14ac:dyDescent="0.25">
      <c r="A5958" s="17" t="s">
        <v>16977</v>
      </c>
      <c r="B5958" s="17" t="s">
        <v>70</v>
      </c>
      <c r="C5958" s="17" t="s">
        <v>71</v>
      </c>
      <c r="D5958" t="s">
        <v>16978</v>
      </c>
      <c r="F5958" t="s">
        <v>16978</v>
      </c>
      <c r="K5958" s="18">
        <f>628111903888</f>
        <v>628111903888</v>
      </c>
      <c r="N5958" s="17" t="s">
        <v>81</v>
      </c>
      <c r="V5958" s="18">
        <f>628111903888</f>
        <v>628111903888</v>
      </c>
    </row>
    <row r="5959" ht="15" customHeight="1" spans="1:28" x14ac:dyDescent="0.25">
      <c r="A5959" s="17" t="s">
        <v>16979</v>
      </c>
      <c r="B5959" s="17" t="s">
        <v>70</v>
      </c>
      <c r="C5959" s="17" t="s">
        <v>71</v>
      </c>
      <c r="D5959" t="s">
        <v>16978</v>
      </c>
      <c r="F5959" t="s">
        <v>3534</v>
      </c>
      <c r="J5959" s="17" t="s">
        <v>16980</v>
      </c>
      <c r="K5959" s="18" t="s">
        <v>16981</v>
      </c>
      <c r="N5959" s="17" t="s">
        <v>77</v>
      </c>
      <c r="O5959" t="s">
        <v>145</v>
      </c>
      <c r="V5959" s="18" t="s">
        <v>16981</v>
      </c>
      <c r="Y5959" t="s">
        <v>190</v>
      </c>
      <c r="AA5959" t="s">
        <v>118</v>
      </c>
      <c r="AB5959" t="s">
        <v>119</v>
      </c>
    </row>
    <row r="5960" ht="15" customHeight="1" spans="1:22" x14ac:dyDescent="0.25">
      <c r="A5960" s="17" t="s">
        <v>16982</v>
      </c>
      <c r="B5960" s="17" t="s">
        <v>70</v>
      </c>
      <c r="C5960" s="17" t="s">
        <v>71</v>
      </c>
      <c r="D5960" t="s">
        <v>16978</v>
      </c>
      <c r="F5960" t="s">
        <v>301</v>
      </c>
      <c r="K5960" s="18">
        <f>62816754448</f>
        <v>62816754448</v>
      </c>
      <c r="N5960" s="17" t="s">
        <v>81</v>
      </c>
      <c r="V5960" s="18">
        <f>62816754448</f>
        <v>62816754448</v>
      </c>
    </row>
    <row r="5961" ht="15" customHeight="1" spans="1:28" x14ac:dyDescent="0.25">
      <c r="A5961" s="17" t="s">
        <v>16983</v>
      </c>
      <c r="B5961" s="17" t="s">
        <v>70</v>
      </c>
      <c r="C5961" s="17" t="s">
        <v>71</v>
      </c>
      <c r="D5961" t="s">
        <v>16978</v>
      </c>
      <c r="F5961" t="s">
        <v>9975</v>
      </c>
      <c r="J5961" t="s">
        <v>115</v>
      </c>
      <c r="K5961" s="18" t="s">
        <v>16984</v>
      </c>
      <c r="N5961" s="17" t="s">
        <v>77</v>
      </c>
      <c r="O5961" t="s">
        <v>489</v>
      </c>
      <c r="V5961" s="18" t="s">
        <v>16984</v>
      </c>
      <c r="Y5961" t="s">
        <v>90</v>
      </c>
      <c r="AA5961" t="s">
        <v>118</v>
      </c>
      <c r="AB5961" t="s">
        <v>119</v>
      </c>
    </row>
    <row r="5962" ht="15" customHeight="1" spans="1:23" x14ac:dyDescent="0.25">
      <c r="A5962" s="17" t="s">
        <v>16985</v>
      </c>
      <c r="B5962" s="17" t="s">
        <v>70</v>
      </c>
      <c r="C5962" s="17" t="s">
        <v>71</v>
      </c>
      <c r="D5962" t="s">
        <v>16986</v>
      </c>
      <c r="F5962" t="s">
        <v>16987</v>
      </c>
      <c r="K5962" s="18">
        <f>6281388129999</f>
        <v>6281388129999</v>
      </c>
      <c r="N5962" s="17" t="s">
        <v>77</v>
      </c>
      <c r="U5962" s="17"/>
      <c r="V5962" s="18">
        <f>6281388129999</f>
        <v>6281388129999</v>
      </c>
      <c r="W5962" t="s">
        <v>16988</v>
      </c>
    </row>
    <row r="5963" ht="15" customHeight="1" spans="1:22" x14ac:dyDescent="0.25">
      <c r="A5963" s="17" t="s">
        <v>16989</v>
      </c>
      <c r="B5963" s="17" t="s">
        <v>70</v>
      </c>
      <c r="C5963" s="17" t="s">
        <v>71</v>
      </c>
      <c r="D5963" t="s">
        <v>16990</v>
      </c>
      <c r="F5963" t="s">
        <v>4918</v>
      </c>
      <c r="J5963" s="17" t="s">
        <v>16991</v>
      </c>
      <c r="K5963" s="18">
        <f>628129698208</f>
        <v>628129698208</v>
      </c>
      <c r="N5963" s="17" t="s">
        <v>77</v>
      </c>
      <c r="V5963" s="18">
        <f>628129698208</f>
        <v>628129698208</v>
      </c>
    </row>
    <row r="5964" ht="15" customHeight="1" spans="1:28" x14ac:dyDescent="0.25">
      <c r="A5964" s="17" t="s">
        <v>16992</v>
      </c>
      <c r="B5964" s="17" t="s">
        <v>70</v>
      </c>
      <c r="C5964" s="17" t="s">
        <v>71</v>
      </c>
      <c r="D5964" t="s">
        <v>16993</v>
      </c>
      <c r="F5964" t="s">
        <v>16993</v>
      </c>
      <c r="J5964" t="s">
        <v>16994</v>
      </c>
      <c r="K5964" s="18" t="s">
        <v>16995</v>
      </c>
      <c r="N5964" s="17" t="s">
        <v>77</v>
      </c>
      <c r="O5964" t="s">
        <v>145</v>
      </c>
      <c r="V5964" s="18" t="s">
        <v>16995</v>
      </c>
      <c r="Y5964" t="s">
        <v>217</v>
      </c>
      <c r="AA5964" t="s">
        <v>218</v>
      </c>
      <c r="AB5964" t="s">
        <v>119</v>
      </c>
    </row>
    <row r="5965" ht="15" customHeight="1" spans="1:22" x14ac:dyDescent="0.25">
      <c r="A5965" s="17" t="s">
        <v>16996</v>
      </c>
      <c r="B5965" s="17" t="s">
        <v>70</v>
      </c>
      <c r="C5965" s="17" t="s">
        <v>71</v>
      </c>
      <c r="D5965" t="s">
        <v>16993</v>
      </c>
      <c r="F5965" t="s">
        <v>16789</v>
      </c>
      <c r="K5965" s="18">
        <f>62811889099</f>
        <v>62811889099</v>
      </c>
      <c r="N5965" s="17" t="s">
        <v>81</v>
      </c>
      <c r="V5965" s="18">
        <f>62811889099</f>
        <v>62811889099</v>
      </c>
    </row>
    <row r="5966" ht="15" customHeight="1" spans="1:28" x14ac:dyDescent="0.25">
      <c r="A5966" s="17" t="s">
        <v>16997</v>
      </c>
      <c r="B5966" s="17" t="s">
        <v>70</v>
      </c>
      <c r="C5966" s="17" t="s">
        <v>71</v>
      </c>
      <c r="D5966" t="s">
        <v>16998</v>
      </c>
      <c r="F5966" t="s">
        <v>16999</v>
      </c>
      <c r="J5966" s="17" t="s">
        <v>17000</v>
      </c>
      <c r="K5966" s="18" t="s">
        <v>17001</v>
      </c>
      <c r="N5966" s="17" t="s">
        <v>77</v>
      </c>
      <c r="O5966" t="s">
        <v>145</v>
      </c>
      <c r="V5966" s="18" t="s">
        <v>17001</v>
      </c>
      <c r="Y5966" s="17" t="s">
        <v>1046</v>
      </c>
      <c r="AA5966" t="s">
        <v>115</v>
      </c>
      <c r="AB5966" t="s">
        <v>1046</v>
      </c>
    </row>
    <row r="5967" ht="15" customHeight="1" spans="1:22" x14ac:dyDescent="0.25">
      <c r="A5967" s="17" t="s">
        <v>17002</v>
      </c>
      <c r="B5967" s="17" t="s">
        <v>70</v>
      </c>
      <c r="C5967" s="17" t="s">
        <v>71</v>
      </c>
      <c r="D5967" t="s">
        <v>12662</v>
      </c>
      <c r="F5967" t="s">
        <v>12662</v>
      </c>
      <c r="K5967" s="18">
        <f>62818976663</f>
        <v>62818976663</v>
      </c>
      <c r="N5967" s="17" t="s">
        <v>74</v>
      </c>
      <c r="V5967" s="18">
        <f>62818976663</f>
        <v>62818976663</v>
      </c>
    </row>
    <row r="5968" ht="15" customHeight="1" spans="1:23" x14ac:dyDescent="0.25">
      <c r="A5968" s="17" t="s">
        <v>17003</v>
      </c>
      <c r="B5968" s="17" t="s">
        <v>70</v>
      </c>
      <c r="C5968" s="17" t="s">
        <v>71</v>
      </c>
      <c r="D5968" t="s">
        <v>12662</v>
      </c>
      <c r="F5968" t="s">
        <v>12662</v>
      </c>
      <c r="K5968" s="18">
        <f>628124307777</f>
        <v>628124307777</v>
      </c>
      <c r="N5968" s="17" t="s">
        <v>77</v>
      </c>
      <c r="U5968" s="17"/>
      <c r="V5968" s="18">
        <f>628124307777</f>
        <v>628124307777</v>
      </c>
      <c r="W5968" t="s">
        <v>6155</v>
      </c>
    </row>
    <row r="5969" ht="15" customHeight="1" spans="1:22" x14ac:dyDescent="0.25">
      <c r="A5969" s="17" t="s">
        <v>17004</v>
      </c>
      <c r="B5969" s="17" t="s">
        <v>70</v>
      </c>
      <c r="C5969" s="17" t="s">
        <v>71</v>
      </c>
      <c r="D5969" t="s">
        <v>12662</v>
      </c>
      <c r="F5969" t="s">
        <v>12662</v>
      </c>
      <c r="K5969" s="18">
        <f>628128116599</f>
        <v>628128116599</v>
      </c>
      <c r="N5969" s="17" t="s">
        <v>77</v>
      </c>
      <c r="V5969" s="18">
        <f>628128116599</f>
        <v>628128116599</v>
      </c>
    </row>
    <row r="5970" ht="15" customHeight="1" spans="1:23" x14ac:dyDescent="0.25">
      <c r="A5970" s="17" t="s">
        <v>17005</v>
      </c>
      <c r="B5970" s="17" t="s">
        <v>70</v>
      </c>
      <c r="C5970" s="17" t="s">
        <v>71</v>
      </c>
      <c r="D5970" t="s">
        <v>12662</v>
      </c>
      <c r="F5970" t="s">
        <v>17006</v>
      </c>
      <c r="K5970" s="18">
        <f>62811141196</f>
        <v>62811141196</v>
      </c>
      <c r="N5970" s="17" t="s">
        <v>81</v>
      </c>
      <c r="U5970" s="17"/>
      <c r="V5970" s="18">
        <f>62811141196</f>
        <v>62811141196</v>
      </c>
      <c r="W5970" t="s">
        <v>17007</v>
      </c>
    </row>
    <row r="5971" ht="15" customHeight="1" spans="1:28" x14ac:dyDescent="0.25">
      <c r="A5971" s="17" t="s">
        <v>17008</v>
      </c>
      <c r="B5971" s="17" t="s">
        <v>70</v>
      </c>
      <c r="C5971" s="17" t="s">
        <v>71</v>
      </c>
      <c r="D5971" t="s">
        <v>12662</v>
      </c>
      <c r="F5971" t="s">
        <v>6235</v>
      </c>
      <c r="J5971" t="s">
        <v>115</v>
      </c>
      <c r="K5971" s="18" t="s">
        <v>17009</v>
      </c>
      <c r="N5971" s="17" t="s">
        <v>74</v>
      </c>
      <c r="O5971" t="s">
        <v>145</v>
      </c>
      <c r="V5971" s="18" t="s">
        <v>17009</v>
      </c>
      <c r="Y5971" t="s">
        <v>190</v>
      </c>
      <c r="AA5971" t="s">
        <v>118</v>
      </c>
      <c r="AB5971" t="s">
        <v>119</v>
      </c>
    </row>
    <row r="5972" ht="15" customHeight="1" spans="1:22" x14ac:dyDescent="0.25">
      <c r="A5972" s="17" t="s">
        <v>17010</v>
      </c>
      <c r="B5972" s="17" t="s">
        <v>70</v>
      </c>
      <c r="C5972" s="17" t="s">
        <v>71</v>
      </c>
      <c r="D5972" t="s">
        <v>12662</v>
      </c>
      <c r="F5972" t="s">
        <v>3086</v>
      </c>
      <c r="K5972" s="18">
        <f>6281318397334</f>
        <v>6281318397334</v>
      </c>
      <c r="N5972" s="17" t="s">
        <v>77</v>
      </c>
      <c r="V5972" s="18">
        <f>6281318397334</f>
        <v>6281318397334</v>
      </c>
    </row>
    <row r="5973" ht="15" customHeight="1" spans="1:22" x14ac:dyDescent="0.25">
      <c r="A5973" s="17" t="s">
        <v>17011</v>
      </c>
      <c r="B5973" s="17" t="s">
        <v>70</v>
      </c>
      <c r="C5973" s="17" t="s">
        <v>71</v>
      </c>
      <c r="D5973" t="s">
        <v>12662</v>
      </c>
      <c r="F5973" t="s">
        <v>17012</v>
      </c>
      <c r="K5973" s="18">
        <f>62816983193</f>
        <v>62816983193</v>
      </c>
      <c r="N5973" s="17" t="s">
        <v>77</v>
      </c>
      <c r="V5973" s="18">
        <f>62816983193</f>
        <v>62816983193</v>
      </c>
    </row>
    <row r="5974" ht="15" customHeight="1" spans="1:28" x14ac:dyDescent="0.25">
      <c r="A5974" s="17" t="s">
        <v>17013</v>
      </c>
      <c r="B5974" s="17" t="s">
        <v>70</v>
      </c>
      <c r="C5974" s="17" t="s">
        <v>71</v>
      </c>
      <c r="D5974" t="s">
        <v>12662</v>
      </c>
      <c r="F5974" t="s">
        <v>17014</v>
      </c>
      <c r="J5974" t="s">
        <v>115</v>
      </c>
      <c r="K5974" s="18" t="s">
        <v>17015</v>
      </c>
      <c r="N5974" s="17" t="s">
        <v>77</v>
      </c>
      <c r="O5974" t="s">
        <v>199</v>
      </c>
      <c r="V5974" s="18" t="s">
        <v>17015</v>
      </c>
      <c r="Y5974" t="s">
        <v>1157</v>
      </c>
      <c r="AA5974" t="s">
        <v>5957</v>
      </c>
      <c r="AB5974" t="s">
        <v>119</v>
      </c>
    </row>
    <row r="5975" ht="15" customHeight="1" spans="1:22" x14ac:dyDescent="0.25">
      <c r="A5975" s="17" t="s">
        <v>17016</v>
      </c>
      <c r="B5975" s="17" t="s">
        <v>70</v>
      </c>
      <c r="C5975" s="17" t="s">
        <v>71</v>
      </c>
      <c r="D5975" t="s">
        <v>12662</v>
      </c>
      <c r="F5975" t="s">
        <v>7709</v>
      </c>
      <c r="K5975" s="18">
        <f>6281295257311</f>
        <v>6281295257311</v>
      </c>
      <c r="N5975" s="17" t="s">
        <v>77</v>
      </c>
      <c r="V5975" s="18">
        <f>6281295257311</f>
        <v>6281295257311</v>
      </c>
    </row>
    <row r="5976" ht="15" customHeight="1" spans="1:22" x14ac:dyDescent="0.25">
      <c r="A5976" s="17" t="s">
        <v>17017</v>
      </c>
      <c r="B5976" s="17" t="s">
        <v>70</v>
      </c>
      <c r="C5976" s="17" t="s">
        <v>71</v>
      </c>
      <c r="D5976" t="s">
        <v>12662</v>
      </c>
      <c r="F5976" t="s">
        <v>2399</v>
      </c>
      <c r="K5976" s="18">
        <f>628124048989</f>
        <v>628124048989</v>
      </c>
      <c r="N5976" s="17" t="s">
        <v>81</v>
      </c>
      <c r="V5976" s="18">
        <f>628124048989</f>
        <v>628124048989</v>
      </c>
    </row>
    <row r="5977" ht="15" customHeight="1" spans="1:25" x14ac:dyDescent="0.25">
      <c r="A5977" s="17" t="s">
        <v>17018</v>
      </c>
      <c r="B5977" s="17" t="s">
        <v>70</v>
      </c>
      <c r="C5977" s="17" t="s">
        <v>71</v>
      </c>
      <c r="D5977" t="s">
        <v>12662</v>
      </c>
      <c r="F5977" t="s">
        <v>1217</v>
      </c>
      <c r="K5977" s="18">
        <f>6282176045045</f>
        <v>6282176045045</v>
      </c>
      <c r="N5977" s="17" t="s">
        <v>77</v>
      </c>
      <c r="U5977" s="17"/>
      <c r="V5977" s="18">
        <f>6282176045045</f>
        <v>6282176045045</v>
      </c>
      <c r="W5977" t="s">
        <v>17019</v>
      </c>
      <c r="Y5977" s="17" t="s">
        <v>626</v>
      </c>
    </row>
    <row r="5978" ht="15" customHeight="1" spans="1:23" x14ac:dyDescent="0.25">
      <c r="A5978" s="17" t="s">
        <v>17020</v>
      </c>
      <c r="B5978" s="17" t="s">
        <v>70</v>
      </c>
      <c r="C5978" s="17" t="s">
        <v>71</v>
      </c>
      <c r="D5978" t="s">
        <v>12662</v>
      </c>
      <c r="F5978" t="s">
        <v>322</v>
      </c>
      <c r="K5978" s="18">
        <f>62811153363</f>
        <v>62811153363</v>
      </c>
      <c r="N5978" s="17" t="s">
        <v>77</v>
      </c>
      <c r="U5978" s="17"/>
      <c r="V5978" s="18">
        <f>62811153363</f>
        <v>62811153363</v>
      </c>
      <c r="W5978" t="s">
        <v>17021</v>
      </c>
    </row>
    <row r="5979" ht="15" customHeight="1" spans="1:23" x14ac:dyDescent="0.25">
      <c r="A5979" s="17" t="s">
        <v>17022</v>
      </c>
      <c r="B5979" s="17" t="s">
        <v>70</v>
      </c>
      <c r="C5979" s="17" t="s">
        <v>71</v>
      </c>
      <c r="D5979" t="s">
        <v>12662</v>
      </c>
      <c r="F5979" t="s">
        <v>2258</v>
      </c>
      <c r="K5979" s="18">
        <f>628117690077</f>
        <v>628117690077</v>
      </c>
      <c r="N5979" s="17" t="s">
        <v>81</v>
      </c>
      <c r="U5979" s="17"/>
      <c r="V5979" s="18">
        <f>628117690077</f>
        <v>628117690077</v>
      </c>
      <c r="W5979" t="s">
        <v>17023</v>
      </c>
    </row>
    <row r="5980" ht="15" customHeight="1" spans="1:22" x14ac:dyDescent="0.25">
      <c r="A5980" s="17" t="s">
        <v>17024</v>
      </c>
      <c r="B5980" s="17" t="s">
        <v>70</v>
      </c>
      <c r="C5980" s="17" t="s">
        <v>71</v>
      </c>
      <c r="D5980" t="s">
        <v>12662</v>
      </c>
      <c r="F5980" t="s">
        <v>17025</v>
      </c>
      <c r="K5980" s="18">
        <f>62811992640</f>
        <v>62811992640</v>
      </c>
      <c r="N5980" s="17" t="s">
        <v>77</v>
      </c>
      <c r="V5980" s="18">
        <f>62811992640</f>
        <v>62811992640</v>
      </c>
    </row>
    <row r="5981" ht="15" customHeight="1" spans="1:22" x14ac:dyDescent="0.25">
      <c r="A5981" s="17" t="s">
        <v>17026</v>
      </c>
      <c r="B5981" s="17" t="s">
        <v>70</v>
      </c>
      <c r="C5981" s="17" t="s">
        <v>71</v>
      </c>
      <c r="D5981" t="s">
        <v>12662</v>
      </c>
      <c r="F5981" t="s">
        <v>12793</v>
      </c>
      <c r="K5981" s="18">
        <f>628121108118</f>
        <v>628121108118</v>
      </c>
      <c r="N5981" s="17" t="s">
        <v>77</v>
      </c>
      <c r="V5981" s="18">
        <f>628121108118</f>
        <v>628121108118</v>
      </c>
    </row>
    <row r="5982" ht="15" customHeight="1" spans="1:27" x14ac:dyDescent="0.25">
      <c r="A5982" s="17" t="s">
        <v>17027</v>
      </c>
      <c r="B5982" s="17" t="s">
        <v>70</v>
      </c>
      <c r="C5982" s="17" t="s">
        <v>71</v>
      </c>
      <c r="D5982" t="s">
        <v>12662</v>
      </c>
      <c r="F5982" t="s">
        <v>2168</v>
      </c>
      <c r="K5982" s="18">
        <f>628129996777</f>
        <v>628129996777</v>
      </c>
      <c r="N5982" s="17" t="s">
        <v>81</v>
      </c>
      <c r="U5982" s="17"/>
      <c r="V5982" s="18">
        <f>628129996777</f>
        <v>628129996777</v>
      </c>
      <c r="W5982" t="s">
        <v>17028</v>
      </c>
      <c r="Y5982" s="17" t="s">
        <v>17029</v>
      </c>
      <c r="AA5982" s="17">
        <v>57144</v>
      </c>
    </row>
    <row r="5983" ht="15" customHeight="1" spans="1:25" x14ac:dyDescent="0.25">
      <c r="A5983" s="17" t="s">
        <v>17030</v>
      </c>
      <c r="B5983" s="17" t="s">
        <v>70</v>
      </c>
      <c r="C5983" s="17" t="s">
        <v>71</v>
      </c>
      <c r="D5983" t="s">
        <v>12662</v>
      </c>
      <c r="F5983" t="s">
        <v>17031</v>
      </c>
      <c r="K5983" s="18">
        <f>6282172186699</f>
        <v>6282172186699</v>
      </c>
      <c r="N5983" s="17" t="s">
        <v>77</v>
      </c>
      <c r="V5983" s="18">
        <f>6282172186699</f>
        <v>6282172186699</v>
      </c>
      <c r="Y5983" s="17" t="s">
        <v>90</v>
      </c>
    </row>
    <row r="5984" ht="15" customHeight="1" spans="1:22" x14ac:dyDescent="0.25">
      <c r="A5984" s="17" t="s">
        <v>17032</v>
      </c>
      <c r="B5984" s="17" t="s">
        <v>70</v>
      </c>
      <c r="C5984" s="17" t="s">
        <v>71</v>
      </c>
      <c r="D5984" t="s">
        <v>12662</v>
      </c>
      <c r="F5984" t="s">
        <v>17033</v>
      </c>
      <c r="K5984" s="18">
        <f>6281316606002</f>
        <v>6281316606002</v>
      </c>
      <c r="N5984" s="17" t="s">
        <v>81</v>
      </c>
      <c r="V5984" s="18">
        <f>6281316606002</f>
        <v>6281316606002</v>
      </c>
    </row>
    <row r="5985" ht="15" customHeight="1" spans="1:22" x14ac:dyDescent="0.25">
      <c r="A5985" s="17" t="s">
        <v>17034</v>
      </c>
      <c r="B5985" s="17" t="s">
        <v>70</v>
      </c>
      <c r="C5985" s="17" t="s">
        <v>71</v>
      </c>
      <c r="D5985" t="s">
        <v>12662</v>
      </c>
      <c r="F5985" t="s">
        <v>17035</v>
      </c>
      <c r="K5985" s="18">
        <f>6281319750555</f>
        <v>6281319750555</v>
      </c>
      <c r="N5985" s="17" t="s">
        <v>77</v>
      </c>
      <c r="V5985" s="18">
        <f>6281319750555</f>
        <v>6281319750555</v>
      </c>
    </row>
    <row r="5986" ht="15" customHeight="1" spans="1:23" x14ac:dyDescent="0.25">
      <c r="A5986" s="17" t="s">
        <v>17036</v>
      </c>
      <c r="B5986" s="17" t="s">
        <v>70</v>
      </c>
      <c r="C5986" s="17" t="s">
        <v>71</v>
      </c>
      <c r="D5986" t="s">
        <v>12662</v>
      </c>
      <c r="F5986" t="s">
        <v>17037</v>
      </c>
      <c r="K5986" s="18">
        <f>6281510400428</f>
        <v>6281510400428</v>
      </c>
      <c r="N5986" s="17" t="s">
        <v>77</v>
      </c>
      <c r="U5986" s="17"/>
      <c r="V5986" s="18">
        <f>6281510400428</f>
        <v>6281510400428</v>
      </c>
      <c r="W5986" t="s">
        <v>17038</v>
      </c>
    </row>
    <row r="5987" ht="15" customHeight="1" spans="1:28" x14ac:dyDescent="0.25">
      <c r="A5987" s="17" t="s">
        <v>17039</v>
      </c>
      <c r="B5987" s="17" t="s">
        <v>70</v>
      </c>
      <c r="C5987" s="17" t="s">
        <v>71</v>
      </c>
      <c r="D5987" t="s">
        <v>12662</v>
      </c>
      <c r="F5987" t="s">
        <v>12662</v>
      </c>
      <c r="J5987" t="s">
        <v>115</v>
      </c>
      <c r="K5987" s="18" t="s">
        <v>17040</v>
      </c>
      <c r="N5987" s="17" t="s">
        <v>81</v>
      </c>
      <c r="O5987" t="s">
        <v>117</v>
      </c>
      <c r="V5987" s="18" t="s">
        <v>17040</v>
      </c>
      <c r="Y5987" t="s">
        <v>378</v>
      </c>
      <c r="AA5987" t="s">
        <v>118</v>
      </c>
      <c r="AB5987" t="s">
        <v>119</v>
      </c>
    </row>
    <row r="5988" ht="15" customHeight="1" spans="1:28" x14ac:dyDescent="0.25">
      <c r="A5988" s="17" t="s">
        <v>17041</v>
      </c>
      <c r="B5988" s="17" t="s">
        <v>70</v>
      </c>
      <c r="C5988" s="17" t="s">
        <v>71</v>
      </c>
      <c r="D5988" t="s">
        <v>12662</v>
      </c>
      <c r="F5988" t="s">
        <v>17042</v>
      </c>
      <c r="J5988" s="17" t="s">
        <v>17043</v>
      </c>
      <c r="K5988" s="18" t="s">
        <v>17044</v>
      </c>
      <c r="N5988" s="17" t="s">
        <v>77</v>
      </c>
      <c r="O5988" t="s">
        <v>489</v>
      </c>
      <c r="U5988" s="17"/>
      <c r="V5988" s="18" t="s">
        <v>17044</v>
      </c>
      <c r="W5988" t="s">
        <v>17045</v>
      </c>
      <c r="Y5988" s="17" t="s">
        <v>8029</v>
      </c>
      <c r="AA5988" t="s">
        <v>115</v>
      </c>
      <c r="AB5988" t="s">
        <v>119</v>
      </c>
    </row>
    <row r="5989" ht="15" customHeight="1" spans="1:23" x14ac:dyDescent="0.25">
      <c r="A5989" s="17" t="s">
        <v>17046</v>
      </c>
      <c r="B5989" s="17" t="s">
        <v>70</v>
      </c>
      <c r="C5989" s="17" t="s">
        <v>71</v>
      </c>
      <c r="D5989" t="s">
        <v>12662</v>
      </c>
      <c r="F5989" t="s">
        <v>686</v>
      </c>
      <c r="K5989" s="18">
        <f>628125417076</f>
        <v>628125417076</v>
      </c>
      <c r="N5989" s="17" t="s">
        <v>81</v>
      </c>
      <c r="U5989" s="17"/>
      <c r="V5989" s="18">
        <f>628125417076</f>
        <v>628125417076</v>
      </c>
      <c r="W5989" t="s">
        <v>17047</v>
      </c>
    </row>
    <row r="5990" ht="15" customHeight="1" spans="1:23" x14ac:dyDescent="0.25">
      <c r="A5990" s="17" t="s">
        <v>17048</v>
      </c>
      <c r="B5990" s="17" t="s">
        <v>70</v>
      </c>
      <c r="C5990" s="17" t="s">
        <v>71</v>
      </c>
      <c r="D5990" t="s">
        <v>12662</v>
      </c>
      <c r="F5990" t="s">
        <v>17049</v>
      </c>
      <c r="K5990" s="18">
        <f>6281807964518</f>
        <v>6281807964518</v>
      </c>
      <c r="N5990" s="17" t="s">
        <v>77</v>
      </c>
      <c r="U5990" s="17"/>
      <c r="V5990" s="18">
        <f>6281807964518</f>
        <v>6281807964518</v>
      </c>
      <c r="W5990" t="s">
        <v>17050</v>
      </c>
    </row>
    <row r="5991" ht="15" customHeight="1" spans="1:22" x14ac:dyDescent="0.25">
      <c r="A5991" s="17" t="s">
        <v>17051</v>
      </c>
      <c r="B5991" s="17" t="s">
        <v>70</v>
      </c>
      <c r="C5991" s="17" t="s">
        <v>71</v>
      </c>
      <c r="D5991" t="s">
        <v>12662</v>
      </c>
      <c r="F5991" t="s">
        <v>17052</v>
      </c>
      <c r="K5991" s="18">
        <f>628158259702</f>
        <v>628158259702</v>
      </c>
      <c r="N5991" s="17" t="s">
        <v>77</v>
      </c>
      <c r="V5991" s="18">
        <f>628158259702</f>
        <v>628158259702</v>
      </c>
    </row>
    <row r="5992" ht="15" customHeight="1" spans="1:22" x14ac:dyDescent="0.25">
      <c r="A5992" s="17" t="s">
        <v>17053</v>
      </c>
      <c r="B5992" s="17" t="s">
        <v>70</v>
      </c>
      <c r="C5992" s="17" t="s">
        <v>71</v>
      </c>
      <c r="D5992" t="s">
        <v>12662</v>
      </c>
      <c r="F5992" t="s">
        <v>11557</v>
      </c>
      <c r="K5992" s="18">
        <f>62811596680</f>
        <v>62811596680</v>
      </c>
      <c r="N5992" s="17" t="s">
        <v>81</v>
      </c>
      <c r="V5992" s="18">
        <f>62811596680</f>
        <v>62811596680</v>
      </c>
    </row>
    <row r="5993" ht="15" customHeight="1" spans="1:22" x14ac:dyDescent="0.25">
      <c r="A5993" s="17" t="s">
        <v>17054</v>
      </c>
      <c r="B5993" s="17" t="s">
        <v>70</v>
      </c>
      <c r="C5993" s="17" t="s">
        <v>71</v>
      </c>
      <c r="D5993" t="s">
        <v>17055</v>
      </c>
      <c r="F5993" t="s">
        <v>301</v>
      </c>
      <c r="K5993" s="18">
        <f>6285355311113</f>
        <v>6285355311113</v>
      </c>
      <c r="N5993" s="17" t="s">
        <v>77</v>
      </c>
      <c r="V5993" s="18">
        <f>6285355311113</f>
        <v>6285355311113</v>
      </c>
    </row>
    <row r="5994" ht="15" customHeight="1" spans="1:22" x14ac:dyDescent="0.25">
      <c r="A5994" s="17" t="s">
        <v>17056</v>
      </c>
      <c r="B5994" s="17" t="s">
        <v>70</v>
      </c>
      <c r="C5994" s="17" t="s">
        <v>71</v>
      </c>
      <c r="D5994" t="s">
        <v>17055</v>
      </c>
      <c r="F5994" t="s">
        <v>17057</v>
      </c>
      <c r="K5994" s="18">
        <f>62816853113</f>
        <v>62816853113</v>
      </c>
      <c r="N5994" s="17" t="s">
        <v>77</v>
      </c>
      <c r="V5994" s="18">
        <f>62816853113</f>
        <v>62816853113</v>
      </c>
    </row>
    <row r="5995" ht="15" customHeight="1" spans="1:22" x14ac:dyDescent="0.25">
      <c r="A5995" s="17" t="s">
        <v>17058</v>
      </c>
      <c r="B5995" s="17" t="s">
        <v>70</v>
      </c>
      <c r="C5995" s="17" t="s">
        <v>71</v>
      </c>
      <c r="D5995" t="s">
        <v>17055</v>
      </c>
      <c r="F5995" t="s">
        <v>17059</v>
      </c>
      <c r="K5995" s="18">
        <f>6281281052582</f>
        <v>6281281052582</v>
      </c>
      <c r="N5995" s="17" t="s">
        <v>77</v>
      </c>
      <c r="V5995" s="18">
        <f>6281281052582</f>
        <v>6281281052582</v>
      </c>
    </row>
    <row r="5996" ht="15" customHeight="1" spans="1:28" x14ac:dyDescent="0.25">
      <c r="A5996" s="17" t="s">
        <v>17060</v>
      </c>
      <c r="B5996" s="17" t="s">
        <v>70</v>
      </c>
      <c r="C5996" s="17" t="s">
        <v>71</v>
      </c>
      <c r="D5996" t="s">
        <v>17061</v>
      </c>
      <c r="F5996" t="s">
        <v>17062</v>
      </c>
      <c r="J5996" t="s">
        <v>115</v>
      </c>
      <c r="K5996" s="18" t="s">
        <v>17063</v>
      </c>
      <c r="N5996" s="17" t="s">
        <v>77</v>
      </c>
      <c r="O5996" t="s">
        <v>145</v>
      </c>
      <c r="U5996" s="17"/>
      <c r="V5996" s="18" t="s">
        <v>17063</v>
      </c>
      <c r="W5996" t="s">
        <v>17064</v>
      </c>
      <c r="Y5996" t="s">
        <v>90</v>
      </c>
      <c r="AA5996" t="s">
        <v>118</v>
      </c>
      <c r="AB5996" t="s">
        <v>119</v>
      </c>
    </row>
    <row r="5997" ht="15" customHeight="1" spans="1:28" x14ac:dyDescent="0.25">
      <c r="A5997" s="17" t="s">
        <v>17065</v>
      </c>
      <c r="B5997" s="17" t="s">
        <v>70</v>
      </c>
      <c r="C5997" s="17" t="s">
        <v>71</v>
      </c>
      <c r="D5997" t="s">
        <v>16845</v>
      </c>
      <c r="F5997" t="s">
        <v>17066</v>
      </c>
      <c r="J5997" t="s">
        <v>115</v>
      </c>
      <c r="K5997" s="18" t="s">
        <v>17067</v>
      </c>
      <c r="N5997" s="17" t="s">
        <v>74</v>
      </c>
      <c r="O5997" t="s">
        <v>117</v>
      </c>
      <c r="V5997" s="18" t="s">
        <v>17067</v>
      </c>
      <c r="Y5997" t="s">
        <v>190</v>
      </c>
      <c r="AA5997" t="s">
        <v>118</v>
      </c>
      <c r="AB5997" t="s">
        <v>119</v>
      </c>
    </row>
    <row r="5998" ht="15" customHeight="1" spans="1:23" x14ac:dyDescent="0.25">
      <c r="A5998" s="17" t="s">
        <v>17068</v>
      </c>
      <c r="B5998" s="17" t="s">
        <v>70</v>
      </c>
      <c r="C5998" s="17" t="s">
        <v>71</v>
      </c>
      <c r="D5998" t="s">
        <v>16845</v>
      </c>
      <c r="F5998" t="s">
        <v>16349</v>
      </c>
      <c r="K5998" s="18">
        <f>6281585089779</f>
        <v>6281585089779</v>
      </c>
      <c r="N5998" s="17" t="s">
        <v>77</v>
      </c>
      <c r="U5998" s="17"/>
      <c r="V5998" s="18">
        <f>6281585089779</f>
        <v>6281585089779</v>
      </c>
      <c r="W5998" t="s">
        <v>17069</v>
      </c>
    </row>
    <row r="5999" ht="15" customHeight="1" spans="1:25" x14ac:dyDescent="0.25">
      <c r="A5999" s="17" t="s">
        <v>17070</v>
      </c>
      <c r="B5999" s="17" t="s">
        <v>70</v>
      </c>
      <c r="C5999" s="17" t="s">
        <v>71</v>
      </c>
      <c r="D5999" t="s">
        <v>16845</v>
      </c>
      <c r="F5999" t="s">
        <v>212</v>
      </c>
      <c r="K5999" s="18">
        <f>62816711407</f>
        <v>62816711407</v>
      </c>
      <c r="N5999" s="17" t="s">
        <v>77</v>
      </c>
      <c r="U5999" s="17"/>
      <c r="V5999" s="18">
        <f>62816711407</f>
        <v>62816711407</v>
      </c>
      <c r="W5999" t="s">
        <v>17071</v>
      </c>
      <c r="Y5999" s="17" t="s">
        <v>90</v>
      </c>
    </row>
    <row r="6000" ht="15" customHeight="1" spans="1:22" x14ac:dyDescent="0.25">
      <c r="A6000" s="17" t="s">
        <v>17072</v>
      </c>
      <c r="B6000" s="17" t="s">
        <v>70</v>
      </c>
      <c r="C6000" s="17" t="s">
        <v>71</v>
      </c>
      <c r="D6000" t="s">
        <v>16845</v>
      </c>
      <c r="F6000" t="s">
        <v>4458</v>
      </c>
      <c r="K6000" s="18">
        <f>6282125802580</f>
        <v>6282125802580</v>
      </c>
      <c r="N6000" s="17" t="s">
        <v>77</v>
      </c>
      <c r="V6000" s="18">
        <f>6282125802580</f>
        <v>6282125802580</v>
      </c>
    </row>
    <row r="6001" ht="15" customHeight="1" spans="1:28" x14ac:dyDescent="0.25">
      <c r="A6001" s="17" t="s">
        <v>17073</v>
      </c>
      <c r="B6001" s="17" t="s">
        <v>70</v>
      </c>
      <c r="C6001" s="17" t="s">
        <v>71</v>
      </c>
      <c r="D6001" t="s">
        <v>16845</v>
      </c>
      <c r="F6001" t="s">
        <v>17074</v>
      </c>
      <c r="J6001" t="s">
        <v>115</v>
      </c>
      <c r="K6001" s="18" t="s">
        <v>17075</v>
      </c>
      <c r="N6001" s="17" t="s">
        <v>74</v>
      </c>
      <c r="O6001" t="s">
        <v>1188</v>
      </c>
      <c r="U6001" s="17"/>
      <c r="V6001" s="18" t="s">
        <v>17075</v>
      </c>
      <c r="W6001" t="s">
        <v>17076</v>
      </c>
      <c r="Y6001" s="17" t="s">
        <v>704</v>
      </c>
      <c r="AA6001" s="17" t="s">
        <v>705</v>
      </c>
      <c r="AB6001" t="s">
        <v>119</v>
      </c>
    </row>
    <row r="6002" ht="15" customHeight="1" spans="1:27" x14ac:dyDescent="0.25">
      <c r="A6002" s="17" t="s">
        <v>17077</v>
      </c>
      <c r="B6002" s="17" t="s">
        <v>70</v>
      </c>
      <c r="C6002" s="17" t="s">
        <v>71</v>
      </c>
      <c r="D6002" t="s">
        <v>16845</v>
      </c>
      <c r="F6002" t="s">
        <v>17078</v>
      </c>
      <c r="J6002" s="17" t="s">
        <v>17079</v>
      </c>
      <c r="K6002" s="18">
        <f>6281210910910</f>
        <v>6281210910910</v>
      </c>
      <c r="N6002" s="17" t="s">
        <v>77</v>
      </c>
      <c r="U6002" s="17"/>
      <c r="V6002" s="18">
        <f>6281210910910</f>
        <v>6281210910910</v>
      </c>
      <c r="W6002" t="s">
        <v>17080</v>
      </c>
      <c r="AA6002" s="17">
        <v>11520</v>
      </c>
    </row>
    <row r="6003" ht="15" customHeight="1" spans="1:23" x14ac:dyDescent="0.25">
      <c r="A6003" s="17" t="s">
        <v>17081</v>
      </c>
      <c r="B6003" s="17" t="s">
        <v>70</v>
      </c>
      <c r="C6003" s="17" t="s">
        <v>71</v>
      </c>
      <c r="D6003" t="s">
        <v>16845</v>
      </c>
      <c r="F6003" t="s">
        <v>17082</v>
      </c>
      <c r="K6003" s="18">
        <f>6281358868888</f>
        <v>6281358868888</v>
      </c>
      <c r="N6003" s="17" t="s">
        <v>77</v>
      </c>
      <c r="U6003" s="17"/>
      <c r="V6003" s="18">
        <f>6281358868888</f>
        <v>6281358868888</v>
      </c>
      <c r="W6003" t="s">
        <v>17083</v>
      </c>
    </row>
    <row r="6004" ht="15" customHeight="1" spans="1:23" x14ac:dyDescent="0.25">
      <c r="A6004" s="17" t="s">
        <v>17084</v>
      </c>
      <c r="B6004" s="17" t="s">
        <v>70</v>
      </c>
      <c r="C6004" s="17" t="s">
        <v>71</v>
      </c>
      <c r="D6004" t="s">
        <v>16845</v>
      </c>
      <c r="F6004" t="s">
        <v>1337</v>
      </c>
      <c r="K6004" s="18">
        <f>62811957138</f>
        <v>62811957138</v>
      </c>
      <c r="N6004" s="17" t="s">
        <v>81</v>
      </c>
      <c r="U6004" s="17"/>
      <c r="V6004" s="18">
        <f>62811957138</f>
        <v>62811957138</v>
      </c>
      <c r="W6004" t="s">
        <v>17085</v>
      </c>
    </row>
    <row r="6005" ht="15" customHeight="1" spans="1:23" x14ac:dyDescent="0.25">
      <c r="A6005" s="17" t="s">
        <v>17086</v>
      </c>
      <c r="B6005" s="17" t="s">
        <v>70</v>
      </c>
      <c r="C6005" s="17" t="s">
        <v>71</v>
      </c>
      <c r="D6005" t="s">
        <v>16845</v>
      </c>
      <c r="F6005" t="s">
        <v>3181</v>
      </c>
      <c r="K6005" s="18">
        <f>628128474578</f>
        <v>628128474578</v>
      </c>
      <c r="N6005" s="17" t="s">
        <v>81</v>
      </c>
      <c r="U6005" s="17"/>
      <c r="V6005" s="18">
        <f>628128474578</f>
        <v>628128474578</v>
      </c>
      <c r="W6005" t="s">
        <v>7238</v>
      </c>
    </row>
    <row r="6006" ht="15" customHeight="1" spans="1:22" x14ac:dyDescent="0.25">
      <c r="A6006" s="17" t="s">
        <v>17087</v>
      </c>
      <c r="B6006" s="17" t="s">
        <v>70</v>
      </c>
      <c r="C6006" s="17" t="s">
        <v>71</v>
      </c>
      <c r="D6006" t="s">
        <v>16845</v>
      </c>
      <c r="F6006" t="s">
        <v>3585</v>
      </c>
      <c r="K6006" s="18">
        <f>6287851611600</f>
        <v>6287851611600</v>
      </c>
      <c r="N6006" s="17" t="s">
        <v>77</v>
      </c>
      <c r="V6006" s="18">
        <f>6287851611600</f>
        <v>6287851611600</v>
      </c>
    </row>
    <row r="6007" ht="15" customHeight="1" spans="1:22" x14ac:dyDescent="0.25">
      <c r="A6007" s="17" t="s">
        <v>17088</v>
      </c>
      <c r="B6007" s="17" t="s">
        <v>70</v>
      </c>
      <c r="C6007" s="17" t="s">
        <v>71</v>
      </c>
      <c r="D6007" t="s">
        <v>16845</v>
      </c>
      <c r="F6007" t="s">
        <v>1564</v>
      </c>
      <c r="K6007" s="18">
        <f>6281294368688</f>
        <v>6281294368688</v>
      </c>
      <c r="N6007" s="17" t="s">
        <v>77</v>
      </c>
      <c r="V6007" s="18">
        <f>6281294368688</f>
        <v>6281294368688</v>
      </c>
    </row>
    <row r="6008" ht="15" customHeight="1" spans="1:22" x14ac:dyDescent="0.25">
      <c r="A6008" s="17" t="s">
        <v>17089</v>
      </c>
      <c r="B6008" s="17" t="s">
        <v>70</v>
      </c>
      <c r="C6008" s="17" t="s">
        <v>71</v>
      </c>
      <c r="D6008" t="s">
        <v>16845</v>
      </c>
      <c r="F6008" t="s">
        <v>17090</v>
      </c>
      <c r="K6008" s="18">
        <f>6281233366699</f>
        <v>6281233366699</v>
      </c>
      <c r="N6008" s="17" t="s">
        <v>77</v>
      </c>
      <c r="V6008" s="18">
        <f>6281233366699</f>
        <v>6281233366699</v>
      </c>
    </row>
    <row r="6009" ht="15" customHeight="1" spans="1:22" x14ac:dyDescent="0.25">
      <c r="A6009" s="17" t="s">
        <v>17091</v>
      </c>
      <c r="B6009" s="17" t="s">
        <v>70</v>
      </c>
      <c r="C6009" s="17" t="s">
        <v>71</v>
      </c>
      <c r="D6009" t="s">
        <v>17092</v>
      </c>
      <c r="F6009" t="s">
        <v>17093</v>
      </c>
      <c r="K6009" s="18">
        <f>628126015311</f>
        <v>628126015311</v>
      </c>
      <c r="N6009" s="17" t="s">
        <v>77</v>
      </c>
      <c r="V6009" s="18">
        <f>628126015311</f>
        <v>628126015311</v>
      </c>
    </row>
    <row r="6010" ht="15" customHeight="1" spans="1:22" x14ac:dyDescent="0.25">
      <c r="A6010" s="17" t="s">
        <v>17094</v>
      </c>
      <c r="B6010" s="17" t="s">
        <v>70</v>
      </c>
      <c r="C6010" s="17" t="s">
        <v>71</v>
      </c>
      <c r="D6010" t="s">
        <v>17095</v>
      </c>
      <c r="F6010" t="s">
        <v>5946</v>
      </c>
      <c r="K6010" s="18">
        <f>628127118720</f>
        <v>628127118720</v>
      </c>
      <c r="N6010" s="17" t="s">
        <v>81</v>
      </c>
      <c r="V6010" s="18">
        <f>628127118720</f>
        <v>628127118720</v>
      </c>
    </row>
    <row r="6011" ht="15" customHeight="1" spans="1:22" x14ac:dyDescent="0.25">
      <c r="A6011" s="17" t="s">
        <v>17096</v>
      </c>
      <c r="B6011" s="17" t="s">
        <v>70</v>
      </c>
      <c r="C6011" s="17" t="s">
        <v>71</v>
      </c>
      <c r="D6011" t="s">
        <v>17095</v>
      </c>
      <c r="F6011" t="s">
        <v>17097</v>
      </c>
      <c r="K6011" s="18">
        <f>6287887001989</f>
        <v>6287887001989</v>
      </c>
      <c r="N6011" s="17" t="s">
        <v>77</v>
      </c>
      <c r="V6011" s="18">
        <f>6287887001989</f>
        <v>6287887001989</v>
      </c>
    </row>
    <row r="6012" ht="15" customHeight="1" spans="1:22" x14ac:dyDescent="0.25">
      <c r="A6012" s="17" t="s">
        <v>17098</v>
      </c>
      <c r="B6012" s="17" t="s">
        <v>70</v>
      </c>
      <c r="C6012" s="17" t="s">
        <v>71</v>
      </c>
      <c r="D6012" t="s">
        <v>17095</v>
      </c>
      <c r="F6012" t="s">
        <v>3176</v>
      </c>
      <c r="K6012" s="18">
        <f>6281290351508</f>
        <v>6281290351508</v>
      </c>
      <c r="N6012" s="17" t="s">
        <v>77</v>
      </c>
      <c r="V6012" s="18">
        <f>6281290351508</f>
        <v>6281290351508</v>
      </c>
    </row>
    <row r="6013" ht="15" customHeight="1" spans="1:23" x14ac:dyDescent="0.25">
      <c r="A6013" s="17" t="s">
        <v>17099</v>
      </c>
      <c r="B6013" s="17" t="s">
        <v>70</v>
      </c>
      <c r="C6013" s="17" t="s">
        <v>71</v>
      </c>
      <c r="D6013" t="s">
        <v>17095</v>
      </c>
      <c r="F6013" t="s">
        <v>17100</v>
      </c>
      <c r="K6013" s="18">
        <f>6282288886688</f>
        <v>6282288886688</v>
      </c>
      <c r="N6013" s="17" t="s">
        <v>77</v>
      </c>
      <c r="U6013" s="17"/>
      <c r="V6013" s="18">
        <f>6282288886688</f>
        <v>6282288886688</v>
      </c>
      <c r="W6013" t="s">
        <v>90</v>
      </c>
    </row>
    <row r="6014" ht="15" customHeight="1" spans="1:25" x14ac:dyDescent="0.25">
      <c r="A6014" s="17" t="s">
        <v>17101</v>
      </c>
      <c r="B6014" s="17" t="s">
        <v>70</v>
      </c>
      <c r="C6014" s="17" t="s">
        <v>71</v>
      </c>
      <c r="D6014" t="s">
        <v>17102</v>
      </c>
      <c r="F6014" t="s">
        <v>9766</v>
      </c>
      <c r="K6014" s="18">
        <f>628119449144</f>
        <v>628119449144</v>
      </c>
      <c r="N6014" s="17" t="s">
        <v>77</v>
      </c>
      <c r="V6014" s="18">
        <f>628119449144</f>
        <v>628119449144</v>
      </c>
      <c r="Y6014" s="17" t="s">
        <v>90</v>
      </c>
    </row>
    <row r="6015" ht="15" customHeight="1" spans="1:23" x14ac:dyDescent="0.25">
      <c r="A6015" s="17" t="s">
        <v>17103</v>
      </c>
      <c r="B6015" s="17" t="s">
        <v>70</v>
      </c>
      <c r="C6015" s="17" t="s">
        <v>71</v>
      </c>
      <c r="D6015" t="s">
        <v>17102</v>
      </c>
      <c r="F6015" t="s">
        <v>17104</v>
      </c>
      <c r="K6015" s="18">
        <f>6281281218545</f>
        <v>6281281218545</v>
      </c>
      <c r="N6015" s="17" t="s">
        <v>77</v>
      </c>
      <c r="U6015" s="17"/>
      <c r="V6015" s="18">
        <f>6281281218545</f>
        <v>6281281218545</v>
      </c>
      <c r="W6015" t="s">
        <v>17105</v>
      </c>
    </row>
    <row r="6016" ht="15" customHeight="1" spans="1:23" x14ac:dyDescent="0.25">
      <c r="A6016" s="17" t="s">
        <v>17106</v>
      </c>
      <c r="B6016" s="17" t="s">
        <v>70</v>
      </c>
      <c r="C6016" s="17" t="s">
        <v>71</v>
      </c>
      <c r="D6016" t="s">
        <v>17107</v>
      </c>
      <c r="F6016" t="s">
        <v>17108</v>
      </c>
      <c r="K6016" s="18">
        <f>62811141742</f>
        <v>62811141742</v>
      </c>
      <c r="N6016" s="17" t="s">
        <v>77</v>
      </c>
      <c r="U6016" s="17"/>
      <c r="V6016" s="18">
        <f>62811141742</f>
        <v>62811141742</v>
      </c>
      <c r="W6016" t="s">
        <v>17109</v>
      </c>
    </row>
    <row r="6017" ht="15" customHeight="1" spans="1:27" x14ac:dyDescent="0.25">
      <c r="A6017" s="17" t="s">
        <v>17110</v>
      </c>
      <c r="B6017" s="17" t="s">
        <v>70</v>
      </c>
      <c r="C6017" s="17" t="s">
        <v>71</v>
      </c>
      <c r="D6017" t="s">
        <v>12936</v>
      </c>
      <c r="F6017" t="s">
        <v>12936</v>
      </c>
      <c r="K6017" s="18">
        <f>628128866866</f>
        <v>628128866866</v>
      </c>
      <c r="N6017" s="17" t="s">
        <v>77</v>
      </c>
      <c r="U6017" s="17"/>
      <c r="V6017" s="18">
        <f>628128866866</f>
        <v>628128866866</v>
      </c>
      <c r="W6017" t="s">
        <v>17111</v>
      </c>
      <c r="Y6017" s="17" t="s">
        <v>90</v>
      </c>
      <c r="AA6017" s="17" t="s">
        <v>17112</v>
      </c>
    </row>
    <row r="6018" ht="15" customHeight="1" spans="1:28" x14ac:dyDescent="0.25">
      <c r="A6018" s="17" t="s">
        <v>17113</v>
      </c>
      <c r="B6018" s="17" t="s">
        <v>70</v>
      </c>
      <c r="C6018" s="17" t="s">
        <v>71</v>
      </c>
      <c r="D6018" t="s">
        <v>12936</v>
      </c>
      <c r="F6018" t="s">
        <v>17114</v>
      </c>
      <c r="J6018" s="17" t="s">
        <v>17115</v>
      </c>
      <c r="K6018" s="18" t="s">
        <v>17116</v>
      </c>
      <c r="N6018" s="17" t="s">
        <v>77</v>
      </c>
      <c r="O6018" t="s">
        <v>145</v>
      </c>
      <c r="U6018" s="17"/>
      <c r="V6018" s="18" t="s">
        <v>17116</v>
      </c>
      <c r="W6018" t="s">
        <v>17117</v>
      </c>
      <c r="Y6018" t="s">
        <v>181</v>
      </c>
      <c r="AA6018" t="s">
        <v>1672</v>
      </c>
      <c r="AB6018" t="s">
        <v>119</v>
      </c>
    </row>
    <row r="6019" ht="15" customHeight="1" spans="1:22" x14ac:dyDescent="0.25">
      <c r="A6019" s="17" t="s">
        <v>17118</v>
      </c>
      <c r="B6019" s="17" t="s">
        <v>70</v>
      </c>
      <c r="C6019" s="17" t="s">
        <v>71</v>
      </c>
      <c r="D6019" t="s">
        <v>12936</v>
      </c>
      <c r="F6019" t="s">
        <v>14787</v>
      </c>
      <c r="K6019" s="18">
        <f>62818887823</f>
        <v>62818887823</v>
      </c>
      <c r="N6019" s="17" t="s">
        <v>81</v>
      </c>
      <c r="V6019" s="18">
        <f>62818887823</f>
        <v>62818887823</v>
      </c>
    </row>
    <row r="6020" ht="15" customHeight="1" spans="1:23" x14ac:dyDescent="0.25">
      <c r="A6020" s="17" t="s">
        <v>17119</v>
      </c>
      <c r="B6020" s="17" t="s">
        <v>70</v>
      </c>
      <c r="C6020" s="17" t="s">
        <v>71</v>
      </c>
      <c r="D6020" t="s">
        <v>12936</v>
      </c>
      <c r="F6020" t="s">
        <v>17120</v>
      </c>
      <c r="J6020" s="17" t="s">
        <v>17121</v>
      </c>
      <c r="K6020" s="18">
        <f>6281388310017</f>
        <v>6281388310017</v>
      </c>
      <c r="N6020" s="17" t="s">
        <v>81</v>
      </c>
      <c r="U6020" s="17"/>
      <c r="V6020" s="18">
        <f>6281388310017</f>
        <v>6281388310017</v>
      </c>
      <c r="W6020" t="s">
        <v>397</v>
      </c>
    </row>
    <row r="6021" ht="15" customHeight="1" spans="1:25" x14ac:dyDescent="0.25">
      <c r="A6021" s="17" t="s">
        <v>17122</v>
      </c>
      <c r="B6021" s="17" t="s">
        <v>70</v>
      </c>
      <c r="C6021" s="17" t="s">
        <v>71</v>
      </c>
      <c r="D6021" t="s">
        <v>12936</v>
      </c>
      <c r="F6021" t="s">
        <v>17123</v>
      </c>
      <c r="K6021" s="18">
        <f>62811919970</f>
        <v>62811919970</v>
      </c>
      <c r="N6021" s="17" t="s">
        <v>77</v>
      </c>
      <c r="U6021" s="17"/>
      <c r="V6021" s="18">
        <f>62811919970</f>
        <v>62811919970</v>
      </c>
      <c r="W6021" t="s">
        <v>17124</v>
      </c>
      <c r="Y6021" s="17" t="s">
        <v>90</v>
      </c>
    </row>
    <row r="6022" ht="15" customHeight="1" spans="1:28" x14ac:dyDescent="0.25">
      <c r="A6022" s="17" t="s">
        <v>17125</v>
      </c>
      <c r="B6022" s="17" t="s">
        <v>70</v>
      </c>
      <c r="C6022" s="17" t="s">
        <v>71</v>
      </c>
      <c r="D6022" t="s">
        <v>17126</v>
      </c>
      <c r="F6022" t="s">
        <v>17127</v>
      </c>
      <c r="J6022" s="17" t="s">
        <v>17128</v>
      </c>
      <c r="K6022" s="18" t="s">
        <v>17129</v>
      </c>
      <c r="N6022" s="17" t="s">
        <v>81</v>
      </c>
      <c r="O6022" t="s">
        <v>117</v>
      </c>
      <c r="U6022" s="17"/>
      <c r="V6022" s="18" t="s">
        <v>17129</v>
      </c>
      <c r="W6022" t="s">
        <v>17130</v>
      </c>
      <c r="Y6022" s="17" t="s">
        <v>1091</v>
      </c>
      <c r="AA6022" t="s">
        <v>115</v>
      </c>
      <c r="AB6022" t="s">
        <v>119</v>
      </c>
    </row>
    <row r="6023" ht="15" customHeight="1" spans="1:22" x14ac:dyDescent="0.25">
      <c r="A6023" s="17" t="s">
        <v>17131</v>
      </c>
      <c r="B6023" s="17" t="s">
        <v>70</v>
      </c>
      <c r="C6023" s="17" t="s">
        <v>71</v>
      </c>
      <c r="D6023" t="s">
        <v>10444</v>
      </c>
      <c r="F6023" t="s">
        <v>4291</v>
      </c>
      <c r="K6023" s="18">
        <f>62818111606</f>
        <v>62818111606</v>
      </c>
      <c r="N6023" s="17" t="s">
        <v>81</v>
      </c>
      <c r="V6023" s="18">
        <f>62818111606</f>
        <v>62818111606</v>
      </c>
    </row>
    <row r="6024" ht="15" customHeight="1" spans="1:22" x14ac:dyDescent="0.25">
      <c r="A6024" s="17" t="s">
        <v>17132</v>
      </c>
      <c r="B6024" s="17" t="s">
        <v>70</v>
      </c>
      <c r="C6024" s="17" t="s">
        <v>71</v>
      </c>
      <c r="D6024" t="s">
        <v>17133</v>
      </c>
      <c r="F6024" t="s">
        <v>17134</v>
      </c>
      <c r="K6024" s="18">
        <f>628119842254</f>
        <v>628119842254</v>
      </c>
      <c r="N6024" s="17" t="s">
        <v>77</v>
      </c>
      <c r="V6024" s="18">
        <f>628119842254</f>
        <v>628119842254</v>
      </c>
    </row>
    <row r="6025" ht="15" customHeight="1" spans="1:27" x14ac:dyDescent="0.25">
      <c r="A6025" s="17" t="s">
        <v>17135</v>
      </c>
      <c r="B6025" s="17" t="s">
        <v>70</v>
      </c>
      <c r="C6025" s="17" t="s">
        <v>71</v>
      </c>
      <c r="D6025" t="s">
        <v>17136</v>
      </c>
      <c r="F6025" t="s">
        <v>17137</v>
      </c>
      <c r="J6025" s="17" t="s">
        <v>17138</v>
      </c>
      <c r="K6025" s="18">
        <f>62214603653</f>
        <v>62214603653</v>
      </c>
      <c r="N6025" s="17" t="s">
        <v>77</v>
      </c>
      <c r="U6025" s="17"/>
      <c r="V6025" s="18">
        <f>62214603653</f>
        <v>62214603653</v>
      </c>
      <c r="W6025" t="s">
        <v>17139</v>
      </c>
      <c r="Y6025" s="17" t="s">
        <v>1084</v>
      </c>
      <c r="AA6025" s="17">
        <v>14240</v>
      </c>
    </row>
    <row r="6026" ht="15" customHeight="1" spans="1:22" x14ac:dyDescent="0.25">
      <c r="A6026" s="17" t="s">
        <v>17140</v>
      </c>
      <c r="B6026" s="17" t="s">
        <v>70</v>
      </c>
      <c r="C6026" s="17" t="s">
        <v>71</v>
      </c>
      <c r="D6026" t="s">
        <v>17141</v>
      </c>
      <c r="F6026" t="s">
        <v>17141</v>
      </c>
      <c r="K6026" s="18">
        <f>62818921070</f>
        <v>62818921070</v>
      </c>
      <c r="N6026" s="17" t="s">
        <v>81</v>
      </c>
      <c r="V6026" s="18">
        <f>62818921070</f>
        <v>62818921070</v>
      </c>
    </row>
    <row r="6027" ht="15" customHeight="1" spans="1:28" x14ac:dyDescent="0.25">
      <c r="A6027" s="17" t="s">
        <v>17142</v>
      </c>
      <c r="B6027" s="17" t="s">
        <v>70</v>
      </c>
      <c r="C6027" s="17" t="s">
        <v>71</v>
      </c>
      <c r="D6027" t="s">
        <v>17143</v>
      </c>
      <c r="F6027" t="s">
        <v>17144</v>
      </c>
      <c r="J6027" t="s">
        <v>17145</v>
      </c>
      <c r="K6027" s="18" t="s">
        <v>17146</v>
      </c>
      <c r="N6027" s="17" t="s">
        <v>81</v>
      </c>
      <c r="O6027" t="s">
        <v>261</v>
      </c>
      <c r="U6027" s="17"/>
      <c r="V6027" s="18" t="s">
        <v>17146</v>
      </c>
      <c r="W6027" t="s">
        <v>17147</v>
      </c>
      <c r="Y6027" t="s">
        <v>115</v>
      </c>
      <c r="AA6027" t="s">
        <v>115</v>
      </c>
      <c r="AB6027" t="s">
        <v>119</v>
      </c>
    </row>
    <row r="6028" ht="15" customHeight="1" spans="1:28" x14ac:dyDescent="0.25">
      <c r="A6028" s="17" t="s">
        <v>17148</v>
      </c>
      <c r="B6028" s="17" t="s">
        <v>70</v>
      </c>
      <c r="C6028" s="17" t="s">
        <v>71</v>
      </c>
      <c r="D6028" t="s">
        <v>17149</v>
      </c>
      <c r="F6028" t="s">
        <v>17150</v>
      </c>
      <c r="J6028" t="s">
        <v>115</v>
      </c>
      <c r="K6028" s="18" t="s">
        <v>17151</v>
      </c>
      <c r="N6028" s="17" t="s">
        <v>77</v>
      </c>
      <c r="O6028" t="s">
        <v>145</v>
      </c>
      <c r="V6028" s="18" t="s">
        <v>17151</v>
      </c>
      <c r="Y6028" t="s">
        <v>190</v>
      </c>
      <c r="AA6028" t="s">
        <v>118</v>
      </c>
      <c r="AB6028" t="s">
        <v>119</v>
      </c>
    </row>
    <row r="6029" ht="15" customHeight="1" spans="1:22" x14ac:dyDescent="0.25">
      <c r="A6029" s="17" t="s">
        <v>17152</v>
      </c>
      <c r="B6029" s="17" t="s">
        <v>70</v>
      </c>
      <c r="C6029" s="17" t="s">
        <v>71</v>
      </c>
      <c r="D6029" t="s">
        <v>17150</v>
      </c>
      <c r="F6029" t="s">
        <v>282</v>
      </c>
      <c r="J6029" s="17" t="s">
        <v>17153</v>
      </c>
      <c r="K6029" s="18">
        <f>6282298045222</f>
        <v>6282298045222</v>
      </c>
      <c r="N6029" s="17" t="s">
        <v>81</v>
      </c>
      <c r="V6029" s="18">
        <f>6282298045222</f>
        <v>6282298045222</v>
      </c>
    </row>
    <row r="6030" ht="15" customHeight="1" spans="1:27" x14ac:dyDescent="0.25">
      <c r="A6030" s="17" t="s">
        <v>17154</v>
      </c>
      <c r="B6030" s="17" t="s">
        <v>70</v>
      </c>
      <c r="C6030" s="17" t="s">
        <v>71</v>
      </c>
      <c r="D6030" t="s">
        <v>17150</v>
      </c>
      <c r="F6030" t="s">
        <v>672</v>
      </c>
      <c r="K6030" s="18">
        <f>62811497488</f>
        <v>62811497488</v>
      </c>
      <c r="N6030" s="17" t="s">
        <v>77</v>
      </c>
      <c r="U6030" s="17"/>
      <c r="V6030" s="18">
        <f>62811497488</f>
        <v>62811497488</v>
      </c>
      <c r="W6030" t="s">
        <v>17155</v>
      </c>
      <c r="AA6030" s="17" t="s">
        <v>7540</v>
      </c>
    </row>
    <row r="6031" ht="15" customHeight="1" spans="1:22" x14ac:dyDescent="0.25">
      <c r="A6031" s="17" t="s">
        <v>17156</v>
      </c>
      <c r="B6031" s="17" t="s">
        <v>70</v>
      </c>
      <c r="C6031" s="17" t="s">
        <v>71</v>
      </c>
      <c r="D6031" t="s">
        <v>17150</v>
      </c>
      <c r="F6031" t="s">
        <v>17157</v>
      </c>
      <c r="K6031" s="18">
        <v>6282254206272</v>
      </c>
      <c r="N6031" s="17" t="s">
        <v>81</v>
      </c>
      <c r="V6031" s="18">
        <v>6282254206272</v>
      </c>
    </row>
    <row r="6032" ht="15" customHeight="1" spans="1:27" x14ac:dyDescent="0.25">
      <c r="A6032" s="17" t="s">
        <v>17158</v>
      </c>
      <c r="B6032" s="17" t="s">
        <v>70</v>
      </c>
      <c r="C6032" s="17" t="s">
        <v>71</v>
      </c>
      <c r="D6032" t="s">
        <v>17159</v>
      </c>
      <c r="F6032" t="s">
        <v>17159</v>
      </c>
      <c r="J6032" s="17" t="s">
        <v>17160</v>
      </c>
      <c r="K6032" s="18">
        <f>628129125863</f>
        <v>628129125863</v>
      </c>
      <c r="N6032" s="17" t="s">
        <v>77</v>
      </c>
      <c r="U6032" s="17"/>
      <c r="V6032" s="18">
        <f>628129125863</f>
        <v>628129125863</v>
      </c>
      <c r="W6032" t="s">
        <v>17161</v>
      </c>
      <c r="Y6032" s="17" t="s">
        <v>1084</v>
      </c>
      <c r="AA6032" s="17">
        <v>14470</v>
      </c>
    </row>
    <row r="6033" ht="15" customHeight="1" spans="1:22" x14ac:dyDescent="0.25">
      <c r="A6033" s="17" t="s">
        <v>17162</v>
      </c>
      <c r="B6033" s="17" t="s">
        <v>70</v>
      </c>
      <c r="C6033" s="17" t="s">
        <v>71</v>
      </c>
      <c r="D6033" t="s">
        <v>17163</v>
      </c>
      <c r="F6033" t="s">
        <v>17163</v>
      </c>
      <c r="J6033" s="17" t="s">
        <v>17164</v>
      </c>
      <c r="K6033" s="18">
        <f>6281517126816</f>
        <v>6281517126816</v>
      </c>
      <c r="N6033" s="17" t="s">
        <v>81</v>
      </c>
      <c r="V6033" s="18">
        <f>6281517126816</f>
        <v>6281517126816</v>
      </c>
    </row>
    <row r="6034" ht="15" customHeight="1" spans="1:22" x14ac:dyDescent="0.25">
      <c r="A6034" s="17" t="s">
        <v>17165</v>
      </c>
      <c r="B6034" s="17" t="s">
        <v>70</v>
      </c>
      <c r="C6034" s="17" t="s">
        <v>71</v>
      </c>
      <c r="D6034" t="s">
        <v>17166</v>
      </c>
      <c r="F6034" t="s">
        <v>17167</v>
      </c>
      <c r="K6034" s="18">
        <f>628121121234</f>
        <v>628121121234</v>
      </c>
      <c r="N6034" s="17" t="s">
        <v>81</v>
      </c>
      <c r="V6034" s="18">
        <f>628121121234</f>
        <v>628121121234</v>
      </c>
    </row>
    <row r="6035" ht="15" customHeight="1" spans="1:28" x14ac:dyDescent="0.25">
      <c r="A6035" s="17" t="s">
        <v>17168</v>
      </c>
      <c r="B6035" s="17" t="s">
        <v>70</v>
      </c>
      <c r="C6035" s="17" t="s">
        <v>71</v>
      </c>
      <c r="D6035" t="s">
        <v>17169</v>
      </c>
      <c r="F6035" t="s">
        <v>17170</v>
      </c>
      <c r="J6035" s="17" t="s">
        <v>17171</v>
      </c>
      <c r="K6035" s="18" t="s">
        <v>17172</v>
      </c>
      <c r="N6035" s="17" t="s">
        <v>77</v>
      </c>
      <c r="O6035" t="s">
        <v>117</v>
      </c>
      <c r="U6035" s="17"/>
      <c r="V6035" s="18" t="s">
        <v>17172</v>
      </c>
      <c r="W6035" t="s">
        <v>17173</v>
      </c>
      <c r="Y6035" s="17" t="s">
        <v>3048</v>
      </c>
      <c r="AA6035" t="s">
        <v>115</v>
      </c>
      <c r="AB6035" t="s">
        <v>119</v>
      </c>
    </row>
    <row r="6036" ht="15" customHeight="1" spans="1:28" x14ac:dyDescent="0.25">
      <c r="A6036" s="17" t="s">
        <v>17174</v>
      </c>
      <c r="B6036" s="17" t="s">
        <v>70</v>
      </c>
      <c r="C6036" s="17" t="s">
        <v>71</v>
      </c>
      <c r="D6036" t="s">
        <v>17175</v>
      </c>
      <c r="F6036" t="s">
        <v>17175</v>
      </c>
      <c r="J6036" t="s">
        <v>115</v>
      </c>
      <c r="K6036" s="18" t="s">
        <v>17176</v>
      </c>
      <c r="N6036" s="17" t="s">
        <v>77</v>
      </c>
      <c r="O6036" t="s">
        <v>199</v>
      </c>
      <c r="V6036" s="18" t="s">
        <v>17176</v>
      </c>
      <c r="Y6036" t="s">
        <v>90</v>
      </c>
      <c r="AA6036" t="s">
        <v>118</v>
      </c>
      <c r="AB6036" t="s">
        <v>119</v>
      </c>
    </row>
    <row r="6037" ht="15" customHeight="1" spans="1:22" x14ac:dyDescent="0.25">
      <c r="A6037" s="17" t="s">
        <v>17177</v>
      </c>
      <c r="B6037" s="17" t="s">
        <v>70</v>
      </c>
      <c r="C6037" s="17" t="s">
        <v>71</v>
      </c>
      <c r="D6037" t="s">
        <v>17178</v>
      </c>
      <c r="F6037" t="s">
        <v>17178</v>
      </c>
      <c r="K6037" s="18">
        <f>6281513877777</f>
        <v>6281513877777</v>
      </c>
      <c r="N6037" s="17" t="s">
        <v>81</v>
      </c>
      <c r="V6037" s="18">
        <f>6281513877777</f>
        <v>6281513877777</v>
      </c>
    </row>
    <row r="6038" ht="15" customHeight="1" spans="1:22" x14ac:dyDescent="0.25">
      <c r="A6038" s="17" t="s">
        <v>17179</v>
      </c>
      <c r="B6038" s="17" t="s">
        <v>70</v>
      </c>
      <c r="C6038" s="17" t="s">
        <v>71</v>
      </c>
      <c r="D6038" t="s">
        <v>17180</v>
      </c>
      <c r="F6038" t="s">
        <v>17181</v>
      </c>
      <c r="K6038" s="18">
        <f>6281318447728</f>
        <v>6281318447728</v>
      </c>
      <c r="N6038" s="17" t="s">
        <v>77</v>
      </c>
      <c r="V6038" s="18">
        <f>6281318447728</f>
        <v>6281318447728</v>
      </c>
    </row>
    <row r="6039" ht="15" customHeight="1" spans="1:22" x14ac:dyDescent="0.25">
      <c r="A6039" s="17" t="s">
        <v>17182</v>
      </c>
      <c r="B6039" s="17" t="s">
        <v>70</v>
      </c>
      <c r="C6039" s="17" t="s">
        <v>71</v>
      </c>
      <c r="D6039" t="s">
        <v>17183</v>
      </c>
      <c r="F6039" t="s">
        <v>17183</v>
      </c>
      <c r="K6039" s="18">
        <f>6281281308308</f>
        <v>6281281308308</v>
      </c>
      <c r="N6039" s="17" t="s">
        <v>81</v>
      </c>
      <c r="V6039" s="18">
        <f>6281281308308</f>
        <v>6281281308308</v>
      </c>
    </row>
    <row r="6040" ht="15" customHeight="1" spans="1:22" x14ac:dyDescent="0.25">
      <c r="A6040" s="17" t="s">
        <v>17184</v>
      </c>
      <c r="B6040" s="17" t="s">
        <v>70</v>
      </c>
      <c r="C6040" s="17" t="s">
        <v>71</v>
      </c>
      <c r="D6040" t="s">
        <v>472</v>
      </c>
      <c r="F6040" t="s">
        <v>472</v>
      </c>
      <c r="K6040" s="18">
        <f>628881391972</f>
        <v>628881391972</v>
      </c>
      <c r="N6040" s="17" t="s">
        <v>77</v>
      </c>
      <c r="V6040" s="18">
        <f>628881391972</f>
        <v>628881391972</v>
      </c>
    </row>
    <row r="6041" ht="15" customHeight="1" spans="1:22" x14ac:dyDescent="0.25">
      <c r="A6041" s="17" t="s">
        <v>17185</v>
      </c>
      <c r="B6041" s="17" t="s">
        <v>70</v>
      </c>
      <c r="C6041" s="17" t="s">
        <v>71</v>
      </c>
      <c r="D6041" t="s">
        <v>472</v>
      </c>
      <c r="F6041" t="s">
        <v>4378</v>
      </c>
      <c r="K6041" s="18">
        <f>6287869380910</f>
        <v>6287869380910</v>
      </c>
      <c r="N6041" s="17" t="s">
        <v>81</v>
      </c>
      <c r="V6041" s="18">
        <f>6287869380910</f>
        <v>6287869380910</v>
      </c>
    </row>
    <row r="6042" ht="15" customHeight="1" spans="1:28" x14ac:dyDescent="0.25">
      <c r="A6042" s="17" t="s">
        <v>17186</v>
      </c>
      <c r="B6042" s="17" t="s">
        <v>70</v>
      </c>
      <c r="C6042" s="17" t="s">
        <v>71</v>
      </c>
      <c r="D6042" t="s">
        <v>472</v>
      </c>
      <c r="F6042" t="s">
        <v>212</v>
      </c>
      <c r="J6042" t="s">
        <v>115</v>
      </c>
      <c r="K6042" s="18" t="s">
        <v>17187</v>
      </c>
      <c r="N6042" s="17" t="s">
        <v>77</v>
      </c>
      <c r="O6042" t="s">
        <v>117</v>
      </c>
      <c r="V6042" s="18" t="s">
        <v>17187</v>
      </c>
      <c r="Y6042" t="s">
        <v>190</v>
      </c>
      <c r="AA6042" t="s">
        <v>118</v>
      </c>
      <c r="AB6042" t="s">
        <v>119</v>
      </c>
    </row>
    <row r="6043" ht="15" customHeight="1" spans="1:22" x14ac:dyDescent="0.25">
      <c r="A6043" s="17" t="s">
        <v>17188</v>
      </c>
      <c r="B6043" s="17" t="s">
        <v>70</v>
      </c>
      <c r="C6043" s="17" t="s">
        <v>71</v>
      </c>
      <c r="D6043" t="s">
        <v>472</v>
      </c>
      <c r="F6043" t="s">
        <v>8630</v>
      </c>
      <c r="K6043" s="18">
        <f>6281281830077</f>
        <v>6281281830077</v>
      </c>
      <c r="N6043" s="17" t="s">
        <v>77</v>
      </c>
      <c r="V6043" s="18">
        <f>6281281830077</f>
        <v>6281281830077</v>
      </c>
    </row>
    <row r="6044" ht="15" customHeight="1" spans="1:25" x14ac:dyDescent="0.25">
      <c r="A6044" s="17" t="s">
        <v>17189</v>
      </c>
      <c r="B6044" s="17" t="s">
        <v>70</v>
      </c>
      <c r="C6044" s="17" t="s">
        <v>71</v>
      </c>
      <c r="D6044" t="s">
        <v>472</v>
      </c>
      <c r="F6044" t="s">
        <v>17190</v>
      </c>
      <c r="K6044" s="18">
        <f>62818865088</f>
        <v>62818865088</v>
      </c>
      <c r="N6044" s="17" t="s">
        <v>74</v>
      </c>
      <c r="U6044" s="17"/>
      <c r="V6044" s="18">
        <f>62818865088</f>
        <v>62818865088</v>
      </c>
      <c r="W6044" t="s">
        <v>17191</v>
      </c>
      <c r="Y6044" s="17" t="s">
        <v>2953</v>
      </c>
    </row>
    <row r="6045" ht="15" customHeight="1" spans="1:22" x14ac:dyDescent="0.25">
      <c r="A6045" s="17" t="s">
        <v>17192</v>
      </c>
      <c r="B6045" s="17" t="s">
        <v>70</v>
      </c>
      <c r="C6045" s="17" t="s">
        <v>71</v>
      </c>
      <c r="D6045" t="s">
        <v>472</v>
      </c>
      <c r="F6045" t="s">
        <v>17193</v>
      </c>
      <c r="K6045" s="18">
        <f>62811644691</f>
        <v>62811644691</v>
      </c>
      <c r="N6045" s="17" t="s">
        <v>81</v>
      </c>
      <c r="V6045" s="18">
        <f>62811644691</f>
        <v>62811644691</v>
      </c>
    </row>
    <row r="6046" ht="15" customHeight="1" spans="1:28" x14ac:dyDescent="0.25">
      <c r="A6046" s="17" t="s">
        <v>17194</v>
      </c>
      <c r="B6046" s="17" t="s">
        <v>70</v>
      </c>
      <c r="C6046" s="17" t="s">
        <v>71</v>
      </c>
      <c r="D6046" t="s">
        <v>472</v>
      </c>
      <c r="F6046" t="s">
        <v>672</v>
      </c>
      <c r="J6046" s="17" t="s">
        <v>17195</v>
      </c>
      <c r="K6046" s="18" t="s">
        <v>17196</v>
      </c>
      <c r="N6046" s="17" t="s">
        <v>77</v>
      </c>
      <c r="O6046" t="s">
        <v>489</v>
      </c>
      <c r="U6046" s="17"/>
      <c r="V6046" s="18" t="s">
        <v>17196</v>
      </c>
      <c r="W6046" t="s">
        <v>17197</v>
      </c>
      <c r="Y6046" t="s">
        <v>190</v>
      </c>
      <c r="AA6046" t="s">
        <v>118</v>
      </c>
      <c r="AB6046" t="s">
        <v>119</v>
      </c>
    </row>
    <row r="6047" ht="15" customHeight="1" spans="1:28" x14ac:dyDescent="0.25">
      <c r="A6047" s="17" t="s">
        <v>17198</v>
      </c>
      <c r="B6047" s="17" t="s">
        <v>70</v>
      </c>
      <c r="C6047" s="17" t="s">
        <v>71</v>
      </c>
      <c r="D6047" t="s">
        <v>17199</v>
      </c>
      <c r="F6047" t="s">
        <v>17199</v>
      </c>
      <c r="J6047" t="s">
        <v>115</v>
      </c>
      <c r="K6047" s="18" t="s">
        <v>17200</v>
      </c>
      <c r="N6047" s="17" t="s">
        <v>81</v>
      </c>
      <c r="O6047" t="s">
        <v>199</v>
      </c>
      <c r="V6047" s="18" t="s">
        <v>17200</v>
      </c>
      <c r="Y6047" t="s">
        <v>90</v>
      </c>
      <c r="AA6047" t="s">
        <v>118</v>
      </c>
      <c r="AB6047" t="s">
        <v>119</v>
      </c>
    </row>
    <row r="6048" ht="15" customHeight="1" spans="1:22" x14ac:dyDescent="0.25">
      <c r="A6048" s="17" t="s">
        <v>17201</v>
      </c>
      <c r="B6048" s="17" t="s">
        <v>70</v>
      </c>
      <c r="C6048" s="17" t="s">
        <v>71</v>
      </c>
      <c r="D6048" t="s">
        <v>17199</v>
      </c>
      <c r="F6048" t="s">
        <v>17199</v>
      </c>
      <c r="K6048" s="18">
        <f>6281316816815</f>
        <v>6281316816815</v>
      </c>
      <c r="N6048" s="17" t="s">
        <v>77</v>
      </c>
      <c r="V6048" s="18">
        <f>6281316816815</f>
        <v>6281316816815</v>
      </c>
    </row>
    <row r="6049" ht="15" customHeight="1" spans="1:22" x14ac:dyDescent="0.25">
      <c r="A6049" s="17" t="s">
        <v>17202</v>
      </c>
      <c r="B6049" s="17" t="s">
        <v>70</v>
      </c>
      <c r="C6049" s="17" t="s">
        <v>71</v>
      </c>
      <c r="D6049" t="s">
        <v>8505</v>
      </c>
      <c r="F6049" t="s">
        <v>8505</v>
      </c>
      <c r="K6049" s="18">
        <f>6287821994984</f>
        <v>6287821994984</v>
      </c>
      <c r="N6049" s="17" t="s">
        <v>77</v>
      </c>
      <c r="V6049" s="18">
        <f>6287821994984</f>
        <v>6287821994984</v>
      </c>
    </row>
    <row r="6050" ht="15" customHeight="1" spans="1:22" x14ac:dyDescent="0.25">
      <c r="A6050" s="17" t="s">
        <v>17203</v>
      </c>
      <c r="B6050" s="17" t="s">
        <v>70</v>
      </c>
      <c r="C6050" s="17" t="s">
        <v>71</v>
      </c>
      <c r="D6050" t="s">
        <v>17204</v>
      </c>
      <c r="F6050" t="s">
        <v>17204</v>
      </c>
      <c r="K6050" s="18">
        <f>6281283982888</f>
        <v>6281283982888</v>
      </c>
      <c r="N6050" s="17" t="s">
        <v>74</v>
      </c>
      <c r="V6050" s="18">
        <f>6281283982888</f>
        <v>6281283982888</v>
      </c>
    </row>
    <row r="6051" ht="15" customHeight="1" spans="1:22" x14ac:dyDescent="0.25">
      <c r="A6051" s="17" t="s">
        <v>17205</v>
      </c>
      <c r="B6051" s="17" t="s">
        <v>70</v>
      </c>
      <c r="C6051" s="17" t="s">
        <v>71</v>
      </c>
      <c r="D6051" t="s">
        <v>17204</v>
      </c>
      <c r="F6051" t="s">
        <v>17204</v>
      </c>
      <c r="K6051" s="18">
        <f>62811192297</f>
        <v>62811192297</v>
      </c>
      <c r="N6051" s="17" t="s">
        <v>77</v>
      </c>
      <c r="V6051" s="18">
        <f>62811192297</f>
        <v>62811192297</v>
      </c>
    </row>
    <row r="6052" ht="15" customHeight="1" spans="1:22" x14ac:dyDescent="0.25">
      <c r="A6052" s="17" t="s">
        <v>17206</v>
      </c>
      <c r="B6052" s="17" t="s">
        <v>70</v>
      </c>
      <c r="C6052" s="17" t="s">
        <v>71</v>
      </c>
      <c r="D6052" t="s">
        <v>17204</v>
      </c>
      <c r="F6052" t="s">
        <v>4378</v>
      </c>
      <c r="K6052" s="18">
        <f>628151826333</f>
        <v>628151826333</v>
      </c>
      <c r="N6052" s="17" t="s">
        <v>74</v>
      </c>
      <c r="V6052" s="18">
        <f>628151826333</f>
        <v>628151826333</v>
      </c>
    </row>
    <row r="6053" ht="15" customHeight="1" spans="1:22" x14ac:dyDescent="0.25">
      <c r="A6053" s="17" t="s">
        <v>17207</v>
      </c>
      <c r="B6053" s="17" t="s">
        <v>70</v>
      </c>
      <c r="C6053" s="17" t="s">
        <v>71</v>
      </c>
      <c r="D6053" t="s">
        <v>17204</v>
      </c>
      <c r="F6053" t="s">
        <v>17208</v>
      </c>
      <c r="K6053" s="18">
        <f>62818600188</f>
        <v>62818600188</v>
      </c>
      <c r="N6053" s="17" t="s">
        <v>77</v>
      </c>
      <c r="V6053" s="18">
        <f>62818600188</f>
        <v>62818600188</v>
      </c>
    </row>
    <row r="6054" ht="15" customHeight="1" spans="1:28" x14ac:dyDescent="0.25">
      <c r="A6054" s="17" t="s">
        <v>17209</v>
      </c>
      <c r="B6054" s="17" t="s">
        <v>70</v>
      </c>
      <c r="C6054" s="17" t="s">
        <v>71</v>
      </c>
      <c r="D6054" t="s">
        <v>17204</v>
      </c>
      <c r="F6054" t="s">
        <v>17210</v>
      </c>
      <c r="J6054" t="s">
        <v>115</v>
      </c>
      <c r="K6054" s="18" t="s">
        <v>17211</v>
      </c>
      <c r="N6054" s="17" t="s">
        <v>81</v>
      </c>
      <c r="O6054" t="s">
        <v>199</v>
      </c>
      <c r="V6054" s="18" t="s">
        <v>17211</v>
      </c>
      <c r="Y6054" t="s">
        <v>90</v>
      </c>
      <c r="AA6054" t="s">
        <v>118</v>
      </c>
      <c r="AB6054" t="s">
        <v>119</v>
      </c>
    </row>
    <row r="6055" ht="15" customHeight="1" spans="1:25" x14ac:dyDescent="0.25">
      <c r="A6055" s="17" t="s">
        <v>17212</v>
      </c>
      <c r="B6055" s="17" t="s">
        <v>70</v>
      </c>
      <c r="C6055" s="17" t="s">
        <v>71</v>
      </c>
      <c r="D6055" t="s">
        <v>17204</v>
      </c>
      <c r="F6055" t="s">
        <v>17213</v>
      </c>
      <c r="K6055" s="18">
        <f>62815856000</f>
        <v>62815856000</v>
      </c>
      <c r="N6055" s="17" t="s">
        <v>77</v>
      </c>
      <c r="U6055" s="17"/>
      <c r="V6055" s="18">
        <f>62815856000</f>
        <v>62815856000</v>
      </c>
      <c r="W6055" t="s">
        <v>17214</v>
      </c>
      <c r="Y6055" s="17" t="s">
        <v>626</v>
      </c>
    </row>
    <row r="6056" ht="15" customHeight="1" spans="1:22" x14ac:dyDescent="0.25">
      <c r="A6056" s="17" t="s">
        <v>17215</v>
      </c>
      <c r="B6056" s="17" t="s">
        <v>70</v>
      </c>
      <c r="C6056" s="17" t="s">
        <v>71</v>
      </c>
      <c r="D6056" t="s">
        <v>17216</v>
      </c>
      <c r="F6056" t="s">
        <v>17216</v>
      </c>
      <c r="K6056" s="18">
        <f>62811131427</f>
        <v>62811131427</v>
      </c>
      <c r="N6056" s="17" t="s">
        <v>77</v>
      </c>
      <c r="V6056" s="18">
        <f>62811131427</f>
        <v>62811131427</v>
      </c>
    </row>
    <row r="6057" ht="15" customHeight="1" spans="1:22" x14ac:dyDescent="0.25">
      <c r="A6057" s="17" t="s">
        <v>17217</v>
      </c>
      <c r="B6057" s="17" t="s">
        <v>70</v>
      </c>
      <c r="C6057" s="17" t="s">
        <v>71</v>
      </c>
      <c r="D6057" t="s">
        <v>17216</v>
      </c>
      <c r="F6057" t="s">
        <v>17216</v>
      </c>
      <c r="K6057" s="18">
        <f>6282112863042</f>
        <v>6282112863042</v>
      </c>
      <c r="N6057" s="17" t="s">
        <v>81</v>
      </c>
      <c r="V6057" s="18">
        <f>6282112863042</f>
        <v>6282112863042</v>
      </c>
    </row>
    <row r="6058" ht="15" customHeight="1" spans="1:22" x14ac:dyDescent="0.25">
      <c r="A6058" s="17" t="s">
        <v>17218</v>
      </c>
      <c r="B6058" s="17" t="s">
        <v>70</v>
      </c>
      <c r="C6058" s="17" t="s">
        <v>71</v>
      </c>
      <c r="D6058" t="s">
        <v>17216</v>
      </c>
      <c r="F6058" t="s">
        <v>618</v>
      </c>
      <c r="K6058" s="18">
        <f>62816504234</f>
        <v>62816504234</v>
      </c>
      <c r="N6058" s="17" t="s">
        <v>77</v>
      </c>
      <c r="V6058" s="18">
        <f>62816504234</f>
        <v>62816504234</v>
      </c>
    </row>
    <row r="6059" ht="15" customHeight="1" spans="1:28" x14ac:dyDescent="0.25">
      <c r="A6059" s="17" t="s">
        <v>17219</v>
      </c>
      <c r="B6059" s="17" t="s">
        <v>70</v>
      </c>
      <c r="C6059" s="17" t="s">
        <v>71</v>
      </c>
      <c r="D6059" t="s">
        <v>17216</v>
      </c>
      <c r="F6059" t="s">
        <v>3913</v>
      </c>
      <c r="J6059" t="s">
        <v>115</v>
      </c>
      <c r="K6059" s="18" t="s">
        <v>17220</v>
      </c>
      <c r="N6059" s="17" t="s">
        <v>74</v>
      </c>
      <c r="O6059" t="s">
        <v>261</v>
      </c>
      <c r="V6059" s="18" t="s">
        <v>17220</v>
      </c>
      <c r="Y6059" t="s">
        <v>1084</v>
      </c>
      <c r="AA6059" t="s">
        <v>3146</v>
      </c>
      <c r="AB6059" t="s">
        <v>119</v>
      </c>
    </row>
    <row r="6060" ht="15" customHeight="1" spans="1:22" x14ac:dyDescent="0.25">
      <c r="A6060" s="17" t="s">
        <v>17221</v>
      </c>
      <c r="B6060" s="17" t="s">
        <v>70</v>
      </c>
      <c r="C6060" s="17" t="s">
        <v>71</v>
      </c>
      <c r="D6060" t="s">
        <v>4479</v>
      </c>
      <c r="F6060" t="s">
        <v>17222</v>
      </c>
      <c r="K6060" s="18">
        <f>6281351738999</f>
        <v>6281351738999</v>
      </c>
      <c r="N6060" s="17" t="s">
        <v>81</v>
      </c>
      <c r="V6060" s="18">
        <f>6281351738999</f>
        <v>6281351738999</v>
      </c>
    </row>
    <row r="6061" ht="15" customHeight="1" spans="1:25" x14ac:dyDescent="0.25">
      <c r="A6061" s="17" t="s">
        <v>17223</v>
      </c>
      <c r="B6061" s="17" t="s">
        <v>70</v>
      </c>
      <c r="C6061" s="17" t="s">
        <v>71</v>
      </c>
      <c r="D6061" t="s">
        <v>4479</v>
      </c>
      <c r="F6061" t="s">
        <v>6872</v>
      </c>
      <c r="J6061" s="17" t="s">
        <v>17224</v>
      </c>
      <c r="K6061" s="18">
        <f>628121067473</f>
        <v>628121067473</v>
      </c>
      <c r="N6061" s="17" t="s">
        <v>77</v>
      </c>
      <c r="U6061" s="17"/>
      <c r="V6061" s="18">
        <f>628121067473</f>
        <v>628121067473</v>
      </c>
      <c r="W6061" t="s">
        <v>17225</v>
      </c>
      <c r="Y6061" s="17" t="s">
        <v>1084</v>
      </c>
    </row>
    <row r="6062" ht="15" customHeight="1" spans="1:25" x14ac:dyDescent="0.25">
      <c r="A6062" s="17" t="s">
        <v>17226</v>
      </c>
      <c r="B6062" s="17" t="s">
        <v>70</v>
      </c>
      <c r="C6062" s="17" t="s">
        <v>71</v>
      </c>
      <c r="D6062" t="s">
        <v>17227</v>
      </c>
      <c r="F6062" t="s">
        <v>17228</v>
      </c>
      <c r="K6062" s="18">
        <f>62811957878</f>
        <v>62811957878</v>
      </c>
      <c r="N6062" s="17" t="s">
        <v>77</v>
      </c>
      <c r="U6062" s="17"/>
      <c r="V6062" s="18">
        <f>62811957878</f>
        <v>62811957878</v>
      </c>
      <c r="W6062" t="s">
        <v>17229</v>
      </c>
      <c r="Y6062" s="17" t="s">
        <v>14480</v>
      </c>
    </row>
    <row r="6063" ht="15" customHeight="1" spans="1:22" x14ac:dyDescent="0.25">
      <c r="A6063" s="17" t="s">
        <v>17230</v>
      </c>
      <c r="B6063" s="17" t="s">
        <v>70</v>
      </c>
      <c r="C6063" s="17" t="s">
        <v>71</v>
      </c>
      <c r="D6063" t="s">
        <v>3490</v>
      </c>
      <c r="F6063" t="s">
        <v>864</v>
      </c>
      <c r="K6063" s="18">
        <f>628117701177</f>
        <v>628117701177</v>
      </c>
      <c r="N6063" s="17" t="s">
        <v>81</v>
      </c>
      <c r="V6063" s="18">
        <f>628117701177</f>
        <v>628117701177</v>
      </c>
    </row>
    <row r="6064" ht="15" customHeight="1" spans="1:25" x14ac:dyDescent="0.25">
      <c r="A6064" s="17" t="s">
        <v>17231</v>
      </c>
      <c r="B6064" s="17" t="s">
        <v>70</v>
      </c>
      <c r="C6064" s="17" t="s">
        <v>71</v>
      </c>
      <c r="D6064" t="s">
        <v>17232</v>
      </c>
      <c r="F6064" t="s">
        <v>2445</v>
      </c>
      <c r="K6064" s="18">
        <f>62811148900</f>
        <v>62811148900</v>
      </c>
      <c r="N6064" s="17" t="s">
        <v>77</v>
      </c>
      <c r="U6064" s="17"/>
      <c r="V6064" s="18">
        <f>62811148900</f>
        <v>62811148900</v>
      </c>
      <c r="W6064" t="s">
        <v>17233</v>
      </c>
      <c r="Y6064" s="17" t="s">
        <v>96</v>
      </c>
    </row>
    <row r="6065" ht="15" customHeight="1" spans="1:22" x14ac:dyDescent="0.25">
      <c r="A6065" s="17" t="s">
        <v>17234</v>
      </c>
      <c r="B6065" s="17" t="s">
        <v>70</v>
      </c>
      <c r="C6065" s="17" t="s">
        <v>71</v>
      </c>
      <c r="D6065" t="s">
        <v>17232</v>
      </c>
      <c r="F6065" t="s">
        <v>17235</v>
      </c>
      <c r="K6065" s="18">
        <f>628112075975</f>
        <v>628112075975</v>
      </c>
      <c r="N6065" s="17" t="s">
        <v>77</v>
      </c>
      <c r="V6065" s="18">
        <f>628112075975</f>
        <v>628112075975</v>
      </c>
    </row>
    <row r="6066" ht="15" customHeight="1" spans="1:25" x14ac:dyDescent="0.25">
      <c r="A6066" s="17" t="s">
        <v>17236</v>
      </c>
      <c r="B6066" s="17" t="s">
        <v>70</v>
      </c>
      <c r="C6066" s="17" t="s">
        <v>71</v>
      </c>
      <c r="D6066" t="s">
        <v>17237</v>
      </c>
      <c r="F6066" t="s">
        <v>17237</v>
      </c>
      <c r="K6066" s="18">
        <f>6281250966966</f>
        <v>6281250966966</v>
      </c>
      <c r="N6066" s="17" t="s">
        <v>81</v>
      </c>
      <c r="U6066" s="17"/>
      <c r="V6066" s="18">
        <f>6281250966966</f>
        <v>6281250966966</v>
      </c>
      <c r="W6066" t="s">
        <v>17238</v>
      </c>
      <c r="Y6066" s="17" t="s">
        <v>622</v>
      </c>
    </row>
    <row r="6067" ht="15" customHeight="1" spans="1:23" x14ac:dyDescent="0.25">
      <c r="A6067" s="17" t="s">
        <v>17239</v>
      </c>
      <c r="B6067" s="17" t="s">
        <v>70</v>
      </c>
      <c r="C6067" s="17" t="s">
        <v>71</v>
      </c>
      <c r="D6067" t="s">
        <v>17240</v>
      </c>
      <c r="F6067" t="s">
        <v>8645</v>
      </c>
      <c r="K6067" s="18">
        <f>6285777999488</f>
        <v>6285777999488</v>
      </c>
      <c r="N6067" s="17" t="s">
        <v>77</v>
      </c>
      <c r="U6067" s="17"/>
      <c r="V6067" s="18">
        <f>6285777999488</f>
        <v>6285777999488</v>
      </c>
      <c r="W6067" t="s">
        <v>17241</v>
      </c>
    </row>
    <row r="6068" ht="15" customHeight="1" spans="1:28" x14ac:dyDescent="0.25">
      <c r="A6068" s="17" t="s">
        <v>17242</v>
      </c>
      <c r="B6068" s="17" t="s">
        <v>70</v>
      </c>
      <c r="C6068" s="17" t="s">
        <v>71</v>
      </c>
      <c r="D6068" t="s">
        <v>17240</v>
      </c>
      <c r="F6068" t="s">
        <v>672</v>
      </c>
      <c r="J6068" t="s">
        <v>115</v>
      </c>
      <c r="K6068" s="18" t="s">
        <v>17243</v>
      </c>
      <c r="N6068" s="17" t="s">
        <v>77</v>
      </c>
      <c r="O6068" t="s">
        <v>117</v>
      </c>
      <c r="V6068" s="18" t="s">
        <v>17243</v>
      </c>
      <c r="Y6068" t="s">
        <v>115</v>
      </c>
      <c r="AA6068" t="s">
        <v>115</v>
      </c>
      <c r="AB6068" t="s">
        <v>119</v>
      </c>
    </row>
    <row r="6069" ht="15" customHeight="1" spans="1:22" x14ac:dyDescent="0.25">
      <c r="A6069" s="17" t="s">
        <v>17244</v>
      </c>
      <c r="B6069" s="17" t="s">
        <v>70</v>
      </c>
      <c r="C6069" s="17" t="s">
        <v>71</v>
      </c>
      <c r="D6069" t="s">
        <v>17245</v>
      </c>
      <c r="F6069" t="s">
        <v>17245</v>
      </c>
      <c r="K6069" s="18">
        <f>628129646800</f>
        <v>628129646800</v>
      </c>
      <c r="N6069" s="17" t="s">
        <v>77</v>
      </c>
      <c r="V6069" s="18">
        <f>628129646800</f>
        <v>628129646800</v>
      </c>
    </row>
    <row r="6070" ht="15" customHeight="1" spans="1:22" x14ac:dyDescent="0.25">
      <c r="A6070" s="17" t="s">
        <v>17246</v>
      </c>
      <c r="B6070" s="17" t="s">
        <v>70</v>
      </c>
      <c r="C6070" s="17" t="s">
        <v>71</v>
      </c>
      <c r="D6070" t="s">
        <v>17245</v>
      </c>
      <c r="F6070" t="s">
        <v>9982</v>
      </c>
      <c r="J6070" s="17" t="s">
        <v>17247</v>
      </c>
      <c r="K6070" s="18">
        <f>6288801111818</f>
        <v>6288801111818</v>
      </c>
      <c r="N6070" s="17" t="s">
        <v>77</v>
      </c>
      <c r="V6070" s="18">
        <f>6288801111818</f>
        <v>6288801111818</v>
      </c>
    </row>
    <row r="6071" ht="15" customHeight="1" spans="1:23" x14ac:dyDescent="0.25">
      <c r="A6071" s="17" t="s">
        <v>17248</v>
      </c>
      <c r="B6071" s="17" t="s">
        <v>70</v>
      </c>
      <c r="C6071" s="17" t="s">
        <v>71</v>
      </c>
      <c r="D6071" t="s">
        <v>17249</v>
      </c>
      <c r="F6071" t="s">
        <v>17250</v>
      </c>
      <c r="K6071" s="18">
        <f>6282129105599</f>
        <v>6282129105599</v>
      </c>
      <c r="N6071" s="17" t="s">
        <v>81</v>
      </c>
      <c r="U6071" s="17"/>
      <c r="V6071" s="18">
        <f>6282129105599</f>
        <v>6282129105599</v>
      </c>
      <c r="W6071" t="s">
        <v>17251</v>
      </c>
    </row>
    <row r="6072" ht="15" customHeight="1" spans="1:25" x14ac:dyDescent="0.25">
      <c r="A6072" s="17" t="s">
        <v>17252</v>
      </c>
      <c r="B6072" s="17" t="s">
        <v>70</v>
      </c>
      <c r="C6072" s="17" t="s">
        <v>71</v>
      </c>
      <c r="D6072" t="s">
        <v>17253</v>
      </c>
      <c r="F6072" t="s">
        <v>3585</v>
      </c>
      <c r="K6072" s="18">
        <f>6281268418800</f>
        <v>6281268418800</v>
      </c>
      <c r="N6072" s="17" t="s">
        <v>77</v>
      </c>
      <c r="U6072" s="17"/>
      <c r="V6072" s="18">
        <f>6281268418800</f>
        <v>6281268418800</v>
      </c>
      <c r="W6072" t="s">
        <v>17254</v>
      </c>
      <c r="Y6072" s="17" t="s">
        <v>10914</v>
      </c>
    </row>
    <row r="6073" ht="15" customHeight="1" spans="1:22" x14ac:dyDescent="0.25">
      <c r="A6073" s="17" t="s">
        <v>17255</v>
      </c>
      <c r="B6073" s="17" t="s">
        <v>70</v>
      </c>
      <c r="C6073" s="17" t="s">
        <v>71</v>
      </c>
      <c r="D6073" t="s">
        <v>17256</v>
      </c>
      <c r="F6073" t="s">
        <v>17256</v>
      </c>
      <c r="K6073" s="18">
        <f>62811152236</f>
        <v>62811152236</v>
      </c>
      <c r="N6073" s="17" t="s">
        <v>77</v>
      </c>
      <c r="V6073" s="18">
        <f>62811152236</f>
        <v>62811152236</v>
      </c>
    </row>
    <row r="6074" ht="15" customHeight="1" spans="1:22" x14ac:dyDescent="0.25">
      <c r="A6074" s="17" t="s">
        <v>17257</v>
      </c>
      <c r="B6074" s="17" t="s">
        <v>70</v>
      </c>
      <c r="C6074" s="17" t="s">
        <v>71</v>
      </c>
      <c r="D6074" t="s">
        <v>17258</v>
      </c>
      <c r="F6074" t="s">
        <v>1130</v>
      </c>
      <c r="K6074" s="18">
        <f>6281348009999</f>
        <v>6281348009999</v>
      </c>
      <c r="N6074" s="17" t="s">
        <v>81</v>
      </c>
      <c r="V6074" s="18">
        <f>6281348009999</f>
        <v>6281348009999</v>
      </c>
    </row>
    <row r="6075" ht="15" customHeight="1" spans="1:25" x14ac:dyDescent="0.25">
      <c r="A6075" s="17" t="s">
        <v>17259</v>
      </c>
      <c r="B6075" s="17" t="s">
        <v>70</v>
      </c>
      <c r="C6075" s="17" t="s">
        <v>71</v>
      </c>
      <c r="D6075" t="s">
        <v>17260</v>
      </c>
      <c r="F6075" t="s">
        <v>13070</v>
      </c>
      <c r="K6075" s="18">
        <f>62811887016</f>
        <v>62811887016</v>
      </c>
      <c r="N6075" s="17" t="s">
        <v>74</v>
      </c>
      <c r="U6075" s="17"/>
      <c r="V6075" s="18">
        <f>62811887016</f>
        <v>62811887016</v>
      </c>
      <c r="W6075" t="s">
        <v>17261</v>
      </c>
      <c r="Y6075" s="17" t="s">
        <v>90</v>
      </c>
    </row>
    <row r="6076" ht="15" customHeight="1" spans="1:22" x14ac:dyDescent="0.25">
      <c r="A6076" s="17" t="s">
        <v>17262</v>
      </c>
      <c r="B6076" s="17" t="s">
        <v>70</v>
      </c>
      <c r="C6076" s="17" t="s">
        <v>71</v>
      </c>
      <c r="D6076" t="s">
        <v>17260</v>
      </c>
      <c r="F6076" t="s">
        <v>618</v>
      </c>
      <c r="K6076" s="18">
        <f>62811148614</f>
        <v>62811148614</v>
      </c>
      <c r="N6076" s="17" t="s">
        <v>77</v>
      </c>
      <c r="V6076" s="18">
        <f>62811148614</f>
        <v>62811148614</v>
      </c>
    </row>
    <row r="6077" ht="15" customHeight="1" spans="1:27" x14ac:dyDescent="0.25">
      <c r="A6077" s="17" t="s">
        <v>17263</v>
      </c>
      <c r="B6077" s="17" t="s">
        <v>70</v>
      </c>
      <c r="C6077" s="17" t="s">
        <v>71</v>
      </c>
      <c r="D6077" t="s">
        <v>17260</v>
      </c>
      <c r="F6077" t="s">
        <v>6381</v>
      </c>
      <c r="K6077" s="18">
        <v>65830368</v>
      </c>
      <c r="N6077" s="17" t="s">
        <v>77</v>
      </c>
      <c r="U6077" s="17"/>
      <c r="V6077" s="18">
        <v>65830368</v>
      </c>
      <c r="W6077" t="s">
        <v>17264</v>
      </c>
      <c r="Y6077" s="17" t="s">
        <v>1084</v>
      </c>
      <c r="AA6077" s="17" t="s">
        <v>7579</v>
      </c>
    </row>
    <row r="6078" ht="15" customHeight="1" spans="1:22" x14ac:dyDescent="0.25">
      <c r="A6078" s="17" t="s">
        <v>17265</v>
      </c>
      <c r="B6078" s="17" t="s">
        <v>70</v>
      </c>
      <c r="C6078" s="17" t="s">
        <v>71</v>
      </c>
      <c r="D6078" t="s">
        <v>17260</v>
      </c>
      <c r="F6078" t="s">
        <v>17266</v>
      </c>
      <c r="K6078" s="18">
        <f>6281808022422</f>
        <v>6281808022422</v>
      </c>
      <c r="N6078" s="17" t="s">
        <v>81</v>
      </c>
      <c r="V6078" s="18">
        <f>6281808022422</f>
        <v>6281808022422</v>
      </c>
    </row>
    <row r="6079" ht="15" customHeight="1" spans="1:25" x14ac:dyDescent="0.25">
      <c r="A6079" s="17" t="s">
        <v>17267</v>
      </c>
      <c r="B6079" s="17" t="s">
        <v>70</v>
      </c>
      <c r="C6079" s="17" t="s">
        <v>71</v>
      </c>
      <c r="D6079" t="s">
        <v>17260</v>
      </c>
      <c r="F6079" t="s">
        <v>17268</v>
      </c>
      <c r="K6079" s="18">
        <f>62811144253</f>
        <v>62811144253</v>
      </c>
      <c r="N6079" s="17" t="s">
        <v>81</v>
      </c>
      <c r="U6079" s="17"/>
      <c r="V6079" s="18">
        <f>62811144253</f>
        <v>62811144253</v>
      </c>
      <c r="W6079" t="s">
        <v>17269</v>
      </c>
      <c r="Y6079" s="17" t="s">
        <v>96</v>
      </c>
    </row>
    <row r="6080" ht="15" customHeight="1" spans="1:22" x14ac:dyDescent="0.25">
      <c r="A6080" s="17" t="s">
        <v>17270</v>
      </c>
      <c r="B6080" s="17" t="s">
        <v>70</v>
      </c>
      <c r="C6080" s="17" t="s">
        <v>71</v>
      </c>
      <c r="D6080" t="s">
        <v>17260</v>
      </c>
      <c r="F6080" t="s">
        <v>17271</v>
      </c>
      <c r="K6080" s="18">
        <f>6281155256789</f>
        <v>6281155256789</v>
      </c>
      <c r="N6080" s="17" t="s">
        <v>77</v>
      </c>
      <c r="V6080" s="18">
        <f>6281155256789</f>
        <v>6281155256789</v>
      </c>
    </row>
    <row r="6081" ht="15" customHeight="1" spans="1:25" x14ac:dyDescent="0.25">
      <c r="A6081" s="17" t="s">
        <v>17272</v>
      </c>
      <c r="B6081" s="17" t="s">
        <v>70</v>
      </c>
      <c r="C6081" s="17" t="s">
        <v>71</v>
      </c>
      <c r="D6081" t="s">
        <v>17260</v>
      </c>
      <c r="F6081" t="s">
        <v>669</v>
      </c>
      <c r="K6081" s="18">
        <f>6281700060006</f>
        <v>6281700060006</v>
      </c>
      <c r="N6081" s="17" t="s">
        <v>77</v>
      </c>
      <c r="U6081" s="17"/>
      <c r="V6081" s="18">
        <f>6281700060006</f>
        <v>6281700060006</v>
      </c>
      <c r="W6081" t="s">
        <v>17273</v>
      </c>
      <c r="Y6081" s="17" t="s">
        <v>6412</v>
      </c>
    </row>
    <row r="6082" ht="15" customHeight="1" spans="1:22" x14ac:dyDescent="0.25">
      <c r="A6082" s="17" t="s">
        <v>17274</v>
      </c>
      <c r="B6082" s="17" t="s">
        <v>70</v>
      </c>
      <c r="C6082" s="17" t="s">
        <v>71</v>
      </c>
      <c r="D6082" t="s">
        <v>17260</v>
      </c>
      <c r="F6082" t="s">
        <v>16424</v>
      </c>
      <c r="K6082" s="18">
        <f>6281908080666</f>
        <v>6281908080666</v>
      </c>
      <c r="N6082" s="17" t="s">
        <v>81</v>
      </c>
      <c r="V6082" s="18">
        <f>6281908080666</f>
        <v>6281908080666</v>
      </c>
    </row>
    <row r="6083" ht="15" customHeight="1" spans="1:28" x14ac:dyDescent="0.25">
      <c r="A6083" s="17" t="s">
        <v>17275</v>
      </c>
      <c r="B6083" s="17" t="s">
        <v>70</v>
      </c>
      <c r="C6083" s="17" t="s">
        <v>71</v>
      </c>
      <c r="D6083" t="s">
        <v>17260</v>
      </c>
      <c r="F6083" t="s">
        <v>672</v>
      </c>
      <c r="J6083" t="s">
        <v>115</v>
      </c>
      <c r="K6083" s="18" t="s">
        <v>17276</v>
      </c>
      <c r="N6083" s="17" t="s">
        <v>77</v>
      </c>
      <c r="O6083" t="s">
        <v>117</v>
      </c>
      <c r="U6083" s="17"/>
      <c r="V6083" s="18" t="s">
        <v>17276</v>
      </c>
      <c r="W6083" t="s">
        <v>17277</v>
      </c>
      <c r="Y6083" t="s">
        <v>90</v>
      </c>
      <c r="AA6083" t="s">
        <v>118</v>
      </c>
      <c r="AB6083" t="s">
        <v>119</v>
      </c>
    </row>
    <row r="6084" ht="15" customHeight="1" spans="1:22" x14ac:dyDescent="0.25">
      <c r="A6084" s="17" t="s">
        <v>17278</v>
      </c>
      <c r="B6084" s="17" t="s">
        <v>70</v>
      </c>
      <c r="C6084" s="17" t="s">
        <v>71</v>
      </c>
      <c r="D6084" t="s">
        <v>17279</v>
      </c>
      <c r="F6084" t="s">
        <v>106</v>
      </c>
      <c r="K6084" s="18">
        <f>6200000000</f>
        <v>6200000000</v>
      </c>
      <c r="N6084" s="17" t="s">
        <v>77</v>
      </c>
      <c r="V6084" s="18">
        <f>6200000000</f>
        <v>6200000000</v>
      </c>
    </row>
    <row r="6085" ht="15" customHeight="1" spans="1:23" x14ac:dyDescent="0.25">
      <c r="A6085" s="17" t="s">
        <v>17280</v>
      </c>
      <c r="B6085" s="17" t="s">
        <v>70</v>
      </c>
      <c r="C6085" s="17" t="s">
        <v>71</v>
      </c>
      <c r="D6085" t="s">
        <v>17279</v>
      </c>
      <c r="F6085" t="s">
        <v>5220</v>
      </c>
      <c r="J6085" s="17" t="s">
        <v>17281</v>
      </c>
      <c r="K6085" s="18">
        <f>6281381600337</f>
        <v>6281381600337</v>
      </c>
      <c r="N6085" s="17" t="s">
        <v>77</v>
      </c>
      <c r="U6085" s="17"/>
      <c r="V6085" s="18">
        <f>6281381600337</f>
        <v>6281381600337</v>
      </c>
      <c r="W6085" t="s">
        <v>17282</v>
      </c>
    </row>
    <row r="6086" ht="15" customHeight="1" spans="1:23" x14ac:dyDescent="0.25">
      <c r="A6086" s="17" t="s">
        <v>17283</v>
      </c>
      <c r="B6086" s="17" t="s">
        <v>70</v>
      </c>
      <c r="C6086" s="17" t="s">
        <v>71</v>
      </c>
      <c r="D6086" t="s">
        <v>17284</v>
      </c>
      <c r="F6086" t="s">
        <v>17284</v>
      </c>
      <c r="K6086" s="18">
        <f>6282144690546</f>
        <v>6282144690546</v>
      </c>
      <c r="N6086" s="17" t="s">
        <v>77</v>
      </c>
      <c r="U6086" s="17"/>
      <c r="V6086" s="18">
        <f>6282144690546</f>
        <v>6282144690546</v>
      </c>
      <c r="W6086" t="s">
        <v>181</v>
      </c>
    </row>
    <row r="6087" ht="15" customHeight="1" spans="1:25" x14ac:dyDescent="0.25">
      <c r="A6087" s="17" t="s">
        <v>17285</v>
      </c>
      <c r="B6087" s="17" t="s">
        <v>70</v>
      </c>
      <c r="C6087" s="17" t="s">
        <v>71</v>
      </c>
      <c r="D6087" t="s">
        <v>17284</v>
      </c>
      <c r="F6087" t="s">
        <v>17284</v>
      </c>
      <c r="K6087" s="18">
        <f>6281233388880</f>
        <v>6281233388880</v>
      </c>
      <c r="N6087" s="17" t="s">
        <v>81</v>
      </c>
      <c r="U6087" s="17"/>
      <c r="V6087" s="18">
        <f>6281233388880</f>
        <v>6281233388880</v>
      </c>
      <c r="W6087" t="s">
        <v>17286</v>
      </c>
      <c r="Y6087" s="17" t="s">
        <v>704</v>
      </c>
    </row>
    <row r="6088" ht="15" customHeight="1" spans="1:22" x14ac:dyDescent="0.25">
      <c r="A6088" s="17" t="s">
        <v>17287</v>
      </c>
      <c r="B6088" s="17" t="s">
        <v>70</v>
      </c>
      <c r="C6088" s="17" t="s">
        <v>71</v>
      </c>
      <c r="D6088" t="s">
        <v>17284</v>
      </c>
      <c r="F6088" t="s">
        <v>5065</v>
      </c>
      <c r="J6088" s="17" t="s">
        <v>17288</v>
      </c>
      <c r="K6088" s="18">
        <f>628131881229</f>
        <v>628131881229</v>
      </c>
      <c r="N6088" s="17" t="s">
        <v>81</v>
      </c>
      <c r="V6088" s="18">
        <f>628131881229</f>
        <v>628131881229</v>
      </c>
    </row>
    <row r="6089" ht="15" customHeight="1" spans="1:25" x14ac:dyDescent="0.25">
      <c r="A6089" s="17" t="s">
        <v>17289</v>
      </c>
      <c r="B6089" s="17" t="s">
        <v>70</v>
      </c>
      <c r="C6089" s="17" t="s">
        <v>71</v>
      </c>
      <c r="D6089" t="s">
        <v>17284</v>
      </c>
      <c r="F6089" t="s">
        <v>115</v>
      </c>
      <c r="K6089" s="18">
        <v>251321691</v>
      </c>
      <c r="N6089" s="17" t="s">
        <v>77</v>
      </c>
      <c r="U6089" s="17"/>
      <c r="V6089" s="18">
        <v>251321691</v>
      </c>
      <c r="W6089" t="s">
        <v>17290</v>
      </c>
      <c r="Y6089" s="17" t="s">
        <v>622</v>
      </c>
    </row>
    <row r="6090" ht="15" customHeight="1" spans="1:27" x14ac:dyDescent="0.25">
      <c r="A6090" s="17" t="s">
        <v>17291</v>
      </c>
      <c r="B6090" s="17" t="s">
        <v>70</v>
      </c>
      <c r="C6090" s="17" t="s">
        <v>71</v>
      </c>
      <c r="D6090" t="s">
        <v>17284</v>
      </c>
      <c r="F6090" t="s">
        <v>4129</v>
      </c>
      <c r="K6090" s="18">
        <f>62816707996</f>
        <v>62816707996</v>
      </c>
      <c r="N6090" s="17" t="s">
        <v>74</v>
      </c>
      <c r="U6090" s="17"/>
      <c r="V6090" s="18">
        <f>62816707996</f>
        <v>62816707996</v>
      </c>
      <c r="W6090" t="s">
        <v>17292</v>
      </c>
      <c r="Y6090" s="17" t="s">
        <v>96</v>
      </c>
      <c r="AA6090" s="17" t="s">
        <v>13849</v>
      </c>
    </row>
    <row r="6091" ht="15" customHeight="1" spans="1:22" x14ac:dyDescent="0.25">
      <c r="A6091" s="17" t="s">
        <v>17293</v>
      </c>
      <c r="B6091" s="17" t="s">
        <v>70</v>
      </c>
      <c r="C6091" s="17" t="s">
        <v>71</v>
      </c>
      <c r="D6091" t="s">
        <v>17284</v>
      </c>
      <c r="F6091" t="s">
        <v>4228</v>
      </c>
      <c r="K6091" s="18">
        <f>6282111773899</f>
        <v>6282111773899</v>
      </c>
      <c r="N6091" s="17" t="s">
        <v>77</v>
      </c>
      <c r="V6091" s="18">
        <f>6282111773899</f>
        <v>6282111773899</v>
      </c>
    </row>
    <row r="6092" ht="15" customHeight="1" spans="1:22" x14ac:dyDescent="0.25">
      <c r="A6092" s="17" t="s">
        <v>17294</v>
      </c>
      <c r="B6092" s="17" t="s">
        <v>70</v>
      </c>
      <c r="C6092" s="17" t="s">
        <v>71</v>
      </c>
      <c r="D6092" t="s">
        <v>17284</v>
      </c>
      <c r="F6092" t="s">
        <v>17295</v>
      </c>
      <c r="K6092" s="18">
        <f>62817777152</f>
        <v>62817777152</v>
      </c>
      <c r="N6092" s="17" t="s">
        <v>77</v>
      </c>
      <c r="V6092" s="18">
        <f>62817777152</f>
        <v>62817777152</v>
      </c>
    </row>
    <row r="6093" ht="15" customHeight="1" spans="1:22" x14ac:dyDescent="0.25">
      <c r="A6093" s="17" t="s">
        <v>17296</v>
      </c>
      <c r="B6093" s="17" t="s">
        <v>70</v>
      </c>
      <c r="C6093" s="17" t="s">
        <v>71</v>
      </c>
      <c r="D6093" t="s">
        <v>17297</v>
      </c>
      <c r="F6093" t="s">
        <v>17297</v>
      </c>
      <c r="K6093" s="18">
        <f>6287796456790</f>
        <v>6287796456790</v>
      </c>
      <c r="N6093" s="17" t="s">
        <v>81</v>
      </c>
      <c r="V6093" s="18">
        <f>6287796456790</f>
        <v>6287796456790</v>
      </c>
    </row>
    <row r="6094" ht="15" customHeight="1" spans="1:22" x14ac:dyDescent="0.25">
      <c r="A6094" s="17" t="s">
        <v>17298</v>
      </c>
      <c r="B6094" s="17" t="s">
        <v>70</v>
      </c>
      <c r="C6094" s="17" t="s">
        <v>71</v>
      </c>
      <c r="D6094" t="s">
        <v>17299</v>
      </c>
      <c r="F6094" t="s">
        <v>17299</v>
      </c>
      <c r="K6094" s="18">
        <f>6281310500319</f>
        <v>6281310500319</v>
      </c>
      <c r="N6094" s="17" t="s">
        <v>81</v>
      </c>
      <c r="V6094" s="18">
        <f>6281310500319</f>
        <v>6281310500319</v>
      </c>
    </row>
    <row r="6095" ht="15" customHeight="1" spans="1:28" x14ac:dyDescent="0.25">
      <c r="A6095" s="17" t="s">
        <v>17300</v>
      </c>
      <c r="B6095" s="17" t="s">
        <v>70</v>
      </c>
      <c r="C6095" s="17" t="s">
        <v>71</v>
      </c>
      <c r="D6095" t="s">
        <v>17301</v>
      </c>
      <c r="F6095" t="s">
        <v>2159</v>
      </c>
      <c r="J6095" t="s">
        <v>115</v>
      </c>
      <c r="K6095" s="18" t="s">
        <v>17302</v>
      </c>
      <c r="N6095" s="17" t="s">
        <v>74</v>
      </c>
      <c r="O6095" t="s">
        <v>117</v>
      </c>
      <c r="U6095" s="17"/>
      <c r="V6095" s="18" t="s">
        <v>17302</v>
      </c>
      <c r="W6095" t="s">
        <v>17303</v>
      </c>
      <c r="Y6095" t="s">
        <v>90</v>
      </c>
      <c r="AA6095" t="s">
        <v>118</v>
      </c>
      <c r="AB6095" t="s">
        <v>119</v>
      </c>
    </row>
    <row r="6096" ht="15" customHeight="1" spans="1:22" x14ac:dyDescent="0.25">
      <c r="A6096" s="17" t="s">
        <v>17304</v>
      </c>
      <c r="B6096" s="17" t="s">
        <v>70</v>
      </c>
      <c r="C6096" s="17" t="s">
        <v>71</v>
      </c>
      <c r="D6096" t="s">
        <v>17299</v>
      </c>
      <c r="F6096" t="s">
        <v>3086</v>
      </c>
      <c r="K6096" s="18">
        <f>62815878781503</f>
        <v>62815878781503</v>
      </c>
      <c r="N6096" s="17" t="s">
        <v>77</v>
      </c>
      <c r="V6096" s="18">
        <f>62815878781503</f>
        <v>62815878781503</v>
      </c>
    </row>
    <row r="6097" ht="15" customHeight="1" spans="1:22" x14ac:dyDescent="0.25">
      <c r="A6097" s="17" t="s">
        <v>17305</v>
      </c>
      <c r="B6097" s="17" t="s">
        <v>70</v>
      </c>
      <c r="C6097" s="17" t="s">
        <v>71</v>
      </c>
      <c r="D6097" t="s">
        <v>17299</v>
      </c>
      <c r="F6097" t="s">
        <v>8871</v>
      </c>
      <c r="K6097" s="18">
        <f>628161408726</f>
        <v>628161408726</v>
      </c>
      <c r="N6097" s="17" t="s">
        <v>77</v>
      </c>
      <c r="V6097" s="18">
        <f>628161408726</f>
        <v>628161408726</v>
      </c>
    </row>
    <row r="6098" ht="15" customHeight="1" spans="1:23" x14ac:dyDescent="0.25">
      <c r="A6098" s="17" t="s">
        <v>17306</v>
      </c>
      <c r="B6098" s="17" t="s">
        <v>70</v>
      </c>
      <c r="C6098" s="17" t="s">
        <v>71</v>
      </c>
      <c r="D6098" t="s">
        <v>17307</v>
      </c>
      <c r="F6098" t="s">
        <v>17307</v>
      </c>
      <c r="K6098" s="18">
        <f>6281313877777</f>
        <v>6281313877777</v>
      </c>
      <c r="N6098" s="17" t="s">
        <v>77</v>
      </c>
      <c r="U6098" s="17"/>
      <c r="V6098" s="18">
        <f>6281313877777</f>
        <v>6281313877777</v>
      </c>
      <c r="W6098" t="s">
        <v>17308</v>
      </c>
    </row>
    <row r="6099" ht="15" customHeight="1" spans="1:22" x14ac:dyDescent="0.25">
      <c r="A6099" s="17" t="s">
        <v>17309</v>
      </c>
      <c r="B6099" s="17" t="s">
        <v>70</v>
      </c>
      <c r="C6099" s="17" t="s">
        <v>71</v>
      </c>
      <c r="D6099" t="s">
        <v>17307</v>
      </c>
      <c r="F6099" t="s">
        <v>17307</v>
      </c>
      <c r="K6099" s="18">
        <f>6281293943429</f>
        <v>6281293943429</v>
      </c>
      <c r="N6099" s="17" t="s">
        <v>77</v>
      </c>
      <c r="V6099" s="18">
        <f>6281293943429</f>
        <v>6281293943429</v>
      </c>
    </row>
    <row r="6100" ht="15" customHeight="1" spans="1:23" x14ac:dyDescent="0.25">
      <c r="A6100" s="17" t="s">
        <v>17310</v>
      </c>
      <c r="B6100" s="17" t="s">
        <v>70</v>
      </c>
      <c r="C6100" s="17" t="s">
        <v>71</v>
      </c>
      <c r="D6100" t="s">
        <v>17311</v>
      </c>
      <c r="F6100" t="s">
        <v>17311</v>
      </c>
      <c r="K6100" s="18">
        <f>628118112308</f>
        <v>628118112308</v>
      </c>
      <c r="N6100" s="17" t="s">
        <v>81</v>
      </c>
      <c r="U6100" s="17"/>
      <c r="V6100" s="18">
        <f>628118112308</f>
        <v>628118112308</v>
      </c>
      <c r="W6100" t="s">
        <v>17312</v>
      </c>
    </row>
    <row r="6101" ht="15" customHeight="1" spans="1:23" x14ac:dyDescent="0.25">
      <c r="A6101" s="17" t="s">
        <v>17313</v>
      </c>
      <c r="B6101" s="17" t="s">
        <v>70</v>
      </c>
      <c r="C6101" s="17" t="s">
        <v>71</v>
      </c>
      <c r="D6101" t="s">
        <v>17314</v>
      </c>
      <c r="F6101" t="s">
        <v>17315</v>
      </c>
      <c r="K6101" s="18">
        <f>61410470416</f>
        <v>61410470416</v>
      </c>
      <c r="N6101" s="17" t="s">
        <v>77</v>
      </c>
      <c r="U6101" s="17"/>
      <c r="V6101" s="18">
        <f>61410470416</f>
        <v>61410470416</v>
      </c>
      <c r="W6101" t="s">
        <v>1903</v>
      </c>
    </row>
    <row r="6102" ht="15" customHeight="1" spans="1:28" x14ac:dyDescent="0.25">
      <c r="A6102" s="17" t="s">
        <v>17316</v>
      </c>
      <c r="B6102" s="17" t="s">
        <v>70</v>
      </c>
      <c r="C6102" s="17" t="s">
        <v>71</v>
      </c>
      <c r="D6102" t="s">
        <v>17317</v>
      </c>
      <c r="F6102" t="s">
        <v>17318</v>
      </c>
      <c r="J6102" s="17" t="s">
        <v>17319</v>
      </c>
      <c r="K6102" s="18" t="s">
        <v>17320</v>
      </c>
      <c r="N6102" s="17" t="s">
        <v>77</v>
      </c>
      <c r="O6102" t="s">
        <v>199</v>
      </c>
      <c r="U6102" s="17"/>
      <c r="V6102" s="18" t="s">
        <v>17320</v>
      </c>
      <c r="W6102" t="s">
        <v>17321</v>
      </c>
      <c r="Y6102" t="s">
        <v>251</v>
      </c>
      <c r="AA6102" t="s">
        <v>115</v>
      </c>
      <c r="AB6102" t="s">
        <v>251</v>
      </c>
    </row>
    <row r="6103" ht="15" customHeight="1" spans="1:22" x14ac:dyDescent="0.25">
      <c r="A6103" s="17" t="s">
        <v>17322</v>
      </c>
      <c r="B6103" s="17" t="s">
        <v>70</v>
      </c>
      <c r="C6103" s="17" t="s">
        <v>71</v>
      </c>
      <c r="D6103" t="s">
        <v>17323</v>
      </c>
      <c r="F6103" t="s">
        <v>17323</v>
      </c>
      <c r="K6103" s="18">
        <f>6281513202141</f>
        <v>6281513202141</v>
      </c>
      <c r="N6103" s="17" t="s">
        <v>81</v>
      </c>
      <c r="V6103" s="18">
        <f>6281513202141</f>
        <v>6281513202141</v>
      </c>
    </row>
    <row r="6104" ht="15" customHeight="1" spans="1:22" x14ac:dyDescent="0.25">
      <c r="A6104" s="17" t="s">
        <v>17324</v>
      </c>
      <c r="B6104" s="17" t="s">
        <v>70</v>
      </c>
      <c r="C6104" s="17" t="s">
        <v>71</v>
      </c>
      <c r="D6104" t="s">
        <v>17323</v>
      </c>
      <c r="F6104" t="s">
        <v>17325</v>
      </c>
      <c r="K6104" s="18">
        <f>6287772108184</f>
        <v>6287772108184</v>
      </c>
      <c r="N6104" s="17" t="s">
        <v>81</v>
      </c>
      <c r="V6104" s="18">
        <f>6287772108184</f>
        <v>6287772108184</v>
      </c>
    </row>
    <row r="6105" ht="15" customHeight="1" spans="1:23" x14ac:dyDescent="0.25">
      <c r="A6105" s="17" t="s">
        <v>17326</v>
      </c>
      <c r="B6105" s="17" t="s">
        <v>70</v>
      </c>
      <c r="C6105" s="17" t="s">
        <v>71</v>
      </c>
      <c r="D6105" t="s">
        <v>17323</v>
      </c>
      <c r="F6105" t="s">
        <v>17327</v>
      </c>
      <c r="J6105" s="17" t="s">
        <v>17328</v>
      </c>
      <c r="K6105" s="18">
        <f>628111148004</f>
        <v>628111148004</v>
      </c>
      <c r="N6105" s="17" t="s">
        <v>81</v>
      </c>
      <c r="U6105" s="17"/>
      <c r="V6105" s="18">
        <f>628111148004</f>
        <v>628111148004</v>
      </c>
      <c r="W6105" t="s">
        <v>17329</v>
      </c>
    </row>
    <row r="6106" ht="15" customHeight="1" spans="1:28" x14ac:dyDescent="0.25">
      <c r="A6106" s="17" t="s">
        <v>17330</v>
      </c>
      <c r="B6106" s="17" t="s">
        <v>70</v>
      </c>
      <c r="C6106" s="17" t="s">
        <v>71</v>
      </c>
      <c r="D6106" t="s">
        <v>17331</v>
      </c>
      <c r="F6106" t="s">
        <v>2159</v>
      </c>
      <c r="J6106" t="s">
        <v>115</v>
      </c>
      <c r="K6106" s="18" t="s">
        <v>17332</v>
      </c>
      <c r="N6106" s="17" t="s">
        <v>81</v>
      </c>
      <c r="O6106" t="s">
        <v>489</v>
      </c>
      <c r="V6106" s="18" t="s">
        <v>17332</v>
      </c>
      <c r="Y6106" t="s">
        <v>90</v>
      </c>
      <c r="AA6106" t="s">
        <v>118</v>
      </c>
      <c r="AB6106" t="s">
        <v>119</v>
      </c>
    </row>
    <row r="6107" ht="15" customHeight="1" spans="1:22" x14ac:dyDescent="0.25">
      <c r="A6107" s="17" t="s">
        <v>17333</v>
      </c>
      <c r="B6107" s="17" t="s">
        <v>70</v>
      </c>
      <c r="C6107" s="17" t="s">
        <v>71</v>
      </c>
      <c r="D6107" t="s">
        <v>17331</v>
      </c>
      <c r="F6107" t="s">
        <v>17334</v>
      </c>
      <c r="K6107" s="18">
        <f>62811222058</f>
        <v>62811222058</v>
      </c>
      <c r="N6107" s="17" t="s">
        <v>77</v>
      </c>
      <c r="V6107" s="18">
        <f>62811222058</f>
        <v>62811222058</v>
      </c>
    </row>
    <row r="6108" ht="15" customHeight="1" spans="1:22" x14ac:dyDescent="0.25">
      <c r="A6108" s="17" t="s">
        <v>17335</v>
      </c>
      <c r="B6108" s="17" t="s">
        <v>70</v>
      </c>
      <c r="C6108" s="17" t="s">
        <v>71</v>
      </c>
      <c r="D6108" t="s">
        <v>17336</v>
      </c>
      <c r="F6108" t="s">
        <v>17336</v>
      </c>
      <c r="K6108" s="18">
        <f>62811463131</f>
        <v>62811463131</v>
      </c>
      <c r="N6108" s="17" t="s">
        <v>77</v>
      </c>
      <c r="V6108" s="18">
        <f>62811463131</f>
        <v>62811463131</v>
      </c>
    </row>
    <row r="6109" ht="15" customHeight="1" spans="1:22" x14ac:dyDescent="0.25">
      <c r="A6109" s="17" t="s">
        <v>17337</v>
      </c>
      <c r="B6109" s="17" t="s">
        <v>70</v>
      </c>
      <c r="C6109" s="17" t="s">
        <v>71</v>
      </c>
      <c r="D6109" t="s">
        <v>17336</v>
      </c>
      <c r="F6109" t="s">
        <v>17336</v>
      </c>
      <c r="K6109" s="18">
        <f>6281310585888</f>
        <v>6281310585888</v>
      </c>
      <c r="N6109" s="17" t="s">
        <v>81</v>
      </c>
      <c r="V6109" s="18">
        <f>6281310585888</f>
        <v>6281310585888</v>
      </c>
    </row>
    <row r="6110" ht="15" customHeight="1" spans="1:23" x14ac:dyDescent="0.25">
      <c r="A6110" s="17" t="s">
        <v>17338</v>
      </c>
      <c r="B6110" s="17" t="s">
        <v>70</v>
      </c>
      <c r="C6110" s="17" t="s">
        <v>71</v>
      </c>
      <c r="D6110" t="s">
        <v>17336</v>
      </c>
      <c r="F6110" t="s">
        <v>17339</v>
      </c>
      <c r="J6110" s="17" t="s">
        <v>17340</v>
      </c>
      <c r="K6110" s="18">
        <f>6281901011088</f>
        <v>6281901011088</v>
      </c>
      <c r="N6110" s="17" t="s">
        <v>81</v>
      </c>
      <c r="U6110" s="17"/>
      <c r="V6110" s="18">
        <f>6281901011088</f>
        <v>6281901011088</v>
      </c>
      <c r="W6110" t="s">
        <v>17341</v>
      </c>
    </row>
    <row r="6111" ht="15" customHeight="1" spans="1:23" x14ac:dyDescent="0.25">
      <c r="A6111" s="17" t="s">
        <v>17342</v>
      </c>
      <c r="B6111" s="17" t="s">
        <v>70</v>
      </c>
      <c r="C6111" s="17" t="s">
        <v>71</v>
      </c>
      <c r="D6111" t="s">
        <v>17336</v>
      </c>
      <c r="F6111" t="s">
        <v>983</v>
      </c>
      <c r="K6111" s="18">
        <f>6282116602679</f>
        <v>6282116602679</v>
      </c>
      <c r="N6111" s="17" t="s">
        <v>81</v>
      </c>
      <c r="U6111" s="17"/>
      <c r="V6111" s="18">
        <f>6282116602679</f>
        <v>6282116602679</v>
      </c>
      <c r="W6111" t="s">
        <v>500</v>
      </c>
    </row>
    <row r="6112" ht="15" customHeight="1" spans="1:22" x14ac:dyDescent="0.25">
      <c r="A6112" s="17" t="s">
        <v>17343</v>
      </c>
      <c r="B6112" s="17" t="s">
        <v>70</v>
      </c>
      <c r="C6112" s="17" t="s">
        <v>71</v>
      </c>
      <c r="D6112" t="s">
        <v>17344</v>
      </c>
      <c r="F6112" t="s">
        <v>6621</v>
      </c>
      <c r="K6112" s="18">
        <f>8618813020571</f>
        <v>8618813020571</v>
      </c>
      <c r="N6112" s="17" t="s">
        <v>77</v>
      </c>
      <c r="V6112" s="18">
        <f>8618813020571</f>
        <v>8618813020571</v>
      </c>
    </row>
    <row r="6113" ht="15" customHeight="1" spans="1:22" x14ac:dyDescent="0.25">
      <c r="A6113" s="17" t="s">
        <v>17345</v>
      </c>
      <c r="B6113" s="17" t="s">
        <v>70</v>
      </c>
      <c r="C6113" s="17" t="s">
        <v>71</v>
      </c>
      <c r="D6113" t="s">
        <v>17346</v>
      </c>
      <c r="F6113" t="s">
        <v>8308</v>
      </c>
      <c r="K6113" s="18">
        <f>8618508236687</f>
        <v>8618508236687</v>
      </c>
      <c r="N6113" s="17" t="s">
        <v>81</v>
      </c>
      <c r="V6113" s="18">
        <f>8618508236687</f>
        <v>8618508236687</v>
      </c>
    </row>
    <row r="6114" ht="15" customHeight="1" spans="1:22" x14ac:dyDescent="0.25">
      <c r="A6114" s="17" t="s">
        <v>17347</v>
      </c>
      <c r="B6114" s="17" t="s">
        <v>70</v>
      </c>
      <c r="C6114" s="17" t="s">
        <v>71</v>
      </c>
      <c r="D6114" t="s">
        <v>17348</v>
      </c>
      <c r="F6114" t="s">
        <v>472</v>
      </c>
      <c r="K6114" s="18">
        <f>6282167796799</f>
        <v>6282167796799</v>
      </c>
      <c r="N6114" s="17" t="s">
        <v>77</v>
      </c>
      <c r="V6114" s="18">
        <f>6282167796799</f>
        <v>6282167796799</v>
      </c>
    </row>
    <row r="6115" ht="15" customHeight="1" spans="1:22" x14ac:dyDescent="0.25">
      <c r="A6115" s="17" t="s">
        <v>17349</v>
      </c>
      <c r="B6115" s="17" t="s">
        <v>70</v>
      </c>
      <c r="C6115" s="17" t="s">
        <v>71</v>
      </c>
      <c r="D6115" t="s">
        <v>4458</v>
      </c>
      <c r="F6115" t="s">
        <v>4458</v>
      </c>
      <c r="K6115" s="18">
        <f>62811900898</f>
        <v>62811900898</v>
      </c>
      <c r="N6115" s="17" t="s">
        <v>74</v>
      </c>
      <c r="V6115" s="18">
        <f>62811900898</f>
        <v>62811900898</v>
      </c>
    </row>
    <row r="6116" ht="15" customHeight="1" spans="1:22" x14ac:dyDescent="0.25">
      <c r="A6116" s="17" t="s">
        <v>17350</v>
      </c>
      <c r="B6116" s="17" t="s">
        <v>70</v>
      </c>
      <c r="C6116" s="17" t="s">
        <v>71</v>
      </c>
      <c r="D6116" t="s">
        <v>4458</v>
      </c>
      <c r="F6116" t="s">
        <v>8877</v>
      </c>
      <c r="K6116" s="18">
        <f>62818773999</f>
        <v>62818773999</v>
      </c>
      <c r="N6116" s="17" t="s">
        <v>77</v>
      </c>
      <c r="V6116" s="18">
        <f>62818773999</f>
        <v>62818773999</v>
      </c>
    </row>
    <row r="6117" ht="15" customHeight="1" spans="1:23" x14ac:dyDescent="0.25">
      <c r="A6117" s="17" t="s">
        <v>17351</v>
      </c>
      <c r="B6117" s="17" t="s">
        <v>70</v>
      </c>
      <c r="C6117" s="17" t="s">
        <v>71</v>
      </c>
      <c r="D6117" t="s">
        <v>17352</v>
      </c>
      <c r="F6117" t="s">
        <v>17353</v>
      </c>
      <c r="J6117" s="17" t="s">
        <v>17354</v>
      </c>
      <c r="K6117" s="18">
        <f>6281212227802</f>
        <v>6281212227802</v>
      </c>
      <c r="N6117" s="17" t="s">
        <v>77</v>
      </c>
      <c r="U6117" s="17"/>
      <c r="V6117" s="18">
        <f>6281212227802</f>
        <v>6281212227802</v>
      </c>
      <c r="W6117" t="s">
        <v>17355</v>
      </c>
    </row>
    <row r="6118" ht="15" customHeight="1" spans="1:27" x14ac:dyDescent="0.25">
      <c r="A6118" s="17" t="s">
        <v>17356</v>
      </c>
      <c r="B6118" s="17" t="s">
        <v>70</v>
      </c>
      <c r="C6118" s="17" t="s">
        <v>71</v>
      </c>
      <c r="D6118" t="s">
        <v>17357</v>
      </c>
      <c r="F6118" t="s">
        <v>17358</v>
      </c>
      <c r="K6118" s="18">
        <f>62811955294</f>
        <v>62811955294</v>
      </c>
      <c r="N6118" s="17" t="s">
        <v>77</v>
      </c>
      <c r="U6118" s="17"/>
      <c r="V6118" s="18">
        <f>62811955294</f>
        <v>62811955294</v>
      </c>
      <c r="W6118" t="s">
        <v>17359</v>
      </c>
      <c r="Y6118" s="17" t="s">
        <v>96</v>
      </c>
      <c r="AA6118" s="17" t="s">
        <v>17360</v>
      </c>
    </row>
    <row r="6119" ht="15" customHeight="1" spans="1:23" x14ac:dyDescent="0.25">
      <c r="A6119" s="17" t="s">
        <v>17361</v>
      </c>
      <c r="B6119" s="17" t="s">
        <v>70</v>
      </c>
      <c r="C6119" s="17" t="s">
        <v>71</v>
      </c>
      <c r="D6119" t="s">
        <v>17362</v>
      </c>
      <c r="F6119" t="s">
        <v>17363</v>
      </c>
      <c r="K6119" s="18">
        <f>819070488306</f>
        <v>819070488306</v>
      </c>
      <c r="N6119" s="17" t="s">
        <v>77</v>
      </c>
      <c r="U6119" s="17"/>
      <c r="V6119" s="18">
        <f>819070488306</f>
        <v>819070488306</v>
      </c>
      <c r="W6119" t="s">
        <v>2500</v>
      </c>
    </row>
    <row r="6120" ht="15" customHeight="1" spans="1:28" x14ac:dyDescent="0.25">
      <c r="A6120" s="17" t="s">
        <v>17364</v>
      </c>
      <c r="B6120" s="17" t="s">
        <v>70</v>
      </c>
      <c r="C6120" s="17" t="s">
        <v>71</v>
      </c>
      <c r="D6120" t="s">
        <v>17365</v>
      </c>
      <c r="F6120" t="s">
        <v>17366</v>
      </c>
      <c r="J6120" t="s">
        <v>17367</v>
      </c>
      <c r="K6120" s="18" t="s">
        <v>17368</v>
      </c>
      <c r="N6120" s="17" t="s">
        <v>77</v>
      </c>
      <c r="O6120" t="s">
        <v>489</v>
      </c>
      <c r="U6120" s="17"/>
      <c r="V6120" s="18" t="s">
        <v>17368</v>
      </c>
      <c r="W6120" t="s">
        <v>17369</v>
      </c>
      <c r="Y6120" t="s">
        <v>762</v>
      </c>
      <c r="AA6120" t="s">
        <v>115</v>
      </c>
      <c r="AB6120" t="s">
        <v>119</v>
      </c>
    </row>
    <row r="6121" ht="15" customHeight="1" spans="1:28" x14ac:dyDescent="0.25">
      <c r="A6121" s="17" t="s">
        <v>17370</v>
      </c>
      <c r="B6121" s="17" t="s">
        <v>70</v>
      </c>
      <c r="C6121" s="17" t="s">
        <v>71</v>
      </c>
      <c r="D6121" t="s">
        <v>17371</v>
      </c>
      <c r="F6121" t="s">
        <v>17372</v>
      </c>
      <c r="J6121" t="s">
        <v>115</v>
      </c>
      <c r="K6121" s="18" t="s">
        <v>17373</v>
      </c>
      <c r="N6121" s="17" t="s">
        <v>77</v>
      </c>
      <c r="O6121" t="s">
        <v>199</v>
      </c>
      <c r="V6121" s="18" t="s">
        <v>17373</v>
      </c>
      <c r="Y6121" t="s">
        <v>90</v>
      </c>
      <c r="AA6121" t="s">
        <v>118</v>
      </c>
      <c r="AB6121" t="s">
        <v>119</v>
      </c>
    </row>
    <row r="6122" ht="15" customHeight="1" spans="1:22" x14ac:dyDescent="0.25">
      <c r="A6122" s="17" t="s">
        <v>17374</v>
      </c>
      <c r="B6122" s="17" t="s">
        <v>70</v>
      </c>
      <c r="C6122" s="17" t="s">
        <v>71</v>
      </c>
      <c r="D6122" t="s">
        <v>17375</v>
      </c>
      <c r="F6122" t="s">
        <v>17375</v>
      </c>
      <c r="K6122" s="18">
        <f>628151602540</f>
        <v>628151602540</v>
      </c>
      <c r="N6122" s="17" t="s">
        <v>77</v>
      </c>
      <c r="V6122" s="18">
        <f>628151602540</f>
        <v>628151602540</v>
      </c>
    </row>
    <row r="6123" ht="15" customHeight="1" spans="1:22" x14ac:dyDescent="0.25">
      <c r="A6123" s="17" t="s">
        <v>17376</v>
      </c>
      <c r="B6123" s="17" t="s">
        <v>70</v>
      </c>
      <c r="C6123" s="17" t="s">
        <v>71</v>
      </c>
      <c r="D6123" t="s">
        <v>17375</v>
      </c>
      <c r="F6123" t="s">
        <v>212</v>
      </c>
      <c r="K6123" s="18">
        <f>628971168837</f>
        <v>628971168837</v>
      </c>
      <c r="N6123" s="17" t="s">
        <v>77</v>
      </c>
      <c r="V6123" s="18">
        <f>628971168837</f>
        <v>628971168837</v>
      </c>
    </row>
    <row r="6124" ht="15" customHeight="1" spans="1:28" x14ac:dyDescent="0.25">
      <c r="A6124" s="17" t="s">
        <v>17377</v>
      </c>
      <c r="B6124" s="17" t="s">
        <v>70</v>
      </c>
      <c r="C6124" s="17" t="s">
        <v>71</v>
      </c>
      <c r="D6124" t="s">
        <v>17375</v>
      </c>
      <c r="F6124" t="s">
        <v>629</v>
      </c>
      <c r="J6124" t="s">
        <v>115</v>
      </c>
      <c r="K6124" s="18" t="s">
        <v>17378</v>
      </c>
      <c r="N6124" s="17" t="s">
        <v>77</v>
      </c>
      <c r="O6124" t="s">
        <v>145</v>
      </c>
      <c r="V6124" s="18" t="s">
        <v>17378</v>
      </c>
      <c r="Y6124" t="s">
        <v>190</v>
      </c>
      <c r="AA6124" t="s">
        <v>118</v>
      </c>
      <c r="AB6124" t="s">
        <v>119</v>
      </c>
    </row>
    <row r="6125" ht="15" customHeight="1" spans="1:28" x14ac:dyDescent="0.25">
      <c r="A6125" s="17" t="s">
        <v>17379</v>
      </c>
      <c r="B6125" s="17" t="s">
        <v>70</v>
      </c>
      <c r="C6125" s="17" t="s">
        <v>71</v>
      </c>
      <c r="D6125" t="s">
        <v>17375</v>
      </c>
      <c r="F6125" t="s">
        <v>2151</v>
      </c>
      <c r="J6125" s="17" t="s">
        <v>17380</v>
      </c>
      <c r="K6125" s="18" t="s">
        <v>17381</v>
      </c>
      <c r="N6125" s="17" t="s">
        <v>77</v>
      </c>
      <c r="O6125" t="s">
        <v>117</v>
      </c>
      <c r="U6125" s="17"/>
      <c r="V6125" s="18" t="s">
        <v>17381</v>
      </c>
      <c r="W6125" t="s">
        <v>17382</v>
      </c>
      <c r="Y6125" t="s">
        <v>90</v>
      </c>
      <c r="AA6125" t="s">
        <v>118</v>
      </c>
      <c r="AB6125" t="s">
        <v>119</v>
      </c>
    </row>
    <row r="6126" ht="15" customHeight="1" spans="1:23" x14ac:dyDescent="0.25">
      <c r="A6126" s="17" t="s">
        <v>17383</v>
      </c>
      <c r="B6126" s="17" t="s">
        <v>70</v>
      </c>
      <c r="C6126" s="17" t="s">
        <v>71</v>
      </c>
      <c r="D6126" t="s">
        <v>17375</v>
      </c>
      <c r="F6126" t="s">
        <v>17384</v>
      </c>
      <c r="K6126" s="18">
        <v>87880888117</v>
      </c>
      <c r="N6126" s="17" t="s">
        <v>81</v>
      </c>
      <c r="U6126" s="17"/>
      <c r="V6126" s="18">
        <v>87880888117</v>
      </c>
      <c r="W6126" t="s">
        <v>17385</v>
      </c>
    </row>
    <row r="6127" ht="15" customHeight="1" spans="1:23" x14ac:dyDescent="0.25">
      <c r="A6127" s="17" t="s">
        <v>17386</v>
      </c>
      <c r="B6127" s="17" t="s">
        <v>70</v>
      </c>
      <c r="C6127" s="17" t="s">
        <v>71</v>
      </c>
      <c r="D6127" t="s">
        <v>17375</v>
      </c>
      <c r="F6127" t="s">
        <v>17387</v>
      </c>
      <c r="K6127" s="18">
        <f>628129474668</f>
        <v>628129474668</v>
      </c>
      <c r="N6127" s="17" t="s">
        <v>77</v>
      </c>
      <c r="U6127" s="17"/>
      <c r="V6127" s="18">
        <f>628129474668</f>
        <v>628129474668</v>
      </c>
      <c r="W6127" t="s">
        <v>17388</v>
      </c>
    </row>
    <row r="6128" ht="15" customHeight="1" spans="1:22" x14ac:dyDescent="0.25">
      <c r="A6128" s="17" t="s">
        <v>17389</v>
      </c>
      <c r="B6128" s="17" t="s">
        <v>70</v>
      </c>
      <c r="C6128" s="17" t="s">
        <v>71</v>
      </c>
      <c r="D6128" t="s">
        <v>17375</v>
      </c>
      <c r="F6128" t="s">
        <v>17390</v>
      </c>
      <c r="K6128" s="18">
        <f>62817841135</f>
        <v>62817841135</v>
      </c>
      <c r="N6128" s="17" t="s">
        <v>81</v>
      </c>
      <c r="V6128" s="18">
        <f>62817841135</f>
        <v>62817841135</v>
      </c>
    </row>
    <row r="6129" ht="15" customHeight="1" spans="1:22" x14ac:dyDescent="0.25">
      <c r="A6129" s="17" t="s">
        <v>17391</v>
      </c>
      <c r="B6129" s="17" t="s">
        <v>70</v>
      </c>
      <c r="C6129" s="17" t="s">
        <v>71</v>
      </c>
      <c r="D6129" t="s">
        <v>17392</v>
      </c>
      <c r="F6129" t="s">
        <v>744</v>
      </c>
      <c r="K6129" s="18">
        <f>621807016902</f>
        <v>621807016902</v>
      </c>
      <c r="N6129" s="17" t="s">
        <v>74</v>
      </c>
      <c r="V6129" s="18">
        <f>621807016902</f>
        <v>621807016902</v>
      </c>
    </row>
    <row r="6130" ht="15" customHeight="1" spans="1:22" x14ac:dyDescent="0.25">
      <c r="A6130" s="17" t="s">
        <v>17393</v>
      </c>
      <c r="B6130" s="17" t="s">
        <v>70</v>
      </c>
      <c r="C6130" s="17" t="s">
        <v>71</v>
      </c>
      <c r="D6130" t="s">
        <v>17394</v>
      </c>
      <c r="F6130" t="s">
        <v>17394</v>
      </c>
      <c r="K6130" s="18">
        <f>6281209101903</f>
        <v>6281209101903</v>
      </c>
      <c r="N6130" s="17" t="s">
        <v>74</v>
      </c>
      <c r="V6130" s="18">
        <f>6281209101903</f>
        <v>6281209101903</v>
      </c>
    </row>
    <row r="6131" ht="15" customHeight="1" spans="1:22" x14ac:dyDescent="0.25">
      <c r="A6131" s="17" t="s">
        <v>17395</v>
      </c>
      <c r="B6131" s="17" t="s">
        <v>70</v>
      </c>
      <c r="C6131" s="17" t="s">
        <v>71</v>
      </c>
      <c r="D6131" t="s">
        <v>17396</v>
      </c>
      <c r="F6131" t="s">
        <v>17397</v>
      </c>
      <c r="K6131" s="18">
        <f>6281376751295</f>
        <v>6281376751295</v>
      </c>
      <c r="N6131" s="17" t="s">
        <v>77</v>
      </c>
      <c r="V6131" s="18">
        <f>6281376751295</f>
        <v>6281376751295</v>
      </c>
    </row>
    <row r="6132" ht="15" customHeight="1" spans="1:22" x14ac:dyDescent="0.25">
      <c r="A6132" s="17" t="s">
        <v>17398</v>
      </c>
      <c r="B6132" s="17" t="s">
        <v>70</v>
      </c>
      <c r="C6132" s="17" t="s">
        <v>71</v>
      </c>
      <c r="D6132" t="s">
        <v>17399</v>
      </c>
      <c r="F6132" t="s">
        <v>8777</v>
      </c>
      <c r="K6132" s="18">
        <f>62811821515</f>
        <v>62811821515</v>
      </c>
      <c r="N6132" s="17" t="s">
        <v>81</v>
      </c>
      <c r="V6132" s="18">
        <f>62811821515</f>
        <v>62811821515</v>
      </c>
    </row>
    <row r="6133" ht="15" customHeight="1" spans="1:22" x14ac:dyDescent="0.25">
      <c r="A6133" s="17" t="s">
        <v>17400</v>
      </c>
      <c r="B6133" s="17" t="s">
        <v>70</v>
      </c>
      <c r="C6133" s="17" t="s">
        <v>71</v>
      </c>
      <c r="D6133" t="s">
        <v>17401</v>
      </c>
      <c r="F6133" t="s">
        <v>17401</v>
      </c>
      <c r="K6133" s="18">
        <f>628558888011</f>
        <v>628558888011</v>
      </c>
      <c r="N6133" s="17" t="s">
        <v>77</v>
      </c>
      <c r="V6133" s="18">
        <f>628558888011</f>
        <v>628558888011</v>
      </c>
    </row>
    <row r="6134" ht="15" customHeight="1" spans="1:22" x14ac:dyDescent="0.25">
      <c r="A6134" s="17" t="s">
        <v>17402</v>
      </c>
      <c r="B6134" s="17" t="s">
        <v>70</v>
      </c>
      <c r="C6134" s="17" t="s">
        <v>71</v>
      </c>
      <c r="D6134" t="s">
        <v>17401</v>
      </c>
      <c r="F6134" t="s">
        <v>17403</v>
      </c>
      <c r="K6134" s="18">
        <f>6282225481247</f>
        <v>6282225481247</v>
      </c>
      <c r="N6134" s="17" t="s">
        <v>77</v>
      </c>
      <c r="V6134" s="18">
        <f>6282225481247</f>
        <v>6282225481247</v>
      </c>
    </row>
    <row r="6135" ht="15" customHeight="1" spans="1:22" x14ac:dyDescent="0.25">
      <c r="A6135" s="17" t="s">
        <v>17404</v>
      </c>
      <c r="B6135" s="17" t="s">
        <v>70</v>
      </c>
      <c r="C6135" s="17" t="s">
        <v>71</v>
      </c>
      <c r="D6135" t="s">
        <v>17405</v>
      </c>
      <c r="F6135" t="s">
        <v>11940</v>
      </c>
      <c r="K6135" s="18">
        <f>62811488951</f>
        <v>62811488951</v>
      </c>
      <c r="N6135" s="17" t="s">
        <v>77</v>
      </c>
      <c r="V6135" s="18">
        <f>62811488951</f>
        <v>62811488951</v>
      </c>
    </row>
    <row r="6136" ht="15" customHeight="1" spans="1:25" x14ac:dyDescent="0.25">
      <c r="A6136" s="17" t="s">
        <v>17406</v>
      </c>
      <c r="B6136" s="17" t="s">
        <v>70</v>
      </c>
      <c r="C6136" s="17" t="s">
        <v>71</v>
      </c>
      <c r="D6136" t="s">
        <v>17405</v>
      </c>
      <c r="F6136" t="s">
        <v>17407</v>
      </c>
      <c r="J6136" s="17" t="s">
        <v>17408</v>
      </c>
      <c r="K6136" s="18">
        <f>62811895901</f>
        <v>62811895901</v>
      </c>
      <c r="N6136" s="17" t="s">
        <v>77</v>
      </c>
      <c r="U6136" s="17"/>
      <c r="V6136" s="18">
        <f>62811895901</f>
        <v>62811895901</v>
      </c>
      <c r="W6136" t="s">
        <v>17409</v>
      </c>
      <c r="Y6136" s="17" t="s">
        <v>596</v>
      </c>
    </row>
    <row r="6137" ht="15" customHeight="1" spans="1:22" x14ac:dyDescent="0.25">
      <c r="A6137" s="17" t="s">
        <v>17410</v>
      </c>
      <c r="B6137" s="17" t="s">
        <v>70</v>
      </c>
      <c r="C6137" s="17" t="s">
        <v>71</v>
      </c>
      <c r="D6137" t="s">
        <v>17411</v>
      </c>
      <c r="F6137" t="s">
        <v>17411</v>
      </c>
      <c r="K6137" s="18">
        <f>6282311378888</f>
        <v>6282311378888</v>
      </c>
      <c r="N6137" s="17" t="s">
        <v>77</v>
      </c>
      <c r="V6137" s="18">
        <f>6282311378888</f>
        <v>6282311378888</v>
      </c>
    </row>
    <row r="6138" ht="15" customHeight="1" spans="1:22" x14ac:dyDescent="0.25">
      <c r="A6138" s="17" t="s">
        <v>17412</v>
      </c>
      <c r="B6138" s="17" t="s">
        <v>70</v>
      </c>
      <c r="C6138" s="17" t="s">
        <v>71</v>
      </c>
      <c r="D6138" t="s">
        <v>17413</v>
      </c>
      <c r="F6138" t="s">
        <v>17414</v>
      </c>
      <c r="K6138" s="18">
        <f>628118039300</f>
        <v>628118039300</v>
      </c>
      <c r="N6138" s="17" t="s">
        <v>77</v>
      </c>
      <c r="V6138" s="18">
        <f>628118039300</f>
        <v>628118039300</v>
      </c>
    </row>
    <row r="6139" ht="15" customHeight="1" spans="1:28" x14ac:dyDescent="0.25">
      <c r="A6139" s="17" t="s">
        <v>17415</v>
      </c>
      <c r="B6139" s="17" t="s">
        <v>70</v>
      </c>
      <c r="C6139" s="17" t="s">
        <v>71</v>
      </c>
      <c r="D6139" t="s">
        <v>17416</v>
      </c>
      <c r="F6139" t="s">
        <v>8877</v>
      </c>
      <c r="J6139" s="17" t="s">
        <v>17417</v>
      </c>
      <c r="K6139" s="18" t="s">
        <v>17418</v>
      </c>
      <c r="N6139" s="17" t="s">
        <v>77</v>
      </c>
      <c r="O6139" t="s">
        <v>117</v>
      </c>
      <c r="V6139" s="18" t="s">
        <v>17418</v>
      </c>
      <c r="Y6139" t="s">
        <v>90</v>
      </c>
      <c r="AA6139" t="s">
        <v>118</v>
      </c>
      <c r="AB6139" t="s">
        <v>119</v>
      </c>
    </row>
    <row r="6140" ht="15" customHeight="1" spans="1:28" x14ac:dyDescent="0.25">
      <c r="A6140" s="17" t="s">
        <v>17419</v>
      </c>
      <c r="B6140" s="17" t="s">
        <v>70</v>
      </c>
      <c r="C6140" s="17" t="s">
        <v>71</v>
      </c>
      <c r="D6140" t="s">
        <v>17420</v>
      </c>
      <c r="F6140" t="s">
        <v>17421</v>
      </c>
      <c r="J6140" s="17" t="s">
        <v>17422</v>
      </c>
      <c r="K6140" s="18" t="s">
        <v>17423</v>
      </c>
      <c r="N6140" s="17" t="s">
        <v>81</v>
      </c>
      <c r="O6140" t="s">
        <v>199</v>
      </c>
      <c r="U6140" s="17"/>
      <c r="V6140" s="18" t="s">
        <v>17423</v>
      </c>
      <c r="W6140" t="s">
        <v>17424</v>
      </c>
      <c r="Y6140" t="s">
        <v>4897</v>
      </c>
      <c r="AA6140" t="s">
        <v>115</v>
      </c>
      <c r="AB6140" t="s">
        <v>119</v>
      </c>
    </row>
    <row r="6141" ht="15" customHeight="1" spans="1:22" x14ac:dyDescent="0.25">
      <c r="A6141" s="17" t="s">
        <v>17425</v>
      </c>
      <c r="B6141" s="17" t="s">
        <v>70</v>
      </c>
      <c r="C6141" s="17" t="s">
        <v>71</v>
      </c>
      <c r="D6141" t="s">
        <v>17426</v>
      </c>
      <c r="F6141" t="s">
        <v>17426</v>
      </c>
      <c r="K6141" s="18">
        <f>628513008365</f>
        <v>628513008365</v>
      </c>
      <c r="N6141" s="17" t="s">
        <v>77</v>
      </c>
      <c r="V6141" s="18">
        <f>628513008365</f>
        <v>628513008365</v>
      </c>
    </row>
    <row r="6142" ht="15" customHeight="1" spans="1:27" x14ac:dyDescent="0.25">
      <c r="A6142" s="17" t="s">
        <v>17427</v>
      </c>
      <c r="B6142" s="17" t="s">
        <v>70</v>
      </c>
      <c r="C6142" s="17" t="s">
        <v>71</v>
      </c>
      <c r="D6142" t="s">
        <v>17426</v>
      </c>
      <c r="F6142" t="s">
        <v>17428</v>
      </c>
      <c r="J6142" s="17" t="s">
        <v>17429</v>
      </c>
      <c r="K6142" s="18">
        <f>628129093002</f>
        <v>628129093002</v>
      </c>
      <c r="N6142" s="17" t="s">
        <v>74</v>
      </c>
      <c r="U6142" s="17"/>
      <c r="V6142" s="18">
        <f>628129093002</f>
        <v>628129093002</v>
      </c>
      <c r="W6142" t="s">
        <v>17430</v>
      </c>
      <c r="Y6142" s="17" t="s">
        <v>96</v>
      </c>
      <c r="AA6142" s="17">
        <v>12810</v>
      </c>
    </row>
    <row r="6143" ht="15" customHeight="1" spans="1:23" x14ac:dyDescent="0.25">
      <c r="A6143" s="17" t="s">
        <v>17431</v>
      </c>
      <c r="B6143" s="17" t="s">
        <v>70</v>
      </c>
      <c r="C6143" s="17" t="s">
        <v>71</v>
      </c>
      <c r="D6143" t="s">
        <v>17432</v>
      </c>
      <c r="F6143" t="s">
        <v>17433</v>
      </c>
      <c r="K6143" s="18">
        <f>62811219945</f>
        <v>62811219945</v>
      </c>
      <c r="N6143" s="17" t="s">
        <v>77</v>
      </c>
      <c r="U6143" s="17"/>
      <c r="V6143" s="18">
        <f>62811219945</f>
        <v>62811219945</v>
      </c>
      <c r="W6143" t="s">
        <v>17434</v>
      </c>
    </row>
    <row r="6144" ht="15" customHeight="1" spans="1:22" x14ac:dyDescent="0.25">
      <c r="A6144" s="17" t="s">
        <v>17435</v>
      </c>
      <c r="B6144" s="17" t="s">
        <v>70</v>
      </c>
      <c r="C6144" s="17" t="s">
        <v>71</v>
      </c>
      <c r="D6144" t="s">
        <v>17436</v>
      </c>
      <c r="F6144" t="s">
        <v>17437</v>
      </c>
      <c r="K6144" s="18">
        <f>628111147228</f>
        <v>628111147228</v>
      </c>
      <c r="N6144" s="17" t="s">
        <v>81</v>
      </c>
      <c r="V6144" s="18">
        <f>628111147228</f>
        <v>628111147228</v>
      </c>
    </row>
    <row r="6145" ht="15" customHeight="1" spans="1:28" x14ac:dyDescent="0.25">
      <c r="A6145" s="17" t="s">
        <v>17438</v>
      </c>
      <c r="B6145" s="17" t="s">
        <v>70</v>
      </c>
      <c r="C6145" s="17" t="s">
        <v>71</v>
      </c>
      <c r="D6145" t="s">
        <v>17439</v>
      </c>
      <c r="F6145" t="s">
        <v>17439</v>
      </c>
      <c r="J6145" t="s">
        <v>115</v>
      </c>
      <c r="K6145" s="18" t="s">
        <v>17440</v>
      </c>
      <c r="N6145" s="17" t="s">
        <v>77</v>
      </c>
      <c r="O6145" t="s">
        <v>199</v>
      </c>
      <c r="V6145" s="18" t="s">
        <v>17440</v>
      </c>
      <c r="Y6145" t="s">
        <v>115</v>
      </c>
      <c r="AA6145" t="s">
        <v>115</v>
      </c>
      <c r="AB6145" t="s">
        <v>119</v>
      </c>
    </row>
    <row r="6146" ht="15" customHeight="1" spans="1:22" x14ac:dyDescent="0.25">
      <c r="A6146" s="17" t="s">
        <v>17441</v>
      </c>
      <c r="B6146" s="17" t="s">
        <v>70</v>
      </c>
      <c r="C6146" s="17" t="s">
        <v>71</v>
      </c>
      <c r="D6146" t="s">
        <v>17442</v>
      </c>
      <c r="F6146" t="s">
        <v>17443</v>
      </c>
      <c r="K6146" s="18">
        <f>628118121748</f>
        <v>628118121748</v>
      </c>
      <c r="N6146" s="17" t="s">
        <v>77</v>
      </c>
      <c r="V6146" s="18">
        <f>628118121748</f>
        <v>628118121748</v>
      </c>
    </row>
    <row r="6147" ht="15" customHeight="1" spans="1:22" x14ac:dyDescent="0.25">
      <c r="A6147" s="17" t="s">
        <v>17444</v>
      </c>
      <c r="B6147" s="17" t="s">
        <v>70</v>
      </c>
      <c r="C6147" s="17" t="s">
        <v>71</v>
      </c>
      <c r="D6147" t="s">
        <v>17442</v>
      </c>
      <c r="F6147" t="s">
        <v>17445</v>
      </c>
      <c r="K6147" s="18">
        <f>6281586620019</f>
        <v>6281586620019</v>
      </c>
      <c r="N6147" s="17" t="s">
        <v>77</v>
      </c>
      <c r="V6147" s="18">
        <f>6281586620019</f>
        <v>6281586620019</v>
      </c>
    </row>
    <row r="6148" ht="15" customHeight="1" spans="1:23" x14ac:dyDescent="0.25">
      <c r="A6148" s="17" t="s">
        <v>17446</v>
      </c>
      <c r="B6148" s="17" t="s">
        <v>70</v>
      </c>
      <c r="C6148" s="17" t="s">
        <v>71</v>
      </c>
      <c r="D6148" t="s">
        <v>17447</v>
      </c>
      <c r="F6148" t="s">
        <v>17448</v>
      </c>
      <c r="K6148" s="18">
        <f>9099907123</f>
        <v>9099907123</v>
      </c>
      <c r="N6148" s="17" t="s">
        <v>77</v>
      </c>
      <c r="U6148" s="17"/>
      <c r="V6148" s="18">
        <f>9099907123</f>
        <v>9099907123</v>
      </c>
      <c r="W6148" t="s">
        <v>2500</v>
      </c>
    </row>
    <row r="6149" ht="15" customHeight="1" spans="1:23" x14ac:dyDescent="0.25">
      <c r="A6149" s="17" t="s">
        <v>17449</v>
      </c>
      <c r="B6149" s="17" t="s">
        <v>70</v>
      </c>
      <c r="C6149" s="17" t="s">
        <v>71</v>
      </c>
      <c r="D6149" t="s">
        <v>17450</v>
      </c>
      <c r="F6149" t="s">
        <v>17451</v>
      </c>
      <c r="J6149" s="17" t="s">
        <v>17452</v>
      </c>
      <c r="K6149" s="18">
        <f>6281181713167</f>
        <v>6281181713167</v>
      </c>
      <c r="N6149" s="17" t="s">
        <v>77</v>
      </c>
      <c r="U6149" s="17"/>
      <c r="V6149" s="18">
        <f>6281181713167</f>
        <v>6281181713167</v>
      </c>
      <c r="W6149" t="s">
        <v>17453</v>
      </c>
    </row>
    <row r="6150" ht="15" customHeight="1" spans="1:22" x14ac:dyDescent="0.25">
      <c r="A6150" s="17" t="s">
        <v>17454</v>
      </c>
      <c r="B6150" s="17" t="s">
        <v>70</v>
      </c>
      <c r="C6150" s="17" t="s">
        <v>71</v>
      </c>
      <c r="D6150" t="s">
        <v>17455</v>
      </c>
      <c r="F6150" t="s">
        <v>17456</v>
      </c>
      <c r="K6150" s="18">
        <f>6281319009933</f>
        <v>6281319009933</v>
      </c>
      <c r="N6150" s="17" t="s">
        <v>81</v>
      </c>
      <c r="V6150" s="18">
        <f>6281319009933</f>
        <v>6281319009933</v>
      </c>
    </row>
    <row r="6151" ht="15" customHeight="1" spans="1:28" x14ac:dyDescent="0.25">
      <c r="A6151" s="17" t="s">
        <v>17457</v>
      </c>
      <c r="B6151" s="17" t="s">
        <v>70</v>
      </c>
      <c r="C6151" s="17" t="s">
        <v>71</v>
      </c>
      <c r="D6151" t="s">
        <v>17458</v>
      </c>
      <c r="F6151" t="s">
        <v>4446</v>
      </c>
      <c r="J6151" s="17" t="s">
        <v>17459</v>
      </c>
      <c r="K6151" s="18" t="s">
        <v>17460</v>
      </c>
      <c r="N6151" s="17" t="s">
        <v>77</v>
      </c>
      <c r="O6151" t="s">
        <v>199</v>
      </c>
      <c r="V6151" s="18" t="s">
        <v>17460</v>
      </c>
      <c r="Y6151" t="s">
        <v>190</v>
      </c>
      <c r="AA6151" t="s">
        <v>118</v>
      </c>
      <c r="AB6151" t="s">
        <v>119</v>
      </c>
    </row>
    <row r="6152" ht="15" customHeight="1" spans="1:28" x14ac:dyDescent="0.25">
      <c r="A6152" s="17" t="s">
        <v>17461</v>
      </c>
      <c r="B6152" s="17" t="s">
        <v>70</v>
      </c>
      <c r="C6152" s="17" t="s">
        <v>71</v>
      </c>
      <c r="D6152" t="s">
        <v>2063</v>
      </c>
      <c r="F6152" t="s">
        <v>17462</v>
      </c>
      <c r="J6152" t="s">
        <v>115</v>
      </c>
      <c r="K6152" s="18" t="s">
        <v>17463</v>
      </c>
      <c r="N6152" s="17" t="s">
        <v>77</v>
      </c>
      <c r="O6152" t="s">
        <v>489</v>
      </c>
      <c r="U6152" s="17"/>
      <c r="V6152" s="18" t="s">
        <v>17463</v>
      </c>
      <c r="W6152" t="s">
        <v>17464</v>
      </c>
      <c r="Y6152" t="s">
        <v>1091</v>
      </c>
      <c r="AA6152" t="s">
        <v>115</v>
      </c>
      <c r="AB6152" t="s">
        <v>119</v>
      </c>
    </row>
    <row r="6153" ht="15" customHeight="1" spans="1:23" x14ac:dyDescent="0.25">
      <c r="A6153" s="17" t="s">
        <v>17465</v>
      </c>
      <c r="B6153" s="17" t="s">
        <v>70</v>
      </c>
      <c r="C6153" s="17" t="s">
        <v>71</v>
      </c>
      <c r="D6153" t="s">
        <v>17466</v>
      </c>
      <c r="F6153" t="s">
        <v>17467</v>
      </c>
      <c r="K6153" s="18">
        <f>6282162789978</f>
        <v>6282162789978</v>
      </c>
      <c r="N6153" s="17" t="s">
        <v>81</v>
      </c>
      <c r="U6153" s="17"/>
      <c r="V6153" s="18">
        <f>6282162789978</f>
        <v>6282162789978</v>
      </c>
      <c r="W6153" t="s">
        <v>17468</v>
      </c>
    </row>
    <row r="6154" ht="15" customHeight="1" spans="1:22" x14ac:dyDescent="0.25">
      <c r="A6154" s="17" t="s">
        <v>17469</v>
      </c>
      <c r="B6154" s="17" t="s">
        <v>70</v>
      </c>
      <c r="C6154" s="17" t="s">
        <v>71</v>
      </c>
      <c r="D6154" t="s">
        <v>17466</v>
      </c>
      <c r="F6154" t="s">
        <v>11162</v>
      </c>
      <c r="K6154" s="18">
        <f>6281288137625</f>
        <v>6281288137625</v>
      </c>
      <c r="N6154" s="17" t="s">
        <v>77</v>
      </c>
      <c r="V6154" s="18">
        <f>6281288137625</f>
        <v>6281288137625</v>
      </c>
    </row>
    <row r="6155" ht="15" customHeight="1" spans="1:22" x14ac:dyDescent="0.25">
      <c r="A6155" s="17" t="s">
        <v>17470</v>
      </c>
      <c r="B6155" s="17" t="s">
        <v>70</v>
      </c>
      <c r="C6155" s="17" t="s">
        <v>71</v>
      </c>
      <c r="D6155" t="s">
        <v>17466</v>
      </c>
      <c r="F6155" t="s">
        <v>17471</v>
      </c>
      <c r="K6155" s="18">
        <f>62811211191</f>
        <v>62811211191</v>
      </c>
      <c r="N6155" s="17" t="s">
        <v>77</v>
      </c>
      <c r="V6155" s="18">
        <f>62811211191</f>
        <v>62811211191</v>
      </c>
    </row>
    <row r="6156" ht="15" customHeight="1" spans="1:22" x14ac:dyDescent="0.25">
      <c r="A6156" s="17" t="s">
        <v>17472</v>
      </c>
      <c r="B6156" s="17" t="s">
        <v>70</v>
      </c>
      <c r="C6156" s="17" t="s">
        <v>71</v>
      </c>
      <c r="D6156" t="s">
        <v>17466</v>
      </c>
      <c r="F6156" t="s">
        <v>2345</v>
      </c>
      <c r="K6156" s="18">
        <f>6285250810009</f>
        <v>6285250810009</v>
      </c>
      <c r="N6156" s="17" t="s">
        <v>77</v>
      </c>
      <c r="V6156" s="18">
        <f>6285250810009</f>
        <v>6285250810009</v>
      </c>
    </row>
    <row r="6157" ht="15" customHeight="1" spans="1:22" x14ac:dyDescent="0.25">
      <c r="A6157" s="17" t="s">
        <v>17473</v>
      </c>
      <c r="B6157" s="17" t="s">
        <v>70</v>
      </c>
      <c r="C6157" s="17" t="s">
        <v>71</v>
      </c>
      <c r="D6157" t="s">
        <v>17474</v>
      </c>
      <c r="F6157" t="s">
        <v>6149</v>
      </c>
      <c r="K6157" s="18">
        <f>6281389747470</f>
        <v>6281389747470</v>
      </c>
      <c r="N6157" s="17" t="s">
        <v>81</v>
      </c>
      <c r="V6157" s="18">
        <f>6281389747470</f>
        <v>6281389747470</v>
      </c>
    </row>
    <row r="6158" ht="15" customHeight="1" spans="1:25" x14ac:dyDescent="0.25">
      <c r="A6158" s="17" t="s">
        <v>17475</v>
      </c>
      <c r="B6158" s="17" t="s">
        <v>70</v>
      </c>
      <c r="C6158" s="17" t="s">
        <v>71</v>
      </c>
      <c r="D6158" t="s">
        <v>17466</v>
      </c>
      <c r="F6158" t="s">
        <v>17476</v>
      </c>
      <c r="J6158" s="17" t="s">
        <v>17477</v>
      </c>
      <c r="K6158" s="18">
        <f>628115838065</f>
        <v>628115838065</v>
      </c>
      <c r="N6158" s="17" t="s">
        <v>77</v>
      </c>
      <c r="U6158" s="17"/>
      <c r="V6158" s="18">
        <f>628115838065</f>
        <v>628115838065</v>
      </c>
      <c r="W6158" t="s">
        <v>17478</v>
      </c>
      <c r="Y6158" s="17" t="s">
        <v>6246</v>
      </c>
    </row>
    <row r="6159" ht="15" customHeight="1" spans="1:23" x14ac:dyDescent="0.25">
      <c r="A6159" s="17" t="s">
        <v>17479</v>
      </c>
      <c r="B6159" s="17" t="s">
        <v>70</v>
      </c>
      <c r="C6159" s="17" t="s">
        <v>71</v>
      </c>
      <c r="D6159" t="s">
        <v>17466</v>
      </c>
      <c r="F6159" t="s">
        <v>17480</v>
      </c>
      <c r="K6159" s="18">
        <f>62818363840</f>
        <v>62818363840</v>
      </c>
      <c r="N6159" s="17" t="s">
        <v>74</v>
      </c>
      <c r="U6159" s="17"/>
      <c r="V6159" s="18">
        <f>62818363840</f>
        <v>62818363840</v>
      </c>
      <c r="W6159" t="s">
        <v>17481</v>
      </c>
    </row>
    <row r="6160" ht="15" customHeight="1" spans="1:28" x14ac:dyDescent="0.25">
      <c r="A6160" s="17" t="s">
        <v>17482</v>
      </c>
      <c r="B6160" s="17" t="s">
        <v>70</v>
      </c>
      <c r="C6160" s="17" t="s">
        <v>71</v>
      </c>
      <c r="D6160" t="s">
        <v>17483</v>
      </c>
      <c r="F6160" t="s">
        <v>17484</v>
      </c>
      <c r="J6160" t="s">
        <v>115</v>
      </c>
      <c r="K6160" s="18" t="s">
        <v>17485</v>
      </c>
      <c r="N6160" s="17" t="s">
        <v>81</v>
      </c>
      <c r="O6160" t="s">
        <v>117</v>
      </c>
      <c r="V6160" s="18" t="s">
        <v>17485</v>
      </c>
      <c r="Y6160" t="s">
        <v>90</v>
      </c>
      <c r="AA6160" t="s">
        <v>118</v>
      </c>
      <c r="AB6160" t="s">
        <v>119</v>
      </c>
    </row>
    <row r="6161" ht="15" customHeight="1" spans="1:28" x14ac:dyDescent="0.25">
      <c r="A6161" s="17" t="s">
        <v>17486</v>
      </c>
      <c r="B6161" s="17" t="s">
        <v>70</v>
      </c>
      <c r="C6161" s="17" t="s">
        <v>71</v>
      </c>
      <c r="D6161" t="s">
        <v>17487</v>
      </c>
      <c r="F6161" t="s">
        <v>10768</v>
      </c>
      <c r="J6161" t="s">
        <v>115</v>
      </c>
      <c r="K6161" s="18" t="s">
        <v>17488</v>
      </c>
      <c r="N6161" s="17" t="s">
        <v>77</v>
      </c>
      <c r="O6161" t="s">
        <v>199</v>
      </c>
      <c r="U6161" s="17"/>
      <c r="V6161" s="18" t="s">
        <v>17488</v>
      </c>
      <c r="W6161" t="s">
        <v>4959</v>
      </c>
      <c r="Y6161" s="17" t="s">
        <v>4959</v>
      </c>
      <c r="AA6161" t="s">
        <v>115</v>
      </c>
      <c r="AB6161" t="s">
        <v>119</v>
      </c>
    </row>
    <row r="6162" ht="15" customHeight="1" spans="1:27" x14ac:dyDescent="0.25">
      <c r="A6162" s="17" t="s">
        <v>17489</v>
      </c>
      <c r="B6162" s="17" t="s">
        <v>70</v>
      </c>
      <c r="C6162" s="17" t="s">
        <v>71</v>
      </c>
      <c r="D6162" t="s">
        <v>17466</v>
      </c>
      <c r="F6162" t="s">
        <v>12108</v>
      </c>
      <c r="J6162" s="17" t="s">
        <v>17490</v>
      </c>
      <c r="K6162" s="18">
        <f>6281351116000</f>
        <v>6281351116000</v>
      </c>
      <c r="N6162" s="17" t="s">
        <v>77</v>
      </c>
      <c r="U6162" s="17"/>
      <c r="V6162" s="18">
        <f>6281351116000</f>
        <v>6281351116000</v>
      </c>
      <c r="W6162" t="s">
        <v>17491</v>
      </c>
      <c r="Y6162" s="17" t="s">
        <v>90</v>
      </c>
      <c r="AA6162" s="17">
        <v>12190</v>
      </c>
    </row>
    <row r="6163" ht="15" customHeight="1" spans="1:22" x14ac:dyDescent="0.25">
      <c r="A6163" s="17" t="s">
        <v>17492</v>
      </c>
      <c r="B6163" s="17" t="s">
        <v>70</v>
      </c>
      <c r="C6163" s="17" t="s">
        <v>71</v>
      </c>
      <c r="D6163" t="s">
        <v>17466</v>
      </c>
      <c r="F6163" t="s">
        <v>17493</v>
      </c>
      <c r="K6163" s="18">
        <f>6281218065823</f>
        <v>6281218065823</v>
      </c>
      <c r="N6163" s="17" t="s">
        <v>77</v>
      </c>
      <c r="V6163" s="18">
        <f>6281218065823</f>
        <v>6281218065823</v>
      </c>
    </row>
    <row r="6164" ht="15" customHeight="1" spans="1:25" x14ac:dyDescent="0.25">
      <c r="A6164" s="17" t="s">
        <v>17494</v>
      </c>
      <c r="B6164" s="17" t="s">
        <v>70</v>
      </c>
      <c r="C6164" s="17" t="s">
        <v>71</v>
      </c>
      <c r="D6164" t="s">
        <v>17495</v>
      </c>
      <c r="F6164" t="s">
        <v>17495</v>
      </c>
      <c r="K6164" s="18">
        <f>6281263538844</f>
        <v>6281263538844</v>
      </c>
      <c r="N6164" s="17" t="s">
        <v>77</v>
      </c>
      <c r="U6164" s="17"/>
      <c r="V6164" s="18">
        <f>6281263538844</f>
        <v>6281263538844</v>
      </c>
      <c r="W6164" t="s">
        <v>17496</v>
      </c>
      <c r="Y6164" s="17" t="s">
        <v>17497</v>
      </c>
    </row>
    <row r="6165" ht="15" customHeight="1" spans="1:22" x14ac:dyDescent="0.25">
      <c r="A6165" s="17" t="s">
        <v>17498</v>
      </c>
      <c r="B6165" s="17" t="s">
        <v>70</v>
      </c>
      <c r="C6165" s="17" t="s">
        <v>71</v>
      </c>
      <c r="D6165" t="s">
        <v>17499</v>
      </c>
      <c r="F6165" t="s">
        <v>17500</v>
      </c>
      <c r="K6165" s="18">
        <f>62811711938</f>
        <v>62811711938</v>
      </c>
      <c r="N6165" s="17" t="s">
        <v>77</v>
      </c>
      <c r="V6165" s="18">
        <f>62811711938</f>
        <v>62811711938</v>
      </c>
    </row>
    <row r="6166" ht="15" customHeight="1" spans="1:25" x14ac:dyDescent="0.25">
      <c r="A6166" s="17" t="s">
        <v>17501</v>
      </c>
      <c r="B6166" s="17" t="s">
        <v>70</v>
      </c>
      <c r="C6166" s="17" t="s">
        <v>71</v>
      </c>
      <c r="D6166" t="s">
        <v>17502</v>
      </c>
      <c r="F6166" t="s">
        <v>8225</v>
      </c>
      <c r="K6166" s="18">
        <f>6281905075979</f>
        <v>6281905075979</v>
      </c>
      <c r="N6166" s="17" t="s">
        <v>77</v>
      </c>
      <c r="U6166" s="17"/>
      <c r="V6166" s="18">
        <f>6281905075979</f>
        <v>6281905075979</v>
      </c>
      <c r="W6166" t="s">
        <v>17503</v>
      </c>
      <c r="Y6166" s="17" t="s">
        <v>17504</v>
      </c>
    </row>
    <row r="6167" ht="15" customHeight="1" spans="1:22" x14ac:dyDescent="0.25">
      <c r="A6167" s="17" t="s">
        <v>17505</v>
      </c>
      <c r="B6167" s="17" t="s">
        <v>70</v>
      </c>
      <c r="C6167" s="17" t="s">
        <v>71</v>
      </c>
      <c r="D6167" t="s">
        <v>17506</v>
      </c>
      <c r="F6167" t="s">
        <v>17507</v>
      </c>
      <c r="K6167" s="18">
        <f>62817778507</f>
        <v>62817778507</v>
      </c>
      <c r="N6167" s="17" t="s">
        <v>81</v>
      </c>
      <c r="V6167" s="18">
        <f>62817778507</f>
        <v>62817778507</v>
      </c>
    </row>
    <row r="6168" ht="15" customHeight="1" spans="1:22" x14ac:dyDescent="0.25">
      <c r="A6168" s="17" t="s">
        <v>17508</v>
      </c>
      <c r="B6168" s="17" t="s">
        <v>70</v>
      </c>
      <c r="C6168" s="17" t="s">
        <v>71</v>
      </c>
      <c r="D6168" t="s">
        <v>17506</v>
      </c>
      <c r="F6168" t="s">
        <v>17507</v>
      </c>
      <c r="K6168" s="18">
        <f>628128160244</f>
        <v>628128160244</v>
      </c>
      <c r="N6168" s="17" t="s">
        <v>81</v>
      </c>
      <c r="V6168" s="18">
        <f>628128160244</f>
        <v>628128160244</v>
      </c>
    </row>
    <row r="6169" ht="15" customHeight="1" spans="1:22" x14ac:dyDescent="0.25">
      <c r="A6169" s="17" t="s">
        <v>17509</v>
      </c>
      <c r="B6169" s="17" t="s">
        <v>70</v>
      </c>
      <c r="C6169" s="17" t="s">
        <v>71</v>
      </c>
      <c r="D6169" t="s">
        <v>17510</v>
      </c>
      <c r="F6169" t="s">
        <v>17510</v>
      </c>
      <c r="K6169" s="18">
        <f>6281355667222</f>
        <v>6281355667222</v>
      </c>
      <c r="N6169" s="17" t="s">
        <v>81</v>
      </c>
      <c r="V6169" s="18">
        <f>6281355667222</f>
        <v>6281355667222</v>
      </c>
    </row>
    <row r="6170" ht="15" customHeight="1" spans="1:28" x14ac:dyDescent="0.25">
      <c r="A6170" s="17" t="s">
        <v>17511</v>
      </c>
      <c r="B6170" s="17" t="s">
        <v>70</v>
      </c>
      <c r="C6170" s="17" t="s">
        <v>71</v>
      </c>
      <c r="D6170" t="s">
        <v>1533</v>
      </c>
      <c r="F6170" t="s">
        <v>17512</v>
      </c>
      <c r="J6170" s="17" t="s">
        <v>17513</v>
      </c>
      <c r="K6170" s="18" t="s">
        <v>17514</v>
      </c>
      <c r="N6170" s="17" t="s">
        <v>77</v>
      </c>
      <c r="O6170" t="s">
        <v>199</v>
      </c>
      <c r="U6170" s="17"/>
      <c r="V6170" s="18" t="s">
        <v>17514</v>
      </c>
      <c r="W6170" t="s">
        <v>3140</v>
      </c>
      <c r="Y6170" t="s">
        <v>115</v>
      </c>
      <c r="AA6170" t="s">
        <v>115</v>
      </c>
      <c r="AB6170" t="s">
        <v>3140</v>
      </c>
    </row>
    <row r="6171" ht="15" customHeight="1" spans="1:28" x14ac:dyDescent="0.25">
      <c r="A6171" s="17" t="s">
        <v>17515</v>
      </c>
      <c r="B6171" s="17" t="s">
        <v>70</v>
      </c>
      <c r="C6171" s="17" t="s">
        <v>71</v>
      </c>
      <c r="D6171" t="s">
        <v>1533</v>
      </c>
      <c r="F6171" t="s">
        <v>7913</v>
      </c>
      <c r="J6171" s="17" t="s">
        <v>17516</v>
      </c>
      <c r="K6171" s="18" t="s">
        <v>17517</v>
      </c>
      <c r="N6171" s="17" t="s">
        <v>77</v>
      </c>
      <c r="O6171" t="s">
        <v>145</v>
      </c>
      <c r="U6171" s="17"/>
      <c r="V6171" s="18" t="s">
        <v>17517</v>
      </c>
      <c r="W6171" t="s">
        <v>2356</v>
      </c>
      <c r="Y6171" t="s">
        <v>115</v>
      </c>
      <c r="AA6171" t="s">
        <v>115</v>
      </c>
      <c r="AB6171" t="s">
        <v>2356</v>
      </c>
    </row>
    <row r="6172" ht="15" customHeight="1" spans="1:22" x14ac:dyDescent="0.25">
      <c r="A6172" s="17" t="s">
        <v>17518</v>
      </c>
      <c r="B6172" s="17" t="s">
        <v>70</v>
      </c>
      <c r="C6172" s="17" t="s">
        <v>71</v>
      </c>
      <c r="D6172" t="s">
        <v>1533</v>
      </c>
      <c r="F6172" t="s">
        <v>17519</v>
      </c>
      <c r="K6172" s="18">
        <f>6285291845887</f>
        <v>6285291845887</v>
      </c>
      <c r="N6172" s="17" t="s">
        <v>77</v>
      </c>
      <c r="V6172" s="18">
        <f>6285291845887</f>
        <v>6285291845887</v>
      </c>
    </row>
    <row r="6173" ht="15" customHeight="1" spans="1:22" x14ac:dyDescent="0.25">
      <c r="A6173" s="17" t="s">
        <v>17520</v>
      </c>
      <c r="B6173" s="17" t="s">
        <v>70</v>
      </c>
      <c r="C6173" s="17" t="s">
        <v>71</v>
      </c>
      <c r="D6173" t="s">
        <v>1533</v>
      </c>
      <c r="F6173" t="s">
        <v>17521</v>
      </c>
      <c r="K6173" s="18">
        <f>6281318000031</f>
        <v>6281318000031</v>
      </c>
      <c r="N6173" s="17" t="s">
        <v>81</v>
      </c>
      <c r="V6173" s="18">
        <f>6281318000031</f>
        <v>6281318000031</v>
      </c>
    </row>
    <row r="6174" ht="15" customHeight="1" spans="1:23" x14ac:dyDescent="0.25">
      <c r="A6174" s="17" t="s">
        <v>17522</v>
      </c>
      <c r="B6174" s="17" t="s">
        <v>70</v>
      </c>
      <c r="C6174" s="17" t="s">
        <v>71</v>
      </c>
      <c r="D6174" t="s">
        <v>17523</v>
      </c>
      <c r="F6174" t="s">
        <v>17524</v>
      </c>
      <c r="K6174" s="18">
        <f>886963380912</f>
        <v>886963380912</v>
      </c>
      <c r="N6174" s="17" t="s">
        <v>77</v>
      </c>
      <c r="U6174" s="17"/>
      <c r="V6174" s="18">
        <f>886963380912</f>
        <v>886963380912</v>
      </c>
      <c r="W6174" t="s">
        <v>3140</v>
      </c>
    </row>
    <row r="6175" ht="15" customHeight="1" spans="1:23" x14ac:dyDescent="0.25">
      <c r="A6175" s="17" t="s">
        <v>17525</v>
      </c>
      <c r="B6175" s="17" t="s">
        <v>70</v>
      </c>
      <c r="C6175" s="17" t="s">
        <v>71</v>
      </c>
      <c r="D6175" t="s">
        <v>17526</v>
      </c>
      <c r="F6175" t="s">
        <v>3869</v>
      </c>
      <c r="K6175" s="18">
        <f>628112620266</f>
        <v>628112620266</v>
      </c>
      <c r="N6175" s="17" t="s">
        <v>77</v>
      </c>
      <c r="U6175" s="17"/>
      <c r="V6175" s="18">
        <f>628112620266</f>
        <v>628112620266</v>
      </c>
      <c r="W6175" t="s">
        <v>17527</v>
      </c>
    </row>
    <row r="6176" ht="15" customHeight="1" spans="1:23" x14ac:dyDescent="0.25">
      <c r="A6176" s="17" t="s">
        <v>17528</v>
      </c>
      <c r="B6176" s="17" t="s">
        <v>70</v>
      </c>
      <c r="C6176" s="17" t="s">
        <v>71</v>
      </c>
      <c r="D6176" t="s">
        <v>17529</v>
      </c>
      <c r="F6176" t="s">
        <v>1754</v>
      </c>
      <c r="K6176" s="18">
        <f>6281218992116</f>
        <v>6281218992116</v>
      </c>
      <c r="N6176" s="17" t="s">
        <v>81</v>
      </c>
      <c r="U6176" s="17"/>
      <c r="V6176" s="18">
        <f>6281218992116</f>
        <v>6281218992116</v>
      </c>
      <c r="W6176" t="s">
        <v>17530</v>
      </c>
    </row>
    <row r="6177" ht="15" customHeight="1" spans="1:25" x14ac:dyDescent="0.25">
      <c r="A6177" s="17" t="s">
        <v>17531</v>
      </c>
      <c r="B6177" s="17" t="s">
        <v>70</v>
      </c>
      <c r="C6177" s="17" t="s">
        <v>71</v>
      </c>
      <c r="D6177" t="s">
        <v>17532</v>
      </c>
      <c r="F6177" t="s">
        <v>7670</v>
      </c>
      <c r="K6177" s="18">
        <f>628121001660</f>
        <v>628121001660</v>
      </c>
      <c r="N6177" s="17" t="s">
        <v>77</v>
      </c>
      <c r="V6177" s="18">
        <f>628121001660</f>
        <v>628121001660</v>
      </c>
      <c r="Y6177" s="17" t="s">
        <v>2953</v>
      </c>
    </row>
    <row r="6178" ht="15" customHeight="1" spans="1:23" x14ac:dyDescent="0.25">
      <c r="A6178" s="17" t="s">
        <v>17533</v>
      </c>
      <c r="B6178" s="17" t="s">
        <v>70</v>
      </c>
      <c r="C6178" s="17" t="s">
        <v>71</v>
      </c>
      <c r="D6178" t="s">
        <v>17534</v>
      </c>
      <c r="F6178" t="s">
        <v>17535</v>
      </c>
      <c r="K6178" s="18">
        <f>628179800592</f>
        <v>628179800592</v>
      </c>
      <c r="N6178" s="17" t="s">
        <v>74</v>
      </c>
      <c r="U6178" s="17"/>
      <c r="V6178" s="18">
        <f>628179800592</f>
        <v>628179800592</v>
      </c>
      <c r="W6178" t="s">
        <v>17536</v>
      </c>
    </row>
    <row r="6179" ht="15" customHeight="1" spans="1:27" x14ac:dyDescent="0.25">
      <c r="A6179" s="17" t="s">
        <v>17537</v>
      </c>
      <c r="B6179" s="17" t="s">
        <v>70</v>
      </c>
      <c r="C6179" s="17" t="s">
        <v>71</v>
      </c>
      <c r="D6179" t="s">
        <v>17538</v>
      </c>
      <c r="F6179" t="s">
        <v>17539</v>
      </c>
      <c r="J6179" s="17" t="s">
        <v>17540</v>
      </c>
      <c r="K6179" s="18">
        <f>62818513634</f>
        <v>62818513634</v>
      </c>
      <c r="N6179" s="17" t="s">
        <v>81</v>
      </c>
      <c r="U6179" s="17"/>
      <c r="V6179" s="18">
        <f>62818513634</f>
        <v>62818513634</v>
      </c>
      <c r="W6179" t="s">
        <v>17541</v>
      </c>
      <c r="Y6179" s="17" t="s">
        <v>5286</v>
      </c>
      <c r="AA6179" s="17">
        <v>61218</v>
      </c>
    </row>
    <row r="6180" ht="15" customHeight="1" spans="1:22" x14ac:dyDescent="0.25">
      <c r="A6180" s="17" t="s">
        <v>17542</v>
      </c>
      <c r="B6180" s="17" t="s">
        <v>70</v>
      </c>
      <c r="C6180" s="17" t="s">
        <v>71</v>
      </c>
      <c r="D6180" t="s">
        <v>17543</v>
      </c>
      <c r="F6180" t="s">
        <v>17544</v>
      </c>
      <c r="K6180" s="18">
        <f>62816910588</f>
        <v>62816910588</v>
      </c>
      <c r="N6180" s="17" t="s">
        <v>77</v>
      </c>
      <c r="V6180" s="18">
        <f>62816910588</f>
        <v>62816910588</v>
      </c>
    </row>
    <row r="6181" ht="15" customHeight="1" spans="1:22" x14ac:dyDescent="0.25">
      <c r="A6181" s="17" t="s">
        <v>17545</v>
      </c>
      <c r="B6181" s="17" t="s">
        <v>70</v>
      </c>
      <c r="C6181" s="17" t="s">
        <v>71</v>
      </c>
      <c r="D6181" t="s">
        <v>17546</v>
      </c>
      <c r="F6181" t="s">
        <v>196</v>
      </c>
      <c r="K6181" s="18">
        <f>6285224807485</f>
        <v>6285224807485</v>
      </c>
      <c r="N6181" s="17" t="s">
        <v>81</v>
      </c>
      <c r="V6181" s="18">
        <f>6285224807485</f>
        <v>6285224807485</v>
      </c>
    </row>
    <row r="6182" ht="15" customHeight="1" spans="1:25" x14ac:dyDescent="0.25">
      <c r="A6182" s="17" t="s">
        <v>17547</v>
      </c>
      <c r="B6182" s="17" t="s">
        <v>70</v>
      </c>
      <c r="C6182" s="17" t="s">
        <v>71</v>
      </c>
      <c r="D6182" t="s">
        <v>17548</v>
      </c>
      <c r="F6182" t="s">
        <v>17549</v>
      </c>
      <c r="K6182" s="18">
        <f>62818113796</f>
        <v>62818113796</v>
      </c>
      <c r="N6182" s="17" t="s">
        <v>77</v>
      </c>
      <c r="U6182" s="17"/>
      <c r="V6182" s="18">
        <f>62818113796</f>
        <v>62818113796</v>
      </c>
      <c r="W6182" t="s">
        <v>17550</v>
      </c>
      <c r="Y6182" s="17" t="s">
        <v>90</v>
      </c>
    </row>
    <row r="6183" ht="15" customHeight="1" spans="1:22" x14ac:dyDescent="0.25">
      <c r="A6183" s="17" t="s">
        <v>17551</v>
      </c>
      <c r="B6183" s="17" t="s">
        <v>70</v>
      </c>
      <c r="C6183" s="17" t="s">
        <v>71</v>
      </c>
      <c r="D6183" t="s">
        <v>17552</v>
      </c>
      <c r="F6183" t="s">
        <v>17553</v>
      </c>
      <c r="J6183" s="17" t="s">
        <v>17554</v>
      </c>
      <c r="K6183" s="18">
        <f>610438336364</f>
        <v>610438336364</v>
      </c>
      <c r="N6183" s="17" t="s">
        <v>77</v>
      </c>
      <c r="V6183" s="18">
        <f>610438336364</f>
        <v>610438336364</v>
      </c>
    </row>
    <row r="6184" ht="15" customHeight="1" spans="1:28" x14ac:dyDescent="0.25">
      <c r="A6184" s="17" t="s">
        <v>17555</v>
      </c>
      <c r="B6184" s="17" t="s">
        <v>70</v>
      </c>
      <c r="C6184" s="17" t="s">
        <v>71</v>
      </c>
      <c r="D6184" t="s">
        <v>17552</v>
      </c>
      <c r="F6184" t="s">
        <v>1916</v>
      </c>
      <c r="J6184" t="s">
        <v>115</v>
      </c>
      <c r="K6184" s="18" t="s">
        <v>17556</v>
      </c>
      <c r="N6184" s="17" t="s">
        <v>77</v>
      </c>
      <c r="O6184" t="s">
        <v>489</v>
      </c>
      <c r="V6184" s="18" t="s">
        <v>17556</v>
      </c>
      <c r="Y6184" t="s">
        <v>515</v>
      </c>
      <c r="AA6184" t="s">
        <v>1614</v>
      </c>
      <c r="AB6184" t="s">
        <v>119</v>
      </c>
    </row>
    <row r="6185" ht="15" customHeight="1" spans="1:22" x14ac:dyDescent="0.25">
      <c r="A6185" s="17" t="s">
        <v>17557</v>
      </c>
      <c r="B6185" s="17" t="s">
        <v>70</v>
      </c>
      <c r="C6185" s="17" t="s">
        <v>71</v>
      </c>
      <c r="D6185" t="s">
        <v>3142</v>
      </c>
      <c r="F6185" t="s">
        <v>17558</v>
      </c>
      <c r="K6185" s="18">
        <f>6281519020203</f>
        <v>6281519020203</v>
      </c>
      <c r="N6185" s="17" t="s">
        <v>81</v>
      </c>
      <c r="V6185" s="18">
        <f>6281519020203</f>
        <v>6281519020203</v>
      </c>
    </row>
    <row r="6186" ht="15" customHeight="1" spans="1:23" x14ac:dyDescent="0.25">
      <c r="A6186" s="17" t="s">
        <v>17559</v>
      </c>
      <c r="B6186" s="17" t="s">
        <v>70</v>
      </c>
      <c r="C6186" s="17" t="s">
        <v>71</v>
      </c>
      <c r="D6186" t="s">
        <v>3142</v>
      </c>
      <c r="F6186" t="s">
        <v>17560</v>
      </c>
      <c r="K6186" s="18">
        <f>821046489910</f>
        <v>821046489910</v>
      </c>
      <c r="N6186" s="17" t="s">
        <v>77</v>
      </c>
      <c r="U6186" s="17"/>
      <c r="V6186" s="18">
        <f>821046489910</f>
        <v>821046489910</v>
      </c>
      <c r="W6186" t="s">
        <v>7614</v>
      </c>
    </row>
    <row r="6187" ht="15" customHeight="1" spans="1:23" x14ac:dyDescent="0.25">
      <c r="A6187" s="17" t="s">
        <v>17561</v>
      </c>
      <c r="B6187" s="17" t="s">
        <v>70</v>
      </c>
      <c r="C6187" s="17" t="s">
        <v>71</v>
      </c>
      <c r="D6187" t="s">
        <v>3142</v>
      </c>
      <c r="F6187" t="s">
        <v>12913</v>
      </c>
      <c r="K6187" s="18">
        <f>62817119007</f>
        <v>62817119007</v>
      </c>
      <c r="N6187" s="17" t="s">
        <v>81</v>
      </c>
      <c r="U6187" s="17"/>
      <c r="V6187" s="18">
        <f>62817119007</f>
        <v>62817119007</v>
      </c>
      <c r="W6187" t="s">
        <v>17562</v>
      </c>
    </row>
    <row r="6188" ht="15" customHeight="1" spans="1:28" x14ac:dyDescent="0.25">
      <c r="A6188" s="17" t="s">
        <v>17563</v>
      </c>
      <c r="B6188" s="17" t="s">
        <v>70</v>
      </c>
      <c r="C6188" s="17" t="s">
        <v>71</v>
      </c>
      <c r="D6188" t="s">
        <v>3142</v>
      </c>
      <c r="F6188" t="s">
        <v>17564</v>
      </c>
      <c r="J6188" s="17" t="s">
        <v>17565</v>
      </c>
      <c r="K6188" s="18" t="s">
        <v>17566</v>
      </c>
      <c r="N6188" s="17" t="s">
        <v>77</v>
      </c>
      <c r="O6188" t="s">
        <v>199</v>
      </c>
      <c r="U6188" s="17"/>
      <c r="V6188" s="18" t="s">
        <v>17566</v>
      </c>
      <c r="W6188" t="s">
        <v>17567</v>
      </c>
      <c r="Y6188" t="s">
        <v>930</v>
      </c>
      <c r="AA6188" t="s">
        <v>115</v>
      </c>
      <c r="AB6188" t="s">
        <v>930</v>
      </c>
    </row>
    <row r="6189" ht="15" customHeight="1" spans="1:28" x14ac:dyDescent="0.25">
      <c r="A6189" s="17" t="s">
        <v>17568</v>
      </c>
      <c r="B6189" s="17" t="s">
        <v>70</v>
      </c>
      <c r="C6189" s="17" t="s">
        <v>71</v>
      </c>
      <c r="D6189" t="s">
        <v>3142</v>
      </c>
      <c r="F6189" t="s">
        <v>17569</v>
      </c>
      <c r="J6189" s="17" t="s">
        <v>17570</v>
      </c>
      <c r="K6189" s="18" t="s">
        <v>17571</v>
      </c>
      <c r="N6189" s="17" t="s">
        <v>77</v>
      </c>
      <c r="O6189" t="s">
        <v>117</v>
      </c>
      <c r="U6189" s="17"/>
      <c r="V6189" s="18" t="s">
        <v>17571</v>
      </c>
      <c r="W6189" t="s">
        <v>3140</v>
      </c>
      <c r="Y6189" t="s">
        <v>3140</v>
      </c>
      <c r="AA6189" t="s">
        <v>115</v>
      </c>
      <c r="AB6189" t="s">
        <v>3140</v>
      </c>
    </row>
    <row r="6190" ht="15" customHeight="1" spans="1:22" x14ac:dyDescent="0.25">
      <c r="A6190" s="17" t="s">
        <v>17572</v>
      </c>
      <c r="B6190" s="17" t="s">
        <v>70</v>
      </c>
      <c r="C6190" s="17" t="s">
        <v>71</v>
      </c>
      <c r="D6190" t="s">
        <v>17573</v>
      </c>
      <c r="F6190" t="s">
        <v>17573</v>
      </c>
      <c r="K6190" s="18">
        <f>6282351818899</f>
        <v>6282351818899</v>
      </c>
      <c r="N6190" s="17" t="s">
        <v>77</v>
      </c>
      <c r="V6190" s="18">
        <f>6282351818899</f>
        <v>6282351818899</v>
      </c>
    </row>
    <row r="6191" ht="15" customHeight="1" spans="1:22" x14ac:dyDescent="0.25">
      <c r="A6191" s="17" t="s">
        <v>17574</v>
      </c>
      <c r="B6191" s="17" t="s">
        <v>70</v>
      </c>
      <c r="C6191" s="17" t="s">
        <v>71</v>
      </c>
      <c r="D6191" t="s">
        <v>17575</v>
      </c>
      <c r="F6191" t="s">
        <v>15578</v>
      </c>
      <c r="K6191" s="18">
        <f>6281289760470</f>
        <v>6281289760470</v>
      </c>
      <c r="N6191" s="17" t="s">
        <v>81</v>
      </c>
      <c r="V6191" s="18">
        <f>6281289760470</f>
        <v>6281289760470</v>
      </c>
    </row>
    <row r="6192" ht="15" customHeight="1" spans="1:22" x14ac:dyDescent="0.25">
      <c r="A6192" s="17" t="s">
        <v>17576</v>
      </c>
      <c r="B6192" s="17" t="s">
        <v>70</v>
      </c>
      <c r="C6192" s="17" t="s">
        <v>71</v>
      </c>
      <c r="D6192" t="s">
        <v>17577</v>
      </c>
      <c r="F6192" t="s">
        <v>7089</v>
      </c>
      <c r="K6192" s="18">
        <f>628118870050</f>
        <v>628118870050</v>
      </c>
      <c r="N6192" s="17" t="s">
        <v>81</v>
      </c>
      <c r="V6192" s="18">
        <f>628118870050</f>
        <v>628118870050</v>
      </c>
    </row>
    <row r="6193" ht="15" customHeight="1" spans="1:23" x14ac:dyDescent="0.25">
      <c r="A6193" s="17" t="s">
        <v>17578</v>
      </c>
      <c r="B6193" s="17" t="s">
        <v>70</v>
      </c>
      <c r="C6193" s="17" t="s">
        <v>71</v>
      </c>
      <c r="D6193" t="s">
        <v>17579</v>
      </c>
      <c r="F6193" t="s">
        <v>4566</v>
      </c>
      <c r="K6193" s="18" t="s">
        <v>17580</v>
      </c>
      <c r="N6193" s="17" t="s">
        <v>77</v>
      </c>
      <c r="U6193" s="17"/>
      <c r="V6193" s="18" t="s">
        <v>17580</v>
      </c>
      <c r="W6193" t="s">
        <v>181</v>
      </c>
    </row>
    <row r="6194" ht="15" customHeight="1" spans="1:22" x14ac:dyDescent="0.25">
      <c r="A6194" s="17" t="s">
        <v>17581</v>
      </c>
      <c r="B6194" s="17" t="s">
        <v>70</v>
      </c>
      <c r="C6194" s="17" t="s">
        <v>71</v>
      </c>
      <c r="D6194" t="s">
        <v>17582</v>
      </c>
      <c r="F6194" t="s">
        <v>17583</v>
      </c>
      <c r="K6194" s="18">
        <f>6281283684126</f>
        <v>6281283684126</v>
      </c>
      <c r="N6194" s="17" t="s">
        <v>74</v>
      </c>
      <c r="V6194" s="18">
        <f>6281283684126</f>
        <v>6281283684126</v>
      </c>
    </row>
    <row r="6195" ht="15" customHeight="1" spans="1:23" x14ac:dyDescent="0.25">
      <c r="A6195" s="17" t="s">
        <v>17584</v>
      </c>
      <c r="B6195" s="17" t="s">
        <v>70</v>
      </c>
      <c r="C6195" s="17" t="s">
        <v>71</v>
      </c>
      <c r="D6195" t="s">
        <v>17585</v>
      </c>
      <c r="F6195" t="s">
        <v>17586</v>
      </c>
      <c r="K6195" s="18">
        <f>818017481171</f>
        <v>818017481171</v>
      </c>
      <c r="N6195" s="17" t="s">
        <v>77</v>
      </c>
      <c r="U6195" s="17"/>
      <c r="V6195" s="18">
        <f>818017481171</f>
        <v>818017481171</v>
      </c>
      <c r="W6195" t="s">
        <v>2500</v>
      </c>
    </row>
    <row r="6196" ht="15" customHeight="1" spans="1:23" x14ac:dyDescent="0.25">
      <c r="A6196" s="17" t="s">
        <v>17587</v>
      </c>
      <c r="B6196" s="17" t="s">
        <v>70</v>
      </c>
      <c r="C6196" s="17" t="s">
        <v>71</v>
      </c>
      <c r="D6196" t="s">
        <v>17588</v>
      </c>
      <c r="F6196" t="s">
        <v>17442</v>
      </c>
      <c r="K6196" s="18">
        <f>97933217</f>
        <v>97933217</v>
      </c>
      <c r="N6196" s="17" t="s">
        <v>77</v>
      </c>
      <c r="U6196" s="17"/>
      <c r="V6196" s="18">
        <f>97933217</f>
        <v>97933217</v>
      </c>
      <c r="W6196" t="s">
        <v>2500</v>
      </c>
    </row>
    <row r="6197" ht="15" customHeight="1" spans="1:23" x14ac:dyDescent="0.25">
      <c r="A6197" s="17" t="s">
        <v>17589</v>
      </c>
      <c r="B6197" s="17" t="s">
        <v>70</v>
      </c>
      <c r="C6197" s="17" t="s">
        <v>71</v>
      </c>
      <c r="D6197" t="s">
        <v>17590</v>
      </c>
      <c r="F6197" t="s">
        <v>17591</v>
      </c>
      <c r="K6197" s="18">
        <f>20042023</f>
        <v>20042023</v>
      </c>
      <c r="N6197" s="17" t="s">
        <v>77</v>
      </c>
      <c r="U6197" s="17"/>
      <c r="V6197" s="18">
        <f>20042023</f>
        <v>20042023</v>
      </c>
      <c r="W6197" t="s">
        <v>14868</v>
      </c>
    </row>
    <row r="6198" ht="15" customHeight="1" spans="1:25" x14ac:dyDescent="0.25">
      <c r="A6198" s="17" t="s">
        <v>17592</v>
      </c>
      <c r="B6198" s="17" t="s">
        <v>70</v>
      </c>
      <c r="C6198" s="17" t="s">
        <v>71</v>
      </c>
      <c r="D6198" t="s">
        <v>17593</v>
      </c>
      <c r="F6198" t="s">
        <v>2159</v>
      </c>
      <c r="K6198" s="18">
        <f>62818312533</f>
        <v>62818312533</v>
      </c>
      <c r="N6198" s="17" t="s">
        <v>77</v>
      </c>
      <c r="U6198" s="17"/>
      <c r="V6198" s="18">
        <f>62818312533</f>
        <v>62818312533</v>
      </c>
      <c r="W6198" t="s">
        <v>17594</v>
      </c>
      <c r="Y6198" s="17" t="s">
        <v>704</v>
      </c>
    </row>
    <row r="6199" ht="15" customHeight="1" spans="1:25" x14ac:dyDescent="0.25">
      <c r="A6199" s="17" t="s">
        <v>17595</v>
      </c>
      <c r="B6199" s="17" t="s">
        <v>70</v>
      </c>
      <c r="C6199" s="17" t="s">
        <v>71</v>
      </c>
      <c r="D6199" t="s">
        <v>17596</v>
      </c>
      <c r="F6199" t="s">
        <v>17597</v>
      </c>
      <c r="K6199" s="18">
        <f>6287853324884</f>
        <v>6287853324884</v>
      </c>
      <c r="N6199" s="17" t="s">
        <v>77</v>
      </c>
      <c r="U6199" s="17"/>
      <c r="V6199" s="18">
        <f>6287853324884</f>
        <v>6287853324884</v>
      </c>
      <c r="W6199" t="s">
        <v>17598</v>
      </c>
      <c r="Y6199" s="17" t="s">
        <v>17599</v>
      </c>
    </row>
    <row r="6200" ht="15" customHeight="1" spans="1:27" x14ac:dyDescent="0.25">
      <c r="A6200" s="17" t="s">
        <v>17600</v>
      </c>
      <c r="B6200" s="17" t="s">
        <v>70</v>
      </c>
      <c r="C6200" s="17" t="s">
        <v>71</v>
      </c>
      <c r="D6200" t="s">
        <v>17601</v>
      </c>
      <c r="F6200" t="s">
        <v>10192</v>
      </c>
      <c r="K6200" s="18">
        <f>62811902233</f>
        <v>62811902233</v>
      </c>
      <c r="N6200" s="17" t="s">
        <v>74</v>
      </c>
      <c r="U6200" s="17"/>
      <c r="V6200" s="18">
        <f>62811902233</f>
        <v>62811902233</v>
      </c>
      <c r="W6200" t="s">
        <v>17602</v>
      </c>
      <c r="Y6200" s="17" t="s">
        <v>96</v>
      </c>
      <c r="AA6200" s="17" t="s">
        <v>13849</v>
      </c>
    </row>
    <row r="6201" ht="15" customHeight="1" spans="1:28" x14ac:dyDescent="0.25">
      <c r="A6201" s="17" t="s">
        <v>17603</v>
      </c>
      <c r="B6201" s="17" t="s">
        <v>70</v>
      </c>
      <c r="C6201" s="17" t="s">
        <v>71</v>
      </c>
      <c r="D6201" t="s">
        <v>17601</v>
      </c>
      <c r="F6201" t="s">
        <v>17604</v>
      </c>
      <c r="J6201" s="17" t="s">
        <v>17605</v>
      </c>
      <c r="K6201" s="18" t="s">
        <v>17606</v>
      </c>
      <c r="N6201" s="17" t="s">
        <v>74</v>
      </c>
      <c r="O6201" t="s">
        <v>489</v>
      </c>
      <c r="U6201" s="17"/>
      <c r="V6201" s="18" t="s">
        <v>17606</v>
      </c>
      <c r="W6201" t="s">
        <v>17607</v>
      </c>
      <c r="Y6201" s="17" t="s">
        <v>96</v>
      </c>
      <c r="AA6201" t="s">
        <v>693</v>
      </c>
      <c r="AB6201" t="s">
        <v>119</v>
      </c>
    </row>
    <row r="6202" ht="15" customHeight="1" spans="1:23" x14ac:dyDescent="0.25">
      <c r="A6202" s="17" t="s">
        <v>17608</v>
      </c>
      <c r="B6202" s="17" t="s">
        <v>70</v>
      </c>
      <c r="C6202" s="17" t="s">
        <v>71</v>
      </c>
      <c r="D6202" t="s">
        <v>17601</v>
      </c>
      <c r="F6202" t="s">
        <v>17609</v>
      </c>
      <c r="K6202" s="18">
        <f>628551010707</f>
        <v>628551010707</v>
      </c>
      <c r="N6202" s="17" t="s">
        <v>77</v>
      </c>
      <c r="U6202" s="17"/>
      <c r="V6202" s="18">
        <f>628551010707</f>
        <v>628551010707</v>
      </c>
      <c r="W6202" t="s">
        <v>17610</v>
      </c>
    </row>
    <row r="6203" ht="15" customHeight="1" spans="1:22" x14ac:dyDescent="0.25">
      <c r="A6203" s="17" t="s">
        <v>17611</v>
      </c>
      <c r="B6203" s="17" t="s">
        <v>70</v>
      </c>
      <c r="C6203" s="17" t="s">
        <v>71</v>
      </c>
      <c r="D6203" t="s">
        <v>17612</v>
      </c>
      <c r="F6203" t="s">
        <v>7297</v>
      </c>
      <c r="K6203" s="18">
        <f>6281212099004</f>
        <v>6281212099004</v>
      </c>
      <c r="N6203" s="17" t="s">
        <v>77</v>
      </c>
      <c r="V6203" s="18">
        <f>6281212099004</f>
        <v>6281212099004</v>
      </c>
    </row>
    <row r="6204" ht="15" customHeight="1" spans="1:23" x14ac:dyDescent="0.25">
      <c r="A6204" s="17" t="s">
        <v>17613</v>
      </c>
      <c r="B6204" s="17" t="s">
        <v>70</v>
      </c>
      <c r="C6204" s="17" t="s">
        <v>71</v>
      </c>
      <c r="D6204" t="s">
        <v>17614</v>
      </c>
      <c r="F6204" t="s">
        <v>17615</v>
      </c>
      <c r="J6204" s="17" t="s">
        <v>17616</v>
      </c>
      <c r="K6204" s="18">
        <f>61455619586</f>
        <v>61455619586</v>
      </c>
      <c r="N6204" s="17" t="s">
        <v>77</v>
      </c>
      <c r="U6204" s="17"/>
      <c r="V6204" s="18">
        <f>61455619586</f>
        <v>61455619586</v>
      </c>
      <c r="W6204" t="s">
        <v>3140</v>
      </c>
    </row>
    <row r="6205" ht="15" customHeight="1" spans="1:23" x14ac:dyDescent="0.25">
      <c r="A6205" s="17" t="s">
        <v>17617</v>
      </c>
      <c r="B6205" s="17" t="s">
        <v>70</v>
      </c>
      <c r="C6205" s="17" t="s">
        <v>71</v>
      </c>
      <c r="D6205" t="s">
        <v>17614</v>
      </c>
      <c r="F6205" t="s">
        <v>17618</v>
      </c>
      <c r="J6205" s="17" t="s">
        <v>17619</v>
      </c>
      <c r="K6205" s="18">
        <f>8615898802116</f>
        <v>8615898802116</v>
      </c>
      <c r="N6205" s="17" t="s">
        <v>77</v>
      </c>
      <c r="U6205" s="17"/>
      <c r="V6205" s="18">
        <f>8615898802116</f>
        <v>8615898802116</v>
      </c>
      <c r="W6205" t="s">
        <v>3140</v>
      </c>
    </row>
    <row r="6206" ht="15" customHeight="1" spans="1:25" x14ac:dyDescent="0.25">
      <c r="A6206" s="17" t="s">
        <v>17620</v>
      </c>
      <c r="B6206" s="17" t="s">
        <v>70</v>
      </c>
      <c r="C6206" s="17" t="s">
        <v>71</v>
      </c>
      <c r="D6206" t="s">
        <v>17621</v>
      </c>
      <c r="F6206" t="s">
        <v>17622</v>
      </c>
      <c r="K6206" s="18">
        <f>62811137845</f>
        <v>62811137845</v>
      </c>
      <c r="N6206" s="17" t="s">
        <v>77</v>
      </c>
      <c r="U6206" s="17"/>
      <c r="V6206" s="18">
        <f>62811137845</f>
        <v>62811137845</v>
      </c>
      <c r="W6206" t="s">
        <v>17623</v>
      </c>
      <c r="Y6206" s="17" t="s">
        <v>410</v>
      </c>
    </row>
    <row r="6207" ht="15" customHeight="1" spans="1:23" x14ac:dyDescent="0.25">
      <c r="A6207" s="17" t="s">
        <v>17624</v>
      </c>
      <c r="B6207" s="17" t="s">
        <v>70</v>
      </c>
      <c r="C6207" s="17" t="s">
        <v>71</v>
      </c>
      <c r="D6207" t="s">
        <v>17625</v>
      </c>
      <c r="F6207" t="s">
        <v>17626</v>
      </c>
      <c r="J6207" s="17" t="s">
        <v>17627</v>
      </c>
      <c r="K6207" s="18">
        <f>886987232888</f>
        <v>886987232888</v>
      </c>
      <c r="N6207" s="17" t="s">
        <v>77</v>
      </c>
      <c r="U6207" s="17"/>
      <c r="V6207" s="18">
        <f>886987232888</f>
        <v>886987232888</v>
      </c>
      <c r="W6207" t="s">
        <v>7107</v>
      </c>
    </row>
    <row r="6208" ht="15" customHeight="1" spans="1:22" x14ac:dyDescent="0.25">
      <c r="A6208" s="17" t="s">
        <v>17628</v>
      </c>
      <c r="B6208" s="17" t="s">
        <v>70</v>
      </c>
      <c r="C6208" s="17" t="s">
        <v>71</v>
      </c>
      <c r="D6208" t="s">
        <v>17629</v>
      </c>
      <c r="F6208" t="s">
        <v>17630</v>
      </c>
      <c r="K6208" s="18">
        <f>61425835080</f>
        <v>61425835080</v>
      </c>
      <c r="N6208" s="17" t="s">
        <v>77</v>
      </c>
      <c r="V6208" s="18">
        <f>61425835080</f>
        <v>61425835080</v>
      </c>
    </row>
    <row r="6209" ht="15" customHeight="1" spans="1:23" x14ac:dyDescent="0.25">
      <c r="A6209" s="17" t="s">
        <v>17631</v>
      </c>
      <c r="B6209" s="17" t="s">
        <v>70</v>
      </c>
      <c r="C6209" s="17" t="s">
        <v>71</v>
      </c>
      <c r="D6209" t="s">
        <v>17629</v>
      </c>
      <c r="F6209" t="s">
        <v>7123</v>
      </c>
      <c r="K6209" s="18">
        <f>88692056872</f>
        <v>88692056872</v>
      </c>
      <c r="N6209" s="17" t="s">
        <v>77</v>
      </c>
      <c r="U6209" s="17"/>
      <c r="V6209" s="18">
        <f>88692056872</f>
        <v>88692056872</v>
      </c>
      <c r="W6209" t="s">
        <v>7107</v>
      </c>
    </row>
    <row r="6210" ht="15" customHeight="1" spans="1:23" x14ac:dyDescent="0.25">
      <c r="A6210" s="17" t="s">
        <v>17632</v>
      </c>
      <c r="B6210" s="17" t="s">
        <v>70</v>
      </c>
      <c r="C6210" s="17" t="s">
        <v>71</v>
      </c>
      <c r="D6210" t="s">
        <v>17633</v>
      </c>
      <c r="F6210" t="s">
        <v>17634</v>
      </c>
      <c r="K6210" s="18">
        <f>886935000541</f>
        <v>886935000541</v>
      </c>
      <c r="N6210" s="17" t="s">
        <v>77</v>
      </c>
      <c r="U6210" s="17"/>
      <c r="V6210" s="18">
        <f>886935000541</f>
        <v>886935000541</v>
      </c>
      <c r="W6210" t="s">
        <v>7107</v>
      </c>
    </row>
    <row r="6211" ht="15" customHeight="1" spans="1:23" x14ac:dyDescent="0.25">
      <c r="A6211" s="17" t="s">
        <v>17635</v>
      </c>
      <c r="B6211" s="17" t="s">
        <v>70</v>
      </c>
      <c r="C6211" s="17" t="s">
        <v>71</v>
      </c>
      <c r="D6211" t="s">
        <v>17636</v>
      </c>
      <c r="F6211" t="s">
        <v>17637</v>
      </c>
      <c r="K6211" s="18">
        <f>886919287545</f>
        <v>886919287545</v>
      </c>
      <c r="N6211" s="17" t="s">
        <v>77</v>
      </c>
      <c r="U6211" s="17"/>
      <c r="V6211" s="18">
        <f>886919287545</f>
        <v>886919287545</v>
      </c>
      <c r="W6211" t="s">
        <v>3140</v>
      </c>
    </row>
    <row r="6212" ht="15" customHeight="1" spans="1:23" x14ac:dyDescent="0.25">
      <c r="A6212" s="17" t="s">
        <v>17638</v>
      </c>
      <c r="B6212" s="17" t="s">
        <v>70</v>
      </c>
      <c r="C6212" s="17" t="s">
        <v>71</v>
      </c>
      <c r="D6212" t="s">
        <v>17639</v>
      </c>
      <c r="F6212" t="s">
        <v>17640</v>
      </c>
      <c r="K6212" s="18">
        <f>6285811333100</f>
        <v>6285811333100</v>
      </c>
      <c r="N6212" s="17" t="s">
        <v>77</v>
      </c>
      <c r="U6212" s="17"/>
      <c r="V6212" s="18">
        <f>6285811333100</f>
        <v>6285811333100</v>
      </c>
      <c r="W6212" t="s">
        <v>17641</v>
      </c>
    </row>
    <row r="6213" ht="15" customHeight="1" spans="1:22" x14ac:dyDescent="0.25">
      <c r="A6213" s="17" t="s">
        <v>17642</v>
      </c>
      <c r="B6213" s="17" t="s">
        <v>70</v>
      </c>
      <c r="C6213" s="17" t="s">
        <v>71</v>
      </c>
      <c r="D6213" t="s">
        <v>17639</v>
      </c>
      <c r="F6213" t="s">
        <v>17643</v>
      </c>
      <c r="K6213" s="18">
        <f>6281288829124</f>
        <v>6281288829124</v>
      </c>
      <c r="N6213" s="17" t="s">
        <v>81</v>
      </c>
      <c r="V6213" s="18">
        <f>6281288829124</f>
        <v>6281288829124</v>
      </c>
    </row>
    <row r="6214" ht="15" customHeight="1" spans="1:22" x14ac:dyDescent="0.25">
      <c r="A6214" s="17" t="s">
        <v>17644</v>
      </c>
      <c r="B6214" s="17" t="s">
        <v>70</v>
      </c>
      <c r="C6214" s="17" t="s">
        <v>71</v>
      </c>
      <c r="D6214" t="s">
        <v>17639</v>
      </c>
      <c r="F6214" t="s">
        <v>17645</v>
      </c>
      <c r="J6214" s="17" t="s">
        <v>17646</v>
      </c>
      <c r="K6214" s="18">
        <v>13886086022</v>
      </c>
      <c r="N6214" s="17" t="s">
        <v>81</v>
      </c>
      <c r="V6214" s="18">
        <v>13886086022</v>
      </c>
    </row>
    <row r="6215" ht="15" customHeight="1" spans="1:25" x14ac:dyDescent="0.25">
      <c r="A6215" s="17" t="s">
        <v>17647</v>
      </c>
      <c r="B6215" s="17" t="s">
        <v>70</v>
      </c>
      <c r="C6215" s="17" t="s">
        <v>71</v>
      </c>
      <c r="D6215" t="s">
        <v>17639</v>
      </c>
      <c r="F6215" t="s">
        <v>7414</v>
      </c>
      <c r="K6215" s="18">
        <f>8121394567</f>
        <v>8121394567</v>
      </c>
      <c r="N6215" s="17" t="s">
        <v>81</v>
      </c>
      <c r="V6215" s="18">
        <f>8121394567</f>
        <v>8121394567</v>
      </c>
      <c r="Y6215" s="17" t="s">
        <v>3140</v>
      </c>
    </row>
    <row r="6216" ht="15" customHeight="1" spans="1:25" x14ac:dyDescent="0.25">
      <c r="A6216" s="17" t="s">
        <v>17648</v>
      </c>
      <c r="B6216" s="17" t="s">
        <v>70</v>
      </c>
      <c r="C6216" s="17" t="s">
        <v>71</v>
      </c>
      <c r="D6216" t="s">
        <v>17639</v>
      </c>
      <c r="F6216" t="s">
        <v>17649</v>
      </c>
      <c r="J6216" s="17" t="s">
        <v>17650</v>
      </c>
      <c r="K6216" s="18">
        <f>6281286538933</f>
        <v>6281286538933</v>
      </c>
      <c r="N6216" s="17" t="s">
        <v>81</v>
      </c>
      <c r="U6216" s="17"/>
      <c r="V6216" s="18">
        <f>6281286538933</f>
        <v>6281286538933</v>
      </c>
      <c r="W6216" t="s">
        <v>17651</v>
      </c>
      <c r="Y6216" s="17" t="s">
        <v>1084</v>
      </c>
    </row>
    <row r="6217" ht="15" customHeight="1" spans="1:22" x14ac:dyDescent="0.25">
      <c r="A6217" s="17" t="s">
        <v>17652</v>
      </c>
      <c r="B6217" s="17" t="s">
        <v>70</v>
      </c>
      <c r="C6217" s="17" t="s">
        <v>71</v>
      </c>
      <c r="D6217" t="s">
        <v>17639</v>
      </c>
      <c r="F6217" t="s">
        <v>7405</v>
      </c>
      <c r="K6217" s="18">
        <f>138578010289</f>
        <v>138578010289</v>
      </c>
      <c r="N6217" s="17" t="s">
        <v>77</v>
      </c>
      <c r="V6217" s="18">
        <f>138578010289</f>
        <v>138578010289</v>
      </c>
    </row>
    <row r="6218" ht="15" customHeight="1" spans="1:23" x14ac:dyDescent="0.25">
      <c r="A6218" s="17" t="s">
        <v>17653</v>
      </c>
      <c r="B6218" s="17" t="s">
        <v>70</v>
      </c>
      <c r="C6218" s="17" t="s">
        <v>71</v>
      </c>
      <c r="D6218" t="s">
        <v>17654</v>
      </c>
      <c r="F6218" t="s">
        <v>16000</v>
      </c>
      <c r="J6218" s="17" t="s">
        <v>17655</v>
      </c>
      <c r="K6218" s="18">
        <f>8615186981965</f>
        <v>8615186981965</v>
      </c>
      <c r="N6218" s="17" t="s">
        <v>77</v>
      </c>
      <c r="U6218" s="17"/>
      <c r="V6218" s="18">
        <f>8615186981965</f>
        <v>8615186981965</v>
      </c>
      <c r="W6218" t="s">
        <v>3140</v>
      </c>
    </row>
    <row r="6219" ht="15" customHeight="1" spans="1:23" x14ac:dyDescent="0.25">
      <c r="A6219" s="17" t="s">
        <v>17656</v>
      </c>
      <c r="B6219" s="17" t="s">
        <v>70</v>
      </c>
      <c r="C6219" s="17" t="s">
        <v>71</v>
      </c>
      <c r="D6219" t="s">
        <v>17654</v>
      </c>
      <c r="F6219" t="s">
        <v>17657</v>
      </c>
      <c r="J6219" s="17" t="s">
        <v>17658</v>
      </c>
      <c r="K6219" s="18">
        <f>8618805716611</f>
        <v>8618805716611</v>
      </c>
      <c r="N6219" s="17" t="s">
        <v>77</v>
      </c>
      <c r="U6219" s="17"/>
      <c r="V6219" s="18">
        <f>8618805716611</f>
        <v>8618805716611</v>
      </c>
      <c r="W6219" t="s">
        <v>3140</v>
      </c>
    </row>
    <row r="6220" ht="15" customHeight="1" spans="1:28" x14ac:dyDescent="0.25">
      <c r="A6220" s="17" t="s">
        <v>17659</v>
      </c>
      <c r="B6220" s="17" t="s">
        <v>70</v>
      </c>
      <c r="C6220" s="17" t="s">
        <v>71</v>
      </c>
      <c r="D6220" t="s">
        <v>10795</v>
      </c>
      <c r="F6220" t="s">
        <v>7304</v>
      </c>
      <c r="J6220" s="17" t="s">
        <v>17660</v>
      </c>
      <c r="K6220" s="18" t="s">
        <v>17661</v>
      </c>
      <c r="N6220" s="17" t="s">
        <v>77</v>
      </c>
      <c r="O6220" t="s">
        <v>145</v>
      </c>
      <c r="V6220" s="18" t="s">
        <v>17661</v>
      </c>
      <c r="Y6220" t="s">
        <v>115</v>
      </c>
      <c r="AA6220" t="s">
        <v>115</v>
      </c>
      <c r="AB6220" t="s">
        <v>3140</v>
      </c>
    </row>
    <row r="6221" ht="15" customHeight="1" spans="1:28" x14ac:dyDescent="0.25">
      <c r="A6221" s="17" t="s">
        <v>17662</v>
      </c>
      <c r="B6221" s="17" t="s">
        <v>70</v>
      </c>
      <c r="C6221" s="17" t="s">
        <v>71</v>
      </c>
      <c r="D6221" t="s">
        <v>10795</v>
      </c>
      <c r="F6221" t="s">
        <v>6979</v>
      </c>
      <c r="J6221" t="s">
        <v>115</v>
      </c>
      <c r="K6221" s="18" t="s">
        <v>17663</v>
      </c>
      <c r="N6221" s="17" t="s">
        <v>77</v>
      </c>
      <c r="O6221" t="s">
        <v>199</v>
      </c>
      <c r="V6221" s="18" t="s">
        <v>17663</v>
      </c>
      <c r="Y6221" s="17" t="s">
        <v>3140</v>
      </c>
      <c r="AA6221" t="s">
        <v>115</v>
      </c>
      <c r="AB6221" t="s">
        <v>3140</v>
      </c>
    </row>
    <row r="6222" ht="15" customHeight="1" spans="1:22" x14ac:dyDescent="0.25">
      <c r="A6222" s="17" t="s">
        <v>17664</v>
      </c>
      <c r="B6222" s="17" t="s">
        <v>70</v>
      </c>
      <c r="C6222" s="17" t="s">
        <v>71</v>
      </c>
      <c r="D6222" t="s">
        <v>9293</v>
      </c>
      <c r="F6222" t="s">
        <v>3092</v>
      </c>
      <c r="K6222" s="18">
        <f>17720157603</f>
        <v>17720157603</v>
      </c>
      <c r="N6222" s="17" t="s">
        <v>77</v>
      </c>
      <c r="V6222" s="18">
        <f>17720157603</f>
        <v>17720157603</v>
      </c>
    </row>
    <row r="6223" ht="15" customHeight="1" spans="1:22" x14ac:dyDescent="0.25">
      <c r="A6223" s="17" t="s">
        <v>17665</v>
      </c>
      <c r="B6223" s="17" t="s">
        <v>70</v>
      </c>
      <c r="C6223" s="17" t="s">
        <v>71</v>
      </c>
      <c r="D6223" t="s">
        <v>7153</v>
      </c>
      <c r="F6223" t="s">
        <v>7405</v>
      </c>
      <c r="K6223" s="18">
        <f>6282125898066</f>
        <v>6282125898066</v>
      </c>
      <c r="N6223" s="17" t="s">
        <v>77</v>
      </c>
      <c r="V6223" s="18">
        <f>6282125898066</f>
        <v>6282125898066</v>
      </c>
    </row>
    <row r="6224" ht="15" customHeight="1" spans="1:28" x14ac:dyDescent="0.25">
      <c r="A6224" s="17" t="s">
        <v>17666</v>
      </c>
      <c r="B6224" s="17" t="s">
        <v>70</v>
      </c>
      <c r="C6224" s="17" t="s">
        <v>71</v>
      </c>
      <c r="D6224" t="s">
        <v>17667</v>
      </c>
      <c r="F6224" t="s">
        <v>7153</v>
      </c>
      <c r="J6224" t="s">
        <v>115</v>
      </c>
      <c r="K6224" s="18" t="s">
        <v>17668</v>
      </c>
      <c r="N6224" s="17" t="s">
        <v>77</v>
      </c>
      <c r="O6224" t="s">
        <v>117</v>
      </c>
      <c r="V6224" s="18" t="s">
        <v>17668</v>
      </c>
      <c r="Y6224" t="s">
        <v>90</v>
      </c>
      <c r="AA6224" t="s">
        <v>118</v>
      </c>
      <c r="AB6224" t="s">
        <v>119</v>
      </c>
    </row>
    <row r="6225" ht="15" customHeight="1" spans="1:22" x14ac:dyDescent="0.25">
      <c r="A6225" s="17" t="s">
        <v>17669</v>
      </c>
      <c r="B6225" s="17" t="s">
        <v>70</v>
      </c>
      <c r="C6225" s="17" t="s">
        <v>71</v>
      </c>
      <c r="D6225" t="s">
        <v>7153</v>
      </c>
      <c r="F6225" t="s">
        <v>17670</v>
      </c>
      <c r="K6225" s="18">
        <f>8618613816141</f>
        <v>8618613816141</v>
      </c>
      <c r="N6225" s="17" t="s">
        <v>81</v>
      </c>
      <c r="V6225" s="18">
        <f>8618613816141</f>
        <v>8618613816141</v>
      </c>
    </row>
    <row r="6226" ht="15" customHeight="1" spans="1:23" x14ac:dyDescent="0.25">
      <c r="A6226" s="17" t="s">
        <v>17671</v>
      </c>
      <c r="B6226" s="17" t="s">
        <v>70</v>
      </c>
      <c r="C6226" s="17" t="s">
        <v>71</v>
      </c>
      <c r="D6226" t="s">
        <v>7153</v>
      </c>
      <c r="F6226" t="s">
        <v>17672</v>
      </c>
      <c r="K6226" s="18">
        <f>18358919202</f>
        <v>18358919202</v>
      </c>
      <c r="N6226" s="17" t="s">
        <v>81</v>
      </c>
      <c r="U6226" s="17"/>
      <c r="V6226" s="18">
        <f>18358919202</f>
        <v>18358919202</v>
      </c>
      <c r="W6226" t="s">
        <v>17673</v>
      </c>
    </row>
    <row r="6227" ht="15" customHeight="1" spans="1:28" x14ac:dyDescent="0.25">
      <c r="A6227" s="17" t="s">
        <v>17674</v>
      </c>
      <c r="B6227" s="17" t="s">
        <v>70</v>
      </c>
      <c r="C6227" s="17" t="s">
        <v>71</v>
      </c>
      <c r="D6227" t="s">
        <v>7153</v>
      </c>
      <c r="F6227" t="s">
        <v>17675</v>
      </c>
      <c r="J6227" t="s">
        <v>115</v>
      </c>
      <c r="K6227" s="18" t="s">
        <v>17676</v>
      </c>
      <c r="N6227" s="17" t="s">
        <v>77</v>
      </c>
      <c r="O6227" t="s">
        <v>117</v>
      </c>
      <c r="U6227" s="17"/>
      <c r="V6227" s="18" t="s">
        <v>17676</v>
      </c>
      <c r="W6227" t="s">
        <v>17677</v>
      </c>
      <c r="Y6227" t="s">
        <v>115</v>
      </c>
      <c r="AA6227" t="s">
        <v>115</v>
      </c>
      <c r="AB6227" t="s">
        <v>119</v>
      </c>
    </row>
    <row r="6228" ht="15" customHeight="1" spans="1:22" x14ac:dyDescent="0.25">
      <c r="A6228" s="17" t="s">
        <v>17678</v>
      </c>
      <c r="B6228" s="17" t="s">
        <v>70</v>
      </c>
      <c r="C6228" s="17" t="s">
        <v>71</v>
      </c>
      <c r="D6228" t="s">
        <v>7153</v>
      </c>
      <c r="F6228" t="s">
        <v>13966</v>
      </c>
      <c r="K6228" s="18">
        <f>628530748888</f>
        <v>628530748888</v>
      </c>
      <c r="N6228" s="17" t="s">
        <v>77</v>
      </c>
      <c r="V6228" s="18">
        <f>628530748888</f>
        <v>628530748888</v>
      </c>
    </row>
    <row r="6229" ht="15" customHeight="1" spans="1:22" x14ac:dyDescent="0.25">
      <c r="A6229" s="17" t="s">
        <v>17679</v>
      </c>
      <c r="B6229" s="17" t="s">
        <v>70</v>
      </c>
      <c r="C6229" s="17" t="s">
        <v>71</v>
      </c>
      <c r="D6229" t="s">
        <v>7153</v>
      </c>
      <c r="F6229" t="s">
        <v>17680</v>
      </c>
      <c r="K6229" s="18" t="s">
        <v>17681</v>
      </c>
      <c r="N6229" s="17" t="s">
        <v>81</v>
      </c>
      <c r="V6229" s="18" t="s">
        <v>17681</v>
      </c>
    </row>
    <row r="6230" ht="15" customHeight="1" spans="1:22" x14ac:dyDescent="0.25">
      <c r="A6230" s="17" t="s">
        <v>17682</v>
      </c>
      <c r="B6230" s="17" t="s">
        <v>70</v>
      </c>
      <c r="C6230" s="17" t="s">
        <v>71</v>
      </c>
      <c r="D6230" t="s">
        <v>7153</v>
      </c>
      <c r="F6230" t="s">
        <v>7341</v>
      </c>
      <c r="K6230" s="18">
        <f>18322880750</f>
        <v>18322880750</v>
      </c>
      <c r="N6230" s="17" t="s">
        <v>81</v>
      </c>
      <c r="V6230" s="18">
        <f>18322880750</f>
        <v>18322880750</v>
      </c>
    </row>
    <row r="6231" ht="15" customHeight="1" spans="1:22" x14ac:dyDescent="0.25">
      <c r="A6231" s="17" t="s">
        <v>17683</v>
      </c>
      <c r="B6231" s="17" t="s">
        <v>70</v>
      </c>
      <c r="C6231" s="17" t="s">
        <v>71</v>
      </c>
      <c r="D6231" t="s">
        <v>7153</v>
      </c>
      <c r="F6231" t="s">
        <v>17684</v>
      </c>
      <c r="K6231" s="18">
        <f>6285132416786</f>
        <v>6285132416786</v>
      </c>
      <c r="N6231" s="17" t="s">
        <v>77</v>
      </c>
      <c r="V6231" s="18">
        <f>6285132416786</f>
        <v>6285132416786</v>
      </c>
    </row>
    <row r="6232" ht="15" customHeight="1" spans="1:22" x14ac:dyDescent="0.25">
      <c r="A6232" s="17" t="s">
        <v>17685</v>
      </c>
      <c r="B6232" s="17" t="s">
        <v>70</v>
      </c>
      <c r="C6232" s="17" t="s">
        <v>71</v>
      </c>
      <c r="D6232" t="s">
        <v>7153</v>
      </c>
      <c r="F6232" t="s">
        <v>17686</v>
      </c>
      <c r="K6232" s="18">
        <f>6282365006666</f>
        <v>6282365006666</v>
      </c>
      <c r="N6232" s="17" t="s">
        <v>77</v>
      </c>
      <c r="V6232" s="18">
        <f>6282365006666</f>
        <v>6282365006666</v>
      </c>
    </row>
    <row r="6233" ht="15" customHeight="1" spans="1:22" x14ac:dyDescent="0.25">
      <c r="A6233" s="17" t="s">
        <v>17687</v>
      </c>
      <c r="B6233" s="17" t="s">
        <v>70</v>
      </c>
      <c r="C6233" s="17" t="s">
        <v>71</v>
      </c>
      <c r="D6233" t="s">
        <v>7153</v>
      </c>
      <c r="F6233" t="s">
        <v>17688</v>
      </c>
      <c r="K6233" s="18">
        <f>6281285405806</f>
        <v>6281285405806</v>
      </c>
      <c r="N6233" s="17" t="s">
        <v>77</v>
      </c>
      <c r="V6233" s="18">
        <f>6281285405806</f>
        <v>6281285405806</v>
      </c>
    </row>
    <row r="6234" ht="15" customHeight="1" spans="1:28" x14ac:dyDescent="0.25">
      <c r="A6234" s="17" t="s">
        <v>17689</v>
      </c>
      <c r="B6234" s="17" t="s">
        <v>70</v>
      </c>
      <c r="C6234" s="17" t="s">
        <v>71</v>
      </c>
      <c r="D6234" t="s">
        <v>7153</v>
      </c>
      <c r="F6234" t="s">
        <v>17690</v>
      </c>
      <c r="J6234" s="17" t="s">
        <v>17691</v>
      </c>
      <c r="K6234" s="18" t="s">
        <v>17692</v>
      </c>
      <c r="N6234" s="17" t="s">
        <v>77</v>
      </c>
      <c r="O6234" t="s">
        <v>117</v>
      </c>
      <c r="V6234" s="18" t="s">
        <v>17692</v>
      </c>
      <c r="Y6234" t="s">
        <v>3140</v>
      </c>
      <c r="AA6234" t="s">
        <v>115</v>
      </c>
      <c r="AB6234" t="s">
        <v>3140</v>
      </c>
    </row>
    <row r="6235" ht="15" customHeight="1" spans="1:28" x14ac:dyDescent="0.25">
      <c r="A6235" s="17" t="s">
        <v>17693</v>
      </c>
      <c r="B6235" s="17" t="s">
        <v>70</v>
      </c>
      <c r="C6235" s="17" t="s">
        <v>71</v>
      </c>
      <c r="D6235" t="s">
        <v>17694</v>
      </c>
      <c r="F6235" t="s">
        <v>17695</v>
      </c>
      <c r="J6235" s="17" t="s">
        <v>17696</v>
      </c>
      <c r="K6235" s="18" t="s">
        <v>17697</v>
      </c>
      <c r="N6235" s="17" t="s">
        <v>77</v>
      </c>
      <c r="O6235" t="s">
        <v>117</v>
      </c>
      <c r="U6235" s="17"/>
      <c r="V6235" s="18" t="s">
        <v>17697</v>
      </c>
      <c r="W6235" t="s">
        <v>17698</v>
      </c>
      <c r="Y6235" t="s">
        <v>3140</v>
      </c>
      <c r="AA6235" t="s">
        <v>115</v>
      </c>
      <c r="AB6235" t="s">
        <v>3140</v>
      </c>
    </row>
    <row r="6236" ht="15" customHeight="1" spans="1:23" x14ac:dyDescent="0.25">
      <c r="A6236" s="17" t="s">
        <v>17699</v>
      </c>
      <c r="B6236" s="17" t="s">
        <v>70</v>
      </c>
      <c r="C6236" s="17" t="s">
        <v>71</v>
      </c>
      <c r="D6236" t="s">
        <v>17694</v>
      </c>
      <c r="F6236" t="s">
        <v>17700</v>
      </c>
      <c r="K6236" s="18">
        <f>85291957156</f>
        <v>85291957156</v>
      </c>
      <c r="N6236" s="17" t="s">
        <v>77</v>
      </c>
      <c r="U6236" s="17"/>
      <c r="V6236" s="18">
        <f>85291957156</f>
        <v>85291957156</v>
      </c>
      <c r="W6236" t="s">
        <v>3140</v>
      </c>
    </row>
    <row r="6237" ht="15" customHeight="1" spans="1:28" x14ac:dyDescent="0.25">
      <c r="A6237" s="17" t="s">
        <v>17701</v>
      </c>
      <c r="B6237" s="17" t="s">
        <v>70</v>
      </c>
      <c r="C6237" s="17" t="s">
        <v>71</v>
      </c>
      <c r="D6237" t="s">
        <v>7153</v>
      </c>
      <c r="F6237" t="s">
        <v>17702</v>
      </c>
      <c r="J6237" s="17" t="s">
        <v>17703</v>
      </c>
      <c r="K6237" s="18" t="s">
        <v>17704</v>
      </c>
      <c r="N6237" s="17" t="s">
        <v>77</v>
      </c>
      <c r="O6237" t="s">
        <v>117</v>
      </c>
      <c r="V6237" s="18" t="s">
        <v>17704</v>
      </c>
      <c r="Y6237" t="s">
        <v>115</v>
      </c>
      <c r="AA6237" t="s">
        <v>115</v>
      </c>
      <c r="AB6237" t="s">
        <v>3140</v>
      </c>
    </row>
    <row r="6238" ht="15" customHeight="1" spans="1:28" x14ac:dyDescent="0.25">
      <c r="A6238" s="17" t="s">
        <v>17705</v>
      </c>
      <c r="B6238" s="17" t="s">
        <v>70</v>
      </c>
      <c r="C6238" s="17" t="s">
        <v>71</v>
      </c>
      <c r="D6238" t="s">
        <v>17694</v>
      </c>
      <c r="F6238" t="s">
        <v>17706</v>
      </c>
      <c r="J6238" s="17" t="s">
        <v>17707</v>
      </c>
      <c r="K6238" s="18" t="s">
        <v>17708</v>
      </c>
      <c r="N6238" s="17" t="s">
        <v>77</v>
      </c>
      <c r="O6238" t="s">
        <v>117</v>
      </c>
      <c r="U6238" s="17"/>
      <c r="V6238" s="18" t="s">
        <v>17708</v>
      </c>
      <c r="W6238" t="s">
        <v>3140</v>
      </c>
      <c r="Y6238" t="s">
        <v>3140</v>
      </c>
      <c r="AA6238" t="s">
        <v>115</v>
      </c>
      <c r="AB6238" t="s">
        <v>3140</v>
      </c>
    </row>
    <row r="6239" ht="15" customHeight="1" spans="1:28" x14ac:dyDescent="0.25">
      <c r="A6239" s="17" t="s">
        <v>17709</v>
      </c>
      <c r="B6239" s="17" t="s">
        <v>70</v>
      </c>
      <c r="C6239" s="17" t="s">
        <v>71</v>
      </c>
      <c r="D6239" t="s">
        <v>7153</v>
      </c>
      <c r="F6239" t="s">
        <v>17710</v>
      </c>
      <c r="J6239" s="17" t="s">
        <v>17711</v>
      </c>
      <c r="K6239" s="18" t="s">
        <v>17712</v>
      </c>
      <c r="N6239" s="17" t="s">
        <v>77</v>
      </c>
      <c r="O6239" t="s">
        <v>117</v>
      </c>
      <c r="U6239" s="17"/>
      <c r="V6239" s="18" t="s">
        <v>17712</v>
      </c>
      <c r="W6239" t="s">
        <v>3140</v>
      </c>
      <c r="Y6239" t="s">
        <v>3140</v>
      </c>
      <c r="AA6239" t="s">
        <v>115</v>
      </c>
      <c r="AB6239" t="s">
        <v>3140</v>
      </c>
    </row>
    <row r="6240" ht="15" customHeight="1" spans="1:28" x14ac:dyDescent="0.25">
      <c r="A6240" s="17" t="s">
        <v>17713</v>
      </c>
      <c r="B6240" s="17" t="s">
        <v>70</v>
      </c>
      <c r="C6240" s="17" t="s">
        <v>71</v>
      </c>
      <c r="D6240" t="s">
        <v>7153</v>
      </c>
      <c r="F6240" t="s">
        <v>17714</v>
      </c>
      <c r="J6240" s="17" t="s">
        <v>17715</v>
      </c>
      <c r="K6240" s="18" t="s">
        <v>17716</v>
      </c>
      <c r="N6240" s="17" t="s">
        <v>77</v>
      </c>
      <c r="O6240" t="s">
        <v>117</v>
      </c>
      <c r="U6240" s="17"/>
      <c r="V6240" s="18" t="s">
        <v>17716</v>
      </c>
      <c r="W6240" t="s">
        <v>5542</v>
      </c>
      <c r="Y6240" t="s">
        <v>5542</v>
      </c>
      <c r="AA6240" t="s">
        <v>115</v>
      </c>
      <c r="AB6240" t="s">
        <v>119</v>
      </c>
    </row>
    <row r="6241" ht="15" customHeight="1" spans="1:28" x14ac:dyDescent="0.25">
      <c r="A6241" s="17" t="s">
        <v>17717</v>
      </c>
      <c r="B6241" s="17" t="s">
        <v>70</v>
      </c>
      <c r="C6241" s="17" t="s">
        <v>71</v>
      </c>
      <c r="D6241" t="s">
        <v>7153</v>
      </c>
      <c r="F6241" t="s">
        <v>17718</v>
      </c>
      <c r="J6241" s="17" t="s">
        <v>17719</v>
      </c>
      <c r="K6241" s="18" t="s">
        <v>17720</v>
      </c>
      <c r="N6241" s="17" t="s">
        <v>77</v>
      </c>
      <c r="O6241" t="s">
        <v>117</v>
      </c>
      <c r="V6241" s="18" t="s">
        <v>17720</v>
      </c>
      <c r="Y6241" t="s">
        <v>3140</v>
      </c>
      <c r="AA6241" t="s">
        <v>115</v>
      </c>
      <c r="AB6241" t="s">
        <v>3140</v>
      </c>
    </row>
    <row r="6242" ht="15" customHeight="1" spans="1:22" x14ac:dyDescent="0.25">
      <c r="A6242" s="17" t="s">
        <v>17721</v>
      </c>
      <c r="B6242" s="17" t="s">
        <v>70</v>
      </c>
      <c r="C6242" s="17" t="s">
        <v>71</v>
      </c>
      <c r="D6242" t="s">
        <v>17722</v>
      </c>
      <c r="F6242" t="s">
        <v>17722</v>
      </c>
      <c r="K6242" s="18">
        <f>6281387924650</f>
        <v>6281387924650</v>
      </c>
      <c r="N6242" s="17" t="s">
        <v>81</v>
      </c>
      <c r="V6242" s="18">
        <f>6281387924650</f>
        <v>6281387924650</v>
      </c>
    </row>
    <row r="6243" ht="15" customHeight="1" spans="1:22" x14ac:dyDescent="0.25">
      <c r="A6243" s="17" t="s">
        <v>17723</v>
      </c>
      <c r="B6243" s="17" t="s">
        <v>70</v>
      </c>
      <c r="C6243" s="17" t="s">
        <v>71</v>
      </c>
      <c r="D6243" t="s">
        <v>17724</v>
      </c>
      <c r="F6243" t="s">
        <v>17725</v>
      </c>
      <c r="K6243" s="18">
        <f>6281282008518</f>
        <v>6281282008518</v>
      </c>
      <c r="N6243" s="17" t="s">
        <v>77</v>
      </c>
      <c r="V6243" s="18">
        <f>6281282008518</f>
        <v>6281282008518</v>
      </c>
    </row>
    <row r="6244" ht="15" customHeight="1" spans="1:25" x14ac:dyDescent="0.25">
      <c r="A6244" s="17" t="s">
        <v>17726</v>
      </c>
      <c r="B6244" s="17" t="s">
        <v>70</v>
      </c>
      <c r="C6244" s="17" t="s">
        <v>71</v>
      </c>
      <c r="D6244" t="s">
        <v>5035</v>
      </c>
      <c r="F6244" t="s">
        <v>17727</v>
      </c>
      <c r="J6244" s="17" t="s">
        <v>17728</v>
      </c>
      <c r="K6244" s="18">
        <f>628118770555</f>
        <v>628118770555</v>
      </c>
      <c r="N6244" s="17" t="s">
        <v>77</v>
      </c>
      <c r="U6244" s="17"/>
      <c r="V6244" s="18">
        <f>628118770555</f>
        <v>628118770555</v>
      </c>
      <c r="W6244" t="s">
        <v>17729</v>
      </c>
      <c r="Y6244" s="17" t="s">
        <v>90</v>
      </c>
    </row>
    <row r="6245" ht="15" customHeight="1" spans="1:22" x14ac:dyDescent="0.25">
      <c r="A6245" s="17" t="s">
        <v>17730</v>
      </c>
      <c r="B6245" s="17" t="s">
        <v>70</v>
      </c>
      <c r="C6245" s="17" t="s">
        <v>71</v>
      </c>
      <c r="D6245" t="s">
        <v>5035</v>
      </c>
      <c r="F6245" t="s">
        <v>17731</v>
      </c>
      <c r="K6245" s="18" t="s">
        <v>17732</v>
      </c>
      <c r="N6245" s="17" t="s">
        <v>81</v>
      </c>
      <c r="V6245" s="18" t="s">
        <v>17732</v>
      </c>
    </row>
    <row r="6246" ht="15" customHeight="1" spans="1:22" x14ac:dyDescent="0.25">
      <c r="A6246" s="17" t="s">
        <v>17733</v>
      </c>
      <c r="B6246" s="17" t="s">
        <v>70</v>
      </c>
      <c r="C6246" s="17" t="s">
        <v>71</v>
      </c>
      <c r="D6246" t="s">
        <v>17734</v>
      </c>
      <c r="F6246" t="s">
        <v>17735</v>
      </c>
      <c r="K6246" s="18">
        <f>62818871253</f>
        <v>62818871253</v>
      </c>
      <c r="N6246" s="17" t="s">
        <v>81</v>
      </c>
      <c r="V6246" s="18">
        <f>62818871253</f>
        <v>62818871253</v>
      </c>
    </row>
    <row r="6247" ht="15" customHeight="1" spans="1:28" x14ac:dyDescent="0.25">
      <c r="A6247" s="17" t="s">
        <v>17736</v>
      </c>
      <c r="B6247" s="17" t="s">
        <v>70</v>
      </c>
      <c r="C6247" s="17" t="s">
        <v>71</v>
      </c>
      <c r="D6247" t="s">
        <v>17737</v>
      </c>
      <c r="F6247" t="s">
        <v>7498</v>
      </c>
      <c r="J6247" s="17" t="s">
        <v>17738</v>
      </c>
      <c r="K6247" s="18" t="s">
        <v>17739</v>
      </c>
      <c r="N6247" s="17" t="s">
        <v>77</v>
      </c>
      <c r="O6247" t="s">
        <v>145</v>
      </c>
      <c r="V6247" s="18" t="s">
        <v>17739</v>
      </c>
      <c r="Y6247" t="s">
        <v>115</v>
      </c>
      <c r="AA6247" t="s">
        <v>115</v>
      </c>
      <c r="AB6247" t="s">
        <v>7602</v>
      </c>
    </row>
    <row r="6248" ht="15" customHeight="1" spans="1:28" x14ac:dyDescent="0.25">
      <c r="A6248" s="17" t="s">
        <v>17740</v>
      </c>
      <c r="B6248" s="17" t="s">
        <v>70</v>
      </c>
      <c r="C6248" s="17" t="s">
        <v>71</v>
      </c>
      <c r="D6248" t="s">
        <v>3092</v>
      </c>
      <c r="F6248" t="s">
        <v>7846</v>
      </c>
      <c r="J6248" s="17" t="s">
        <v>17741</v>
      </c>
      <c r="K6248" s="18" t="s">
        <v>17742</v>
      </c>
      <c r="N6248" s="17" t="s">
        <v>77</v>
      </c>
      <c r="O6248" t="s">
        <v>145</v>
      </c>
      <c r="V6248" s="18" t="s">
        <v>17742</v>
      </c>
      <c r="Y6248" t="s">
        <v>115</v>
      </c>
      <c r="AA6248" t="s">
        <v>115</v>
      </c>
      <c r="AB6248" t="s">
        <v>3140</v>
      </c>
    </row>
    <row r="6249" ht="15" customHeight="1" spans="1:28" x14ac:dyDescent="0.25">
      <c r="A6249" s="17" t="s">
        <v>17743</v>
      </c>
      <c r="B6249" s="17" t="s">
        <v>70</v>
      </c>
      <c r="C6249" s="17" t="s">
        <v>71</v>
      </c>
      <c r="D6249" t="s">
        <v>17744</v>
      </c>
      <c r="F6249" t="s">
        <v>17745</v>
      </c>
      <c r="J6249" s="17" t="s">
        <v>17746</v>
      </c>
      <c r="K6249" s="18" t="s">
        <v>17747</v>
      </c>
      <c r="N6249" s="17" t="s">
        <v>77</v>
      </c>
      <c r="O6249" t="s">
        <v>199</v>
      </c>
      <c r="U6249" s="17"/>
      <c r="V6249" s="18" t="s">
        <v>17747</v>
      </c>
      <c r="W6249" t="s">
        <v>335</v>
      </c>
      <c r="Y6249" t="s">
        <v>335</v>
      </c>
      <c r="AA6249" t="s">
        <v>115</v>
      </c>
      <c r="AB6249" t="s">
        <v>119</v>
      </c>
    </row>
    <row r="6250" ht="15" customHeight="1" spans="1:22" x14ac:dyDescent="0.25">
      <c r="A6250" s="17" t="s">
        <v>17748</v>
      </c>
      <c r="B6250" s="17" t="s">
        <v>70</v>
      </c>
      <c r="C6250" s="17" t="s">
        <v>71</v>
      </c>
      <c r="D6250" t="s">
        <v>17749</v>
      </c>
      <c r="F6250" t="s">
        <v>17750</v>
      </c>
      <c r="K6250" s="18">
        <f>62819123455555</f>
        <v>62819123455555</v>
      </c>
      <c r="N6250" s="17" t="s">
        <v>77</v>
      </c>
      <c r="V6250" s="18">
        <f>62819123455555</f>
        <v>62819123455555</v>
      </c>
    </row>
    <row r="6251" ht="15" customHeight="1" spans="1:22" x14ac:dyDescent="0.25">
      <c r="A6251" s="17" t="s">
        <v>17751</v>
      </c>
      <c r="B6251" s="17" t="s">
        <v>70</v>
      </c>
      <c r="C6251" s="17" t="s">
        <v>71</v>
      </c>
      <c r="D6251" t="s">
        <v>17752</v>
      </c>
      <c r="F6251" t="s">
        <v>17753</v>
      </c>
      <c r="K6251" s="18">
        <f>6281337388533</f>
        <v>6281337388533</v>
      </c>
      <c r="N6251" s="17" t="s">
        <v>81</v>
      </c>
      <c r="V6251" s="18">
        <f>6281337388533</f>
        <v>6281337388533</v>
      </c>
    </row>
    <row r="6252" ht="15" customHeight="1" spans="1:22" x14ac:dyDescent="0.25">
      <c r="A6252" s="17" t="s">
        <v>17754</v>
      </c>
      <c r="B6252" s="17" t="s">
        <v>70</v>
      </c>
      <c r="C6252" s="17" t="s">
        <v>71</v>
      </c>
      <c r="D6252" t="s">
        <v>17755</v>
      </c>
      <c r="F6252" t="s">
        <v>5274</v>
      </c>
      <c r="K6252" s="18">
        <f>628111317885</f>
        <v>628111317885</v>
      </c>
      <c r="N6252" s="17" t="s">
        <v>81</v>
      </c>
      <c r="V6252" s="18">
        <f>628111317885</f>
        <v>628111317885</v>
      </c>
    </row>
    <row r="6253" ht="15" customHeight="1" spans="1:22" x14ac:dyDescent="0.25">
      <c r="A6253" s="17" t="s">
        <v>17756</v>
      </c>
      <c r="B6253" s="17" t="s">
        <v>70</v>
      </c>
      <c r="C6253" s="17" t="s">
        <v>71</v>
      </c>
      <c r="D6253" t="s">
        <v>17757</v>
      </c>
      <c r="F6253" t="s">
        <v>5274</v>
      </c>
      <c r="K6253" s="18">
        <f>6281285003565</f>
        <v>6281285003565</v>
      </c>
      <c r="N6253" s="17" t="s">
        <v>77</v>
      </c>
      <c r="V6253" s="18">
        <f>6281285003565</f>
        <v>6281285003565</v>
      </c>
    </row>
    <row r="6254" ht="15" customHeight="1" spans="1:23" x14ac:dyDescent="0.25">
      <c r="A6254" s="17" t="s">
        <v>17758</v>
      </c>
      <c r="B6254" s="17" t="s">
        <v>70</v>
      </c>
      <c r="C6254" s="17" t="s">
        <v>71</v>
      </c>
      <c r="D6254" t="s">
        <v>17759</v>
      </c>
      <c r="F6254" t="s">
        <v>15884</v>
      </c>
      <c r="K6254" s="18">
        <f>62818774125</f>
        <v>62818774125</v>
      </c>
      <c r="N6254" s="17" t="s">
        <v>81</v>
      </c>
      <c r="U6254" s="17"/>
      <c r="V6254" s="18">
        <f>62818774125</f>
        <v>62818774125</v>
      </c>
      <c r="W6254" t="s">
        <v>17760</v>
      </c>
    </row>
    <row r="6255" ht="15" customHeight="1" spans="1:23" x14ac:dyDescent="0.25">
      <c r="A6255" s="17" t="s">
        <v>17761</v>
      </c>
      <c r="B6255" s="17" t="s">
        <v>70</v>
      </c>
      <c r="C6255" s="17" t="s">
        <v>71</v>
      </c>
      <c r="D6255" t="s">
        <v>17762</v>
      </c>
      <c r="F6255" t="s">
        <v>17763</v>
      </c>
      <c r="K6255" s="18">
        <f>85516988888</f>
        <v>85516988888</v>
      </c>
      <c r="N6255" s="17" t="s">
        <v>77</v>
      </c>
      <c r="U6255" s="17"/>
      <c r="V6255" s="18">
        <f>85516988888</f>
        <v>85516988888</v>
      </c>
      <c r="W6255" t="s">
        <v>17764</v>
      </c>
    </row>
    <row r="6256" ht="15" customHeight="1" spans="1:28" x14ac:dyDescent="0.25">
      <c r="A6256" s="17" t="s">
        <v>17765</v>
      </c>
      <c r="B6256" s="17" t="s">
        <v>70</v>
      </c>
      <c r="C6256" s="17" t="s">
        <v>71</v>
      </c>
      <c r="D6256" t="s">
        <v>17766</v>
      </c>
      <c r="F6256" t="s">
        <v>16645</v>
      </c>
      <c r="J6256" s="17" t="s">
        <v>17767</v>
      </c>
      <c r="K6256" s="18" t="s">
        <v>17768</v>
      </c>
      <c r="N6256" s="17" t="s">
        <v>77</v>
      </c>
      <c r="O6256" t="s">
        <v>145</v>
      </c>
      <c r="V6256" s="18" t="s">
        <v>17768</v>
      </c>
      <c r="Y6256" t="s">
        <v>6937</v>
      </c>
      <c r="AA6256" t="s">
        <v>115</v>
      </c>
      <c r="AB6256" t="s">
        <v>6937</v>
      </c>
    </row>
    <row r="6257" ht="15" customHeight="1" spans="1:22" x14ac:dyDescent="0.25">
      <c r="A6257" s="17" t="s">
        <v>17769</v>
      </c>
      <c r="B6257" s="17" t="s">
        <v>70</v>
      </c>
      <c r="C6257" s="17" t="s">
        <v>71</v>
      </c>
      <c r="D6257" t="s">
        <v>17770</v>
      </c>
      <c r="F6257" t="s">
        <v>17771</v>
      </c>
      <c r="J6257" s="17" t="s">
        <v>17772</v>
      </c>
      <c r="K6257" s="18">
        <v>1044403177</v>
      </c>
      <c r="N6257" s="17" t="s">
        <v>77</v>
      </c>
      <c r="V6257" s="18">
        <v>1044403177</v>
      </c>
    </row>
    <row r="6258" ht="15" customHeight="1" spans="1:22" x14ac:dyDescent="0.25">
      <c r="A6258" s="17" t="s">
        <v>17773</v>
      </c>
      <c r="B6258" s="17" t="s">
        <v>70</v>
      </c>
      <c r="C6258" s="17" t="s">
        <v>71</v>
      </c>
      <c r="D6258" t="s">
        <v>17774</v>
      </c>
      <c r="F6258" t="s">
        <v>17775</v>
      </c>
      <c r="K6258" s="18">
        <f>628170030764</f>
        <v>628170030764</v>
      </c>
      <c r="N6258" s="17" t="s">
        <v>77</v>
      </c>
      <c r="V6258" s="18">
        <f>628170030764</f>
        <v>628170030764</v>
      </c>
    </row>
    <row r="6259" ht="15" customHeight="1" spans="1:23" x14ac:dyDescent="0.25">
      <c r="A6259" s="17" t="s">
        <v>17776</v>
      </c>
      <c r="B6259" s="17" t="s">
        <v>70</v>
      </c>
      <c r="C6259" s="17" t="s">
        <v>71</v>
      </c>
      <c r="D6259" t="s">
        <v>17777</v>
      </c>
      <c r="F6259" t="s">
        <v>17753</v>
      </c>
      <c r="K6259" s="18">
        <f>380680110000</f>
        <v>380680110000</v>
      </c>
      <c r="N6259" s="17" t="s">
        <v>77</v>
      </c>
      <c r="U6259" s="17"/>
      <c r="V6259" s="18">
        <f>380680110000</f>
        <v>380680110000</v>
      </c>
      <c r="W6259" t="s">
        <v>2914</v>
      </c>
    </row>
    <row r="6260" ht="15" customHeight="1" spans="1:22" x14ac:dyDescent="0.25">
      <c r="A6260" s="17" t="s">
        <v>17778</v>
      </c>
      <c r="B6260" s="17" t="s">
        <v>70</v>
      </c>
      <c r="C6260" s="17" t="s">
        <v>71</v>
      </c>
      <c r="D6260" t="s">
        <v>17779</v>
      </c>
      <c r="F6260" t="s">
        <v>17779</v>
      </c>
      <c r="K6260" s="18">
        <f>6281313582018</f>
        <v>6281313582018</v>
      </c>
      <c r="N6260" s="17" t="s">
        <v>77</v>
      </c>
      <c r="V6260" s="18">
        <f>6281313582018</f>
        <v>6281313582018</v>
      </c>
    </row>
    <row r="6261" ht="15" customHeight="1" spans="1:23" x14ac:dyDescent="0.25">
      <c r="A6261" s="17" t="s">
        <v>17780</v>
      </c>
      <c r="B6261" s="17" t="s">
        <v>70</v>
      </c>
      <c r="C6261" s="17" t="s">
        <v>71</v>
      </c>
      <c r="D6261" t="s">
        <v>17781</v>
      </c>
      <c r="F6261" t="s">
        <v>4657</v>
      </c>
      <c r="K6261" s="18">
        <f>6281373136000</f>
        <v>6281373136000</v>
      </c>
      <c r="N6261" s="17" t="s">
        <v>77</v>
      </c>
      <c r="U6261" s="17"/>
      <c r="V6261" s="18">
        <f>6281373136000</f>
        <v>6281373136000</v>
      </c>
      <c r="W6261" t="s">
        <v>3028</v>
      </c>
    </row>
    <row r="6262" ht="15" customHeight="1" spans="1:22" x14ac:dyDescent="0.25">
      <c r="A6262" s="17" t="s">
        <v>17782</v>
      </c>
      <c r="B6262" s="17" t="s">
        <v>70</v>
      </c>
      <c r="C6262" s="17" t="s">
        <v>71</v>
      </c>
      <c r="D6262" t="s">
        <v>17783</v>
      </c>
      <c r="F6262" t="s">
        <v>17784</v>
      </c>
      <c r="K6262" s="18">
        <f>62811897070</f>
        <v>62811897070</v>
      </c>
      <c r="N6262" s="17" t="s">
        <v>77</v>
      </c>
      <c r="V6262" s="18">
        <f>62811897070</f>
        <v>62811897070</v>
      </c>
    </row>
    <row r="6263" ht="15" customHeight="1" spans="1:22" x14ac:dyDescent="0.25">
      <c r="A6263" s="17" t="s">
        <v>17785</v>
      </c>
      <c r="B6263" s="17" t="s">
        <v>70</v>
      </c>
      <c r="C6263" s="17" t="s">
        <v>71</v>
      </c>
      <c r="D6263" t="s">
        <v>17786</v>
      </c>
      <c r="F6263" t="s">
        <v>17787</v>
      </c>
      <c r="K6263" s="18">
        <f>62811407671</f>
        <v>62811407671</v>
      </c>
      <c r="N6263" s="17" t="s">
        <v>77</v>
      </c>
      <c r="V6263" s="18">
        <f>62811407671</f>
        <v>62811407671</v>
      </c>
    </row>
    <row r="6264" ht="15" customHeight="1" spans="1:22" x14ac:dyDescent="0.25">
      <c r="A6264" s="17" t="s">
        <v>17788</v>
      </c>
      <c r="B6264" s="17" t="s">
        <v>70</v>
      </c>
      <c r="C6264" s="17" t="s">
        <v>71</v>
      </c>
      <c r="D6264" t="s">
        <v>17789</v>
      </c>
      <c r="F6264" t="s">
        <v>17790</v>
      </c>
      <c r="K6264" s="18">
        <f>971569566004</f>
        <v>971569566004</v>
      </c>
      <c r="N6264" s="17" t="s">
        <v>77</v>
      </c>
      <c r="V6264" s="18">
        <f>971569566004</f>
        <v>971569566004</v>
      </c>
    </row>
    <row r="6265" ht="15" customHeight="1" spans="1:28" x14ac:dyDescent="0.25">
      <c r="A6265" s="17" t="s">
        <v>17791</v>
      </c>
      <c r="B6265" s="17" t="s">
        <v>70</v>
      </c>
      <c r="C6265" s="17" t="s">
        <v>71</v>
      </c>
      <c r="D6265" t="s">
        <v>17792</v>
      </c>
      <c r="F6265" t="s">
        <v>6028</v>
      </c>
      <c r="J6265" t="s">
        <v>115</v>
      </c>
      <c r="K6265" s="18" t="s">
        <v>17793</v>
      </c>
      <c r="N6265" s="17" t="s">
        <v>77</v>
      </c>
      <c r="O6265" t="s">
        <v>117</v>
      </c>
      <c r="V6265" s="18" t="s">
        <v>17793</v>
      </c>
      <c r="Y6265" t="s">
        <v>90</v>
      </c>
      <c r="AA6265" t="s">
        <v>118</v>
      </c>
      <c r="AB6265" t="s">
        <v>119</v>
      </c>
    </row>
    <row r="6266" ht="15" customHeight="1" spans="1:22" x14ac:dyDescent="0.25">
      <c r="A6266" s="17" t="s">
        <v>17794</v>
      </c>
      <c r="B6266" s="17" t="s">
        <v>70</v>
      </c>
      <c r="C6266" s="17" t="s">
        <v>71</v>
      </c>
      <c r="D6266" t="s">
        <v>17795</v>
      </c>
      <c r="F6266" t="s">
        <v>17795</v>
      </c>
      <c r="K6266" s="18">
        <f>628111701704</f>
        <v>628111701704</v>
      </c>
      <c r="N6266" s="17" t="s">
        <v>81</v>
      </c>
      <c r="V6266" s="18">
        <f>628111701704</f>
        <v>628111701704</v>
      </c>
    </row>
    <row r="6267" ht="15" customHeight="1" spans="1:22" x14ac:dyDescent="0.25">
      <c r="A6267" s="17" t="s">
        <v>17796</v>
      </c>
      <c r="B6267" s="17" t="s">
        <v>70</v>
      </c>
      <c r="C6267" s="17" t="s">
        <v>71</v>
      </c>
      <c r="D6267" t="s">
        <v>17797</v>
      </c>
      <c r="F6267" t="s">
        <v>17798</v>
      </c>
      <c r="K6267" s="18">
        <f>6281310321210</f>
        <v>6281310321210</v>
      </c>
      <c r="N6267" s="17" t="s">
        <v>77</v>
      </c>
      <c r="V6267" s="18">
        <f>6281310321210</f>
        <v>6281310321210</v>
      </c>
    </row>
    <row r="6268" ht="15" customHeight="1" spans="1:25" x14ac:dyDescent="0.25">
      <c r="A6268" s="17" t="s">
        <v>17799</v>
      </c>
      <c r="B6268" s="17" t="s">
        <v>70</v>
      </c>
      <c r="C6268" s="17" t="s">
        <v>71</v>
      </c>
      <c r="D6268" t="s">
        <v>17800</v>
      </c>
      <c r="F6268" t="s">
        <v>17800</v>
      </c>
      <c r="K6268" s="18">
        <f>6281513790014</f>
        <v>6281513790014</v>
      </c>
      <c r="N6268" s="17" t="s">
        <v>77</v>
      </c>
      <c r="U6268" s="17"/>
      <c r="V6268" s="18">
        <f>6281513790014</f>
        <v>6281513790014</v>
      </c>
      <c r="W6268" t="s">
        <v>17801</v>
      </c>
      <c r="Y6268" s="17" t="s">
        <v>96</v>
      </c>
    </row>
    <row r="6269" ht="15" customHeight="1" spans="1:23" x14ac:dyDescent="0.25">
      <c r="A6269" s="17" t="s">
        <v>17802</v>
      </c>
      <c r="B6269" s="17" t="s">
        <v>70</v>
      </c>
      <c r="C6269" s="17" t="s">
        <v>71</v>
      </c>
      <c r="D6269" t="s">
        <v>17803</v>
      </c>
      <c r="F6269" t="s">
        <v>1754</v>
      </c>
      <c r="K6269" s="18">
        <f>628128475659</f>
        <v>628128475659</v>
      </c>
      <c r="N6269" s="17" t="s">
        <v>77</v>
      </c>
      <c r="U6269" s="17"/>
      <c r="V6269" s="18">
        <f>628128475659</f>
        <v>628128475659</v>
      </c>
      <c r="W6269" t="s">
        <v>17804</v>
      </c>
    </row>
    <row r="6270" ht="15" customHeight="1" spans="1:22" x14ac:dyDescent="0.25">
      <c r="A6270" s="17" t="s">
        <v>17805</v>
      </c>
      <c r="B6270" s="17" t="s">
        <v>70</v>
      </c>
      <c r="C6270" s="17" t="s">
        <v>71</v>
      </c>
      <c r="D6270" t="s">
        <v>17806</v>
      </c>
      <c r="F6270" t="s">
        <v>17806</v>
      </c>
      <c r="K6270" s="18">
        <f>6282299839791</f>
        <v>6282299839791</v>
      </c>
      <c r="N6270" s="17" t="s">
        <v>77</v>
      </c>
      <c r="V6270" s="18">
        <f>6282299839791</f>
        <v>6282299839791</v>
      </c>
    </row>
    <row r="6271" ht="15" customHeight="1" spans="1:23" x14ac:dyDescent="0.25">
      <c r="A6271" s="17" t="s">
        <v>17807</v>
      </c>
      <c r="B6271" s="17" t="s">
        <v>70</v>
      </c>
      <c r="C6271" s="17" t="s">
        <v>71</v>
      </c>
      <c r="D6271" t="s">
        <v>17806</v>
      </c>
      <c r="F6271" t="s">
        <v>17808</v>
      </c>
      <c r="K6271" s="18">
        <f>628161834699</f>
        <v>628161834699</v>
      </c>
      <c r="N6271" s="17" t="s">
        <v>77</v>
      </c>
      <c r="U6271" s="17"/>
      <c r="V6271" s="18">
        <f>628161834699</f>
        <v>628161834699</v>
      </c>
      <c r="W6271" t="s">
        <v>17809</v>
      </c>
    </row>
    <row r="6272" ht="15" customHeight="1" spans="1:28" x14ac:dyDescent="0.25">
      <c r="A6272" s="17" t="s">
        <v>17810</v>
      </c>
      <c r="B6272" s="17" t="s">
        <v>70</v>
      </c>
      <c r="C6272" s="17" t="s">
        <v>71</v>
      </c>
      <c r="D6272" t="s">
        <v>17811</v>
      </c>
      <c r="F6272" t="s">
        <v>17806</v>
      </c>
      <c r="J6272" t="s">
        <v>17812</v>
      </c>
      <c r="K6272" s="18" t="s">
        <v>17813</v>
      </c>
      <c r="N6272" s="17" t="s">
        <v>81</v>
      </c>
      <c r="O6272" t="s">
        <v>117</v>
      </c>
      <c r="V6272" s="18" t="s">
        <v>17813</v>
      </c>
      <c r="Y6272" t="s">
        <v>217</v>
      </c>
      <c r="AA6272" t="s">
        <v>218</v>
      </c>
      <c r="AB6272" t="s">
        <v>119</v>
      </c>
    </row>
    <row r="6273" ht="15" customHeight="1" spans="1:28" x14ac:dyDescent="0.25">
      <c r="A6273" s="17" t="s">
        <v>17814</v>
      </c>
      <c r="B6273" s="17" t="s">
        <v>70</v>
      </c>
      <c r="C6273" s="17" t="s">
        <v>71</v>
      </c>
      <c r="D6273" t="s">
        <v>17815</v>
      </c>
      <c r="F6273" t="s">
        <v>2481</v>
      </c>
      <c r="J6273" t="s">
        <v>115</v>
      </c>
      <c r="K6273" s="18" t="s">
        <v>17816</v>
      </c>
      <c r="N6273" s="17" t="s">
        <v>81</v>
      </c>
      <c r="O6273" t="s">
        <v>145</v>
      </c>
      <c r="V6273" s="18" t="s">
        <v>17816</v>
      </c>
      <c r="Y6273" t="s">
        <v>90</v>
      </c>
      <c r="AA6273" t="s">
        <v>118</v>
      </c>
      <c r="AB6273" t="s">
        <v>119</v>
      </c>
    </row>
    <row r="6274" ht="15" customHeight="1" spans="1:28" x14ac:dyDescent="0.25">
      <c r="A6274" s="17" t="s">
        <v>17817</v>
      </c>
      <c r="B6274" s="17" t="s">
        <v>70</v>
      </c>
      <c r="C6274" s="17" t="s">
        <v>71</v>
      </c>
      <c r="D6274" t="s">
        <v>17818</v>
      </c>
      <c r="F6274" t="s">
        <v>3386</v>
      </c>
      <c r="J6274" t="s">
        <v>115</v>
      </c>
      <c r="K6274" s="18" t="s">
        <v>17819</v>
      </c>
      <c r="N6274" s="17" t="s">
        <v>74</v>
      </c>
      <c r="O6274" t="s">
        <v>1188</v>
      </c>
      <c r="U6274" s="17"/>
      <c r="V6274" s="18" t="s">
        <v>17819</v>
      </c>
      <c r="W6274" t="s">
        <v>17820</v>
      </c>
      <c r="Y6274" t="s">
        <v>90</v>
      </c>
      <c r="AA6274" t="s">
        <v>118</v>
      </c>
      <c r="AB6274" t="s">
        <v>119</v>
      </c>
    </row>
    <row r="6275" ht="15" customHeight="1" spans="1:25" x14ac:dyDescent="0.25">
      <c r="A6275" s="17" t="s">
        <v>17821</v>
      </c>
      <c r="B6275" s="17" t="s">
        <v>70</v>
      </c>
      <c r="C6275" s="17" t="s">
        <v>71</v>
      </c>
      <c r="D6275" t="s">
        <v>17822</v>
      </c>
      <c r="F6275" t="s">
        <v>7198</v>
      </c>
      <c r="K6275" s="18">
        <f>6281255529977</f>
        <v>6281255529977</v>
      </c>
      <c r="N6275" s="17" t="s">
        <v>77</v>
      </c>
      <c r="U6275" s="17"/>
      <c r="V6275" s="18">
        <f>6281255529977</f>
        <v>6281255529977</v>
      </c>
      <c r="W6275" t="s">
        <v>12078</v>
      </c>
      <c r="Y6275" s="17" t="s">
        <v>96</v>
      </c>
    </row>
    <row r="6276" ht="15" customHeight="1" spans="1:23" x14ac:dyDescent="0.25">
      <c r="A6276" s="17" t="s">
        <v>17823</v>
      </c>
      <c r="B6276" s="17" t="s">
        <v>70</v>
      </c>
      <c r="C6276" s="17" t="s">
        <v>71</v>
      </c>
      <c r="D6276" t="s">
        <v>17824</v>
      </c>
      <c r="F6276" t="s">
        <v>17825</v>
      </c>
      <c r="J6276" s="17" t="s">
        <v>17826</v>
      </c>
      <c r="K6276" s="18">
        <f>6281282952148</f>
        <v>6281282952148</v>
      </c>
      <c r="N6276" s="17" t="s">
        <v>81</v>
      </c>
      <c r="U6276" s="17"/>
      <c r="V6276" s="18">
        <f>6281282952148</f>
        <v>6281282952148</v>
      </c>
      <c r="W6276" t="s">
        <v>17827</v>
      </c>
    </row>
    <row r="6277" ht="15" customHeight="1" spans="1:27" x14ac:dyDescent="0.25">
      <c r="A6277" s="17" t="s">
        <v>17828</v>
      </c>
      <c r="B6277" s="17" t="s">
        <v>70</v>
      </c>
      <c r="C6277" s="17" t="s">
        <v>71</v>
      </c>
      <c r="D6277" t="s">
        <v>17829</v>
      </c>
      <c r="F6277" t="s">
        <v>3869</v>
      </c>
      <c r="J6277" s="17" t="s">
        <v>17830</v>
      </c>
      <c r="K6277" s="18">
        <f>628119460872</f>
        <v>628119460872</v>
      </c>
      <c r="N6277" s="17" t="s">
        <v>81</v>
      </c>
      <c r="U6277" s="17"/>
      <c r="V6277" s="18">
        <f>628119460872</f>
        <v>628119460872</v>
      </c>
      <c r="W6277" t="s">
        <v>17831</v>
      </c>
      <c r="Y6277" s="17" t="s">
        <v>96</v>
      </c>
      <c r="AA6277" s="17">
        <v>12620</v>
      </c>
    </row>
    <row r="6278" ht="15" customHeight="1" spans="1:23" x14ac:dyDescent="0.25">
      <c r="A6278" s="17" t="s">
        <v>17832</v>
      </c>
      <c r="B6278" s="17" t="s">
        <v>70</v>
      </c>
      <c r="C6278" s="17" t="s">
        <v>71</v>
      </c>
      <c r="D6278" t="s">
        <v>17833</v>
      </c>
      <c r="F6278" t="s">
        <v>7914</v>
      </c>
      <c r="K6278" s="18">
        <f>628118986030</f>
        <v>628118986030</v>
      </c>
      <c r="N6278" s="17" t="s">
        <v>81</v>
      </c>
      <c r="U6278" s="17"/>
      <c r="V6278" s="18">
        <f>628118986030</f>
        <v>628118986030</v>
      </c>
      <c r="W6278" t="s">
        <v>17834</v>
      </c>
    </row>
    <row r="6279" ht="15" customHeight="1" spans="1:22" x14ac:dyDescent="0.25">
      <c r="A6279" s="17" t="s">
        <v>17835</v>
      </c>
      <c r="B6279" s="17" t="s">
        <v>70</v>
      </c>
      <c r="C6279" s="17" t="s">
        <v>71</v>
      </c>
      <c r="D6279" t="s">
        <v>17836</v>
      </c>
      <c r="F6279" t="s">
        <v>5768</v>
      </c>
      <c r="K6279" s="18">
        <f>628119989612</f>
        <v>628119989612</v>
      </c>
      <c r="N6279" s="17" t="s">
        <v>77</v>
      </c>
      <c r="V6279" s="18">
        <f>628119989612</f>
        <v>628119989612</v>
      </c>
    </row>
    <row r="6280" ht="15" customHeight="1" spans="1:22" x14ac:dyDescent="0.25">
      <c r="A6280" s="17" t="s">
        <v>17837</v>
      </c>
      <c r="B6280" s="17" t="s">
        <v>70</v>
      </c>
      <c r="C6280" s="17" t="s">
        <v>71</v>
      </c>
      <c r="D6280" t="s">
        <v>17836</v>
      </c>
      <c r="F6280" t="s">
        <v>17838</v>
      </c>
      <c r="K6280" s="18">
        <f>6281574567827</f>
        <v>6281574567827</v>
      </c>
      <c r="N6280" s="17" t="s">
        <v>77</v>
      </c>
      <c r="V6280" s="18">
        <f>6281574567827</f>
        <v>6281574567827</v>
      </c>
    </row>
    <row r="6281" ht="15" customHeight="1" spans="1:28" x14ac:dyDescent="0.25">
      <c r="A6281" s="17" t="s">
        <v>17839</v>
      </c>
      <c r="B6281" s="17" t="s">
        <v>70</v>
      </c>
      <c r="C6281" s="17" t="s">
        <v>71</v>
      </c>
      <c r="D6281" t="s">
        <v>17840</v>
      </c>
      <c r="F6281" t="s">
        <v>3869</v>
      </c>
      <c r="J6281" t="s">
        <v>115</v>
      </c>
      <c r="K6281" s="18" t="s">
        <v>17841</v>
      </c>
      <c r="N6281" s="17" t="s">
        <v>77</v>
      </c>
      <c r="O6281" t="s">
        <v>199</v>
      </c>
      <c r="V6281" s="18" t="s">
        <v>17841</v>
      </c>
      <c r="Y6281" t="s">
        <v>7007</v>
      </c>
      <c r="AA6281" t="s">
        <v>115</v>
      </c>
      <c r="AB6281" t="s">
        <v>119</v>
      </c>
    </row>
    <row r="6282" ht="15" customHeight="1" spans="1:25" x14ac:dyDescent="0.25">
      <c r="A6282" s="17" t="s">
        <v>17842</v>
      </c>
      <c r="B6282" s="17" t="s">
        <v>70</v>
      </c>
      <c r="C6282" s="17" t="s">
        <v>71</v>
      </c>
      <c r="D6282" t="s">
        <v>17843</v>
      </c>
      <c r="F6282" t="s">
        <v>17844</v>
      </c>
      <c r="K6282" s="18">
        <f>6281584074444</f>
        <v>6281584074444</v>
      </c>
      <c r="N6282" s="17" t="s">
        <v>77</v>
      </c>
      <c r="U6282" s="17"/>
      <c r="V6282" s="18">
        <f>6281584074444</f>
        <v>6281584074444</v>
      </c>
      <c r="W6282" t="s">
        <v>17845</v>
      </c>
      <c r="Y6282" s="17" t="s">
        <v>96</v>
      </c>
    </row>
    <row r="6283" ht="15" customHeight="1" spans="1:23" x14ac:dyDescent="0.25">
      <c r="A6283" s="17" t="s">
        <v>17846</v>
      </c>
      <c r="B6283" s="17" t="s">
        <v>70</v>
      </c>
      <c r="C6283" s="17" t="s">
        <v>71</v>
      </c>
      <c r="D6283" t="s">
        <v>17847</v>
      </c>
      <c r="F6283" t="s">
        <v>10791</v>
      </c>
      <c r="K6283" s="18">
        <f>6281388074522</f>
        <v>6281388074522</v>
      </c>
      <c r="N6283" s="17" t="s">
        <v>81</v>
      </c>
      <c r="U6283" s="17"/>
      <c r="V6283" s="18">
        <f>6281388074522</f>
        <v>6281388074522</v>
      </c>
      <c r="W6283" t="s">
        <v>17848</v>
      </c>
    </row>
    <row r="6284" ht="15" customHeight="1" spans="1:23" x14ac:dyDescent="0.25">
      <c r="A6284" s="17" t="s">
        <v>17849</v>
      </c>
      <c r="B6284" s="17" t="s">
        <v>70</v>
      </c>
      <c r="C6284" s="17" t="s">
        <v>71</v>
      </c>
      <c r="D6284" t="s">
        <v>17850</v>
      </c>
      <c r="F6284" t="s">
        <v>2494</v>
      </c>
      <c r="K6284" s="18">
        <f>62816793304</f>
        <v>62816793304</v>
      </c>
      <c r="N6284" s="17" t="s">
        <v>77</v>
      </c>
      <c r="U6284" s="17"/>
      <c r="V6284" s="18">
        <f>62816793304</f>
        <v>62816793304</v>
      </c>
      <c r="W6284" t="s">
        <v>17851</v>
      </c>
    </row>
    <row r="6285" ht="15" customHeight="1" spans="1:22" x14ac:dyDescent="0.25">
      <c r="A6285" s="17" t="s">
        <v>17852</v>
      </c>
      <c r="B6285" s="17" t="s">
        <v>70</v>
      </c>
      <c r="C6285" s="17" t="s">
        <v>71</v>
      </c>
      <c r="D6285" t="s">
        <v>13174</v>
      </c>
      <c r="F6285" t="s">
        <v>1589</v>
      </c>
      <c r="J6285" s="17" t="s">
        <v>17853</v>
      </c>
      <c r="K6285" s="18">
        <f>6281266166888</f>
        <v>6281266166888</v>
      </c>
      <c r="N6285" s="17" t="s">
        <v>81</v>
      </c>
      <c r="V6285" s="18">
        <f>6281266166888</f>
        <v>6281266166888</v>
      </c>
    </row>
    <row r="6286" ht="15" customHeight="1" spans="1:22" x14ac:dyDescent="0.25">
      <c r="A6286" s="17" t="s">
        <v>17854</v>
      </c>
      <c r="B6286" s="17" t="s">
        <v>70</v>
      </c>
      <c r="C6286" s="17" t="s">
        <v>71</v>
      </c>
      <c r="D6286" t="s">
        <v>13174</v>
      </c>
      <c r="F6286" t="s">
        <v>17855</v>
      </c>
      <c r="K6286" s="18">
        <f>6282144557708</f>
        <v>6282144557708</v>
      </c>
      <c r="N6286" s="17" t="s">
        <v>77</v>
      </c>
      <c r="V6286" s="18">
        <f>6282144557708</f>
        <v>6282144557708</v>
      </c>
    </row>
    <row r="6287" ht="15" customHeight="1" spans="1:28" x14ac:dyDescent="0.25">
      <c r="A6287" s="17" t="s">
        <v>17856</v>
      </c>
      <c r="B6287" s="17" t="s">
        <v>70</v>
      </c>
      <c r="C6287" s="17" t="s">
        <v>71</v>
      </c>
      <c r="D6287" t="s">
        <v>17857</v>
      </c>
      <c r="F6287" t="s">
        <v>16415</v>
      </c>
      <c r="J6287" s="17" t="s">
        <v>17858</v>
      </c>
      <c r="K6287" s="18" t="s">
        <v>17859</v>
      </c>
      <c r="N6287" s="17" t="s">
        <v>77</v>
      </c>
      <c r="O6287" t="s">
        <v>199</v>
      </c>
      <c r="V6287" s="18" t="s">
        <v>17859</v>
      </c>
      <c r="Y6287" t="s">
        <v>181</v>
      </c>
      <c r="AA6287" t="s">
        <v>1672</v>
      </c>
      <c r="AB6287" t="s">
        <v>119</v>
      </c>
    </row>
    <row r="6288" ht="15" customHeight="1" spans="1:23" x14ac:dyDescent="0.25">
      <c r="A6288" s="17" t="s">
        <v>17860</v>
      </c>
      <c r="B6288" s="17" t="s">
        <v>70</v>
      </c>
      <c r="C6288" s="17" t="s">
        <v>71</v>
      </c>
      <c r="D6288" t="s">
        <v>13174</v>
      </c>
      <c r="F6288" t="s">
        <v>2730</v>
      </c>
      <c r="K6288" s="18">
        <f>6281805658080</f>
        <v>6281805658080</v>
      </c>
      <c r="N6288" s="17" t="s">
        <v>77</v>
      </c>
      <c r="U6288" s="17"/>
      <c r="V6288" s="18">
        <f>6281805658080</f>
        <v>6281805658080</v>
      </c>
      <c r="W6288" t="s">
        <v>17861</v>
      </c>
    </row>
    <row r="6289" ht="15" customHeight="1" spans="1:22" x14ac:dyDescent="0.25">
      <c r="A6289" s="17" t="s">
        <v>17862</v>
      </c>
      <c r="B6289" s="17" t="s">
        <v>70</v>
      </c>
      <c r="C6289" s="17" t="s">
        <v>71</v>
      </c>
      <c r="D6289" t="s">
        <v>13174</v>
      </c>
      <c r="F6289" t="s">
        <v>4565</v>
      </c>
      <c r="K6289" s="18">
        <f>628123814814</f>
        <v>628123814814</v>
      </c>
      <c r="N6289" s="17" t="s">
        <v>81</v>
      </c>
      <c r="V6289" s="18">
        <f>628123814814</f>
        <v>628123814814</v>
      </c>
    </row>
    <row r="6290" ht="15" customHeight="1" spans="1:23" x14ac:dyDescent="0.25">
      <c r="A6290" s="17" t="s">
        <v>17863</v>
      </c>
      <c r="B6290" s="17" t="s">
        <v>70</v>
      </c>
      <c r="C6290" s="17" t="s">
        <v>71</v>
      </c>
      <c r="D6290" t="s">
        <v>13174</v>
      </c>
      <c r="F6290" t="s">
        <v>17864</v>
      </c>
      <c r="J6290" s="17" t="s">
        <v>17865</v>
      </c>
      <c r="K6290" s="18">
        <v>81339941453</v>
      </c>
      <c r="N6290" s="17" t="s">
        <v>77</v>
      </c>
      <c r="U6290" s="17"/>
      <c r="V6290" s="18">
        <v>81339941453</v>
      </c>
      <c r="W6290" t="s">
        <v>17866</v>
      </c>
    </row>
    <row r="6291" ht="15" customHeight="1" spans="1:28" x14ac:dyDescent="0.25">
      <c r="A6291" s="17" t="s">
        <v>17867</v>
      </c>
      <c r="B6291" s="17" t="s">
        <v>70</v>
      </c>
      <c r="C6291" s="17" t="s">
        <v>71</v>
      </c>
      <c r="D6291" t="s">
        <v>17868</v>
      </c>
      <c r="F6291" t="s">
        <v>17869</v>
      </c>
      <c r="J6291" t="s">
        <v>115</v>
      </c>
      <c r="K6291" s="18" t="s">
        <v>17870</v>
      </c>
      <c r="N6291" s="17" t="s">
        <v>77</v>
      </c>
      <c r="O6291" t="s">
        <v>199</v>
      </c>
      <c r="V6291" s="18" t="s">
        <v>17870</v>
      </c>
      <c r="Y6291" s="17" t="s">
        <v>181</v>
      </c>
      <c r="AA6291" t="s">
        <v>1672</v>
      </c>
      <c r="AB6291" t="s">
        <v>119</v>
      </c>
    </row>
    <row r="6292" ht="15" customHeight="1" spans="1:25" x14ac:dyDescent="0.25">
      <c r="A6292" s="17" t="s">
        <v>17871</v>
      </c>
      <c r="B6292" s="17" t="s">
        <v>70</v>
      </c>
      <c r="C6292" s="17" t="s">
        <v>71</v>
      </c>
      <c r="D6292" t="s">
        <v>13174</v>
      </c>
      <c r="F6292" t="s">
        <v>17872</v>
      </c>
      <c r="K6292" s="18">
        <f>628123951610</f>
        <v>628123951610</v>
      </c>
      <c r="N6292" s="17" t="s">
        <v>77</v>
      </c>
      <c r="V6292" s="18">
        <f>628123951610</f>
        <v>628123951610</v>
      </c>
      <c r="Y6292" s="17" t="s">
        <v>17873</v>
      </c>
    </row>
    <row r="6293" ht="15" customHeight="1" spans="1:28" x14ac:dyDescent="0.25">
      <c r="A6293" s="17" t="s">
        <v>17874</v>
      </c>
      <c r="B6293" s="17" t="s">
        <v>70</v>
      </c>
      <c r="C6293" s="17" t="s">
        <v>71</v>
      </c>
      <c r="D6293" t="s">
        <v>17868</v>
      </c>
      <c r="F6293" t="s">
        <v>17875</v>
      </c>
      <c r="J6293" s="17" t="s">
        <v>17876</v>
      </c>
      <c r="K6293" s="18" t="s">
        <v>17877</v>
      </c>
      <c r="N6293" s="17" t="s">
        <v>77</v>
      </c>
      <c r="O6293" t="s">
        <v>117</v>
      </c>
      <c r="V6293" s="18" t="s">
        <v>17877</v>
      </c>
      <c r="Y6293" t="s">
        <v>190</v>
      </c>
      <c r="AA6293" t="s">
        <v>118</v>
      </c>
      <c r="AB6293" t="s">
        <v>119</v>
      </c>
    </row>
    <row r="6294" ht="15" customHeight="1" spans="1:22" x14ac:dyDescent="0.25">
      <c r="A6294" s="17" t="s">
        <v>17878</v>
      </c>
      <c r="B6294" s="17" t="s">
        <v>70</v>
      </c>
      <c r="C6294" s="17" t="s">
        <v>71</v>
      </c>
      <c r="D6294" t="s">
        <v>13174</v>
      </c>
      <c r="F6294" t="s">
        <v>17879</v>
      </c>
      <c r="K6294" s="18">
        <f>6285738032647</f>
        <v>6285738032647</v>
      </c>
      <c r="N6294" s="17" t="s">
        <v>81</v>
      </c>
      <c r="V6294" s="18">
        <f>6285738032647</f>
        <v>6285738032647</v>
      </c>
    </row>
    <row r="6295" ht="15" customHeight="1" spans="1:23" x14ac:dyDescent="0.25">
      <c r="A6295" s="17" t="s">
        <v>17880</v>
      </c>
      <c r="B6295" s="17" t="s">
        <v>70</v>
      </c>
      <c r="C6295" s="17" t="s">
        <v>71</v>
      </c>
      <c r="D6295" t="s">
        <v>13174</v>
      </c>
      <c r="F6295" t="s">
        <v>17881</v>
      </c>
      <c r="J6295" s="17" t="s">
        <v>17882</v>
      </c>
      <c r="K6295" s="18">
        <f>6281237168655</f>
        <v>6281237168655</v>
      </c>
      <c r="N6295" s="17" t="s">
        <v>77</v>
      </c>
      <c r="U6295" s="17"/>
      <c r="V6295" s="18">
        <f>6281237168655</f>
        <v>6281237168655</v>
      </c>
      <c r="W6295" t="s">
        <v>17883</v>
      </c>
    </row>
    <row r="6296" ht="15" customHeight="1" spans="1:27" x14ac:dyDescent="0.25">
      <c r="A6296" s="17" t="s">
        <v>17884</v>
      </c>
      <c r="B6296" s="17" t="s">
        <v>70</v>
      </c>
      <c r="C6296" s="17" t="s">
        <v>71</v>
      </c>
      <c r="D6296" t="s">
        <v>13174</v>
      </c>
      <c r="F6296" t="s">
        <v>17885</v>
      </c>
      <c r="J6296" s="17" t="s">
        <v>17886</v>
      </c>
      <c r="K6296" s="18">
        <f>628123838674</f>
        <v>628123838674</v>
      </c>
      <c r="N6296" s="17" t="s">
        <v>77</v>
      </c>
      <c r="U6296" s="17"/>
      <c r="V6296" s="18">
        <f>628123838674</f>
        <v>628123838674</v>
      </c>
      <c r="W6296" t="s">
        <v>17887</v>
      </c>
      <c r="Y6296" s="17" t="s">
        <v>180</v>
      </c>
      <c r="AA6296" s="17">
        <v>80235</v>
      </c>
    </row>
    <row r="6297" ht="15" customHeight="1" spans="1:28" x14ac:dyDescent="0.25">
      <c r="A6297" s="17" t="s">
        <v>17888</v>
      </c>
      <c r="B6297" s="17" t="s">
        <v>70</v>
      </c>
      <c r="C6297" s="17" t="s">
        <v>71</v>
      </c>
      <c r="D6297" t="s">
        <v>17889</v>
      </c>
      <c r="F6297" t="s">
        <v>618</v>
      </c>
      <c r="J6297" t="s">
        <v>115</v>
      </c>
      <c r="K6297" s="18" t="s">
        <v>17890</v>
      </c>
      <c r="N6297" s="17" t="s">
        <v>77</v>
      </c>
      <c r="O6297" t="s">
        <v>199</v>
      </c>
      <c r="U6297" s="17"/>
      <c r="V6297" s="18" t="s">
        <v>17890</v>
      </c>
      <c r="W6297" t="s">
        <v>181</v>
      </c>
      <c r="Y6297" s="17" t="s">
        <v>181</v>
      </c>
      <c r="AA6297" t="s">
        <v>1672</v>
      </c>
      <c r="AB6297" t="s">
        <v>119</v>
      </c>
    </row>
    <row r="6298" ht="15" customHeight="1" spans="1:23" x14ac:dyDescent="0.25">
      <c r="A6298" s="17" t="s">
        <v>17891</v>
      </c>
      <c r="B6298" s="17" t="s">
        <v>70</v>
      </c>
      <c r="C6298" s="17" t="s">
        <v>71</v>
      </c>
      <c r="D6298" t="s">
        <v>13174</v>
      </c>
      <c r="F6298" t="s">
        <v>17892</v>
      </c>
      <c r="K6298" s="18">
        <f>628873129138</f>
        <v>628873129138</v>
      </c>
      <c r="N6298" s="17" t="s">
        <v>77</v>
      </c>
      <c r="U6298" s="17"/>
      <c r="V6298" s="18">
        <f>628873129138</f>
        <v>628873129138</v>
      </c>
      <c r="W6298" t="s">
        <v>17893</v>
      </c>
    </row>
    <row r="6299" ht="15" customHeight="1" spans="1:28" x14ac:dyDescent="0.25">
      <c r="A6299" s="17" t="s">
        <v>17894</v>
      </c>
      <c r="B6299" s="17" t="s">
        <v>70</v>
      </c>
      <c r="C6299" s="17" t="s">
        <v>71</v>
      </c>
      <c r="D6299" t="s">
        <v>17889</v>
      </c>
      <c r="F6299" t="s">
        <v>17895</v>
      </c>
      <c r="J6299" t="s">
        <v>115</v>
      </c>
      <c r="K6299" s="18" t="s">
        <v>17896</v>
      </c>
      <c r="N6299" s="17" t="s">
        <v>77</v>
      </c>
      <c r="O6299" t="s">
        <v>117</v>
      </c>
      <c r="U6299" s="17"/>
      <c r="V6299" s="18" t="s">
        <v>17896</v>
      </c>
      <c r="W6299" t="s">
        <v>14073</v>
      </c>
      <c r="Y6299" t="s">
        <v>181</v>
      </c>
      <c r="AA6299" t="s">
        <v>1672</v>
      </c>
      <c r="AB6299" t="s">
        <v>119</v>
      </c>
    </row>
    <row r="6300" ht="15" customHeight="1" spans="1:22" x14ac:dyDescent="0.25">
      <c r="A6300" s="17" t="s">
        <v>17897</v>
      </c>
      <c r="B6300" s="17" t="s">
        <v>70</v>
      </c>
      <c r="C6300" s="17" t="s">
        <v>71</v>
      </c>
      <c r="D6300" t="s">
        <v>13174</v>
      </c>
      <c r="F6300" t="s">
        <v>17898</v>
      </c>
      <c r="K6300" s="18">
        <f>628113991176</f>
        <v>628113991176</v>
      </c>
      <c r="N6300" s="17" t="s">
        <v>74</v>
      </c>
      <c r="V6300" s="18">
        <f>628113991176</f>
        <v>628113991176</v>
      </c>
    </row>
    <row r="6301" ht="15" customHeight="1" spans="1:22" x14ac:dyDescent="0.25">
      <c r="A6301" s="17" t="s">
        <v>17899</v>
      </c>
      <c r="B6301" s="17" t="s">
        <v>70</v>
      </c>
      <c r="C6301" s="17" t="s">
        <v>71</v>
      </c>
      <c r="D6301" t="s">
        <v>13174</v>
      </c>
      <c r="F6301" t="s">
        <v>17900</v>
      </c>
      <c r="K6301" s="18">
        <f>62811396335</f>
        <v>62811396335</v>
      </c>
      <c r="N6301" s="17" t="s">
        <v>77</v>
      </c>
      <c r="V6301" s="18">
        <f>62811396335</f>
        <v>62811396335</v>
      </c>
    </row>
    <row r="6302" ht="15" customHeight="1" spans="1:22" x14ac:dyDescent="0.25">
      <c r="A6302" s="17" t="s">
        <v>17901</v>
      </c>
      <c r="B6302" s="17" t="s">
        <v>70</v>
      </c>
      <c r="C6302" s="17" t="s">
        <v>71</v>
      </c>
      <c r="D6302" t="s">
        <v>13174</v>
      </c>
      <c r="F6302" t="s">
        <v>17902</v>
      </c>
      <c r="K6302" s="18">
        <f>6285225555536</f>
        <v>6285225555536</v>
      </c>
      <c r="N6302" s="17" t="s">
        <v>81</v>
      </c>
      <c r="V6302" s="18">
        <f>6285225555536</f>
        <v>6285225555536</v>
      </c>
    </row>
    <row r="6303" ht="15" customHeight="1" spans="1:23" x14ac:dyDescent="0.25">
      <c r="A6303" s="17" t="s">
        <v>17903</v>
      </c>
      <c r="B6303" s="17" t="s">
        <v>70</v>
      </c>
      <c r="C6303" s="17" t="s">
        <v>71</v>
      </c>
      <c r="D6303" t="s">
        <v>13174</v>
      </c>
      <c r="F6303" t="s">
        <v>17904</v>
      </c>
      <c r="K6303" s="18">
        <f>6287861861788</f>
        <v>6287861861788</v>
      </c>
      <c r="N6303" s="17" t="s">
        <v>77</v>
      </c>
      <c r="U6303" s="17"/>
      <c r="V6303" s="18">
        <f>6287861861788</f>
        <v>6287861861788</v>
      </c>
      <c r="W6303" t="s">
        <v>17905</v>
      </c>
    </row>
    <row r="6304" ht="15" customHeight="1" spans="1:22" x14ac:dyDescent="0.25">
      <c r="A6304" s="17" t="s">
        <v>17906</v>
      </c>
      <c r="B6304" s="17" t="s">
        <v>70</v>
      </c>
      <c r="C6304" s="17" t="s">
        <v>71</v>
      </c>
      <c r="D6304" t="s">
        <v>13174</v>
      </c>
      <c r="F6304" t="s">
        <v>1589</v>
      </c>
      <c r="K6304" s="18">
        <f>6281999895000</f>
        <v>6281999895000</v>
      </c>
      <c r="N6304" s="17" t="s">
        <v>77</v>
      </c>
      <c r="V6304" s="18">
        <f>6281999895000</f>
        <v>6281999895000</v>
      </c>
    </row>
    <row r="6305" ht="15" customHeight="1" spans="1:22" x14ac:dyDescent="0.25">
      <c r="A6305" s="17" t="s">
        <v>17907</v>
      </c>
      <c r="B6305" s="17" t="s">
        <v>70</v>
      </c>
      <c r="C6305" s="17" t="s">
        <v>71</v>
      </c>
      <c r="D6305" t="s">
        <v>13174</v>
      </c>
      <c r="F6305" t="s">
        <v>17908</v>
      </c>
      <c r="K6305" s="18">
        <f>62811949045</f>
        <v>62811949045</v>
      </c>
      <c r="N6305" s="17" t="s">
        <v>74</v>
      </c>
      <c r="V6305" s="18">
        <f>62811949045</f>
        <v>62811949045</v>
      </c>
    </row>
    <row r="6306" ht="15" customHeight="1" spans="1:22" x14ac:dyDescent="0.25">
      <c r="A6306" s="17" t="s">
        <v>17909</v>
      </c>
      <c r="B6306" s="17" t="s">
        <v>70</v>
      </c>
      <c r="C6306" s="17" t="s">
        <v>71</v>
      </c>
      <c r="D6306" t="s">
        <v>13174</v>
      </c>
      <c r="F6306" t="s">
        <v>17910</v>
      </c>
      <c r="K6306" s="18">
        <f>62811392229</f>
        <v>62811392229</v>
      </c>
      <c r="N6306" s="17" t="s">
        <v>77</v>
      </c>
      <c r="V6306" s="18">
        <f>62811392229</f>
        <v>62811392229</v>
      </c>
    </row>
    <row r="6307" ht="15" customHeight="1" spans="1:23" x14ac:dyDescent="0.25">
      <c r="A6307" s="17" t="s">
        <v>17911</v>
      </c>
      <c r="B6307" s="17" t="s">
        <v>70</v>
      </c>
      <c r="C6307" s="17" t="s">
        <v>71</v>
      </c>
      <c r="D6307" t="s">
        <v>17912</v>
      </c>
      <c r="F6307" t="s">
        <v>17913</v>
      </c>
      <c r="J6307" s="17" t="s">
        <v>17914</v>
      </c>
      <c r="K6307" s="18">
        <f>628113924567</f>
        <v>628113924567</v>
      </c>
      <c r="N6307" s="17" t="s">
        <v>77</v>
      </c>
      <c r="U6307" s="17"/>
      <c r="V6307" s="18">
        <f>628113924567</f>
        <v>628113924567</v>
      </c>
      <c r="W6307" t="s">
        <v>17915</v>
      </c>
    </row>
    <row r="6308" ht="15" customHeight="1" spans="1:22" x14ac:dyDescent="0.25">
      <c r="A6308" s="17" t="s">
        <v>17916</v>
      </c>
      <c r="B6308" s="17" t="s">
        <v>70</v>
      </c>
      <c r="C6308" s="17" t="s">
        <v>71</v>
      </c>
      <c r="D6308" t="s">
        <v>17917</v>
      </c>
      <c r="F6308" t="s">
        <v>2908</v>
      </c>
      <c r="K6308" s="18">
        <f>79089934266</f>
        <v>79089934266</v>
      </c>
      <c r="N6308" s="17" t="s">
        <v>77</v>
      </c>
      <c r="V6308" s="18">
        <f>79089934266</f>
        <v>79089934266</v>
      </c>
    </row>
    <row r="6309" ht="15" customHeight="1" spans="1:28" x14ac:dyDescent="0.25">
      <c r="A6309" s="17" t="s">
        <v>17918</v>
      </c>
      <c r="B6309" s="17" t="s">
        <v>70</v>
      </c>
      <c r="C6309" s="17" t="s">
        <v>71</v>
      </c>
      <c r="D6309" t="s">
        <v>5381</v>
      </c>
      <c r="F6309" t="s">
        <v>17919</v>
      </c>
      <c r="J6309" s="17" t="s">
        <v>17920</v>
      </c>
      <c r="K6309" s="18" t="s">
        <v>17921</v>
      </c>
      <c r="N6309" s="17" t="s">
        <v>77</v>
      </c>
      <c r="O6309" t="s">
        <v>199</v>
      </c>
      <c r="V6309" s="18" t="s">
        <v>17921</v>
      </c>
      <c r="Y6309" t="s">
        <v>181</v>
      </c>
      <c r="AA6309" t="s">
        <v>1672</v>
      </c>
      <c r="AB6309" t="s">
        <v>119</v>
      </c>
    </row>
    <row r="6310" ht="15" customHeight="1" spans="1:22" x14ac:dyDescent="0.25">
      <c r="A6310" s="17" t="s">
        <v>17922</v>
      </c>
      <c r="B6310" s="17" t="s">
        <v>70</v>
      </c>
      <c r="C6310" s="17" t="s">
        <v>71</v>
      </c>
      <c r="D6310" t="s">
        <v>17923</v>
      </c>
      <c r="F6310" t="s">
        <v>17923</v>
      </c>
      <c r="K6310" s="18">
        <f>628114334033</f>
        <v>628114334033</v>
      </c>
      <c r="N6310" s="17" t="s">
        <v>81</v>
      </c>
      <c r="V6310" s="18">
        <f>628114334033</f>
        <v>628114334033</v>
      </c>
    </row>
    <row r="6311" ht="15" customHeight="1" spans="1:22" x14ac:dyDescent="0.25">
      <c r="A6311" s="17" t="s">
        <v>17924</v>
      </c>
      <c r="B6311" s="17" t="s">
        <v>70</v>
      </c>
      <c r="C6311" s="17" t="s">
        <v>71</v>
      </c>
      <c r="D6311" t="s">
        <v>17925</v>
      </c>
      <c r="F6311" t="s">
        <v>17925</v>
      </c>
      <c r="K6311" s="18">
        <f>62811711743</f>
        <v>62811711743</v>
      </c>
      <c r="N6311" s="17" t="s">
        <v>77</v>
      </c>
      <c r="V6311" s="18">
        <f>62811711743</f>
        <v>62811711743</v>
      </c>
    </row>
    <row r="6312" ht="15" customHeight="1" spans="1:25" x14ac:dyDescent="0.25">
      <c r="A6312" s="17" t="s">
        <v>17926</v>
      </c>
      <c r="B6312" s="17" t="s">
        <v>70</v>
      </c>
      <c r="C6312" s="17" t="s">
        <v>71</v>
      </c>
      <c r="D6312" t="s">
        <v>17925</v>
      </c>
      <c r="F6312" t="s">
        <v>17927</v>
      </c>
      <c r="K6312" s="18">
        <f>6285295116666</f>
        <v>6285295116666</v>
      </c>
      <c r="N6312" s="17" t="s">
        <v>81</v>
      </c>
      <c r="U6312" s="17"/>
      <c r="V6312" s="18">
        <f>6285295116666</f>
        <v>6285295116666</v>
      </c>
      <c r="W6312" t="s">
        <v>17928</v>
      </c>
      <c r="Y6312" s="17" t="s">
        <v>500</v>
      </c>
    </row>
    <row r="6313" ht="15" customHeight="1" spans="1:22" x14ac:dyDescent="0.25">
      <c r="A6313" s="17" t="s">
        <v>17929</v>
      </c>
      <c r="B6313" s="17" t="s">
        <v>70</v>
      </c>
      <c r="C6313" s="17" t="s">
        <v>71</v>
      </c>
      <c r="D6313" t="s">
        <v>17925</v>
      </c>
      <c r="F6313" t="s">
        <v>17930</v>
      </c>
      <c r="K6313" s="18">
        <f>6282179842411</f>
        <v>6282179842411</v>
      </c>
      <c r="N6313" s="17" t="s">
        <v>81</v>
      </c>
      <c r="V6313" s="18">
        <f>6282179842411</f>
        <v>6282179842411</v>
      </c>
    </row>
    <row r="6314" ht="15" customHeight="1" spans="1:22" x14ac:dyDescent="0.25">
      <c r="A6314" s="17" t="s">
        <v>17931</v>
      </c>
      <c r="B6314" s="17" t="s">
        <v>70</v>
      </c>
      <c r="C6314" s="17" t="s">
        <v>71</v>
      </c>
      <c r="D6314" t="s">
        <v>17925</v>
      </c>
      <c r="F6314" t="s">
        <v>6235</v>
      </c>
      <c r="K6314" s="18">
        <f>6281588009911</f>
        <v>6281588009911</v>
      </c>
      <c r="N6314" s="17" t="s">
        <v>77</v>
      </c>
      <c r="V6314" s="18">
        <f>6281588009911</f>
        <v>6281588009911</v>
      </c>
    </row>
    <row r="6315" ht="15" customHeight="1" spans="1:22" x14ac:dyDescent="0.25">
      <c r="A6315" s="17" t="s">
        <v>17932</v>
      </c>
      <c r="B6315" s="17" t="s">
        <v>70</v>
      </c>
      <c r="C6315" s="17" t="s">
        <v>71</v>
      </c>
      <c r="D6315" t="s">
        <v>17925</v>
      </c>
      <c r="F6315" t="s">
        <v>6235</v>
      </c>
      <c r="K6315" s="18">
        <f>62811956695</f>
        <v>62811956695</v>
      </c>
      <c r="N6315" s="17" t="s">
        <v>77</v>
      </c>
      <c r="V6315" s="18">
        <f>62811956695</f>
        <v>62811956695</v>
      </c>
    </row>
    <row r="6316" ht="15" customHeight="1" spans="1:28" x14ac:dyDescent="0.25">
      <c r="A6316" s="17" t="s">
        <v>17933</v>
      </c>
      <c r="B6316" s="17" t="s">
        <v>70</v>
      </c>
      <c r="C6316" s="17" t="s">
        <v>71</v>
      </c>
      <c r="D6316" t="s">
        <v>17925</v>
      </c>
      <c r="F6316" t="s">
        <v>14216</v>
      </c>
      <c r="J6316" t="s">
        <v>115</v>
      </c>
      <c r="K6316" s="18" t="s">
        <v>17934</v>
      </c>
      <c r="N6316" s="17" t="s">
        <v>77</v>
      </c>
      <c r="O6316" t="s">
        <v>117</v>
      </c>
      <c r="V6316" s="18" t="s">
        <v>17934</v>
      </c>
      <c r="Y6316" t="s">
        <v>90</v>
      </c>
      <c r="AA6316" t="s">
        <v>118</v>
      </c>
      <c r="AB6316" t="s">
        <v>119</v>
      </c>
    </row>
    <row r="6317" ht="15" customHeight="1" spans="1:28" x14ac:dyDescent="0.25">
      <c r="A6317" s="17" t="s">
        <v>17935</v>
      </c>
      <c r="B6317" s="17" t="s">
        <v>70</v>
      </c>
      <c r="C6317" s="17" t="s">
        <v>71</v>
      </c>
      <c r="D6317" t="s">
        <v>17925</v>
      </c>
      <c r="F6317" t="s">
        <v>17925</v>
      </c>
      <c r="J6317" t="s">
        <v>17936</v>
      </c>
      <c r="K6317" s="18" t="s">
        <v>17937</v>
      </c>
      <c r="N6317" s="17" t="s">
        <v>77</v>
      </c>
      <c r="O6317" t="s">
        <v>261</v>
      </c>
      <c r="V6317" s="18" t="s">
        <v>17937</v>
      </c>
      <c r="Y6317" t="s">
        <v>4640</v>
      </c>
      <c r="AA6317" t="s">
        <v>115</v>
      </c>
      <c r="AB6317" t="s">
        <v>119</v>
      </c>
    </row>
    <row r="6318" ht="15" customHeight="1" spans="1:22" x14ac:dyDescent="0.25">
      <c r="A6318" s="17" t="s">
        <v>17938</v>
      </c>
      <c r="B6318" s="17" t="s">
        <v>70</v>
      </c>
      <c r="C6318" s="17" t="s">
        <v>71</v>
      </c>
      <c r="D6318" t="s">
        <v>17925</v>
      </c>
      <c r="F6318" t="s">
        <v>1130</v>
      </c>
      <c r="K6318" s="18">
        <f>6289615847783</f>
        <v>6289615847783</v>
      </c>
      <c r="N6318" s="17" t="s">
        <v>81</v>
      </c>
      <c r="V6318" s="18">
        <f>6289615847783</f>
        <v>6289615847783</v>
      </c>
    </row>
    <row r="6319" ht="15" customHeight="1" spans="1:22" x14ac:dyDescent="0.25">
      <c r="A6319" s="17" t="s">
        <v>17939</v>
      </c>
      <c r="B6319" s="17" t="s">
        <v>70</v>
      </c>
      <c r="C6319" s="17" t="s">
        <v>71</v>
      </c>
      <c r="D6319" t="s">
        <v>17925</v>
      </c>
      <c r="F6319" t="s">
        <v>17940</v>
      </c>
      <c r="K6319" s="18">
        <f>6281282688899</f>
        <v>6281282688899</v>
      </c>
      <c r="N6319" s="17" t="s">
        <v>77</v>
      </c>
      <c r="V6319" s="18">
        <f>6281282688899</f>
        <v>6281282688899</v>
      </c>
    </row>
    <row r="6320" ht="15" customHeight="1" spans="1:28" x14ac:dyDescent="0.25">
      <c r="A6320" s="17" t="s">
        <v>17941</v>
      </c>
      <c r="B6320" s="17" t="s">
        <v>70</v>
      </c>
      <c r="C6320" s="17" t="s">
        <v>71</v>
      </c>
      <c r="D6320" t="s">
        <v>17925</v>
      </c>
      <c r="F6320" t="s">
        <v>153</v>
      </c>
      <c r="J6320" t="s">
        <v>115</v>
      </c>
      <c r="K6320" s="18" t="s">
        <v>17942</v>
      </c>
      <c r="N6320" s="17" t="s">
        <v>77</v>
      </c>
      <c r="O6320" t="s">
        <v>145</v>
      </c>
      <c r="V6320" s="18" t="s">
        <v>17942</v>
      </c>
      <c r="Y6320" t="s">
        <v>190</v>
      </c>
      <c r="AA6320" t="s">
        <v>118</v>
      </c>
      <c r="AB6320" t="s">
        <v>119</v>
      </c>
    </row>
    <row r="6321" ht="15" customHeight="1" spans="1:28" x14ac:dyDescent="0.25">
      <c r="A6321" s="17" t="s">
        <v>17943</v>
      </c>
      <c r="B6321" s="17" t="s">
        <v>70</v>
      </c>
      <c r="C6321" s="17" t="s">
        <v>71</v>
      </c>
      <c r="D6321" t="s">
        <v>17944</v>
      </c>
      <c r="F6321" t="s">
        <v>17944</v>
      </c>
      <c r="J6321" t="s">
        <v>115</v>
      </c>
      <c r="K6321" s="18" t="s">
        <v>17945</v>
      </c>
      <c r="N6321" s="17" t="s">
        <v>77</v>
      </c>
      <c r="O6321" t="s">
        <v>117</v>
      </c>
      <c r="V6321" s="18" t="s">
        <v>17945</v>
      </c>
      <c r="Y6321" t="s">
        <v>90</v>
      </c>
      <c r="AA6321" t="s">
        <v>118</v>
      </c>
      <c r="AB6321" t="s">
        <v>119</v>
      </c>
    </row>
    <row r="6322" ht="15" customHeight="1" spans="1:22" x14ac:dyDescent="0.25">
      <c r="A6322" s="17" t="s">
        <v>17946</v>
      </c>
      <c r="B6322" s="17" t="s">
        <v>70</v>
      </c>
      <c r="C6322" s="17" t="s">
        <v>71</v>
      </c>
      <c r="D6322" t="s">
        <v>17944</v>
      </c>
      <c r="F6322" t="s">
        <v>17944</v>
      </c>
      <c r="K6322" s="18">
        <f>6281284841958</f>
        <v>6281284841958</v>
      </c>
      <c r="N6322" s="17" t="s">
        <v>77</v>
      </c>
      <c r="V6322" s="18">
        <f>6281284841958</f>
        <v>6281284841958</v>
      </c>
    </row>
    <row r="6323" ht="15" customHeight="1" spans="1:23" x14ac:dyDescent="0.25">
      <c r="A6323" s="17" t="s">
        <v>17947</v>
      </c>
      <c r="B6323" s="17" t="s">
        <v>70</v>
      </c>
      <c r="C6323" s="17" t="s">
        <v>71</v>
      </c>
      <c r="D6323" t="s">
        <v>17948</v>
      </c>
      <c r="F6323" t="s">
        <v>548</v>
      </c>
      <c r="K6323" s="18">
        <f>6281808168889</f>
        <v>6281808168889</v>
      </c>
      <c r="N6323" s="17" t="s">
        <v>77</v>
      </c>
      <c r="U6323" s="17"/>
      <c r="V6323" s="18">
        <f>6281808168889</f>
        <v>6281808168889</v>
      </c>
      <c r="W6323" t="s">
        <v>17949</v>
      </c>
    </row>
    <row r="6324" ht="15" customHeight="1" spans="1:28" x14ac:dyDescent="0.25">
      <c r="A6324" s="17" t="s">
        <v>17950</v>
      </c>
      <c r="B6324" s="17" t="s">
        <v>70</v>
      </c>
      <c r="C6324" s="17" t="s">
        <v>71</v>
      </c>
      <c r="D6324" t="s">
        <v>17948</v>
      </c>
      <c r="F6324" t="s">
        <v>17951</v>
      </c>
      <c r="J6324" t="s">
        <v>115</v>
      </c>
      <c r="K6324" s="18" t="s">
        <v>17952</v>
      </c>
      <c r="N6324" s="17" t="s">
        <v>77</v>
      </c>
      <c r="O6324" t="s">
        <v>199</v>
      </c>
      <c r="V6324" s="18" t="s">
        <v>17952</v>
      </c>
      <c r="Y6324" t="s">
        <v>90</v>
      </c>
      <c r="AA6324" t="s">
        <v>118</v>
      </c>
      <c r="AB6324" t="s">
        <v>119</v>
      </c>
    </row>
    <row r="6325" ht="15" customHeight="1" spans="1:28" x14ac:dyDescent="0.25">
      <c r="A6325" s="17" t="s">
        <v>17953</v>
      </c>
      <c r="B6325" s="17" t="s">
        <v>70</v>
      </c>
      <c r="C6325" s="17" t="s">
        <v>71</v>
      </c>
      <c r="D6325" t="s">
        <v>17948</v>
      </c>
      <c r="F6325" t="s">
        <v>17954</v>
      </c>
      <c r="J6325" t="s">
        <v>17955</v>
      </c>
      <c r="K6325" s="18" t="s">
        <v>17956</v>
      </c>
      <c r="N6325" s="17" t="s">
        <v>77</v>
      </c>
      <c r="O6325" t="s">
        <v>145</v>
      </c>
      <c r="V6325" s="18" t="s">
        <v>17956</v>
      </c>
      <c r="Y6325" t="s">
        <v>90</v>
      </c>
      <c r="AA6325" t="s">
        <v>118</v>
      </c>
      <c r="AB6325" t="s">
        <v>119</v>
      </c>
    </row>
    <row r="6326" ht="15" customHeight="1" spans="1:28" x14ac:dyDescent="0.25">
      <c r="A6326" s="17" t="s">
        <v>17957</v>
      </c>
      <c r="B6326" s="17" t="s">
        <v>70</v>
      </c>
      <c r="C6326" s="17" t="s">
        <v>71</v>
      </c>
      <c r="D6326" t="s">
        <v>17948</v>
      </c>
      <c r="F6326" t="s">
        <v>12297</v>
      </c>
      <c r="J6326" t="s">
        <v>115</v>
      </c>
      <c r="K6326" s="18" t="s">
        <v>17958</v>
      </c>
      <c r="N6326" s="17" t="s">
        <v>77</v>
      </c>
      <c r="O6326" t="s">
        <v>489</v>
      </c>
      <c r="V6326" s="18" t="s">
        <v>17958</v>
      </c>
      <c r="Y6326" t="s">
        <v>90</v>
      </c>
      <c r="AA6326" t="s">
        <v>118</v>
      </c>
      <c r="AB6326" t="s">
        <v>119</v>
      </c>
    </row>
    <row r="6327" ht="15" customHeight="1" spans="1:28" x14ac:dyDescent="0.25">
      <c r="A6327" s="17" t="s">
        <v>17959</v>
      </c>
      <c r="B6327" s="17" t="s">
        <v>70</v>
      </c>
      <c r="C6327" s="17" t="s">
        <v>71</v>
      </c>
      <c r="D6327" t="s">
        <v>17948</v>
      </c>
      <c r="F6327" t="s">
        <v>17960</v>
      </c>
      <c r="J6327" t="s">
        <v>115</v>
      </c>
      <c r="K6327" s="18" t="s">
        <v>17961</v>
      </c>
      <c r="N6327" s="17" t="s">
        <v>74</v>
      </c>
      <c r="O6327" t="s">
        <v>489</v>
      </c>
      <c r="V6327" s="18" t="s">
        <v>17961</v>
      </c>
      <c r="Y6327" t="s">
        <v>90</v>
      </c>
      <c r="AA6327" t="s">
        <v>118</v>
      </c>
      <c r="AB6327" t="s">
        <v>119</v>
      </c>
    </row>
    <row r="6328" ht="15" customHeight="1" spans="1:28" x14ac:dyDescent="0.25">
      <c r="A6328" s="17" t="s">
        <v>17962</v>
      </c>
      <c r="B6328" s="17" t="s">
        <v>70</v>
      </c>
      <c r="C6328" s="17" t="s">
        <v>71</v>
      </c>
      <c r="D6328" t="s">
        <v>17948</v>
      </c>
      <c r="F6328" t="s">
        <v>17963</v>
      </c>
      <c r="J6328" t="s">
        <v>115</v>
      </c>
      <c r="K6328" s="18" t="s">
        <v>17964</v>
      </c>
      <c r="N6328" s="17" t="s">
        <v>77</v>
      </c>
      <c r="O6328" t="s">
        <v>117</v>
      </c>
      <c r="V6328" s="18" t="s">
        <v>17964</v>
      </c>
      <c r="Y6328" t="s">
        <v>190</v>
      </c>
      <c r="AA6328" t="s">
        <v>118</v>
      </c>
      <c r="AB6328" t="s">
        <v>119</v>
      </c>
    </row>
    <row r="6329" ht="15" customHeight="1" spans="1:28" x14ac:dyDescent="0.25">
      <c r="A6329" s="17" t="s">
        <v>17965</v>
      </c>
      <c r="B6329" s="17" t="s">
        <v>70</v>
      </c>
      <c r="C6329" s="17" t="s">
        <v>71</v>
      </c>
      <c r="D6329" t="s">
        <v>17966</v>
      </c>
      <c r="F6329" t="s">
        <v>17967</v>
      </c>
      <c r="J6329" s="17" t="s">
        <v>17968</v>
      </c>
      <c r="K6329" s="18" t="s">
        <v>17969</v>
      </c>
      <c r="N6329" s="17" t="s">
        <v>77</v>
      </c>
      <c r="O6329" t="s">
        <v>145</v>
      </c>
      <c r="U6329" s="17"/>
      <c r="V6329" s="18" t="s">
        <v>17969</v>
      </c>
      <c r="W6329" t="s">
        <v>17970</v>
      </c>
      <c r="Y6329" t="s">
        <v>17971</v>
      </c>
      <c r="AA6329" t="s">
        <v>115</v>
      </c>
      <c r="AB6329" t="s">
        <v>119</v>
      </c>
    </row>
    <row r="6330" ht="15" customHeight="1" spans="1:23" x14ac:dyDescent="0.25">
      <c r="A6330" s="17" t="s">
        <v>17972</v>
      </c>
      <c r="B6330" s="17" t="s">
        <v>70</v>
      </c>
      <c r="C6330" s="17" t="s">
        <v>71</v>
      </c>
      <c r="D6330" t="s">
        <v>17973</v>
      </c>
      <c r="F6330" t="s">
        <v>10978</v>
      </c>
      <c r="J6330" s="17" t="s">
        <v>17974</v>
      </c>
      <c r="K6330" s="18">
        <f>79677800842</f>
        <v>79677800842</v>
      </c>
      <c r="N6330" s="17" t="s">
        <v>77</v>
      </c>
      <c r="U6330" s="17"/>
      <c r="V6330" s="18">
        <f>79677800842</f>
        <v>79677800842</v>
      </c>
      <c r="W6330" t="s">
        <v>1908</v>
      </c>
    </row>
    <row r="6331" ht="15" customHeight="1" spans="1:28" x14ac:dyDescent="0.25">
      <c r="A6331" s="17" t="s">
        <v>17975</v>
      </c>
      <c r="B6331" s="17" t="s">
        <v>70</v>
      </c>
      <c r="C6331" s="17" t="s">
        <v>71</v>
      </c>
      <c r="D6331" t="s">
        <v>4616</v>
      </c>
      <c r="F6331" t="s">
        <v>17976</v>
      </c>
      <c r="J6331" t="s">
        <v>115</v>
      </c>
      <c r="K6331" s="18" t="s">
        <v>17977</v>
      </c>
      <c r="N6331" s="17" t="s">
        <v>77</v>
      </c>
      <c r="O6331" t="s">
        <v>261</v>
      </c>
      <c r="V6331" s="18" t="s">
        <v>17977</v>
      </c>
      <c r="Y6331" t="s">
        <v>115</v>
      </c>
      <c r="AA6331" t="s">
        <v>115</v>
      </c>
      <c r="AB6331" t="s">
        <v>119</v>
      </c>
    </row>
    <row r="6332" ht="15" customHeight="1" spans="1:28" x14ac:dyDescent="0.25">
      <c r="A6332" s="17" t="s">
        <v>17978</v>
      </c>
      <c r="B6332" s="17" t="s">
        <v>70</v>
      </c>
      <c r="C6332" s="17" t="s">
        <v>71</v>
      </c>
      <c r="D6332" t="s">
        <v>4616</v>
      </c>
      <c r="F6332" t="s">
        <v>4616</v>
      </c>
      <c r="J6332" t="s">
        <v>115</v>
      </c>
      <c r="K6332" s="18" t="s">
        <v>17979</v>
      </c>
      <c r="N6332" s="17" t="s">
        <v>77</v>
      </c>
      <c r="O6332" t="s">
        <v>117</v>
      </c>
      <c r="V6332" s="18" t="s">
        <v>17979</v>
      </c>
      <c r="Y6332" t="s">
        <v>90</v>
      </c>
      <c r="AA6332" t="s">
        <v>118</v>
      </c>
      <c r="AB6332" t="s">
        <v>119</v>
      </c>
    </row>
    <row r="6333" ht="15" customHeight="1" spans="1:23" x14ac:dyDescent="0.25">
      <c r="A6333" s="17" t="s">
        <v>17980</v>
      </c>
      <c r="B6333" s="17" t="s">
        <v>70</v>
      </c>
      <c r="C6333" s="17" t="s">
        <v>71</v>
      </c>
      <c r="D6333" t="s">
        <v>4616</v>
      </c>
      <c r="F6333" t="s">
        <v>17981</v>
      </c>
      <c r="K6333" s="18">
        <f>4369910880191</f>
        <v>4369910880191</v>
      </c>
      <c r="N6333" s="17" t="s">
        <v>77</v>
      </c>
      <c r="U6333" s="17"/>
      <c r="V6333" s="18">
        <f>4369910880191</f>
        <v>4369910880191</v>
      </c>
      <c r="W6333" t="s">
        <v>13647</v>
      </c>
    </row>
    <row r="6334" ht="15" customHeight="1" spans="1:28" x14ac:dyDescent="0.25">
      <c r="A6334" s="17" t="s">
        <v>17982</v>
      </c>
      <c r="B6334" s="17" t="s">
        <v>70</v>
      </c>
      <c r="C6334" s="17" t="s">
        <v>71</v>
      </c>
      <c r="D6334" t="s">
        <v>4616</v>
      </c>
      <c r="F6334" t="s">
        <v>16487</v>
      </c>
      <c r="J6334" s="17" t="s">
        <v>17983</v>
      </c>
      <c r="K6334" s="18" t="s">
        <v>17984</v>
      </c>
      <c r="N6334" s="17" t="s">
        <v>77</v>
      </c>
      <c r="O6334" t="s">
        <v>145</v>
      </c>
      <c r="U6334" s="17"/>
      <c r="V6334" s="18" t="s">
        <v>17984</v>
      </c>
      <c r="W6334" t="s">
        <v>17985</v>
      </c>
      <c r="Y6334" t="s">
        <v>3048</v>
      </c>
      <c r="AA6334" t="s">
        <v>115</v>
      </c>
      <c r="AB6334" t="s">
        <v>119</v>
      </c>
    </row>
    <row r="6335" ht="15" customHeight="1" spans="1:22" x14ac:dyDescent="0.25">
      <c r="A6335" s="17" t="s">
        <v>17986</v>
      </c>
      <c r="B6335" s="17" t="s">
        <v>70</v>
      </c>
      <c r="C6335" s="17" t="s">
        <v>71</v>
      </c>
      <c r="D6335" t="s">
        <v>17987</v>
      </c>
      <c r="F6335" t="s">
        <v>17988</v>
      </c>
      <c r="K6335" s="18">
        <f>628119500309</f>
        <v>628119500309</v>
      </c>
      <c r="N6335" s="17" t="s">
        <v>81</v>
      </c>
      <c r="V6335" s="18">
        <f>628119500309</f>
        <v>628119500309</v>
      </c>
    </row>
    <row r="6336" ht="15" customHeight="1" spans="1:22" x14ac:dyDescent="0.25">
      <c r="A6336" s="17" t="s">
        <v>17989</v>
      </c>
      <c r="B6336" s="17" t="s">
        <v>70</v>
      </c>
      <c r="C6336" s="17" t="s">
        <v>71</v>
      </c>
      <c r="D6336" t="s">
        <v>17990</v>
      </c>
      <c r="F6336" t="s">
        <v>17990</v>
      </c>
      <c r="K6336" s="18">
        <f>628158884880</f>
        <v>628158884880</v>
      </c>
      <c r="N6336" s="17" t="s">
        <v>74</v>
      </c>
      <c r="V6336" s="18">
        <f>628158884880</f>
        <v>628158884880</v>
      </c>
    </row>
    <row r="6337" ht="15" customHeight="1" spans="1:22" x14ac:dyDescent="0.25">
      <c r="A6337" s="17" t="s">
        <v>17991</v>
      </c>
      <c r="B6337" s="17" t="s">
        <v>70</v>
      </c>
      <c r="C6337" s="17" t="s">
        <v>71</v>
      </c>
      <c r="D6337" t="s">
        <v>17990</v>
      </c>
      <c r="F6337" t="s">
        <v>17990</v>
      </c>
      <c r="K6337" s="18">
        <f>6285299300876</f>
        <v>6285299300876</v>
      </c>
      <c r="N6337" s="17" t="s">
        <v>77</v>
      </c>
      <c r="V6337" s="18">
        <f>6285299300876</f>
        <v>6285299300876</v>
      </c>
    </row>
    <row r="6338" ht="15" customHeight="1" spans="1:22" x14ac:dyDescent="0.25">
      <c r="A6338" s="17" t="s">
        <v>17992</v>
      </c>
      <c r="B6338" s="17" t="s">
        <v>70</v>
      </c>
      <c r="C6338" s="17" t="s">
        <v>71</v>
      </c>
      <c r="D6338" t="s">
        <v>17990</v>
      </c>
      <c r="F6338" t="s">
        <v>17990</v>
      </c>
      <c r="K6338" s="18">
        <f>62811850143</f>
        <v>62811850143</v>
      </c>
      <c r="N6338" s="17" t="s">
        <v>77</v>
      </c>
      <c r="V6338" s="18">
        <f>62811850143</f>
        <v>62811850143</v>
      </c>
    </row>
    <row r="6339" ht="15" customHeight="1" spans="1:22" x14ac:dyDescent="0.25">
      <c r="A6339" s="17" t="s">
        <v>17993</v>
      </c>
      <c r="B6339" s="17" t="s">
        <v>70</v>
      </c>
      <c r="C6339" s="17" t="s">
        <v>71</v>
      </c>
      <c r="D6339" t="s">
        <v>17990</v>
      </c>
      <c r="F6339" t="s">
        <v>17990</v>
      </c>
      <c r="K6339" s="18">
        <f>6285299300875</f>
        <v>6285299300875</v>
      </c>
      <c r="N6339" s="17" t="s">
        <v>77</v>
      </c>
      <c r="V6339" s="18">
        <f>6285299300875</f>
        <v>6285299300875</v>
      </c>
    </row>
    <row r="6340" ht="15" customHeight="1" spans="1:22" x14ac:dyDescent="0.25">
      <c r="A6340" s="17" t="s">
        <v>17994</v>
      </c>
      <c r="B6340" s="17" t="s">
        <v>70</v>
      </c>
      <c r="C6340" s="17" t="s">
        <v>71</v>
      </c>
      <c r="D6340" t="s">
        <v>17990</v>
      </c>
      <c r="F6340" t="s">
        <v>17990</v>
      </c>
      <c r="K6340" s="18">
        <f>6282112130681</f>
        <v>6282112130681</v>
      </c>
      <c r="N6340" s="17" t="s">
        <v>81</v>
      </c>
      <c r="V6340" s="18">
        <f>6282112130681</f>
        <v>6282112130681</v>
      </c>
    </row>
    <row r="6341" ht="15" customHeight="1" spans="1:28" x14ac:dyDescent="0.25">
      <c r="A6341" s="17" t="s">
        <v>17995</v>
      </c>
      <c r="B6341" s="17" t="s">
        <v>70</v>
      </c>
      <c r="C6341" s="17" t="s">
        <v>71</v>
      </c>
      <c r="D6341" t="s">
        <v>17990</v>
      </c>
      <c r="F6341" t="s">
        <v>17996</v>
      </c>
      <c r="J6341" s="17" t="s">
        <v>17997</v>
      </c>
      <c r="K6341" s="18" t="s">
        <v>17998</v>
      </c>
      <c r="N6341" s="17" t="s">
        <v>81</v>
      </c>
      <c r="O6341" t="s">
        <v>117</v>
      </c>
      <c r="U6341" s="17"/>
      <c r="V6341" s="18" t="s">
        <v>17998</v>
      </c>
      <c r="W6341" t="s">
        <v>17999</v>
      </c>
      <c r="Y6341" s="17" t="s">
        <v>190</v>
      </c>
      <c r="AA6341" t="s">
        <v>118</v>
      </c>
      <c r="AB6341" t="s">
        <v>119</v>
      </c>
    </row>
    <row r="6342" ht="15" customHeight="1" spans="1:28" x14ac:dyDescent="0.25">
      <c r="A6342" s="17" t="s">
        <v>18000</v>
      </c>
      <c r="B6342" s="17" t="s">
        <v>70</v>
      </c>
      <c r="C6342" s="17" t="s">
        <v>71</v>
      </c>
      <c r="D6342" t="s">
        <v>17990</v>
      </c>
      <c r="F6342" t="s">
        <v>18001</v>
      </c>
      <c r="J6342" t="s">
        <v>18002</v>
      </c>
      <c r="K6342" s="18" t="s">
        <v>18003</v>
      </c>
      <c r="N6342" s="17" t="s">
        <v>77</v>
      </c>
      <c r="O6342" t="s">
        <v>117</v>
      </c>
      <c r="V6342" s="18" t="s">
        <v>18003</v>
      </c>
      <c r="Y6342" t="s">
        <v>115</v>
      </c>
      <c r="AA6342" t="s">
        <v>115</v>
      </c>
      <c r="AB6342" t="s">
        <v>119</v>
      </c>
    </row>
    <row r="6343" ht="15" customHeight="1" spans="1:22" x14ac:dyDescent="0.25">
      <c r="A6343" s="17" t="s">
        <v>18004</v>
      </c>
      <c r="B6343" s="17" t="s">
        <v>70</v>
      </c>
      <c r="C6343" s="17" t="s">
        <v>71</v>
      </c>
      <c r="D6343" t="s">
        <v>17990</v>
      </c>
      <c r="F6343" t="s">
        <v>4394</v>
      </c>
      <c r="K6343" s="18">
        <f>6281210977797</f>
        <v>6281210977797</v>
      </c>
      <c r="N6343" s="17" t="s">
        <v>77</v>
      </c>
      <c r="V6343" s="18">
        <f>6281210977797</f>
        <v>6281210977797</v>
      </c>
    </row>
    <row r="6344" ht="15" customHeight="1" spans="1:22" x14ac:dyDescent="0.25">
      <c r="A6344" s="17" t="s">
        <v>18005</v>
      </c>
      <c r="B6344" s="17" t="s">
        <v>70</v>
      </c>
      <c r="C6344" s="17" t="s">
        <v>71</v>
      </c>
      <c r="D6344" t="s">
        <v>17990</v>
      </c>
      <c r="F6344" t="s">
        <v>18006</v>
      </c>
      <c r="K6344" s="18">
        <f>6281235170428</f>
        <v>6281235170428</v>
      </c>
      <c r="N6344" s="17" t="s">
        <v>81</v>
      </c>
      <c r="V6344" s="18">
        <f>6281235170428</f>
        <v>6281235170428</v>
      </c>
    </row>
    <row r="6345" ht="15" customHeight="1" spans="1:22" x14ac:dyDescent="0.25">
      <c r="A6345" s="17" t="s">
        <v>18007</v>
      </c>
      <c r="B6345" s="17" t="s">
        <v>70</v>
      </c>
      <c r="C6345" s="17" t="s">
        <v>71</v>
      </c>
      <c r="D6345" t="s">
        <v>2688</v>
      </c>
      <c r="F6345" t="s">
        <v>2987</v>
      </c>
      <c r="K6345" s="18">
        <f>6281355555070</f>
        <v>6281355555070</v>
      </c>
      <c r="N6345" s="17" t="s">
        <v>77</v>
      </c>
      <c r="V6345" s="18">
        <f>6281355555070</f>
        <v>6281355555070</v>
      </c>
    </row>
    <row r="6346" ht="15" customHeight="1" spans="1:22" x14ac:dyDescent="0.25">
      <c r="A6346" s="17" t="s">
        <v>18008</v>
      </c>
      <c r="B6346" s="17" t="s">
        <v>70</v>
      </c>
      <c r="C6346" s="17" t="s">
        <v>71</v>
      </c>
      <c r="D6346" t="s">
        <v>2688</v>
      </c>
      <c r="F6346" t="s">
        <v>18009</v>
      </c>
      <c r="K6346" s="18">
        <f>628119504007</f>
        <v>628119504007</v>
      </c>
      <c r="N6346" s="17" t="s">
        <v>77</v>
      </c>
      <c r="V6346" s="18">
        <f>628119504007</f>
        <v>628119504007</v>
      </c>
    </row>
    <row r="6347" ht="15" customHeight="1" spans="1:22" x14ac:dyDescent="0.25">
      <c r="A6347" s="17" t="s">
        <v>18010</v>
      </c>
      <c r="B6347" s="17" t="s">
        <v>70</v>
      </c>
      <c r="C6347" s="17" t="s">
        <v>71</v>
      </c>
      <c r="D6347" t="s">
        <v>18011</v>
      </c>
      <c r="F6347" t="s">
        <v>1086</v>
      </c>
      <c r="K6347" s="18">
        <f>62811855231</f>
        <v>62811855231</v>
      </c>
      <c r="N6347" s="17" t="s">
        <v>77</v>
      </c>
      <c r="V6347" s="18">
        <f>62811855231</f>
        <v>62811855231</v>
      </c>
    </row>
    <row r="6348" ht="15" customHeight="1" spans="1:22" x14ac:dyDescent="0.25">
      <c r="A6348" s="17" t="s">
        <v>18012</v>
      </c>
      <c r="B6348" s="17" t="s">
        <v>70</v>
      </c>
      <c r="C6348" s="17" t="s">
        <v>71</v>
      </c>
      <c r="D6348" t="s">
        <v>18011</v>
      </c>
      <c r="F6348" t="s">
        <v>18013</v>
      </c>
      <c r="K6348" s="18">
        <f>62811501212</f>
        <v>62811501212</v>
      </c>
      <c r="N6348" s="17" t="s">
        <v>74</v>
      </c>
      <c r="V6348" s="18">
        <f>62811501212</f>
        <v>62811501212</v>
      </c>
    </row>
    <row r="6349" ht="15" customHeight="1" spans="1:25" x14ac:dyDescent="0.25">
      <c r="A6349" s="17" t="s">
        <v>18014</v>
      </c>
      <c r="B6349" s="17" t="s">
        <v>70</v>
      </c>
      <c r="C6349" s="17" t="s">
        <v>71</v>
      </c>
      <c r="D6349" t="s">
        <v>18011</v>
      </c>
      <c r="F6349" t="s">
        <v>18015</v>
      </c>
      <c r="K6349" s="18">
        <f>6281908021965</f>
        <v>6281908021965</v>
      </c>
      <c r="N6349" s="17" t="s">
        <v>77</v>
      </c>
      <c r="U6349" s="17"/>
      <c r="V6349" s="18">
        <f>6281908021965</f>
        <v>6281908021965</v>
      </c>
      <c r="W6349" t="s">
        <v>18016</v>
      </c>
      <c r="Y6349" s="17" t="s">
        <v>217</v>
      </c>
    </row>
    <row r="6350" ht="15" customHeight="1" spans="1:28" x14ac:dyDescent="0.25">
      <c r="A6350" s="17" t="s">
        <v>18017</v>
      </c>
      <c r="B6350" s="17" t="s">
        <v>70</v>
      </c>
      <c r="C6350" s="17" t="s">
        <v>71</v>
      </c>
      <c r="D6350" t="s">
        <v>18018</v>
      </c>
      <c r="F6350" t="s">
        <v>2730</v>
      </c>
      <c r="J6350" t="s">
        <v>115</v>
      </c>
      <c r="K6350" s="18" t="s">
        <v>18019</v>
      </c>
      <c r="N6350" s="17" t="s">
        <v>77</v>
      </c>
      <c r="O6350" t="s">
        <v>145</v>
      </c>
      <c r="V6350" s="18" t="s">
        <v>18019</v>
      </c>
      <c r="Y6350" t="s">
        <v>3048</v>
      </c>
      <c r="AA6350" t="s">
        <v>115</v>
      </c>
      <c r="AB6350" t="s">
        <v>119</v>
      </c>
    </row>
    <row r="6351" ht="15" customHeight="1" spans="1:22" x14ac:dyDescent="0.25">
      <c r="A6351" s="17" t="s">
        <v>18020</v>
      </c>
      <c r="B6351" s="17" t="s">
        <v>70</v>
      </c>
      <c r="C6351" s="17" t="s">
        <v>71</v>
      </c>
      <c r="D6351" t="s">
        <v>18021</v>
      </c>
      <c r="F6351" t="s">
        <v>18021</v>
      </c>
      <c r="K6351" s="18">
        <f>6281219884855</f>
        <v>6281219884855</v>
      </c>
      <c r="N6351" s="17" t="s">
        <v>74</v>
      </c>
      <c r="V6351" s="18">
        <f>6281219884855</f>
        <v>6281219884855</v>
      </c>
    </row>
    <row r="6352" ht="15" customHeight="1" spans="1:22" x14ac:dyDescent="0.25">
      <c r="A6352" s="17" t="s">
        <v>18022</v>
      </c>
      <c r="B6352" s="17" t="s">
        <v>70</v>
      </c>
      <c r="C6352" s="17" t="s">
        <v>71</v>
      </c>
      <c r="D6352" t="s">
        <v>18023</v>
      </c>
      <c r="F6352" t="s">
        <v>18023</v>
      </c>
      <c r="K6352" s="18">
        <f>628568014848</f>
        <v>628568014848</v>
      </c>
      <c r="N6352" s="17" t="s">
        <v>81</v>
      </c>
      <c r="V6352" s="18">
        <f>628568014848</f>
        <v>628568014848</v>
      </c>
    </row>
    <row r="6353" ht="15" customHeight="1" spans="1:22" x14ac:dyDescent="0.25">
      <c r="A6353" s="17" t="s">
        <v>18024</v>
      </c>
      <c r="B6353" s="17" t="s">
        <v>70</v>
      </c>
      <c r="C6353" s="17" t="s">
        <v>71</v>
      </c>
      <c r="D6353" t="s">
        <v>18025</v>
      </c>
      <c r="F6353" t="s">
        <v>18025</v>
      </c>
      <c r="K6353" s="18">
        <f>62811939767</f>
        <v>62811939767</v>
      </c>
      <c r="N6353" s="17" t="s">
        <v>77</v>
      </c>
      <c r="V6353" s="18">
        <f>62811939767</f>
        <v>62811939767</v>
      </c>
    </row>
    <row r="6354" ht="15" customHeight="1" spans="1:22" x14ac:dyDescent="0.25">
      <c r="A6354" s="17" t="s">
        <v>18026</v>
      </c>
      <c r="B6354" s="17" t="s">
        <v>70</v>
      </c>
      <c r="C6354" s="17" t="s">
        <v>71</v>
      </c>
      <c r="D6354" t="s">
        <v>18025</v>
      </c>
      <c r="F6354" t="s">
        <v>7087</v>
      </c>
      <c r="K6354" s="18">
        <f>628159769571</f>
        <v>628159769571</v>
      </c>
      <c r="N6354" s="17" t="s">
        <v>77</v>
      </c>
      <c r="V6354" s="18">
        <f>628159769571</f>
        <v>628159769571</v>
      </c>
    </row>
    <row r="6355" ht="15" customHeight="1" spans="1:22" x14ac:dyDescent="0.25">
      <c r="A6355" s="17" t="s">
        <v>18027</v>
      </c>
      <c r="B6355" s="17" t="s">
        <v>70</v>
      </c>
      <c r="C6355" s="17" t="s">
        <v>71</v>
      </c>
      <c r="D6355" t="s">
        <v>18025</v>
      </c>
      <c r="F6355" t="s">
        <v>18028</v>
      </c>
      <c r="K6355" s="18">
        <f>628113857088</f>
        <v>628113857088</v>
      </c>
      <c r="N6355" s="17" t="s">
        <v>81</v>
      </c>
      <c r="V6355" s="18">
        <f>628113857088</f>
        <v>628113857088</v>
      </c>
    </row>
    <row r="6356" ht="15" customHeight="1" spans="1:25" x14ac:dyDescent="0.25">
      <c r="A6356" s="17" t="s">
        <v>18029</v>
      </c>
      <c r="B6356" s="17" t="s">
        <v>70</v>
      </c>
      <c r="C6356" s="17" t="s">
        <v>71</v>
      </c>
      <c r="D6356" t="s">
        <v>18025</v>
      </c>
      <c r="F6356" t="s">
        <v>18030</v>
      </c>
      <c r="K6356" s="18">
        <f>6285213415979</f>
        <v>6285213415979</v>
      </c>
      <c r="N6356" s="17" t="s">
        <v>77</v>
      </c>
      <c r="U6356" s="17"/>
      <c r="V6356" s="18">
        <f>6285213415979</f>
        <v>6285213415979</v>
      </c>
      <c r="W6356" t="s">
        <v>18031</v>
      </c>
      <c r="Y6356" s="17" t="s">
        <v>397</v>
      </c>
    </row>
    <row r="6357" ht="15" customHeight="1" spans="1:22" x14ac:dyDescent="0.25">
      <c r="A6357" s="17" t="s">
        <v>18032</v>
      </c>
      <c r="B6357" s="17" t="s">
        <v>70</v>
      </c>
      <c r="C6357" s="17" t="s">
        <v>71</v>
      </c>
      <c r="D6357" t="s">
        <v>18025</v>
      </c>
      <c r="F6357" t="s">
        <v>18033</v>
      </c>
      <c r="K6357" s="18">
        <f>6287877278601</f>
        <v>6287877278601</v>
      </c>
      <c r="N6357" s="17" t="s">
        <v>81</v>
      </c>
      <c r="V6357" s="18">
        <f>6287877278601</f>
        <v>6287877278601</v>
      </c>
    </row>
    <row r="6358" ht="15" customHeight="1" spans="1:23" x14ac:dyDescent="0.25">
      <c r="A6358" s="17" t="s">
        <v>18034</v>
      </c>
      <c r="B6358" s="17" t="s">
        <v>70</v>
      </c>
      <c r="C6358" s="17" t="s">
        <v>71</v>
      </c>
      <c r="D6358" t="s">
        <v>18025</v>
      </c>
      <c r="F6358" t="s">
        <v>18035</v>
      </c>
      <c r="K6358" s="18">
        <f>6281337700248</f>
        <v>6281337700248</v>
      </c>
      <c r="N6358" s="17" t="s">
        <v>77</v>
      </c>
      <c r="U6358" s="17"/>
      <c r="V6358" s="18">
        <f>6281337700248</f>
        <v>6281337700248</v>
      </c>
      <c r="W6358" t="s">
        <v>18036</v>
      </c>
    </row>
    <row r="6359" ht="15" customHeight="1" spans="1:22" x14ac:dyDescent="0.25">
      <c r="A6359" s="17" t="s">
        <v>18037</v>
      </c>
      <c r="B6359" s="17" t="s">
        <v>70</v>
      </c>
      <c r="C6359" s="17" t="s">
        <v>71</v>
      </c>
      <c r="D6359" t="s">
        <v>18025</v>
      </c>
      <c r="F6359" t="s">
        <v>4613</v>
      </c>
      <c r="K6359" s="18">
        <f>6281584112255</f>
        <v>6281584112255</v>
      </c>
      <c r="N6359" s="17" t="s">
        <v>77</v>
      </c>
      <c r="V6359" s="18">
        <f>6281584112255</f>
        <v>6281584112255</v>
      </c>
    </row>
    <row r="6360" ht="15" customHeight="1" spans="1:22" x14ac:dyDescent="0.25">
      <c r="A6360" s="17" t="s">
        <v>18038</v>
      </c>
      <c r="B6360" s="17" t="s">
        <v>70</v>
      </c>
      <c r="C6360" s="17" t="s">
        <v>71</v>
      </c>
      <c r="D6360" t="s">
        <v>18025</v>
      </c>
      <c r="F6360" t="s">
        <v>18039</v>
      </c>
      <c r="J6360" s="17" t="s">
        <v>18040</v>
      </c>
      <c r="K6360" s="18">
        <f>628111895033</f>
        <v>628111895033</v>
      </c>
      <c r="N6360" s="17" t="s">
        <v>77</v>
      </c>
      <c r="V6360" s="18">
        <f>628111895033</f>
        <v>628111895033</v>
      </c>
    </row>
    <row r="6361" ht="15" customHeight="1" spans="1:23" x14ac:dyDescent="0.25">
      <c r="A6361" s="17" t="s">
        <v>18041</v>
      </c>
      <c r="B6361" s="17" t="s">
        <v>70</v>
      </c>
      <c r="C6361" s="17" t="s">
        <v>71</v>
      </c>
      <c r="D6361" t="s">
        <v>18025</v>
      </c>
      <c r="F6361" t="s">
        <v>18042</v>
      </c>
      <c r="K6361" s="18">
        <f>62811854770</f>
        <v>62811854770</v>
      </c>
      <c r="N6361" s="17" t="s">
        <v>74</v>
      </c>
      <c r="U6361" s="17"/>
      <c r="V6361" s="18">
        <f>62811854770</f>
        <v>62811854770</v>
      </c>
      <c r="W6361" t="s">
        <v>18043</v>
      </c>
    </row>
    <row r="6362" ht="15" customHeight="1" spans="1:23" x14ac:dyDescent="0.25">
      <c r="A6362" s="17" t="s">
        <v>18044</v>
      </c>
      <c r="B6362" s="17" t="s">
        <v>70</v>
      </c>
      <c r="C6362" s="17" t="s">
        <v>71</v>
      </c>
      <c r="D6362" t="s">
        <v>18025</v>
      </c>
      <c r="F6362" t="s">
        <v>18045</v>
      </c>
      <c r="K6362" s="18">
        <f>62816759078</f>
        <v>62816759078</v>
      </c>
      <c r="N6362" s="17" t="s">
        <v>81</v>
      </c>
      <c r="U6362" s="17"/>
      <c r="V6362" s="18">
        <f>62816759078</f>
        <v>62816759078</v>
      </c>
      <c r="W6362" t="s">
        <v>18046</v>
      </c>
    </row>
    <row r="6363" ht="15" customHeight="1" spans="1:22" x14ac:dyDescent="0.25">
      <c r="A6363" s="17" t="s">
        <v>18047</v>
      </c>
      <c r="B6363" s="17" t="s">
        <v>70</v>
      </c>
      <c r="C6363" s="17" t="s">
        <v>71</v>
      </c>
      <c r="D6363" t="s">
        <v>18025</v>
      </c>
      <c r="F6363" t="s">
        <v>997</v>
      </c>
      <c r="K6363" s="18">
        <f>62816864030</f>
        <v>62816864030</v>
      </c>
      <c r="N6363" s="17" t="s">
        <v>77</v>
      </c>
      <c r="V6363" s="18">
        <f>62816864030</f>
        <v>62816864030</v>
      </c>
    </row>
    <row r="6364" ht="15" customHeight="1" spans="1:28" x14ac:dyDescent="0.25">
      <c r="A6364" s="17" t="s">
        <v>18048</v>
      </c>
      <c r="B6364" s="17" t="s">
        <v>70</v>
      </c>
      <c r="C6364" s="17" t="s">
        <v>71</v>
      </c>
      <c r="D6364" t="s">
        <v>18049</v>
      </c>
      <c r="F6364" t="s">
        <v>2159</v>
      </c>
      <c r="J6364" s="17" t="s">
        <v>18050</v>
      </c>
      <c r="K6364" s="18" t="s">
        <v>18051</v>
      </c>
      <c r="N6364" s="17" t="s">
        <v>77</v>
      </c>
      <c r="O6364" t="s">
        <v>489</v>
      </c>
      <c r="U6364" s="17"/>
      <c r="V6364" s="18" t="s">
        <v>18051</v>
      </c>
      <c r="W6364" t="s">
        <v>18052</v>
      </c>
      <c r="Y6364" t="s">
        <v>190</v>
      </c>
      <c r="AA6364" t="s">
        <v>118</v>
      </c>
      <c r="AB6364" t="s">
        <v>119</v>
      </c>
    </row>
    <row r="6365" ht="15" customHeight="1" spans="1:22" x14ac:dyDescent="0.25">
      <c r="A6365" s="17" t="s">
        <v>18053</v>
      </c>
      <c r="B6365" s="17" t="s">
        <v>70</v>
      </c>
      <c r="C6365" s="17" t="s">
        <v>71</v>
      </c>
      <c r="D6365" t="s">
        <v>18025</v>
      </c>
      <c r="F6365" t="s">
        <v>18054</v>
      </c>
      <c r="K6365" s="18">
        <f>62811101003</f>
        <v>62811101003</v>
      </c>
      <c r="N6365" s="17" t="s">
        <v>77</v>
      </c>
      <c r="V6365" s="18">
        <f>62811101003</f>
        <v>62811101003</v>
      </c>
    </row>
    <row r="6366" ht="15" customHeight="1" spans="1:22" x14ac:dyDescent="0.25">
      <c r="A6366" s="17" t="s">
        <v>18055</v>
      </c>
      <c r="B6366" s="17" t="s">
        <v>70</v>
      </c>
      <c r="C6366" s="17" t="s">
        <v>71</v>
      </c>
      <c r="D6366" t="s">
        <v>18025</v>
      </c>
      <c r="F6366" t="s">
        <v>18056</v>
      </c>
      <c r="K6366" s="18">
        <f>62811357900</f>
        <v>62811357900</v>
      </c>
      <c r="N6366" s="17" t="s">
        <v>77</v>
      </c>
      <c r="V6366" s="18">
        <f>62811357900</f>
        <v>62811357900</v>
      </c>
    </row>
    <row r="6367" ht="15" customHeight="1" spans="1:23" x14ac:dyDescent="0.25">
      <c r="A6367" s="17" t="s">
        <v>18057</v>
      </c>
      <c r="B6367" s="17" t="s">
        <v>70</v>
      </c>
      <c r="C6367" s="17" t="s">
        <v>71</v>
      </c>
      <c r="D6367" t="s">
        <v>18025</v>
      </c>
      <c r="F6367" t="s">
        <v>18058</v>
      </c>
      <c r="J6367" s="17" t="s">
        <v>18059</v>
      </c>
      <c r="K6367" s="18">
        <f>628121014612</f>
        <v>628121014612</v>
      </c>
      <c r="N6367" s="17" t="s">
        <v>81</v>
      </c>
      <c r="U6367" s="17"/>
      <c r="V6367" s="18">
        <f>628121014612</f>
        <v>628121014612</v>
      </c>
      <c r="W6367" t="s">
        <v>18060</v>
      </c>
    </row>
    <row r="6368" ht="15" customHeight="1" spans="1:22" x14ac:dyDescent="0.25">
      <c r="A6368" s="17" t="s">
        <v>18061</v>
      </c>
      <c r="B6368" s="17" t="s">
        <v>70</v>
      </c>
      <c r="C6368" s="17" t="s">
        <v>71</v>
      </c>
      <c r="D6368" t="s">
        <v>18025</v>
      </c>
      <c r="F6368" t="s">
        <v>18062</v>
      </c>
      <c r="K6368" s="18">
        <f>62811137251</f>
        <v>62811137251</v>
      </c>
      <c r="N6368" s="17" t="s">
        <v>77</v>
      </c>
      <c r="V6368" s="18">
        <f>62811137251</f>
        <v>62811137251</v>
      </c>
    </row>
    <row r="6369" ht="15" customHeight="1" spans="1:23" x14ac:dyDescent="0.25">
      <c r="A6369" s="17" t="s">
        <v>18063</v>
      </c>
      <c r="B6369" s="17" t="s">
        <v>70</v>
      </c>
      <c r="C6369" s="17" t="s">
        <v>71</v>
      </c>
      <c r="D6369" t="s">
        <v>18025</v>
      </c>
      <c r="F6369" t="s">
        <v>2517</v>
      </c>
      <c r="K6369" s="18">
        <f>62818260519</f>
        <v>62818260519</v>
      </c>
      <c r="N6369" s="17" t="s">
        <v>81</v>
      </c>
      <c r="U6369" s="17"/>
      <c r="V6369" s="18">
        <f>62818260519</f>
        <v>62818260519</v>
      </c>
      <c r="W6369" t="s">
        <v>18064</v>
      </c>
    </row>
    <row r="6370" ht="15" customHeight="1" spans="1:27" x14ac:dyDescent="0.25">
      <c r="A6370" s="17" t="s">
        <v>18065</v>
      </c>
      <c r="B6370" s="17" t="s">
        <v>70</v>
      </c>
      <c r="C6370" s="17" t="s">
        <v>71</v>
      </c>
      <c r="D6370" t="s">
        <v>18025</v>
      </c>
      <c r="F6370" t="s">
        <v>18066</v>
      </c>
      <c r="J6370" s="17" t="s">
        <v>18067</v>
      </c>
      <c r="K6370" s="18">
        <f>6281221620615</f>
        <v>6281221620615</v>
      </c>
      <c r="N6370" s="17" t="s">
        <v>77</v>
      </c>
      <c r="U6370" s="17"/>
      <c r="V6370" s="18">
        <f>6281221620615</f>
        <v>6281221620615</v>
      </c>
      <c r="W6370" t="s">
        <v>18068</v>
      </c>
      <c r="Y6370" s="17" t="s">
        <v>626</v>
      </c>
      <c r="AA6370" s="17">
        <v>11470</v>
      </c>
    </row>
    <row r="6371" ht="15" customHeight="1" spans="1:25" x14ac:dyDescent="0.25">
      <c r="A6371" s="17" t="s">
        <v>18069</v>
      </c>
      <c r="B6371" s="17" t="s">
        <v>70</v>
      </c>
      <c r="C6371" s="17" t="s">
        <v>71</v>
      </c>
      <c r="D6371" t="s">
        <v>18025</v>
      </c>
      <c r="F6371" t="s">
        <v>18070</v>
      </c>
      <c r="K6371" s="18">
        <v>318296023</v>
      </c>
      <c r="N6371" s="17" t="s">
        <v>77</v>
      </c>
      <c r="U6371" s="17"/>
      <c r="V6371" s="18">
        <v>318296023</v>
      </c>
      <c r="W6371" t="s">
        <v>18071</v>
      </c>
      <c r="Y6371" s="17" t="s">
        <v>704</v>
      </c>
    </row>
    <row r="6372" ht="15" customHeight="1" spans="1:28" x14ac:dyDescent="0.25">
      <c r="A6372" s="17" t="s">
        <v>18072</v>
      </c>
      <c r="B6372" s="17" t="s">
        <v>70</v>
      </c>
      <c r="C6372" s="17" t="s">
        <v>71</v>
      </c>
      <c r="D6372" t="s">
        <v>18025</v>
      </c>
      <c r="F6372" t="s">
        <v>18073</v>
      </c>
      <c r="J6372" t="s">
        <v>115</v>
      </c>
      <c r="K6372" s="18" t="s">
        <v>18074</v>
      </c>
      <c r="N6372" s="17" t="s">
        <v>74</v>
      </c>
      <c r="O6372" t="s">
        <v>261</v>
      </c>
      <c r="U6372" s="17"/>
      <c r="V6372" s="18" t="s">
        <v>18074</v>
      </c>
      <c r="W6372" t="s">
        <v>18075</v>
      </c>
      <c r="Y6372" t="s">
        <v>90</v>
      </c>
      <c r="AA6372" t="s">
        <v>118</v>
      </c>
      <c r="AB6372" t="s">
        <v>119</v>
      </c>
    </row>
    <row r="6373" ht="15" customHeight="1" spans="1:28" x14ac:dyDescent="0.25">
      <c r="A6373" s="17" t="s">
        <v>18076</v>
      </c>
      <c r="B6373" s="17" t="s">
        <v>70</v>
      </c>
      <c r="C6373" s="17" t="s">
        <v>71</v>
      </c>
      <c r="D6373" t="s">
        <v>11444</v>
      </c>
      <c r="F6373" t="s">
        <v>18077</v>
      </c>
      <c r="J6373" t="s">
        <v>115</v>
      </c>
      <c r="K6373" s="18" t="s">
        <v>18078</v>
      </c>
      <c r="N6373" s="17" t="s">
        <v>74</v>
      </c>
      <c r="O6373" t="s">
        <v>145</v>
      </c>
      <c r="V6373" s="18" t="s">
        <v>18078</v>
      </c>
      <c r="Y6373" t="s">
        <v>96</v>
      </c>
      <c r="AA6373" t="s">
        <v>693</v>
      </c>
      <c r="AB6373" t="s">
        <v>119</v>
      </c>
    </row>
    <row r="6374" ht="15" customHeight="1" spans="1:22" x14ac:dyDescent="0.25">
      <c r="A6374" s="17" t="s">
        <v>18079</v>
      </c>
      <c r="B6374" s="17" t="s">
        <v>70</v>
      </c>
      <c r="C6374" s="17" t="s">
        <v>71</v>
      </c>
      <c r="D6374" t="s">
        <v>18080</v>
      </c>
      <c r="F6374" t="s">
        <v>2320</v>
      </c>
      <c r="K6374" s="18">
        <f>6281380742939</f>
        <v>6281380742939</v>
      </c>
      <c r="N6374" s="17" t="s">
        <v>77</v>
      </c>
      <c r="V6374" s="18">
        <f>6281380742939</f>
        <v>6281380742939</v>
      </c>
    </row>
    <row r="6375" ht="15" customHeight="1" spans="1:28" x14ac:dyDescent="0.25">
      <c r="A6375" s="17" t="s">
        <v>18081</v>
      </c>
      <c r="B6375" s="17" t="s">
        <v>70</v>
      </c>
      <c r="C6375" s="17" t="s">
        <v>71</v>
      </c>
      <c r="D6375" t="s">
        <v>18082</v>
      </c>
      <c r="F6375" t="s">
        <v>18083</v>
      </c>
      <c r="J6375" t="s">
        <v>115</v>
      </c>
      <c r="K6375" s="18" t="s">
        <v>18084</v>
      </c>
      <c r="N6375" s="17" t="s">
        <v>77</v>
      </c>
      <c r="O6375" t="s">
        <v>117</v>
      </c>
      <c r="U6375" s="17"/>
      <c r="V6375" s="18" t="s">
        <v>18084</v>
      </c>
      <c r="W6375" t="s">
        <v>18085</v>
      </c>
      <c r="Y6375" s="17" t="s">
        <v>90</v>
      </c>
      <c r="AA6375" s="17" t="s">
        <v>118</v>
      </c>
      <c r="AB6375" t="s">
        <v>119</v>
      </c>
    </row>
    <row r="6376" ht="15" customHeight="1" spans="1:22" x14ac:dyDescent="0.25">
      <c r="A6376" s="17" t="s">
        <v>18086</v>
      </c>
      <c r="B6376" s="17" t="s">
        <v>70</v>
      </c>
      <c r="C6376" s="17" t="s">
        <v>71</v>
      </c>
      <c r="D6376" t="s">
        <v>15979</v>
      </c>
      <c r="F6376" t="s">
        <v>18087</v>
      </c>
      <c r="K6376" s="18">
        <f>628151806323</f>
        <v>628151806323</v>
      </c>
      <c r="N6376" s="17" t="s">
        <v>81</v>
      </c>
      <c r="V6376" s="18">
        <f>628151806323</f>
        <v>628151806323</v>
      </c>
    </row>
    <row r="6377" ht="15" customHeight="1" spans="1:22" x14ac:dyDescent="0.25">
      <c r="A6377" s="17" t="s">
        <v>18088</v>
      </c>
      <c r="B6377" s="17" t="s">
        <v>70</v>
      </c>
      <c r="C6377" s="17" t="s">
        <v>71</v>
      </c>
      <c r="D6377" t="s">
        <v>18087</v>
      </c>
      <c r="F6377" t="s">
        <v>18089</v>
      </c>
      <c r="K6377" s="18">
        <f>62811119009</f>
        <v>62811119009</v>
      </c>
      <c r="N6377" s="17" t="s">
        <v>74</v>
      </c>
      <c r="V6377" s="18">
        <f>62811119009</f>
        <v>62811119009</v>
      </c>
    </row>
    <row r="6378" ht="15" customHeight="1" spans="1:22" x14ac:dyDescent="0.25">
      <c r="A6378" s="17" t="s">
        <v>18090</v>
      </c>
      <c r="B6378" s="17" t="s">
        <v>70</v>
      </c>
      <c r="C6378" s="17" t="s">
        <v>71</v>
      </c>
      <c r="D6378" t="s">
        <v>7950</v>
      </c>
      <c r="F6378" t="s">
        <v>5942</v>
      </c>
      <c r="K6378" s="18">
        <f>628111712788</f>
        <v>628111712788</v>
      </c>
      <c r="N6378" s="17" t="s">
        <v>81</v>
      </c>
      <c r="V6378" s="18">
        <f>628111712788</f>
        <v>628111712788</v>
      </c>
    </row>
    <row r="6379" ht="15" customHeight="1" spans="1:22" x14ac:dyDescent="0.25">
      <c r="A6379" s="17" t="s">
        <v>18091</v>
      </c>
      <c r="B6379" s="17" t="s">
        <v>70</v>
      </c>
      <c r="C6379" s="17" t="s">
        <v>71</v>
      </c>
      <c r="D6379" t="s">
        <v>7950</v>
      </c>
      <c r="F6379" t="s">
        <v>18092</v>
      </c>
      <c r="K6379" s="18">
        <f>6281945787</f>
        <v>6281945787</v>
      </c>
      <c r="N6379" s="17" t="s">
        <v>77</v>
      </c>
      <c r="V6379" s="18">
        <f>6281945787</f>
        <v>6281945787</v>
      </c>
    </row>
    <row r="6380" ht="15" customHeight="1" spans="1:25" x14ac:dyDescent="0.25">
      <c r="A6380" s="17" t="s">
        <v>18093</v>
      </c>
      <c r="B6380" s="17" t="s">
        <v>70</v>
      </c>
      <c r="C6380" s="17" t="s">
        <v>71</v>
      </c>
      <c r="D6380" t="s">
        <v>18094</v>
      </c>
      <c r="F6380" t="s">
        <v>16838</v>
      </c>
      <c r="K6380" s="18">
        <f>628129500730</f>
        <v>628129500730</v>
      </c>
      <c r="N6380" s="17" t="s">
        <v>77</v>
      </c>
      <c r="U6380" s="17"/>
      <c r="V6380" s="18">
        <f>628129500730</f>
        <v>628129500730</v>
      </c>
      <c r="W6380" t="s">
        <v>18095</v>
      </c>
      <c r="Y6380" s="17" t="s">
        <v>96</v>
      </c>
    </row>
    <row r="6381" ht="15" customHeight="1" spans="1:27" x14ac:dyDescent="0.25">
      <c r="A6381" s="17" t="s">
        <v>18096</v>
      </c>
      <c r="B6381" s="17" t="s">
        <v>70</v>
      </c>
      <c r="C6381" s="17" t="s">
        <v>71</v>
      </c>
      <c r="D6381" t="s">
        <v>18097</v>
      </c>
      <c r="F6381" t="s">
        <v>14335</v>
      </c>
      <c r="J6381" s="17" t="s">
        <v>18098</v>
      </c>
      <c r="K6381" s="18">
        <f>62811152346</f>
        <v>62811152346</v>
      </c>
      <c r="N6381" s="17" t="s">
        <v>77</v>
      </c>
      <c r="U6381" s="17"/>
      <c r="V6381" s="18">
        <f>62811152346</f>
        <v>62811152346</v>
      </c>
      <c r="W6381" t="s">
        <v>18099</v>
      </c>
      <c r="AA6381" s="17">
        <v>11610</v>
      </c>
    </row>
    <row r="6382" ht="15" customHeight="1" spans="1:23" x14ac:dyDescent="0.25">
      <c r="A6382" s="17" t="s">
        <v>18100</v>
      </c>
      <c r="B6382" s="17" t="s">
        <v>70</v>
      </c>
      <c r="C6382" s="17" t="s">
        <v>71</v>
      </c>
      <c r="D6382" t="s">
        <v>18101</v>
      </c>
      <c r="F6382" t="s">
        <v>18102</v>
      </c>
      <c r="J6382" s="17" t="s">
        <v>18103</v>
      </c>
      <c r="K6382" s="18">
        <f>6281353500444</f>
        <v>6281353500444</v>
      </c>
      <c r="N6382" s="17" t="s">
        <v>77</v>
      </c>
      <c r="U6382" s="17"/>
      <c r="V6382" s="18">
        <f>6281353500444</f>
        <v>6281353500444</v>
      </c>
      <c r="W6382" t="s">
        <v>181</v>
      </c>
    </row>
    <row r="6383" ht="15" customHeight="1" spans="1:25" x14ac:dyDescent="0.25">
      <c r="A6383" s="17" t="s">
        <v>18104</v>
      </c>
      <c r="B6383" s="17" t="s">
        <v>70</v>
      </c>
      <c r="C6383" s="17" t="s">
        <v>71</v>
      </c>
      <c r="D6383" t="s">
        <v>18105</v>
      </c>
      <c r="F6383" t="s">
        <v>18106</v>
      </c>
      <c r="K6383" s="18">
        <f>6282220008000</f>
        <v>6282220008000</v>
      </c>
      <c r="N6383" s="17" t="s">
        <v>81</v>
      </c>
      <c r="V6383" s="18">
        <f>6282220008000</f>
        <v>6282220008000</v>
      </c>
      <c r="Y6383" s="17" t="s">
        <v>18107</v>
      </c>
    </row>
    <row r="6384" ht="15" customHeight="1" spans="1:23" x14ac:dyDescent="0.25">
      <c r="A6384" s="17" t="s">
        <v>18108</v>
      </c>
      <c r="B6384" s="17" t="s">
        <v>70</v>
      </c>
      <c r="C6384" s="17" t="s">
        <v>71</v>
      </c>
      <c r="D6384" t="s">
        <v>18109</v>
      </c>
      <c r="F6384" t="s">
        <v>18110</v>
      </c>
      <c r="K6384" s="18">
        <f>6281513430787</f>
        <v>6281513430787</v>
      </c>
      <c r="N6384" s="17" t="s">
        <v>77</v>
      </c>
      <c r="U6384" s="17"/>
      <c r="V6384" s="18">
        <f>6281513430787</f>
        <v>6281513430787</v>
      </c>
      <c r="W6384" t="s">
        <v>18111</v>
      </c>
    </row>
    <row r="6385" ht="15" customHeight="1" spans="1:23" x14ac:dyDescent="0.25">
      <c r="A6385" s="17" t="s">
        <v>18112</v>
      </c>
      <c r="B6385" s="17" t="s">
        <v>70</v>
      </c>
      <c r="C6385" s="17" t="s">
        <v>71</v>
      </c>
      <c r="D6385" t="s">
        <v>18109</v>
      </c>
      <c r="F6385" t="s">
        <v>18113</v>
      </c>
      <c r="K6385" s="18">
        <f>6281354581560</f>
        <v>6281354581560</v>
      </c>
      <c r="N6385" s="17" t="s">
        <v>81</v>
      </c>
      <c r="U6385" s="17"/>
      <c r="V6385" s="18">
        <f>6281354581560</f>
        <v>6281354581560</v>
      </c>
      <c r="W6385" t="s">
        <v>18114</v>
      </c>
    </row>
    <row r="6386" ht="15" customHeight="1" spans="1:22" x14ac:dyDescent="0.25">
      <c r="A6386" s="17" t="s">
        <v>18115</v>
      </c>
      <c r="B6386" s="17" t="s">
        <v>70</v>
      </c>
      <c r="C6386" s="17" t="s">
        <v>71</v>
      </c>
      <c r="D6386" t="s">
        <v>18109</v>
      </c>
      <c r="F6386" t="s">
        <v>1608</v>
      </c>
      <c r="K6386" s="18">
        <f>6287885282455</f>
        <v>6287885282455</v>
      </c>
      <c r="N6386" s="17" t="s">
        <v>81</v>
      </c>
      <c r="V6386" s="18">
        <f>6287885282455</f>
        <v>6287885282455</v>
      </c>
    </row>
    <row r="6387" ht="15" customHeight="1" spans="1:22" x14ac:dyDescent="0.25">
      <c r="A6387" s="17" t="s">
        <v>18116</v>
      </c>
      <c r="B6387" s="17" t="s">
        <v>70</v>
      </c>
      <c r="C6387" s="17" t="s">
        <v>71</v>
      </c>
      <c r="D6387" t="s">
        <v>18109</v>
      </c>
      <c r="F6387" t="s">
        <v>18117</v>
      </c>
      <c r="K6387" s="18">
        <f>628118604168</f>
        <v>628118604168</v>
      </c>
      <c r="N6387" s="17" t="s">
        <v>81</v>
      </c>
      <c r="V6387" s="18">
        <f>628118604168</f>
        <v>628118604168</v>
      </c>
    </row>
    <row r="6388" ht="15" customHeight="1" spans="1:22" x14ac:dyDescent="0.25">
      <c r="A6388" s="17" t="s">
        <v>18118</v>
      </c>
      <c r="B6388" s="17" t="s">
        <v>70</v>
      </c>
      <c r="C6388" s="17" t="s">
        <v>71</v>
      </c>
      <c r="D6388" t="s">
        <v>11439</v>
      </c>
      <c r="F6388" t="s">
        <v>18119</v>
      </c>
      <c r="K6388" s="18">
        <f>79261980385</f>
        <v>79261980385</v>
      </c>
      <c r="N6388" s="17" t="s">
        <v>81</v>
      </c>
      <c r="V6388" s="18">
        <f>79261980385</f>
        <v>79261980385</v>
      </c>
    </row>
    <row r="6389" ht="15" customHeight="1" spans="1:23" x14ac:dyDescent="0.25">
      <c r="A6389" s="17" t="s">
        <v>18120</v>
      </c>
      <c r="B6389" s="17" t="s">
        <v>70</v>
      </c>
      <c r="C6389" s="17" t="s">
        <v>71</v>
      </c>
      <c r="D6389" t="s">
        <v>18121</v>
      </c>
      <c r="F6389" t="s">
        <v>18122</v>
      </c>
      <c r="K6389" s="18">
        <f>6282145202787</f>
        <v>6282145202787</v>
      </c>
      <c r="N6389" s="17" t="s">
        <v>77</v>
      </c>
      <c r="U6389" s="17"/>
      <c r="V6389" s="18">
        <f>6282145202787</f>
        <v>6282145202787</v>
      </c>
      <c r="W6389" t="s">
        <v>18123</v>
      </c>
    </row>
    <row r="6390" ht="15" customHeight="1" spans="1:28" x14ac:dyDescent="0.25">
      <c r="A6390" s="17" t="s">
        <v>18124</v>
      </c>
      <c r="B6390" s="17" t="s">
        <v>70</v>
      </c>
      <c r="C6390" s="17" t="s">
        <v>71</v>
      </c>
      <c r="D6390" t="s">
        <v>18125</v>
      </c>
      <c r="F6390" t="s">
        <v>18126</v>
      </c>
      <c r="J6390" t="s">
        <v>115</v>
      </c>
      <c r="K6390" s="18" t="s">
        <v>18127</v>
      </c>
      <c r="N6390" s="17" t="s">
        <v>77</v>
      </c>
      <c r="O6390" t="s">
        <v>117</v>
      </c>
      <c r="V6390" s="18" t="s">
        <v>18127</v>
      </c>
      <c r="Y6390" t="s">
        <v>115</v>
      </c>
      <c r="AA6390" t="s">
        <v>115</v>
      </c>
      <c r="AB6390" t="s">
        <v>119</v>
      </c>
    </row>
    <row r="6391" ht="15" customHeight="1" spans="1:28" x14ac:dyDescent="0.25">
      <c r="A6391" s="17" t="s">
        <v>18128</v>
      </c>
      <c r="B6391" s="17" t="s">
        <v>70</v>
      </c>
      <c r="C6391" s="17" t="s">
        <v>71</v>
      </c>
      <c r="D6391" t="s">
        <v>18129</v>
      </c>
      <c r="F6391" t="s">
        <v>18130</v>
      </c>
      <c r="J6391" t="s">
        <v>115</v>
      </c>
      <c r="K6391" s="18" t="s">
        <v>18131</v>
      </c>
      <c r="N6391" s="17" t="s">
        <v>77</v>
      </c>
      <c r="O6391" t="s">
        <v>199</v>
      </c>
      <c r="U6391" s="17"/>
      <c r="V6391" s="18" t="s">
        <v>18131</v>
      </c>
      <c r="W6391" t="s">
        <v>18132</v>
      </c>
      <c r="Y6391" s="17" t="s">
        <v>4959</v>
      </c>
      <c r="AA6391" t="s">
        <v>115</v>
      </c>
      <c r="AB6391" t="s">
        <v>119</v>
      </c>
    </row>
    <row r="6392" ht="15" customHeight="1" spans="1:25" x14ac:dyDescent="0.25">
      <c r="A6392" s="17" t="s">
        <v>18133</v>
      </c>
      <c r="B6392" s="17" t="s">
        <v>70</v>
      </c>
      <c r="C6392" s="17" t="s">
        <v>71</v>
      </c>
      <c r="D6392" t="s">
        <v>18134</v>
      </c>
      <c r="F6392" t="s">
        <v>18135</v>
      </c>
      <c r="K6392" s="18">
        <f>6281219445566</f>
        <v>6281219445566</v>
      </c>
      <c r="N6392" s="17" t="s">
        <v>81</v>
      </c>
      <c r="U6392" s="17"/>
      <c r="V6392" s="18">
        <f>6281219445566</f>
        <v>6281219445566</v>
      </c>
      <c r="W6392" t="s">
        <v>18136</v>
      </c>
      <c r="Y6392" s="17" t="s">
        <v>96</v>
      </c>
    </row>
    <row r="6393" ht="15" customHeight="1" spans="1:25" x14ac:dyDescent="0.25">
      <c r="A6393" s="17" t="s">
        <v>18137</v>
      </c>
      <c r="B6393" s="17" t="s">
        <v>70</v>
      </c>
      <c r="C6393" s="17" t="s">
        <v>71</v>
      </c>
      <c r="D6393" t="s">
        <v>18138</v>
      </c>
      <c r="F6393" t="s">
        <v>18138</v>
      </c>
      <c r="K6393" s="18">
        <f>628111041367</f>
        <v>628111041367</v>
      </c>
      <c r="N6393" s="17" t="s">
        <v>77</v>
      </c>
      <c r="V6393" s="18">
        <f>628111041367</f>
        <v>628111041367</v>
      </c>
      <c r="Y6393" s="17" t="s">
        <v>2596</v>
      </c>
    </row>
    <row r="6394" ht="15" customHeight="1" spans="1:28" x14ac:dyDescent="0.25">
      <c r="A6394" s="17" t="s">
        <v>18139</v>
      </c>
      <c r="B6394" s="17" t="s">
        <v>70</v>
      </c>
      <c r="C6394" s="17" t="s">
        <v>71</v>
      </c>
      <c r="D6394" t="s">
        <v>18140</v>
      </c>
      <c r="F6394" t="s">
        <v>18141</v>
      </c>
      <c r="J6394" t="s">
        <v>115</v>
      </c>
      <c r="K6394" s="18" t="s">
        <v>18142</v>
      </c>
      <c r="N6394" s="17" t="s">
        <v>77</v>
      </c>
      <c r="O6394" t="s">
        <v>1188</v>
      </c>
      <c r="V6394" s="18" t="s">
        <v>18142</v>
      </c>
      <c r="Y6394" t="s">
        <v>190</v>
      </c>
      <c r="AA6394" t="s">
        <v>118</v>
      </c>
      <c r="AB6394" t="s">
        <v>119</v>
      </c>
    </row>
    <row r="6395" ht="15" customHeight="1" spans="1:23" x14ac:dyDescent="0.25">
      <c r="A6395" s="17" t="s">
        <v>18143</v>
      </c>
      <c r="B6395" s="17" t="s">
        <v>70</v>
      </c>
      <c r="C6395" s="17" t="s">
        <v>71</v>
      </c>
      <c r="D6395" t="s">
        <v>18144</v>
      </c>
      <c r="F6395" t="s">
        <v>18145</v>
      </c>
      <c r="K6395" s="18">
        <f>6281338771156</f>
        <v>6281338771156</v>
      </c>
      <c r="N6395" s="17" t="s">
        <v>81</v>
      </c>
      <c r="U6395" s="17"/>
      <c r="V6395" s="18">
        <f>6281338771156</f>
        <v>6281338771156</v>
      </c>
      <c r="W6395" t="s">
        <v>18146</v>
      </c>
    </row>
    <row r="6396" ht="15" customHeight="1" spans="1:22" x14ac:dyDescent="0.25">
      <c r="A6396" s="17" t="s">
        <v>18147</v>
      </c>
      <c r="B6396" s="17" t="s">
        <v>70</v>
      </c>
      <c r="C6396" s="17" t="s">
        <v>71</v>
      </c>
      <c r="D6396" t="s">
        <v>18144</v>
      </c>
      <c r="F6396" t="s">
        <v>18148</v>
      </c>
      <c r="K6396" s="18">
        <f>62816805327</f>
        <v>62816805327</v>
      </c>
      <c r="N6396" s="17" t="s">
        <v>77</v>
      </c>
      <c r="V6396" s="18">
        <f>62816805327</f>
        <v>62816805327</v>
      </c>
    </row>
    <row r="6397" ht="15" customHeight="1" spans="1:23" x14ac:dyDescent="0.25">
      <c r="A6397" s="17" t="s">
        <v>18149</v>
      </c>
      <c r="B6397" s="17" t="s">
        <v>70</v>
      </c>
      <c r="C6397" s="17" t="s">
        <v>71</v>
      </c>
      <c r="D6397" t="s">
        <v>18144</v>
      </c>
      <c r="F6397" t="s">
        <v>18150</v>
      </c>
      <c r="K6397" s="18">
        <f>62818958241</f>
        <v>62818958241</v>
      </c>
      <c r="N6397" s="17" t="s">
        <v>77</v>
      </c>
      <c r="U6397" s="17"/>
      <c r="V6397" s="18">
        <f>62818958241</f>
        <v>62818958241</v>
      </c>
      <c r="W6397" t="s">
        <v>18151</v>
      </c>
    </row>
    <row r="6398" ht="15" customHeight="1" spans="1:22" x14ac:dyDescent="0.25">
      <c r="A6398" s="17" t="s">
        <v>18152</v>
      </c>
      <c r="B6398" s="17" t="s">
        <v>70</v>
      </c>
      <c r="C6398" s="17" t="s">
        <v>71</v>
      </c>
      <c r="D6398" t="s">
        <v>18153</v>
      </c>
      <c r="F6398" t="s">
        <v>18153</v>
      </c>
      <c r="K6398" s="18">
        <f>622131906828</f>
        <v>622131906828</v>
      </c>
      <c r="N6398" s="17" t="s">
        <v>77</v>
      </c>
      <c r="V6398" s="18">
        <f>622131906828</f>
        <v>622131906828</v>
      </c>
    </row>
    <row r="6399" ht="15" customHeight="1" spans="1:22" x14ac:dyDescent="0.25">
      <c r="A6399" s="17" t="s">
        <v>18154</v>
      </c>
      <c r="B6399" s="17" t="s">
        <v>70</v>
      </c>
      <c r="C6399" s="17" t="s">
        <v>71</v>
      </c>
      <c r="D6399" t="s">
        <v>18155</v>
      </c>
      <c r="F6399" t="s">
        <v>18155</v>
      </c>
      <c r="K6399" s="18">
        <f>6281394443866</f>
        <v>6281394443866</v>
      </c>
      <c r="N6399" s="17" t="s">
        <v>81</v>
      </c>
      <c r="V6399" s="18">
        <f>6281394443866</f>
        <v>6281394443866</v>
      </c>
    </row>
    <row r="6400" ht="15" customHeight="1" spans="1:22" x14ac:dyDescent="0.25">
      <c r="A6400" s="17" t="s">
        <v>18156</v>
      </c>
      <c r="B6400" s="17" t="s">
        <v>70</v>
      </c>
      <c r="C6400" s="17" t="s">
        <v>71</v>
      </c>
      <c r="D6400" t="s">
        <v>10504</v>
      </c>
      <c r="F6400" t="s">
        <v>1401</v>
      </c>
      <c r="K6400" s="18">
        <f>628111808980</f>
        <v>628111808980</v>
      </c>
      <c r="N6400" s="17" t="s">
        <v>81</v>
      </c>
      <c r="V6400" s="18">
        <f>628111808980</f>
        <v>628111808980</v>
      </c>
    </row>
    <row r="6401" ht="15" customHeight="1" spans="1:22" x14ac:dyDescent="0.25">
      <c r="A6401" s="17" t="s">
        <v>18157</v>
      </c>
      <c r="B6401" s="17" t="s">
        <v>70</v>
      </c>
      <c r="C6401" s="17" t="s">
        <v>71</v>
      </c>
      <c r="D6401" t="s">
        <v>10504</v>
      </c>
      <c r="F6401" t="s">
        <v>18158</v>
      </c>
      <c r="K6401" s="18">
        <f>6285272200109</f>
        <v>6285272200109</v>
      </c>
      <c r="N6401" s="17" t="s">
        <v>77</v>
      </c>
      <c r="V6401" s="18">
        <f>6285272200109</f>
        <v>6285272200109</v>
      </c>
    </row>
    <row r="6402" ht="15" customHeight="1" spans="1:23" x14ac:dyDescent="0.25">
      <c r="A6402" s="17" t="s">
        <v>18159</v>
      </c>
      <c r="B6402" s="17" t="s">
        <v>70</v>
      </c>
      <c r="C6402" s="17" t="s">
        <v>71</v>
      </c>
      <c r="D6402" t="s">
        <v>10504</v>
      </c>
      <c r="F6402" t="s">
        <v>18160</v>
      </c>
      <c r="K6402" s="18">
        <f>62816786837</f>
        <v>62816786837</v>
      </c>
      <c r="N6402" s="17" t="s">
        <v>77</v>
      </c>
      <c r="U6402" s="17"/>
      <c r="V6402" s="18">
        <f>62816786837</f>
        <v>62816786837</v>
      </c>
      <c r="W6402" t="s">
        <v>18161</v>
      </c>
    </row>
    <row r="6403" ht="15" customHeight="1" spans="1:28" x14ac:dyDescent="0.25">
      <c r="A6403" s="17" t="s">
        <v>18162</v>
      </c>
      <c r="B6403" s="17" t="s">
        <v>70</v>
      </c>
      <c r="C6403" s="17" t="s">
        <v>71</v>
      </c>
      <c r="D6403" t="s">
        <v>18163</v>
      </c>
      <c r="F6403" t="s">
        <v>18164</v>
      </c>
      <c r="J6403" t="s">
        <v>115</v>
      </c>
      <c r="K6403" s="18" t="s">
        <v>18165</v>
      </c>
      <c r="N6403" s="17" t="s">
        <v>81</v>
      </c>
      <c r="O6403" t="s">
        <v>117</v>
      </c>
      <c r="U6403" s="17"/>
      <c r="V6403" s="18" t="s">
        <v>18165</v>
      </c>
      <c r="W6403" t="s">
        <v>18166</v>
      </c>
      <c r="Y6403" t="s">
        <v>90</v>
      </c>
      <c r="AA6403" t="s">
        <v>118</v>
      </c>
      <c r="AB6403" t="s">
        <v>119</v>
      </c>
    </row>
    <row r="6404" ht="15" customHeight="1" spans="1:23" x14ac:dyDescent="0.25">
      <c r="A6404" s="17" t="s">
        <v>18167</v>
      </c>
      <c r="B6404" s="17" t="s">
        <v>70</v>
      </c>
      <c r="C6404" s="17" t="s">
        <v>71</v>
      </c>
      <c r="D6404" t="s">
        <v>10504</v>
      </c>
      <c r="F6404" t="s">
        <v>18168</v>
      </c>
      <c r="J6404" s="17" t="s">
        <v>18169</v>
      </c>
      <c r="K6404" s="18">
        <f>62811989555</f>
        <v>62811989555</v>
      </c>
      <c r="N6404" s="17" t="s">
        <v>81</v>
      </c>
      <c r="U6404" s="17"/>
      <c r="V6404" s="18">
        <f>62811989555</f>
        <v>62811989555</v>
      </c>
      <c r="W6404" t="s">
        <v>18170</v>
      </c>
    </row>
    <row r="6405" ht="15" customHeight="1" spans="1:22" x14ac:dyDescent="0.25">
      <c r="A6405" s="17" t="s">
        <v>18171</v>
      </c>
      <c r="B6405" s="17" t="s">
        <v>70</v>
      </c>
      <c r="C6405" s="17" t="s">
        <v>71</v>
      </c>
      <c r="D6405" t="s">
        <v>10504</v>
      </c>
      <c r="F6405" t="s">
        <v>994</v>
      </c>
      <c r="K6405" s="18">
        <f>6281902091989</f>
        <v>6281902091989</v>
      </c>
      <c r="N6405" s="17" t="s">
        <v>81</v>
      </c>
      <c r="V6405" s="18">
        <f>6281902091989</f>
        <v>6281902091989</v>
      </c>
    </row>
    <row r="6406" ht="15" customHeight="1" spans="1:22" x14ac:dyDescent="0.25">
      <c r="A6406" s="17" t="s">
        <v>18172</v>
      </c>
      <c r="B6406" s="17" t="s">
        <v>70</v>
      </c>
      <c r="C6406" s="17" t="s">
        <v>71</v>
      </c>
      <c r="D6406" t="s">
        <v>10504</v>
      </c>
      <c r="F6406" t="s">
        <v>18173</v>
      </c>
      <c r="K6406" s="18">
        <f>62811960750</f>
        <v>62811960750</v>
      </c>
      <c r="N6406" s="17" t="s">
        <v>77</v>
      </c>
      <c r="V6406" s="18">
        <f>62811960750</f>
        <v>62811960750</v>
      </c>
    </row>
    <row r="6407" ht="15" customHeight="1" spans="1:23" x14ac:dyDescent="0.25">
      <c r="A6407" s="17" t="s">
        <v>18174</v>
      </c>
      <c r="B6407" s="17" t="s">
        <v>70</v>
      </c>
      <c r="C6407" s="17" t="s">
        <v>71</v>
      </c>
      <c r="D6407" t="s">
        <v>10504</v>
      </c>
      <c r="F6407" t="s">
        <v>18175</v>
      </c>
      <c r="J6407" s="17" t="s">
        <v>18176</v>
      </c>
      <c r="K6407" s="18">
        <f>6281233361970</f>
        <v>6281233361970</v>
      </c>
      <c r="N6407" s="17" t="s">
        <v>74</v>
      </c>
      <c r="U6407" s="17"/>
      <c r="V6407" s="18">
        <f>6281233361970</f>
        <v>6281233361970</v>
      </c>
      <c r="W6407" t="s">
        <v>18177</v>
      </c>
    </row>
    <row r="6408" ht="15" customHeight="1" spans="1:22" x14ac:dyDescent="0.25">
      <c r="A6408" s="17" t="s">
        <v>18178</v>
      </c>
      <c r="B6408" s="17" t="s">
        <v>70</v>
      </c>
      <c r="C6408" s="17" t="s">
        <v>71</v>
      </c>
      <c r="D6408" t="s">
        <v>10504</v>
      </c>
      <c r="F6408" t="s">
        <v>18179</v>
      </c>
      <c r="K6408" s="18">
        <f>6281212800910</f>
        <v>6281212800910</v>
      </c>
      <c r="N6408" s="17" t="s">
        <v>77</v>
      </c>
      <c r="V6408" s="18">
        <f>6281212800910</f>
        <v>6281212800910</v>
      </c>
    </row>
    <row r="6409" ht="15" customHeight="1" spans="1:22" x14ac:dyDescent="0.25">
      <c r="A6409" s="17" t="s">
        <v>18180</v>
      </c>
      <c r="B6409" s="17" t="s">
        <v>70</v>
      </c>
      <c r="C6409" s="17" t="s">
        <v>71</v>
      </c>
      <c r="D6409" t="s">
        <v>18181</v>
      </c>
      <c r="F6409" t="s">
        <v>18182</v>
      </c>
      <c r="K6409" s="18">
        <f>628111871566</f>
        <v>628111871566</v>
      </c>
      <c r="N6409" s="17" t="s">
        <v>77</v>
      </c>
      <c r="V6409" s="18">
        <f>628111871566</f>
        <v>628111871566</v>
      </c>
    </row>
    <row r="6410" ht="15" customHeight="1" spans="1:22" x14ac:dyDescent="0.25">
      <c r="A6410" s="17" t="s">
        <v>18183</v>
      </c>
      <c r="B6410" s="17" t="s">
        <v>70</v>
      </c>
      <c r="C6410" s="17" t="s">
        <v>71</v>
      </c>
      <c r="D6410" t="s">
        <v>18184</v>
      </c>
      <c r="F6410" t="s">
        <v>18184</v>
      </c>
      <c r="K6410" s="18">
        <f>6289613782635</f>
        <v>6289613782635</v>
      </c>
      <c r="N6410" s="17" t="s">
        <v>81</v>
      </c>
      <c r="V6410" s="18">
        <f>6289613782635</f>
        <v>6289613782635</v>
      </c>
    </row>
    <row r="6411" ht="15" customHeight="1" spans="1:28" x14ac:dyDescent="0.25">
      <c r="A6411" s="17" t="s">
        <v>18185</v>
      </c>
      <c r="B6411" s="17" t="s">
        <v>70</v>
      </c>
      <c r="C6411" s="17" t="s">
        <v>71</v>
      </c>
      <c r="D6411" t="s">
        <v>18186</v>
      </c>
      <c r="F6411" t="s">
        <v>4613</v>
      </c>
      <c r="J6411" t="s">
        <v>115</v>
      </c>
      <c r="K6411" s="18" t="s">
        <v>18187</v>
      </c>
      <c r="N6411" s="17" t="s">
        <v>74</v>
      </c>
      <c r="O6411" t="s">
        <v>261</v>
      </c>
      <c r="U6411" s="17"/>
      <c r="V6411" s="18" t="s">
        <v>18187</v>
      </c>
      <c r="W6411" t="s">
        <v>18188</v>
      </c>
      <c r="Y6411" s="17" t="s">
        <v>96</v>
      </c>
      <c r="AA6411" s="17" t="s">
        <v>693</v>
      </c>
      <c r="AB6411" t="s">
        <v>119</v>
      </c>
    </row>
    <row r="6412" ht="15" customHeight="1" spans="1:22" x14ac:dyDescent="0.25">
      <c r="A6412" s="17" t="s">
        <v>18189</v>
      </c>
      <c r="B6412" s="17" t="s">
        <v>70</v>
      </c>
      <c r="C6412" s="17" t="s">
        <v>71</v>
      </c>
      <c r="D6412" t="s">
        <v>18184</v>
      </c>
      <c r="F6412" t="s">
        <v>864</v>
      </c>
      <c r="J6412" s="17" t="s">
        <v>18190</v>
      </c>
      <c r="K6412" s="18">
        <f>6289634378889</f>
        <v>6289634378889</v>
      </c>
      <c r="N6412" s="17" t="s">
        <v>77</v>
      </c>
      <c r="V6412" s="18">
        <f>6289634378889</f>
        <v>6289634378889</v>
      </c>
    </row>
    <row r="6413" ht="15" customHeight="1" spans="1:28" x14ac:dyDescent="0.25">
      <c r="A6413" s="17" t="s">
        <v>18191</v>
      </c>
      <c r="B6413" s="17" t="s">
        <v>70</v>
      </c>
      <c r="C6413" s="17" t="s">
        <v>71</v>
      </c>
      <c r="D6413" t="s">
        <v>18184</v>
      </c>
      <c r="F6413" t="s">
        <v>18192</v>
      </c>
      <c r="J6413" s="17" t="s">
        <v>18193</v>
      </c>
      <c r="K6413" s="18" t="s">
        <v>18194</v>
      </c>
      <c r="N6413" s="17" t="s">
        <v>77</v>
      </c>
      <c r="O6413" t="s">
        <v>117</v>
      </c>
      <c r="V6413" s="18" t="s">
        <v>18194</v>
      </c>
      <c r="Y6413" t="s">
        <v>115</v>
      </c>
      <c r="AA6413" t="s">
        <v>115</v>
      </c>
      <c r="AB6413" t="s">
        <v>119</v>
      </c>
    </row>
    <row r="6414" ht="15" customHeight="1" spans="1:25" x14ac:dyDescent="0.25">
      <c r="A6414" s="17" t="s">
        <v>18195</v>
      </c>
      <c r="B6414" s="17" t="s">
        <v>70</v>
      </c>
      <c r="C6414" s="17" t="s">
        <v>71</v>
      </c>
      <c r="D6414" t="s">
        <v>18184</v>
      </c>
      <c r="F6414" t="s">
        <v>282</v>
      </c>
      <c r="K6414" s="18">
        <f>62818831000</f>
        <v>62818831000</v>
      </c>
      <c r="N6414" s="17" t="s">
        <v>77</v>
      </c>
      <c r="U6414" s="17"/>
      <c r="V6414" s="18">
        <f>62818831000</f>
        <v>62818831000</v>
      </c>
      <c r="W6414" t="s">
        <v>18196</v>
      </c>
      <c r="Y6414" s="17" t="s">
        <v>18197</v>
      </c>
    </row>
    <row r="6415" ht="15" customHeight="1" spans="1:22" x14ac:dyDescent="0.25">
      <c r="A6415" s="17" t="s">
        <v>18198</v>
      </c>
      <c r="B6415" s="17" t="s">
        <v>70</v>
      </c>
      <c r="C6415" s="17" t="s">
        <v>71</v>
      </c>
      <c r="D6415" t="s">
        <v>18184</v>
      </c>
      <c r="F6415" t="s">
        <v>18199</v>
      </c>
      <c r="K6415" s="18">
        <f>628128222299</f>
        <v>628128222299</v>
      </c>
      <c r="N6415" s="17" t="s">
        <v>77</v>
      </c>
      <c r="V6415" s="18">
        <f>628128222299</f>
        <v>628128222299</v>
      </c>
    </row>
    <row r="6416" ht="15" customHeight="1" spans="1:28" x14ac:dyDescent="0.25">
      <c r="A6416" s="17" t="s">
        <v>18200</v>
      </c>
      <c r="B6416" s="17" t="s">
        <v>70</v>
      </c>
      <c r="C6416" s="17" t="s">
        <v>71</v>
      </c>
      <c r="D6416" t="s">
        <v>17311</v>
      </c>
      <c r="F6416" t="s">
        <v>18201</v>
      </c>
      <c r="J6416" t="s">
        <v>115</v>
      </c>
      <c r="K6416" s="18" t="s">
        <v>18202</v>
      </c>
      <c r="N6416" s="17" t="s">
        <v>74</v>
      </c>
      <c r="O6416" t="s">
        <v>117</v>
      </c>
      <c r="U6416" s="17"/>
      <c r="V6416" s="18" t="s">
        <v>18202</v>
      </c>
      <c r="W6416" t="s">
        <v>18203</v>
      </c>
      <c r="Y6416" s="17" t="s">
        <v>90</v>
      </c>
      <c r="AA6416" t="s">
        <v>118</v>
      </c>
      <c r="AB6416" t="s">
        <v>119</v>
      </c>
    </row>
    <row r="6417" ht="15" customHeight="1" spans="1:23" x14ac:dyDescent="0.25">
      <c r="A6417" s="17" t="s">
        <v>18204</v>
      </c>
      <c r="B6417" s="17" t="s">
        <v>70</v>
      </c>
      <c r="C6417" s="17" t="s">
        <v>71</v>
      </c>
      <c r="D6417" t="s">
        <v>18205</v>
      </c>
      <c r="F6417" t="s">
        <v>1496</v>
      </c>
      <c r="K6417" s="18">
        <f>628121175999</f>
        <v>628121175999</v>
      </c>
      <c r="N6417" s="17" t="s">
        <v>74</v>
      </c>
      <c r="U6417" s="17"/>
      <c r="V6417" s="18">
        <f>628121175999</f>
        <v>628121175999</v>
      </c>
      <c r="W6417" t="s">
        <v>18206</v>
      </c>
    </row>
    <row r="6418" ht="15" customHeight="1" spans="1:22" x14ac:dyDescent="0.25">
      <c r="A6418" s="17" t="s">
        <v>18207</v>
      </c>
      <c r="B6418" s="17" t="s">
        <v>70</v>
      </c>
      <c r="C6418" s="17" t="s">
        <v>71</v>
      </c>
      <c r="D6418" t="s">
        <v>18205</v>
      </c>
      <c r="F6418" t="s">
        <v>18208</v>
      </c>
      <c r="K6418" s="18">
        <f>6281295707071</f>
        <v>6281295707071</v>
      </c>
      <c r="N6418" s="17" t="s">
        <v>81</v>
      </c>
      <c r="V6418" s="18">
        <f>6281295707071</f>
        <v>6281295707071</v>
      </c>
    </row>
    <row r="6419" ht="15" customHeight="1" spans="1:22" x14ac:dyDescent="0.25">
      <c r="A6419" s="17" t="s">
        <v>18209</v>
      </c>
      <c r="B6419" s="17" t="s">
        <v>70</v>
      </c>
      <c r="C6419" s="17" t="s">
        <v>71</v>
      </c>
      <c r="D6419" t="s">
        <v>18210</v>
      </c>
      <c r="F6419" t="s">
        <v>18211</v>
      </c>
      <c r="K6419" s="18">
        <v>81398955589</v>
      </c>
      <c r="N6419" s="17" t="s">
        <v>81</v>
      </c>
      <c r="V6419" s="18">
        <v>81398955589</v>
      </c>
    </row>
    <row r="6420" ht="15" customHeight="1" spans="1:28" x14ac:dyDescent="0.25">
      <c r="A6420" s="17" t="s">
        <v>18212</v>
      </c>
      <c r="B6420" s="17" t="s">
        <v>70</v>
      </c>
      <c r="C6420" s="17" t="s">
        <v>71</v>
      </c>
      <c r="D6420" t="s">
        <v>18210</v>
      </c>
      <c r="F6420" t="s">
        <v>18213</v>
      </c>
      <c r="J6420" s="17" t="s">
        <v>18214</v>
      </c>
      <c r="K6420" s="18" t="s">
        <v>18215</v>
      </c>
      <c r="N6420" s="17" t="s">
        <v>77</v>
      </c>
      <c r="O6420" t="s">
        <v>199</v>
      </c>
      <c r="V6420" s="18" t="s">
        <v>18215</v>
      </c>
      <c r="Y6420" t="s">
        <v>18216</v>
      </c>
      <c r="AA6420" t="s">
        <v>115</v>
      </c>
      <c r="AB6420" t="s">
        <v>119</v>
      </c>
    </row>
    <row r="6421" ht="15" customHeight="1" spans="1:22" x14ac:dyDescent="0.25">
      <c r="A6421" s="17" t="s">
        <v>18217</v>
      </c>
      <c r="B6421" s="17" t="s">
        <v>70</v>
      </c>
      <c r="C6421" s="17" t="s">
        <v>71</v>
      </c>
      <c r="D6421" t="s">
        <v>18218</v>
      </c>
      <c r="F6421" t="s">
        <v>18219</v>
      </c>
      <c r="K6421" s="18">
        <f>62811841010</f>
        <v>62811841010</v>
      </c>
      <c r="N6421" s="17" t="s">
        <v>77</v>
      </c>
      <c r="V6421" s="18">
        <f>62811841010</f>
        <v>62811841010</v>
      </c>
    </row>
    <row r="6422" ht="15" customHeight="1" spans="1:22" x14ac:dyDescent="0.25">
      <c r="A6422" s="17" t="s">
        <v>18220</v>
      </c>
      <c r="B6422" s="17" t="s">
        <v>70</v>
      </c>
      <c r="C6422" s="17" t="s">
        <v>71</v>
      </c>
      <c r="D6422" t="s">
        <v>18221</v>
      </c>
      <c r="F6422" t="s">
        <v>9105</v>
      </c>
      <c r="K6422" s="18">
        <f>6287718999767</f>
        <v>6287718999767</v>
      </c>
      <c r="N6422" s="17" t="s">
        <v>77</v>
      </c>
      <c r="V6422" s="18">
        <f>6287718999767</f>
        <v>6287718999767</v>
      </c>
    </row>
    <row r="6423" ht="15" customHeight="1" spans="1:22" x14ac:dyDescent="0.25">
      <c r="A6423" s="17" t="s">
        <v>18222</v>
      </c>
      <c r="B6423" s="17" t="s">
        <v>70</v>
      </c>
      <c r="C6423" s="17" t="s">
        <v>71</v>
      </c>
      <c r="D6423" t="s">
        <v>18221</v>
      </c>
      <c r="F6423" t="s">
        <v>18223</v>
      </c>
      <c r="K6423" s="18">
        <f>628159423636</f>
        <v>628159423636</v>
      </c>
      <c r="N6423" s="17" t="s">
        <v>74</v>
      </c>
      <c r="V6423" s="18">
        <f>628159423636</f>
        <v>628159423636</v>
      </c>
    </row>
    <row r="6424" ht="15" customHeight="1" spans="1:22" x14ac:dyDescent="0.25">
      <c r="A6424" s="17" t="s">
        <v>18224</v>
      </c>
      <c r="B6424" s="17" t="s">
        <v>70</v>
      </c>
      <c r="C6424" s="17" t="s">
        <v>71</v>
      </c>
      <c r="D6424" t="s">
        <v>18225</v>
      </c>
      <c r="F6424" t="s">
        <v>18225</v>
      </c>
      <c r="K6424" s="18">
        <f>6281341999115</f>
        <v>6281341999115</v>
      </c>
      <c r="N6424" s="17" t="s">
        <v>81</v>
      </c>
      <c r="V6424" s="18">
        <f>6281341999115</f>
        <v>6281341999115</v>
      </c>
    </row>
    <row r="6425" ht="15" customHeight="1" spans="1:22" x14ac:dyDescent="0.25">
      <c r="A6425" s="17" t="s">
        <v>18226</v>
      </c>
      <c r="B6425" s="17" t="s">
        <v>70</v>
      </c>
      <c r="C6425" s="17" t="s">
        <v>71</v>
      </c>
      <c r="D6425" t="s">
        <v>18225</v>
      </c>
      <c r="F6425" t="s">
        <v>18227</v>
      </c>
      <c r="K6425" s="18">
        <f>628126733956</f>
        <v>628126733956</v>
      </c>
      <c r="N6425" s="17" t="s">
        <v>77</v>
      </c>
      <c r="V6425" s="18">
        <f>628126733956</f>
        <v>628126733956</v>
      </c>
    </row>
    <row r="6426" ht="15" customHeight="1" spans="1:22" x14ac:dyDescent="0.25">
      <c r="A6426" s="17" t="s">
        <v>18228</v>
      </c>
      <c r="B6426" s="17" t="s">
        <v>70</v>
      </c>
      <c r="C6426" s="17" t="s">
        <v>71</v>
      </c>
      <c r="D6426" t="s">
        <v>18225</v>
      </c>
      <c r="F6426" t="s">
        <v>214</v>
      </c>
      <c r="K6426" s="18">
        <f>6281248152522</f>
        <v>6281248152522</v>
      </c>
      <c r="N6426" s="17" t="s">
        <v>81</v>
      </c>
      <c r="V6426" s="18">
        <f>6281248152522</f>
        <v>6281248152522</v>
      </c>
    </row>
    <row r="6427" ht="15" customHeight="1" spans="1:22" x14ac:dyDescent="0.25">
      <c r="A6427" s="17" t="s">
        <v>18229</v>
      </c>
      <c r="B6427" s="17" t="s">
        <v>70</v>
      </c>
      <c r="C6427" s="17" t="s">
        <v>71</v>
      </c>
      <c r="D6427" t="s">
        <v>18230</v>
      </c>
      <c r="F6427" t="s">
        <v>18230</v>
      </c>
      <c r="K6427" s="18">
        <f>62811853588</f>
        <v>62811853588</v>
      </c>
      <c r="N6427" s="17" t="s">
        <v>81</v>
      </c>
      <c r="V6427" s="18">
        <f>62811853588</f>
        <v>62811853588</v>
      </c>
    </row>
    <row r="6428" ht="15" customHeight="1" spans="1:22" x14ac:dyDescent="0.25">
      <c r="A6428" s="17" t="s">
        <v>18231</v>
      </c>
      <c r="B6428" s="17" t="s">
        <v>70</v>
      </c>
      <c r="C6428" s="17" t="s">
        <v>71</v>
      </c>
      <c r="D6428" t="s">
        <v>14918</v>
      </c>
      <c r="F6428" t="s">
        <v>14918</v>
      </c>
      <c r="K6428" s="18">
        <f>6281213141416</f>
        <v>6281213141416</v>
      </c>
      <c r="N6428" s="17" t="s">
        <v>77</v>
      </c>
      <c r="V6428" s="18">
        <f>6281213141416</f>
        <v>6281213141416</v>
      </c>
    </row>
    <row r="6429" ht="15" customHeight="1" spans="1:22" x14ac:dyDescent="0.25">
      <c r="A6429" s="17" t="s">
        <v>18232</v>
      </c>
      <c r="B6429" s="17" t="s">
        <v>70</v>
      </c>
      <c r="C6429" s="17" t="s">
        <v>71</v>
      </c>
      <c r="D6429" t="s">
        <v>14918</v>
      </c>
      <c r="F6429" t="s">
        <v>14918</v>
      </c>
      <c r="K6429" s="18">
        <f>6281322244015</f>
        <v>6281322244015</v>
      </c>
      <c r="N6429" s="17" t="s">
        <v>77</v>
      </c>
      <c r="V6429" s="18">
        <f>6281322244015</f>
        <v>6281322244015</v>
      </c>
    </row>
    <row r="6430" ht="15" customHeight="1" spans="1:28" x14ac:dyDescent="0.25">
      <c r="A6430" s="17" t="s">
        <v>18233</v>
      </c>
      <c r="B6430" s="17" t="s">
        <v>70</v>
      </c>
      <c r="C6430" s="17" t="s">
        <v>71</v>
      </c>
      <c r="D6430" t="s">
        <v>14918</v>
      </c>
      <c r="F6430" t="s">
        <v>18234</v>
      </c>
      <c r="J6430" s="17" t="s">
        <v>18235</v>
      </c>
      <c r="K6430" s="18" t="s">
        <v>18236</v>
      </c>
      <c r="N6430" s="17" t="s">
        <v>77</v>
      </c>
      <c r="O6430" t="s">
        <v>145</v>
      </c>
      <c r="V6430" s="18" t="s">
        <v>18236</v>
      </c>
      <c r="Y6430" t="s">
        <v>90</v>
      </c>
      <c r="AA6430" t="s">
        <v>118</v>
      </c>
      <c r="AB6430" t="s">
        <v>119</v>
      </c>
    </row>
    <row r="6431" ht="15" customHeight="1" spans="1:23" x14ac:dyDescent="0.25">
      <c r="A6431" s="17" t="s">
        <v>18237</v>
      </c>
      <c r="B6431" s="17" t="s">
        <v>70</v>
      </c>
      <c r="C6431" s="17" t="s">
        <v>71</v>
      </c>
      <c r="D6431" t="s">
        <v>14918</v>
      </c>
      <c r="F6431" t="s">
        <v>8916</v>
      </c>
      <c r="K6431" s="18">
        <f>6289630270575</f>
        <v>6289630270575</v>
      </c>
      <c r="N6431" s="17" t="s">
        <v>77</v>
      </c>
      <c r="U6431" s="17"/>
      <c r="V6431" s="18">
        <f>6289630270575</f>
        <v>6289630270575</v>
      </c>
      <c r="W6431" t="s">
        <v>18238</v>
      </c>
    </row>
    <row r="6432" ht="15" customHeight="1" spans="1:28" x14ac:dyDescent="0.25">
      <c r="A6432" s="17" t="s">
        <v>18239</v>
      </c>
      <c r="B6432" s="17" t="s">
        <v>70</v>
      </c>
      <c r="C6432" s="17" t="s">
        <v>71</v>
      </c>
      <c r="D6432" t="s">
        <v>14918</v>
      </c>
      <c r="F6432" t="s">
        <v>18240</v>
      </c>
      <c r="J6432" t="s">
        <v>115</v>
      </c>
      <c r="K6432" s="18" t="s">
        <v>18241</v>
      </c>
      <c r="N6432" s="17" t="s">
        <v>77</v>
      </c>
      <c r="O6432" t="s">
        <v>199</v>
      </c>
      <c r="V6432" s="18" t="s">
        <v>18241</v>
      </c>
      <c r="Y6432" t="s">
        <v>90</v>
      </c>
      <c r="AA6432" t="s">
        <v>118</v>
      </c>
      <c r="AB6432" t="s">
        <v>119</v>
      </c>
    </row>
    <row r="6433" ht="15" customHeight="1" spans="1:23" x14ac:dyDescent="0.25">
      <c r="A6433" s="17" t="s">
        <v>18242</v>
      </c>
      <c r="B6433" s="17" t="s">
        <v>70</v>
      </c>
      <c r="C6433" s="17" t="s">
        <v>71</v>
      </c>
      <c r="D6433" t="s">
        <v>14918</v>
      </c>
      <c r="F6433" t="s">
        <v>18243</v>
      </c>
      <c r="K6433" s="18">
        <f>628556699999</f>
        <v>628556699999</v>
      </c>
      <c r="N6433" s="17" t="s">
        <v>77</v>
      </c>
      <c r="U6433" s="17"/>
      <c r="V6433" s="18">
        <f>628556699999</f>
        <v>628556699999</v>
      </c>
      <c r="W6433" t="s">
        <v>5003</v>
      </c>
    </row>
    <row r="6434" ht="15" customHeight="1" spans="1:22" x14ac:dyDescent="0.25">
      <c r="A6434" s="17" t="s">
        <v>18244</v>
      </c>
      <c r="B6434" s="17" t="s">
        <v>70</v>
      </c>
      <c r="C6434" s="17" t="s">
        <v>71</v>
      </c>
      <c r="D6434" t="s">
        <v>14918</v>
      </c>
      <c r="F6434" t="s">
        <v>1704</v>
      </c>
      <c r="J6434" s="17" t="s">
        <v>18245</v>
      </c>
      <c r="K6434" s="18">
        <f>62816902633</f>
        <v>62816902633</v>
      </c>
      <c r="N6434" s="17" t="s">
        <v>77</v>
      </c>
      <c r="V6434" s="18">
        <f>62816902633</f>
        <v>62816902633</v>
      </c>
    </row>
    <row r="6435" ht="15" customHeight="1" spans="1:23" x14ac:dyDescent="0.25">
      <c r="A6435" s="17" t="s">
        <v>18246</v>
      </c>
      <c r="B6435" s="17" t="s">
        <v>70</v>
      </c>
      <c r="C6435" s="17" t="s">
        <v>71</v>
      </c>
      <c r="D6435" t="s">
        <v>14918</v>
      </c>
      <c r="F6435" t="s">
        <v>18247</v>
      </c>
      <c r="J6435" s="17" t="s">
        <v>18248</v>
      </c>
      <c r="K6435" s="18">
        <f>628176869234</f>
        <v>628176869234</v>
      </c>
      <c r="N6435" s="17" t="s">
        <v>74</v>
      </c>
      <c r="U6435" s="17"/>
      <c r="V6435" s="18">
        <f>628176869234</f>
        <v>628176869234</v>
      </c>
      <c r="W6435" t="s">
        <v>18249</v>
      </c>
    </row>
    <row r="6436" ht="15" customHeight="1" spans="1:23" x14ac:dyDescent="0.25">
      <c r="A6436" s="17" t="s">
        <v>18250</v>
      </c>
      <c r="B6436" s="17" t="s">
        <v>70</v>
      </c>
      <c r="C6436" s="17" t="s">
        <v>71</v>
      </c>
      <c r="D6436" t="s">
        <v>18251</v>
      </c>
      <c r="F6436" t="s">
        <v>18252</v>
      </c>
      <c r="K6436" s="18">
        <f>359887002653</f>
        <v>359887002653</v>
      </c>
      <c r="N6436" s="17" t="s">
        <v>77</v>
      </c>
      <c r="U6436" s="17"/>
      <c r="V6436" s="18">
        <f>359887002653</f>
        <v>359887002653</v>
      </c>
      <c r="W6436" t="s">
        <v>7635</v>
      </c>
    </row>
    <row r="6437" ht="15" customHeight="1" spans="1:28" x14ac:dyDescent="0.25">
      <c r="A6437" s="17" t="s">
        <v>18253</v>
      </c>
      <c r="B6437" s="17" t="s">
        <v>70</v>
      </c>
      <c r="C6437" s="17" t="s">
        <v>71</v>
      </c>
      <c r="D6437" t="s">
        <v>18254</v>
      </c>
      <c r="F6437" t="s">
        <v>18255</v>
      </c>
      <c r="J6437" s="17" t="s">
        <v>18256</v>
      </c>
      <c r="K6437" s="18" t="s">
        <v>18257</v>
      </c>
      <c r="N6437" s="17" t="s">
        <v>77</v>
      </c>
      <c r="O6437" t="s">
        <v>489</v>
      </c>
      <c r="V6437" s="18" t="s">
        <v>18257</v>
      </c>
      <c r="Y6437" t="s">
        <v>906</v>
      </c>
      <c r="AA6437" t="s">
        <v>115</v>
      </c>
      <c r="AB6437" t="s">
        <v>119</v>
      </c>
    </row>
    <row r="6438" ht="15" customHeight="1" spans="1:25" x14ac:dyDescent="0.25">
      <c r="A6438" s="17" t="s">
        <v>18258</v>
      </c>
      <c r="B6438" s="17" t="s">
        <v>70</v>
      </c>
      <c r="C6438" s="17" t="s">
        <v>71</v>
      </c>
      <c r="D6438" t="s">
        <v>18259</v>
      </c>
      <c r="F6438" t="s">
        <v>18260</v>
      </c>
      <c r="K6438" s="18">
        <f>6281233843888</f>
        <v>6281233843888</v>
      </c>
      <c r="N6438" s="17" t="s">
        <v>77</v>
      </c>
      <c r="U6438" s="17"/>
      <c r="V6438" s="18">
        <f>6281233843888</f>
        <v>6281233843888</v>
      </c>
      <c r="W6438" t="s">
        <v>16028</v>
      </c>
      <c r="Y6438" s="17" t="s">
        <v>1247</v>
      </c>
    </row>
    <row r="6439" ht="15" customHeight="1" spans="1:28" x14ac:dyDescent="0.25">
      <c r="A6439" s="17" t="s">
        <v>18261</v>
      </c>
      <c r="B6439" s="17" t="s">
        <v>70</v>
      </c>
      <c r="C6439" s="17" t="s">
        <v>71</v>
      </c>
      <c r="D6439" t="s">
        <v>18262</v>
      </c>
      <c r="F6439" t="s">
        <v>18263</v>
      </c>
      <c r="J6439" t="s">
        <v>115</v>
      </c>
      <c r="K6439" s="18" t="s">
        <v>18264</v>
      </c>
      <c r="N6439" s="17" t="s">
        <v>77</v>
      </c>
      <c r="O6439" t="s">
        <v>261</v>
      </c>
      <c r="U6439" s="17"/>
      <c r="V6439" s="18" t="s">
        <v>18264</v>
      </c>
      <c r="W6439" t="s">
        <v>181</v>
      </c>
      <c r="Y6439" t="s">
        <v>181</v>
      </c>
      <c r="AA6439" t="s">
        <v>1672</v>
      </c>
      <c r="AB6439" t="s">
        <v>119</v>
      </c>
    </row>
    <row r="6440" ht="15" customHeight="1" spans="1:22" x14ac:dyDescent="0.25">
      <c r="A6440" s="17" t="s">
        <v>18265</v>
      </c>
      <c r="B6440" s="17" t="s">
        <v>70</v>
      </c>
      <c r="C6440" s="17" t="s">
        <v>71</v>
      </c>
      <c r="D6440" t="s">
        <v>18266</v>
      </c>
      <c r="F6440" t="s">
        <v>18266</v>
      </c>
      <c r="K6440" s="18">
        <f>628128216267</f>
        <v>628128216267</v>
      </c>
      <c r="N6440" s="17" t="s">
        <v>81</v>
      </c>
      <c r="V6440" s="18">
        <f>628128216267</f>
        <v>628128216267</v>
      </c>
    </row>
    <row r="6441" ht="15" customHeight="1" spans="1:22" x14ac:dyDescent="0.25">
      <c r="A6441" s="17" t="s">
        <v>18267</v>
      </c>
      <c r="B6441" s="17" t="s">
        <v>70</v>
      </c>
      <c r="C6441" s="17" t="s">
        <v>71</v>
      </c>
      <c r="D6441" t="s">
        <v>18268</v>
      </c>
      <c r="F6441" t="s">
        <v>18269</v>
      </c>
      <c r="K6441" s="18">
        <f>628128484004</f>
        <v>628128484004</v>
      </c>
      <c r="N6441" s="17" t="s">
        <v>81</v>
      </c>
      <c r="V6441" s="18">
        <f>628128484004</f>
        <v>628128484004</v>
      </c>
    </row>
    <row r="6442" ht="15" customHeight="1" spans="1:22" x14ac:dyDescent="0.25">
      <c r="A6442" s="17" t="s">
        <v>18270</v>
      </c>
      <c r="B6442" s="17" t="s">
        <v>70</v>
      </c>
      <c r="C6442" s="17" t="s">
        <v>71</v>
      </c>
      <c r="D6442" t="s">
        <v>18271</v>
      </c>
      <c r="F6442" t="s">
        <v>9928</v>
      </c>
      <c r="K6442" s="18">
        <f>6282214101232</f>
        <v>6282214101232</v>
      </c>
      <c r="N6442" s="17" t="s">
        <v>77</v>
      </c>
      <c r="V6442" s="18">
        <f>6282214101232</f>
        <v>6282214101232</v>
      </c>
    </row>
    <row r="6443" ht="15" customHeight="1" spans="1:28" x14ac:dyDescent="0.25">
      <c r="A6443" s="17" t="s">
        <v>18272</v>
      </c>
      <c r="B6443" s="17" t="s">
        <v>70</v>
      </c>
      <c r="C6443" s="17" t="s">
        <v>71</v>
      </c>
      <c r="D6443" t="s">
        <v>18273</v>
      </c>
      <c r="F6443" t="s">
        <v>18274</v>
      </c>
      <c r="J6443" t="s">
        <v>115</v>
      </c>
      <c r="K6443" s="18" t="s">
        <v>18275</v>
      </c>
      <c r="N6443" s="17" t="s">
        <v>77</v>
      </c>
      <c r="O6443" t="s">
        <v>199</v>
      </c>
      <c r="V6443" s="18" t="s">
        <v>18275</v>
      </c>
      <c r="Y6443" t="s">
        <v>96</v>
      </c>
      <c r="AA6443" t="s">
        <v>693</v>
      </c>
      <c r="AB6443" t="s">
        <v>119</v>
      </c>
    </row>
    <row r="6444" ht="15" customHeight="1" spans="1:23" x14ac:dyDescent="0.25">
      <c r="A6444" s="17" t="s">
        <v>18276</v>
      </c>
      <c r="B6444" s="17" t="s">
        <v>70</v>
      </c>
      <c r="C6444" s="17" t="s">
        <v>71</v>
      </c>
      <c r="D6444" t="s">
        <v>18277</v>
      </c>
      <c r="F6444" t="s">
        <v>18277</v>
      </c>
      <c r="J6444" s="17" t="s">
        <v>18278</v>
      </c>
      <c r="K6444" s="18">
        <f>6281936225582</f>
        <v>6281936225582</v>
      </c>
      <c r="N6444" s="17" t="s">
        <v>77</v>
      </c>
      <c r="U6444" s="17"/>
      <c r="V6444" s="18">
        <f>6281936225582</f>
        <v>6281936225582</v>
      </c>
      <c r="W6444" t="s">
        <v>18279</v>
      </c>
    </row>
    <row r="6445" ht="15" customHeight="1" spans="1:25" x14ac:dyDescent="0.25">
      <c r="A6445" s="17" t="s">
        <v>18280</v>
      </c>
      <c r="B6445" s="17" t="s">
        <v>70</v>
      </c>
      <c r="C6445" s="17" t="s">
        <v>71</v>
      </c>
      <c r="D6445" t="s">
        <v>18281</v>
      </c>
      <c r="F6445" t="s">
        <v>18282</v>
      </c>
      <c r="K6445" s="18">
        <f>62816997121</f>
        <v>62816997121</v>
      </c>
      <c r="N6445" s="17" t="s">
        <v>77</v>
      </c>
      <c r="U6445" s="17"/>
      <c r="V6445" s="18">
        <f>62816997121</f>
        <v>62816997121</v>
      </c>
      <c r="W6445" t="s">
        <v>18283</v>
      </c>
      <c r="Y6445" s="17" t="s">
        <v>90</v>
      </c>
    </row>
    <row r="6446" ht="15" customHeight="1" spans="1:22" x14ac:dyDescent="0.25">
      <c r="A6446" s="17" t="s">
        <v>18284</v>
      </c>
      <c r="B6446" s="17" t="s">
        <v>70</v>
      </c>
      <c r="C6446" s="17" t="s">
        <v>71</v>
      </c>
      <c r="D6446" t="s">
        <v>18281</v>
      </c>
      <c r="F6446" t="s">
        <v>1444</v>
      </c>
      <c r="K6446" s="18">
        <f>6281211977652</f>
        <v>6281211977652</v>
      </c>
      <c r="N6446" s="17" t="s">
        <v>77</v>
      </c>
      <c r="V6446" s="18">
        <f>6281211977652</f>
        <v>6281211977652</v>
      </c>
    </row>
    <row r="6447" ht="15" customHeight="1" spans="1:27" x14ac:dyDescent="0.25">
      <c r="A6447" s="17" t="s">
        <v>18285</v>
      </c>
      <c r="B6447" s="17" t="s">
        <v>70</v>
      </c>
      <c r="C6447" s="17" t="s">
        <v>71</v>
      </c>
      <c r="D6447" t="s">
        <v>18281</v>
      </c>
      <c r="F6447" t="s">
        <v>18286</v>
      </c>
      <c r="K6447" s="18">
        <f>628561064171</f>
        <v>628561064171</v>
      </c>
      <c r="N6447" s="17" t="s">
        <v>77</v>
      </c>
      <c r="U6447" s="17"/>
      <c r="V6447" s="18">
        <f>628561064171</f>
        <v>628561064171</v>
      </c>
      <c r="W6447" t="s">
        <v>18287</v>
      </c>
      <c r="AA6447" s="17">
        <v>12620</v>
      </c>
    </row>
    <row r="6448" ht="15" customHeight="1" spans="1:22" x14ac:dyDescent="0.25">
      <c r="A6448" s="17" t="s">
        <v>18288</v>
      </c>
      <c r="B6448" s="17" t="s">
        <v>70</v>
      </c>
      <c r="C6448" s="17" t="s">
        <v>71</v>
      </c>
      <c r="D6448" t="s">
        <v>18281</v>
      </c>
      <c r="F6448" t="s">
        <v>1064</v>
      </c>
      <c r="K6448" s="18">
        <f>628122883411</f>
        <v>628122883411</v>
      </c>
      <c r="N6448" s="17" t="s">
        <v>81</v>
      </c>
      <c r="V6448" s="18">
        <f>628122883411</f>
        <v>628122883411</v>
      </c>
    </row>
    <row r="6449" ht="15" customHeight="1" spans="1:22" x14ac:dyDescent="0.25">
      <c r="A6449" s="17" t="s">
        <v>18289</v>
      </c>
      <c r="B6449" s="17" t="s">
        <v>70</v>
      </c>
      <c r="C6449" s="17" t="s">
        <v>71</v>
      </c>
      <c r="D6449" t="s">
        <v>18281</v>
      </c>
      <c r="F6449" t="s">
        <v>18290</v>
      </c>
      <c r="K6449" s="18">
        <f>6281911111880</f>
        <v>6281911111880</v>
      </c>
      <c r="N6449" s="17" t="s">
        <v>81</v>
      </c>
      <c r="V6449" s="18">
        <f>6281911111880</f>
        <v>6281911111880</v>
      </c>
    </row>
    <row r="6450" ht="15" customHeight="1" spans="1:22" x14ac:dyDescent="0.25">
      <c r="A6450" s="17" t="s">
        <v>18291</v>
      </c>
      <c r="B6450" s="17" t="s">
        <v>70</v>
      </c>
      <c r="C6450" s="17" t="s">
        <v>71</v>
      </c>
      <c r="D6450" t="s">
        <v>18281</v>
      </c>
      <c r="F6450" t="s">
        <v>13161</v>
      </c>
      <c r="K6450" s="18">
        <f>62811285487</f>
        <v>62811285487</v>
      </c>
      <c r="N6450" s="17" t="s">
        <v>77</v>
      </c>
      <c r="V6450" s="18">
        <f>62811285487</f>
        <v>62811285487</v>
      </c>
    </row>
    <row r="6451" ht="15" customHeight="1" spans="1:22" x14ac:dyDescent="0.25">
      <c r="A6451" s="17" t="s">
        <v>18292</v>
      </c>
      <c r="B6451" s="17" t="s">
        <v>70</v>
      </c>
      <c r="C6451" s="17" t="s">
        <v>71</v>
      </c>
      <c r="D6451" t="s">
        <v>18281</v>
      </c>
      <c r="F6451" t="s">
        <v>403</v>
      </c>
      <c r="K6451" s="18">
        <v>313956022</v>
      </c>
      <c r="N6451" s="17" t="s">
        <v>77</v>
      </c>
      <c r="V6451" s="18">
        <v>313956022</v>
      </c>
    </row>
    <row r="6452" ht="15" customHeight="1" spans="1:22" x14ac:dyDescent="0.25">
      <c r="A6452" s="17" t="s">
        <v>18293</v>
      </c>
      <c r="B6452" s="17" t="s">
        <v>70</v>
      </c>
      <c r="C6452" s="17" t="s">
        <v>71</v>
      </c>
      <c r="D6452" t="s">
        <v>18294</v>
      </c>
      <c r="F6452" t="s">
        <v>18294</v>
      </c>
      <c r="K6452" s="18">
        <f>6281317274777</f>
        <v>6281317274777</v>
      </c>
      <c r="N6452" s="17" t="s">
        <v>77</v>
      </c>
      <c r="V6452" s="18">
        <f>6281317274777</f>
        <v>6281317274777</v>
      </c>
    </row>
    <row r="6453" ht="15" customHeight="1" spans="1:22" x14ac:dyDescent="0.25">
      <c r="A6453" s="17" t="s">
        <v>18295</v>
      </c>
      <c r="B6453" s="17" t="s">
        <v>70</v>
      </c>
      <c r="C6453" s="17" t="s">
        <v>71</v>
      </c>
      <c r="D6453" t="s">
        <v>18294</v>
      </c>
      <c r="F6453" t="s">
        <v>18294</v>
      </c>
      <c r="K6453" s="18">
        <f>62817112532</f>
        <v>62817112532</v>
      </c>
      <c r="N6453" s="17" t="s">
        <v>81</v>
      </c>
      <c r="V6453" s="18">
        <f>62817112532</f>
        <v>62817112532</v>
      </c>
    </row>
    <row r="6454" ht="15" customHeight="1" spans="1:22" x14ac:dyDescent="0.25">
      <c r="A6454" s="17" t="s">
        <v>18296</v>
      </c>
      <c r="B6454" s="17" t="s">
        <v>70</v>
      </c>
      <c r="C6454" s="17" t="s">
        <v>71</v>
      </c>
      <c r="D6454" t="s">
        <v>18294</v>
      </c>
      <c r="F6454" t="s">
        <v>18297</v>
      </c>
      <c r="K6454" s="18">
        <f>6281218899565</f>
        <v>6281218899565</v>
      </c>
      <c r="N6454" s="17" t="s">
        <v>77</v>
      </c>
      <c r="V6454" s="18">
        <f>6281218899565</f>
        <v>6281218899565</v>
      </c>
    </row>
    <row r="6455" ht="15" customHeight="1" spans="1:22" x14ac:dyDescent="0.25">
      <c r="A6455" s="17" t="s">
        <v>18298</v>
      </c>
      <c r="B6455" s="17" t="s">
        <v>70</v>
      </c>
      <c r="C6455" s="17" t="s">
        <v>71</v>
      </c>
      <c r="D6455" t="s">
        <v>18294</v>
      </c>
      <c r="F6455" t="s">
        <v>18299</v>
      </c>
      <c r="K6455" s="18">
        <f>62816787820</f>
        <v>62816787820</v>
      </c>
      <c r="N6455" s="17" t="s">
        <v>77</v>
      </c>
      <c r="V6455" s="18">
        <f>62816787820</f>
        <v>62816787820</v>
      </c>
    </row>
    <row r="6456" ht="15" customHeight="1" spans="1:22" x14ac:dyDescent="0.25">
      <c r="A6456" s="17" t="s">
        <v>18300</v>
      </c>
      <c r="B6456" s="17" t="s">
        <v>70</v>
      </c>
      <c r="C6456" s="17" t="s">
        <v>71</v>
      </c>
      <c r="D6456" t="s">
        <v>18294</v>
      </c>
      <c r="F6456" t="s">
        <v>18301</v>
      </c>
      <c r="K6456" s="18">
        <f>6281383838390</f>
        <v>6281383838390</v>
      </c>
      <c r="N6456" s="17" t="s">
        <v>74</v>
      </c>
      <c r="V6456" s="18">
        <f>6281383838390</f>
        <v>6281383838390</v>
      </c>
    </row>
    <row r="6457" ht="15" customHeight="1" spans="1:22" x14ac:dyDescent="0.25">
      <c r="A6457" s="17" t="s">
        <v>18302</v>
      </c>
      <c r="B6457" s="17" t="s">
        <v>70</v>
      </c>
      <c r="C6457" s="17" t="s">
        <v>71</v>
      </c>
      <c r="D6457" t="s">
        <v>18294</v>
      </c>
      <c r="F6457" t="s">
        <v>18303</v>
      </c>
      <c r="K6457" s="18">
        <v>8118893829</v>
      </c>
      <c r="N6457" s="17" t="s">
        <v>81</v>
      </c>
      <c r="V6457" s="18">
        <v>8118893829</v>
      </c>
    </row>
    <row r="6458" ht="15" customHeight="1" spans="1:25" x14ac:dyDescent="0.25">
      <c r="A6458" s="17" t="s">
        <v>18304</v>
      </c>
      <c r="B6458" s="17" t="s">
        <v>70</v>
      </c>
      <c r="C6458" s="17" t="s">
        <v>71</v>
      </c>
      <c r="D6458" t="s">
        <v>18294</v>
      </c>
      <c r="F6458" t="s">
        <v>3931</v>
      </c>
      <c r="K6458" s="18">
        <v>227310964</v>
      </c>
      <c r="N6458" s="17" t="s">
        <v>74</v>
      </c>
      <c r="U6458" s="17"/>
      <c r="V6458" s="18">
        <v>227310964</v>
      </c>
      <c r="W6458" t="s">
        <v>18305</v>
      </c>
      <c r="Y6458" s="17" t="s">
        <v>500</v>
      </c>
    </row>
    <row r="6459" ht="15" customHeight="1" spans="1:27" x14ac:dyDescent="0.25">
      <c r="A6459" s="17" t="s">
        <v>18306</v>
      </c>
      <c r="B6459" s="17" t="s">
        <v>70</v>
      </c>
      <c r="C6459" s="17" t="s">
        <v>71</v>
      </c>
      <c r="D6459" t="s">
        <v>18307</v>
      </c>
      <c r="F6459" t="s">
        <v>1848</v>
      </c>
      <c r="K6459" s="18">
        <f>62818900024</f>
        <v>62818900024</v>
      </c>
      <c r="N6459" s="17" t="s">
        <v>81</v>
      </c>
      <c r="U6459" s="17"/>
      <c r="V6459" s="18">
        <f>62818900024</f>
        <v>62818900024</v>
      </c>
      <c r="W6459" t="s">
        <v>18308</v>
      </c>
      <c r="AA6459" s="17">
        <v>13540</v>
      </c>
    </row>
    <row r="6460" ht="15" customHeight="1" spans="1:22" x14ac:dyDescent="0.25">
      <c r="A6460" s="17" t="s">
        <v>18309</v>
      </c>
      <c r="B6460" s="17" t="s">
        <v>70</v>
      </c>
      <c r="C6460" s="17" t="s">
        <v>71</v>
      </c>
      <c r="D6460" t="s">
        <v>18310</v>
      </c>
      <c r="F6460" t="s">
        <v>18310</v>
      </c>
      <c r="K6460" s="18">
        <f>628118788878</f>
        <v>628118788878</v>
      </c>
      <c r="N6460" s="17" t="s">
        <v>81</v>
      </c>
      <c r="V6460" s="18">
        <f>628118788878</f>
        <v>628118788878</v>
      </c>
    </row>
    <row r="6461" ht="15" customHeight="1" spans="1:22" x14ac:dyDescent="0.25">
      <c r="A6461" s="17" t="s">
        <v>18311</v>
      </c>
      <c r="B6461" s="17" t="s">
        <v>70</v>
      </c>
      <c r="C6461" s="17" t="s">
        <v>71</v>
      </c>
      <c r="D6461" t="s">
        <v>18310</v>
      </c>
      <c r="F6461" t="s">
        <v>18310</v>
      </c>
      <c r="K6461" s="18">
        <f>628161169842</f>
        <v>628161169842</v>
      </c>
      <c r="N6461" s="17" t="s">
        <v>81</v>
      </c>
      <c r="V6461" s="18">
        <f>628161169842</f>
        <v>628161169842</v>
      </c>
    </row>
    <row r="6462" ht="15" customHeight="1" spans="1:22" x14ac:dyDescent="0.25">
      <c r="A6462" s="17" t="s">
        <v>18312</v>
      </c>
      <c r="B6462" s="17" t="s">
        <v>70</v>
      </c>
      <c r="C6462" s="17" t="s">
        <v>71</v>
      </c>
      <c r="D6462" t="s">
        <v>18310</v>
      </c>
      <c r="F6462" t="s">
        <v>18310</v>
      </c>
      <c r="K6462" s="18">
        <f>6281285569602</f>
        <v>6281285569602</v>
      </c>
      <c r="N6462" s="17" t="s">
        <v>77</v>
      </c>
      <c r="V6462" s="18">
        <f>6281285569602</f>
        <v>6281285569602</v>
      </c>
    </row>
    <row r="6463" ht="15" customHeight="1" spans="1:22" x14ac:dyDescent="0.25">
      <c r="A6463" s="17" t="s">
        <v>18313</v>
      </c>
      <c r="B6463" s="17" t="s">
        <v>70</v>
      </c>
      <c r="C6463" s="17" t="s">
        <v>71</v>
      </c>
      <c r="D6463" t="s">
        <v>18310</v>
      </c>
      <c r="F6463" t="s">
        <v>18310</v>
      </c>
      <c r="K6463" s="18">
        <f>62818727347</f>
        <v>62818727347</v>
      </c>
      <c r="N6463" s="17" t="s">
        <v>77</v>
      </c>
      <c r="V6463" s="18">
        <f>62818727347</f>
        <v>62818727347</v>
      </c>
    </row>
    <row r="6464" ht="15" customHeight="1" spans="1:28" x14ac:dyDescent="0.25">
      <c r="A6464" s="17" t="s">
        <v>18314</v>
      </c>
      <c r="B6464" s="17" t="s">
        <v>70</v>
      </c>
      <c r="C6464" s="17" t="s">
        <v>71</v>
      </c>
      <c r="D6464" t="s">
        <v>18310</v>
      </c>
      <c r="F6464" t="s">
        <v>18315</v>
      </c>
      <c r="J6464" s="17" t="s">
        <v>18316</v>
      </c>
      <c r="K6464" s="18" t="s">
        <v>18317</v>
      </c>
      <c r="N6464" s="17" t="s">
        <v>74</v>
      </c>
      <c r="O6464" t="s">
        <v>489</v>
      </c>
      <c r="U6464" s="17"/>
      <c r="V6464" s="18" t="s">
        <v>18317</v>
      </c>
      <c r="W6464" t="s">
        <v>18318</v>
      </c>
      <c r="Y6464" t="s">
        <v>90</v>
      </c>
      <c r="AA6464" t="s">
        <v>118</v>
      </c>
      <c r="AB6464" t="s">
        <v>119</v>
      </c>
    </row>
    <row r="6465" ht="15" customHeight="1" spans="1:22" x14ac:dyDescent="0.25">
      <c r="A6465" s="17" t="s">
        <v>18319</v>
      </c>
      <c r="B6465" s="17" t="s">
        <v>70</v>
      </c>
      <c r="C6465" s="17" t="s">
        <v>71</v>
      </c>
      <c r="D6465" t="s">
        <v>18310</v>
      </c>
      <c r="F6465" t="s">
        <v>18320</v>
      </c>
      <c r="K6465" s="18">
        <f>62811983459</f>
        <v>62811983459</v>
      </c>
      <c r="N6465" s="17" t="s">
        <v>77</v>
      </c>
      <c r="V6465" s="18">
        <f>62811983459</f>
        <v>62811983459</v>
      </c>
    </row>
    <row r="6466" ht="15" customHeight="1" spans="1:22" x14ac:dyDescent="0.25">
      <c r="A6466" s="17" t="s">
        <v>18321</v>
      </c>
      <c r="B6466" s="17" t="s">
        <v>70</v>
      </c>
      <c r="C6466" s="17" t="s">
        <v>71</v>
      </c>
      <c r="D6466" t="s">
        <v>18310</v>
      </c>
      <c r="F6466" t="s">
        <v>3479</v>
      </c>
      <c r="K6466" s="18">
        <f>6281908079888</f>
        <v>6281908079888</v>
      </c>
      <c r="N6466" s="17" t="s">
        <v>81</v>
      </c>
      <c r="V6466" s="18">
        <f>6281908079888</f>
        <v>6281908079888</v>
      </c>
    </row>
    <row r="6467" ht="15" customHeight="1" spans="1:27" x14ac:dyDescent="0.25">
      <c r="A6467" s="17" t="s">
        <v>18322</v>
      </c>
      <c r="B6467" s="17" t="s">
        <v>70</v>
      </c>
      <c r="C6467" s="17" t="s">
        <v>71</v>
      </c>
      <c r="D6467" t="s">
        <v>18310</v>
      </c>
      <c r="F6467" t="s">
        <v>18323</v>
      </c>
      <c r="J6467" s="17" t="s">
        <v>18324</v>
      </c>
      <c r="K6467" s="18">
        <f>628113549298</f>
        <v>628113549298</v>
      </c>
      <c r="N6467" s="17" t="s">
        <v>81</v>
      </c>
      <c r="U6467" s="17"/>
      <c r="V6467" s="18">
        <f>628113549298</f>
        <v>628113549298</v>
      </c>
      <c r="W6467" t="s">
        <v>18325</v>
      </c>
      <c r="Y6467" s="17" t="s">
        <v>704</v>
      </c>
      <c r="AA6467" s="17">
        <v>60227</v>
      </c>
    </row>
    <row r="6468" ht="15" customHeight="1" spans="1:27" x14ac:dyDescent="0.25">
      <c r="A6468" s="17" t="s">
        <v>18326</v>
      </c>
      <c r="B6468" s="17" t="s">
        <v>70</v>
      </c>
      <c r="C6468" s="17" t="s">
        <v>71</v>
      </c>
      <c r="D6468" t="s">
        <v>18310</v>
      </c>
      <c r="F6468" t="s">
        <v>18327</v>
      </c>
      <c r="K6468" s="18">
        <f>628121818501</f>
        <v>628121818501</v>
      </c>
      <c r="N6468" s="17" t="s">
        <v>81</v>
      </c>
      <c r="U6468" s="17"/>
      <c r="V6468" s="18">
        <f>628121818501</f>
        <v>628121818501</v>
      </c>
      <c r="W6468" t="s">
        <v>18328</v>
      </c>
      <c r="AA6468" s="17">
        <v>14350</v>
      </c>
    </row>
    <row r="6469" ht="15" customHeight="1" spans="1:28" x14ac:dyDescent="0.25">
      <c r="A6469" s="17" t="s">
        <v>18329</v>
      </c>
      <c r="B6469" s="17" t="s">
        <v>70</v>
      </c>
      <c r="C6469" s="17" t="s">
        <v>71</v>
      </c>
      <c r="D6469" t="s">
        <v>18310</v>
      </c>
      <c r="F6469" t="s">
        <v>1834</v>
      </c>
      <c r="J6469" s="17" t="s">
        <v>18330</v>
      </c>
      <c r="K6469" s="18" t="s">
        <v>18331</v>
      </c>
      <c r="N6469" s="17" t="s">
        <v>77</v>
      </c>
      <c r="O6469" t="s">
        <v>145</v>
      </c>
      <c r="U6469" s="17"/>
      <c r="V6469" s="18" t="s">
        <v>18331</v>
      </c>
      <c r="W6469" t="s">
        <v>18332</v>
      </c>
      <c r="Y6469" s="17" t="s">
        <v>190</v>
      </c>
      <c r="AA6469" t="s">
        <v>118</v>
      </c>
      <c r="AB6469" t="s">
        <v>119</v>
      </c>
    </row>
    <row r="6470" ht="15" customHeight="1" spans="1:22" x14ac:dyDescent="0.25">
      <c r="A6470" s="17" t="s">
        <v>18333</v>
      </c>
      <c r="B6470" s="17" t="s">
        <v>70</v>
      </c>
      <c r="C6470" s="17" t="s">
        <v>71</v>
      </c>
      <c r="D6470" t="s">
        <v>18310</v>
      </c>
      <c r="F6470" t="s">
        <v>18334</v>
      </c>
      <c r="K6470" s="18">
        <f>6281315488802</f>
        <v>6281315488802</v>
      </c>
      <c r="N6470" s="17" t="s">
        <v>77</v>
      </c>
      <c r="V6470" s="18">
        <f>6281315488802</f>
        <v>6281315488802</v>
      </c>
    </row>
    <row r="6471" ht="15" customHeight="1" spans="1:25" x14ac:dyDescent="0.25">
      <c r="A6471" s="17" t="s">
        <v>18335</v>
      </c>
      <c r="B6471" s="17" t="s">
        <v>70</v>
      </c>
      <c r="C6471" s="17" t="s">
        <v>71</v>
      </c>
      <c r="D6471" t="s">
        <v>18310</v>
      </c>
      <c r="F6471" t="s">
        <v>3176</v>
      </c>
      <c r="K6471" s="18">
        <f>6281515181777</f>
        <v>6281515181777</v>
      </c>
      <c r="N6471" s="17" t="s">
        <v>77</v>
      </c>
      <c r="U6471" s="17"/>
      <c r="V6471" s="18">
        <f>6281515181777</f>
        <v>6281515181777</v>
      </c>
      <c r="W6471" t="s">
        <v>18336</v>
      </c>
      <c r="Y6471" s="17" t="s">
        <v>90</v>
      </c>
    </row>
    <row r="6472" ht="15" customHeight="1" spans="1:22" x14ac:dyDescent="0.25">
      <c r="A6472" s="17" t="s">
        <v>18337</v>
      </c>
      <c r="B6472" s="17" t="s">
        <v>70</v>
      </c>
      <c r="C6472" s="17" t="s">
        <v>71</v>
      </c>
      <c r="D6472" t="s">
        <v>18310</v>
      </c>
      <c r="F6472" t="s">
        <v>3581</v>
      </c>
      <c r="K6472" s="18">
        <f>62811795518</f>
        <v>62811795518</v>
      </c>
      <c r="N6472" s="17" t="s">
        <v>77</v>
      </c>
      <c r="V6472" s="18">
        <f>62811795518</f>
        <v>62811795518</v>
      </c>
    </row>
    <row r="6473" ht="15" customHeight="1" spans="1:22" x14ac:dyDescent="0.25">
      <c r="A6473" s="17" t="s">
        <v>18338</v>
      </c>
      <c r="B6473" s="17" t="s">
        <v>70</v>
      </c>
      <c r="C6473" s="17" t="s">
        <v>71</v>
      </c>
      <c r="D6473" t="s">
        <v>18310</v>
      </c>
      <c r="F6473" t="s">
        <v>3181</v>
      </c>
      <c r="K6473" s="18">
        <f>628158832395</f>
        <v>628158832395</v>
      </c>
      <c r="N6473" s="17" t="s">
        <v>77</v>
      </c>
      <c r="V6473" s="18">
        <f>628158832395</f>
        <v>628158832395</v>
      </c>
    </row>
    <row r="6474" ht="15" customHeight="1" spans="1:22" x14ac:dyDescent="0.25">
      <c r="A6474" s="17" t="s">
        <v>18339</v>
      </c>
      <c r="B6474" s="17" t="s">
        <v>70</v>
      </c>
      <c r="C6474" s="17" t="s">
        <v>71</v>
      </c>
      <c r="D6474" t="s">
        <v>18310</v>
      </c>
      <c r="F6474" t="s">
        <v>913</v>
      </c>
      <c r="K6474" s="18">
        <f>62811945678</f>
        <v>62811945678</v>
      </c>
      <c r="N6474" s="17" t="s">
        <v>77</v>
      </c>
      <c r="V6474" s="18">
        <f>62811945678</f>
        <v>62811945678</v>
      </c>
    </row>
    <row r="6475" ht="15" customHeight="1" spans="1:27" x14ac:dyDescent="0.25">
      <c r="A6475" s="17" t="s">
        <v>18340</v>
      </c>
      <c r="B6475" s="17" t="s">
        <v>70</v>
      </c>
      <c r="C6475" s="17" t="s">
        <v>71</v>
      </c>
      <c r="D6475" t="s">
        <v>18310</v>
      </c>
      <c r="F6475" t="s">
        <v>18341</v>
      </c>
      <c r="K6475" s="18">
        <f>628128422936</f>
        <v>628128422936</v>
      </c>
      <c r="N6475" s="17" t="s">
        <v>77</v>
      </c>
      <c r="U6475" s="17"/>
      <c r="V6475" s="18">
        <f>628128422936</f>
        <v>628128422936</v>
      </c>
      <c r="W6475" t="s">
        <v>18342</v>
      </c>
      <c r="Y6475" s="17" t="s">
        <v>397</v>
      </c>
      <c r="AA6475" s="17" t="s">
        <v>18343</v>
      </c>
    </row>
    <row r="6476" ht="15" customHeight="1" spans="1:22" x14ac:dyDescent="0.25">
      <c r="A6476" s="17" t="s">
        <v>18344</v>
      </c>
      <c r="B6476" s="17" t="s">
        <v>70</v>
      </c>
      <c r="C6476" s="17" t="s">
        <v>71</v>
      </c>
      <c r="D6476" t="s">
        <v>18345</v>
      </c>
      <c r="F6476" t="s">
        <v>18345</v>
      </c>
      <c r="K6476" s="18">
        <f>628119447918</f>
        <v>628119447918</v>
      </c>
      <c r="N6476" s="17" t="s">
        <v>81</v>
      </c>
      <c r="V6476" s="18">
        <f>628119447918</f>
        <v>628119447918</v>
      </c>
    </row>
    <row r="6477" ht="15" customHeight="1" spans="1:23" x14ac:dyDescent="0.25">
      <c r="A6477" s="17" t="s">
        <v>18346</v>
      </c>
      <c r="B6477" s="17" t="s">
        <v>70</v>
      </c>
      <c r="C6477" s="17" t="s">
        <v>71</v>
      </c>
      <c r="D6477" t="s">
        <v>18347</v>
      </c>
      <c r="F6477" t="s">
        <v>18347</v>
      </c>
      <c r="J6477" s="17" t="s">
        <v>18348</v>
      </c>
      <c r="K6477" s="18">
        <f>6281280243626</f>
        <v>6281280243626</v>
      </c>
      <c r="N6477" s="17" t="s">
        <v>81</v>
      </c>
      <c r="U6477" s="17"/>
      <c r="V6477" s="18">
        <f>6281280243626</f>
        <v>6281280243626</v>
      </c>
      <c r="W6477" t="s">
        <v>18349</v>
      </c>
    </row>
    <row r="6478" ht="15" customHeight="1" spans="1:22" x14ac:dyDescent="0.25">
      <c r="A6478" s="17" t="s">
        <v>18350</v>
      </c>
      <c r="B6478" s="17" t="s">
        <v>70</v>
      </c>
      <c r="C6478" s="17" t="s">
        <v>71</v>
      </c>
      <c r="D6478" t="s">
        <v>18351</v>
      </c>
      <c r="F6478" t="s">
        <v>18351</v>
      </c>
      <c r="K6478" s="18">
        <f>6281399444227</f>
        <v>6281399444227</v>
      </c>
      <c r="N6478" s="17" t="s">
        <v>74</v>
      </c>
      <c r="V6478" s="18">
        <f>6281399444227</f>
        <v>6281399444227</v>
      </c>
    </row>
    <row r="6479" ht="15" customHeight="1" spans="1:22" x14ac:dyDescent="0.25">
      <c r="A6479" s="17" t="s">
        <v>18352</v>
      </c>
      <c r="B6479" s="17" t="s">
        <v>70</v>
      </c>
      <c r="C6479" s="17" t="s">
        <v>71</v>
      </c>
      <c r="D6479" t="s">
        <v>18351</v>
      </c>
      <c r="F6479" t="s">
        <v>18353</v>
      </c>
      <c r="K6479" s="18">
        <f>628123777971</f>
        <v>628123777971</v>
      </c>
      <c r="N6479" s="17" t="s">
        <v>81</v>
      </c>
      <c r="V6479" s="18">
        <f>628123777971</f>
        <v>628123777971</v>
      </c>
    </row>
    <row r="6480" ht="15" customHeight="1" spans="1:22" x14ac:dyDescent="0.25">
      <c r="A6480" s="17" t="s">
        <v>18354</v>
      </c>
      <c r="B6480" s="17" t="s">
        <v>70</v>
      </c>
      <c r="C6480" s="17" t="s">
        <v>71</v>
      </c>
      <c r="D6480" t="s">
        <v>18351</v>
      </c>
      <c r="F6480" t="s">
        <v>4882</v>
      </c>
      <c r="K6480" s="18">
        <f>6281288551984</f>
        <v>6281288551984</v>
      </c>
      <c r="N6480" s="17" t="s">
        <v>77</v>
      </c>
      <c r="V6480" s="18">
        <f>6281288551984</f>
        <v>6281288551984</v>
      </c>
    </row>
    <row r="6481" ht="15" customHeight="1" spans="1:22" x14ac:dyDescent="0.25">
      <c r="A6481" s="17" t="s">
        <v>18355</v>
      </c>
      <c r="B6481" s="17" t="s">
        <v>70</v>
      </c>
      <c r="C6481" s="17" t="s">
        <v>71</v>
      </c>
      <c r="D6481" t="s">
        <v>18351</v>
      </c>
      <c r="F6481" t="s">
        <v>509</v>
      </c>
      <c r="K6481" s="18">
        <f>6281973302007</f>
        <v>6281973302007</v>
      </c>
      <c r="N6481" s="17" t="s">
        <v>81</v>
      </c>
      <c r="V6481" s="18">
        <f>6281973302007</f>
        <v>6281973302007</v>
      </c>
    </row>
    <row r="6482" ht="15" customHeight="1" spans="1:28" x14ac:dyDescent="0.25">
      <c r="A6482" s="17" t="s">
        <v>18356</v>
      </c>
      <c r="B6482" s="17" t="s">
        <v>70</v>
      </c>
      <c r="C6482" s="17" t="s">
        <v>71</v>
      </c>
      <c r="D6482" t="s">
        <v>18357</v>
      </c>
      <c r="F6482" t="s">
        <v>18358</v>
      </c>
      <c r="J6482" t="s">
        <v>115</v>
      </c>
      <c r="K6482" s="18" t="s">
        <v>18359</v>
      </c>
      <c r="N6482" s="17" t="s">
        <v>77</v>
      </c>
      <c r="O6482" t="s">
        <v>199</v>
      </c>
      <c r="V6482" s="18" t="s">
        <v>18359</v>
      </c>
      <c r="Y6482" t="s">
        <v>90</v>
      </c>
      <c r="AA6482" t="s">
        <v>118</v>
      </c>
      <c r="AB6482" t="s">
        <v>119</v>
      </c>
    </row>
    <row r="6483" ht="15" customHeight="1" spans="1:23" x14ac:dyDescent="0.25">
      <c r="A6483" s="17" t="s">
        <v>18360</v>
      </c>
      <c r="B6483" s="17" t="s">
        <v>70</v>
      </c>
      <c r="C6483" s="17" t="s">
        <v>71</v>
      </c>
      <c r="D6483" t="s">
        <v>18361</v>
      </c>
      <c r="F6483" t="s">
        <v>18362</v>
      </c>
      <c r="K6483" s="18">
        <f>62816819963</f>
        <v>62816819963</v>
      </c>
      <c r="N6483" s="17" t="s">
        <v>77</v>
      </c>
      <c r="U6483" s="17"/>
      <c r="V6483" s="18">
        <f>62816819963</f>
        <v>62816819963</v>
      </c>
      <c r="W6483" t="s">
        <v>18363</v>
      </c>
    </row>
    <row r="6484" ht="15" customHeight="1" spans="1:22" x14ac:dyDescent="0.25">
      <c r="A6484" s="17" t="s">
        <v>18364</v>
      </c>
      <c r="B6484" s="17" t="s">
        <v>70</v>
      </c>
      <c r="C6484" s="17" t="s">
        <v>71</v>
      </c>
      <c r="D6484" t="s">
        <v>18365</v>
      </c>
      <c r="F6484" t="s">
        <v>2983</v>
      </c>
      <c r="K6484" s="18">
        <f>6281385655998</f>
        <v>6281385655998</v>
      </c>
      <c r="N6484" s="17" t="s">
        <v>81</v>
      </c>
      <c r="V6484" s="18">
        <f>6281385655998</f>
        <v>6281385655998</v>
      </c>
    </row>
    <row r="6485" ht="15" customHeight="1" spans="1:25" x14ac:dyDescent="0.25">
      <c r="A6485" s="17" t="s">
        <v>18366</v>
      </c>
      <c r="B6485" s="17" t="s">
        <v>70</v>
      </c>
      <c r="C6485" s="17" t="s">
        <v>71</v>
      </c>
      <c r="D6485" t="s">
        <v>18367</v>
      </c>
      <c r="F6485" t="s">
        <v>1754</v>
      </c>
      <c r="K6485" s="18">
        <f>622127505283</f>
        <v>622127505283</v>
      </c>
      <c r="N6485" s="17" t="s">
        <v>77</v>
      </c>
      <c r="U6485" s="17"/>
      <c r="V6485" s="18">
        <f>622127505283</f>
        <v>622127505283</v>
      </c>
      <c r="W6485" t="s">
        <v>18368</v>
      </c>
      <c r="Y6485" s="17" t="s">
        <v>6246</v>
      </c>
    </row>
    <row r="6486" ht="15" customHeight="1" spans="1:22" x14ac:dyDescent="0.25">
      <c r="A6486" s="17" t="s">
        <v>18369</v>
      </c>
      <c r="B6486" s="17" t="s">
        <v>70</v>
      </c>
      <c r="C6486" s="17" t="s">
        <v>71</v>
      </c>
      <c r="D6486" t="s">
        <v>18367</v>
      </c>
      <c r="F6486" t="s">
        <v>7093</v>
      </c>
      <c r="K6486" s="18">
        <f>6281291480777</f>
        <v>6281291480777</v>
      </c>
      <c r="N6486" s="17" t="s">
        <v>81</v>
      </c>
      <c r="V6486" s="18">
        <f>6281291480777</f>
        <v>6281291480777</v>
      </c>
    </row>
    <row r="6487" ht="15" customHeight="1" spans="1:22" x14ac:dyDescent="0.25">
      <c r="A6487" s="17" t="s">
        <v>18370</v>
      </c>
      <c r="B6487" s="17" t="s">
        <v>70</v>
      </c>
      <c r="C6487" s="17" t="s">
        <v>71</v>
      </c>
      <c r="D6487" t="s">
        <v>4548</v>
      </c>
      <c r="F6487" t="s">
        <v>4548</v>
      </c>
      <c r="K6487" s="18">
        <f>6281703901188</f>
        <v>6281703901188</v>
      </c>
      <c r="N6487" s="17" t="s">
        <v>77</v>
      </c>
      <c r="V6487" s="18">
        <f>6281703901188</f>
        <v>6281703901188</v>
      </c>
    </row>
    <row r="6488" ht="15" customHeight="1" spans="1:22" x14ac:dyDescent="0.25">
      <c r="A6488" s="17" t="s">
        <v>18371</v>
      </c>
      <c r="B6488" s="17" t="s">
        <v>70</v>
      </c>
      <c r="C6488" s="17" t="s">
        <v>71</v>
      </c>
      <c r="D6488" t="s">
        <v>4548</v>
      </c>
      <c r="F6488" t="s">
        <v>4548</v>
      </c>
      <c r="K6488" s="18">
        <f>6285711218170</f>
        <v>6285711218170</v>
      </c>
      <c r="N6488" s="17" t="s">
        <v>77</v>
      </c>
      <c r="V6488" s="18">
        <f>6285711218170</f>
        <v>6285711218170</v>
      </c>
    </row>
    <row r="6489" ht="15" customHeight="1" spans="1:25" x14ac:dyDescent="0.25">
      <c r="A6489" s="17" t="s">
        <v>18372</v>
      </c>
      <c r="B6489" s="17" t="s">
        <v>70</v>
      </c>
      <c r="C6489" s="17" t="s">
        <v>71</v>
      </c>
      <c r="D6489" t="s">
        <v>4548</v>
      </c>
      <c r="F6489" t="s">
        <v>4548</v>
      </c>
      <c r="K6489" s="18">
        <f>628131504488</f>
        <v>628131504488</v>
      </c>
      <c r="N6489" s="17" t="s">
        <v>81</v>
      </c>
      <c r="U6489" s="17"/>
      <c r="V6489" s="18">
        <f>628131504488</f>
        <v>628131504488</v>
      </c>
      <c r="W6489" t="s">
        <v>18373</v>
      </c>
      <c r="Y6489" s="17" t="s">
        <v>4959</v>
      </c>
    </row>
    <row r="6490" ht="15" customHeight="1" spans="1:22" x14ac:dyDescent="0.25">
      <c r="A6490" s="17" t="s">
        <v>18374</v>
      </c>
      <c r="B6490" s="17" t="s">
        <v>70</v>
      </c>
      <c r="C6490" s="17" t="s">
        <v>71</v>
      </c>
      <c r="D6490" t="s">
        <v>4548</v>
      </c>
      <c r="F6490" t="s">
        <v>18375</v>
      </c>
      <c r="K6490" s="18">
        <f>6282111111088</f>
        <v>6282111111088</v>
      </c>
      <c r="N6490" s="17" t="s">
        <v>77</v>
      </c>
      <c r="V6490" s="18">
        <f>6282111111088</f>
        <v>6282111111088</v>
      </c>
    </row>
    <row r="6491" ht="15" customHeight="1" spans="1:22" x14ac:dyDescent="0.25">
      <c r="A6491" s="17" t="s">
        <v>18376</v>
      </c>
      <c r="B6491" s="17" t="s">
        <v>70</v>
      </c>
      <c r="C6491" s="17" t="s">
        <v>71</v>
      </c>
      <c r="D6491" t="s">
        <v>4548</v>
      </c>
      <c r="F6491" t="s">
        <v>18377</v>
      </c>
      <c r="K6491" s="18">
        <f>62811988868</f>
        <v>62811988868</v>
      </c>
      <c r="N6491" s="17" t="s">
        <v>77</v>
      </c>
      <c r="V6491" s="18">
        <f>62811988868</f>
        <v>62811988868</v>
      </c>
    </row>
    <row r="6492" ht="15" customHeight="1" spans="1:22" x14ac:dyDescent="0.25">
      <c r="A6492" s="17" t="s">
        <v>18378</v>
      </c>
      <c r="B6492" s="17" t="s">
        <v>70</v>
      </c>
      <c r="C6492" s="17" t="s">
        <v>71</v>
      </c>
      <c r="D6492" t="s">
        <v>4548</v>
      </c>
      <c r="F6492" t="s">
        <v>18379</v>
      </c>
      <c r="K6492" s="18">
        <f>6281291757585</f>
        <v>6281291757585</v>
      </c>
      <c r="N6492" s="17" t="s">
        <v>77</v>
      </c>
      <c r="V6492" s="18">
        <f>6281291757585</f>
        <v>6281291757585</v>
      </c>
    </row>
    <row r="6493" ht="15" customHeight="1" spans="1:23" x14ac:dyDescent="0.25">
      <c r="A6493" s="17" t="s">
        <v>18380</v>
      </c>
      <c r="B6493" s="17" t="s">
        <v>70</v>
      </c>
      <c r="C6493" s="17" t="s">
        <v>71</v>
      </c>
      <c r="D6493" t="s">
        <v>4548</v>
      </c>
      <c r="F6493" t="s">
        <v>18381</v>
      </c>
      <c r="K6493" s="18">
        <f>62811940565</f>
        <v>62811940565</v>
      </c>
      <c r="N6493" s="17" t="s">
        <v>77</v>
      </c>
      <c r="U6493" s="17"/>
      <c r="V6493" s="18">
        <f>62811940565</f>
        <v>62811940565</v>
      </c>
      <c r="W6493" t="s">
        <v>18382</v>
      </c>
    </row>
    <row r="6494" ht="15" customHeight="1" spans="1:22" x14ac:dyDescent="0.25">
      <c r="A6494" s="17" t="s">
        <v>18383</v>
      </c>
      <c r="B6494" s="17" t="s">
        <v>70</v>
      </c>
      <c r="C6494" s="17" t="s">
        <v>71</v>
      </c>
      <c r="D6494" t="s">
        <v>4548</v>
      </c>
      <c r="F6494" t="s">
        <v>18384</v>
      </c>
      <c r="K6494" s="18">
        <f>628161834302</f>
        <v>628161834302</v>
      </c>
      <c r="N6494" s="17" t="s">
        <v>77</v>
      </c>
      <c r="V6494" s="18">
        <f>628161834302</f>
        <v>628161834302</v>
      </c>
    </row>
    <row r="6495" ht="15" customHeight="1" spans="1:25" x14ac:dyDescent="0.25">
      <c r="A6495" s="17" t="s">
        <v>18385</v>
      </c>
      <c r="B6495" s="17" t="s">
        <v>70</v>
      </c>
      <c r="C6495" s="17" t="s">
        <v>71</v>
      </c>
      <c r="D6495" t="s">
        <v>4548</v>
      </c>
      <c r="F6495" t="s">
        <v>18386</v>
      </c>
      <c r="J6495" s="17" t="s">
        <v>18387</v>
      </c>
      <c r="K6495" s="18">
        <f>6281510021888</f>
        <v>6281510021888</v>
      </c>
      <c r="N6495" s="17" t="s">
        <v>77</v>
      </c>
      <c r="U6495" s="17"/>
      <c r="V6495" s="18">
        <f>6281510021888</f>
        <v>6281510021888</v>
      </c>
      <c r="W6495" t="s">
        <v>18388</v>
      </c>
      <c r="Y6495" s="17" t="s">
        <v>90</v>
      </c>
    </row>
    <row r="6496" ht="15" customHeight="1" spans="1:28" x14ac:dyDescent="0.25">
      <c r="A6496" s="17" t="s">
        <v>18389</v>
      </c>
      <c r="B6496" s="17" t="s">
        <v>70</v>
      </c>
      <c r="C6496" s="17" t="s">
        <v>71</v>
      </c>
      <c r="D6496" t="s">
        <v>4548</v>
      </c>
      <c r="F6496" t="s">
        <v>18390</v>
      </c>
      <c r="J6496" s="17" t="s">
        <v>18391</v>
      </c>
      <c r="K6496" s="18" t="s">
        <v>18392</v>
      </c>
      <c r="N6496" s="17" t="s">
        <v>77</v>
      </c>
      <c r="O6496" t="s">
        <v>117</v>
      </c>
      <c r="V6496" s="18" t="s">
        <v>18392</v>
      </c>
      <c r="Y6496" t="s">
        <v>190</v>
      </c>
      <c r="AA6496" t="s">
        <v>118</v>
      </c>
      <c r="AB6496" t="s">
        <v>119</v>
      </c>
    </row>
    <row r="6497" ht="15" customHeight="1" spans="1:27" x14ac:dyDescent="0.25">
      <c r="A6497" s="17" t="s">
        <v>18393</v>
      </c>
      <c r="B6497" s="17" t="s">
        <v>70</v>
      </c>
      <c r="C6497" s="17" t="s">
        <v>71</v>
      </c>
      <c r="D6497" t="s">
        <v>4548</v>
      </c>
      <c r="F6497" t="s">
        <v>17609</v>
      </c>
      <c r="K6497" s="18">
        <f>6281286162528</f>
        <v>6281286162528</v>
      </c>
      <c r="N6497" s="17" t="s">
        <v>77</v>
      </c>
      <c r="U6497" s="17"/>
      <c r="V6497" s="18">
        <f>6281286162528</f>
        <v>6281286162528</v>
      </c>
      <c r="W6497" t="s">
        <v>18394</v>
      </c>
      <c r="Y6497" s="17" t="s">
        <v>96</v>
      </c>
      <c r="AA6497" s="17">
        <v>12870</v>
      </c>
    </row>
    <row r="6498" ht="15" customHeight="1" spans="1:22" x14ac:dyDescent="0.25">
      <c r="A6498" s="17" t="s">
        <v>18395</v>
      </c>
      <c r="B6498" s="17" t="s">
        <v>70</v>
      </c>
      <c r="C6498" s="17" t="s">
        <v>71</v>
      </c>
      <c r="D6498" t="s">
        <v>4548</v>
      </c>
      <c r="F6498" t="s">
        <v>18396</v>
      </c>
      <c r="K6498" s="18">
        <f>62811107390</f>
        <v>62811107390</v>
      </c>
      <c r="N6498" s="17" t="s">
        <v>74</v>
      </c>
      <c r="V6498" s="18">
        <f>62811107390</f>
        <v>62811107390</v>
      </c>
    </row>
    <row r="6499" ht="15" customHeight="1" spans="1:28" x14ac:dyDescent="0.25">
      <c r="A6499" s="17" t="s">
        <v>18397</v>
      </c>
      <c r="B6499" s="17" t="s">
        <v>70</v>
      </c>
      <c r="C6499" s="17" t="s">
        <v>71</v>
      </c>
      <c r="D6499" t="s">
        <v>18398</v>
      </c>
      <c r="F6499" t="s">
        <v>18399</v>
      </c>
      <c r="J6499" s="17" t="s">
        <v>18400</v>
      </c>
      <c r="K6499" s="18" t="s">
        <v>18401</v>
      </c>
      <c r="N6499" s="17" t="s">
        <v>77</v>
      </c>
      <c r="O6499" t="s">
        <v>145</v>
      </c>
      <c r="U6499" s="17"/>
      <c r="V6499" s="18" t="s">
        <v>18401</v>
      </c>
      <c r="W6499" t="s">
        <v>1453</v>
      </c>
      <c r="Y6499" t="s">
        <v>115</v>
      </c>
      <c r="AA6499" t="s">
        <v>115</v>
      </c>
      <c r="AB6499" t="s">
        <v>1453</v>
      </c>
    </row>
    <row r="6500" ht="15" customHeight="1" spans="1:25" x14ac:dyDescent="0.25">
      <c r="A6500" s="17" t="s">
        <v>18402</v>
      </c>
      <c r="B6500" s="17" t="s">
        <v>70</v>
      </c>
      <c r="C6500" s="17" t="s">
        <v>71</v>
      </c>
      <c r="D6500" t="s">
        <v>18403</v>
      </c>
      <c r="F6500" t="s">
        <v>18403</v>
      </c>
      <c r="K6500" s="18">
        <f>628161905118</f>
        <v>628161905118</v>
      </c>
      <c r="N6500" s="17" t="s">
        <v>74</v>
      </c>
      <c r="U6500" s="17"/>
      <c r="V6500" s="18">
        <f>628161905118</f>
        <v>628161905118</v>
      </c>
      <c r="W6500" t="s">
        <v>18404</v>
      </c>
      <c r="Y6500" s="17" t="s">
        <v>378</v>
      </c>
    </row>
    <row r="6501" ht="15" customHeight="1" spans="1:22" x14ac:dyDescent="0.25">
      <c r="A6501" s="17" t="s">
        <v>18405</v>
      </c>
      <c r="B6501" s="17" t="s">
        <v>70</v>
      </c>
      <c r="C6501" s="17" t="s">
        <v>71</v>
      </c>
      <c r="D6501" t="s">
        <v>18406</v>
      </c>
      <c r="F6501" t="s">
        <v>18406</v>
      </c>
      <c r="K6501" s="18">
        <f>62816947732</f>
        <v>62816947732</v>
      </c>
      <c r="N6501" s="17" t="s">
        <v>77</v>
      </c>
      <c r="V6501" s="18">
        <f>62816947732</f>
        <v>62816947732</v>
      </c>
    </row>
    <row r="6502" ht="15" customHeight="1" spans="1:27" x14ac:dyDescent="0.25">
      <c r="A6502" s="17" t="s">
        <v>18407</v>
      </c>
      <c r="B6502" s="17" t="s">
        <v>70</v>
      </c>
      <c r="C6502" s="17" t="s">
        <v>71</v>
      </c>
      <c r="D6502" t="s">
        <v>18408</v>
      </c>
      <c r="F6502" t="s">
        <v>18409</v>
      </c>
      <c r="J6502" s="17" t="s">
        <v>18410</v>
      </c>
      <c r="K6502" s="18">
        <f>628174845566</f>
        <v>628174845566</v>
      </c>
      <c r="N6502" s="17" t="s">
        <v>77</v>
      </c>
      <c r="U6502" s="17"/>
      <c r="V6502" s="18">
        <f>628174845566</f>
        <v>628174845566</v>
      </c>
      <c r="W6502" t="s">
        <v>18411</v>
      </c>
      <c r="AA6502" s="17">
        <v>12810</v>
      </c>
    </row>
    <row r="6503" ht="15" customHeight="1" spans="1:22" x14ac:dyDescent="0.25">
      <c r="A6503" s="17" t="s">
        <v>18412</v>
      </c>
      <c r="B6503" s="17" t="s">
        <v>70</v>
      </c>
      <c r="C6503" s="17" t="s">
        <v>71</v>
      </c>
      <c r="D6503" t="s">
        <v>18413</v>
      </c>
      <c r="F6503" t="s">
        <v>18414</v>
      </c>
      <c r="K6503" s="18" t="s">
        <v>18415</v>
      </c>
      <c r="N6503" s="17" t="s">
        <v>77</v>
      </c>
      <c r="V6503" s="18" t="s">
        <v>18415</v>
      </c>
    </row>
    <row r="6504" ht="15" customHeight="1" spans="1:23" x14ac:dyDescent="0.25">
      <c r="A6504" s="17" t="s">
        <v>18416</v>
      </c>
      <c r="B6504" s="17" t="s">
        <v>70</v>
      </c>
      <c r="C6504" s="17" t="s">
        <v>71</v>
      </c>
      <c r="D6504" t="s">
        <v>18417</v>
      </c>
      <c r="F6504" t="s">
        <v>4833</v>
      </c>
      <c r="K6504" s="18">
        <f>628161855977</f>
        <v>628161855977</v>
      </c>
      <c r="N6504" s="17" t="s">
        <v>81</v>
      </c>
      <c r="U6504" s="17"/>
      <c r="V6504" s="18">
        <f>628161855977</f>
        <v>628161855977</v>
      </c>
      <c r="W6504" t="s">
        <v>18418</v>
      </c>
    </row>
    <row r="6505" ht="15" customHeight="1" spans="1:28" x14ac:dyDescent="0.25">
      <c r="A6505" s="17" t="s">
        <v>18419</v>
      </c>
      <c r="B6505" s="17" t="s">
        <v>70</v>
      </c>
      <c r="C6505" s="17" t="s">
        <v>71</v>
      </c>
      <c r="D6505" t="s">
        <v>18420</v>
      </c>
      <c r="F6505" t="s">
        <v>2563</v>
      </c>
      <c r="J6505" t="s">
        <v>18421</v>
      </c>
      <c r="K6505" s="18" t="s">
        <v>18422</v>
      </c>
      <c r="N6505" s="17" t="s">
        <v>77</v>
      </c>
      <c r="O6505" t="s">
        <v>489</v>
      </c>
      <c r="V6505" s="18" t="s">
        <v>18422</v>
      </c>
      <c r="Y6505" t="s">
        <v>90</v>
      </c>
      <c r="AA6505" t="s">
        <v>118</v>
      </c>
      <c r="AB6505" t="s">
        <v>119</v>
      </c>
    </row>
    <row r="6506" ht="15" customHeight="1" spans="1:28" x14ac:dyDescent="0.25">
      <c r="A6506" s="17" t="s">
        <v>18423</v>
      </c>
      <c r="B6506" s="17" t="s">
        <v>70</v>
      </c>
      <c r="C6506" s="17" t="s">
        <v>71</v>
      </c>
      <c r="D6506" t="s">
        <v>18424</v>
      </c>
      <c r="F6506" t="s">
        <v>672</v>
      </c>
      <c r="J6506" t="s">
        <v>18425</v>
      </c>
      <c r="K6506" s="18" t="s">
        <v>18426</v>
      </c>
      <c r="N6506" s="17" t="s">
        <v>77</v>
      </c>
      <c r="O6506" t="s">
        <v>117</v>
      </c>
      <c r="V6506" s="18" t="s">
        <v>18426</v>
      </c>
      <c r="Y6506" t="s">
        <v>190</v>
      </c>
      <c r="AA6506" t="s">
        <v>118</v>
      </c>
      <c r="AB6506" t="s">
        <v>119</v>
      </c>
    </row>
    <row r="6507" ht="15" customHeight="1" spans="1:23" x14ac:dyDescent="0.25">
      <c r="A6507" s="17" t="s">
        <v>18427</v>
      </c>
      <c r="B6507" s="17" t="s">
        <v>70</v>
      </c>
      <c r="C6507" s="17" t="s">
        <v>71</v>
      </c>
      <c r="D6507" t="s">
        <v>18428</v>
      </c>
      <c r="F6507" t="s">
        <v>18429</v>
      </c>
      <c r="K6507" s="18">
        <f>6282197647417</f>
        <v>6282197647417</v>
      </c>
      <c r="N6507" s="17" t="s">
        <v>81</v>
      </c>
      <c r="U6507" s="17"/>
      <c r="V6507" s="18">
        <f>6282197647417</f>
        <v>6282197647417</v>
      </c>
      <c r="W6507" t="s">
        <v>18430</v>
      </c>
    </row>
    <row r="6508" ht="15" customHeight="1" spans="1:22" x14ac:dyDescent="0.25">
      <c r="A6508" s="17" t="s">
        <v>18431</v>
      </c>
      <c r="B6508" s="17" t="s">
        <v>70</v>
      </c>
      <c r="C6508" s="17" t="s">
        <v>71</v>
      </c>
      <c r="D6508" t="s">
        <v>11065</v>
      </c>
      <c r="F6508" t="s">
        <v>11065</v>
      </c>
      <c r="K6508" s="18">
        <f>6283892635567</f>
        <v>6283892635567</v>
      </c>
      <c r="N6508" s="17" t="s">
        <v>81</v>
      </c>
      <c r="V6508" s="18">
        <f>6283892635567</f>
        <v>6283892635567</v>
      </c>
    </row>
    <row r="6509" ht="15" customHeight="1" spans="1:22" x14ac:dyDescent="0.25">
      <c r="A6509" s="17" t="s">
        <v>18432</v>
      </c>
      <c r="B6509" s="17" t="s">
        <v>70</v>
      </c>
      <c r="C6509" s="17" t="s">
        <v>71</v>
      </c>
      <c r="D6509" t="s">
        <v>11065</v>
      </c>
      <c r="F6509" t="s">
        <v>11065</v>
      </c>
      <c r="K6509" s="18">
        <f>62818132728</f>
        <v>62818132728</v>
      </c>
      <c r="N6509" s="17" t="s">
        <v>81</v>
      </c>
      <c r="V6509" s="18">
        <f>62818132728</f>
        <v>62818132728</v>
      </c>
    </row>
    <row r="6510" ht="15" customHeight="1" spans="1:22" x14ac:dyDescent="0.25">
      <c r="A6510" s="17" t="s">
        <v>18433</v>
      </c>
      <c r="B6510" s="17" t="s">
        <v>70</v>
      </c>
      <c r="C6510" s="17" t="s">
        <v>71</v>
      </c>
      <c r="D6510" t="s">
        <v>11065</v>
      </c>
      <c r="F6510" t="s">
        <v>11065</v>
      </c>
      <c r="K6510" s="18">
        <f>62816980458</f>
        <v>62816980458</v>
      </c>
      <c r="N6510" s="17" t="s">
        <v>81</v>
      </c>
      <c r="V6510" s="18">
        <f>62816980458</f>
        <v>62816980458</v>
      </c>
    </row>
    <row r="6511" ht="15" customHeight="1" spans="1:22" x14ac:dyDescent="0.25">
      <c r="A6511" s="17" t="s">
        <v>18434</v>
      </c>
      <c r="B6511" s="17" t="s">
        <v>70</v>
      </c>
      <c r="C6511" s="17" t="s">
        <v>71</v>
      </c>
      <c r="D6511" t="s">
        <v>11065</v>
      </c>
      <c r="F6511" t="s">
        <v>11065</v>
      </c>
      <c r="K6511" s="18">
        <f>62816833810</f>
        <v>62816833810</v>
      </c>
      <c r="N6511" s="17" t="s">
        <v>77</v>
      </c>
      <c r="V6511" s="18">
        <f>62816833810</f>
        <v>62816833810</v>
      </c>
    </row>
    <row r="6512" ht="15" customHeight="1" spans="1:22" x14ac:dyDescent="0.25">
      <c r="A6512" s="17" t="s">
        <v>18435</v>
      </c>
      <c r="B6512" s="17" t="s">
        <v>70</v>
      </c>
      <c r="C6512" s="17" t="s">
        <v>71</v>
      </c>
      <c r="D6512" t="s">
        <v>11065</v>
      </c>
      <c r="F6512" t="s">
        <v>11065</v>
      </c>
      <c r="K6512" s="18">
        <f>62818178293</f>
        <v>62818178293</v>
      </c>
      <c r="N6512" s="17" t="s">
        <v>74</v>
      </c>
      <c r="V6512" s="18">
        <f>62818178293</f>
        <v>62818178293</v>
      </c>
    </row>
    <row r="6513" ht="15" customHeight="1" spans="1:28" x14ac:dyDescent="0.25">
      <c r="A6513" s="17" t="s">
        <v>18436</v>
      </c>
      <c r="B6513" s="17" t="s">
        <v>70</v>
      </c>
      <c r="C6513" s="17" t="s">
        <v>71</v>
      </c>
      <c r="D6513" t="s">
        <v>11065</v>
      </c>
      <c r="F6513" t="s">
        <v>11065</v>
      </c>
      <c r="J6513" s="17" t="s">
        <v>18437</v>
      </c>
      <c r="K6513" s="18" t="s">
        <v>18438</v>
      </c>
      <c r="N6513" s="17" t="s">
        <v>77</v>
      </c>
      <c r="O6513" t="s">
        <v>117</v>
      </c>
      <c r="U6513" s="17"/>
      <c r="V6513" s="18" t="s">
        <v>18438</v>
      </c>
      <c r="W6513" t="s">
        <v>18439</v>
      </c>
      <c r="Y6513" s="17" t="s">
        <v>217</v>
      </c>
      <c r="AA6513" t="s">
        <v>218</v>
      </c>
      <c r="AB6513" t="s">
        <v>119</v>
      </c>
    </row>
    <row r="6514" ht="15" customHeight="1" spans="1:22" x14ac:dyDescent="0.25">
      <c r="A6514" s="17" t="s">
        <v>18440</v>
      </c>
      <c r="B6514" s="17" t="s">
        <v>70</v>
      </c>
      <c r="C6514" s="17" t="s">
        <v>71</v>
      </c>
      <c r="D6514" t="s">
        <v>11065</v>
      </c>
      <c r="F6514" t="s">
        <v>18441</v>
      </c>
      <c r="K6514" s="18">
        <f>628178174155</f>
        <v>628178174155</v>
      </c>
      <c r="N6514" s="17" t="s">
        <v>77</v>
      </c>
      <c r="V6514" s="18">
        <f>628178174155</f>
        <v>628178174155</v>
      </c>
    </row>
    <row r="6515" ht="15" customHeight="1" spans="1:28" x14ac:dyDescent="0.25">
      <c r="A6515" s="17" t="s">
        <v>18442</v>
      </c>
      <c r="B6515" s="17" t="s">
        <v>70</v>
      </c>
      <c r="C6515" s="17" t="s">
        <v>71</v>
      </c>
      <c r="D6515" t="s">
        <v>11065</v>
      </c>
      <c r="F6515" t="s">
        <v>579</v>
      </c>
      <c r="J6515" t="s">
        <v>115</v>
      </c>
      <c r="K6515" s="18" t="s">
        <v>18443</v>
      </c>
      <c r="N6515" s="17" t="s">
        <v>77</v>
      </c>
      <c r="O6515" t="s">
        <v>489</v>
      </c>
      <c r="V6515" s="18" t="s">
        <v>18443</v>
      </c>
      <c r="Y6515" t="s">
        <v>90</v>
      </c>
      <c r="AA6515" t="s">
        <v>118</v>
      </c>
      <c r="AB6515" t="s">
        <v>119</v>
      </c>
    </row>
    <row r="6516" ht="15" customHeight="1" spans="1:22" x14ac:dyDescent="0.25">
      <c r="A6516" s="17" t="s">
        <v>18444</v>
      </c>
      <c r="B6516" s="17" t="s">
        <v>70</v>
      </c>
      <c r="C6516" s="17" t="s">
        <v>71</v>
      </c>
      <c r="D6516" t="s">
        <v>11065</v>
      </c>
      <c r="F6516" t="s">
        <v>18445</v>
      </c>
      <c r="K6516" s="18">
        <f>6282113144422</f>
        <v>6282113144422</v>
      </c>
      <c r="N6516" s="17" t="s">
        <v>77</v>
      </c>
      <c r="V6516" s="18">
        <f>6282113144422</f>
        <v>6282113144422</v>
      </c>
    </row>
    <row r="6517" ht="15" customHeight="1" spans="1:22" x14ac:dyDescent="0.25">
      <c r="A6517" s="17" t="s">
        <v>18446</v>
      </c>
      <c r="B6517" s="17" t="s">
        <v>70</v>
      </c>
      <c r="C6517" s="17" t="s">
        <v>71</v>
      </c>
      <c r="D6517" t="s">
        <v>11065</v>
      </c>
      <c r="F6517" t="s">
        <v>2288</v>
      </c>
      <c r="K6517" s="18">
        <f>628118711472</f>
        <v>628118711472</v>
      </c>
      <c r="N6517" s="17" t="s">
        <v>77</v>
      </c>
      <c r="V6517" s="18">
        <f>628118711472</f>
        <v>628118711472</v>
      </c>
    </row>
    <row r="6518" ht="15" customHeight="1" spans="1:28" x14ac:dyDescent="0.25">
      <c r="A6518" s="17" t="s">
        <v>18447</v>
      </c>
      <c r="B6518" s="17" t="s">
        <v>70</v>
      </c>
      <c r="C6518" s="17" t="s">
        <v>71</v>
      </c>
      <c r="D6518" t="s">
        <v>11065</v>
      </c>
      <c r="F6518" t="s">
        <v>7657</v>
      </c>
      <c r="J6518" t="s">
        <v>115</v>
      </c>
      <c r="K6518" s="18" t="s">
        <v>18448</v>
      </c>
      <c r="N6518" s="17" t="s">
        <v>81</v>
      </c>
      <c r="O6518" t="s">
        <v>117</v>
      </c>
      <c r="U6518" s="17"/>
      <c r="V6518" s="18" t="s">
        <v>18448</v>
      </c>
      <c r="W6518" t="s">
        <v>18449</v>
      </c>
      <c r="Y6518" s="17" t="s">
        <v>18450</v>
      </c>
      <c r="AA6518" t="s">
        <v>115</v>
      </c>
      <c r="AB6518" t="s">
        <v>119</v>
      </c>
    </row>
    <row r="6519" ht="15" customHeight="1" spans="1:25" x14ac:dyDescent="0.25">
      <c r="A6519" s="17" t="s">
        <v>18451</v>
      </c>
      <c r="B6519" s="17" t="s">
        <v>70</v>
      </c>
      <c r="C6519" s="17" t="s">
        <v>71</v>
      </c>
      <c r="D6519" t="s">
        <v>11065</v>
      </c>
      <c r="F6519" t="s">
        <v>18452</v>
      </c>
      <c r="J6519" s="17" t="s">
        <v>18453</v>
      </c>
      <c r="K6519" s="18">
        <f>628119113797</f>
        <v>628119113797</v>
      </c>
      <c r="N6519" s="17" t="s">
        <v>77</v>
      </c>
      <c r="U6519" s="17"/>
      <c r="V6519" s="18">
        <f>628119113797</f>
        <v>628119113797</v>
      </c>
      <c r="W6519" t="s">
        <v>18454</v>
      </c>
      <c r="Y6519" s="17" t="s">
        <v>96</v>
      </c>
    </row>
    <row r="6520" ht="15" customHeight="1" spans="1:28" x14ac:dyDescent="0.25">
      <c r="A6520" s="17" t="s">
        <v>18455</v>
      </c>
      <c r="B6520" s="17" t="s">
        <v>70</v>
      </c>
      <c r="C6520" s="17" t="s">
        <v>71</v>
      </c>
      <c r="D6520" t="s">
        <v>11065</v>
      </c>
      <c r="F6520" t="s">
        <v>18452</v>
      </c>
      <c r="J6520" s="17" t="s">
        <v>18456</v>
      </c>
      <c r="K6520" s="18" t="s">
        <v>18457</v>
      </c>
      <c r="N6520" s="17" t="s">
        <v>77</v>
      </c>
      <c r="O6520" t="s">
        <v>261</v>
      </c>
      <c r="U6520" s="17"/>
      <c r="V6520" s="18" t="s">
        <v>18457</v>
      </c>
      <c r="W6520" t="s">
        <v>18458</v>
      </c>
      <c r="Y6520" t="s">
        <v>90</v>
      </c>
      <c r="AA6520" t="s">
        <v>118</v>
      </c>
      <c r="AB6520" t="s">
        <v>119</v>
      </c>
    </row>
    <row r="6521" ht="15" customHeight="1" spans="1:23" x14ac:dyDescent="0.25">
      <c r="A6521" s="17" t="s">
        <v>18459</v>
      </c>
      <c r="B6521" s="17" t="s">
        <v>70</v>
      </c>
      <c r="C6521" s="17" t="s">
        <v>71</v>
      </c>
      <c r="D6521" t="s">
        <v>11065</v>
      </c>
      <c r="F6521" t="s">
        <v>18460</v>
      </c>
      <c r="J6521" s="17" t="s">
        <v>18461</v>
      </c>
      <c r="K6521" s="18">
        <f>628122132009</f>
        <v>628122132009</v>
      </c>
      <c r="N6521" s="17" t="s">
        <v>81</v>
      </c>
      <c r="U6521" s="17"/>
      <c r="V6521" s="18">
        <f>628122132009</f>
        <v>628122132009</v>
      </c>
      <c r="W6521" t="s">
        <v>18462</v>
      </c>
    </row>
    <row r="6522" ht="15" customHeight="1" spans="1:27" x14ac:dyDescent="0.25">
      <c r="A6522" s="17" t="s">
        <v>18463</v>
      </c>
      <c r="B6522" s="17" t="s">
        <v>70</v>
      </c>
      <c r="C6522" s="17" t="s">
        <v>71</v>
      </c>
      <c r="D6522" t="s">
        <v>11065</v>
      </c>
      <c r="F6522" t="s">
        <v>17397</v>
      </c>
      <c r="K6522" s="18">
        <f>62811169533</f>
        <v>62811169533</v>
      </c>
      <c r="N6522" s="17" t="s">
        <v>81</v>
      </c>
      <c r="U6522" s="17"/>
      <c r="V6522" s="18">
        <f>62811169533</f>
        <v>62811169533</v>
      </c>
      <c r="W6522" t="s">
        <v>18464</v>
      </c>
      <c r="AA6522" s="17">
        <v>12820</v>
      </c>
    </row>
    <row r="6523" ht="15" customHeight="1" spans="1:22" x14ac:dyDescent="0.25">
      <c r="A6523" s="17" t="s">
        <v>18465</v>
      </c>
      <c r="B6523" s="17" t="s">
        <v>70</v>
      </c>
      <c r="C6523" s="17" t="s">
        <v>71</v>
      </c>
      <c r="D6523" t="s">
        <v>11065</v>
      </c>
      <c r="F6523" t="s">
        <v>629</v>
      </c>
      <c r="K6523" s="18">
        <f>6285813139988</f>
        <v>6285813139988</v>
      </c>
      <c r="N6523" s="17" t="s">
        <v>74</v>
      </c>
      <c r="V6523" s="18">
        <f>6285813139988</f>
        <v>6285813139988</v>
      </c>
    </row>
    <row r="6524" ht="15" customHeight="1" spans="1:28" x14ac:dyDescent="0.25">
      <c r="A6524" s="17" t="s">
        <v>18466</v>
      </c>
      <c r="B6524" s="17" t="s">
        <v>70</v>
      </c>
      <c r="C6524" s="17" t="s">
        <v>71</v>
      </c>
      <c r="D6524" t="s">
        <v>11065</v>
      </c>
      <c r="F6524" t="s">
        <v>18467</v>
      </c>
      <c r="J6524" t="s">
        <v>18468</v>
      </c>
      <c r="K6524" s="18" t="s">
        <v>18469</v>
      </c>
      <c r="N6524" s="17" t="s">
        <v>77</v>
      </c>
      <c r="O6524" t="s">
        <v>489</v>
      </c>
      <c r="U6524" s="17"/>
      <c r="V6524" s="18" t="s">
        <v>18469</v>
      </c>
      <c r="W6524" t="s">
        <v>18470</v>
      </c>
      <c r="Y6524" t="s">
        <v>190</v>
      </c>
      <c r="AA6524" t="s">
        <v>118</v>
      </c>
      <c r="AB6524" t="s">
        <v>119</v>
      </c>
    </row>
    <row r="6525" ht="15" customHeight="1" spans="1:25" x14ac:dyDescent="0.25">
      <c r="A6525" s="17" t="s">
        <v>18471</v>
      </c>
      <c r="B6525" s="17" t="s">
        <v>70</v>
      </c>
      <c r="C6525" s="17" t="s">
        <v>71</v>
      </c>
      <c r="D6525" t="s">
        <v>11065</v>
      </c>
      <c r="F6525" t="s">
        <v>322</v>
      </c>
      <c r="J6525" s="17" t="s">
        <v>18472</v>
      </c>
      <c r="K6525" s="18">
        <f>628118186810</f>
        <v>628118186810</v>
      </c>
      <c r="N6525" s="17" t="s">
        <v>77</v>
      </c>
      <c r="V6525" s="18">
        <f>628118186810</f>
        <v>628118186810</v>
      </c>
      <c r="Y6525" s="17" t="s">
        <v>96</v>
      </c>
    </row>
    <row r="6526" ht="15" customHeight="1" spans="1:25" x14ac:dyDescent="0.25">
      <c r="A6526" s="17" t="s">
        <v>18473</v>
      </c>
      <c r="B6526" s="17" t="s">
        <v>70</v>
      </c>
      <c r="C6526" s="17" t="s">
        <v>71</v>
      </c>
      <c r="D6526" t="s">
        <v>11065</v>
      </c>
      <c r="F6526" t="s">
        <v>16593</v>
      </c>
      <c r="K6526" s="18">
        <f>6281999979999</f>
        <v>6281999979999</v>
      </c>
      <c r="N6526" s="17" t="s">
        <v>77</v>
      </c>
      <c r="U6526" s="17"/>
      <c r="V6526" s="18">
        <f>6281999979999</f>
        <v>6281999979999</v>
      </c>
      <c r="W6526" t="s">
        <v>18474</v>
      </c>
      <c r="Y6526" s="17" t="s">
        <v>96</v>
      </c>
    </row>
    <row r="6527" ht="15" customHeight="1" spans="1:22" x14ac:dyDescent="0.25">
      <c r="A6527" s="17" t="s">
        <v>18475</v>
      </c>
      <c r="B6527" s="17" t="s">
        <v>70</v>
      </c>
      <c r="C6527" s="17" t="s">
        <v>71</v>
      </c>
      <c r="D6527" t="s">
        <v>11065</v>
      </c>
      <c r="F6527" t="s">
        <v>1208</v>
      </c>
      <c r="K6527" s="18">
        <f>6281558101938</f>
        <v>6281558101938</v>
      </c>
      <c r="N6527" s="17" t="s">
        <v>77</v>
      </c>
      <c r="V6527" s="18">
        <f>6281558101938</f>
        <v>6281558101938</v>
      </c>
    </row>
    <row r="6528" ht="15" customHeight="1" spans="1:28" x14ac:dyDescent="0.25">
      <c r="A6528" s="17" t="s">
        <v>18476</v>
      </c>
      <c r="B6528" s="17" t="s">
        <v>70</v>
      </c>
      <c r="C6528" s="17" t="s">
        <v>71</v>
      </c>
      <c r="D6528" t="s">
        <v>11065</v>
      </c>
      <c r="F6528" t="s">
        <v>18477</v>
      </c>
      <c r="J6528" s="17" t="s">
        <v>18478</v>
      </c>
      <c r="K6528" s="18" t="s">
        <v>18479</v>
      </c>
      <c r="N6528" s="17" t="s">
        <v>77</v>
      </c>
      <c r="O6528" t="s">
        <v>117</v>
      </c>
      <c r="U6528" s="17"/>
      <c r="V6528" s="18" t="s">
        <v>18479</v>
      </c>
      <c r="W6528" t="s">
        <v>18480</v>
      </c>
      <c r="Y6528" s="17" t="s">
        <v>90</v>
      </c>
      <c r="AA6528" s="17" t="s">
        <v>118</v>
      </c>
      <c r="AB6528" t="s">
        <v>119</v>
      </c>
    </row>
    <row r="6529" ht="15" customHeight="1" spans="1:23" x14ac:dyDescent="0.25">
      <c r="A6529" s="17" t="s">
        <v>18481</v>
      </c>
      <c r="B6529" s="17" t="s">
        <v>70</v>
      </c>
      <c r="C6529" s="17" t="s">
        <v>71</v>
      </c>
      <c r="D6529" t="s">
        <v>11065</v>
      </c>
      <c r="F6529" t="s">
        <v>4858</v>
      </c>
      <c r="J6529" s="17" t="s">
        <v>18482</v>
      </c>
      <c r="K6529" s="18">
        <f>62811940923</f>
        <v>62811940923</v>
      </c>
      <c r="N6529" s="17" t="s">
        <v>77</v>
      </c>
      <c r="U6529" s="17"/>
      <c r="V6529" s="18">
        <f>62811940923</f>
        <v>62811940923</v>
      </c>
      <c r="W6529" t="s">
        <v>18483</v>
      </c>
    </row>
    <row r="6530" ht="15" customHeight="1" spans="1:22" x14ac:dyDescent="0.25">
      <c r="A6530" s="17" t="s">
        <v>18484</v>
      </c>
      <c r="B6530" s="17" t="s">
        <v>70</v>
      </c>
      <c r="C6530" s="17" t="s">
        <v>71</v>
      </c>
      <c r="D6530" t="s">
        <v>11065</v>
      </c>
      <c r="F6530" t="s">
        <v>18485</v>
      </c>
      <c r="K6530" s="18">
        <f>6281315928460</f>
        <v>6281315928460</v>
      </c>
      <c r="N6530" s="17" t="s">
        <v>81</v>
      </c>
      <c r="V6530" s="18">
        <f>6281315928460</f>
        <v>6281315928460</v>
      </c>
    </row>
    <row r="6531" ht="15" customHeight="1" spans="1:22" x14ac:dyDescent="0.25">
      <c r="A6531" s="17" t="s">
        <v>18486</v>
      </c>
      <c r="B6531" s="17" t="s">
        <v>70</v>
      </c>
      <c r="C6531" s="17" t="s">
        <v>71</v>
      </c>
      <c r="D6531" t="s">
        <v>11065</v>
      </c>
      <c r="F6531" t="s">
        <v>18487</v>
      </c>
      <c r="K6531" s="18">
        <f>6281902565777</f>
        <v>6281902565777</v>
      </c>
      <c r="N6531" s="17" t="s">
        <v>81</v>
      </c>
      <c r="V6531" s="18">
        <f>6281902565777</f>
        <v>6281902565777</v>
      </c>
    </row>
    <row r="6532" ht="15" customHeight="1" spans="1:25" x14ac:dyDescent="0.25">
      <c r="A6532" s="17" t="s">
        <v>18488</v>
      </c>
      <c r="B6532" s="17" t="s">
        <v>70</v>
      </c>
      <c r="C6532" s="17" t="s">
        <v>71</v>
      </c>
      <c r="D6532" t="s">
        <v>18489</v>
      </c>
      <c r="F6532" t="s">
        <v>18489</v>
      </c>
      <c r="K6532" s="18">
        <f>6281803222208</f>
        <v>6281803222208</v>
      </c>
      <c r="N6532" s="17" t="s">
        <v>77</v>
      </c>
      <c r="U6532" s="17"/>
      <c r="V6532" s="18">
        <f>6281803222208</f>
        <v>6281803222208</v>
      </c>
      <c r="W6532" t="s">
        <v>18490</v>
      </c>
      <c r="Y6532" s="17" t="s">
        <v>704</v>
      </c>
    </row>
    <row r="6533" ht="15" customHeight="1" spans="1:23" x14ac:dyDescent="0.25">
      <c r="A6533" s="17" t="s">
        <v>18491</v>
      </c>
      <c r="B6533" s="17" t="s">
        <v>70</v>
      </c>
      <c r="C6533" s="17" t="s">
        <v>71</v>
      </c>
      <c r="D6533" t="s">
        <v>18492</v>
      </c>
      <c r="F6533" t="s">
        <v>3099</v>
      </c>
      <c r="K6533" s="18">
        <f>628170809797</f>
        <v>628170809797</v>
      </c>
      <c r="N6533" s="17" t="s">
        <v>77</v>
      </c>
      <c r="U6533" s="17"/>
      <c r="V6533" s="18">
        <f>628170809797</f>
        <v>628170809797</v>
      </c>
      <c r="W6533" t="s">
        <v>18493</v>
      </c>
    </row>
    <row r="6534" ht="15" customHeight="1" spans="1:28" x14ac:dyDescent="0.25">
      <c r="A6534" s="17" t="s">
        <v>18494</v>
      </c>
      <c r="B6534" s="17" t="s">
        <v>70</v>
      </c>
      <c r="C6534" s="17" t="s">
        <v>71</v>
      </c>
      <c r="D6534" t="s">
        <v>18495</v>
      </c>
      <c r="F6534" t="s">
        <v>18495</v>
      </c>
      <c r="J6534" t="s">
        <v>115</v>
      </c>
      <c r="K6534" s="18" t="s">
        <v>18496</v>
      </c>
      <c r="N6534" s="17" t="s">
        <v>77</v>
      </c>
      <c r="O6534" t="s">
        <v>261</v>
      </c>
      <c r="V6534" s="18" t="s">
        <v>18496</v>
      </c>
      <c r="Y6534" t="s">
        <v>90</v>
      </c>
      <c r="AA6534" t="s">
        <v>118</v>
      </c>
      <c r="AB6534" t="s">
        <v>119</v>
      </c>
    </row>
    <row r="6535" ht="15" customHeight="1" spans="1:22" x14ac:dyDescent="0.25">
      <c r="A6535" s="17" t="s">
        <v>18497</v>
      </c>
      <c r="B6535" s="17" t="s">
        <v>70</v>
      </c>
      <c r="C6535" s="17" t="s">
        <v>71</v>
      </c>
      <c r="D6535" t="s">
        <v>18498</v>
      </c>
      <c r="F6535" t="s">
        <v>18499</v>
      </c>
      <c r="K6535" s="18">
        <f>628111460177</f>
        <v>628111460177</v>
      </c>
      <c r="N6535" s="17" t="s">
        <v>77</v>
      </c>
      <c r="V6535" s="18">
        <f>628111460177</f>
        <v>628111460177</v>
      </c>
    </row>
    <row r="6536" ht="15" customHeight="1" spans="1:22" x14ac:dyDescent="0.25">
      <c r="A6536" s="17" t="s">
        <v>18500</v>
      </c>
      <c r="B6536" s="17" t="s">
        <v>70</v>
      </c>
      <c r="C6536" s="17" t="s">
        <v>71</v>
      </c>
      <c r="D6536" t="s">
        <v>18501</v>
      </c>
      <c r="F6536" t="s">
        <v>18501</v>
      </c>
      <c r="K6536" s="18">
        <f>628119882460</f>
        <v>628119882460</v>
      </c>
      <c r="N6536" s="17" t="s">
        <v>81</v>
      </c>
      <c r="V6536" s="18">
        <f>628119882460</f>
        <v>628119882460</v>
      </c>
    </row>
    <row r="6537" ht="15" customHeight="1" spans="1:23" x14ac:dyDescent="0.25">
      <c r="A6537" s="17" t="s">
        <v>18502</v>
      </c>
      <c r="B6537" s="17" t="s">
        <v>70</v>
      </c>
      <c r="C6537" s="17" t="s">
        <v>71</v>
      </c>
      <c r="D6537" t="s">
        <v>18503</v>
      </c>
      <c r="F6537" t="s">
        <v>18504</v>
      </c>
      <c r="K6537" s="18">
        <f>628112906937</f>
        <v>628112906937</v>
      </c>
      <c r="N6537" s="17" t="s">
        <v>81</v>
      </c>
      <c r="U6537" s="17"/>
      <c r="V6537" s="18">
        <f>628112906937</f>
        <v>628112906937</v>
      </c>
      <c r="W6537" t="s">
        <v>18505</v>
      </c>
    </row>
    <row r="6538" ht="15" customHeight="1" spans="1:22" x14ac:dyDescent="0.25">
      <c r="A6538" s="17" t="s">
        <v>18506</v>
      </c>
      <c r="B6538" s="17" t="s">
        <v>70</v>
      </c>
      <c r="C6538" s="17" t="s">
        <v>71</v>
      </c>
      <c r="D6538" t="s">
        <v>18503</v>
      </c>
      <c r="F6538" t="s">
        <v>18507</v>
      </c>
      <c r="K6538" s="18">
        <f>628118382588</f>
        <v>628118382588</v>
      </c>
      <c r="N6538" s="17" t="s">
        <v>77</v>
      </c>
      <c r="V6538" s="18">
        <f>628118382588</f>
        <v>628118382588</v>
      </c>
    </row>
    <row r="6539" ht="15" customHeight="1" spans="1:23" x14ac:dyDescent="0.25">
      <c r="A6539" s="17" t="s">
        <v>18508</v>
      </c>
      <c r="B6539" s="17" t="s">
        <v>70</v>
      </c>
      <c r="C6539" s="17" t="s">
        <v>71</v>
      </c>
      <c r="D6539" t="s">
        <v>18509</v>
      </c>
      <c r="F6539" t="s">
        <v>18509</v>
      </c>
      <c r="K6539" s="18">
        <f>628121034023</f>
        <v>628121034023</v>
      </c>
      <c r="N6539" s="17" t="s">
        <v>77</v>
      </c>
      <c r="U6539" s="17"/>
      <c r="V6539" s="18">
        <f>628121034023</f>
        <v>628121034023</v>
      </c>
      <c r="W6539" t="s">
        <v>18510</v>
      </c>
    </row>
    <row r="6540" ht="15" customHeight="1" spans="1:22" x14ac:dyDescent="0.25">
      <c r="A6540" s="17" t="s">
        <v>18511</v>
      </c>
      <c r="B6540" s="17" t="s">
        <v>70</v>
      </c>
      <c r="C6540" s="17" t="s">
        <v>71</v>
      </c>
      <c r="D6540" t="s">
        <v>18509</v>
      </c>
      <c r="F6540" t="s">
        <v>3125</v>
      </c>
      <c r="K6540" s="18">
        <f>62811187650</f>
        <v>62811187650</v>
      </c>
      <c r="N6540" s="17" t="s">
        <v>77</v>
      </c>
      <c r="V6540" s="18">
        <f>62811187650</f>
        <v>62811187650</v>
      </c>
    </row>
    <row r="6541" ht="15" customHeight="1" spans="1:23" x14ac:dyDescent="0.25">
      <c r="A6541" s="17" t="s">
        <v>18512</v>
      </c>
      <c r="B6541" s="17" t="s">
        <v>70</v>
      </c>
      <c r="C6541" s="17" t="s">
        <v>71</v>
      </c>
      <c r="D6541" t="s">
        <v>18509</v>
      </c>
      <c r="F6541" t="s">
        <v>18513</v>
      </c>
      <c r="K6541" s="18">
        <f>6281285004549</f>
        <v>6281285004549</v>
      </c>
      <c r="N6541" s="17" t="s">
        <v>81</v>
      </c>
      <c r="U6541" s="17"/>
      <c r="V6541" s="18">
        <f>6281285004549</f>
        <v>6281285004549</v>
      </c>
      <c r="W6541" t="s">
        <v>18514</v>
      </c>
    </row>
    <row r="6542" ht="15" customHeight="1" spans="1:28" x14ac:dyDescent="0.25">
      <c r="A6542" s="17" t="s">
        <v>18515</v>
      </c>
      <c r="B6542" s="17" t="s">
        <v>70</v>
      </c>
      <c r="C6542" s="17" t="s">
        <v>71</v>
      </c>
      <c r="D6542" t="s">
        <v>18509</v>
      </c>
      <c r="F6542" t="s">
        <v>3334</v>
      </c>
      <c r="J6542" t="s">
        <v>115</v>
      </c>
      <c r="K6542" s="18" t="s">
        <v>18516</v>
      </c>
      <c r="N6542" s="17" t="s">
        <v>77</v>
      </c>
      <c r="O6542" t="s">
        <v>145</v>
      </c>
      <c r="U6542" s="17"/>
      <c r="V6542" s="18" t="s">
        <v>18516</v>
      </c>
      <c r="W6542" t="s">
        <v>18517</v>
      </c>
      <c r="Y6542" t="s">
        <v>181</v>
      </c>
      <c r="AA6542" t="s">
        <v>1672</v>
      </c>
      <c r="AB6542" t="s">
        <v>119</v>
      </c>
    </row>
    <row r="6543" ht="15" customHeight="1" spans="1:22" x14ac:dyDescent="0.25">
      <c r="A6543" s="17" t="s">
        <v>18518</v>
      </c>
      <c r="B6543" s="17" t="s">
        <v>70</v>
      </c>
      <c r="C6543" s="17" t="s">
        <v>71</v>
      </c>
      <c r="D6543" t="s">
        <v>18509</v>
      </c>
      <c r="F6543" t="s">
        <v>18519</v>
      </c>
      <c r="K6543" s="18">
        <f>62816765336</f>
        <v>62816765336</v>
      </c>
      <c r="N6543" s="17" t="s">
        <v>81</v>
      </c>
      <c r="V6543" s="18">
        <f>62816765336</f>
        <v>62816765336</v>
      </c>
    </row>
    <row r="6544" ht="15" customHeight="1" spans="1:22" x14ac:dyDescent="0.25">
      <c r="A6544" s="17" t="s">
        <v>18520</v>
      </c>
      <c r="B6544" s="17" t="s">
        <v>70</v>
      </c>
      <c r="C6544" s="17" t="s">
        <v>71</v>
      </c>
      <c r="D6544" t="s">
        <v>18509</v>
      </c>
      <c r="F6544" t="s">
        <v>18521</v>
      </c>
      <c r="K6544" s="18">
        <f>6282120985925</f>
        <v>6282120985925</v>
      </c>
      <c r="N6544" s="17" t="s">
        <v>77</v>
      </c>
      <c r="V6544" s="18">
        <f>6282120985925</f>
        <v>6282120985925</v>
      </c>
    </row>
    <row r="6545" ht="15" customHeight="1" spans="1:23" x14ac:dyDescent="0.25">
      <c r="A6545" s="17" t="s">
        <v>18522</v>
      </c>
      <c r="B6545" s="17" t="s">
        <v>70</v>
      </c>
      <c r="C6545" s="17" t="s">
        <v>71</v>
      </c>
      <c r="D6545" t="s">
        <v>5518</v>
      </c>
      <c r="F6545" t="s">
        <v>5518</v>
      </c>
      <c r="K6545" s="18">
        <f>6285290096789</f>
        <v>6285290096789</v>
      </c>
      <c r="N6545" s="17" t="s">
        <v>77</v>
      </c>
      <c r="U6545" s="17"/>
      <c r="V6545" s="18">
        <f>6285290096789</f>
        <v>6285290096789</v>
      </c>
      <c r="W6545" t="s">
        <v>18523</v>
      </c>
    </row>
    <row r="6546" ht="15" customHeight="1" spans="1:23" x14ac:dyDescent="0.25">
      <c r="A6546" s="17" t="s">
        <v>18524</v>
      </c>
      <c r="B6546" s="17" t="s">
        <v>70</v>
      </c>
      <c r="C6546" s="17" t="s">
        <v>71</v>
      </c>
      <c r="D6546" t="s">
        <v>5518</v>
      </c>
      <c r="F6546" t="s">
        <v>5518</v>
      </c>
      <c r="K6546" s="18">
        <f>6281513008048</f>
        <v>6281513008048</v>
      </c>
      <c r="N6546" s="17" t="s">
        <v>77</v>
      </c>
      <c r="U6546" s="17"/>
      <c r="V6546" s="18">
        <f>6281513008048</f>
        <v>6281513008048</v>
      </c>
      <c r="W6546" t="s">
        <v>18525</v>
      </c>
    </row>
    <row r="6547" ht="15" customHeight="1" spans="1:22" x14ac:dyDescent="0.25">
      <c r="A6547" s="17" t="s">
        <v>18526</v>
      </c>
      <c r="B6547" s="17" t="s">
        <v>70</v>
      </c>
      <c r="C6547" s="17" t="s">
        <v>71</v>
      </c>
      <c r="D6547" t="s">
        <v>5518</v>
      </c>
      <c r="F6547" t="s">
        <v>5518</v>
      </c>
      <c r="K6547" s="18">
        <f>6281584040300</f>
        <v>6281584040300</v>
      </c>
      <c r="N6547" s="17" t="s">
        <v>77</v>
      </c>
      <c r="V6547" s="18">
        <f>6281584040300</f>
        <v>6281584040300</v>
      </c>
    </row>
    <row r="6548" ht="15" customHeight="1" spans="1:22" x14ac:dyDescent="0.25">
      <c r="A6548" s="17" t="s">
        <v>18527</v>
      </c>
      <c r="B6548" s="17" t="s">
        <v>70</v>
      </c>
      <c r="C6548" s="17" t="s">
        <v>71</v>
      </c>
      <c r="D6548" t="s">
        <v>5518</v>
      </c>
      <c r="F6548" t="s">
        <v>5518</v>
      </c>
      <c r="K6548" s="18">
        <f>62811544638</f>
        <v>62811544638</v>
      </c>
      <c r="N6548" s="17" t="s">
        <v>77</v>
      </c>
      <c r="V6548" s="18">
        <f>62811544638</f>
        <v>62811544638</v>
      </c>
    </row>
    <row r="6549" ht="15" customHeight="1" spans="1:28" x14ac:dyDescent="0.25">
      <c r="A6549" s="17" t="s">
        <v>18528</v>
      </c>
      <c r="B6549" s="17" t="s">
        <v>70</v>
      </c>
      <c r="C6549" s="17" t="s">
        <v>71</v>
      </c>
      <c r="D6549" t="s">
        <v>5518</v>
      </c>
      <c r="F6549" t="s">
        <v>18529</v>
      </c>
      <c r="J6549" t="s">
        <v>115</v>
      </c>
      <c r="K6549" s="18" t="s">
        <v>18530</v>
      </c>
      <c r="N6549" s="17" t="s">
        <v>77</v>
      </c>
      <c r="O6549" t="s">
        <v>117</v>
      </c>
      <c r="V6549" s="18" t="s">
        <v>18530</v>
      </c>
      <c r="Y6549" t="s">
        <v>90</v>
      </c>
      <c r="AA6549" t="s">
        <v>118</v>
      </c>
      <c r="AB6549" t="s">
        <v>119</v>
      </c>
    </row>
    <row r="6550" ht="15" customHeight="1" spans="1:22" x14ac:dyDescent="0.25">
      <c r="A6550" s="17" t="s">
        <v>18531</v>
      </c>
      <c r="B6550" s="17" t="s">
        <v>70</v>
      </c>
      <c r="C6550" s="17" t="s">
        <v>71</v>
      </c>
      <c r="D6550" t="s">
        <v>5518</v>
      </c>
      <c r="F6550" t="s">
        <v>18532</v>
      </c>
      <c r="K6550" s="18">
        <f>628888702450</f>
        <v>628888702450</v>
      </c>
      <c r="N6550" s="17" t="s">
        <v>77</v>
      </c>
      <c r="V6550" s="18">
        <f>628888702450</f>
        <v>628888702450</v>
      </c>
    </row>
    <row r="6551" ht="15" customHeight="1" spans="1:27" x14ac:dyDescent="0.25">
      <c r="A6551" s="17" t="s">
        <v>18533</v>
      </c>
      <c r="B6551" s="17" t="s">
        <v>70</v>
      </c>
      <c r="C6551" s="17" t="s">
        <v>71</v>
      </c>
      <c r="D6551" t="s">
        <v>5518</v>
      </c>
      <c r="F6551" t="s">
        <v>6450</v>
      </c>
      <c r="K6551" s="18">
        <f>628129911911</f>
        <v>628129911911</v>
      </c>
      <c r="N6551" s="17" t="s">
        <v>77</v>
      </c>
      <c r="U6551" s="17"/>
      <c r="V6551" s="18">
        <f>628129911911</f>
        <v>628129911911</v>
      </c>
      <c r="W6551" t="s">
        <v>18534</v>
      </c>
      <c r="Y6551" s="17" t="s">
        <v>96</v>
      </c>
      <c r="AA6551" s="17" t="s">
        <v>6485</v>
      </c>
    </row>
    <row r="6552" ht="15" customHeight="1" spans="1:28" x14ac:dyDescent="0.25">
      <c r="A6552" s="17" t="s">
        <v>18535</v>
      </c>
      <c r="B6552" s="17" t="s">
        <v>70</v>
      </c>
      <c r="C6552" s="17" t="s">
        <v>71</v>
      </c>
      <c r="D6552" t="s">
        <v>5518</v>
      </c>
      <c r="F6552" t="s">
        <v>10466</v>
      </c>
      <c r="J6552" t="s">
        <v>18536</v>
      </c>
      <c r="K6552" s="18" t="s">
        <v>18537</v>
      </c>
      <c r="N6552" s="17" t="s">
        <v>77</v>
      </c>
      <c r="O6552" t="s">
        <v>145</v>
      </c>
      <c r="V6552" s="18" t="s">
        <v>18537</v>
      </c>
      <c r="Y6552" t="s">
        <v>90</v>
      </c>
      <c r="AA6552" t="s">
        <v>118</v>
      </c>
      <c r="AB6552" t="s">
        <v>119</v>
      </c>
    </row>
    <row r="6553" ht="15" customHeight="1" spans="1:25" x14ac:dyDescent="0.25">
      <c r="A6553" s="17" t="s">
        <v>18538</v>
      </c>
      <c r="B6553" s="17" t="s">
        <v>70</v>
      </c>
      <c r="C6553" s="17" t="s">
        <v>71</v>
      </c>
      <c r="D6553" t="s">
        <v>5518</v>
      </c>
      <c r="F6553" t="s">
        <v>4479</v>
      </c>
      <c r="J6553" s="17" t="s">
        <v>18539</v>
      </c>
      <c r="K6553" s="18">
        <f>6281286792121</f>
        <v>6281286792121</v>
      </c>
      <c r="N6553" s="17" t="s">
        <v>77</v>
      </c>
      <c r="U6553" s="17"/>
      <c r="V6553" s="18">
        <f>6281286792121</f>
        <v>6281286792121</v>
      </c>
      <c r="W6553" t="s">
        <v>18540</v>
      </c>
      <c r="Y6553" s="17" t="s">
        <v>1084</v>
      </c>
    </row>
    <row r="6554" ht="15" customHeight="1" spans="1:22" x14ac:dyDescent="0.25">
      <c r="A6554" s="17" t="s">
        <v>18541</v>
      </c>
      <c r="B6554" s="17" t="s">
        <v>70</v>
      </c>
      <c r="C6554" s="17" t="s">
        <v>71</v>
      </c>
      <c r="D6554" t="s">
        <v>5518</v>
      </c>
      <c r="F6554" t="s">
        <v>18542</v>
      </c>
      <c r="K6554" s="18">
        <f>62811108243</f>
        <v>62811108243</v>
      </c>
      <c r="N6554" s="17" t="s">
        <v>81</v>
      </c>
      <c r="V6554" s="18">
        <f>62811108243</f>
        <v>62811108243</v>
      </c>
    </row>
    <row r="6555" ht="15" customHeight="1" spans="1:27" x14ac:dyDescent="0.25">
      <c r="A6555" s="17" t="s">
        <v>18543</v>
      </c>
      <c r="B6555" s="17" t="s">
        <v>70</v>
      </c>
      <c r="C6555" s="17" t="s">
        <v>71</v>
      </c>
      <c r="D6555" t="s">
        <v>5518</v>
      </c>
      <c r="F6555" t="s">
        <v>2691</v>
      </c>
      <c r="K6555" s="18">
        <f>6281222200096</f>
        <v>6281222200096</v>
      </c>
      <c r="N6555" s="17" t="s">
        <v>81</v>
      </c>
      <c r="U6555" s="17"/>
      <c r="V6555" s="18">
        <f>6281222200096</f>
        <v>6281222200096</v>
      </c>
      <c r="W6555" t="s">
        <v>18544</v>
      </c>
      <c r="AA6555" s="17">
        <v>15325</v>
      </c>
    </row>
    <row r="6556" ht="15" customHeight="1" spans="1:25" x14ac:dyDescent="0.25">
      <c r="A6556" s="17" t="s">
        <v>18545</v>
      </c>
      <c r="B6556" s="17" t="s">
        <v>70</v>
      </c>
      <c r="C6556" s="17" t="s">
        <v>71</v>
      </c>
      <c r="D6556" t="s">
        <v>5518</v>
      </c>
      <c r="F6556" t="s">
        <v>1064</v>
      </c>
      <c r="K6556" s="18">
        <f>628129852613</f>
        <v>628129852613</v>
      </c>
      <c r="N6556" s="17" t="s">
        <v>77</v>
      </c>
      <c r="U6556" s="17"/>
      <c r="V6556" s="18">
        <f>628129852613</f>
        <v>628129852613</v>
      </c>
      <c r="W6556" t="s">
        <v>18546</v>
      </c>
      <c r="Y6556" s="17" t="s">
        <v>3320</v>
      </c>
    </row>
    <row r="6557" ht="15" customHeight="1" spans="1:22" x14ac:dyDescent="0.25">
      <c r="A6557" s="17" t="s">
        <v>18547</v>
      </c>
      <c r="B6557" s="17" t="s">
        <v>70</v>
      </c>
      <c r="C6557" s="17" t="s">
        <v>71</v>
      </c>
      <c r="D6557" t="s">
        <v>5518</v>
      </c>
      <c r="F6557" t="s">
        <v>1589</v>
      </c>
      <c r="K6557" s="18">
        <f>628195638888</f>
        <v>628195638888</v>
      </c>
      <c r="N6557" s="17" t="s">
        <v>77</v>
      </c>
      <c r="V6557" s="18">
        <f>628195638888</f>
        <v>628195638888</v>
      </c>
    </row>
    <row r="6558" ht="15" customHeight="1" spans="1:28" x14ac:dyDescent="0.25">
      <c r="A6558" s="17" t="s">
        <v>18548</v>
      </c>
      <c r="B6558" s="17" t="s">
        <v>70</v>
      </c>
      <c r="C6558" s="17" t="s">
        <v>71</v>
      </c>
      <c r="D6558" t="s">
        <v>5518</v>
      </c>
      <c r="F6558" t="s">
        <v>18549</v>
      </c>
      <c r="J6558" t="s">
        <v>115</v>
      </c>
      <c r="K6558" s="18" t="s">
        <v>18550</v>
      </c>
      <c r="N6558" s="17" t="s">
        <v>77</v>
      </c>
      <c r="O6558" t="s">
        <v>489</v>
      </c>
      <c r="U6558" s="17"/>
      <c r="V6558" s="18" t="s">
        <v>18550</v>
      </c>
      <c r="W6558" t="s">
        <v>18551</v>
      </c>
      <c r="Y6558" t="s">
        <v>96</v>
      </c>
      <c r="AA6558" t="s">
        <v>693</v>
      </c>
      <c r="AB6558" t="s">
        <v>119</v>
      </c>
    </row>
    <row r="6559" ht="15" customHeight="1" spans="1:22" x14ac:dyDescent="0.25">
      <c r="A6559" s="17" t="s">
        <v>18552</v>
      </c>
      <c r="B6559" s="17" t="s">
        <v>70</v>
      </c>
      <c r="C6559" s="17" t="s">
        <v>71</v>
      </c>
      <c r="D6559" t="s">
        <v>5518</v>
      </c>
      <c r="F6559" t="s">
        <v>2517</v>
      </c>
      <c r="K6559" s="18">
        <f>6281380302004</f>
        <v>6281380302004</v>
      </c>
      <c r="N6559" s="17" t="s">
        <v>81</v>
      </c>
      <c r="V6559" s="18">
        <f>6281380302004</f>
        <v>6281380302004</v>
      </c>
    </row>
    <row r="6560" ht="15" customHeight="1" spans="1:22" x14ac:dyDescent="0.25">
      <c r="A6560" s="17" t="s">
        <v>18553</v>
      </c>
      <c r="B6560" s="17" t="s">
        <v>70</v>
      </c>
      <c r="C6560" s="17" t="s">
        <v>71</v>
      </c>
      <c r="D6560" t="s">
        <v>5518</v>
      </c>
      <c r="F6560" t="s">
        <v>18554</v>
      </c>
      <c r="K6560" s="18">
        <f>628112260763</f>
        <v>628112260763</v>
      </c>
      <c r="N6560" s="17" t="s">
        <v>77</v>
      </c>
      <c r="V6560" s="18">
        <f>628112260763</f>
        <v>628112260763</v>
      </c>
    </row>
    <row r="6561" ht="15" customHeight="1" spans="1:22" x14ac:dyDescent="0.25">
      <c r="A6561" s="17" t="s">
        <v>18555</v>
      </c>
      <c r="B6561" s="17" t="s">
        <v>70</v>
      </c>
      <c r="C6561" s="17" t="s">
        <v>71</v>
      </c>
      <c r="D6561" t="s">
        <v>5518</v>
      </c>
      <c r="F6561" t="s">
        <v>18556</v>
      </c>
      <c r="K6561" s="18">
        <f>62811147800</f>
        <v>62811147800</v>
      </c>
      <c r="N6561" s="17" t="s">
        <v>77</v>
      </c>
      <c r="V6561" s="18">
        <f>62811147800</f>
        <v>62811147800</v>
      </c>
    </row>
    <row r="6562" ht="15" customHeight="1" spans="1:28" x14ac:dyDescent="0.25">
      <c r="A6562" s="17" t="s">
        <v>18557</v>
      </c>
      <c r="B6562" s="17" t="s">
        <v>70</v>
      </c>
      <c r="C6562" s="17" t="s">
        <v>71</v>
      </c>
      <c r="D6562" t="s">
        <v>5518</v>
      </c>
      <c r="F6562" t="s">
        <v>282</v>
      </c>
      <c r="J6562" t="s">
        <v>18558</v>
      </c>
      <c r="K6562" s="18" t="s">
        <v>18559</v>
      </c>
      <c r="N6562" s="17" t="s">
        <v>77</v>
      </c>
      <c r="O6562" t="s">
        <v>117</v>
      </c>
      <c r="V6562" s="18" t="s">
        <v>18559</v>
      </c>
      <c r="Y6562" t="s">
        <v>90</v>
      </c>
      <c r="AA6562" t="s">
        <v>118</v>
      </c>
      <c r="AB6562" t="s">
        <v>119</v>
      </c>
    </row>
    <row r="6563" ht="15" customHeight="1" spans="1:22" x14ac:dyDescent="0.25">
      <c r="A6563" s="17" t="s">
        <v>18560</v>
      </c>
      <c r="B6563" s="17" t="s">
        <v>70</v>
      </c>
      <c r="C6563" s="17" t="s">
        <v>71</v>
      </c>
      <c r="D6563" t="s">
        <v>5518</v>
      </c>
      <c r="F6563" t="s">
        <v>18561</v>
      </c>
      <c r="K6563" s="18">
        <f>628128842855</f>
        <v>628128842855</v>
      </c>
      <c r="N6563" s="17" t="s">
        <v>81</v>
      </c>
      <c r="V6563" s="18">
        <f>628128842855</f>
        <v>628128842855</v>
      </c>
    </row>
    <row r="6564" ht="15" customHeight="1" spans="1:23" x14ac:dyDescent="0.25">
      <c r="A6564" s="17" t="s">
        <v>18562</v>
      </c>
      <c r="B6564" s="17" t="s">
        <v>70</v>
      </c>
      <c r="C6564" s="17" t="s">
        <v>71</v>
      </c>
      <c r="D6564" t="s">
        <v>5518</v>
      </c>
      <c r="F6564" t="s">
        <v>18563</v>
      </c>
      <c r="K6564" s="18">
        <f>6281310079999</f>
        <v>6281310079999</v>
      </c>
      <c r="N6564" s="17" t="s">
        <v>77</v>
      </c>
      <c r="U6564" s="17"/>
      <c r="V6564" s="18">
        <f>6281310079999</f>
        <v>6281310079999</v>
      </c>
      <c r="W6564" t="s">
        <v>18564</v>
      </c>
    </row>
    <row r="6565" ht="15" customHeight="1" spans="1:22" x14ac:dyDescent="0.25">
      <c r="A6565" s="17" t="s">
        <v>18565</v>
      </c>
      <c r="B6565" s="17" t="s">
        <v>70</v>
      </c>
      <c r="C6565" s="17" t="s">
        <v>71</v>
      </c>
      <c r="D6565" t="s">
        <v>5518</v>
      </c>
      <c r="F6565" t="s">
        <v>18566</v>
      </c>
      <c r="K6565" s="18">
        <f>628121034467</f>
        <v>628121034467</v>
      </c>
      <c r="N6565" s="17" t="s">
        <v>77</v>
      </c>
      <c r="V6565" s="18">
        <f>628121034467</f>
        <v>628121034467</v>
      </c>
    </row>
    <row r="6566" ht="15" customHeight="1" spans="1:22" x14ac:dyDescent="0.25">
      <c r="A6566" s="17" t="s">
        <v>18567</v>
      </c>
      <c r="B6566" s="17" t="s">
        <v>70</v>
      </c>
      <c r="C6566" s="17" t="s">
        <v>71</v>
      </c>
      <c r="D6566" t="s">
        <v>5518</v>
      </c>
      <c r="F6566" t="s">
        <v>18568</v>
      </c>
      <c r="K6566" s="18">
        <f>62812875753</f>
        <v>62812875753</v>
      </c>
      <c r="N6566" s="17" t="s">
        <v>81</v>
      </c>
      <c r="V6566" s="18">
        <f>62812875753</f>
        <v>62812875753</v>
      </c>
    </row>
    <row r="6567" ht="15" customHeight="1" spans="1:22" x14ac:dyDescent="0.25">
      <c r="A6567" s="17" t="s">
        <v>18569</v>
      </c>
      <c r="B6567" s="17" t="s">
        <v>70</v>
      </c>
      <c r="C6567" s="17" t="s">
        <v>71</v>
      </c>
      <c r="D6567" t="s">
        <v>5518</v>
      </c>
      <c r="F6567" t="s">
        <v>672</v>
      </c>
      <c r="K6567" s="18">
        <f>6281222133168</f>
        <v>6281222133168</v>
      </c>
      <c r="N6567" s="17" t="s">
        <v>81</v>
      </c>
      <c r="V6567" s="18">
        <f>6281222133168</f>
        <v>6281222133168</v>
      </c>
    </row>
    <row r="6568" ht="15" customHeight="1" spans="1:22" x14ac:dyDescent="0.25">
      <c r="A6568" s="17" t="s">
        <v>18570</v>
      </c>
      <c r="B6568" s="17" t="s">
        <v>70</v>
      </c>
      <c r="C6568" s="17" t="s">
        <v>71</v>
      </c>
      <c r="D6568" t="s">
        <v>5518</v>
      </c>
      <c r="F6568" t="s">
        <v>18571</v>
      </c>
      <c r="K6568" s="18">
        <f>6281808711949</f>
        <v>6281808711949</v>
      </c>
      <c r="N6568" s="17" t="s">
        <v>74</v>
      </c>
      <c r="V6568" s="18">
        <f>6281808711949</f>
        <v>6281808711949</v>
      </c>
    </row>
    <row r="6569" ht="15" customHeight="1" spans="1:28" x14ac:dyDescent="0.25">
      <c r="A6569" s="17" t="s">
        <v>18572</v>
      </c>
      <c r="B6569" s="17" t="s">
        <v>70</v>
      </c>
      <c r="C6569" s="17" t="s">
        <v>71</v>
      </c>
      <c r="D6569" t="s">
        <v>18573</v>
      </c>
      <c r="F6569" t="s">
        <v>18574</v>
      </c>
      <c r="J6569" t="s">
        <v>115</v>
      </c>
      <c r="K6569" s="18" t="s">
        <v>18575</v>
      </c>
      <c r="N6569" s="17" t="s">
        <v>77</v>
      </c>
      <c r="O6569" t="s">
        <v>261</v>
      </c>
      <c r="V6569" s="18" t="s">
        <v>18575</v>
      </c>
      <c r="Y6569" t="s">
        <v>90</v>
      </c>
      <c r="AA6569" t="s">
        <v>118</v>
      </c>
      <c r="AB6569" t="s">
        <v>119</v>
      </c>
    </row>
    <row r="6570" ht="15" customHeight="1" spans="1:22" x14ac:dyDescent="0.25">
      <c r="A6570" s="17" t="s">
        <v>18576</v>
      </c>
      <c r="B6570" s="17" t="s">
        <v>70</v>
      </c>
      <c r="C6570" s="17" t="s">
        <v>71</v>
      </c>
      <c r="D6570" t="s">
        <v>18577</v>
      </c>
      <c r="F6570" t="s">
        <v>1564</v>
      </c>
      <c r="K6570" s="18">
        <f>6281212399752</f>
        <v>6281212399752</v>
      </c>
      <c r="N6570" s="17" t="s">
        <v>81</v>
      </c>
      <c r="V6570" s="18">
        <f>6281212399752</f>
        <v>6281212399752</v>
      </c>
    </row>
    <row r="6571" ht="15" customHeight="1" spans="1:22" x14ac:dyDescent="0.25">
      <c r="A6571" s="17" t="s">
        <v>18578</v>
      </c>
      <c r="B6571" s="17" t="s">
        <v>70</v>
      </c>
      <c r="C6571" s="17" t="s">
        <v>71</v>
      </c>
      <c r="D6571" t="s">
        <v>18579</v>
      </c>
      <c r="F6571" t="s">
        <v>18579</v>
      </c>
      <c r="K6571" s="18">
        <f>6281365935675</f>
        <v>6281365935675</v>
      </c>
      <c r="N6571" s="17" t="s">
        <v>77</v>
      </c>
      <c r="V6571" s="18">
        <f>6281365935675</f>
        <v>6281365935675</v>
      </c>
    </row>
    <row r="6572" ht="15" customHeight="1" spans="1:22" x14ac:dyDescent="0.25">
      <c r="A6572" s="17" t="s">
        <v>18580</v>
      </c>
      <c r="B6572" s="17" t="s">
        <v>70</v>
      </c>
      <c r="C6572" s="17" t="s">
        <v>71</v>
      </c>
      <c r="D6572" t="s">
        <v>11126</v>
      </c>
      <c r="F6572" t="s">
        <v>11126</v>
      </c>
      <c r="K6572" s="18">
        <f>62816731819</f>
        <v>62816731819</v>
      </c>
      <c r="N6572" s="17" t="s">
        <v>81</v>
      </c>
      <c r="V6572" s="18">
        <f>62816731819</f>
        <v>62816731819</v>
      </c>
    </row>
    <row r="6573" ht="15" customHeight="1" spans="1:22" x14ac:dyDescent="0.25">
      <c r="A6573" s="17" t="s">
        <v>18581</v>
      </c>
      <c r="B6573" s="17" t="s">
        <v>70</v>
      </c>
      <c r="C6573" s="17" t="s">
        <v>71</v>
      </c>
      <c r="D6573" t="s">
        <v>11126</v>
      </c>
      <c r="F6573" t="s">
        <v>11126</v>
      </c>
      <c r="K6573" s="18">
        <f>628119694882</f>
        <v>628119694882</v>
      </c>
      <c r="N6573" s="17" t="s">
        <v>77</v>
      </c>
      <c r="V6573" s="18">
        <f>628119694882</f>
        <v>628119694882</v>
      </c>
    </row>
    <row r="6574" ht="15" customHeight="1" spans="1:23" x14ac:dyDescent="0.25">
      <c r="A6574" s="17" t="s">
        <v>18582</v>
      </c>
      <c r="B6574" s="17" t="s">
        <v>70</v>
      </c>
      <c r="C6574" s="17" t="s">
        <v>71</v>
      </c>
      <c r="D6574" t="s">
        <v>11126</v>
      </c>
      <c r="F6574" t="s">
        <v>18583</v>
      </c>
      <c r="K6574" s="18">
        <f>62818168058</f>
        <v>62818168058</v>
      </c>
      <c r="N6574" s="17" t="s">
        <v>77</v>
      </c>
      <c r="U6574" s="17"/>
      <c r="V6574" s="18">
        <f>62818168058</f>
        <v>62818168058</v>
      </c>
      <c r="W6574" t="s">
        <v>90</v>
      </c>
    </row>
    <row r="6575" ht="15" customHeight="1" spans="1:22" x14ac:dyDescent="0.25">
      <c r="A6575" s="17" t="s">
        <v>18584</v>
      </c>
      <c r="B6575" s="17" t="s">
        <v>70</v>
      </c>
      <c r="C6575" s="17" t="s">
        <v>71</v>
      </c>
      <c r="D6575" t="s">
        <v>11126</v>
      </c>
      <c r="F6575" t="s">
        <v>18585</v>
      </c>
      <c r="K6575" s="18">
        <f>628123028053</f>
        <v>628123028053</v>
      </c>
      <c r="N6575" s="17" t="s">
        <v>77</v>
      </c>
      <c r="V6575" s="18">
        <f>628123028053</f>
        <v>628123028053</v>
      </c>
    </row>
    <row r="6576" ht="15" customHeight="1" spans="1:28" x14ac:dyDescent="0.25">
      <c r="A6576" s="17" t="s">
        <v>18586</v>
      </c>
      <c r="B6576" s="17" t="s">
        <v>70</v>
      </c>
      <c r="C6576" s="17" t="s">
        <v>71</v>
      </c>
      <c r="D6576" t="s">
        <v>11126</v>
      </c>
      <c r="F6576" t="s">
        <v>18587</v>
      </c>
      <c r="J6576" t="s">
        <v>115</v>
      </c>
      <c r="K6576" s="18" t="s">
        <v>18588</v>
      </c>
      <c r="N6576" s="17" t="s">
        <v>77</v>
      </c>
      <c r="O6576" t="s">
        <v>117</v>
      </c>
      <c r="V6576" s="18" t="s">
        <v>18588</v>
      </c>
      <c r="Y6576" t="s">
        <v>90</v>
      </c>
      <c r="AA6576" t="s">
        <v>118</v>
      </c>
      <c r="AB6576" t="s">
        <v>119</v>
      </c>
    </row>
    <row r="6577" ht="15" customHeight="1" spans="1:28" x14ac:dyDescent="0.25">
      <c r="A6577" s="17" t="s">
        <v>18589</v>
      </c>
      <c r="B6577" s="17" t="s">
        <v>70</v>
      </c>
      <c r="C6577" s="17" t="s">
        <v>71</v>
      </c>
      <c r="D6577" t="s">
        <v>18590</v>
      </c>
      <c r="F6577" t="s">
        <v>18590</v>
      </c>
      <c r="J6577" t="s">
        <v>115</v>
      </c>
      <c r="K6577" s="18" t="s">
        <v>18591</v>
      </c>
      <c r="N6577" s="17" t="s">
        <v>81</v>
      </c>
      <c r="O6577" t="s">
        <v>117</v>
      </c>
      <c r="V6577" s="18" t="s">
        <v>18591</v>
      </c>
      <c r="Y6577" t="s">
        <v>90</v>
      </c>
      <c r="AA6577" t="s">
        <v>118</v>
      </c>
      <c r="AB6577" t="s">
        <v>119</v>
      </c>
    </row>
    <row r="6578" ht="15" customHeight="1" spans="1:22" x14ac:dyDescent="0.25">
      <c r="A6578" s="17" t="s">
        <v>18592</v>
      </c>
      <c r="B6578" s="17" t="s">
        <v>70</v>
      </c>
      <c r="C6578" s="17" t="s">
        <v>71</v>
      </c>
      <c r="D6578" t="s">
        <v>18593</v>
      </c>
      <c r="F6578" t="s">
        <v>18594</v>
      </c>
      <c r="K6578" s="18">
        <f>62811926965</f>
        <v>62811926965</v>
      </c>
      <c r="N6578" s="17" t="s">
        <v>77</v>
      </c>
      <c r="V6578" s="18">
        <f>62811926965</f>
        <v>62811926965</v>
      </c>
    </row>
    <row r="6579" ht="15" customHeight="1" spans="1:28" x14ac:dyDescent="0.25">
      <c r="A6579" s="17" t="s">
        <v>18595</v>
      </c>
      <c r="B6579" s="17" t="s">
        <v>70</v>
      </c>
      <c r="C6579" s="17" t="s">
        <v>71</v>
      </c>
      <c r="D6579" t="s">
        <v>18596</v>
      </c>
      <c r="F6579" t="s">
        <v>150</v>
      </c>
      <c r="J6579" t="s">
        <v>18597</v>
      </c>
      <c r="K6579" s="18" t="s">
        <v>18598</v>
      </c>
      <c r="N6579" s="17" t="s">
        <v>77</v>
      </c>
      <c r="O6579" t="s">
        <v>199</v>
      </c>
      <c r="U6579" s="17"/>
      <c r="V6579" s="18" t="s">
        <v>18598</v>
      </c>
      <c r="W6579" t="s">
        <v>18599</v>
      </c>
      <c r="Y6579" t="s">
        <v>1084</v>
      </c>
      <c r="AA6579" t="s">
        <v>3146</v>
      </c>
      <c r="AB6579" t="s">
        <v>119</v>
      </c>
    </row>
    <row r="6580" ht="15" customHeight="1" spans="1:22" x14ac:dyDescent="0.25">
      <c r="A6580" s="17" t="s">
        <v>18600</v>
      </c>
      <c r="B6580" s="17" t="s">
        <v>70</v>
      </c>
      <c r="C6580" s="17" t="s">
        <v>71</v>
      </c>
      <c r="D6580" t="s">
        <v>18601</v>
      </c>
      <c r="F6580" t="s">
        <v>18601</v>
      </c>
      <c r="K6580" s="18">
        <f>62818777015</f>
        <v>62818777015</v>
      </c>
      <c r="N6580" s="17" t="s">
        <v>81</v>
      </c>
      <c r="V6580" s="18">
        <f>62818777015</f>
        <v>62818777015</v>
      </c>
    </row>
    <row r="6581" ht="15" customHeight="1" spans="1:22" x14ac:dyDescent="0.25">
      <c r="A6581" s="17" t="s">
        <v>18602</v>
      </c>
      <c r="B6581" s="17" t="s">
        <v>70</v>
      </c>
      <c r="C6581" s="17" t="s">
        <v>71</v>
      </c>
      <c r="D6581" t="s">
        <v>18601</v>
      </c>
      <c r="F6581" t="s">
        <v>18601</v>
      </c>
      <c r="K6581" s="18">
        <f>6281311028101</f>
        <v>6281311028101</v>
      </c>
      <c r="N6581" s="17" t="s">
        <v>77</v>
      </c>
      <c r="V6581" s="18">
        <f>6281311028101</f>
        <v>6281311028101</v>
      </c>
    </row>
    <row r="6582" ht="15" customHeight="1" spans="1:28" x14ac:dyDescent="0.25">
      <c r="A6582" s="17" t="s">
        <v>18603</v>
      </c>
      <c r="B6582" s="17" t="s">
        <v>70</v>
      </c>
      <c r="C6582" s="17" t="s">
        <v>71</v>
      </c>
      <c r="D6582" t="s">
        <v>18601</v>
      </c>
      <c r="F6582" t="s">
        <v>18601</v>
      </c>
      <c r="J6582" t="s">
        <v>115</v>
      </c>
      <c r="K6582" s="18" t="s">
        <v>18604</v>
      </c>
      <c r="N6582" s="17" t="s">
        <v>74</v>
      </c>
      <c r="O6582" t="s">
        <v>117</v>
      </c>
      <c r="V6582" s="18" t="s">
        <v>18604</v>
      </c>
      <c r="Y6582" t="s">
        <v>115</v>
      </c>
      <c r="AA6582" t="s">
        <v>115</v>
      </c>
      <c r="AB6582" t="s">
        <v>119</v>
      </c>
    </row>
    <row r="6583" ht="15" customHeight="1" spans="1:22" x14ac:dyDescent="0.25">
      <c r="A6583" s="17" t="s">
        <v>18605</v>
      </c>
      <c r="B6583" s="17" t="s">
        <v>70</v>
      </c>
      <c r="C6583" s="17" t="s">
        <v>71</v>
      </c>
      <c r="D6583" t="s">
        <v>18601</v>
      </c>
      <c r="F6583" t="s">
        <v>18606</v>
      </c>
      <c r="K6583" s="18">
        <v>6281367272582</v>
      </c>
      <c r="N6583" s="17" t="s">
        <v>77</v>
      </c>
      <c r="V6583" s="18">
        <v>6281367272582</v>
      </c>
    </row>
    <row r="6584" ht="15" customHeight="1" spans="1:25" x14ac:dyDescent="0.25">
      <c r="A6584" s="17" t="s">
        <v>18607</v>
      </c>
      <c r="B6584" s="17" t="s">
        <v>70</v>
      </c>
      <c r="C6584" s="17" t="s">
        <v>71</v>
      </c>
      <c r="D6584" t="s">
        <v>18601</v>
      </c>
      <c r="F6584" t="s">
        <v>4701</v>
      </c>
      <c r="K6584" s="18">
        <f>6281218182939</f>
        <v>6281218182939</v>
      </c>
      <c r="N6584" s="17" t="s">
        <v>77</v>
      </c>
      <c r="U6584" s="17"/>
      <c r="V6584" s="18">
        <f>6281218182939</f>
        <v>6281218182939</v>
      </c>
      <c r="W6584" t="s">
        <v>18608</v>
      </c>
      <c r="Y6584" s="17" t="s">
        <v>596</v>
      </c>
    </row>
    <row r="6585" ht="15" customHeight="1" spans="1:25" x14ac:dyDescent="0.25">
      <c r="A6585" s="17" t="s">
        <v>18609</v>
      </c>
      <c r="B6585" s="17" t="s">
        <v>70</v>
      </c>
      <c r="C6585" s="17" t="s">
        <v>71</v>
      </c>
      <c r="D6585" t="s">
        <v>18601</v>
      </c>
      <c r="F6585" t="s">
        <v>18610</v>
      </c>
      <c r="J6585" s="17" t="s">
        <v>18611</v>
      </c>
      <c r="K6585" s="18">
        <f>6281294851752</f>
        <v>6281294851752</v>
      </c>
      <c r="N6585" s="17" t="s">
        <v>77</v>
      </c>
      <c r="U6585" s="17"/>
      <c r="V6585" s="18">
        <f>6281294851752</f>
        <v>6281294851752</v>
      </c>
      <c r="W6585" t="s">
        <v>18612</v>
      </c>
      <c r="Y6585" s="17" t="s">
        <v>5678</v>
      </c>
    </row>
    <row r="6586" ht="15" customHeight="1" spans="1:22" x14ac:dyDescent="0.25">
      <c r="A6586" s="17" t="s">
        <v>18613</v>
      </c>
      <c r="B6586" s="17" t="s">
        <v>70</v>
      </c>
      <c r="C6586" s="17" t="s">
        <v>71</v>
      </c>
      <c r="D6586" t="s">
        <v>18601</v>
      </c>
      <c r="F6586" t="s">
        <v>1066</v>
      </c>
      <c r="K6586" s="18">
        <f>62818888015</f>
        <v>62818888015</v>
      </c>
      <c r="N6586" s="17" t="s">
        <v>77</v>
      </c>
      <c r="V6586" s="18">
        <f>62818888015</f>
        <v>62818888015</v>
      </c>
    </row>
    <row r="6587" ht="15" customHeight="1" spans="1:22" x14ac:dyDescent="0.25">
      <c r="A6587" s="17" t="s">
        <v>18614</v>
      </c>
      <c r="B6587" s="17" t="s">
        <v>70</v>
      </c>
      <c r="C6587" s="17" t="s">
        <v>71</v>
      </c>
      <c r="D6587" t="s">
        <v>18601</v>
      </c>
      <c r="F6587" t="s">
        <v>355</v>
      </c>
      <c r="K6587" s="18">
        <f>6282243399929</f>
        <v>6282243399929</v>
      </c>
      <c r="N6587" s="17" t="s">
        <v>81</v>
      </c>
      <c r="V6587" s="18">
        <f>6282243399929</f>
        <v>6282243399929</v>
      </c>
    </row>
    <row r="6588" ht="15" customHeight="1" spans="1:23" x14ac:dyDescent="0.25">
      <c r="A6588" s="17" t="s">
        <v>18615</v>
      </c>
      <c r="B6588" s="17" t="s">
        <v>70</v>
      </c>
      <c r="C6588" s="17" t="s">
        <v>71</v>
      </c>
      <c r="D6588" t="s">
        <v>18601</v>
      </c>
      <c r="F6588" t="s">
        <v>18199</v>
      </c>
      <c r="K6588" s="18">
        <f>622191747792</f>
        <v>622191747792</v>
      </c>
      <c r="N6588" s="17" t="s">
        <v>77</v>
      </c>
      <c r="U6588" s="17"/>
      <c r="V6588" s="18">
        <f>622191747792</f>
        <v>622191747792</v>
      </c>
      <c r="W6588" t="s">
        <v>18616</v>
      </c>
    </row>
    <row r="6589" ht="15" customHeight="1" spans="1:23" x14ac:dyDescent="0.25">
      <c r="A6589" s="17" t="s">
        <v>18617</v>
      </c>
      <c r="B6589" s="17" t="s">
        <v>70</v>
      </c>
      <c r="C6589" s="17" t="s">
        <v>71</v>
      </c>
      <c r="D6589" t="s">
        <v>18601</v>
      </c>
      <c r="F6589" t="s">
        <v>1070</v>
      </c>
      <c r="K6589" s="18">
        <f>628118770157</f>
        <v>628118770157</v>
      </c>
      <c r="N6589" s="17" t="s">
        <v>81</v>
      </c>
      <c r="U6589" s="17"/>
      <c r="V6589" s="18">
        <f>628118770157</f>
        <v>628118770157</v>
      </c>
      <c r="W6589" t="s">
        <v>18618</v>
      </c>
    </row>
    <row r="6590" ht="15" customHeight="1" spans="1:25" x14ac:dyDescent="0.25">
      <c r="A6590" s="17" t="s">
        <v>18619</v>
      </c>
      <c r="B6590" s="17" t="s">
        <v>70</v>
      </c>
      <c r="C6590" s="17" t="s">
        <v>71</v>
      </c>
      <c r="D6590" t="s">
        <v>18601</v>
      </c>
      <c r="F6590" t="s">
        <v>3181</v>
      </c>
      <c r="K6590" s="18">
        <f>628164885253</f>
        <v>628164885253</v>
      </c>
      <c r="N6590" s="17" t="s">
        <v>77</v>
      </c>
      <c r="U6590" s="17"/>
      <c r="V6590" s="18">
        <f>628164885253</f>
        <v>628164885253</v>
      </c>
      <c r="W6590" t="s">
        <v>18620</v>
      </c>
      <c r="Y6590" s="17" t="s">
        <v>410</v>
      </c>
    </row>
    <row r="6591" ht="15" customHeight="1" spans="1:28" x14ac:dyDescent="0.25">
      <c r="A6591" s="17" t="s">
        <v>18621</v>
      </c>
      <c r="B6591" s="17" t="s">
        <v>70</v>
      </c>
      <c r="C6591" s="17" t="s">
        <v>71</v>
      </c>
      <c r="D6591" t="s">
        <v>9197</v>
      </c>
      <c r="F6591" t="s">
        <v>9197</v>
      </c>
      <c r="J6591" t="s">
        <v>115</v>
      </c>
      <c r="K6591" s="18" t="s">
        <v>18622</v>
      </c>
      <c r="N6591" s="17" t="s">
        <v>81</v>
      </c>
      <c r="O6591" t="s">
        <v>117</v>
      </c>
      <c r="V6591" s="18" t="s">
        <v>18622</v>
      </c>
      <c r="Y6591" t="s">
        <v>190</v>
      </c>
      <c r="AA6591" t="s">
        <v>118</v>
      </c>
      <c r="AB6591" t="s">
        <v>119</v>
      </c>
    </row>
    <row r="6592" ht="15" customHeight="1" spans="1:28" x14ac:dyDescent="0.25">
      <c r="A6592" s="17" t="s">
        <v>18623</v>
      </c>
      <c r="B6592" s="17" t="s">
        <v>70</v>
      </c>
      <c r="C6592" s="17" t="s">
        <v>71</v>
      </c>
      <c r="D6592" t="s">
        <v>9197</v>
      </c>
      <c r="F6592" t="s">
        <v>18624</v>
      </c>
      <c r="J6592" t="s">
        <v>115</v>
      </c>
      <c r="K6592" s="18" t="s">
        <v>18625</v>
      </c>
      <c r="N6592" s="17" t="s">
        <v>77</v>
      </c>
      <c r="O6592" t="s">
        <v>117</v>
      </c>
      <c r="V6592" s="18" t="s">
        <v>18625</v>
      </c>
      <c r="Y6592" t="s">
        <v>115</v>
      </c>
      <c r="AA6592" t="s">
        <v>115</v>
      </c>
      <c r="AB6592" t="s">
        <v>119</v>
      </c>
    </row>
    <row r="6593" ht="15" customHeight="1" spans="1:23" x14ac:dyDescent="0.25">
      <c r="A6593" s="17" t="s">
        <v>18626</v>
      </c>
      <c r="B6593" s="17" t="s">
        <v>70</v>
      </c>
      <c r="C6593" s="17" t="s">
        <v>71</v>
      </c>
      <c r="D6593" t="s">
        <v>9197</v>
      </c>
      <c r="F6593" t="s">
        <v>6843</v>
      </c>
      <c r="K6593" s="18">
        <f>628161860306</f>
        <v>628161860306</v>
      </c>
      <c r="N6593" s="17" t="s">
        <v>81</v>
      </c>
      <c r="U6593" s="17"/>
      <c r="V6593" s="18">
        <f>628161860306</f>
        <v>628161860306</v>
      </c>
      <c r="W6593" t="s">
        <v>18627</v>
      </c>
    </row>
    <row r="6594" ht="15" customHeight="1" spans="1:22" x14ac:dyDescent="0.25">
      <c r="A6594" s="17" t="s">
        <v>18628</v>
      </c>
      <c r="B6594" s="17" t="s">
        <v>70</v>
      </c>
      <c r="C6594" s="17" t="s">
        <v>71</v>
      </c>
      <c r="D6594" t="s">
        <v>18629</v>
      </c>
      <c r="F6594" t="s">
        <v>5802</v>
      </c>
      <c r="K6594" s="18">
        <f>62811937434</f>
        <v>62811937434</v>
      </c>
      <c r="N6594" s="17" t="s">
        <v>81</v>
      </c>
      <c r="V6594" s="18">
        <f>62811937434</f>
        <v>62811937434</v>
      </c>
    </row>
    <row r="6595" ht="15" customHeight="1" spans="1:25" x14ac:dyDescent="0.25">
      <c r="A6595" s="17" t="s">
        <v>18630</v>
      </c>
      <c r="B6595" s="17" t="s">
        <v>70</v>
      </c>
      <c r="C6595" s="17" t="s">
        <v>71</v>
      </c>
      <c r="D6595" t="s">
        <v>9958</v>
      </c>
      <c r="F6595" t="s">
        <v>9958</v>
      </c>
      <c r="K6595" s="18">
        <f>628129973649</f>
        <v>628129973649</v>
      </c>
      <c r="N6595" s="17" t="s">
        <v>77</v>
      </c>
      <c r="U6595" s="17"/>
      <c r="V6595" s="18">
        <f>628129973649</f>
        <v>628129973649</v>
      </c>
      <c r="W6595" t="s">
        <v>18631</v>
      </c>
      <c r="Y6595" s="17" t="s">
        <v>90</v>
      </c>
    </row>
    <row r="6596" ht="15" customHeight="1" spans="1:28" x14ac:dyDescent="0.25">
      <c r="A6596" s="17" t="s">
        <v>18632</v>
      </c>
      <c r="B6596" s="17" t="s">
        <v>70</v>
      </c>
      <c r="C6596" s="17" t="s">
        <v>71</v>
      </c>
      <c r="D6596" t="s">
        <v>9958</v>
      </c>
      <c r="F6596" t="s">
        <v>18633</v>
      </c>
      <c r="J6596" t="s">
        <v>115</v>
      </c>
      <c r="K6596" s="18" t="s">
        <v>18634</v>
      </c>
      <c r="N6596" s="17" t="s">
        <v>74</v>
      </c>
      <c r="O6596" t="s">
        <v>261</v>
      </c>
      <c r="V6596" s="18" t="s">
        <v>18634</v>
      </c>
      <c r="Y6596" t="s">
        <v>90</v>
      </c>
      <c r="AA6596" t="s">
        <v>118</v>
      </c>
      <c r="AB6596" t="s">
        <v>119</v>
      </c>
    </row>
    <row r="6597" ht="15" customHeight="1" spans="1:28" x14ac:dyDescent="0.25">
      <c r="A6597" s="17" t="s">
        <v>18635</v>
      </c>
      <c r="B6597" s="17" t="s">
        <v>70</v>
      </c>
      <c r="C6597" s="17" t="s">
        <v>71</v>
      </c>
      <c r="D6597" t="s">
        <v>9958</v>
      </c>
      <c r="F6597" t="s">
        <v>13011</v>
      </c>
      <c r="J6597" s="17" t="s">
        <v>18636</v>
      </c>
      <c r="K6597" s="18" t="s">
        <v>18637</v>
      </c>
      <c r="N6597" s="17" t="s">
        <v>81</v>
      </c>
      <c r="O6597" t="s">
        <v>145</v>
      </c>
      <c r="U6597" s="17"/>
      <c r="V6597" s="18" t="s">
        <v>18637</v>
      </c>
      <c r="W6597" t="s">
        <v>18638</v>
      </c>
      <c r="Y6597" t="s">
        <v>190</v>
      </c>
      <c r="AA6597" t="s">
        <v>118</v>
      </c>
      <c r="AB6597" t="s">
        <v>119</v>
      </c>
    </row>
    <row r="6598" ht="15" customHeight="1" spans="1:28" x14ac:dyDescent="0.25">
      <c r="A6598" s="17" t="s">
        <v>18639</v>
      </c>
      <c r="B6598" s="17" t="s">
        <v>70</v>
      </c>
      <c r="C6598" s="17" t="s">
        <v>71</v>
      </c>
      <c r="D6598" t="s">
        <v>14638</v>
      </c>
      <c r="F6598" t="s">
        <v>18640</v>
      </c>
      <c r="J6598" t="s">
        <v>115</v>
      </c>
      <c r="K6598" s="18" t="s">
        <v>18641</v>
      </c>
      <c r="N6598" s="17" t="s">
        <v>74</v>
      </c>
      <c r="O6598" t="s">
        <v>117</v>
      </c>
      <c r="U6598" s="17"/>
      <c r="V6598" s="18" t="s">
        <v>18641</v>
      </c>
      <c r="W6598" t="s">
        <v>18642</v>
      </c>
      <c r="Y6598" s="17" t="s">
        <v>96</v>
      </c>
      <c r="AA6598" s="17" t="s">
        <v>693</v>
      </c>
      <c r="AB6598" t="s">
        <v>119</v>
      </c>
    </row>
    <row r="6599" ht="15" customHeight="1" spans="1:25" x14ac:dyDescent="0.25">
      <c r="A6599" s="17" t="s">
        <v>18643</v>
      </c>
      <c r="B6599" s="17" t="s">
        <v>70</v>
      </c>
      <c r="C6599" s="17" t="s">
        <v>71</v>
      </c>
      <c r="D6599" t="s">
        <v>18644</v>
      </c>
      <c r="F6599" t="s">
        <v>2029</v>
      </c>
      <c r="K6599" s="18">
        <f>62811920872</f>
        <v>62811920872</v>
      </c>
      <c r="N6599" s="17" t="s">
        <v>77</v>
      </c>
      <c r="U6599" s="17"/>
      <c r="V6599" s="18">
        <f>62811920872</f>
        <v>62811920872</v>
      </c>
      <c r="W6599" t="s">
        <v>18645</v>
      </c>
      <c r="Y6599" s="17" t="s">
        <v>90</v>
      </c>
    </row>
    <row r="6600" ht="15" customHeight="1" spans="1:22" x14ac:dyDescent="0.25">
      <c r="A6600" s="17" t="s">
        <v>18646</v>
      </c>
      <c r="B6600" s="17" t="s">
        <v>70</v>
      </c>
      <c r="C6600" s="17" t="s">
        <v>71</v>
      </c>
      <c r="D6600" t="s">
        <v>18647</v>
      </c>
      <c r="F6600" t="s">
        <v>2279</v>
      </c>
      <c r="K6600" s="18">
        <f>6285683338332</f>
        <v>6285683338332</v>
      </c>
      <c r="N6600" s="17" t="s">
        <v>81</v>
      </c>
      <c r="V6600" s="18">
        <f>6285683338332</f>
        <v>6285683338332</v>
      </c>
    </row>
    <row r="6601" ht="15" customHeight="1" spans="1:23" x14ac:dyDescent="0.25">
      <c r="A6601" s="17" t="s">
        <v>18648</v>
      </c>
      <c r="B6601" s="17" t="s">
        <v>70</v>
      </c>
      <c r="C6601" s="17" t="s">
        <v>71</v>
      </c>
      <c r="D6601" t="s">
        <v>9274</v>
      </c>
      <c r="F6601" t="s">
        <v>9274</v>
      </c>
      <c r="K6601" s="18">
        <f>628119001991</f>
        <v>628119001991</v>
      </c>
      <c r="N6601" s="17" t="s">
        <v>77</v>
      </c>
      <c r="U6601" s="17"/>
      <c r="V6601" s="18">
        <f>628119001991</f>
        <v>628119001991</v>
      </c>
      <c r="W6601" t="s">
        <v>18649</v>
      </c>
    </row>
    <row r="6602" ht="15" customHeight="1" spans="1:28" x14ac:dyDescent="0.25">
      <c r="A6602" s="17" t="s">
        <v>18650</v>
      </c>
      <c r="B6602" s="17" t="s">
        <v>70</v>
      </c>
      <c r="C6602" s="17" t="s">
        <v>71</v>
      </c>
      <c r="D6602" t="s">
        <v>18601</v>
      </c>
      <c r="F6602" t="s">
        <v>18651</v>
      </c>
      <c r="J6602" s="17" t="s">
        <v>18652</v>
      </c>
      <c r="K6602" s="18" t="s">
        <v>18653</v>
      </c>
      <c r="N6602" s="17" t="s">
        <v>81</v>
      </c>
      <c r="O6602" t="s">
        <v>489</v>
      </c>
      <c r="V6602" s="18" t="s">
        <v>18653</v>
      </c>
      <c r="Y6602" t="s">
        <v>190</v>
      </c>
      <c r="AA6602" t="s">
        <v>118</v>
      </c>
      <c r="AB6602" t="s">
        <v>119</v>
      </c>
    </row>
    <row r="6603" ht="15" customHeight="1" spans="1:22" x14ac:dyDescent="0.25">
      <c r="A6603" s="17" t="s">
        <v>18654</v>
      </c>
      <c r="B6603" s="17" t="s">
        <v>70</v>
      </c>
      <c r="C6603" s="17" t="s">
        <v>71</v>
      </c>
      <c r="D6603" t="s">
        <v>18655</v>
      </c>
      <c r="F6603" t="s">
        <v>18655</v>
      </c>
      <c r="K6603" s="18">
        <f>6281514006761</f>
        <v>6281514006761</v>
      </c>
      <c r="N6603" s="17" t="s">
        <v>77</v>
      </c>
      <c r="V6603" s="18">
        <f>6281514006761</f>
        <v>6281514006761</v>
      </c>
    </row>
    <row r="6604" ht="15" customHeight="1" spans="1:22" x14ac:dyDescent="0.25">
      <c r="A6604" s="17" t="s">
        <v>18656</v>
      </c>
      <c r="B6604" s="17" t="s">
        <v>70</v>
      </c>
      <c r="C6604" s="17" t="s">
        <v>71</v>
      </c>
      <c r="D6604" t="s">
        <v>18657</v>
      </c>
      <c r="F6604" t="s">
        <v>1186</v>
      </c>
      <c r="K6604" s="18">
        <f>628111999445</f>
        <v>628111999445</v>
      </c>
      <c r="N6604" s="17" t="s">
        <v>74</v>
      </c>
      <c r="V6604" s="18">
        <f>628111999445</f>
        <v>628111999445</v>
      </c>
    </row>
    <row r="6605" ht="15" customHeight="1" spans="1:22" x14ac:dyDescent="0.25">
      <c r="A6605" s="17" t="s">
        <v>18658</v>
      </c>
      <c r="B6605" s="17" t="s">
        <v>70</v>
      </c>
      <c r="C6605" s="17" t="s">
        <v>71</v>
      </c>
      <c r="D6605" t="s">
        <v>18657</v>
      </c>
      <c r="F6605" t="s">
        <v>17397</v>
      </c>
      <c r="K6605" s="18">
        <f>628151900455</f>
        <v>628151900455</v>
      </c>
      <c r="N6605" s="17" t="s">
        <v>77</v>
      </c>
      <c r="V6605" s="18">
        <f>628151900455</f>
        <v>628151900455</v>
      </c>
    </row>
    <row r="6606" ht="15" customHeight="1" spans="1:22" x14ac:dyDescent="0.25">
      <c r="A6606" s="17" t="s">
        <v>18659</v>
      </c>
      <c r="B6606" s="17" t="s">
        <v>70</v>
      </c>
      <c r="C6606" s="17" t="s">
        <v>71</v>
      </c>
      <c r="D6606" t="s">
        <v>18660</v>
      </c>
      <c r="F6606" t="s">
        <v>3585</v>
      </c>
      <c r="K6606" s="18">
        <f>62816192021</f>
        <v>62816192021</v>
      </c>
      <c r="N6606" s="17" t="s">
        <v>77</v>
      </c>
      <c r="V6606" s="18">
        <f>62816192021</f>
        <v>62816192021</v>
      </c>
    </row>
    <row r="6607" ht="15" customHeight="1" spans="1:22" x14ac:dyDescent="0.25">
      <c r="A6607" s="17" t="s">
        <v>18661</v>
      </c>
      <c r="B6607" s="17" t="s">
        <v>70</v>
      </c>
      <c r="C6607" s="17" t="s">
        <v>71</v>
      </c>
      <c r="D6607" t="s">
        <v>18662</v>
      </c>
      <c r="F6607" t="s">
        <v>18663</v>
      </c>
      <c r="J6607" s="17" t="s">
        <v>18664</v>
      </c>
      <c r="K6607" s="18">
        <f>628138260042</f>
        <v>628138260042</v>
      </c>
      <c r="N6607" s="17" t="s">
        <v>81</v>
      </c>
      <c r="V6607" s="18">
        <f>628138260042</f>
        <v>628138260042</v>
      </c>
    </row>
    <row r="6608" ht="15" customHeight="1" spans="1:28" x14ac:dyDescent="0.25">
      <c r="A6608" s="17" t="s">
        <v>18665</v>
      </c>
      <c r="B6608" s="17" t="s">
        <v>70</v>
      </c>
      <c r="C6608" s="17" t="s">
        <v>71</v>
      </c>
      <c r="D6608" t="s">
        <v>18662</v>
      </c>
      <c r="F6608" t="s">
        <v>18663</v>
      </c>
      <c r="J6608" t="s">
        <v>18666</v>
      </c>
      <c r="K6608" s="18" t="s">
        <v>18667</v>
      </c>
      <c r="N6608" s="17" t="s">
        <v>77</v>
      </c>
      <c r="O6608" t="s">
        <v>489</v>
      </c>
      <c r="U6608" s="17"/>
      <c r="V6608" s="18" t="s">
        <v>18667</v>
      </c>
      <c r="W6608" t="s">
        <v>18668</v>
      </c>
      <c r="Y6608" t="s">
        <v>96</v>
      </c>
      <c r="AA6608" t="s">
        <v>693</v>
      </c>
      <c r="AB6608" t="s">
        <v>119</v>
      </c>
    </row>
    <row r="6609" ht="15" customHeight="1" spans="1:28" x14ac:dyDescent="0.25">
      <c r="A6609" s="17" t="s">
        <v>18669</v>
      </c>
      <c r="B6609" s="17" t="s">
        <v>70</v>
      </c>
      <c r="C6609" s="17" t="s">
        <v>71</v>
      </c>
      <c r="D6609" t="s">
        <v>18670</v>
      </c>
      <c r="F6609" t="s">
        <v>18671</v>
      </c>
      <c r="J6609" s="17" t="s">
        <v>18672</v>
      </c>
      <c r="K6609" s="18" t="s">
        <v>18673</v>
      </c>
      <c r="N6609" s="17" t="s">
        <v>77</v>
      </c>
      <c r="O6609" t="s">
        <v>145</v>
      </c>
      <c r="U6609" s="17"/>
      <c r="V6609" s="18" t="s">
        <v>18673</v>
      </c>
      <c r="W6609" t="s">
        <v>18674</v>
      </c>
      <c r="Y6609" s="17" t="s">
        <v>90</v>
      </c>
      <c r="AA6609" t="s">
        <v>118</v>
      </c>
      <c r="AB6609" t="s">
        <v>119</v>
      </c>
    </row>
    <row r="6610" ht="15" customHeight="1" spans="1:28" x14ac:dyDescent="0.25">
      <c r="A6610" s="17" t="s">
        <v>18675</v>
      </c>
      <c r="B6610" s="17" t="s">
        <v>70</v>
      </c>
      <c r="C6610" s="17" t="s">
        <v>71</v>
      </c>
      <c r="D6610" t="s">
        <v>18676</v>
      </c>
      <c r="F6610" t="s">
        <v>13869</v>
      </c>
      <c r="J6610" t="s">
        <v>115</v>
      </c>
      <c r="K6610" s="18" t="s">
        <v>18677</v>
      </c>
      <c r="N6610" s="17" t="s">
        <v>77</v>
      </c>
      <c r="O6610" t="s">
        <v>117</v>
      </c>
      <c r="V6610" s="18" t="s">
        <v>18677</v>
      </c>
      <c r="Y6610" t="s">
        <v>96</v>
      </c>
      <c r="AA6610" t="s">
        <v>693</v>
      </c>
      <c r="AB6610" t="s">
        <v>119</v>
      </c>
    </row>
    <row r="6611" ht="15" customHeight="1" spans="1:22" x14ac:dyDescent="0.25">
      <c r="A6611" s="17" t="s">
        <v>18678</v>
      </c>
      <c r="B6611" s="17" t="s">
        <v>70</v>
      </c>
      <c r="C6611" s="17" t="s">
        <v>71</v>
      </c>
      <c r="D6611" t="s">
        <v>18679</v>
      </c>
      <c r="F6611" t="s">
        <v>18679</v>
      </c>
      <c r="K6611" s="18">
        <f>6281517012737</f>
        <v>6281517012737</v>
      </c>
      <c r="N6611" s="17" t="s">
        <v>77</v>
      </c>
      <c r="V6611" s="18">
        <f>6281517012737</f>
        <v>6281517012737</v>
      </c>
    </row>
    <row r="6612" ht="15" customHeight="1" spans="1:22" x14ac:dyDescent="0.25">
      <c r="A6612" s="17" t="s">
        <v>18680</v>
      </c>
      <c r="B6612" s="17" t="s">
        <v>70</v>
      </c>
      <c r="C6612" s="17" t="s">
        <v>71</v>
      </c>
      <c r="D6612" t="s">
        <v>18679</v>
      </c>
      <c r="F6612" t="s">
        <v>18679</v>
      </c>
      <c r="K6612" s="18">
        <f>628164573330</f>
        <v>628164573330</v>
      </c>
      <c r="N6612" s="17" t="s">
        <v>77</v>
      </c>
      <c r="V6612" s="18">
        <f>628164573330</f>
        <v>628164573330</v>
      </c>
    </row>
    <row r="6613" ht="15" customHeight="1" spans="1:22" x14ac:dyDescent="0.25">
      <c r="A6613" s="17" t="s">
        <v>18681</v>
      </c>
      <c r="B6613" s="17" t="s">
        <v>70</v>
      </c>
      <c r="C6613" s="17" t="s">
        <v>71</v>
      </c>
      <c r="D6613" t="s">
        <v>18679</v>
      </c>
      <c r="F6613" t="s">
        <v>3991</v>
      </c>
      <c r="K6613" s="18">
        <f>62818187690</f>
        <v>62818187690</v>
      </c>
      <c r="N6613" s="17" t="s">
        <v>77</v>
      </c>
      <c r="V6613" s="18">
        <f>62818187690</f>
        <v>62818187690</v>
      </c>
    </row>
    <row r="6614" ht="15" customHeight="1" spans="1:22" x14ac:dyDescent="0.25">
      <c r="A6614" s="17" t="s">
        <v>18682</v>
      </c>
      <c r="B6614" s="17" t="s">
        <v>70</v>
      </c>
      <c r="C6614" s="17" t="s">
        <v>71</v>
      </c>
      <c r="D6614" t="s">
        <v>18679</v>
      </c>
      <c r="F6614" t="s">
        <v>18683</v>
      </c>
      <c r="K6614" s="18">
        <f>628119982222</f>
        <v>628119982222</v>
      </c>
      <c r="N6614" s="17" t="s">
        <v>81</v>
      </c>
      <c r="V6614" s="18">
        <f>628119982222</f>
        <v>628119982222</v>
      </c>
    </row>
    <row r="6615" ht="15" customHeight="1" spans="1:22" x14ac:dyDescent="0.25">
      <c r="A6615" s="17" t="s">
        <v>18684</v>
      </c>
      <c r="B6615" s="17" t="s">
        <v>70</v>
      </c>
      <c r="C6615" s="17" t="s">
        <v>71</v>
      </c>
      <c r="D6615" t="s">
        <v>18679</v>
      </c>
      <c r="F6615" t="s">
        <v>18685</v>
      </c>
      <c r="K6615" s="18">
        <f>62811988610</f>
        <v>62811988610</v>
      </c>
      <c r="N6615" s="17" t="s">
        <v>74</v>
      </c>
      <c r="V6615" s="18">
        <f>62811988610</f>
        <v>62811988610</v>
      </c>
    </row>
    <row r="6616" ht="15" customHeight="1" spans="1:22" x14ac:dyDescent="0.25">
      <c r="A6616" s="17" t="s">
        <v>18686</v>
      </c>
      <c r="B6616" s="17" t="s">
        <v>70</v>
      </c>
      <c r="C6616" s="17" t="s">
        <v>71</v>
      </c>
      <c r="D6616" t="s">
        <v>18679</v>
      </c>
      <c r="F6616" t="s">
        <v>18687</v>
      </c>
      <c r="K6616" s="18">
        <f>6281212570067</f>
        <v>6281212570067</v>
      </c>
      <c r="N6616" s="17" t="s">
        <v>77</v>
      </c>
      <c r="V6616" s="18">
        <f>6281212570067</f>
        <v>6281212570067</v>
      </c>
    </row>
    <row r="6617" ht="15" customHeight="1" spans="1:22" x14ac:dyDescent="0.25">
      <c r="A6617" s="17" t="s">
        <v>18688</v>
      </c>
      <c r="B6617" s="17" t="s">
        <v>70</v>
      </c>
      <c r="C6617" s="17" t="s">
        <v>71</v>
      </c>
      <c r="D6617" t="s">
        <v>18679</v>
      </c>
      <c r="F6617" t="s">
        <v>18679</v>
      </c>
      <c r="K6617" s="18">
        <f>62816728052</f>
        <v>62816728052</v>
      </c>
      <c r="N6617" s="17" t="s">
        <v>77</v>
      </c>
      <c r="V6617" s="18">
        <f>62816728052</f>
        <v>62816728052</v>
      </c>
    </row>
    <row r="6618" ht="15" customHeight="1" spans="1:22" x14ac:dyDescent="0.25">
      <c r="A6618" s="17" t="s">
        <v>18689</v>
      </c>
      <c r="B6618" s="17" t="s">
        <v>70</v>
      </c>
      <c r="C6618" s="17" t="s">
        <v>71</v>
      </c>
      <c r="D6618" t="s">
        <v>18690</v>
      </c>
      <c r="F6618" t="s">
        <v>18691</v>
      </c>
      <c r="J6618" s="17" t="s">
        <v>18692</v>
      </c>
      <c r="K6618" s="18">
        <f>62818933920</f>
        <v>62818933920</v>
      </c>
      <c r="N6618" s="17" t="s">
        <v>77</v>
      </c>
      <c r="V6618" s="18">
        <f>62818933920</f>
        <v>62818933920</v>
      </c>
    </row>
    <row r="6619" ht="15" customHeight="1" spans="1:22" x14ac:dyDescent="0.25">
      <c r="A6619" s="17" t="s">
        <v>18693</v>
      </c>
      <c r="B6619" s="17" t="s">
        <v>70</v>
      </c>
      <c r="C6619" s="17" t="s">
        <v>71</v>
      </c>
      <c r="D6619" t="s">
        <v>18694</v>
      </c>
      <c r="F6619" t="s">
        <v>3746</v>
      </c>
      <c r="K6619" s="18">
        <f>6287771756785</f>
        <v>6287771756785</v>
      </c>
      <c r="N6619" s="17" t="s">
        <v>77</v>
      </c>
      <c r="V6619" s="18">
        <f>6287771756785</f>
        <v>6287771756785</v>
      </c>
    </row>
    <row r="6620" ht="15" customHeight="1" spans="1:23" x14ac:dyDescent="0.25">
      <c r="A6620" s="17" t="s">
        <v>18695</v>
      </c>
      <c r="B6620" s="17" t="s">
        <v>70</v>
      </c>
      <c r="C6620" s="17" t="s">
        <v>71</v>
      </c>
      <c r="D6620" t="s">
        <v>18696</v>
      </c>
      <c r="F6620" t="s">
        <v>8683</v>
      </c>
      <c r="K6620" s="18">
        <f>628121188893</f>
        <v>628121188893</v>
      </c>
      <c r="N6620" s="17" t="s">
        <v>81</v>
      </c>
      <c r="U6620" s="17"/>
      <c r="V6620" s="18">
        <f>628121188893</f>
        <v>628121188893</v>
      </c>
      <c r="W6620" t="s">
        <v>18697</v>
      </c>
    </row>
    <row r="6621" ht="15" customHeight="1" spans="1:28" x14ac:dyDescent="0.25">
      <c r="A6621" s="17" t="s">
        <v>18698</v>
      </c>
      <c r="B6621" s="17" t="s">
        <v>70</v>
      </c>
      <c r="C6621" s="17" t="s">
        <v>71</v>
      </c>
      <c r="D6621" t="s">
        <v>18699</v>
      </c>
      <c r="F6621" t="s">
        <v>18700</v>
      </c>
      <c r="J6621" t="s">
        <v>115</v>
      </c>
      <c r="K6621" s="18" t="s">
        <v>18701</v>
      </c>
      <c r="N6621" s="17" t="s">
        <v>81</v>
      </c>
      <c r="O6621" t="s">
        <v>117</v>
      </c>
      <c r="V6621" s="18" t="s">
        <v>18701</v>
      </c>
      <c r="Y6621" t="s">
        <v>90</v>
      </c>
      <c r="AA6621" t="s">
        <v>118</v>
      </c>
      <c r="AB6621" t="s">
        <v>119</v>
      </c>
    </row>
    <row r="6622" ht="15" customHeight="1" spans="1:22" x14ac:dyDescent="0.25">
      <c r="A6622" s="17" t="s">
        <v>18702</v>
      </c>
      <c r="B6622" s="17" t="s">
        <v>70</v>
      </c>
      <c r="C6622" s="17" t="s">
        <v>71</v>
      </c>
      <c r="D6622" t="s">
        <v>18703</v>
      </c>
      <c r="F6622" t="s">
        <v>18704</v>
      </c>
      <c r="K6622" s="18">
        <f>62818816816</f>
        <v>62818816816</v>
      </c>
      <c r="N6622" s="17" t="s">
        <v>81</v>
      </c>
      <c r="V6622" s="18">
        <f>62818816816</f>
        <v>62818816816</v>
      </c>
    </row>
    <row r="6623" ht="15" customHeight="1" spans="1:28" x14ac:dyDescent="0.25">
      <c r="A6623" s="17" t="s">
        <v>18705</v>
      </c>
      <c r="B6623" s="17" t="s">
        <v>70</v>
      </c>
      <c r="C6623" s="17" t="s">
        <v>71</v>
      </c>
      <c r="D6623" t="s">
        <v>18706</v>
      </c>
      <c r="F6623" t="s">
        <v>18707</v>
      </c>
      <c r="J6623" t="s">
        <v>115</v>
      </c>
      <c r="K6623" s="18" t="s">
        <v>18708</v>
      </c>
      <c r="N6623" s="17" t="s">
        <v>77</v>
      </c>
      <c r="O6623" t="s">
        <v>145</v>
      </c>
      <c r="V6623" s="18" t="s">
        <v>18708</v>
      </c>
      <c r="Y6623" t="s">
        <v>190</v>
      </c>
      <c r="AA6623" t="s">
        <v>118</v>
      </c>
      <c r="AB6623" t="s">
        <v>119</v>
      </c>
    </row>
    <row r="6624" ht="15" customHeight="1" spans="1:22" x14ac:dyDescent="0.25">
      <c r="A6624" s="17" t="s">
        <v>18709</v>
      </c>
      <c r="B6624" s="17" t="s">
        <v>70</v>
      </c>
      <c r="C6624" s="17" t="s">
        <v>71</v>
      </c>
      <c r="D6624" t="s">
        <v>18710</v>
      </c>
      <c r="F6624" t="s">
        <v>18710</v>
      </c>
      <c r="K6624" s="18">
        <f>6281118808787</f>
        <v>6281118808787</v>
      </c>
      <c r="N6624" s="17" t="s">
        <v>77</v>
      </c>
      <c r="V6624" s="18">
        <f>6281118808787</f>
        <v>6281118808787</v>
      </c>
    </row>
    <row r="6625" ht="15" customHeight="1" spans="1:23" x14ac:dyDescent="0.25">
      <c r="A6625" s="17" t="s">
        <v>18711</v>
      </c>
      <c r="B6625" s="17" t="s">
        <v>70</v>
      </c>
      <c r="C6625" s="17" t="s">
        <v>71</v>
      </c>
      <c r="D6625" t="s">
        <v>18710</v>
      </c>
      <c r="F6625" t="s">
        <v>18710</v>
      </c>
      <c r="K6625" s="18">
        <f>628176303757</f>
        <v>628176303757</v>
      </c>
      <c r="N6625" s="17" t="s">
        <v>77</v>
      </c>
      <c r="U6625" s="17"/>
      <c r="V6625" s="18">
        <f>628176303757</f>
        <v>628176303757</v>
      </c>
      <c r="W6625" t="s">
        <v>18712</v>
      </c>
    </row>
    <row r="6626" ht="15" customHeight="1" spans="1:27" x14ac:dyDescent="0.25">
      <c r="A6626" s="17" t="s">
        <v>18713</v>
      </c>
      <c r="B6626" s="17" t="s">
        <v>70</v>
      </c>
      <c r="C6626" s="17" t="s">
        <v>71</v>
      </c>
      <c r="D6626" t="s">
        <v>18710</v>
      </c>
      <c r="F6626" t="s">
        <v>18710</v>
      </c>
      <c r="J6626" s="17" t="s">
        <v>18714</v>
      </c>
      <c r="K6626" s="18">
        <f>6281806971138</f>
        <v>6281806971138</v>
      </c>
      <c r="N6626" s="17" t="s">
        <v>81</v>
      </c>
      <c r="U6626" s="17"/>
      <c r="V6626" s="18">
        <f>6281806971138</f>
        <v>6281806971138</v>
      </c>
      <c r="W6626" t="s">
        <v>18715</v>
      </c>
      <c r="Y6626" s="17" t="s">
        <v>378</v>
      </c>
      <c r="AA6626" s="17">
        <v>10220</v>
      </c>
    </row>
    <row r="6627" ht="15" customHeight="1" spans="1:28" x14ac:dyDescent="0.25">
      <c r="A6627" s="17" t="s">
        <v>18716</v>
      </c>
      <c r="B6627" s="17" t="s">
        <v>70</v>
      </c>
      <c r="C6627" s="17" t="s">
        <v>71</v>
      </c>
      <c r="D6627" t="s">
        <v>18710</v>
      </c>
      <c r="F6627" t="s">
        <v>18717</v>
      </c>
      <c r="J6627" t="s">
        <v>115</v>
      </c>
      <c r="K6627" s="18" t="s">
        <v>18718</v>
      </c>
      <c r="N6627" s="17" t="s">
        <v>74</v>
      </c>
      <c r="O6627" t="s">
        <v>117</v>
      </c>
      <c r="U6627" s="17"/>
      <c r="V6627" s="18" t="s">
        <v>18718</v>
      </c>
      <c r="W6627" t="s">
        <v>18719</v>
      </c>
      <c r="Y6627" t="s">
        <v>96</v>
      </c>
      <c r="AA6627" t="s">
        <v>693</v>
      </c>
      <c r="AB6627" t="s">
        <v>119</v>
      </c>
    </row>
    <row r="6628" ht="15" customHeight="1" spans="1:23" x14ac:dyDescent="0.25">
      <c r="A6628" s="17" t="s">
        <v>18720</v>
      </c>
      <c r="B6628" s="17" t="s">
        <v>70</v>
      </c>
      <c r="C6628" s="17" t="s">
        <v>71</v>
      </c>
      <c r="D6628" t="s">
        <v>18710</v>
      </c>
      <c r="F6628" t="s">
        <v>18721</v>
      </c>
      <c r="J6628" s="17" t="s">
        <v>18722</v>
      </c>
      <c r="K6628" s="18">
        <f>6281288808189</f>
        <v>6281288808189</v>
      </c>
      <c r="N6628" s="17" t="s">
        <v>77</v>
      </c>
      <c r="U6628" s="17"/>
      <c r="V6628" s="18">
        <f>6281288808189</f>
        <v>6281288808189</v>
      </c>
      <c r="W6628" t="s">
        <v>18723</v>
      </c>
    </row>
    <row r="6629" ht="15" customHeight="1" spans="1:25" x14ac:dyDescent="0.25">
      <c r="A6629" s="17" t="s">
        <v>18724</v>
      </c>
      <c r="B6629" s="17" t="s">
        <v>70</v>
      </c>
      <c r="C6629" s="17" t="s">
        <v>71</v>
      </c>
      <c r="D6629" t="s">
        <v>18710</v>
      </c>
      <c r="F6629" t="s">
        <v>18725</v>
      </c>
      <c r="J6629" s="17" t="s">
        <v>18726</v>
      </c>
      <c r="K6629" s="18">
        <f>6282228288289</f>
        <v>6282228288289</v>
      </c>
      <c r="N6629" s="17" t="s">
        <v>77</v>
      </c>
      <c r="U6629" s="17"/>
      <c r="V6629" s="18">
        <f>6282228288289</f>
        <v>6282228288289</v>
      </c>
      <c r="W6629" t="s">
        <v>18727</v>
      </c>
      <c r="Y6629" s="17" t="s">
        <v>704</v>
      </c>
    </row>
    <row r="6630" ht="15" customHeight="1" spans="1:25" x14ac:dyDescent="0.25">
      <c r="A6630" s="17" t="s">
        <v>18728</v>
      </c>
      <c r="B6630" s="17" t="s">
        <v>70</v>
      </c>
      <c r="C6630" s="17" t="s">
        <v>71</v>
      </c>
      <c r="D6630" t="s">
        <v>18729</v>
      </c>
      <c r="F6630" t="s">
        <v>18729</v>
      </c>
      <c r="K6630" s="18">
        <f>62816650563</f>
        <v>62816650563</v>
      </c>
      <c r="N6630" s="17" t="s">
        <v>77</v>
      </c>
      <c r="U6630" s="17"/>
      <c r="V6630" s="18">
        <f>62816650563</f>
        <v>62816650563</v>
      </c>
      <c r="W6630" t="s">
        <v>18730</v>
      </c>
      <c r="Y6630" s="17" t="s">
        <v>410</v>
      </c>
    </row>
    <row r="6631" ht="15" customHeight="1" spans="1:22" x14ac:dyDescent="0.25">
      <c r="A6631" s="17" t="s">
        <v>18731</v>
      </c>
      <c r="B6631" s="17" t="s">
        <v>70</v>
      </c>
      <c r="C6631" s="17" t="s">
        <v>71</v>
      </c>
      <c r="D6631" t="s">
        <v>18729</v>
      </c>
      <c r="F6631" t="s">
        <v>18732</v>
      </c>
      <c r="J6631" s="17" t="s">
        <v>18733</v>
      </c>
      <c r="K6631" s="18">
        <f>6282125189879</f>
        <v>6282125189879</v>
      </c>
      <c r="N6631" s="17" t="s">
        <v>81</v>
      </c>
      <c r="V6631" s="18">
        <f>6282125189879</f>
        <v>6282125189879</v>
      </c>
    </row>
    <row r="6632" ht="15" customHeight="1" spans="1:23" x14ac:dyDescent="0.25">
      <c r="A6632" s="17" t="s">
        <v>18734</v>
      </c>
      <c r="B6632" s="17" t="s">
        <v>70</v>
      </c>
      <c r="C6632" s="17" t="s">
        <v>71</v>
      </c>
      <c r="D6632" t="s">
        <v>18735</v>
      </c>
      <c r="F6632" t="s">
        <v>18736</v>
      </c>
      <c r="J6632" s="17" t="s">
        <v>18737</v>
      </c>
      <c r="K6632" s="18">
        <f>62811153998</f>
        <v>62811153998</v>
      </c>
      <c r="N6632" s="17" t="s">
        <v>77</v>
      </c>
      <c r="U6632" s="17"/>
      <c r="V6632" s="18">
        <f>62811153998</f>
        <v>62811153998</v>
      </c>
      <c r="W6632" t="s">
        <v>18738</v>
      </c>
    </row>
    <row r="6633" ht="15" customHeight="1" spans="1:28" x14ac:dyDescent="0.25">
      <c r="A6633" s="17" t="s">
        <v>18739</v>
      </c>
      <c r="B6633" s="17" t="s">
        <v>70</v>
      </c>
      <c r="C6633" s="17" t="s">
        <v>71</v>
      </c>
      <c r="D6633" t="s">
        <v>18740</v>
      </c>
      <c r="F6633" t="s">
        <v>18741</v>
      </c>
      <c r="J6633" t="s">
        <v>18742</v>
      </c>
      <c r="K6633" s="18" t="s">
        <v>18743</v>
      </c>
      <c r="N6633" s="17" t="s">
        <v>77</v>
      </c>
      <c r="O6633" t="s">
        <v>145</v>
      </c>
      <c r="U6633" s="17"/>
      <c r="V6633" s="18" t="s">
        <v>18743</v>
      </c>
      <c r="W6633" t="s">
        <v>18744</v>
      </c>
      <c r="Y6633" s="17" t="s">
        <v>1084</v>
      </c>
      <c r="AA6633" t="s">
        <v>115</v>
      </c>
      <c r="AB6633" t="s">
        <v>119</v>
      </c>
    </row>
    <row r="6634" ht="15" customHeight="1" spans="1:22" x14ac:dyDescent="0.25">
      <c r="A6634" s="17" t="s">
        <v>18745</v>
      </c>
      <c r="B6634" s="17" t="s">
        <v>70</v>
      </c>
      <c r="C6634" s="17" t="s">
        <v>71</v>
      </c>
      <c r="D6634" t="s">
        <v>18746</v>
      </c>
      <c r="F6634" t="s">
        <v>18746</v>
      </c>
      <c r="K6634" s="18">
        <f>62216909665</f>
        <v>62216909665</v>
      </c>
      <c r="N6634" s="17" t="s">
        <v>74</v>
      </c>
      <c r="V6634" s="18">
        <f>62216909665</f>
        <v>62216909665</v>
      </c>
    </row>
    <row r="6635" ht="15" customHeight="1" spans="1:22" x14ac:dyDescent="0.25">
      <c r="A6635" s="17" t="s">
        <v>18747</v>
      </c>
      <c r="B6635" s="17" t="s">
        <v>70</v>
      </c>
      <c r="C6635" s="17" t="s">
        <v>71</v>
      </c>
      <c r="D6635" t="s">
        <v>18746</v>
      </c>
      <c r="F6635" t="s">
        <v>18746</v>
      </c>
      <c r="K6635" s="18">
        <f>62818210368</f>
        <v>62818210368</v>
      </c>
      <c r="N6635" s="17" t="s">
        <v>81</v>
      </c>
      <c r="V6635" s="18">
        <f>62818210368</f>
        <v>62818210368</v>
      </c>
    </row>
    <row r="6636" ht="15" customHeight="1" spans="1:22" x14ac:dyDescent="0.25">
      <c r="A6636" s="17" t="s">
        <v>18748</v>
      </c>
      <c r="B6636" s="17" t="s">
        <v>70</v>
      </c>
      <c r="C6636" s="17" t="s">
        <v>71</v>
      </c>
      <c r="D6636" t="s">
        <v>18746</v>
      </c>
      <c r="F6636" t="s">
        <v>18746</v>
      </c>
      <c r="K6636" s="18">
        <f>62816962396</f>
        <v>62816962396</v>
      </c>
      <c r="N6636" s="17" t="s">
        <v>81</v>
      </c>
      <c r="V6636" s="18">
        <f>62816962396</f>
        <v>62816962396</v>
      </c>
    </row>
    <row r="6637" ht="15" customHeight="1" spans="1:25" x14ac:dyDescent="0.25">
      <c r="A6637" s="17" t="s">
        <v>18749</v>
      </c>
      <c r="B6637" s="17" t="s">
        <v>70</v>
      </c>
      <c r="C6637" s="17" t="s">
        <v>71</v>
      </c>
      <c r="D6637" t="s">
        <v>18746</v>
      </c>
      <c r="F6637" t="s">
        <v>15311</v>
      </c>
      <c r="K6637" s="18">
        <v>47882296</v>
      </c>
      <c r="N6637" s="17" t="s">
        <v>77</v>
      </c>
      <c r="U6637" s="17"/>
      <c r="V6637" s="18">
        <v>47882296</v>
      </c>
      <c r="W6637" t="s">
        <v>18750</v>
      </c>
      <c r="Y6637" s="17" t="s">
        <v>622</v>
      </c>
    </row>
    <row r="6638" ht="15" customHeight="1" spans="1:22" x14ac:dyDescent="0.25">
      <c r="A6638" s="17" t="s">
        <v>18751</v>
      </c>
      <c r="B6638" s="17" t="s">
        <v>70</v>
      </c>
      <c r="C6638" s="17" t="s">
        <v>71</v>
      </c>
      <c r="D6638" t="s">
        <v>18746</v>
      </c>
      <c r="F6638" t="s">
        <v>3675</v>
      </c>
      <c r="K6638" s="18">
        <f>62811929998</f>
        <v>62811929998</v>
      </c>
      <c r="N6638" s="17" t="s">
        <v>74</v>
      </c>
      <c r="V6638" s="18">
        <f>62811929998</f>
        <v>62811929998</v>
      </c>
    </row>
    <row r="6639" ht="15" customHeight="1" spans="1:23" x14ac:dyDescent="0.25">
      <c r="A6639" s="17" t="s">
        <v>18752</v>
      </c>
      <c r="B6639" s="17" t="s">
        <v>70</v>
      </c>
      <c r="C6639" s="17" t="s">
        <v>71</v>
      </c>
      <c r="D6639" t="s">
        <v>18746</v>
      </c>
      <c r="F6639" t="s">
        <v>18753</v>
      </c>
      <c r="J6639" s="17" t="s">
        <v>18754</v>
      </c>
      <c r="K6639" s="18">
        <f>62816743708</f>
        <v>62816743708</v>
      </c>
      <c r="N6639" s="17" t="s">
        <v>77</v>
      </c>
      <c r="U6639" s="17"/>
      <c r="V6639" s="18">
        <f>62816743708</f>
        <v>62816743708</v>
      </c>
      <c r="W6639" t="s">
        <v>18755</v>
      </c>
    </row>
    <row r="6640" ht="15" customHeight="1" spans="1:22" x14ac:dyDescent="0.25">
      <c r="A6640" s="17" t="s">
        <v>18756</v>
      </c>
      <c r="B6640" s="17" t="s">
        <v>70</v>
      </c>
      <c r="C6640" s="17" t="s">
        <v>71</v>
      </c>
      <c r="D6640" t="s">
        <v>18746</v>
      </c>
      <c r="F6640" t="s">
        <v>10181</v>
      </c>
      <c r="K6640" s="18">
        <f>628176382733</f>
        <v>628176382733</v>
      </c>
      <c r="N6640" s="17" t="s">
        <v>77</v>
      </c>
      <c r="V6640" s="18">
        <f>628176382733</f>
        <v>628176382733</v>
      </c>
    </row>
    <row r="6641" ht="15" customHeight="1" spans="1:28" x14ac:dyDescent="0.25">
      <c r="A6641" s="17" t="s">
        <v>18757</v>
      </c>
      <c r="B6641" s="17" t="s">
        <v>70</v>
      </c>
      <c r="C6641" s="17" t="s">
        <v>71</v>
      </c>
      <c r="D6641" t="s">
        <v>18758</v>
      </c>
      <c r="F6641" t="s">
        <v>18759</v>
      </c>
      <c r="J6641" t="s">
        <v>115</v>
      </c>
      <c r="K6641" s="18" t="s">
        <v>18760</v>
      </c>
      <c r="N6641" s="17" t="s">
        <v>77</v>
      </c>
      <c r="O6641" t="s">
        <v>117</v>
      </c>
      <c r="V6641" s="18" t="s">
        <v>18760</v>
      </c>
      <c r="Y6641" t="s">
        <v>115</v>
      </c>
      <c r="AA6641" t="s">
        <v>115</v>
      </c>
      <c r="AB6641" t="s">
        <v>119</v>
      </c>
    </row>
    <row r="6642" ht="15" customHeight="1" spans="1:28" x14ac:dyDescent="0.25">
      <c r="A6642" s="17" t="s">
        <v>18761</v>
      </c>
      <c r="B6642" s="17" t="s">
        <v>70</v>
      </c>
      <c r="C6642" s="17" t="s">
        <v>71</v>
      </c>
      <c r="D6642" t="s">
        <v>18746</v>
      </c>
      <c r="F6642" t="s">
        <v>4350</v>
      </c>
      <c r="J6642" t="s">
        <v>115</v>
      </c>
      <c r="K6642" s="18" t="s">
        <v>18762</v>
      </c>
      <c r="N6642" s="17" t="s">
        <v>81</v>
      </c>
      <c r="O6642" t="s">
        <v>261</v>
      </c>
      <c r="V6642" s="18" t="s">
        <v>18762</v>
      </c>
      <c r="Y6642" t="s">
        <v>90</v>
      </c>
      <c r="AA6642" t="s">
        <v>118</v>
      </c>
      <c r="AB6642" t="s">
        <v>119</v>
      </c>
    </row>
    <row r="6643" ht="15" customHeight="1" spans="1:23" x14ac:dyDescent="0.25">
      <c r="A6643" s="17" t="s">
        <v>18763</v>
      </c>
      <c r="B6643" s="17" t="s">
        <v>70</v>
      </c>
      <c r="C6643" s="17" t="s">
        <v>71</v>
      </c>
      <c r="D6643" t="s">
        <v>18746</v>
      </c>
      <c r="F6643" t="s">
        <v>4350</v>
      </c>
      <c r="J6643" s="17" t="s">
        <v>18764</v>
      </c>
      <c r="K6643" s="18">
        <v>30112023</v>
      </c>
      <c r="N6643" s="17" t="s">
        <v>81</v>
      </c>
      <c r="U6643" s="17"/>
      <c r="V6643" s="18">
        <v>30112023</v>
      </c>
      <c r="W6643" t="s">
        <v>18765</v>
      </c>
    </row>
    <row r="6644" ht="15" customHeight="1" spans="1:22" x14ac:dyDescent="0.25">
      <c r="A6644" s="17" t="s">
        <v>18766</v>
      </c>
      <c r="B6644" s="17" t="s">
        <v>70</v>
      </c>
      <c r="C6644" s="17" t="s">
        <v>71</v>
      </c>
      <c r="D6644" t="s">
        <v>18767</v>
      </c>
      <c r="F6644" t="s">
        <v>18768</v>
      </c>
      <c r="K6644" s="18">
        <f>62811215675</f>
        <v>62811215675</v>
      </c>
      <c r="N6644" s="17" t="s">
        <v>77</v>
      </c>
      <c r="V6644" s="18">
        <f>62811215675</f>
        <v>62811215675</v>
      </c>
    </row>
    <row r="6645" ht="15" customHeight="1" spans="1:22" x14ac:dyDescent="0.25">
      <c r="A6645" s="17" t="s">
        <v>18769</v>
      </c>
      <c r="B6645" s="17" t="s">
        <v>70</v>
      </c>
      <c r="C6645" s="17" t="s">
        <v>71</v>
      </c>
      <c r="D6645" t="s">
        <v>18770</v>
      </c>
      <c r="F6645" t="s">
        <v>18771</v>
      </c>
      <c r="J6645" s="17" t="s">
        <v>18772</v>
      </c>
      <c r="K6645" s="18">
        <f>6591450336</f>
        <v>6591450336</v>
      </c>
      <c r="N6645" s="17" t="s">
        <v>81</v>
      </c>
      <c r="V6645" s="18">
        <f>6591450336</f>
        <v>6591450336</v>
      </c>
    </row>
    <row r="6646" ht="15" customHeight="1" spans="1:28" x14ac:dyDescent="0.25">
      <c r="A6646" s="17" t="s">
        <v>18773</v>
      </c>
      <c r="B6646" s="17" t="s">
        <v>70</v>
      </c>
      <c r="C6646" s="17" t="s">
        <v>71</v>
      </c>
      <c r="D6646" t="s">
        <v>18774</v>
      </c>
      <c r="F6646" t="s">
        <v>18774</v>
      </c>
      <c r="J6646" t="s">
        <v>115</v>
      </c>
      <c r="K6646" s="18" t="s">
        <v>18775</v>
      </c>
      <c r="N6646" s="17" t="s">
        <v>81</v>
      </c>
      <c r="O6646" t="s">
        <v>117</v>
      </c>
      <c r="V6646" s="18" t="s">
        <v>18775</v>
      </c>
      <c r="Y6646" t="s">
        <v>115</v>
      </c>
      <c r="AA6646" t="s">
        <v>115</v>
      </c>
      <c r="AB6646" t="s">
        <v>119</v>
      </c>
    </row>
    <row r="6647" ht="15" customHeight="1" spans="1:22" x14ac:dyDescent="0.25">
      <c r="A6647" s="17" t="s">
        <v>18776</v>
      </c>
      <c r="B6647" s="17" t="s">
        <v>70</v>
      </c>
      <c r="C6647" s="17" t="s">
        <v>71</v>
      </c>
      <c r="D6647" t="s">
        <v>18774</v>
      </c>
      <c r="F6647" t="s">
        <v>18774</v>
      </c>
      <c r="K6647" s="18">
        <f>6285810574158</f>
        <v>6285810574158</v>
      </c>
      <c r="N6647" s="17" t="s">
        <v>77</v>
      </c>
      <c r="V6647" s="18">
        <f>6285810574158</f>
        <v>6285810574158</v>
      </c>
    </row>
    <row r="6648" ht="15" customHeight="1" spans="1:22" x14ac:dyDescent="0.25">
      <c r="A6648" s="17" t="s">
        <v>18777</v>
      </c>
      <c r="B6648" s="17" t="s">
        <v>70</v>
      </c>
      <c r="C6648" s="17" t="s">
        <v>71</v>
      </c>
      <c r="D6648" t="s">
        <v>18778</v>
      </c>
      <c r="F6648" t="s">
        <v>18778</v>
      </c>
      <c r="K6648" s="18">
        <f>6282117920007</f>
        <v>6282117920007</v>
      </c>
      <c r="N6648" s="17" t="s">
        <v>81</v>
      </c>
      <c r="V6648" s="18">
        <f>6282117920007</f>
        <v>6282117920007</v>
      </c>
    </row>
    <row r="6649" ht="15" customHeight="1" spans="1:22" x14ac:dyDescent="0.25">
      <c r="A6649" s="17" t="s">
        <v>18779</v>
      </c>
      <c r="B6649" s="17" t="s">
        <v>70</v>
      </c>
      <c r="C6649" s="17" t="s">
        <v>71</v>
      </c>
      <c r="D6649" t="s">
        <v>18780</v>
      </c>
      <c r="F6649" t="s">
        <v>18781</v>
      </c>
      <c r="K6649" s="18">
        <f>6282199099361</f>
        <v>6282199099361</v>
      </c>
      <c r="N6649" s="17" t="s">
        <v>81</v>
      </c>
      <c r="V6649" s="18">
        <f>6282199099361</f>
        <v>6282199099361</v>
      </c>
    </row>
    <row r="6650" ht="15" customHeight="1" spans="1:22" x14ac:dyDescent="0.25">
      <c r="A6650" s="17" t="s">
        <v>18782</v>
      </c>
      <c r="B6650" s="17" t="s">
        <v>70</v>
      </c>
      <c r="C6650" s="17" t="s">
        <v>71</v>
      </c>
      <c r="D6650" t="s">
        <v>18783</v>
      </c>
      <c r="F6650" t="s">
        <v>18783</v>
      </c>
      <c r="K6650" s="18">
        <f>62816811806</f>
        <v>62816811806</v>
      </c>
      <c r="N6650" s="17" t="s">
        <v>77</v>
      </c>
      <c r="V6650" s="18">
        <f>62816811806</f>
        <v>62816811806</v>
      </c>
    </row>
    <row r="6651" ht="15" customHeight="1" spans="1:23" x14ac:dyDescent="0.25">
      <c r="A6651" s="17" t="s">
        <v>18784</v>
      </c>
      <c r="B6651" s="17" t="s">
        <v>70</v>
      </c>
      <c r="C6651" s="17" t="s">
        <v>71</v>
      </c>
      <c r="D6651" t="s">
        <v>18785</v>
      </c>
      <c r="F6651" t="s">
        <v>4882</v>
      </c>
      <c r="K6651" s="18">
        <f>628112271984</f>
        <v>628112271984</v>
      </c>
      <c r="N6651" s="17" t="s">
        <v>81</v>
      </c>
      <c r="U6651" s="17"/>
      <c r="V6651" s="18">
        <f>628112271984</f>
        <v>628112271984</v>
      </c>
      <c r="W6651" t="s">
        <v>18786</v>
      </c>
    </row>
    <row r="6652" ht="15" customHeight="1" spans="1:22" x14ac:dyDescent="0.25">
      <c r="A6652" s="17" t="s">
        <v>18787</v>
      </c>
      <c r="B6652" s="17" t="s">
        <v>70</v>
      </c>
      <c r="C6652" s="17" t="s">
        <v>71</v>
      </c>
      <c r="D6652" t="s">
        <v>18788</v>
      </c>
      <c r="F6652" t="s">
        <v>18788</v>
      </c>
      <c r="K6652" s="18">
        <f>62811131620</f>
        <v>62811131620</v>
      </c>
      <c r="N6652" s="17" t="s">
        <v>77</v>
      </c>
      <c r="V6652" s="18">
        <f>62811131620</f>
        <v>62811131620</v>
      </c>
    </row>
    <row r="6653" ht="15" customHeight="1" spans="1:23" x14ac:dyDescent="0.25">
      <c r="A6653" s="17" t="s">
        <v>18789</v>
      </c>
      <c r="B6653" s="17" t="s">
        <v>70</v>
      </c>
      <c r="C6653" s="17" t="s">
        <v>71</v>
      </c>
      <c r="D6653" t="s">
        <v>18788</v>
      </c>
      <c r="F6653" t="s">
        <v>18381</v>
      </c>
      <c r="K6653" s="18">
        <f>6287882337777</f>
        <v>6287882337777</v>
      </c>
      <c r="N6653" s="17" t="s">
        <v>77</v>
      </c>
      <c r="U6653" s="17"/>
      <c r="V6653" s="18">
        <f>6287882337777</f>
        <v>6287882337777</v>
      </c>
      <c r="W6653" t="s">
        <v>18790</v>
      </c>
    </row>
    <row r="6654" ht="15" customHeight="1" spans="1:22" x14ac:dyDescent="0.25">
      <c r="A6654" s="17" t="s">
        <v>18791</v>
      </c>
      <c r="B6654" s="17" t="s">
        <v>70</v>
      </c>
      <c r="C6654" s="17" t="s">
        <v>71</v>
      </c>
      <c r="D6654" t="s">
        <v>18792</v>
      </c>
      <c r="F6654" t="s">
        <v>4469</v>
      </c>
      <c r="K6654" s="18">
        <f>6281519855555</f>
        <v>6281519855555</v>
      </c>
      <c r="N6654" s="17" t="s">
        <v>77</v>
      </c>
      <c r="V6654" s="18">
        <f>6281519855555</f>
        <v>6281519855555</v>
      </c>
    </row>
    <row r="6655" ht="15" customHeight="1" spans="1:22" x14ac:dyDescent="0.25">
      <c r="A6655" s="17" t="s">
        <v>18793</v>
      </c>
      <c r="B6655" s="17" t="s">
        <v>70</v>
      </c>
      <c r="C6655" s="17" t="s">
        <v>71</v>
      </c>
      <c r="D6655" t="s">
        <v>18792</v>
      </c>
      <c r="F6655" t="s">
        <v>3895</v>
      </c>
      <c r="K6655" s="18">
        <f>628174837063</f>
        <v>628174837063</v>
      </c>
      <c r="N6655" s="17" t="s">
        <v>77</v>
      </c>
      <c r="V6655" s="18">
        <f>628174837063</f>
        <v>628174837063</v>
      </c>
    </row>
    <row r="6656" ht="15" customHeight="1" spans="1:22" x14ac:dyDescent="0.25">
      <c r="A6656" s="17" t="s">
        <v>18794</v>
      </c>
      <c r="B6656" s="17" t="s">
        <v>70</v>
      </c>
      <c r="C6656" s="17" t="s">
        <v>71</v>
      </c>
      <c r="D6656" t="s">
        <v>18792</v>
      </c>
      <c r="F6656" t="s">
        <v>18795</v>
      </c>
      <c r="K6656" s="18">
        <f>6281232522000</f>
        <v>6281232522000</v>
      </c>
      <c r="N6656" s="17" t="s">
        <v>77</v>
      </c>
      <c r="V6656" s="18">
        <f>6281232522000</f>
        <v>6281232522000</v>
      </c>
    </row>
    <row r="6657" ht="15" customHeight="1" spans="1:22" x14ac:dyDescent="0.25">
      <c r="A6657" s="17" t="s">
        <v>18796</v>
      </c>
      <c r="B6657" s="17" t="s">
        <v>70</v>
      </c>
      <c r="C6657" s="17" t="s">
        <v>71</v>
      </c>
      <c r="D6657" t="s">
        <v>18797</v>
      </c>
      <c r="F6657" t="s">
        <v>18797</v>
      </c>
      <c r="K6657" s="18">
        <f>62811947738</f>
        <v>62811947738</v>
      </c>
      <c r="N6657" s="17" t="s">
        <v>74</v>
      </c>
      <c r="V6657" s="18">
        <f>62811947738</f>
        <v>62811947738</v>
      </c>
    </row>
    <row r="6658" ht="15" customHeight="1" spans="1:22" x14ac:dyDescent="0.25">
      <c r="A6658" s="17" t="s">
        <v>18798</v>
      </c>
      <c r="B6658" s="17" t="s">
        <v>70</v>
      </c>
      <c r="C6658" s="17" t="s">
        <v>71</v>
      </c>
      <c r="D6658" t="s">
        <v>18797</v>
      </c>
      <c r="F6658" t="s">
        <v>7747</v>
      </c>
      <c r="K6658" s="18">
        <f>62811105330</f>
        <v>62811105330</v>
      </c>
      <c r="N6658" s="17" t="s">
        <v>77</v>
      </c>
      <c r="V6658" s="18">
        <f>62811105330</f>
        <v>62811105330</v>
      </c>
    </row>
    <row r="6659" ht="15" customHeight="1" spans="1:22" x14ac:dyDescent="0.25">
      <c r="A6659" s="17" t="s">
        <v>18799</v>
      </c>
      <c r="B6659" s="17" t="s">
        <v>70</v>
      </c>
      <c r="C6659" s="17" t="s">
        <v>71</v>
      </c>
      <c r="D6659" t="s">
        <v>18800</v>
      </c>
      <c r="F6659" t="s">
        <v>2484</v>
      </c>
      <c r="K6659" s="18">
        <f>628112628044</f>
        <v>628112628044</v>
      </c>
      <c r="N6659" s="17" t="s">
        <v>81</v>
      </c>
      <c r="V6659" s="18">
        <f>628112628044</f>
        <v>628112628044</v>
      </c>
    </row>
    <row r="6660" ht="15" customHeight="1" spans="1:22" x14ac:dyDescent="0.25">
      <c r="A6660" s="17" t="s">
        <v>18801</v>
      </c>
      <c r="B6660" s="17" t="s">
        <v>70</v>
      </c>
      <c r="C6660" s="17" t="s">
        <v>71</v>
      </c>
      <c r="D6660" t="s">
        <v>18802</v>
      </c>
      <c r="F6660" t="s">
        <v>18803</v>
      </c>
      <c r="K6660" s="18">
        <f>6281908977776</f>
        <v>6281908977776</v>
      </c>
      <c r="N6660" s="17" t="s">
        <v>77</v>
      </c>
      <c r="V6660" s="18">
        <f>6281908977776</f>
        <v>6281908977776</v>
      </c>
    </row>
    <row r="6661" ht="15" customHeight="1" spans="1:27" x14ac:dyDescent="0.25">
      <c r="A6661" s="17" t="s">
        <v>18804</v>
      </c>
      <c r="B6661" s="17" t="s">
        <v>70</v>
      </c>
      <c r="C6661" s="17" t="s">
        <v>71</v>
      </c>
      <c r="D6661" t="s">
        <v>18805</v>
      </c>
      <c r="F6661" t="s">
        <v>16956</v>
      </c>
      <c r="K6661" s="18">
        <f>6287877770555</f>
        <v>6287877770555</v>
      </c>
      <c r="N6661" s="17" t="s">
        <v>77</v>
      </c>
      <c r="U6661" s="17"/>
      <c r="V6661" s="18">
        <f>6287877770555</f>
        <v>6287877770555</v>
      </c>
      <c r="W6661" t="s">
        <v>18806</v>
      </c>
      <c r="Y6661" s="17" t="s">
        <v>96</v>
      </c>
      <c r="AA6661" s="17">
        <v>12410</v>
      </c>
    </row>
    <row r="6662" ht="15" customHeight="1" spans="1:22" x14ac:dyDescent="0.25">
      <c r="A6662" s="17" t="s">
        <v>18807</v>
      </c>
      <c r="B6662" s="17" t="s">
        <v>70</v>
      </c>
      <c r="C6662" s="17" t="s">
        <v>71</v>
      </c>
      <c r="D6662" t="s">
        <v>2698</v>
      </c>
      <c r="F6662" t="s">
        <v>2698</v>
      </c>
      <c r="K6662" s="18">
        <f>6281518233341</f>
        <v>6281518233341</v>
      </c>
      <c r="N6662" s="17" t="s">
        <v>77</v>
      </c>
      <c r="V6662" s="18">
        <f>6281518233341</f>
        <v>6281518233341</v>
      </c>
    </row>
    <row r="6663" ht="15" customHeight="1" spans="1:25" x14ac:dyDescent="0.25">
      <c r="A6663" s="17" t="s">
        <v>18808</v>
      </c>
      <c r="B6663" s="17" t="s">
        <v>70</v>
      </c>
      <c r="C6663" s="17" t="s">
        <v>71</v>
      </c>
      <c r="D6663" t="s">
        <v>2698</v>
      </c>
      <c r="F6663" t="s">
        <v>8600</v>
      </c>
      <c r="K6663" s="18">
        <f>6281231123112</f>
        <v>6281231123112</v>
      </c>
      <c r="N6663" s="17" t="s">
        <v>77</v>
      </c>
      <c r="V6663" s="18">
        <f>6281231123112</f>
        <v>6281231123112</v>
      </c>
      <c r="Y6663" s="17" t="s">
        <v>90</v>
      </c>
    </row>
    <row r="6664" ht="15" customHeight="1" spans="1:28" x14ac:dyDescent="0.25">
      <c r="A6664" s="17" t="s">
        <v>18809</v>
      </c>
      <c r="B6664" s="17" t="s">
        <v>70</v>
      </c>
      <c r="C6664" s="17" t="s">
        <v>71</v>
      </c>
      <c r="D6664" t="s">
        <v>2698</v>
      </c>
      <c r="F6664" t="s">
        <v>18810</v>
      </c>
      <c r="J6664" t="s">
        <v>115</v>
      </c>
      <c r="K6664" s="18" t="s">
        <v>18811</v>
      </c>
      <c r="N6664" s="17" t="s">
        <v>77</v>
      </c>
      <c r="O6664" t="s">
        <v>145</v>
      </c>
      <c r="V6664" s="18" t="s">
        <v>18811</v>
      </c>
      <c r="Y6664" t="s">
        <v>90</v>
      </c>
      <c r="AA6664" t="s">
        <v>118</v>
      </c>
      <c r="AB6664" t="s">
        <v>119</v>
      </c>
    </row>
    <row r="6665" ht="15" customHeight="1" spans="1:22" x14ac:dyDescent="0.25">
      <c r="A6665" s="17" t="s">
        <v>18812</v>
      </c>
      <c r="B6665" s="17" t="s">
        <v>70</v>
      </c>
      <c r="C6665" s="17" t="s">
        <v>71</v>
      </c>
      <c r="D6665" t="s">
        <v>2698</v>
      </c>
      <c r="F6665" t="s">
        <v>2258</v>
      </c>
      <c r="K6665" s="18">
        <f>6281240000029</f>
        <v>6281240000029</v>
      </c>
      <c r="N6665" s="17" t="s">
        <v>77</v>
      </c>
      <c r="V6665" s="18">
        <f>6281240000029</f>
        <v>6281240000029</v>
      </c>
    </row>
    <row r="6666" ht="15" customHeight="1" spans="1:27" x14ac:dyDescent="0.25">
      <c r="A6666" s="17" t="s">
        <v>18813</v>
      </c>
      <c r="B6666" s="17" t="s">
        <v>70</v>
      </c>
      <c r="C6666" s="17" t="s">
        <v>71</v>
      </c>
      <c r="D6666" t="s">
        <v>2698</v>
      </c>
      <c r="F6666" t="s">
        <v>18814</v>
      </c>
      <c r="J6666" s="17" t="s">
        <v>18815</v>
      </c>
      <c r="K6666" s="18">
        <f>628119702035</f>
        <v>628119702035</v>
      </c>
      <c r="N6666" s="17" t="s">
        <v>77</v>
      </c>
      <c r="U6666" s="17"/>
      <c r="V6666" s="18">
        <f>628119702035</f>
        <v>628119702035</v>
      </c>
      <c r="W6666" t="s">
        <v>18816</v>
      </c>
      <c r="Y6666" s="17" t="s">
        <v>2953</v>
      </c>
      <c r="AA6666" s="17">
        <v>12940</v>
      </c>
    </row>
    <row r="6667" ht="15" customHeight="1" spans="1:25" x14ac:dyDescent="0.25">
      <c r="A6667" s="17" t="s">
        <v>18817</v>
      </c>
      <c r="B6667" s="17" t="s">
        <v>70</v>
      </c>
      <c r="C6667" s="17" t="s">
        <v>71</v>
      </c>
      <c r="D6667" t="s">
        <v>2698</v>
      </c>
      <c r="F6667" t="s">
        <v>6671</v>
      </c>
      <c r="K6667" s="18">
        <f>628119931290</f>
        <v>628119931290</v>
      </c>
      <c r="N6667" s="17" t="s">
        <v>77</v>
      </c>
      <c r="U6667" s="17"/>
      <c r="V6667" s="18">
        <f>628119931290</f>
        <v>628119931290</v>
      </c>
      <c r="W6667" t="s">
        <v>18818</v>
      </c>
      <c r="Y6667" s="17" t="s">
        <v>96</v>
      </c>
    </row>
    <row r="6668" ht="15" customHeight="1" spans="1:28" x14ac:dyDescent="0.25">
      <c r="A6668" s="17" t="s">
        <v>18819</v>
      </c>
      <c r="B6668" s="17" t="s">
        <v>70</v>
      </c>
      <c r="C6668" s="17" t="s">
        <v>71</v>
      </c>
      <c r="D6668" t="s">
        <v>2698</v>
      </c>
      <c r="F6668" t="s">
        <v>18820</v>
      </c>
      <c r="J6668" t="s">
        <v>115</v>
      </c>
      <c r="K6668" s="18" t="s">
        <v>18821</v>
      </c>
      <c r="N6668" s="17" t="s">
        <v>74</v>
      </c>
      <c r="O6668" t="s">
        <v>1188</v>
      </c>
      <c r="U6668" s="17"/>
      <c r="V6668" s="18" t="s">
        <v>18821</v>
      </c>
      <c r="W6668" t="s">
        <v>18822</v>
      </c>
      <c r="Y6668" t="s">
        <v>96</v>
      </c>
      <c r="AA6668" t="s">
        <v>693</v>
      </c>
      <c r="AB6668" t="s">
        <v>119</v>
      </c>
    </row>
    <row r="6669" ht="15" customHeight="1" spans="1:22" x14ac:dyDescent="0.25">
      <c r="A6669" s="17" t="s">
        <v>18823</v>
      </c>
      <c r="B6669" s="17" t="s">
        <v>70</v>
      </c>
      <c r="C6669" s="17" t="s">
        <v>71</v>
      </c>
      <c r="D6669" t="s">
        <v>2698</v>
      </c>
      <c r="F6669" t="s">
        <v>18824</v>
      </c>
      <c r="K6669" s="18">
        <f>6281699816981610</f>
        <v>6281699816981610</v>
      </c>
      <c r="N6669" s="17" t="s">
        <v>77</v>
      </c>
      <c r="V6669" s="18">
        <f>6281699816981610</f>
        <v>6281699816981610</v>
      </c>
    </row>
    <row r="6670" ht="15" customHeight="1" spans="1:23" x14ac:dyDescent="0.25">
      <c r="A6670" s="17" t="s">
        <v>18825</v>
      </c>
      <c r="B6670" s="17" t="s">
        <v>70</v>
      </c>
      <c r="C6670" s="17" t="s">
        <v>71</v>
      </c>
      <c r="D6670" t="s">
        <v>2698</v>
      </c>
      <c r="F6670" t="s">
        <v>18826</v>
      </c>
      <c r="J6670" s="17" t="s">
        <v>18827</v>
      </c>
      <c r="K6670" s="18">
        <f>6287822001400</f>
        <v>6287822001400</v>
      </c>
      <c r="N6670" s="17" t="s">
        <v>77</v>
      </c>
      <c r="U6670" s="17"/>
      <c r="V6670" s="18">
        <f>6287822001400</f>
        <v>6287822001400</v>
      </c>
      <c r="W6670" t="s">
        <v>18828</v>
      </c>
    </row>
    <row r="6671" ht="15" customHeight="1" spans="1:22" x14ac:dyDescent="0.25">
      <c r="A6671" s="17" t="s">
        <v>18829</v>
      </c>
      <c r="B6671" s="17" t="s">
        <v>70</v>
      </c>
      <c r="C6671" s="17" t="s">
        <v>71</v>
      </c>
      <c r="D6671" t="s">
        <v>2698</v>
      </c>
      <c r="F6671" t="s">
        <v>5545</v>
      </c>
      <c r="K6671" s="18">
        <f>6287772476804</f>
        <v>6287772476804</v>
      </c>
      <c r="N6671" s="17" t="s">
        <v>77</v>
      </c>
      <c r="V6671" s="18">
        <f>6287772476804</f>
        <v>6287772476804</v>
      </c>
    </row>
    <row r="6672" ht="15" customHeight="1" spans="1:28" x14ac:dyDescent="0.25">
      <c r="A6672" s="17" t="s">
        <v>18830</v>
      </c>
      <c r="B6672" s="17" t="s">
        <v>70</v>
      </c>
      <c r="C6672" s="17" t="s">
        <v>71</v>
      </c>
      <c r="D6672" t="s">
        <v>18831</v>
      </c>
      <c r="F6672" t="s">
        <v>7178</v>
      </c>
      <c r="J6672" s="17" t="s">
        <v>18832</v>
      </c>
      <c r="K6672" s="18" t="s">
        <v>18833</v>
      </c>
      <c r="N6672" s="17" t="s">
        <v>77</v>
      </c>
      <c r="O6672" t="s">
        <v>117</v>
      </c>
      <c r="V6672" s="18" t="s">
        <v>18833</v>
      </c>
      <c r="Y6672" t="s">
        <v>90</v>
      </c>
      <c r="AA6672" t="s">
        <v>118</v>
      </c>
      <c r="AB6672" t="s">
        <v>119</v>
      </c>
    </row>
    <row r="6673" ht="15" customHeight="1" spans="1:22" x14ac:dyDescent="0.25">
      <c r="A6673" s="17" t="s">
        <v>18834</v>
      </c>
      <c r="B6673" s="17" t="s">
        <v>70</v>
      </c>
      <c r="C6673" s="17" t="s">
        <v>71</v>
      </c>
      <c r="D6673" t="s">
        <v>2698</v>
      </c>
      <c r="F6673" t="s">
        <v>7657</v>
      </c>
      <c r="K6673" s="18">
        <f>6282112124897</f>
        <v>6282112124897</v>
      </c>
      <c r="N6673" s="17" t="s">
        <v>77</v>
      </c>
      <c r="V6673" s="18">
        <f>6282112124897</f>
        <v>6282112124897</v>
      </c>
    </row>
    <row r="6674" ht="15" customHeight="1" spans="1:22" x14ac:dyDescent="0.25">
      <c r="A6674" s="17" t="s">
        <v>18835</v>
      </c>
      <c r="B6674" s="17" t="s">
        <v>70</v>
      </c>
      <c r="C6674" s="17" t="s">
        <v>71</v>
      </c>
      <c r="D6674" t="s">
        <v>2698</v>
      </c>
      <c r="F6674" t="s">
        <v>18836</v>
      </c>
      <c r="J6674" s="17" t="s">
        <v>18837</v>
      </c>
      <c r="K6674" s="18">
        <f>628111511636</f>
        <v>628111511636</v>
      </c>
      <c r="N6674" s="17" t="s">
        <v>81</v>
      </c>
      <c r="V6674" s="18">
        <f>628111511636</f>
        <v>628111511636</v>
      </c>
    </row>
    <row r="6675" ht="15" customHeight="1" spans="1:22" x14ac:dyDescent="0.25">
      <c r="A6675" s="17" t="s">
        <v>18838</v>
      </c>
      <c r="B6675" s="17" t="s">
        <v>70</v>
      </c>
      <c r="C6675" s="17" t="s">
        <v>71</v>
      </c>
      <c r="D6675" t="s">
        <v>2698</v>
      </c>
      <c r="F6675" t="s">
        <v>8871</v>
      </c>
      <c r="K6675" s="18">
        <f>62818767201</f>
        <v>62818767201</v>
      </c>
      <c r="N6675" s="17" t="s">
        <v>77</v>
      </c>
      <c r="V6675" s="18">
        <f>62818767201</f>
        <v>62818767201</v>
      </c>
    </row>
    <row r="6676" ht="15" customHeight="1" spans="1:22" x14ac:dyDescent="0.25">
      <c r="A6676" s="17" t="s">
        <v>18839</v>
      </c>
      <c r="B6676" s="17" t="s">
        <v>70</v>
      </c>
      <c r="C6676" s="17" t="s">
        <v>71</v>
      </c>
      <c r="D6676" t="s">
        <v>2698</v>
      </c>
      <c r="F6676" t="s">
        <v>18840</v>
      </c>
      <c r="K6676" s="18">
        <f>6281358639999</f>
        <v>6281358639999</v>
      </c>
      <c r="N6676" s="17" t="s">
        <v>77</v>
      </c>
      <c r="V6676" s="18">
        <f>6281358639999</f>
        <v>6281358639999</v>
      </c>
    </row>
    <row r="6677" ht="15" customHeight="1" spans="1:28" x14ac:dyDescent="0.25">
      <c r="A6677" s="17" t="s">
        <v>18841</v>
      </c>
      <c r="B6677" s="17" t="s">
        <v>70</v>
      </c>
      <c r="C6677" s="17" t="s">
        <v>71</v>
      </c>
      <c r="D6677" t="s">
        <v>2698</v>
      </c>
      <c r="F6677" t="s">
        <v>18842</v>
      </c>
      <c r="J6677" t="s">
        <v>115</v>
      </c>
      <c r="K6677" s="18" t="s">
        <v>18843</v>
      </c>
      <c r="N6677" s="17" t="s">
        <v>77</v>
      </c>
      <c r="O6677" t="s">
        <v>261</v>
      </c>
      <c r="V6677" s="18" t="s">
        <v>18843</v>
      </c>
      <c r="Y6677" t="s">
        <v>3028</v>
      </c>
      <c r="AA6677" t="s">
        <v>9062</v>
      </c>
      <c r="AB6677" t="s">
        <v>119</v>
      </c>
    </row>
    <row r="6678" ht="15" customHeight="1" spans="1:23" x14ac:dyDescent="0.25">
      <c r="A6678" s="17" t="s">
        <v>18844</v>
      </c>
      <c r="B6678" s="17" t="s">
        <v>70</v>
      </c>
      <c r="C6678" s="17" t="s">
        <v>71</v>
      </c>
      <c r="D6678" t="s">
        <v>18845</v>
      </c>
      <c r="F6678" t="s">
        <v>18846</v>
      </c>
      <c r="K6678" s="18">
        <f>6281281735735</f>
        <v>6281281735735</v>
      </c>
      <c r="N6678" s="17" t="s">
        <v>81</v>
      </c>
      <c r="U6678" s="17"/>
      <c r="V6678" s="18">
        <f>6281281735735</f>
        <v>6281281735735</v>
      </c>
      <c r="W6678" t="s">
        <v>18847</v>
      </c>
    </row>
    <row r="6679" ht="15" customHeight="1" spans="1:28" x14ac:dyDescent="0.25">
      <c r="A6679" s="17" t="s">
        <v>18848</v>
      </c>
      <c r="B6679" s="17" t="s">
        <v>70</v>
      </c>
      <c r="C6679" s="17" t="s">
        <v>71</v>
      </c>
      <c r="D6679" t="s">
        <v>18845</v>
      </c>
      <c r="F6679" t="s">
        <v>6671</v>
      </c>
      <c r="J6679" t="s">
        <v>115</v>
      </c>
      <c r="K6679" s="18" t="s">
        <v>18849</v>
      </c>
      <c r="N6679" s="17" t="s">
        <v>77</v>
      </c>
      <c r="O6679" t="s">
        <v>117</v>
      </c>
      <c r="V6679" s="18" t="s">
        <v>18849</v>
      </c>
      <c r="Y6679" t="s">
        <v>115</v>
      </c>
      <c r="AA6679" t="s">
        <v>115</v>
      </c>
      <c r="AB6679" t="s">
        <v>119</v>
      </c>
    </row>
    <row r="6680" ht="15" customHeight="1" spans="1:28" x14ac:dyDescent="0.25">
      <c r="A6680" s="17" t="s">
        <v>18850</v>
      </c>
      <c r="B6680" s="17" t="s">
        <v>70</v>
      </c>
      <c r="C6680" s="17" t="s">
        <v>71</v>
      </c>
      <c r="D6680" t="s">
        <v>18851</v>
      </c>
      <c r="F6680" t="s">
        <v>4613</v>
      </c>
      <c r="J6680" t="s">
        <v>115</v>
      </c>
      <c r="K6680" s="18" t="s">
        <v>18852</v>
      </c>
      <c r="N6680" s="17" t="s">
        <v>74</v>
      </c>
      <c r="O6680" t="s">
        <v>1188</v>
      </c>
      <c r="U6680" s="17"/>
      <c r="V6680" s="18" t="s">
        <v>18852</v>
      </c>
      <c r="W6680" t="s">
        <v>18853</v>
      </c>
      <c r="Y6680" s="17" t="s">
        <v>90</v>
      </c>
      <c r="AA6680" t="s">
        <v>118</v>
      </c>
      <c r="AB6680" t="s">
        <v>119</v>
      </c>
    </row>
    <row r="6681" ht="15" customHeight="1" spans="1:28" x14ac:dyDescent="0.25">
      <c r="A6681" s="17" t="s">
        <v>18854</v>
      </c>
      <c r="B6681" s="17" t="s">
        <v>70</v>
      </c>
      <c r="C6681" s="17" t="s">
        <v>71</v>
      </c>
      <c r="D6681" t="s">
        <v>18855</v>
      </c>
      <c r="F6681" t="s">
        <v>18856</v>
      </c>
      <c r="J6681" s="17" t="s">
        <v>18857</v>
      </c>
      <c r="K6681" s="18" t="s">
        <v>18858</v>
      </c>
      <c r="N6681" s="17" t="s">
        <v>77</v>
      </c>
      <c r="O6681" t="s">
        <v>261</v>
      </c>
      <c r="U6681" s="17"/>
      <c r="V6681" s="18" t="s">
        <v>18858</v>
      </c>
      <c r="W6681" t="s">
        <v>18859</v>
      </c>
      <c r="Y6681" t="s">
        <v>90</v>
      </c>
      <c r="AA6681" t="s">
        <v>118</v>
      </c>
      <c r="AB6681" t="s">
        <v>119</v>
      </c>
    </row>
    <row r="6682" ht="15" customHeight="1" spans="1:28" x14ac:dyDescent="0.25">
      <c r="A6682" s="17" t="s">
        <v>18860</v>
      </c>
      <c r="B6682" s="17" t="s">
        <v>70</v>
      </c>
      <c r="C6682" s="17" t="s">
        <v>71</v>
      </c>
      <c r="D6682" t="s">
        <v>18861</v>
      </c>
      <c r="F6682" t="s">
        <v>18862</v>
      </c>
      <c r="J6682" t="s">
        <v>115</v>
      </c>
      <c r="K6682" s="18" t="s">
        <v>18863</v>
      </c>
      <c r="N6682" s="17" t="s">
        <v>81</v>
      </c>
      <c r="O6682" t="s">
        <v>145</v>
      </c>
      <c r="U6682" s="17"/>
      <c r="V6682" s="18" t="s">
        <v>18863</v>
      </c>
      <c r="W6682" t="s">
        <v>18864</v>
      </c>
      <c r="Y6682" t="s">
        <v>190</v>
      </c>
      <c r="AA6682" t="s">
        <v>118</v>
      </c>
      <c r="AB6682" t="s">
        <v>119</v>
      </c>
    </row>
    <row r="6683" ht="15" customHeight="1" spans="1:23" x14ac:dyDescent="0.25">
      <c r="A6683" s="17" t="s">
        <v>18865</v>
      </c>
      <c r="B6683" s="17" t="s">
        <v>70</v>
      </c>
      <c r="C6683" s="17" t="s">
        <v>71</v>
      </c>
      <c r="D6683" t="s">
        <v>18866</v>
      </c>
      <c r="F6683" t="s">
        <v>18867</v>
      </c>
      <c r="K6683" s="18">
        <f>62811153523</f>
        <v>62811153523</v>
      </c>
      <c r="N6683" s="17" t="s">
        <v>77</v>
      </c>
      <c r="U6683" s="17"/>
      <c r="V6683" s="18">
        <f>62811153523</f>
        <v>62811153523</v>
      </c>
      <c r="W6683" t="s">
        <v>18868</v>
      </c>
    </row>
    <row r="6684" ht="15" customHeight="1" spans="1:25" x14ac:dyDescent="0.25">
      <c r="A6684" s="17" t="s">
        <v>18869</v>
      </c>
      <c r="B6684" s="17" t="s">
        <v>70</v>
      </c>
      <c r="C6684" s="17" t="s">
        <v>71</v>
      </c>
      <c r="D6684" t="s">
        <v>18870</v>
      </c>
      <c r="F6684" t="s">
        <v>355</v>
      </c>
      <c r="J6684" s="17" t="s">
        <v>18871</v>
      </c>
      <c r="K6684" s="18">
        <f t="shared" ref="K6684:K6685" si="0">628123930931</f>
        <v>628123930931</v>
      </c>
      <c r="N6684" s="17" t="s">
        <v>74</v>
      </c>
      <c r="U6684" s="17"/>
      <c r="V6684" s="18">
        <f t="shared" ref="V6684:V6685" si="1">628123930931</f>
        <v>628123930931</v>
      </c>
      <c r="W6684" t="s">
        <v>18872</v>
      </c>
      <c r="Y6684" s="17" t="s">
        <v>181</v>
      </c>
    </row>
    <row r="6685" ht="15" customHeight="1" spans="1:23" x14ac:dyDescent="0.25">
      <c r="A6685" s="17" t="s">
        <v>18873</v>
      </c>
      <c r="B6685" s="17" t="s">
        <v>70</v>
      </c>
      <c r="C6685" s="17" t="s">
        <v>71</v>
      </c>
      <c r="D6685" t="s">
        <v>18870</v>
      </c>
      <c r="F6685" t="s">
        <v>18874</v>
      </c>
      <c r="J6685" s="17" t="s">
        <v>18875</v>
      </c>
      <c r="K6685" s="18">
        <f t="shared" si="0"/>
        <v>628123930931</v>
      </c>
      <c r="N6685" s="17" t="s">
        <v>81</v>
      </c>
      <c r="U6685" s="17"/>
      <c r="V6685" s="18">
        <f t="shared" si="1"/>
        <v>628123930931</v>
      </c>
      <c r="W6685" t="s">
        <v>18876</v>
      </c>
    </row>
    <row r="6686" ht="15" customHeight="1" spans="1:22" x14ac:dyDescent="0.25">
      <c r="A6686" s="17" t="s">
        <v>18877</v>
      </c>
      <c r="B6686" s="17" t="s">
        <v>70</v>
      </c>
      <c r="C6686" s="17" t="s">
        <v>71</v>
      </c>
      <c r="D6686" t="s">
        <v>18878</v>
      </c>
      <c r="F6686" t="s">
        <v>18878</v>
      </c>
      <c r="K6686" s="18">
        <f>628786400739</f>
        <v>628786400739</v>
      </c>
      <c r="N6686" s="17" t="s">
        <v>81</v>
      </c>
      <c r="V6686" s="18">
        <f>628786400739</f>
        <v>628786400739</v>
      </c>
    </row>
    <row r="6687" ht="15" customHeight="1" spans="1:22" x14ac:dyDescent="0.25">
      <c r="A6687" s="17" t="s">
        <v>18879</v>
      </c>
      <c r="B6687" s="17" t="s">
        <v>70</v>
      </c>
      <c r="C6687" s="17" t="s">
        <v>71</v>
      </c>
      <c r="D6687" t="s">
        <v>18880</v>
      </c>
      <c r="F6687" t="s">
        <v>18881</v>
      </c>
      <c r="K6687" s="18">
        <f>6281312850323</f>
        <v>6281312850323</v>
      </c>
      <c r="N6687" s="17" t="s">
        <v>77</v>
      </c>
      <c r="V6687" s="18">
        <f>6281312850323</f>
        <v>6281312850323</v>
      </c>
    </row>
    <row r="6688" ht="15" customHeight="1" spans="1:22" x14ac:dyDescent="0.25">
      <c r="A6688" s="17" t="s">
        <v>18882</v>
      </c>
      <c r="B6688" s="17" t="s">
        <v>70</v>
      </c>
      <c r="C6688" s="17" t="s">
        <v>71</v>
      </c>
      <c r="D6688" t="s">
        <v>18883</v>
      </c>
      <c r="F6688" t="s">
        <v>18883</v>
      </c>
      <c r="K6688" s="18">
        <f>62811332789</f>
        <v>62811332789</v>
      </c>
      <c r="N6688" s="17" t="s">
        <v>81</v>
      </c>
      <c r="V6688" s="18">
        <f>62811332789</f>
        <v>62811332789</v>
      </c>
    </row>
    <row r="6689" ht="15" customHeight="1" spans="1:22" x14ac:dyDescent="0.25">
      <c r="A6689" s="17" t="s">
        <v>18884</v>
      </c>
      <c r="B6689" s="17" t="s">
        <v>70</v>
      </c>
      <c r="C6689" s="17" t="s">
        <v>71</v>
      </c>
      <c r="D6689" t="s">
        <v>1412</v>
      </c>
      <c r="F6689" t="s">
        <v>1412</v>
      </c>
      <c r="K6689" s="18">
        <f>6281234880008</f>
        <v>6281234880008</v>
      </c>
      <c r="N6689" s="17" t="s">
        <v>81</v>
      </c>
      <c r="V6689" s="18">
        <f>6281234880008</f>
        <v>6281234880008</v>
      </c>
    </row>
    <row r="6690" ht="15" customHeight="1" spans="1:28" x14ac:dyDescent="0.25">
      <c r="A6690" s="17" t="s">
        <v>18885</v>
      </c>
      <c r="B6690" s="17" t="s">
        <v>70</v>
      </c>
      <c r="C6690" s="17" t="s">
        <v>71</v>
      </c>
      <c r="D6690" t="s">
        <v>1412</v>
      </c>
      <c r="F6690" t="s">
        <v>4151</v>
      </c>
      <c r="J6690" t="s">
        <v>115</v>
      </c>
      <c r="K6690" s="18" t="s">
        <v>18886</v>
      </c>
      <c r="N6690" s="17" t="s">
        <v>77</v>
      </c>
      <c r="O6690" t="s">
        <v>117</v>
      </c>
      <c r="V6690" s="18" t="s">
        <v>18886</v>
      </c>
      <c r="Y6690" t="s">
        <v>90</v>
      </c>
      <c r="AA6690" t="s">
        <v>118</v>
      </c>
      <c r="AB6690" t="s">
        <v>119</v>
      </c>
    </row>
    <row r="6691" ht="15" customHeight="1" spans="1:25" x14ac:dyDescent="0.25">
      <c r="A6691" s="17" t="s">
        <v>18887</v>
      </c>
      <c r="B6691" s="17" t="s">
        <v>70</v>
      </c>
      <c r="C6691" s="17" t="s">
        <v>71</v>
      </c>
      <c r="D6691" t="s">
        <v>1412</v>
      </c>
      <c r="F6691" t="s">
        <v>18888</v>
      </c>
      <c r="J6691" s="17" t="s">
        <v>18889</v>
      </c>
      <c r="K6691" s="18">
        <f>62811173545</f>
        <v>62811173545</v>
      </c>
      <c r="N6691" s="17" t="s">
        <v>77</v>
      </c>
      <c r="U6691" s="17"/>
      <c r="V6691" s="18">
        <f>62811173545</f>
        <v>62811173545</v>
      </c>
      <c r="W6691" t="s">
        <v>18890</v>
      </c>
      <c r="Y6691" s="17" t="s">
        <v>18891</v>
      </c>
    </row>
    <row r="6692" ht="15" customHeight="1" spans="1:22" x14ac:dyDescent="0.25">
      <c r="A6692" s="17" t="s">
        <v>18892</v>
      </c>
      <c r="B6692" s="17" t="s">
        <v>70</v>
      </c>
      <c r="C6692" s="17" t="s">
        <v>71</v>
      </c>
      <c r="D6692" t="s">
        <v>18893</v>
      </c>
      <c r="F6692" t="s">
        <v>18894</v>
      </c>
      <c r="K6692" s="18">
        <f>62811814567</f>
        <v>62811814567</v>
      </c>
      <c r="N6692" s="17" t="s">
        <v>81</v>
      </c>
      <c r="V6692" s="18">
        <f>62811814567</f>
        <v>62811814567</v>
      </c>
    </row>
    <row r="6693" ht="15" customHeight="1" spans="1:25" x14ac:dyDescent="0.25">
      <c r="A6693" s="17" t="s">
        <v>18895</v>
      </c>
      <c r="B6693" s="17" t="s">
        <v>70</v>
      </c>
      <c r="C6693" s="17" t="s">
        <v>71</v>
      </c>
      <c r="D6693" t="s">
        <v>18896</v>
      </c>
      <c r="F6693" t="s">
        <v>5852</v>
      </c>
      <c r="J6693" s="17" t="s">
        <v>18897</v>
      </c>
      <c r="K6693" s="18">
        <f>628161112207</f>
        <v>628161112207</v>
      </c>
      <c r="N6693" s="17" t="s">
        <v>77</v>
      </c>
      <c r="U6693" s="17"/>
      <c r="V6693" s="18">
        <f>628161112207</f>
        <v>628161112207</v>
      </c>
      <c r="W6693" t="s">
        <v>18898</v>
      </c>
      <c r="Y6693" s="17" t="s">
        <v>96</v>
      </c>
    </row>
    <row r="6694" ht="15" customHeight="1" spans="1:22" x14ac:dyDescent="0.25">
      <c r="A6694" s="17" t="s">
        <v>18899</v>
      </c>
      <c r="B6694" s="17" t="s">
        <v>70</v>
      </c>
      <c r="C6694" s="17" t="s">
        <v>71</v>
      </c>
      <c r="D6694" t="s">
        <v>18900</v>
      </c>
      <c r="F6694" t="s">
        <v>18900</v>
      </c>
      <c r="K6694" s="18">
        <v>62816845400</v>
      </c>
      <c r="N6694" s="17" t="s">
        <v>81</v>
      </c>
      <c r="V6694" s="18">
        <v>62816845400</v>
      </c>
    </row>
    <row r="6695" ht="15" customHeight="1" spans="1:22" x14ac:dyDescent="0.25">
      <c r="A6695" s="17" t="s">
        <v>18901</v>
      </c>
      <c r="B6695" s="17" t="s">
        <v>70</v>
      </c>
      <c r="C6695" s="17" t="s">
        <v>71</v>
      </c>
      <c r="D6695" t="s">
        <v>18900</v>
      </c>
      <c r="F6695" t="s">
        <v>18900</v>
      </c>
      <c r="K6695" s="18">
        <f>628111545600</f>
        <v>628111545600</v>
      </c>
      <c r="N6695" s="17" t="s">
        <v>77</v>
      </c>
      <c r="V6695" s="18">
        <f>628111545600</f>
        <v>628111545600</v>
      </c>
    </row>
    <row r="6696" ht="15" customHeight="1" spans="1:27" x14ac:dyDescent="0.25">
      <c r="A6696" s="17" t="s">
        <v>18902</v>
      </c>
      <c r="B6696" s="17" t="s">
        <v>70</v>
      </c>
      <c r="C6696" s="17" t="s">
        <v>71</v>
      </c>
      <c r="D6696" t="s">
        <v>18900</v>
      </c>
      <c r="F6696" t="s">
        <v>18903</v>
      </c>
      <c r="K6696" s="18">
        <f>62811613423</f>
        <v>62811613423</v>
      </c>
      <c r="N6696" s="17" t="s">
        <v>77</v>
      </c>
      <c r="U6696" s="17"/>
      <c r="V6696" s="18">
        <f>62811613423</f>
        <v>62811613423</v>
      </c>
      <c r="W6696" t="s">
        <v>18904</v>
      </c>
      <c r="Y6696" s="17" t="s">
        <v>1157</v>
      </c>
      <c r="AA6696" s="17">
        <v>20143</v>
      </c>
    </row>
    <row r="6697" ht="15" customHeight="1" spans="1:28" x14ac:dyDescent="0.25">
      <c r="A6697" s="17" t="s">
        <v>18905</v>
      </c>
      <c r="B6697" s="17" t="s">
        <v>70</v>
      </c>
      <c r="C6697" s="17" t="s">
        <v>71</v>
      </c>
      <c r="D6697" t="s">
        <v>18900</v>
      </c>
      <c r="F6697" t="s">
        <v>18906</v>
      </c>
      <c r="J6697" t="s">
        <v>18907</v>
      </c>
      <c r="K6697" s="18" t="s">
        <v>18908</v>
      </c>
      <c r="N6697" s="17" t="s">
        <v>81</v>
      </c>
      <c r="O6697" t="s">
        <v>261</v>
      </c>
      <c r="U6697" s="17"/>
      <c r="V6697" s="18" t="s">
        <v>18908</v>
      </c>
      <c r="W6697" t="s">
        <v>18909</v>
      </c>
      <c r="Y6697" t="s">
        <v>930</v>
      </c>
      <c r="AA6697" t="s">
        <v>115</v>
      </c>
      <c r="AB6697" t="s">
        <v>930</v>
      </c>
    </row>
    <row r="6698" ht="15" customHeight="1" spans="1:22" x14ac:dyDescent="0.25">
      <c r="A6698" s="17" t="s">
        <v>18910</v>
      </c>
      <c r="B6698" s="17" t="s">
        <v>70</v>
      </c>
      <c r="C6698" s="17" t="s">
        <v>71</v>
      </c>
      <c r="D6698" t="s">
        <v>18900</v>
      </c>
      <c r="F6698" t="s">
        <v>18911</v>
      </c>
      <c r="K6698" s="18">
        <f>6281298478005</f>
        <v>6281298478005</v>
      </c>
      <c r="N6698" s="17" t="s">
        <v>81</v>
      </c>
      <c r="V6698" s="18">
        <f>6281298478005</f>
        <v>6281298478005</v>
      </c>
    </row>
    <row r="6699" ht="15" customHeight="1" spans="1:25" x14ac:dyDescent="0.25">
      <c r="A6699" s="17" t="s">
        <v>18912</v>
      </c>
      <c r="B6699" s="17" t="s">
        <v>70</v>
      </c>
      <c r="C6699" s="17" t="s">
        <v>71</v>
      </c>
      <c r="D6699" t="s">
        <v>18900</v>
      </c>
      <c r="F6699" t="s">
        <v>18913</v>
      </c>
      <c r="K6699" s="18">
        <f>62816813385</f>
        <v>62816813385</v>
      </c>
      <c r="N6699" s="17" t="s">
        <v>77</v>
      </c>
      <c r="U6699" s="17"/>
      <c r="V6699" s="18">
        <f>62816813385</f>
        <v>62816813385</v>
      </c>
      <c r="W6699" t="s">
        <v>18914</v>
      </c>
      <c r="Y6699" s="17" t="s">
        <v>90</v>
      </c>
    </row>
    <row r="6700" ht="15" customHeight="1" spans="1:22" x14ac:dyDescent="0.25">
      <c r="A6700" s="17" t="s">
        <v>18915</v>
      </c>
      <c r="B6700" s="17" t="s">
        <v>70</v>
      </c>
      <c r="C6700" s="17" t="s">
        <v>71</v>
      </c>
      <c r="D6700" t="s">
        <v>18900</v>
      </c>
      <c r="F6700" t="s">
        <v>18916</v>
      </c>
      <c r="K6700" s="18">
        <f>62811819176</f>
        <v>62811819176</v>
      </c>
      <c r="N6700" s="17" t="s">
        <v>81</v>
      </c>
      <c r="V6700" s="18">
        <f>62811819176</f>
        <v>62811819176</v>
      </c>
    </row>
    <row r="6701" ht="15" customHeight="1" spans="1:28" x14ac:dyDescent="0.25">
      <c r="A6701" s="17" t="s">
        <v>18917</v>
      </c>
      <c r="B6701" s="17" t="s">
        <v>70</v>
      </c>
      <c r="C6701" s="17" t="s">
        <v>71</v>
      </c>
      <c r="D6701" t="s">
        <v>18900</v>
      </c>
      <c r="F6701" t="s">
        <v>18918</v>
      </c>
      <c r="J6701" s="17" t="s">
        <v>18919</v>
      </c>
      <c r="K6701" s="18" t="s">
        <v>18920</v>
      </c>
      <c r="N6701" s="17" t="s">
        <v>77</v>
      </c>
      <c r="O6701" t="s">
        <v>117</v>
      </c>
      <c r="V6701" s="18" t="s">
        <v>18920</v>
      </c>
      <c r="Y6701" t="s">
        <v>90</v>
      </c>
      <c r="AA6701" t="s">
        <v>118</v>
      </c>
      <c r="AB6701" t="s">
        <v>119</v>
      </c>
    </row>
    <row r="6702" ht="15" customHeight="1" spans="1:28" x14ac:dyDescent="0.25">
      <c r="A6702" s="17" t="s">
        <v>18921</v>
      </c>
      <c r="B6702" s="17" t="s">
        <v>70</v>
      </c>
      <c r="C6702" s="17" t="s">
        <v>71</v>
      </c>
      <c r="D6702" t="s">
        <v>18900</v>
      </c>
      <c r="F6702" t="s">
        <v>18922</v>
      </c>
      <c r="J6702" t="s">
        <v>115</v>
      </c>
      <c r="K6702" s="18" t="s">
        <v>18923</v>
      </c>
      <c r="N6702" s="17" t="s">
        <v>81</v>
      </c>
      <c r="O6702" t="s">
        <v>117</v>
      </c>
      <c r="V6702" s="18" t="s">
        <v>18923</v>
      </c>
      <c r="Y6702" t="s">
        <v>90</v>
      </c>
      <c r="AA6702" t="s">
        <v>118</v>
      </c>
      <c r="AB6702" t="s">
        <v>119</v>
      </c>
    </row>
    <row r="6703" ht="15" customHeight="1" spans="1:25" x14ac:dyDescent="0.25">
      <c r="A6703" s="17" t="s">
        <v>18924</v>
      </c>
      <c r="B6703" s="17" t="s">
        <v>70</v>
      </c>
      <c r="C6703" s="17" t="s">
        <v>71</v>
      </c>
      <c r="D6703" t="s">
        <v>18900</v>
      </c>
      <c r="F6703" t="s">
        <v>18925</v>
      </c>
      <c r="J6703" s="17" t="s">
        <v>18926</v>
      </c>
      <c r="K6703" s="18">
        <f>6281912221979</f>
        <v>6281912221979</v>
      </c>
      <c r="N6703" s="17" t="s">
        <v>77</v>
      </c>
      <c r="U6703" s="17"/>
      <c r="V6703" s="18">
        <f>6281912221979</f>
        <v>6281912221979</v>
      </c>
      <c r="W6703" t="s">
        <v>18927</v>
      </c>
      <c r="Y6703" s="17" t="s">
        <v>500</v>
      </c>
    </row>
    <row r="6704" ht="15" customHeight="1" spans="1:23" x14ac:dyDescent="0.25">
      <c r="A6704" s="17" t="s">
        <v>18928</v>
      </c>
      <c r="B6704" s="17" t="s">
        <v>70</v>
      </c>
      <c r="C6704" s="17" t="s">
        <v>71</v>
      </c>
      <c r="D6704" t="s">
        <v>18900</v>
      </c>
      <c r="F6704" t="s">
        <v>18929</v>
      </c>
      <c r="J6704" s="17" t="s">
        <v>18930</v>
      </c>
      <c r="K6704" s="18">
        <f>6285211121119</f>
        <v>6285211121119</v>
      </c>
      <c r="N6704" s="17" t="s">
        <v>77</v>
      </c>
      <c r="U6704" s="17"/>
      <c r="V6704" s="18">
        <f>6285211121119</f>
        <v>6285211121119</v>
      </c>
      <c r="W6704" t="s">
        <v>5003</v>
      </c>
    </row>
    <row r="6705" ht="15" customHeight="1" spans="1:27" x14ac:dyDescent="0.25">
      <c r="A6705" s="17" t="s">
        <v>18931</v>
      </c>
      <c r="B6705" s="17" t="s">
        <v>70</v>
      </c>
      <c r="C6705" s="17" t="s">
        <v>71</v>
      </c>
      <c r="D6705" t="s">
        <v>18900</v>
      </c>
      <c r="F6705" t="s">
        <v>2418</v>
      </c>
      <c r="K6705" s="18">
        <f>62811888226</f>
        <v>62811888226</v>
      </c>
      <c r="N6705" s="17" t="s">
        <v>77</v>
      </c>
      <c r="U6705" s="17"/>
      <c r="V6705" s="18">
        <f>62811888226</f>
        <v>62811888226</v>
      </c>
      <c r="W6705" t="s">
        <v>18932</v>
      </c>
      <c r="Y6705" s="17" t="s">
        <v>378</v>
      </c>
      <c r="AA6705" s="17" t="s">
        <v>7565</v>
      </c>
    </row>
    <row r="6706" ht="15" customHeight="1" spans="1:22" x14ac:dyDescent="0.25">
      <c r="A6706" s="17" t="s">
        <v>18933</v>
      </c>
      <c r="B6706" s="17" t="s">
        <v>70</v>
      </c>
      <c r="C6706" s="17" t="s">
        <v>71</v>
      </c>
      <c r="D6706" t="s">
        <v>18900</v>
      </c>
      <c r="F6706" t="s">
        <v>18934</v>
      </c>
      <c r="K6706" s="18">
        <f>6281398924574</f>
        <v>6281398924574</v>
      </c>
      <c r="N6706" s="17" t="s">
        <v>77</v>
      </c>
      <c r="V6706" s="18">
        <f>6281398924574</f>
        <v>6281398924574</v>
      </c>
    </row>
    <row r="6707" ht="15" customHeight="1" spans="1:27" x14ac:dyDescent="0.25">
      <c r="A6707" s="17" t="s">
        <v>18935</v>
      </c>
      <c r="B6707" s="17" t="s">
        <v>70</v>
      </c>
      <c r="C6707" s="17" t="s">
        <v>71</v>
      </c>
      <c r="D6707" t="s">
        <v>18900</v>
      </c>
      <c r="F6707" t="s">
        <v>18936</v>
      </c>
      <c r="J6707" s="17" t="s">
        <v>18937</v>
      </c>
      <c r="K6707" s="18">
        <f>628161944380</f>
        <v>628161944380</v>
      </c>
      <c r="N6707" s="17" t="s">
        <v>77</v>
      </c>
      <c r="U6707" s="17"/>
      <c r="V6707" s="18">
        <f>628161944380</f>
        <v>628161944380</v>
      </c>
      <c r="W6707" t="s">
        <v>18938</v>
      </c>
      <c r="Y6707" s="17" t="s">
        <v>90</v>
      </c>
      <c r="AA6707" s="17">
        <v>13450</v>
      </c>
    </row>
    <row r="6708" ht="15" customHeight="1" spans="1:23" x14ac:dyDescent="0.25">
      <c r="A6708" s="17" t="s">
        <v>18939</v>
      </c>
      <c r="B6708" s="17" t="s">
        <v>70</v>
      </c>
      <c r="C6708" s="17" t="s">
        <v>71</v>
      </c>
      <c r="D6708" t="s">
        <v>18900</v>
      </c>
      <c r="F6708" t="s">
        <v>18940</v>
      </c>
      <c r="K6708" s="18">
        <f>62818765612</f>
        <v>62818765612</v>
      </c>
      <c r="N6708" s="17" t="s">
        <v>77</v>
      </c>
      <c r="U6708" s="17"/>
      <c r="V6708" s="18">
        <f>62818765612</f>
        <v>62818765612</v>
      </c>
      <c r="W6708" t="s">
        <v>18941</v>
      </c>
    </row>
    <row r="6709" ht="15" customHeight="1" spans="1:27" x14ac:dyDescent="0.25">
      <c r="A6709" s="17" t="s">
        <v>18942</v>
      </c>
      <c r="B6709" s="17" t="s">
        <v>70</v>
      </c>
      <c r="C6709" s="17" t="s">
        <v>71</v>
      </c>
      <c r="D6709" t="s">
        <v>18900</v>
      </c>
      <c r="F6709" t="s">
        <v>5264</v>
      </c>
      <c r="K6709" s="18">
        <f>6281311227777</f>
        <v>6281311227777</v>
      </c>
      <c r="N6709" s="17" t="s">
        <v>74</v>
      </c>
      <c r="U6709" s="17"/>
      <c r="V6709" s="18">
        <f>6281311227777</f>
        <v>6281311227777</v>
      </c>
      <c r="W6709" t="s">
        <v>18943</v>
      </c>
      <c r="AA6709" s="17">
        <v>12950</v>
      </c>
    </row>
    <row r="6710" ht="15" customHeight="1" spans="1:22" x14ac:dyDescent="0.25">
      <c r="A6710" s="17" t="s">
        <v>18944</v>
      </c>
      <c r="B6710" s="17" t="s">
        <v>70</v>
      </c>
      <c r="C6710" s="17" t="s">
        <v>71</v>
      </c>
      <c r="D6710" t="s">
        <v>18900</v>
      </c>
      <c r="F6710" t="s">
        <v>10551</v>
      </c>
      <c r="K6710" s="18">
        <f>628170882188</f>
        <v>628170882188</v>
      </c>
      <c r="N6710" s="17" t="s">
        <v>74</v>
      </c>
      <c r="V6710" s="18">
        <f>628170882188</f>
        <v>628170882188</v>
      </c>
    </row>
    <row r="6711" ht="15" customHeight="1" spans="1:25" x14ac:dyDescent="0.25">
      <c r="A6711" s="17" t="s">
        <v>18945</v>
      </c>
      <c r="B6711" s="17" t="s">
        <v>70</v>
      </c>
      <c r="C6711" s="17" t="s">
        <v>71</v>
      </c>
      <c r="D6711" t="s">
        <v>18900</v>
      </c>
      <c r="F6711" t="s">
        <v>4129</v>
      </c>
      <c r="K6711" s="18">
        <f>62217691842</f>
        <v>62217691842</v>
      </c>
      <c r="N6711" s="17" t="s">
        <v>77</v>
      </c>
      <c r="U6711" s="17"/>
      <c r="V6711" s="18">
        <f>62217691842</f>
        <v>62217691842</v>
      </c>
      <c r="W6711" t="s">
        <v>18946</v>
      </c>
      <c r="Y6711" s="17" t="s">
        <v>90</v>
      </c>
    </row>
    <row r="6712" ht="15" customHeight="1" spans="1:28" x14ac:dyDescent="0.25">
      <c r="A6712" s="17" t="s">
        <v>18947</v>
      </c>
      <c r="B6712" s="17" t="s">
        <v>70</v>
      </c>
      <c r="C6712" s="17" t="s">
        <v>71</v>
      </c>
      <c r="D6712" t="s">
        <v>18900</v>
      </c>
      <c r="F6712" t="s">
        <v>18948</v>
      </c>
      <c r="J6712" s="17" t="s">
        <v>18949</v>
      </c>
      <c r="K6712" s="18" t="s">
        <v>18950</v>
      </c>
      <c r="N6712" s="17" t="s">
        <v>77</v>
      </c>
      <c r="O6712" t="s">
        <v>117</v>
      </c>
      <c r="V6712" s="18" t="s">
        <v>18950</v>
      </c>
      <c r="Y6712" t="s">
        <v>490</v>
      </c>
      <c r="AA6712" t="s">
        <v>115</v>
      </c>
      <c r="AB6712" t="s">
        <v>119</v>
      </c>
    </row>
    <row r="6713" ht="15" customHeight="1" spans="1:22" x14ac:dyDescent="0.25">
      <c r="A6713" s="17" t="s">
        <v>18951</v>
      </c>
      <c r="B6713" s="17" t="s">
        <v>70</v>
      </c>
      <c r="C6713" s="17" t="s">
        <v>71</v>
      </c>
      <c r="D6713" t="s">
        <v>18900</v>
      </c>
      <c r="F6713" t="s">
        <v>18952</v>
      </c>
      <c r="K6713" s="18">
        <f>628121056080</f>
        <v>628121056080</v>
      </c>
      <c r="N6713" s="17" t="s">
        <v>77</v>
      </c>
      <c r="V6713" s="18">
        <f>628121056080</f>
        <v>628121056080</v>
      </c>
    </row>
    <row r="6714" ht="15" customHeight="1" spans="1:22" x14ac:dyDescent="0.25">
      <c r="A6714" s="17" t="s">
        <v>18953</v>
      </c>
      <c r="B6714" s="17" t="s">
        <v>70</v>
      </c>
      <c r="C6714" s="17" t="s">
        <v>71</v>
      </c>
      <c r="D6714" t="s">
        <v>18900</v>
      </c>
      <c r="F6714" t="s">
        <v>18954</v>
      </c>
      <c r="K6714" s="18">
        <f>628161907210</f>
        <v>628161907210</v>
      </c>
      <c r="N6714" s="17" t="s">
        <v>77</v>
      </c>
      <c r="V6714" s="18">
        <f>628161907210</f>
        <v>628161907210</v>
      </c>
    </row>
    <row r="6715" ht="15" customHeight="1" spans="1:22" x14ac:dyDescent="0.25">
      <c r="A6715" s="17" t="s">
        <v>18955</v>
      </c>
      <c r="B6715" s="17" t="s">
        <v>70</v>
      </c>
      <c r="C6715" s="17" t="s">
        <v>71</v>
      </c>
      <c r="D6715" t="s">
        <v>18900</v>
      </c>
      <c r="F6715" t="s">
        <v>18956</v>
      </c>
      <c r="K6715" s="18">
        <f>62811166220</f>
        <v>62811166220</v>
      </c>
      <c r="N6715" s="17" t="s">
        <v>77</v>
      </c>
      <c r="V6715" s="18">
        <f>62811166220</f>
        <v>62811166220</v>
      </c>
    </row>
    <row r="6716" ht="15" customHeight="1" spans="1:22" x14ac:dyDescent="0.25">
      <c r="A6716" s="17" t="s">
        <v>18957</v>
      </c>
      <c r="B6716" s="17" t="s">
        <v>70</v>
      </c>
      <c r="C6716" s="17" t="s">
        <v>71</v>
      </c>
      <c r="D6716" t="s">
        <v>18900</v>
      </c>
      <c r="F6716" t="s">
        <v>18958</v>
      </c>
      <c r="K6716" s="18">
        <f>6281586003561</f>
        <v>6281586003561</v>
      </c>
      <c r="N6716" s="17" t="s">
        <v>81</v>
      </c>
      <c r="V6716" s="18">
        <f>6281586003561</f>
        <v>6281586003561</v>
      </c>
    </row>
    <row r="6717" ht="15" customHeight="1" spans="1:28" x14ac:dyDescent="0.25">
      <c r="A6717" s="17" t="s">
        <v>18959</v>
      </c>
      <c r="B6717" s="17" t="s">
        <v>70</v>
      </c>
      <c r="C6717" s="17" t="s">
        <v>71</v>
      </c>
      <c r="D6717" t="s">
        <v>18960</v>
      </c>
      <c r="F6717" t="s">
        <v>17384</v>
      </c>
      <c r="J6717" t="s">
        <v>115</v>
      </c>
      <c r="K6717" s="18" t="s">
        <v>18961</v>
      </c>
      <c r="N6717" s="17" t="s">
        <v>77</v>
      </c>
      <c r="O6717" t="s">
        <v>117</v>
      </c>
      <c r="U6717" s="17"/>
      <c r="V6717" s="18" t="s">
        <v>18961</v>
      </c>
      <c r="W6717" t="s">
        <v>18962</v>
      </c>
      <c r="Y6717" t="s">
        <v>90</v>
      </c>
      <c r="AA6717" t="s">
        <v>118</v>
      </c>
      <c r="AB6717" t="s">
        <v>119</v>
      </c>
    </row>
    <row r="6718" ht="15" customHeight="1" spans="1:22" x14ac:dyDescent="0.25">
      <c r="A6718" s="17" t="s">
        <v>18963</v>
      </c>
      <c r="B6718" s="17" t="s">
        <v>70</v>
      </c>
      <c r="C6718" s="17" t="s">
        <v>71</v>
      </c>
      <c r="D6718" t="s">
        <v>4669</v>
      </c>
      <c r="F6718" t="s">
        <v>4669</v>
      </c>
      <c r="K6718" s="18">
        <f>6281905054223</f>
        <v>6281905054223</v>
      </c>
      <c r="N6718" s="17" t="s">
        <v>77</v>
      </c>
      <c r="V6718" s="18">
        <f>6281905054223</f>
        <v>6281905054223</v>
      </c>
    </row>
    <row r="6719" ht="15" customHeight="1" spans="1:22" x14ac:dyDescent="0.25">
      <c r="A6719" s="17" t="s">
        <v>18964</v>
      </c>
      <c r="B6719" s="17" t="s">
        <v>70</v>
      </c>
      <c r="C6719" s="17" t="s">
        <v>71</v>
      </c>
      <c r="D6719" t="s">
        <v>4669</v>
      </c>
      <c r="F6719" t="s">
        <v>4669</v>
      </c>
      <c r="K6719" s="18">
        <f>62895378558175</f>
        <v>62895378558175</v>
      </c>
      <c r="N6719" s="17" t="s">
        <v>81</v>
      </c>
      <c r="V6719" s="18">
        <f>62895378558175</f>
        <v>62895378558175</v>
      </c>
    </row>
    <row r="6720" ht="15" customHeight="1" spans="1:23" x14ac:dyDescent="0.25">
      <c r="A6720" s="17" t="s">
        <v>18965</v>
      </c>
      <c r="B6720" s="17" t="s">
        <v>70</v>
      </c>
      <c r="C6720" s="17" t="s">
        <v>71</v>
      </c>
      <c r="D6720" t="s">
        <v>4669</v>
      </c>
      <c r="F6720" t="s">
        <v>18966</v>
      </c>
      <c r="K6720" s="18">
        <f>62811109072</f>
        <v>62811109072</v>
      </c>
      <c r="N6720" s="17" t="s">
        <v>77</v>
      </c>
      <c r="U6720" s="17"/>
      <c r="V6720" s="18">
        <f>62811109072</f>
        <v>62811109072</v>
      </c>
      <c r="W6720" t="s">
        <v>18967</v>
      </c>
    </row>
    <row r="6721" ht="15" customHeight="1" spans="1:22" x14ac:dyDescent="0.25">
      <c r="A6721" s="17" t="s">
        <v>18968</v>
      </c>
      <c r="B6721" s="17" t="s">
        <v>70</v>
      </c>
      <c r="C6721" s="17" t="s">
        <v>71</v>
      </c>
      <c r="D6721" t="s">
        <v>4669</v>
      </c>
      <c r="F6721" t="s">
        <v>18969</v>
      </c>
      <c r="K6721" s="18">
        <f>628170070789</f>
        <v>628170070789</v>
      </c>
      <c r="N6721" s="17" t="s">
        <v>77</v>
      </c>
      <c r="V6721" s="18">
        <f>628170070789</f>
        <v>628170070789</v>
      </c>
    </row>
    <row r="6722" ht="15" customHeight="1" spans="1:22" x14ac:dyDescent="0.25">
      <c r="A6722" s="17" t="s">
        <v>18970</v>
      </c>
      <c r="B6722" s="17" t="s">
        <v>70</v>
      </c>
      <c r="C6722" s="17" t="s">
        <v>71</v>
      </c>
      <c r="D6722" t="s">
        <v>4669</v>
      </c>
      <c r="F6722" t="s">
        <v>2517</v>
      </c>
      <c r="K6722" s="18">
        <f>62217450976</f>
        <v>62217450976</v>
      </c>
      <c r="N6722" s="17" t="s">
        <v>77</v>
      </c>
      <c r="V6722" s="18">
        <f>62217450976</f>
        <v>62217450976</v>
      </c>
    </row>
    <row r="6723" ht="15" customHeight="1" spans="1:28" x14ac:dyDescent="0.25">
      <c r="A6723" s="17" t="s">
        <v>18971</v>
      </c>
      <c r="B6723" s="17" t="s">
        <v>70</v>
      </c>
      <c r="C6723" s="17" t="s">
        <v>71</v>
      </c>
      <c r="D6723" t="s">
        <v>4669</v>
      </c>
      <c r="F6723" t="s">
        <v>18972</v>
      </c>
      <c r="J6723" t="s">
        <v>115</v>
      </c>
      <c r="K6723" s="18" t="s">
        <v>18973</v>
      </c>
      <c r="N6723" s="17" t="s">
        <v>77</v>
      </c>
      <c r="O6723" t="s">
        <v>145</v>
      </c>
      <c r="U6723" s="17"/>
      <c r="V6723" s="18" t="s">
        <v>18973</v>
      </c>
      <c r="W6723" t="s">
        <v>18974</v>
      </c>
      <c r="Y6723" s="17" t="s">
        <v>90</v>
      </c>
      <c r="AA6723" t="s">
        <v>118</v>
      </c>
      <c r="AB6723" t="s">
        <v>119</v>
      </c>
    </row>
    <row r="6724" ht="15" customHeight="1" spans="1:22" x14ac:dyDescent="0.25">
      <c r="A6724" s="17" t="s">
        <v>18975</v>
      </c>
      <c r="B6724" s="17" t="s">
        <v>70</v>
      </c>
      <c r="C6724" s="17" t="s">
        <v>71</v>
      </c>
      <c r="D6724" t="s">
        <v>4669</v>
      </c>
      <c r="F6724" t="s">
        <v>18976</v>
      </c>
      <c r="K6724" s="18">
        <f>628136447824</f>
        <v>628136447824</v>
      </c>
      <c r="N6724" s="17" t="s">
        <v>77</v>
      </c>
      <c r="V6724" s="18">
        <f>628136447824</f>
        <v>628136447824</v>
      </c>
    </row>
    <row r="6725" ht="15" customHeight="1" spans="1:22" x14ac:dyDescent="0.25">
      <c r="A6725" s="17" t="s">
        <v>18977</v>
      </c>
      <c r="B6725" s="17" t="s">
        <v>70</v>
      </c>
      <c r="C6725" s="17" t="s">
        <v>71</v>
      </c>
      <c r="D6725" t="s">
        <v>13629</v>
      </c>
      <c r="F6725" t="s">
        <v>3202</v>
      </c>
      <c r="K6725" s="18">
        <f>6287885054344</f>
        <v>6287885054344</v>
      </c>
      <c r="N6725" s="17" t="s">
        <v>81</v>
      </c>
      <c r="V6725" s="18">
        <f>6287885054344</f>
        <v>6287885054344</v>
      </c>
    </row>
    <row r="6726" ht="15" customHeight="1" spans="1:27" x14ac:dyDescent="0.25">
      <c r="A6726" s="17" t="s">
        <v>18978</v>
      </c>
      <c r="B6726" s="17" t="s">
        <v>70</v>
      </c>
      <c r="C6726" s="17" t="s">
        <v>71</v>
      </c>
      <c r="D6726" t="s">
        <v>13629</v>
      </c>
      <c r="F6726" t="s">
        <v>2938</v>
      </c>
      <c r="J6726" s="17" t="s">
        <v>18979</v>
      </c>
      <c r="K6726" s="18">
        <f>62811185622</f>
        <v>62811185622</v>
      </c>
      <c r="N6726" s="17" t="s">
        <v>77</v>
      </c>
      <c r="U6726" s="17"/>
      <c r="V6726" s="18">
        <f>62811185622</f>
        <v>62811185622</v>
      </c>
      <c r="W6726" t="s">
        <v>18980</v>
      </c>
      <c r="Y6726" s="17" t="s">
        <v>626</v>
      </c>
      <c r="AA6726" s="17">
        <v>11830</v>
      </c>
    </row>
    <row r="6727" ht="15" customHeight="1" spans="1:22" x14ac:dyDescent="0.25">
      <c r="A6727" s="17" t="s">
        <v>18981</v>
      </c>
      <c r="B6727" s="17" t="s">
        <v>70</v>
      </c>
      <c r="C6727" s="17" t="s">
        <v>71</v>
      </c>
      <c r="D6727" t="s">
        <v>13629</v>
      </c>
      <c r="F6727" t="s">
        <v>4479</v>
      </c>
      <c r="K6727" s="18">
        <f>628111022021</f>
        <v>628111022021</v>
      </c>
      <c r="N6727" s="17" t="s">
        <v>81</v>
      </c>
      <c r="V6727" s="18">
        <f>628111022021</f>
        <v>628111022021</v>
      </c>
    </row>
    <row r="6728" ht="15" customHeight="1" spans="1:23" x14ac:dyDescent="0.25">
      <c r="A6728" s="17" t="s">
        <v>18982</v>
      </c>
      <c r="B6728" s="17" t="s">
        <v>70</v>
      </c>
      <c r="C6728" s="17" t="s">
        <v>71</v>
      </c>
      <c r="D6728" t="s">
        <v>13629</v>
      </c>
      <c r="F6728" t="s">
        <v>17228</v>
      </c>
      <c r="K6728" s="18">
        <f>62818908988</f>
        <v>62818908988</v>
      </c>
      <c r="N6728" s="17" t="s">
        <v>77</v>
      </c>
      <c r="U6728" s="17"/>
      <c r="V6728" s="18">
        <f>62818908988</f>
        <v>62818908988</v>
      </c>
      <c r="W6728" t="s">
        <v>626</v>
      </c>
    </row>
    <row r="6729" ht="15" customHeight="1" spans="1:22" x14ac:dyDescent="0.25">
      <c r="A6729" s="17" t="s">
        <v>18983</v>
      </c>
      <c r="B6729" s="17" t="s">
        <v>70</v>
      </c>
      <c r="C6729" s="17" t="s">
        <v>71</v>
      </c>
      <c r="D6729" t="s">
        <v>13629</v>
      </c>
      <c r="F6729" t="s">
        <v>18984</v>
      </c>
      <c r="K6729" s="18">
        <f>622193737676</f>
        <v>622193737676</v>
      </c>
      <c r="N6729" s="17" t="s">
        <v>77</v>
      </c>
      <c r="V6729" s="18">
        <f>622193737676</f>
        <v>622193737676</v>
      </c>
    </row>
    <row r="6730" ht="15" customHeight="1" spans="1:28" x14ac:dyDescent="0.25">
      <c r="A6730" s="17" t="s">
        <v>18985</v>
      </c>
      <c r="B6730" s="17" t="s">
        <v>70</v>
      </c>
      <c r="C6730" s="17" t="s">
        <v>71</v>
      </c>
      <c r="D6730" t="s">
        <v>18986</v>
      </c>
      <c r="F6730" t="s">
        <v>2226</v>
      </c>
      <c r="J6730" t="s">
        <v>18987</v>
      </c>
      <c r="K6730" s="18" t="s">
        <v>18988</v>
      </c>
      <c r="N6730" s="17" t="s">
        <v>77</v>
      </c>
      <c r="O6730" t="s">
        <v>145</v>
      </c>
      <c r="V6730" s="18" t="s">
        <v>18988</v>
      </c>
      <c r="Y6730" t="s">
        <v>190</v>
      </c>
      <c r="AA6730" t="s">
        <v>118</v>
      </c>
      <c r="AB6730" t="s">
        <v>119</v>
      </c>
    </row>
    <row r="6731" ht="15" customHeight="1" spans="1:22" x14ac:dyDescent="0.25">
      <c r="A6731" s="17" t="s">
        <v>18989</v>
      </c>
      <c r="B6731" s="17" t="s">
        <v>70</v>
      </c>
      <c r="C6731" s="17" t="s">
        <v>71</v>
      </c>
      <c r="D6731" t="s">
        <v>18990</v>
      </c>
      <c r="F6731" t="s">
        <v>18990</v>
      </c>
      <c r="K6731" s="18">
        <f>6285883768786</f>
        <v>6285883768786</v>
      </c>
      <c r="N6731" s="17" t="s">
        <v>81</v>
      </c>
      <c r="V6731" s="18">
        <f>6285883768786</f>
        <v>6285883768786</v>
      </c>
    </row>
    <row r="6732" ht="15" customHeight="1" spans="1:25" x14ac:dyDescent="0.25">
      <c r="A6732" s="17" t="s">
        <v>18991</v>
      </c>
      <c r="B6732" s="17" t="s">
        <v>70</v>
      </c>
      <c r="C6732" s="17" t="s">
        <v>71</v>
      </c>
      <c r="D6732" t="s">
        <v>18992</v>
      </c>
      <c r="F6732" t="s">
        <v>3181</v>
      </c>
      <c r="J6732" s="17" t="s">
        <v>18993</v>
      </c>
      <c r="K6732" s="18">
        <f>6281610841</f>
        <v>6281610841</v>
      </c>
      <c r="N6732" s="17" t="s">
        <v>77</v>
      </c>
      <c r="U6732" s="17"/>
      <c r="V6732" s="18">
        <f>6281610841</f>
        <v>6281610841</v>
      </c>
      <c r="W6732" t="s">
        <v>18994</v>
      </c>
      <c r="Y6732" s="17" t="s">
        <v>90</v>
      </c>
    </row>
    <row r="6733" ht="15" customHeight="1" spans="1:22" x14ac:dyDescent="0.25">
      <c r="A6733" s="17" t="s">
        <v>18995</v>
      </c>
      <c r="B6733" s="17" t="s">
        <v>70</v>
      </c>
      <c r="C6733" s="17" t="s">
        <v>71</v>
      </c>
      <c r="D6733" t="s">
        <v>18996</v>
      </c>
      <c r="F6733" t="s">
        <v>18997</v>
      </c>
      <c r="K6733" s="18">
        <f>62816829915</f>
        <v>62816829915</v>
      </c>
      <c r="N6733" s="17" t="s">
        <v>77</v>
      </c>
      <c r="V6733" s="18">
        <f>62816829915</f>
        <v>62816829915</v>
      </c>
    </row>
    <row r="6734" ht="15" customHeight="1" spans="1:23" x14ac:dyDescent="0.25">
      <c r="A6734" s="17" t="s">
        <v>18998</v>
      </c>
      <c r="B6734" s="17" t="s">
        <v>70</v>
      </c>
      <c r="C6734" s="17" t="s">
        <v>71</v>
      </c>
      <c r="D6734" t="s">
        <v>18999</v>
      </c>
      <c r="F6734" t="s">
        <v>4918</v>
      </c>
      <c r="K6734" s="18">
        <f>6586146699</f>
        <v>6586146699</v>
      </c>
      <c r="N6734" s="17" t="s">
        <v>77</v>
      </c>
      <c r="U6734" s="17"/>
      <c r="V6734" s="18">
        <f>6586146699</f>
        <v>6586146699</v>
      </c>
      <c r="W6734" t="s">
        <v>19000</v>
      </c>
    </row>
    <row r="6735" ht="15" customHeight="1" spans="1:22" x14ac:dyDescent="0.25">
      <c r="A6735" s="17" t="s">
        <v>19001</v>
      </c>
      <c r="B6735" s="17" t="s">
        <v>70</v>
      </c>
      <c r="C6735" s="17" t="s">
        <v>71</v>
      </c>
      <c r="D6735" t="s">
        <v>19002</v>
      </c>
      <c r="F6735" t="s">
        <v>19002</v>
      </c>
      <c r="K6735" s="18">
        <f>628121821946</f>
        <v>628121821946</v>
      </c>
      <c r="N6735" s="17" t="s">
        <v>77</v>
      </c>
      <c r="V6735" s="18">
        <f>628121821946</f>
        <v>628121821946</v>
      </c>
    </row>
    <row r="6736" ht="15" customHeight="1" spans="1:28" x14ac:dyDescent="0.25">
      <c r="A6736" s="17" t="s">
        <v>19003</v>
      </c>
      <c r="B6736" s="17" t="s">
        <v>70</v>
      </c>
      <c r="C6736" s="17" t="s">
        <v>71</v>
      </c>
      <c r="D6736" t="s">
        <v>19004</v>
      </c>
      <c r="F6736" t="s">
        <v>9958</v>
      </c>
      <c r="J6736" t="s">
        <v>115</v>
      </c>
      <c r="K6736" s="18" t="s">
        <v>19005</v>
      </c>
      <c r="N6736" s="17" t="s">
        <v>77</v>
      </c>
      <c r="O6736" t="s">
        <v>199</v>
      </c>
      <c r="V6736" s="18" t="s">
        <v>19005</v>
      </c>
      <c r="Y6736" t="s">
        <v>190</v>
      </c>
      <c r="AA6736" t="s">
        <v>118</v>
      </c>
      <c r="AB6736" t="s">
        <v>119</v>
      </c>
    </row>
    <row r="6737" ht="15" customHeight="1" spans="1:25" x14ac:dyDescent="0.25">
      <c r="A6737" s="17" t="s">
        <v>19006</v>
      </c>
      <c r="B6737" s="17" t="s">
        <v>70</v>
      </c>
      <c r="C6737" s="17" t="s">
        <v>71</v>
      </c>
      <c r="D6737" t="s">
        <v>19002</v>
      </c>
      <c r="F6737" t="s">
        <v>19007</v>
      </c>
      <c r="K6737" s="18">
        <v>911344705</v>
      </c>
      <c r="N6737" s="17" t="s">
        <v>77</v>
      </c>
      <c r="U6737" s="17"/>
      <c r="V6737" s="18">
        <v>911344705</v>
      </c>
      <c r="W6737" t="s">
        <v>19008</v>
      </c>
      <c r="Y6737" s="17" t="s">
        <v>19009</v>
      </c>
    </row>
    <row r="6738" ht="15" customHeight="1" spans="1:22" x14ac:dyDescent="0.25">
      <c r="A6738" s="17" t="s">
        <v>19010</v>
      </c>
      <c r="B6738" s="17" t="s">
        <v>70</v>
      </c>
      <c r="C6738" s="17" t="s">
        <v>71</v>
      </c>
      <c r="D6738" t="s">
        <v>19004</v>
      </c>
      <c r="F6738" t="s">
        <v>19004</v>
      </c>
      <c r="K6738" s="18">
        <f>628119781766</f>
        <v>628119781766</v>
      </c>
      <c r="N6738" s="17" t="s">
        <v>77</v>
      </c>
      <c r="V6738" s="18">
        <f>628119781766</f>
        <v>628119781766</v>
      </c>
    </row>
    <row r="6739" ht="15" customHeight="1" spans="1:22" x14ac:dyDescent="0.25">
      <c r="A6739" s="17" t="s">
        <v>19011</v>
      </c>
      <c r="B6739" s="17" t="s">
        <v>70</v>
      </c>
      <c r="C6739" s="17" t="s">
        <v>71</v>
      </c>
      <c r="D6739" t="s">
        <v>19004</v>
      </c>
      <c r="F6739" t="s">
        <v>19004</v>
      </c>
      <c r="K6739" s="18">
        <f>6285691999763</f>
        <v>6285691999763</v>
      </c>
      <c r="N6739" s="17" t="s">
        <v>81</v>
      </c>
      <c r="V6739" s="18">
        <f>6285691999763</f>
        <v>6285691999763</v>
      </c>
    </row>
    <row r="6740" ht="15" customHeight="1" spans="1:28" x14ac:dyDescent="0.25">
      <c r="A6740" s="17" t="s">
        <v>19012</v>
      </c>
      <c r="B6740" s="17" t="s">
        <v>70</v>
      </c>
      <c r="C6740" s="17" t="s">
        <v>71</v>
      </c>
      <c r="D6740" t="s">
        <v>19004</v>
      </c>
      <c r="F6740" t="s">
        <v>19013</v>
      </c>
      <c r="J6740" t="s">
        <v>115</v>
      </c>
      <c r="K6740" s="18" t="s">
        <v>19014</v>
      </c>
      <c r="N6740" s="17" t="s">
        <v>77</v>
      </c>
      <c r="O6740" t="s">
        <v>199</v>
      </c>
      <c r="U6740" s="17"/>
      <c r="V6740" s="18" t="s">
        <v>19014</v>
      </c>
      <c r="W6740" t="s">
        <v>19015</v>
      </c>
      <c r="Y6740" t="s">
        <v>90</v>
      </c>
      <c r="AA6740" t="s">
        <v>118</v>
      </c>
      <c r="AB6740" t="s">
        <v>119</v>
      </c>
    </row>
    <row r="6741" ht="15" customHeight="1" spans="1:22" x14ac:dyDescent="0.25">
      <c r="A6741" s="17" t="s">
        <v>19016</v>
      </c>
      <c r="B6741" s="17" t="s">
        <v>70</v>
      </c>
      <c r="C6741" s="17" t="s">
        <v>71</v>
      </c>
      <c r="D6741" t="s">
        <v>19004</v>
      </c>
      <c r="F6741" t="s">
        <v>3190</v>
      </c>
      <c r="K6741" s="18">
        <f>628112003377</f>
        <v>628112003377</v>
      </c>
      <c r="N6741" s="17" t="s">
        <v>77</v>
      </c>
      <c r="V6741" s="18">
        <f>628112003377</f>
        <v>628112003377</v>
      </c>
    </row>
    <row r="6742" ht="15" customHeight="1" spans="1:28" x14ac:dyDescent="0.25">
      <c r="A6742" s="17" t="s">
        <v>19017</v>
      </c>
      <c r="B6742" s="17" t="s">
        <v>70</v>
      </c>
      <c r="C6742" s="17" t="s">
        <v>71</v>
      </c>
      <c r="D6742" t="s">
        <v>19004</v>
      </c>
      <c r="F6742" t="s">
        <v>10005</v>
      </c>
      <c r="J6742" t="s">
        <v>115</v>
      </c>
      <c r="K6742" s="18" t="s">
        <v>19018</v>
      </c>
      <c r="N6742" s="17" t="s">
        <v>81</v>
      </c>
      <c r="O6742" t="s">
        <v>117</v>
      </c>
      <c r="U6742" s="17"/>
      <c r="V6742" s="18" t="s">
        <v>19018</v>
      </c>
      <c r="W6742" t="s">
        <v>19019</v>
      </c>
      <c r="Y6742" t="s">
        <v>115</v>
      </c>
      <c r="AA6742" t="s">
        <v>115</v>
      </c>
      <c r="AB6742" t="s">
        <v>119</v>
      </c>
    </row>
    <row r="6743" ht="15" customHeight="1" spans="1:22" x14ac:dyDescent="0.25">
      <c r="A6743" s="17" t="s">
        <v>19020</v>
      </c>
      <c r="B6743" s="17" t="s">
        <v>70</v>
      </c>
      <c r="C6743" s="17" t="s">
        <v>71</v>
      </c>
      <c r="D6743" t="s">
        <v>19004</v>
      </c>
      <c r="F6743" t="s">
        <v>19021</v>
      </c>
      <c r="J6743" s="17" t="s">
        <v>19022</v>
      </c>
      <c r="K6743" s="18">
        <f>6281288676622</f>
        <v>6281288676622</v>
      </c>
      <c r="N6743" s="17" t="s">
        <v>77</v>
      </c>
      <c r="V6743" s="18">
        <f>6281288676622</f>
        <v>6281288676622</v>
      </c>
    </row>
    <row r="6744" ht="15" customHeight="1" spans="1:22" x14ac:dyDescent="0.25">
      <c r="A6744" s="17" t="s">
        <v>19023</v>
      </c>
      <c r="B6744" s="17" t="s">
        <v>70</v>
      </c>
      <c r="C6744" s="17" t="s">
        <v>71</v>
      </c>
      <c r="D6744" t="s">
        <v>19004</v>
      </c>
      <c r="F6744" t="s">
        <v>7153</v>
      </c>
      <c r="K6744" s="18">
        <f>6281210223096</f>
        <v>6281210223096</v>
      </c>
      <c r="N6744" s="17" t="s">
        <v>81</v>
      </c>
      <c r="V6744" s="18">
        <f>6281210223096</f>
        <v>6281210223096</v>
      </c>
    </row>
    <row r="6745" ht="15" customHeight="1" spans="1:22" x14ac:dyDescent="0.25">
      <c r="A6745" s="17" t="s">
        <v>19024</v>
      </c>
      <c r="B6745" s="17" t="s">
        <v>70</v>
      </c>
      <c r="C6745" s="17" t="s">
        <v>71</v>
      </c>
      <c r="D6745" t="s">
        <v>19004</v>
      </c>
      <c r="F6745" t="s">
        <v>19025</v>
      </c>
      <c r="J6745" s="17" t="s">
        <v>19026</v>
      </c>
      <c r="K6745" s="18">
        <f>64220470757</f>
        <v>64220470757</v>
      </c>
      <c r="N6745" s="17" t="s">
        <v>81</v>
      </c>
      <c r="V6745" s="18">
        <f>64220470757</f>
        <v>64220470757</v>
      </c>
    </row>
    <row r="6746" ht="15" customHeight="1" spans="1:28" x14ac:dyDescent="0.25">
      <c r="A6746" s="17" t="s">
        <v>19027</v>
      </c>
      <c r="B6746" s="17" t="s">
        <v>70</v>
      </c>
      <c r="C6746" s="17" t="s">
        <v>71</v>
      </c>
      <c r="D6746" t="s">
        <v>19004</v>
      </c>
      <c r="F6746" t="s">
        <v>19004</v>
      </c>
      <c r="J6746" t="s">
        <v>115</v>
      </c>
      <c r="K6746" s="18" t="s">
        <v>19028</v>
      </c>
      <c r="N6746" s="17" t="s">
        <v>77</v>
      </c>
      <c r="O6746" t="s">
        <v>117</v>
      </c>
      <c r="V6746" s="18" t="s">
        <v>19028</v>
      </c>
      <c r="Y6746" t="s">
        <v>90</v>
      </c>
      <c r="AA6746" t="s">
        <v>118</v>
      </c>
      <c r="AB6746" t="s">
        <v>119</v>
      </c>
    </row>
    <row r="6747" ht="15" customHeight="1" spans="1:28" x14ac:dyDescent="0.25">
      <c r="A6747" s="17" t="s">
        <v>19029</v>
      </c>
      <c r="B6747" s="17" t="s">
        <v>70</v>
      </c>
      <c r="C6747" s="17" t="s">
        <v>71</v>
      </c>
      <c r="D6747" t="s">
        <v>19004</v>
      </c>
      <c r="F6747" t="s">
        <v>13174</v>
      </c>
      <c r="J6747" t="s">
        <v>115</v>
      </c>
      <c r="K6747" s="18" t="s">
        <v>19030</v>
      </c>
      <c r="N6747" s="17" t="s">
        <v>81</v>
      </c>
      <c r="O6747" t="s">
        <v>117</v>
      </c>
      <c r="U6747" s="17"/>
      <c r="V6747" s="18" t="s">
        <v>19030</v>
      </c>
      <c r="W6747" t="s">
        <v>5003</v>
      </c>
      <c r="Y6747" t="s">
        <v>90</v>
      </c>
      <c r="AA6747" t="s">
        <v>118</v>
      </c>
      <c r="AB6747" t="s">
        <v>119</v>
      </c>
    </row>
    <row r="6748" ht="15" customHeight="1" spans="1:22" x14ac:dyDescent="0.25">
      <c r="A6748" s="17" t="s">
        <v>19031</v>
      </c>
      <c r="B6748" s="17" t="s">
        <v>70</v>
      </c>
      <c r="C6748" s="17" t="s">
        <v>71</v>
      </c>
      <c r="D6748" t="s">
        <v>19004</v>
      </c>
      <c r="F6748" t="s">
        <v>19032</v>
      </c>
      <c r="K6748" s="18">
        <f>62816977546</f>
        <v>62816977546</v>
      </c>
      <c r="N6748" s="17" t="s">
        <v>81</v>
      </c>
      <c r="V6748" s="18">
        <f>62816977546</f>
        <v>62816977546</v>
      </c>
    </row>
    <row r="6749" ht="15" customHeight="1" spans="1:28" x14ac:dyDescent="0.25">
      <c r="A6749" s="17" t="s">
        <v>19033</v>
      </c>
      <c r="B6749" s="17" t="s">
        <v>70</v>
      </c>
      <c r="C6749" s="17" t="s">
        <v>71</v>
      </c>
      <c r="D6749" t="s">
        <v>19004</v>
      </c>
      <c r="F6749" t="s">
        <v>19034</v>
      </c>
      <c r="J6749" t="s">
        <v>115</v>
      </c>
      <c r="K6749" s="18" t="s">
        <v>19035</v>
      </c>
      <c r="N6749" s="17" t="s">
        <v>77</v>
      </c>
      <c r="O6749" t="s">
        <v>145</v>
      </c>
      <c r="U6749" s="17"/>
      <c r="V6749" s="18" t="s">
        <v>19035</v>
      </c>
      <c r="W6749" t="s">
        <v>19036</v>
      </c>
      <c r="Y6749" t="s">
        <v>90</v>
      </c>
      <c r="AA6749" t="s">
        <v>118</v>
      </c>
      <c r="AB6749" t="s">
        <v>119</v>
      </c>
    </row>
    <row r="6750" ht="15" customHeight="1" spans="1:27" x14ac:dyDescent="0.25">
      <c r="A6750" s="17" t="s">
        <v>19037</v>
      </c>
      <c r="B6750" s="17" t="s">
        <v>70</v>
      </c>
      <c r="C6750" s="17" t="s">
        <v>71</v>
      </c>
      <c r="D6750" t="s">
        <v>19004</v>
      </c>
      <c r="F6750" t="s">
        <v>19038</v>
      </c>
      <c r="K6750" s="18">
        <v>53668847</v>
      </c>
      <c r="N6750" s="17" t="s">
        <v>77</v>
      </c>
      <c r="U6750" s="17"/>
      <c r="V6750" s="18">
        <v>53668847</v>
      </c>
      <c r="W6750" t="s">
        <v>19039</v>
      </c>
      <c r="Y6750" s="17" t="s">
        <v>96</v>
      </c>
      <c r="AA6750" s="17" t="s">
        <v>19040</v>
      </c>
    </row>
    <row r="6751" ht="15" customHeight="1" spans="1:28" x14ac:dyDescent="0.25">
      <c r="A6751" s="17" t="s">
        <v>19041</v>
      </c>
      <c r="B6751" s="17" t="s">
        <v>70</v>
      </c>
      <c r="C6751" s="17" t="s">
        <v>71</v>
      </c>
      <c r="D6751" t="s">
        <v>19004</v>
      </c>
      <c r="F6751" t="s">
        <v>19042</v>
      </c>
      <c r="J6751" t="s">
        <v>19043</v>
      </c>
      <c r="K6751" s="18" t="s">
        <v>19044</v>
      </c>
      <c r="N6751" s="17" t="s">
        <v>77</v>
      </c>
      <c r="O6751" t="s">
        <v>145</v>
      </c>
      <c r="U6751" s="17"/>
      <c r="V6751" s="18" t="s">
        <v>19044</v>
      </c>
      <c r="W6751" t="s">
        <v>19045</v>
      </c>
      <c r="Y6751" s="17" t="s">
        <v>500</v>
      </c>
      <c r="AA6751" s="17" t="s">
        <v>501</v>
      </c>
      <c r="AB6751" t="s">
        <v>119</v>
      </c>
    </row>
    <row r="6752" ht="15" customHeight="1" spans="1:28" x14ac:dyDescent="0.25">
      <c r="A6752" s="17" t="s">
        <v>19046</v>
      </c>
      <c r="B6752" s="17" t="s">
        <v>70</v>
      </c>
      <c r="C6752" s="17" t="s">
        <v>71</v>
      </c>
      <c r="D6752" t="s">
        <v>19004</v>
      </c>
      <c r="F6752" t="s">
        <v>19047</v>
      </c>
      <c r="J6752" s="17" t="s">
        <v>19048</v>
      </c>
      <c r="K6752" s="18" t="s">
        <v>19049</v>
      </c>
      <c r="N6752" s="17" t="s">
        <v>74</v>
      </c>
      <c r="O6752" t="s">
        <v>145</v>
      </c>
      <c r="U6752" s="17"/>
      <c r="V6752" s="18" t="s">
        <v>19049</v>
      </c>
      <c r="W6752" t="s">
        <v>19050</v>
      </c>
      <c r="Y6752" t="s">
        <v>90</v>
      </c>
      <c r="AA6752" t="s">
        <v>118</v>
      </c>
      <c r="AB6752" t="s">
        <v>119</v>
      </c>
    </row>
    <row r="6753" ht="15" customHeight="1" spans="1:22" x14ac:dyDescent="0.25">
      <c r="A6753" s="17" t="s">
        <v>19051</v>
      </c>
      <c r="B6753" s="17" t="s">
        <v>70</v>
      </c>
      <c r="C6753" s="17" t="s">
        <v>71</v>
      </c>
      <c r="D6753" t="s">
        <v>19004</v>
      </c>
      <c r="F6753" t="s">
        <v>19052</v>
      </c>
      <c r="K6753" s="18">
        <f>62818117819</f>
        <v>62818117819</v>
      </c>
      <c r="N6753" s="17" t="s">
        <v>74</v>
      </c>
      <c r="V6753" s="18">
        <f>62818117819</f>
        <v>62818117819</v>
      </c>
    </row>
    <row r="6754" ht="15" customHeight="1" spans="1:22" x14ac:dyDescent="0.25">
      <c r="A6754" s="17" t="s">
        <v>19053</v>
      </c>
      <c r="B6754" s="17" t="s">
        <v>70</v>
      </c>
      <c r="C6754" s="17" t="s">
        <v>71</v>
      </c>
      <c r="D6754" t="s">
        <v>19004</v>
      </c>
      <c r="F6754" t="s">
        <v>19054</v>
      </c>
      <c r="J6754" s="17" t="s">
        <v>19055</v>
      </c>
      <c r="K6754" s="18">
        <f>62816844983</f>
        <v>62816844983</v>
      </c>
      <c r="N6754" s="17" t="s">
        <v>81</v>
      </c>
      <c r="V6754" s="18">
        <f>62816844983</f>
        <v>62816844983</v>
      </c>
    </row>
    <row r="6755" ht="15" customHeight="1" spans="1:28" x14ac:dyDescent="0.25">
      <c r="A6755" s="17" t="s">
        <v>19056</v>
      </c>
      <c r="B6755" s="17" t="s">
        <v>70</v>
      </c>
      <c r="C6755" s="17" t="s">
        <v>71</v>
      </c>
      <c r="D6755" t="s">
        <v>19004</v>
      </c>
      <c r="F6755" t="s">
        <v>1750</v>
      </c>
      <c r="J6755" t="s">
        <v>115</v>
      </c>
      <c r="K6755" s="18" t="s">
        <v>19057</v>
      </c>
      <c r="N6755" s="17" t="s">
        <v>77</v>
      </c>
      <c r="O6755" t="s">
        <v>117</v>
      </c>
      <c r="V6755" s="18" t="s">
        <v>19057</v>
      </c>
      <c r="Y6755" t="s">
        <v>96</v>
      </c>
      <c r="AA6755" t="s">
        <v>693</v>
      </c>
      <c r="AB6755" t="s">
        <v>119</v>
      </c>
    </row>
    <row r="6756" ht="15" customHeight="1" spans="1:22" x14ac:dyDescent="0.25">
      <c r="A6756" s="17" t="s">
        <v>19058</v>
      </c>
      <c r="B6756" s="17" t="s">
        <v>70</v>
      </c>
      <c r="C6756" s="17" t="s">
        <v>71</v>
      </c>
      <c r="D6756" t="s">
        <v>19004</v>
      </c>
      <c r="F6756" t="s">
        <v>16076</v>
      </c>
      <c r="K6756" s="18">
        <f>628123306846</f>
        <v>628123306846</v>
      </c>
      <c r="N6756" s="17" t="s">
        <v>77</v>
      </c>
      <c r="V6756" s="18">
        <f>628123306846</f>
        <v>628123306846</v>
      </c>
    </row>
    <row r="6757" ht="15" customHeight="1" spans="1:22" x14ac:dyDescent="0.25">
      <c r="A6757" s="17" t="s">
        <v>19059</v>
      </c>
      <c r="B6757" s="17" t="s">
        <v>70</v>
      </c>
      <c r="C6757" s="17" t="s">
        <v>71</v>
      </c>
      <c r="D6757" t="s">
        <v>19004</v>
      </c>
      <c r="F6757" t="s">
        <v>2730</v>
      </c>
      <c r="K6757" s="18">
        <f>6282221481758</f>
        <v>6282221481758</v>
      </c>
      <c r="N6757" s="17" t="s">
        <v>77</v>
      </c>
      <c r="V6757" s="18">
        <f>6282221481758</f>
        <v>6282221481758</v>
      </c>
    </row>
    <row r="6758" ht="15" customHeight="1" spans="1:25" x14ac:dyDescent="0.25">
      <c r="A6758" s="17" t="s">
        <v>19060</v>
      </c>
      <c r="B6758" s="17" t="s">
        <v>70</v>
      </c>
      <c r="C6758" s="17" t="s">
        <v>71</v>
      </c>
      <c r="D6758" t="s">
        <v>19004</v>
      </c>
      <c r="F6758" t="s">
        <v>19061</v>
      </c>
      <c r="K6758" s="18">
        <f>62811159291</f>
        <v>62811159291</v>
      </c>
      <c r="N6758" s="17" t="s">
        <v>77</v>
      </c>
      <c r="U6758" s="17"/>
      <c r="V6758" s="18">
        <f>62811159291</f>
        <v>62811159291</v>
      </c>
      <c r="W6758" t="s">
        <v>19062</v>
      </c>
      <c r="Y6758" s="17" t="s">
        <v>3320</v>
      </c>
    </row>
    <row r="6759" ht="15" customHeight="1" spans="1:25" x14ac:dyDescent="0.25">
      <c r="A6759" s="17" t="s">
        <v>19063</v>
      </c>
      <c r="B6759" s="17" t="s">
        <v>70</v>
      </c>
      <c r="C6759" s="17" t="s">
        <v>71</v>
      </c>
      <c r="D6759" t="s">
        <v>19004</v>
      </c>
      <c r="F6759" t="s">
        <v>5819</v>
      </c>
      <c r="J6759" s="17" t="s">
        <v>19064</v>
      </c>
      <c r="K6759" s="18">
        <f>6281283821592</f>
        <v>6281283821592</v>
      </c>
      <c r="N6759" s="17" t="s">
        <v>77</v>
      </c>
      <c r="U6759" s="17"/>
      <c r="V6759" s="18">
        <f>6281283821592</f>
        <v>6281283821592</v>
      </c>
      <c r="W6759" t="s">
        <v>19065</v>
      </c>
      <c r="Y6759" s="17" t="s">
        <v>217</v>
      </c>
    </row>
    <row r="6760" ht="15" customHeight="1" spans="1:28" x14ac:dyDescent="0.25">
      <c r="A6760" s="17" t="s">
        <v>19066</v>
      </c>
      <c r="B6760" s="17" t="s">
        <v>70</v>
      </c>
      <c r="C6760" s="17" t="s">
        <v>71</v>
      </c>
      <c r="D6760" t="s">
        <v>19004</v>
      </c>
      <c r="F6760" t="s">
        <v>19067</v>
      </c>
      <c r="J6760" t="s">
        <v>115</v>
      </c>
      <c r="K6760" s="18" t="s">
        <v>19068</v>
      </c>
      <c r="N6760" s="17" t="s">
        <v>81</v>
      </c>
      <c r="O6760" t="s">
        <v>261</v>
      </c>
      <c r="V6760" s="18" t="s">
        <v>19068</v>
      </c>
      <c r="Y6760" t="s">
        <v>1190</v>
      </c>
      <c r="AA6760" t="s">
        <v>115</v>
      </c>
      <c r="AB6760" t="s">
        <v>119</v>
      </c>
    </row>
    <row r="6761" ht="15" customHeight="1" spans="1:22" x14ac:dyDescent="0.25">
      <c r="A6761" s="17" t="s">
        <v>19069</v>
      </c>
      <c r="B6761" s="17" t="s">
        <v>70</v>
      </c>
      <c r="C6761" s="17" t="s">
        <v>71</v>
      </c>
      <c r="D6761" t="s">
        <v>19004</v>
      </c>
      <c r="F6761" t="s">
        <v>19070</v>
      </c>
      <c r="K6761" s="18">
        <f>628999899953</f>
        <v>628999899953</v>
      </c>
      <c r="N6761" s="17" t="s">
        <v>81</v>
      </c>
      <c r="V6761" s="18">
        <f>628999899953</f>
        <v>628999899953</v>
      </c>
    </row>
    <row r="6762" ht="15" customHeight="1" spans="1:28" x14ac:dyDescent="0.25">
      <c r="A6762" s="17" t="s">
        <v>19071</v>
      </c>
      <c r="B6762" s="17" t="s">
        <v>70</v>
      </c>
      <c r="C6762" s="17" t="s">
        <v>71</v>
      </c>
      <c r="D6762" t="s">
        <v>19004</v>
      </c>
      <c r="F6762" t="s">
        <v>19072</v>
      </c>
      <c r="J6762" s="17" t="s">
        <v>19073</v>
      </c>
      <c r="K6762" s="18" t="s">
        <v>19074</v>
      </c>
      <c r="N6762" s="17" t="s">
        <v>81</v>
      </c>
      <c r="O6762" t="s">
        <v>261</v>
      </c>
      <c r="U6762" s="17"/>
      <c r="V6762" s="18" t="s">
        <v>19074</v>
      </c>
      <c r="W6762" t="s">
        <v>19075</v>
      </c>
      <c r="Y6762" t="s">
        <v>626</v>
      </c>
      <c r="AA6762" s="17" t="s">
        <v>3090</v>
      </c>
      <c r="AB6762" t="s">
        <v>119</v>
      </c>
    </row>
    <row r="6763" ht="15" customHeight="1" spans="1:23" x14ac:dyDescent="0.25">
      <c r="A6763" s="17" t="s">
        <v>19076</v>
      </c>
      <c r="B6763" s="17" t="s">
        <v>70</v>
      </c>
      <c r="C6763" s="17" t="s">
        <v>71</v>
      </c>
      <c r="D6763" t="s">
        <v>19004</v>
      </c>
      <c r="F6763" t="s">
        <v>19077</v>
      </c>
      <c r="K6763" s="18">
        <f>6281230007</f>
        <v>6281230007</v>
      </c>
      <c r="N6763" s="17" t="s">
        <v>77</v>
      </c>
      <c r="U6763" s="17"/>
      <c r="V6763" s="18">
        <f>6281230007</f>
        <v>6281230007</v>
      </c>
      <c r="W6763" t="s">
        <v>19078</v>
      </c>
    </row>
    <row r="6764" ht="15" customHeight="1" spans="1:27" x14ac:dyDescent="0.25">
      <c r="A6764" s="17" t="s">
        <v>19079</v>
      </c>
      <c r="B6764" s="17" t="s">
        <v>70</v>
      </c>
      <c r="C6764" s="17" t="s">
        <v>71</v>
      </c>
      <c r="D6764" t="s">
        <v>19004</v>
      </c>
      <c r="F6764" t="s">
        <v>19080</v>
      </c>
      <c r="K6764" s="18">
        <f>628129130100</f>
        <v>628129130100</v>
      </c>
      <c r="N6764" s="17" t="s">
        <v>77</v>
      </c>
      <c r="U6764" s="17"/>
      <c r="V6764" s="18">
        <f>628129130100</f>
        <v>628129130100</v>
      </c>
      <c r="W6764" t="s">
        <v>19081</v>
      </c>
      <c r="Y6764" s="17" t="s">
        <v>217</v>
      </c>
      <c r="AA6764" s="17" t="s">
        <v>19082</v>
      </c>
    </row>
    <row r="6765" ht="15" customHeight="1" spans="1:28" x14ac:dyDescent="0.25">
      <c r="A6765" s="17" t="s">
        <v>19083</v>
      </c>
      <c r="B6765" s="17" t="s">
        <v>70</v>
      </c>
      <c r="C6765" s="17" t="s">
        <v>71</v>
      </c>
      <c r="D6765" t="s">
        <v>6843</v>
      </c>
      <c r="F6765" t="s">
        <v>19004</v>
      </c>
      <c r="J6765" s="17" t="s">
        <v>19084</v>
      </c>
      <c r="K6765" s="18" t="s">
        <v>19085</v>
      </c>
      <c r="N6765" s="17" t="s">
        <v>74</v>
      </c>
      <c r="O6765" t="s">
        <v>199</v>
      </c>
      <c r="U6765" s="17"/>
      <c r="V6765" s="18" t="s">
        <v>19085</v>
      </c>
      <c r="W6765" t="s">
        <v>19086</v>
      </c>
      <c r="Y6765" s="17" t="s">
        <v>90</v>
      </c>
      <c r="AA6765" t="s">
        <v>118</v>
      </c>
      <c r="AB6765" t="s">
        <v>119</v>
      </c>
    </row>
    <row r="6766" ht="15" customHeight="1" spans="1:22" x14ac:dyDescent="0.25">
      <c r="A6766" s="17" t="s">
        <v>19087</v>
      </c>
      <c r="B6766" s="17" t="s">
        <v>70</v>
      </c>
      <c r="C6766" s="17" t="s">
        <v>71</v>
      </c>
      <c r="D6766" t="s">
        <v>19088</v>
      </c>
      <c r="F6766" t="s">
        <v>19089</v>
      </c>
      <c r="K6766" s="18">
        <f>62811150450</f>
        <v>62811150450</v>
      </c>
      <c r="N6766" s="17" t="s">
        <v>81</v>
      </c>
      <c r="V6766" s="18">
        <f>62811150450</f>
        <v>62811150450</v>
      </c>
    </row>
    <row r="6767" ht="15" customHeight="1" spans="1:28" x14ac:dyDescent="0.25">
      <c r="A6767" s="17" t="s">
        <v>19090</v>
      </c>
      <c r="B6767" s="17" t="s">
        <v>70</v>
      </c>
      <c r="C6767" s="17" t="s">
        <v>71</v>
      </c>
      <c r="D6767" t="s">
        <v>19004</v>
      </c>
      <c r="F6767" t="s">
        <v>19004</v>
      </c>
      <c r="J6767" t="s">
        <v>19091</v>
      </c>
      <c r="K6767" s="18" t="s">
        <v>19092</v>
      </c>
      <c r="N6767" s="17" t="s">
        <v>77</v>
      </c>
      <c r="O6767" t="s">
        <v>117</v>
      </c>
      <c r="V6767" s="18" t="s">
        <v>19092</v>
      </c>
      <c r="Y6767" t="s">
        <v>90</v>
      </c>
      <c r="AA6767" t="s">
        <v>118</v>
      </c>
      <c r="AB6767" t="s">
        <v>119</v>
      </c>
    </row>
    <row r="6768" ht="15" customHeight="1" spans="1:28" x14ac:dyDescent="0.25">
      <c r="A6768" s="17" t="s">
        <v>19093</v>
      </c>
      <c r="B6768" s="17" t="s">
        <v>70</v>
      </c>
      <c r="C6768" s="17" t="s">
        <v>71</v>
      </c>
      <c r="D6768" t="s">
        <v>19094</v>
      </c>
      <c r="F6768" t="s">
        <v>19095</v>
      </c>
      <c r="J6768" t="s">
        <v>115</v>
      </c>
      <c r="K6768" s="18" t="s">
        <v>19096</v>
      </c>
      <c r="N6768" s="17" t="s">
        <v>77</v>
      </c>
      <c r="O6768" t="s">
        <v>117</v>
      </c>
      <c r="V6768" s="18" t="s">
        <v>19096</v>
      </c>
      <c r="Y6768" t="s">
        <v>115</v>
      </c>
      <c r="AA6768" t="s">
        <v>115</v>
      </c>
      <c r="AB6768" t="s">
        <v>119</v>
      </c>
    </row>
    <row r="6769" ht="15" customHeight="1" spans="1:28" x14ac:dyDescent="0.25">
      <c r="A6769" s="17" t="s">
        <v>19097</v>
      </c>
      <c r="B6769" s="17" t="s">
        <v>70</v>
      </c>
      <c r="C6769" s="17" t="s">
        <v>71</v>
      </c>
      <c r="D6769" t="s">
        <v>19098</v>
      </c>
      <c r="F6769" t="s">
        <v>19099</v>
      </c>
      <c r="J6769" t="s">
        <v>19100</v>
      </c>
      <c r="K6769" s="18" t="s">
        <v>19101</v>
      </c>
      <c r="N6769" s="17" t="s">
        <v>77</v>
      </c>
      <c r="O6769" t="s">
        <v>489</v>
      </c>
      <c r="U6769" s="17"/>
      <c r="V6769" s="18" t="s">
        <v>19101</v>
      </c>
      <c r="W6769" t="s">
        <v>567</v>
      </c>
      <c r="Y6769" t="s">
        <v>490</v>
      </c>
      <c r="AA6769" t="s">
        <v>115</v>
      </c>
      <c r="AB6769" t="s">
        <v>119</v>
      </c>
    </row>
    <row r="6770" ht="15" customHeight="1" spans="1:28" x14ac:dyDescent="0.25">
      <c r="A6770" s="17" t="s">
        <v>19102</v>
      </c>
      <c r="B6770" s="17" t="s">
        <v>70</v>
      </c>
      <c r="C6770" s="17" t="s">
        <v>71</v>
      </c>
      <c r="D6770" t="s">
        <v>19098</v>
      </c>
      <c r="F6770" t="s">
        <v>19103</v>
      </c>
      <c r="J6770" t="s">
        <v>19104</v>
      </c>
      <c r="K6770" s="18" t="s">
        <v>19105</v>
      </c>
      <c r="N6770" s="17" t="s">
        <v>77</v>
      </c>
      <c r="O6770" t="s">
        <v>145</v>
      </c>
      <c r="U6770" s="17"/>
      <c r="V6770" s="18" t="s">
        <v>19105</v>
      </c>
      <c r="W6770" t="s">
        <v>19106</v>
      </c>
      <c r="Y6770" t="s">
        <v>8029</v>
      </c>
      <c r="AA6770" t="s">
        <v>115</v>
      </c>
      <c r="AB6770" t="s">
        <v>119</v>
      </c>
    </row>
    <row r="6771" ht="15" customHeight="1" spans="1:27" x14ac:dyDescent="0.25">
      <c r="A6771" s="17" t="s">
        <v>19107</v>
      </c>
      <c r="B6771" s="17" t="s">
        <v>70</v>
      </c>
      <c r="C6771" s="17" t="s">
        <v>71</v>
      </c>
      <c r="D6771" t="s">
        <v>19098</v>
      </c>
      <c r="F6771" t="s">
        <v>19108</v>
      </c>
      <c r="K6771" s="18">
        <f>62816891957</f>
        <v>62816891957</v>
      </c>
      <c r="N6771" s="17" t="s">
        <v>77</v>
      </c>
      <c r="U6771" s="17"/>
      <c r="V6771" s="18">
        <f>62816891957</f>
        <v>62816891957</v>
      </c>
      <c r="W6771" t="s">
        <v>19109</v>
      </c>
      <c r="Y6771" s="17" t="s">
        <v>96</v>
      </c>
      <c r="AA6771" s="17" t="s">
        <v>19110</v>
      </c>
    </row>
    <row r="6772" ht="15" customHeight="1" spans="1:23" x14ac:dyDescent="0.25">
      <c r="A6772" s="17" t="s">
        <v>19111</v>
      </c>
      <c r="B6772" s="17" t="s">
        <v>70</v>
      </c>
      <c r="C6772" s="17" t="s">
        <v>71</v>
      </c>
      <c r="D6772" t="s">
        <v>19112</v>
      </c>
      <c r="F6772" t="s">
        <v>19113</v>
      </c>
      <c r="K6772" s="18">
        <f>77028233332</f>
        <v>77028233332</v>
      </c>
      <c r="N6772" s="17" t="s">
        <v>81</v>
      </c>
      <c r="U6772" s="17"/>
      <c r="V6772" s="18">
        <f>77028233332</f>
        <v>77028233332</v>
      </c>
      <c r="W6772" t="s">
        <v>19114</v>
      </c>
    </row>
    <row r="6773" ht="15" customHeight="1" spans="1:28" x14ac:dyDescent="0.25">
      <c r="A6773" s="17" t="s">
        <v>19115</v>
      </c>
      <c r="B6773" s="17" t="s">
        <v>70</v>
      </c>
      <c r="C6773" s="17" t="s">
        <v>71</v>
      </c>
      <c r="D6773" t="s">
        <v>19116</v>
      </c>
      <c r="F6773" t="s">
        <v>19116</v>
      </c>
      <c r="J6773" t="s">
        <v>115</v>
      </c>
      <c r="K6773" s="18" t="s">
        <v>19117</v>
      </c>
      <c r="N6773" s="17" t="s">
        <v>77</v>
      </c>
      <c r="O6773" t="s">
        <v>199</v>
      </c>
      <c r="V6773" s="18" t="s">
        <v>19117</v>
      </c>
      <c r="Y6773" t="s">
        <v>515</v>
      </c>
      <c r="AA6773" t="s">
        <v>1614</v>
      </c>
      <c r="AB6773" t="s">
        <v>119</v>
      </c>
    </row>
    <row r="6774" ht="15" customHeight="1" spans="1:27" x14ac:dyDescent="0.25">
      <c r="A6774" s="17" t="s">
        <v>19118</v>
      </c>
      <c r="B6774" s="17" t="s">
        <v>70</v>
      </c>
      <c r="C6774" s="17" t="s">
        <v>71</v>
      </c>
      <c r="D6774" t="s">
        <v>19116</v>
      </c>
      <c r="F6774" t="s">
        <v>1130</v>
      </c>
      <c r="K6774" s="18">
        <f>6282111331943</f>
        <v>6282111331943</v>
      </c>
      <c r="N6774" s="17" t="s">
        <v>77</v>
      </c>
      <c r="U6774" s="17"/>
      <c r="V6774" s="18">
        <f>6282111331943</f>
        <v>6282111331943</v>
      </c>
      <c r="W6774" t="s">
        <v>19119</v>
      </c>
      <c r="Y6774" s="17" t="s">
        <v>19120</v>
      </c>
      <c r="AA6774" s="17">
        <v>11620</v>
      </c>
    </row>
    <row r="6775" ht="15" customHeight="1" spans="1:27" x14ac:dyDescent="0.25">
      <c r="A6775" s="17" t="s">
        <v>19121</v>
      </c>
      <c r="B6775" s="17" t="s">
        <v>70</v>
      </c>
      <c r="C6775" s="17" t="s">
        <v>71</v>
      </c>
      <c r="D6775" t="s">
        <v>19122</v>
      </c>
      <c r="F6775" t="s">
        <v>3471</v>
      </c>
      <c r="K6775" s="18">
        <f>628188782134</f>
        <v>628188782134</v>
      </c>
      <c r="N6775" s="17" t="s">
        <v>74</v>
      </c>
      <c r="U6775" s="17"/>
      <c r="V6775" s="18">
        <f>628188782134</f>
        <v>628188782134</v>
      </c>
      <c r="W6775" t="s">
        <v>19123</v>
      </c>
      <c r="Y6775" s="17" t="s">
        <v>96</v>
      </c>
      <c r="AA6775" s="17">
        <v>12750</v>
      </c>
    </row>
    <row r="6776" ht="15" customHeight="1" spans="1:25" x14ac:dyDescent="0.25">
      <c r="A6776" s="17" t="s">
        <v>19124</v>
      </c>
      <c r="B6776" s="17" t="s">
        <v>70</v>
      </c>
      <c r="C6776" s="17" t="s">
        <v>71</v>
      </c>
      <c r="D6776" t="s">
        <v>19125</v>
      </c>
      <c r="F6776" t="s">
        <v>19125</v>
      </c>
      <c r="J6776" s="17" t="s">
        <v>19126</v>
      </c>
      <c r="K6776" s="18">
        <f>6282112444100</f>
        <v>6282112444100</v>
      </c>
      <c r="N6776" s="17" t="s">
        <v>77</v>
      </c>
      <c r="U6776" s="17"/>
      <c r="V6776" s="18">
        <f>6282112444100</f>
        <v>6282112444100</v>
      </c>
      <c r="W6776" t="s">
        <v>19127</v>
      </c>
      <c r="Y6776" s="17" t="s">
        <v>378</v>
      </c>
    </row>
    <row r="6777" ht="15" customHeight="1" spans="1:22" x14ac:dyDescent="0.25">
      <c r="A6777" s="17" t="s">
        <v>19128</v>
      </c>
      <c r="B6777" s="17" t="s">
        <v>70</v>
      </c>
      <c r="C6777" s="17" t="s">
        <v>71</v>
      </c>
      <c r="D6777" t="s">
        <v>19129</v>
      </c>
      <c r="F6777" t="s">
        <v>19129</v>
      </c>
      <c r="K6777" s="18">
        <f>6281385156682</f>
        <v>6281385156682</v>
      </c>
      <c r="N6777" s="17" t="s">
        <v>77</v>
      </c>
      <c r="V6777" s="18">
        <f>6281385156682</f>
        <v>6281385156682</v>
      </c>
    </row>
    <row r="6778" ht="15" customHeight="1" spans="1:22" x14ac:dyDescent="0.25">
      <c r="A6778" s="17" t="s">
        <v>19130</v>
      </c>
      <c r="B6778" s="17" t="s">
        <v>70</v>
      </c>
      <c r="C6778" s="17" t="s">
        <v>71</v>
      </c>
      <c r="D6778" t="s">
        <v>19131</v>
      </c>
      <c r="F6778" t="s">
        <v>19132</v>
      </c>
      <c r="K6778" s="18">
        <f>62816731400</f>
        <v>62816731400</v>
      </c>
      <c r="N6778" s="17" t="s">
        <v>74</v>
      </c>
      <c r="V6778" s="18">
        <f>62816731400</f>
        <v>62816731400</v>
      </c>
    </row>
    <row r="6779" ht="15" customHeight="1" spans="1:22" x14ac:dyDescent="0.25">
      <c r="A6779" s="17" t="s">
        <v>19133</v>
      </c>
      <c r="B6779" s="17" t="s">
        <v>70</v>
      </c>
      <c r="C6779" s="17" t="s">
        <v>71</v>
      </c>
      <c r="D6779" t="s">
        <v>4778</v>
      </c>
      <c r="F6779" t="s">
        <v>4778</v>
      </c>
      <c r="K6779" s="18">
        <f>6281316667789</f>
        <v>6281316667789</v>
      </c>
      <c r="N6779" s="17" t="s">
        <v>74</v>
      </c>
      <c r="V6779" s="18">
        <f>6281316667789</f>
        <v>6281316667789</v>
      </c>
    </row>
    <row r="6780" ht="15" customHeight="1" spans="1:22" x14ac:dyDescent="0.25">
      <c r="A6780" s="17" t="s">
        <v>19134</v>
      </c>
      <c r="B6780" s="17" t="s">
        <v>70</v>
      </c>
      <c r="C6780" s="17" t="s">
        <v>71</v>
      </c>
      <c r="D6780" t="s">
        <v>4778</v>
      </c>
      <c r="F6780" t="s">
        <v>19135</v>
      </c>
      <c r="K6780" s="18">
        <f>5082415073</f>
        <v>5082415073</v>
      </c>
      <c r="N6780" s="17" t="s">
        <v>81</v>
      </c>
      <c r="V6780" s="18">
        <f>5082415073</f>
        <v>5082415073</v>
      </c>
    </row>
    <row r="6781" ht="15" customHeight="1" spans="1:22" x14ac:dyDescent="0.25">
      <c r="A6781" s="17" t="s">
        <v>19136</v>
      </c>
      <c r="B6781" s="17" t="s">
        <v>70</v>
      </c>
      <c r="C6781" s="17" t="s">
        <v>71</v>
      </c>
      <c r="D6781" t="s">
        <v>19137</v>
      </c>
      <c r="F6781" t="s">
        <v>19137</v>
      </c>
      <c r="K6781" s="18">
        <f>6281283766869</f>
        <v>6281283766869</v>
      </c>
      <c r="N6781" s="17" t="s">
        <v>77</v>
      </c>
      <c r="V6781" s="18">
        <f>6281283766869</f>
        <v>6281283766869</v>
      </c>
    </row>
    <row r="6782" ht="15" customHeight="1" spans="1:22" x14ac:dyDescent="0.25">
      <c r="A6782" s="17" t="s">
        <v>19138</v>
      </c>
      <c r="B6782" s="17" t="s">
        <v>70</v>
      </c>
      <c r="C6782" s="17" t="s">
        <v>71</v>
      </c>
      <c r="D6782" t="s">
        <v>19137</v>
      </c>
      <c r="F6782" t="s">
        <v>19137</v>
      </c>
      <c r="K6782" s="18">
        <f>628561408104</f>
        <v>628561408104</v>
      </c>
      <c r="N6782" s="17" t="s">
        <v>77</v>
      </c>
      <c r="V6782" s="18">
        <f>628561408104</f>
        <v>628561408104</v>
      </c>
    </row>
    <row r="6783" ht="15" customHeight="1" spans="1:28" x14ac:dyDescent="0.25">
      <c r="A6783" s="17" t="s">
        <v>19139</v>
      </c>
      <c r="B6783" s="17" t="s">
        <v>70</v>
      </c>
      <c r="C6783" s="17" t="s">
        <v>71</v>
      </c>
      <c r="D6783" t="s">
        <v>19140</v>
      </c>
      <c r="F6783" t="s">
        <v>4350</v>
      </c>
      <c r="J6783" s="17" t="s">
        <v>19141</v>
      </c>
      <c r="K6783" s="18" t="s">
        <v>19142</v>
      </c>
      <c r="N6783" s="17" t="s">
        <v>77</v>
      </c>
      <c r="O6783" t="s">
        <v>145</v>
      </c>
      <c r="U6783" s="17"/>
      <c r="V6783" s="18" t="s">
        <v>19142</v>
      </c>
      <c r="W6783" t="s">
        <v>19143</v>
      </c>
      <c r="Y6783" t="s">
        <v>90</v>
      </c>
      <c r="AA6783" s="17" t="s">
        <v>118</v>
      </c>
      <c r="AB6783" t="s">
        <v>119</v>
      </c>
    </row>
    <row r="6784" ht="15" customHeight="1" spans="1:22" x14ac:dyDescent="0.25">
      <c r="A6784" s="17" t="s">
        <v>19144</v>
      </c>
      <c r="B6784" s="17" t="s">
        <v>70</v>
      </c>
      <c r="C6784" s="17" t="s">
        <v>71</v>
      </c>
      <c r="D6784" t="s">
        <v>19145</v>
      </c>
      <c r="F6784" t="s">
        <v>19080</v>
      </c>
      <c r="K6784" s="18">
        <f>62818130100</f>
        <v>62818130100</v>
      </c>
      <c r="N6784" s="17" t="s">
        <v>77</v>
      </c>
      <c r="V6784" s="18">
        <f>62818130100</f>
        <v>62818130100</v>
      </c>
    </row>
    <row r="6785" ht="15" customHeight="1" spans="1:22" x14ac:dyDescent="0.25">
      <c r="A6785" s="17" t="s">
        <v>19146</v>
      </c>
      <c r="B6785" s="17" t="s">
        <v>70</v>
      </c>
      <c r="C6785" s="17" t="s">
        <v>71</v>
      </c>
      <c r="D6785" t="s">
        <v>19147</v>
      </c>
      <c r="F6785" t="s">
        <v>19148</v>
      </c>
      <c r="K6785" s="18">
        <v>9102651300</v>
      </c>
      <c r="N6785" s="17" t="s">
        <v>77</v>
      </c>
      <c r="V6785" s="18">
        <v>9102651300</v>
      </c>
    </row>
    <row r="6786" ht="15" customHeight="1" spans="1:28" x14ac:dyDescent="0.25">
      <c r="A6786" s="17" t="s">
        <v>19149</v>
      </c>
      <c r="B6786" s="17" t="s">
        <v>70</v>
      </c>
      <c r="C6786" s="17" t="s">
        <v>71</v>
      </c>
      <c r="D6786" t="s">
        <v>19150</v>
      </c>
      <c r="F6786" t="s">
        <v>19151</v>
      </c>
      <c r="J6786" t="s">
        <v>115</v>
      </c>
      <c r="K6786" s="18" t="s">
        <v>19152</v>
      </c>
      <c r="N6786" s="17" t="s">
        <v>77</v>
      </c>
      <c r="O6786" t="s">
        <v>145</v>
      </c>
      <c r="U6786" s="17"/>
      <c r="V6786" s="18" t="s">
        <v>19152</v>
      </c>
      <c r="W6786" t="s">
        <v>19153</v>
      </c>
      <c r="Y6786" s="17" t="s">
        <v>515</v>
      </c>
      <c r="AA6786" s="17" t="s">
        <v>1614</v>
      </c>
      <c r="AB6786" t="s">
        <v>119</v>
      </c>
    </row>
    <row r="6787" ht="15" customHeight="1" spans="1:23" x14ac:dyDescent="0.25">
      <c r="A6787" s="17" t="s">
        <v>19154</v>
      </c>
      <c r="B6787" s="17" t="s">
        <v>70</v>
      </c>
      <c r="C6787" s="17" t="s">
        <v>71</v>
      </c>
      <c r="D6787" t="s">
        <v>19155</v>
      </c>
      <c r="F6787" t="s">
        <v>6235</v>
      </c>
      <c r="J6787" s="17" t="s">
        <v>19156</v>
      </c>
      <c r="K6787" s="18">
        <f>6281849168</f>
        <v>6281849168</v>
      </c>
      <c r="N6787" s="17" t="s">
        <v>77</v>
      </c>
      <c r="U6787" s="17"/>
      <c r="V6787" s="18">
        <f>6281849168</f>
        <v>6281849168</v>
      </c>
      <c r="W6787" t="s">
        <v>19157</v>
      </c>
    </row>
    <row r="6788" ht="15" customHeight="1" spans="1:22" x14ac:dyDescent="0.25">
      <c r="A6788" s="17" t="s">
        <v>19158</v>
      </c>
      <c r="B6788" s="17" t="s">
        <v>70</v>
      </c>
      <c r="C6788" s="17" t="s">
        <v>71</v>
      </c>
      <c r="D6788" t="s">
        <v>19155</v>
      </c>
      <c r="F6788" t="s">
        <v>9230</v>
      </c>
      <c r="K6788" s="18">
        <f>628129545476</f>
        <v>628129545476</v>
      </c>
      <c r="N6788" s="17" t="s">
        <v>77</v>
      </c>
      <c r="V6788" s="18">
        <f>628129545476</f>
        <v>628129545476</v>
      </c>
    </row>
    <row r="6789" ht="15" customHeight="1" spans="1:28" x14ac:dyDescent="0.25">
      <c r="A6789" s="17" t="s">
        <v>19159</v>
      </c>
      <c r="B6789" s="17" t="s">
        <v>70</v>
      </c>
      <c r="C6789" s="17" t="s">
        <v>71</v>
      </c>
      <c r="D6789" t="s">
        <v>19155</v>
      </c>
      <c r="F6789" t="s">
        <v>6671</v>
      </c>
      <c r="J6789" s="17" t="s">
        <v>19160</v>
      </c>
      <c r="K6789" s="18" t="s">
        <v>19161</v>
      </c>
      <c r="N6789" s="17" t="s">
        <v>77</v>
      </c>
      <c r="O6789" t="s">
        <v>145</v>
      </c>
      <c r="U6789" s="17"/>
      <c r="V6789" s="18" t="s">
        <v>19161</v>
      </c>
      <c r="W6789" t="s">
        <v>3195</v>
      </c>
      <c r="Y6789" t="s">
        <v>1247</v>
      </c>
      <c r="AA6789" t="s">
        <v>115</v>
      </c>
      <c r="AB6789" t="s">
        <v>119</v>
      </c>
    </row>
    <row r="6790" ht="15" customHeight="1" spans="1:27" x14ac:dyDescent="0.25">
      <c r="A6790" s="17" t="s">
        <v>19162</v>
      </c>
      <c r="B6790" s="17" t="s">
        <v>70</v>
      </c>
      <c r="C6790" s="17" t="s">
        <v>71</v>
      </c>
      <c r="D6790" t="s">
        <v>19155</v>
      </c>
      <c r="F6790" t="s">
        <v>19163</v>
      </c>
      <c r="K6790" s="18">
        <f>628170071974</f>
        <v>628170071974</v>
      </c>
      <c r="N6790" s="17" t="s">
        <v>77</v>
      </c>
      <c r="U6790" s="17"/>
      <c r="V6790" s="18">
        <f>628170071974</f>
        <v>628170071974</v>
      </c>
      <c r="W6790" t="s">
        <v>19164</v>
      </c>
      <c r="AA6790" s="17">
        <v>12560</v>
      </c>
    </row>
    <row r="6791" ht="15" customHeight="1" spans="1:28" x14ac:dyDescent="0.25">
      <c r="A6791" s="17" t="s">
        <v>19165</v>
      </c>
      <c r="B6791" s="17" t="s">
        <v>70</v>
      </c>
      <c r="C6791" s="17" t="s">
        <v>71</v>
      </c>
      <c r="D6791" t="s">
        <v>19155</v>
      </c>
      <c r="F6791" t="s">
        <v>19166</v>
      </c>
      <c r="J6791" s="17" t="s">
        <v>19167</v>
      </c>
      <c r="K6791" s="18" t="s">
        <v>19168</v>
      </c>
      <c r="N6791" s="17" t="s">
        <v>77</v>
      </c>
      <c r="O6791" t="s">
        <v>145</v>
      </c>
      <c r="V6791" s="18" t="s">
        <v>19168</v>
      </c>
      <c r="Y6791" t="s">
        <v>622</v>
      </c>
      <c r="AA6791" t="s">
        <v>623</v>
      </c>
      <c r="AB6791" t="s">
        <v>119</v>
      </c>
    </row>
    <row r="6792" ht="15" customHeight="1" spans="1:22" x14ac:dyDescent="0.25">
      <c r="A6792" s="17" t="s">
        <v>19169</v>
      </c>
      <c r="B6792" s="17" t="s">
        <v>70</v>
      </c>
      <c r="C6792" s="17" t="s">
        <v>71</v>
      </c>
      <c r="D6792" t="s">
        <v>19155</v>
      </c>
      <c r="F6792" t="s">
        <v>19170</v>
      </c>
      <c r="K6792" s="18">
        <f>628159302841</f>
        <v>628159302841</v>
      </c>
      <c r="N6792" s="17" t="s">
        <v>81</v>
      </c>
      <c r="V6792" s="18">
        <f>628159302841</f>
        <v>628159302841</v>
      </c>
    </row>
    <row r="6793" ht="15" customHeight="1" spans="1:22" x14ac:dyDescent="0.25">
      <c r="A6793" s="17" t="s">
        <v>19171</v>
      </c>
      <c r="B6793" s="17" t="s">
        <v>70</v>
      </c>
      <c r="C6793" s="17" t="s">
        <v>71</v>
      </c>
      <c r="D6793" t="s">
        <v>19155</v>
      </c>
      <c r="F6793" t="s">
        <v>1750</v>
      </c>
      <c r="K6793" s="18">
        <f>628111377973</f>
        <v>628111377973</v>
      </c>
      <c r="N6793" s="17" t="s">
        <v>81</v>
      </c>
      <c r="V6793" s="18">
        <f>628111377973</f>
        <v>628111377973</v>
      </c>
    </row>
    <row r="6794" ht="15" customHeight="1" spans="1:25" x14ac:dyDescent="0.25">
      <c r="A6794" s="17" t="s">
        <v>19172</v>
      </c>
      <c r="B6794" s="17" t="s">
        <v>70</v>
      </c>
      <c r="C6794" s="17" t="s">
        <v>71</v>
      </c>
      <c r="D6794" t="s">
        <v>19155</v>
      </c>
      <c r="F6794" t="s">
        <v>2258</v>
      </c>
      <c r="J6794" s="17" t="s">
        <v>19173</v>
      </c>
      <c r="K6794" s="18">
        <f>6281808880368</f>
        <v>6281808880368</v>
      </c>
      <c r="N6794" s="17" t="s">
        <v>77</v>
      </c>
      <c r="U6794" s="17"/>
      <c r="V6794" s="18">
        <f>6281808880368</f>
        <v>6281808880368</v>
      </c>
      <c r="W6794" t="s">
        <v>19174</v>
      </c>
      <c r="Y6794" s="17" t="s">
        <v>378</v>
      </c>
    </row>
    <row r="6795" ht="15" customHeight="1" spans="1:23" x14ac:dyDescent="0.25">
      <c r="A6795" s="17" t="s">
        <v>19175</v>
      </c>
      <c r="B6795" s="17" t="s">
        <v>70</v>
      </c>
      <c r="C6795" s="17" t="s">
        <v>71</v>
      </c>
      <c r="D6795" t="s">
        <v>19155</v>
      </c>
      <c r="F6795" t="s">
        <v>19176</v>
      </c>
      <c r="K6795" s="18">
        <f>628551092709</f>
        <v>628551092709</v>
      </c>
      <c r="N6795" s="17" t="s">
        <v>77</v>
      </c>
      <c r="U6795" s="17"/>
      <c r="V6795" s="18">
        <f>628551092709</f>
        <v>628551092709</v>
      </c>
      <c r="W6795" t="s">
        <v>19177</v>
      </c>
    </row>
    <row r="6796" ht="15" customHeight="1" spans="1:28" x14ac:dyDescent="0.25">
      <c r="A6796" s="17" t="s">
        <v>19178</v>
      </c>
      <c r="B6796" s="17" t="s">
        <v>70</v>
      </c>
      <c r="C6796" s="17" t="s">
        <v>71</v>
      </c>
      <c r="D6796" t="s">
        <v>19155</v>
      </c>
      <c r="F6796" t="s">
        <v>19179</v>
      </c>
      <c r="J6796" t="s">
        <v>115</v>
      </c>
      <c r="K6796" s="18" t="s">
        <v>19180</v>
      </c>
      <c r="N6796" s="17" t="s">
        <v>77</v>
      </c>
      <c r="O6796" t="s">
        <v>117</v>
      </c>
      <c r="U6796" s="17"/>
      <c r="V6796" s="18" t="s">
        <v>19180</v>
      </c>
      <c r="W6796" t="s">
        <v>19181</v>
      </c>
      <c r="Y6796" t="s">
        <v>190</v>
      </c>
      <c r="AA6796" t="s">
        <v>118</v>
      </c>
      <c r="AB6796" t="s">
        <v>119</v>
      </c>
    </row>
    <row r="6797" ht="15" customHeight="1" spans="1:22" x14ac:dyDescent="0.25">
      <c r="A6797" s="17" t="s">
        <v>19182</v>
      </c>
      <c r="B6797" s="17" t="s">
        <v>70</v>
      </c>
      <c r="C6797" s="17" t="s">
        <v>71</v>
      </c>
      <c r="D6797" t="s">
        <v>19155</v>
      </c>
      <c r="F6797" t="s">
        <v>4708</v>
      </c>
      <c r="K6797" s="18">
        <f>628118777979</f>
        <v>628118777979</v>
      </c>
      <c r="N6797" s="17" t="s">
        <v>81</v>
      </c>
      <c r="V6797" s="18">
        <f>628118777979</f>
        <v>628118777979</v>
      </c>
    </row>
    <row r="6798" ht="15" customHeight="1" spans="1:25" x14ac:dyDescent="0.25">
      <c r="A6798" s="17" t="s">
        <v>19183</v>
      </c>
      <c r="B6798" s="17" t="s">
        <v>70</v>
      </c>
      <c r="C6798" s="17" t="s">
        <v>71</v>
      </c>
      <c r="D6798" t="s">
        <v>19155</v>
      </c>
      <c r="F6798" t="s">
        <v>19184</v>
      </c>
      <c r="J6798" s="17" t="s">
        <v>19185</v>
      </c>
      <c r="K6798" s="18">
        <f>62817293746</f>
        <v>62817293746</v>
      </c>
      <c r="N6798" s="17" t="s">
        <v>77</v>
      </c>
      <c r="U6798" s="17"/>
      <c r="V6798" s="18">
        <f>62817293746</f>
        <v>62817293746</v>
      </c>
      <c r="W6798" t="s">
        <v>19186</v>
      </c>
      <c r="Y6798" s="17" t="s">
        <v>90</v>
      </c>
    </row>
    <row r="6799" ht="15" customHeight="1" spans="1:28" x14ac:dyDescent="0.25">
      <c r="A6799" s="17" t="s">
        <v>19187</v>
      </c>
      <c r="B6799" s="17" t="s">
        <v>70</v>
      </c>
      <c r="C6799" s="17" t="s">
        <v>71</v>
      </c>
      <c r="D6799" t="s">
        <v>19188</v>
      </c>
      <c r="F6799" t="s">
        <v>2951</v>
      </c>
      <c r="J6799" t="s">
        <v>115</v>
      </c>
      <c r="K6799" s="18" t="s">
        <v>19189</v>
      </c>
      <c r="N6799" s="17" t="s">
        <v>81</v>
      </c>
      <c r="O6799" t="s">
        <v>199</v>
      </c>
      <c r="V6799" s="18" t="s">
        <v>19189</v>
      </c>
      <c r="Y6799" t="s">
        <v>90</v>
      </c>
      <c r="AA6799" t="s">
        <v>118</v>
      </c>
      <c r="AB6799" t="s">
        <v>119</v>
      </c>
    </row>
    <row r="6800" ht="15" customHeight="1" spans="1:22" x14ac:dyDescent="0.25">
      <c r="A6800" s="17" t="s">
        <v>19190</v>
      </c>
      <c r="B6800" s="17" t="s">
        <v>70</v>
      </c>
      <c r="C6800" s="17" t="s">
        <v>71</v>
      </c>
      <c r="D6800" t="s">
        <v>19155</v>
      </c>
      <c r="F6800" t="s">
        <v>2267</v>
      </c>
      <c r="K6800" s="18">
        <f>6281384404487</f>
        <v>6281384404487</v>
      </c>
      <c r="N6800" s="17" t="s">
        <v>81</v>
      </c>
      <c r="V6800" s="18">
        <f>6281384404487</f>
        <v>6281384404487</v>
      </c>
    </row>
    <row r="6801" ht="15" customHeight="1" spans="1:22" x14ac:dyDescent="0.25">
      <c r="A6801" s="17" t="s">
        <v>19191</v>
      </c>
      <c r="B6801" s="17" t="s">
        <v>70</v>
      </c>
      <c r="C6801" s="17" t="s">
        <v>71</v>
      </c>
      <c r="D6801" t="s">
        <v>19155</v>
      </c>
      <c r="F6801" t="s">
        <v>19192</v>
      </c>
      <c r="K6801" s="18">
        <f>62816101711</f>
        <v>62816101711</v>
      </c>
      <c r="N6801" s="17" t="s">
        <v>77</v>
      </c>
      <c r="V6801" s="18">
        <f>62816101711</f>
        <v>62816101711</v>
      </c>
    </row>
    <row r="6802" ht="15" customHeight="1" spans="1:22" x14ac:dyDescent="0.25">
      <c r="A6802" s="17" t="s">
        <v>19193</v>
      </c>
      <c r="B6802" s="17" t="s">
        <v>70</v>
      </c>
      <c r="C6802" s="17" t="s">
        <v>71</v>
      </c>
      <c r="D6802" t="s">
        <v>19155</v>
      </c>
      <c r="F6802" t="s">
        <v>19194</v>
      </c>
      <c r="K6802" s="18">
        <f>62811899677</f>
        <v>62811899677</v>
      </c>
      <c r="N6802" s="17" t="s">
        <v>81</v>
      </c>
      <c r="V6802" s="18">
        <f>62811899677</f>
        <v>62811899677</v>
      </c>
    </row>
    <row r="6803" ht="15" customHeight="1" spans="1:25" x14ac:dyDescent="0.25">
      <c r="A6803" s="17" t="s">
        <v>19195</v>
      </c>
      <c r="B6803" s="17" t="s">
        <v>70</v>
      </c>
      <c r="C6803" s="17" t="s">
        <v>71</v>
      </c>
      <c r="D6803" t="s">
        <v>19155</v>
      </c>
      <c r="F6803" t="s">
        <v>3181</v>
      </c>
      <c r="K6803" s="18">
        <f>628156188388</f>
        <v>628156188388</v>
      </c>
      <c r="N6803" s="17" t="s">
        <v>77</v>
      </c>
      <c r="U6803" s="17"/>
      <c r="V6803" s="18">
        <f>628156188388</f>
        <v>628156188388</v>
      </c>
      <c r="W6803" t="s">
        <v>19196</v>
      </c>
      <c r="Y6803" s="17" t="s">
        <v>3320</v>
      </c>
    </row>
    <row r="6804" ht="15" customHeight="1" spans="1:22" x14ac:dyDescent="0.25">
      <c r="A6804" s="17" t="s">
        <v>19197</v>
      </c>
      <c r="B6804" s="17" t="s">
        <v>70</v>
      </c>
      <c r="C6804" s="17" t="s">
        <v>71</v>
      </c>
      <c r="D6804" t="s">
        <v>19155</v>
      </c>
      <c r="F6804" t="s">
        <v>19198</v>
      </c>
      <c r="K6804" s="18">
        <f>6281310732999</f>
        <v>6281310732999</v>
      </c>
      <c r="N6804" s="17" t="s">
        <v>74</v>
      </c>
      <c r="V6804" s="18">
        <f>6281310732999</f>
        <v>6281310732999</v>
      </c>
    </row>
    <row r="6805" ht="15" customHeight="1" spans="1:25" x14ac:dyDescent="0.25">
      <c r="A6805" s="17" t="s">
        <v>19199</v>
      </c>
      <c r="B6805" s="17" t="s">
        <v>70</v>
      </c>
      <c r="C6805" s="17" t="s">
        <v>71</v>
      </c>
      <c r="D6805" t="s">
        <v>19155</v>
      </c>
      <c r="F6805" t="s">
        <v>19200</v>
      </c>
      <c r="J6805" s="17" t="s">
        <v>19201</v>
      </c>
      <c r="K6805" s="18">
        <f>628179050877</f>
        <v>628179050877</v>
      </c>
      <c r="N6805" s="17" t="s">
        <v>74</v>
      </c>
      <c r="U6805" s="17"/>
      <c r="V6805" s="18">
        <f>628179050877</f>
        <v>628179050877</v>
      </c>
      <c r="W6805" t="s">
        <v>19202</v>
      </c>
      <c r="Y6805" s="17" t="s">
        <v>96</v>
      </c>
    </row>
    <row r="6806" ht="15" customHeight="1" spans="1:23" x14ac:dyDescent="0.25">
      <c r="A6806" s="17" t="s">
        <v>19203</v>
      </c>
      <c r="B6806" s="17" t="s">
        <v>70</v>
      </c>
      <c r="C6806" s="17" t="s">
        <v>71</v>
      </c>
      <c r="D6806" t="s">
        <v>19204</v>
      </c>
      <c r="F6806" t="s">
        <v>19204</v>
      </c>
      <c r="K6806" s="18">
        <f>628124819999</f>
        <v>628124819999</v>
      </c>
      <c r="N6806" s="17" t="s">
        <v>77</v>
      </c>
      <c r="U6806" s="17"/>
      <c r="V6806" s="18">
        <f>628124819999</f>
        <v>628124819999</v>
      </c>
      <c r="W6806" t="s">
        <v>19205</v>
      </c>
    </row>
    <row r="6807" ht="15" customHeight="1" spans="1:25" x14ac:dyDescent="0.25">
      <c r="A6807" s="17" t="s">
        <v>19206</v>
      </c>
      <c r="B6807" s="17" t="s">
        <v>70</v>
      </c>
      <c r="C6807" s="17" t="s">
        <v>71</v>
      </c>
      <c r="D6807" t="s">
        <v>19207</v>
      </c>
      <c r="F6807" t="s">
        <v>19108</v>
      </c>
      <c r="K6807" s="18">
        <f>628158299999</f>
        <v>628158299999</v>
      </c>
      <c r="N6807" s="17" t="s">
        <v>74</v>
      </c>
      <c r="U6807" s="17"/>
      <c r="V6807" s="18">
        <f>628158299999</f>
        <v>628158299999</v>
      </c>
      <c r="W6807" t="s">
        <v>19208</v>
      </c>
      <c r="Y6807" s="17" t="s">
        <v>96</v>
      </c>
    </row>
    <row r="6808" ht="15" customHeight="1" spans="1:27" x14ac:dyDescent="0.25">
      <c r="A6808" s="17" t="s">
        <v>19209</v>
      </c>
      <c r="B6808" s="17" t="s">
        <v>70</v>
      </c>
      <c r="C6808" s="17" t="s">
        <v>71</v>
      </c>
      <c r="D6808" t="s">
        <v>19210</v>
      </c>
      <c r="F6808" t="s">
        <v>19211</v>
      </c>
      <c r="K6808" s="18">
        <f>628151830957</f>
        <v>628151830957</v>
      </c>
      <c r="N6808" s="17" t="s">
        <v>81</v>
      </c>
      <c r="U6808" s="17"/>
      <c r="V6808" s="18">
        <f>628151830957</f>
        <v>628151830957</v>
      </c>
      <c r="W6808" t="s">
        <v>19212</v>
      </c>
      <c r="Y6808" s="17" t="s">
        <v>96</v>
      </c>
      <c r="AA6808" s="17">
        <v>12439</v>
      </c>
    </row>
    <row r="6809" ht="15" customHeight="1" spans="1:28" x14ac:dyDescent="0.25">
      <c r="A6809" s="17" t="s">
        <v>19213</v>
      </c>
      <c r="B6809" s="17" t="s">
        <v>70</v>
      </c>
      <c r="C6809" s="17" t="s">
        <v>71</v>
      </c>
      <c r="D6809" t="s">
        <v>19214</v>
      </c>
      <c r="F6809" t="s">
        <v>1024</v>
      </c>
      <c r="J6809" s="17" t="s">
        <v>19215</v>
      </c>
      <c r="K6809" s="18" t="s">
        <v>19216</v>
      </c>
      <c r="N6809" s="17" t="s">
        <v>77</v>
      </c>
      <c r="O6809" t="s">
        <v>489</v>
      </c>
      <c r="U6809" s="17"/>
      <c r="V6809" s="18" t="s">
        <v>19216</v>
      </c>
      <c r="W6809" t="s">
        <v>19217</v>
      </c>
      <c r="Y6809" t="s">
        <v>1119</v>
      </c>
      <c r="AA6809" t="s">
        <v>115</v>
      </c>
      <c r="AB6809" t="s">
        <v>119</v>
      </c>
    </row>
    <row r="6810" ht="15" customHeight="1" spans="1:23" x14ac:dyDescent="0.25">
      <c r="A6810" s="17" t="s">
        <v>19218</v>
      </c>
      <c r="B6810" s="17" t="s">
        <v>70</v>
      </c>
      <c r="C6810" s="17" t="s">
        <v>71</v>
      </c>
      <c r="D6810" t="s">
        <v>19219</v>
      </c>
      <c r="F6810" t="s">
        <v>19220</v>
      </c>
      <c r="K6810" s="18">
        <f>62811960363</f>
        <v>62811960363</v>
      </c>
      <c r="N6810" s="17" t="s">
        <v>77</v>
      </c>
      <c r="U6810" s="17"/>
      <c r="V6810" s="18">
        <f>62811960363</f>
        <v>62811960363</v>
      </c>
      <c r="W6810" t="s">
        <v>19221</v>
      </c>
    </row>
    <row r="6811" ht="15" customHeight="1" spans="1:22" x14ac:dyDescent="0.25">
      <c r="A6811" s="17" t="s">
        <v>19222</v>
      </c>
      <c r="B6811" s="17" t="s">
        <v>70</v>
      </c>
      <c r="C6811" s="17" t="s">
        <v>71</v>
      </c>
      <c r="D6811" t="s">
        <v>19223</v>
      </c>
      <c r="F6811" t="s">
        <v>19224</v>
      </c>
      <c r="J6811" s="17" t="s">
        <v>19225</v>
      </c>
      <c r="K6811" s="18">
        <f>61423708734</f>
        <v>61423708734</v>
      </c>
      <c r="N6811" s="17" t="s">
        <v>77</v>
      </c>
      <c r="V6811" s="18">
        <f>61423708734</f>
        <v>61423708734</v>
      </c>
    </row>
    <row r="6812" ht="15" customHeight="1" spans="1:28" x14ac:dyDescent="0.25">
      <c r="A6812" s="17" t="s">
        <v>19226</v>
      </c>
      <c r="B6812" s="17" t="s">
        <v>70</v>
      </c>
      <c r="C6812" s="17" t="s">
        <v>71</v>
      </c>
      <c r="D6812" t="s">
        <v>19227</v>
      </c>
      <c r="F6812" t="s">
        <v>14923</v>
      </c>
      <c r="J6812" t="s">
        <v>115</v>
      </c>
      <c r="K6812" s="18" t="s">
        <v>19228</v>
      </c>
      <c r="N6812" s="17" t="s">
        <v>77</v>
      </c>
      <c r="O6812" t="s">
        <v>145</v>
      </c>
      <c r="U6812" s="17"/>
      <c r="V6812" s="18" t="s">
        <v>19228</v>
      </c>
      <c r="W6812" t="s">
        <v>19229</v>
      </c>
      <c r="Y6812" t="s">
        <v>96</v>
      </c>
      <c r="AA6812" t="s">
        <v>693</v>
      </c>
      <c r="AB6812" t="s">
        <v>119</v>
      </c>
    </row>
    <row r="6813" ht="15" customHeight="1" spans="1:28" x14ac:dyDescent="0.25">
      <c r="A6813" s="17" t="s">
        <v>19230</v>
      </c>
      <c r="B6813" s="17" t="s">
        <v>70</v>
      </c>
      <c r="C6813" s="17" t="s">
        <v>71</v>
      </c>
      <c r="D6813" t="s">
        <v>19227</v>
      </c>
      <c r="F6813" t="s">
        <v>19231</v>
      </c>
      <c r="J6813" t="s">
        <v>115</v>
      </c>
      <c r="K6813" s="18" t="s">
        <v>19232</v>
      </c>
      <c r="N6813" s="17" t="s">
        <v>74</v>
      </c>
      <c r="O6813" t="s">
        <v>117</v>
      </c>
      <c r="U6813" s="17"/>
      <c r="V6813" s="18" t="s">
        <v>19232</v>
      </c>
      <c r="W6813" t="s">
        <v>19233</v>
      </c>
      <c r="Y6813" s="17" t="s">
        <v>1084</v>
      </c>
      <c r="AA6813" s="17" t="s">
        <v>3146</v>
      </c>
      <c r="AB6813" t="s">
        <v>119</v>
      </c>
    </row>
    <row r="6814" ht="15" customHeight="1" spans="1:22" x14ac:dyDescent="0.25">
      <c r="A6814" s="17" t="s">
        <v>19234</v>
      </c>
      <c r="B6814" s="17" t="s">
        <v>70</v>
      </c>
      <c r="C6814" s="17" t="s">
        <v>71</v>
      </c>
      <c r="D6814" t="s">
        <v>19235</v>
      </c>
      <c r="F6814" t="s">
        <v>13855</v>
      </c>
      <c r="J6814" s="17" t="s">
        <v>19236</v>
      </c>
      <c r="K6814" s="18">
        <f>6281510178000</f>
        <v>6281510178000</v>
      </c>
      <c r="N6814" s="17" t="s">
        <v>77</v>
      </c>
      <c r="V6814" s="18">
        <f>6281510178000</f>
        <v>6281510178000</v>
      </c>
    </row>
    <row r="6815" ht="15" customHeight="1" spans="1:28" x14ac:dyDescent="0.25">
      <c r="A6815" s="17" t="s">
        <v>19237</v>
      </c>
      <c r="B6815" s="17" t="s">
        <v>70</v>
      </c>
      <c r="C6815" s="17" t="s">
        <v>71</v>
      </c>
      <c r="D6815" t="s">
        <v>1264</v>
      </c>
      <c r="F6815" t="s">
        <v>5019</v>
      </c>
      <c r="J6815" t="s">
        <v>115</v>
      </c>
      <c r="K6815" s="18" t="s">
        <v>19238</v>
      </c>
      <c r="N6815" s="17" t="s">
        <v>77</v>
      </c>
      <c r="O6815" t="s">
        <v>145</v>
      </c>
      <c r="V6815" s="18" t="s">
        <v>19238</v>
      </c>
      <c r="Y6815" t="s">
        <v>115</v>
      </c>
      <c r="AA6815" t="s">
        <v>115</v>
      </c>
      <c r="AB6815" t="s">
        <v>119</v>
      </c>
    </row>
    <row r="6816" ht="15" customHeight="1" spans="1:25" x14ac:dyDescent="0.25">
      <c r="A6816" s="17" t="s">
        <v>19239</v>
      </c>
      <c r="B6816" s="17" t="s">
        <v>70</v>
      </c>
      <c r="C6816" s="17" t="s">
        <v>71</v>
      </c>
      <c r="D6816" t="s">
        <v>1264</v>
      </c>
      <c r="F6816" t="s">
        <v>14923</v>
      </c>
      <c r="K6816" s="18">
        <f>6281510105577</f>
        <v>6281510105577</v>
      </c>
      <c r="N6816" s="17" t="s">
        <v>74</v>
      </c>
      <c r="U6816" s="17"/>
      <c r="V6816" s="18">
        <f>6281510105577</f>
        <v>6281510105577</v>
      </c>
      <c r="W6816" t="s">
        <v>19240</v>
      </c>
      <c r="Y6816" s="17" t="s">
        <v>90</v>
      </c>
    </row>
    <row r="6817" ht="15" customHeight="1" spans="1:22" x14ac:dyDescent="0.25">
      <c r="A6817" s="17" t="s">
        <v>19241</v>
      </c>
      <c r="B6817" s="17" t="s">
        <v>70</v>
      </c>
      <c r="C6817" s="17" t="s">
        <v>71</v>
      </c>
      <c r="D6817" t="s">
        <v>1264</v>
      </c>
      <c r="F6817" t="s">
        <v>150</v>
      </c>
      <c r="K6817" s="18">
        <f>6282110123096</f>
        <v>6282110123096</v>
      </c>
      <c r="N6817" s="17" t="s">
        <v>77</v>
      </c>
      <c r="V6817" s="18">
        <f>6282110123096</f>
        <v>6282110123096</v>
      </c>
    </row>
    <row r="6818" ht="15" customHeight="1" spans="1:23" x14ac:dyDescent="0.25">
      <c r="A6818" s="17" t="s">
        <v>19242</v>
      </c>
      <c r="B6818" s="17" t="s">
        <v>70</v>
      </c>
      <c r="C6818" s="17" t="s">
        <v>71</v>
      </c>
      <c r="D6818" t="s">
        <v>1264</v>
      </c>
      <c r="F6818" t="s">
        <v>19243</v>
      </c>
      <c r="K6818" s="18">
        <f>6285720277777</f>
        <v>6285720277777</v>
      </c>
      <c r="N6818" s="17" t="s">
        <v>77</v>
      </c>
      <c r="U6818" s="17"/>
      <c r="V6818" s="18">
        <f>6285720277777</f>
        <v>6285720277777</v>
      </c>
      <c r="W6818" t="s">
        <v>19244</v>
      </c>
    </row>
    <row r="6819" ht="15" customHeight="1" spans="1:22" x14ac:dyDescent="0.25">
      <c r="A6819" s="17" t="s">
        <v>19245</v>
      </c>
      <c r="B6819" s="17" t="s">
        <v>70</v>
      </c>
      <c r="C6819" s="17" t="s">
        <v>71</v>
      </c>
      <c r="D6819" t="s">
        <v>1264</v>
      </c>
      <c r="F6819" t="s">
        <v>19246</v>
      </c>
      <c r="K6819" s="18">
        <f>6281344846803</f>
        <v>6281344846803</v>
      </c>
      <c r="N6819" s="17" t="s">
        <v>77</v>
      </c>
      <c r="V6819" s="18">
        <f>6281344846803</f>
        <v>6281344846803</v>
      </c>
    </row>
    <row r="6820" ht="15" customHeight="1" spans="1:22" x14ac:dyDescent="0.25">
      <c r="A6820" s="17" t="s">
        <v>19247</v>
      </c>
      <c r="B6820" s="17" t="s">
        <v>70</v>
      </c>
      <c r="C6820" s="17" t="s">
        <v>71</v>
      </c>
      <c r="D6820" t="s">
        <v>1264</v>
      </c>
      <c r="F6820" t="s">
        <v>669</v>
      </c>
      <c r="K6820" s="18">
        <f>6287886618919</f>
        <v>6287886618919</v>
      </c>
      <c r="N6820" s="17" t="s">
        <v>77</v>
      </c>
      <c r="V6820" s="18">
        <f>6287886618919</f>
        <v>6287886618919</v>
      </c>
    </row>
    <row r="6821" ht="15" customHeight="1" spans="1:22" x14ac:dyDescent="0.25">
      <c r="A6821" s="17" t="s">
        <v>19248</v>
      </c>
      <c r="B6821" s="17" t="s">
        <v>70</v>
      </c>
      <c r="C6821" s="17" t="s">
        <v>71</v>
      </c>
      <c r="D6821" t="s">
        <v>19249</v>
      </c>
      <c r="F6821" t="s">
        <v>19250</v>
      </c>
      <c r="K6821" s="18">
        <f>6281513193506</f>
        <v>6281513193506</v>
      </c>
      <c r="N6821" s="17" t="s">
        <v>81</v>
      </c>
      <c r="V6821" s="18">
        <f>6281513193506</f>
        <v>6281513193506</v>
      </c>
    </row>
    <row r="6822" ht="15" customHeight="1" spans="1:23" x14ac:dyDescent="0.25">
      <c r="A6822" s="17" t="s">
        <v>19251</v>
      </c>
      <c r="B6822" s="17" t="s">
        <v>70</v>
      </c>
      <c r="C6822" s="17" t="s">
        <v>71</v>
      </c>
      <c r="D6822" t="s">
        <v>19252</v>
      </c>
      <c r="F6822" t="s">
        <v>11642</v>
      </c>
      <c r="K6822" s="18">
        <f>6285890530137</f>
        <v>6285890530137</v>
      </c>
      <c r="N6822" s="17" t="s">
        <v>77</v>
      </c>
      <c r="U6822" s="17"/>
      <c r="V6822" s="18">
        <f>6285890530137</f>
        <v>6285890530137</v>
      </c>
      <c r="W6822" t="s">
        <v>19253</v>
      </c>
    </row>
    <row r="6823" ht="15" customHeight="1" spans="1:22" x14ac:dyDescent="0.25">
      <c r="A6823" s="17" t="s">
        <v>19254</v>
      </c>
      <c r="B6823" s="17" t="s">
        <v>70</v>
      </c>
      <c r="C6823" s="17" t="s">
        <v>71</v>
      </c>
      <c r="D6823" t="s">
        <v>19255</v>
      </c>
      <c r="F6823" t="s">
        <v>19255</v>
      </c>
      <c r="K6823" s="18">
        <f>6281289999978</f>
        <v>6281289999978</v>
      </c>
      <c r="N6823" s="17" t="s">
        <v>77</v>
      </c>
      <c r="V6823" s="18">
        <f>6281289999978</f>
        <v>6281289999978</v>
      </c>
    </row>
    <row r="6824" ht="15" customHeight="1" spans="1:23" x14ac:dyDescent="0.25">
      <c r="A6824" s="17" t="s">
        <v>19256</v>
      </c>
      <c r="B6824" s="17" t="s">
        <v>70</v>
      </c>
      <c r="C6824" s="17" t="s">
        <v>71</v>
      </c>
      <c r="D6824" t="s">
        <v>19257</v>
      </c>
      <c r="F6824" t="s">
        <v>19258</v>
      </c>
      <c r="K6824" s="18">
        <f>905339672722</f>
        <v>905339672722</v>
      </c>
      <c r="N6824" s="17" t="s">
        <v>77</v>
      </c>
      <c r="U6824" s="17"/>
      <c r="V6824" s="18">
        <f>905339672722</f>
        <v>905339672722</v>
      </c>
      <c r="W6824" t="s">
        <v>19259</v>
      </c>
    </row>
    <row r="6825" ht="15" customHeight="1" spans="1:22" x14ac:dyDescent="0.25">
      <c r="A6825" s="17" t="s">
        <v>19260</v>
      </c>
      <c r="B6825" s="17" t="s">
        <v>70</v>
      </c>
      <c r="C6825" s="17" t="s">
        <v>71</v>
      </c>
      <c r="D6825" t="s">
        <v>19261</v>
      </c>
      <c r="F6825" t="s">
        <v>19261</v>
      </c>
      <c r="K6825" s="18">
        <f>6281318453428</f>
        <v>6281318453428</v>
      </c>
      <c r="N6825" s="17" t="s">
        <v>81</v>
      </c>
      <c r="V6825" s="18">
        <f>6281318453428</f>
        <v>6281318453428</v>
      </c>
    </row>
    <row r="6826" ht="15" customHeight="1" spans="1:28" x14ac:dyDescent="0.25">
      <c r="A6826" s="17" t="s">
        <v>19262</v>
      </c>
      <c r="B6826" s="17" t="s">
        <v>70</v>
      </c>
      <c r="C6826" s="17" t="s">
        <v>71</v>
      </c>
      <c r="D6826" t="s">
        <v>19263</v>
      </c>
      <c r="F6826" t="s">
        <v>19263</v>
      </c>
      <c r="J6826" t="s">
        <v>115</v>
      </c>
      <c r="K6826" s="18" t="s">
        <v>19264</v>
      </c>
      <c r="N6826" s="17" t="s">
        <v>81</v>
      </c>
      <c r="O6826" t="s">
        <v>117</v>
      </c>
      <c r="V6826" s="18" t="s">
        <v>19264</v>
      </c>
      <c r="Y6826" t="s">
        <v>90</v>
      </c>
      <c r="AA6826" t="s">
        <v>118</v>
      </c>
      <c r="AB6826" t="s">
        <v>119</v>
      </c>
    </row>
    <row r="6827" ht="15" customHeight="1" spans="1:28" x14ac:dyDescent="0.25">
      <c r="A6827" s="17" t="s">
        <v>19265</v>
      </c>
      <c r="B6827" s="17" t="s">
        <v>70</v>
      </c>
      <c r="C6827" s="17" t="s">
        <v>71</v>
      </c>
      <c r="D6827" t="s">
        <v>19261</v>
      </c>
      <c r="F6827" t="s">
        <v>7670</v>
      </c>
      <c r="J6827" t="s">
        <v>115</v>
      </c>
      <c r="K6827" s="18" t="s">
        <v>19266</v>
      </c>
      <c r="N6827" s="17" t="s">
        <v>77</v>
      </c>
      <c r="O6827" t="s">
        <v>199</v>
      </c>
      <c r="U6827" s="17"/>
      <c r="V6827" s="18" t="s">
        <v>19266</v>
      </c>
      <c r="W6827" t="s">
        <v>19267</v>
      </c>
      <c r="Y6827" t="s">
        <v>115</v>
      </c>
      <c r="AA6827" t="s">
        <v>115</v>
      </c>
      <c r="AB6827" t="s">
        <v>119</v>
      </c>
    </row>
    <row r="6828" ht="15" customHeight="1" spans="1:22" x14ac:dyDescent="0.25">
      <c r="A6828" s="17" t="s">
        <v>19268</v>
      </c>
      <c r="B6828" s="17" t="s">
        <v>70</v>
      </c>
      <c r="C6828" s="17" t="s">
        <v>71</v>
      </c>
      <c r="D6828" t="s">
        <v>19261</v>
      </c>
      <c r="F6828" t="s">
        <v>13926</v>
      </c>
      <c r="K6828" s="18">
        <f>628129522912</f>
        <v>628129522912</v>
      </c>
      <c r="N6828" s="17" t="s">
        <v>77</v>
      </c>
      <c r="V6828" s="18">
        <f>628129522912</f>
        <v>628129522912</v>
      </c>
    </row>
    <row r="6829" ht="15" customHeight="1" spans="1:22" x14ac:dyDescent="0.25">
      <c r="A6829" s="17" t="s">
        <v>19269</v>
      </c>
      <c r="B6829" s="17" t="s">
        <v>70</v>
      </c>
      <c r="C6829" s="17" t="s">
        <v>71</v>
      </c>
      <c r="D6829" t="s">
        <v>19261</v>
      </c>
      <c r="F6829" t="s">
        <v>19270</v>
      </c>
      <c r="K6829" s="18">
        <f>62811845945</f>
        <v>62811845945</v>
      </c>
      <c r="N6829" s="17" t="s">
        <v>77</v>
      </c>
      <c r="V6829" s="18">
        <f>62811845945</f>
        <v>62811845945</v>
      </c>
    </row>
    <row r="6830" ht="15" customHeight="1" spans="1:22" x14ac:dyDescent="0.25">
      <c r="A6830" s="17" t="s">
        <v>19271</v>
      </c>
      <c r="B6830" s="17" t="s">
        <v>70</v>
      </c>
      <c r="C6830" s="17" t="s">
        <v>71</v>
      </c>
      <c r="D6830" t="s">
        <v>19261</v>
      </c>
      <c r="F6830" t="s">
        <v>19272</v>
      </c>
      <c r="K6830" s="18">
        <f>628129084135</f>
        <v>628129084135</v>
      </c>
      <c r="N6830" s="17" t="s">
        <v>77</v>
      </c>
      <c r="V6830" s="18">
        <f>628129084135</f>
        <v>628129084135</v>
      </c>
    </row>
    <row r="6831" ht="15" customHeight="1" spans="1:28" x14ac:dyDescent="0.25">
      <c r="A6831" s="17" t="s">
        <v>19273</v>
      </c>
      <c r="B6831" s="17" t="s">
        <v>70</v>
      </c>
      <c r="C6831" s="17" t="s">
        <v>71</v>
      </c>
      <c r="D6831" t="s">
        <v>19261</v>
      </c>
      <c r="F6831" t="s">
        <v>19274</v>
      </c>
      <c r="J6831" t="s">
        <v>115</v>
      </c>
      <c r="K6831" s="18" t="s">
        <v>19275</v>
      </c>
      <c r="N6831" s="17" t="s">
        <v>74</v>
      </c>
      <c r="O6831" t="s">
        <v>145</v>
      </c>
      <c r="U6831" s="17"/>
      <c r="V6831" s="18" t="s">
        <v>19275</v>
      </c>
      <c r="W6831" t="s">
        <v>19276</v>
      </c>
      <c r="Y6831" s="17" t="s">
        <v>90</v>
      </c>
      <c r="AA6831" t="s">
        <v>118</v>
      </c>
      <c r="AB6831" t="s">
        <v>119</v>
      </c>
    </row>
    <row r="6832" ht="15" customHeight="1" spans="1:28" x14ac:dyDescent="0.25">
      <c r="A6832" s="17" t="s">
        <v>19277</v>
      </c>
      <c r="B6832" s="17" t="s">
        <v>70</v>
      </c>
      <c r="C6832" s="17" t="s">
        <v>71</v>
      </c>
      <c r="D6832" t="s">
        <v>19261</v>
      </c>
      <c r="F6832" t="s">
        <v>364</v>
      </c>
      <c r="J6832" t="s">
        <v>115</v>
      </c>
      <c r="K6832" s="18" t="s">
        <v>19278</v>
      </c>
      <c r="N6832" s="17" t="s">
        <v>74</v>
      </c>
      <c r="O6832" t="s">
        <v>117</v>
      </c>
      <c r="V6832" s="18" t="s">
        <v>19278</v>
      </c>
      <c r="Y6832" t="s">
        <v>90</v>
      </c>
      <c r="AA6832" t="s">
        <v>118</v>
      </c>
      <c r="AB6832" t="s">
        <v>119</v>
      </c>
    </row>
    <row r="6833" ht="15" customHeight="1" spans="1:28" x14ac:dyDescent="0.25">
      <c r="A6833" s="17" t="s">
        <v>19279</v>
      </c>
      <c r="B6833" s="17" t="s">
        <v>70</v>
      </c>
      <c r="C6833" s="17" t="s">
        <v>71</v>
      </c>
      <c r="D6833" t="s">
        <v>19261</v>
      </c>
      <c r="F6833" t="s">
        <v>1525</v>
      </c>
      <c r="J6833" t="s">
        <v>115</v>
      </c>
      <c r="K6833" s="18" t="s">
        <v>19280</v>
      </c>
      <c r="N6833" s="17" t="s">
        <v>77</v>
      </c>
      <c r="O6833" t="s">
        <v>199</v>
      </c>
      <c r="U6833" s="17"/>
      <c r="V6833" s="18" t="s">
        <v>19280</v>
      </c>
      <c r="W6833" t="s">
        <v>19281</v>
      </c>
      <c r="Y6833" s="17" t="s">
        <v>181</v>
      </c>
      <c r="AA6833" t="s">
        <v>1672</v>
      </c>
      <c r="AB6833" t="s">
        <v>119</v>
      </c>
    </row>
    <row r="6834" ht="15" customHeight="1" spans="1:22" x14ac:dyDescent="0.25">
      <c r="A6834" s="17" t="s">
        <v>19282</v>
      </c>
      <c r="B6834" s="17" t="s">
        <v>70</v>
      </c>
      <c r="C6834" s="17" t="s">
        <v>71</v>
      </c>
      <c r="D6834" t="s">
        <v>19283</v>
      </c>
      <c r="F6834" t="s">
        <v>167</v>
      </c>
      <c r="K6834" s="18">
        <f>628159119100</f>
        <v>628159119100</v>
      </c>
      <c r="N6834" s="17" t="s">
        <v>81</v>
      </c>
      <c r="V6834" s="18">
        <f>628159119100</f>
        <v>628159119100</v>
      </c>
    </row>
    <row r="6835" ht="15" customHeight="1" spans="1:22" x14ac:dyDescent="0.25">
      <c r="A6835" s="17" t="s">
        <v>19284</v>
      </c>
      <c r="B6835" s="17" t="s">
        <v>70</v>
      </c>
      <c r="C6835" s="17" t="s">
        <v>71</v>
      </c>
      <c r="D6835" t="s">
        <v>19285</v>
      </c>
      <c r="F6835" t="s">
        <v>19285</v>
      </c>
      <c r="K6835" s="18">
        <f>6281218208555</f>
        <v>6281218208555</v>
      </c>
      <c r="N6835" s="17" t="s">
        <v>77</v>
      </c>
      <c r="V6835" s="18">
        <f>6281218208555</f>
        <v>6281218208555</v>
      </c>
    </row>
    <row r="6836" ht="15" customHeight="1" spans="1:22" x14ac:dyDescent="0.25">
      <c r="A6836" s="17" t="s">
        <v>19286</v>
      </c>
      <c r="B6836" s="17" t="s">
        <v>70</v>
      </c>
      <c r="C6836" s="17" t="s">
        <v>71</v>
      </c>
      <c r="D6836" t="s">
        <v>19285</v>
      </c>
      <c r="F6836" t="s">
        <v>19285</v>
      </c>
      <c r="K6836" s="18">
        <f>6281383836665</f>
        <v>6281383836665</v>
      </c>
      <c r="N6836" s="17" t="s">
        <v>77</v>
      </c>
      <c r="V6836" s="18">
        <f>6281383836665</f>
        <v>6281383836665</v>
      </c>
    </row>
    <row r="6837" ht="15" customHeight="1" spans="1:22" x14ac:dyDescent="0.25">
      <c r="A6837" s="17" t="s">
        <v>19287</v>
      </c>
      <c r="B6837" s="17" t="s">
        <v>70</v>
      </c>
      <c r="C6837" s="17" t="s">
        <v>71</v>
      </c>
      <c r="D6837" t="s">
        <v>19288</v>
      </c>
      <c r="F6837" t="s">
        <v>19288</v>
      </c>
      <c r="K6837" s="18">
        <f>62811612359</f>
        <v>62811612359</v>
      </c>
      <c r="N6837" s="17" t="s">
        <v>74</v>
      </c>
      <c r="V6837" s="18">
        <f>62811612359</f>
        <v>62811612359</v>
      </c>
    </row>
    <row r="6838" ht="15" customHeight="1" spans="1:27" x14ac:dyDescent="0.25">
      <c r="A6838" s="17" t="s">
        <v>19289</v>
      </c>
      <c r="B6838" s="17" t="s">
        <v>70</v>
      </c>
      <c r="C6838" s="17" t="s">
        <v>71</v>
      </c>
      <c r="D6838" t="s">
        <v>19288</v>
      </c>
      <c r="F6838" t="s">
        <v>19290</v>
      </c>
      <c r="K6838" s="18">
        <f>628121688888</f>
        <v>628121688888</v>
      </c>
      <c r="N6838" s="17" t="s">
        <v>77</v>
      </c>
      <c r="U6838" s="17"/>
      <c r="V6838" s="18">
        <f>628121688888</f>
        <v>628121688888</v>
      </c>
      <c r="W6838" t="s">
        <v>19291</v>
      </c>
      <c r="Y6838" s="17" t="s">
        <v>626</v>
      </c>
      <c r="AA6838" s="17">
        <v>11550</v>
      </c>
    </row>
    <row r="6839" ht="15" customHeight="1" spans="1:28" x14ac:dyDescent="0.25">
      <c r="A6839" s="17" t="s">
        <v>19292</v>
      </c>
      <c r="B6839" s="17" t="s">
        <v>70</v>
      </c>
      <c r="C6839" s="17" t="s">
        <v>71</v>
      </c>
      <c r="D6839" t="s">
        <v>19293</v>
      </c>
      <c r="F6839" t="s">
        <v>5019</v>
      </c>
      <c r="J6839" s="17" t="s">
        <v>19294</v>
      </c>
      <c r="K6839" s="18" t="s">
        <v>19295</v>
      </c>
      <c r="N6839" s="17" t="s">
        <v>77</v>
      </c>
      <c r="O6839" t="s">
        <v>145</v>
      </c>
      <c r="U6839" s="17"/>
      <c r="V6839" s="18" t="s">
        <v>19295</v>
      </c>
      <c r="W6839" t="s">
        <v>19296</v>
      </c>
      <c r="Y6839" t="s">
        <v>190</v>
      </c>
      <c r="AA6839" s="17" t="s">
        <v>118</v>
      </c>
      <c r="AB6839" t="s">
        <v>119</v>
      </c>
    </row>
    <row r="6840" ht="15" customHeight="1" spans="1:22" x14ac:dyDescent="0.25">
      <c r="A6840" s="17" t="s">
        <v>19297</v>
      </c>
      <c r="B6840" s="17" t="s">
        <v>70</v>
      </c>
      <c r="C6840" s="17" t="s">
        <v>71</v>
      </c>
      <c r="D6840" t="s">
        <v>19293</v>
      </c>
      <c r="F6840" t="s">
        <v>3991</v>
      </c>
      <c r="K6840" s="18">
        <f>628119919767</f>
        <v>628119919767</v>
      </c>
      <c r="N6840" s="17" t="s">
        <v>81</v>
      </c>
      <c r="V6840" s="18">
        <f>628119919767</f>
        <v>628119919767</v>
      </c>
    </row>
    <row r="6841" ht="15" customHeight="1" spans="1:22" x14ac:dyDescent="0.25">
      <c r="A6841" s="17" t="s">
        <v>19298</v>
      </c>
      <c r="B6841" s="17" t="s">
        <v>70</v>
      </c>
      <c r="C6841" s="17" t="s">
        <v>71</v>
      </c>
      <c r="D6841" t="s">
        <v>19299</v>
      </c>
      <c r="F6841" t="s">
        <v>19299</v>
      </c>
      <c r="K6841" s="18">
        <f>6281511509955</f>
        <v>6281511509955</v>
      </c>
      <c r="N6841" s="17" t="s">
        <v>77</v>
      </c>
      <c r="V6841" s="18">
        <f>6281511509955</f>
        <v>6281511509955</v>
      </c>
    </row>
    <row r="6842" ht="15" customHeight="1" spans="1:23" x14ac:dyDescent="0.25">
      <c r="A6842" s="17" t="s">
        <v>19300</v>
      </c>
      <c r="B6842" s="17" t="s">
        <v>70</v>
      </c>
      <c r="C6842" s="17" t="s">
        <v>71</v>
      </c>
      <c r="D6842" t="s">
        <v>19301</v>
      </c>
      <c r="F6842" t="s">
        <v>19302</v>
      </c>
      <c r="K6842" s="18">
        <f>62811839894</f>
        <v>62811839894</v>
      </c>
      <c r="N6842" s="17" t="s">
        <v>77</v>
      </c>
      <c r="U6842" s="17"/>
      <c r="V6842" s="18">
        <f>62811839894</f>
        <v>62811839894</v>
      </c>
      <c r="W6842" t="s">
        <v>19303</v>
      </c>
    </row>
    <row r="6843" ht="15" customHeight="1" spans="1:28" x14ac:dyDescent="0.25">
      <c r="A6843" s="17" t="s">
        <v>19304</v>
      </c>
      <c r="B6843" s="17" t="s">
        <v>70</v>
      </c>
      <c r="C6843" s="17" t="s">
        <v>71</v>
      </c>
      <c r="D6843" t="s">
        <v>19305</v>
      </c>
      <c r="F6843" t="s">
        <v>19306</v>
      </c>
      <c r="J6843" s="17" t="s">
        <v>19307</v>
      </c>
      <c r="K6843" s="18" t="s">
        <v>19308</v>
      </c>
      <c r="N6843" s="17" t="s">
        <v>77</v>
      </c>
      <c r="O6843" t="s">
        <v>117</v>
      </c>
      <c r="V6843" s="18" t="s">
        <v>19308</v>
      </c>
      <c r="Y6843" t="s">
        <v>190</v>
      </c>
      <c r="AA6843" t="s">
        <v>118</v>
      </c>
      <c r="AB6843" t="s">
        <v>119</v>
      </c>
    </row>
    <row r="6844" ht="15" customHeight="1" spans="1:22" x14ac:dyDescent="0.25">
      <c r="A6844" s="17" t="s">
        <v>19309</v>
      </c>
      <c r="B6844" s="17" t="s">
        <v>70</v>
      </c>
      <c r="C6844" s="17" t="s">
        <v>71</v>
      </c>
      <c r="D6844" t="s">
        <v>19310</v>
      </c>
      <c r="F6844" t="s">
        <v>19310</v>
      </c>
      <c r="K6844" s="18">
        <f>62855305667</f>
        <v>62855305667</v>
      </c>
      <c r="N6844" s="17" t="s">
        <v>77</v>
      </c>
      <c r="V6844" s="18">
        <f>62855305667</f>
        <v>62855305667</v>
      </c>
    </row>
    <row r="6845" ht="15" customHeight="1" spans="1:23" x14ac:dyDescent="0.25">
      <c r="A6845" s="17" t="s">
        <v>19311</v>
      </c>
      <c r="B6845" s="17" t="s">
        <v>70</v>
      </c>
      <c r="C6845" s="17" t="s">
        <v>71</v>
      </c>
      <c r="D6845" t="s">
        <v>19312</v>
      </c>
      <c r="F6845" t="s">
        <v>19313</v>
      </c>
      <c r="K6845" s="18">
        <f>5511981147007</f>
        <v>5511981147007</v>
      </c>
      <c r="N6845" s="17" t="s">
        <v>77</v>
      </c>
      <c r="U6845" s="17"/>
      <c r="V6845" s="18">
        <f>5511981147007</f>
        <v>5511981147007</v>
      </c>
      <c r="W6845" t="s">
        <v>6741</v>
      </c>
    </row>
    <row r="6846" ht="15" customHeight="1" spans="1:28" x14ac:dyDescent="0.25">
      <c r="A6846" s="17" t="s">
        <v>19314</v>
      </c>
      <c r="B6846" s="17" t="s">
        <v>70</v>
      </c>
      <c r="C6846" s="17" t="s">
        <v>71</v>
      </c>
      <c r="D6846" t="s">
        <v>19312</v>
      </c>
      <c r="F6846" t="s">
        <v>18746</v>
      </c>
      <c r="J6846" t="s">
        <v>115</v>
      </c>
      <c r="K6846" s="18" t="s">
        <v>19315</v>
      </c>
      <c r="N6846" s="17" t="s">
        <v>81</v>
      </c>
      <c r="O6846" t="s">
        <v>145</v>
      </c>
      <c r="U6846" s="17"/>
      <c r="V6846" s="18" t="s">
        <v>19315</v>
      </c>
      <c r="W6846" t="s">
        <v>19316</v>
      </c>
      <c r="Y6846" s="17" t="s">
        <v>378</v>
      </c>
      <c r="AA6846" t="s">
        <v>118</v>
      </c>
      <c r="AB6846" t="s">
        <v>119</v>
      </c>
    </row>
    <row r="6847" ht="15" customHeight="1" spans="1:22" x14ac:dyDescent="0.25">
      <c r="A6847" s="17" t="s">
        <v>19317</v>
      </c>
      <c r="B6847" s="17" t="s">
        <v>70</v>
      </c>
      <c r="C6847" s="17" t="s">
        <v>71</v>
      </c>
      <c r="D6847" t="s">
        <v>19312</v>
      </c>
      <c r="F6847" t="s">
        <v>19318</v>
      </c>
      <c r="K6847" s="18">
        <f>6281905447888</f>
        <v>6281905447888</v>
      </c>
      <c r="N6847" s="17" t="s">
        <v>77</v>
      </c>
      <c r="V6847" s="18">
        <f>6281905447888</f>
        <v>6281905447888</v>
      </c>
    </row>
    <row r="6848" ht="15" customHeight="1" spans="1:22" x14ac:dyDescent="0.25">
      <c r="A6848" s="17" t="s">
        <v>19319</v>
      </c>
      <c r="B6848" s="17" t="s">
        <v>70</v>
      </c>
      <c r="C6848" s="17" t="s">
        <v>71</v>
      </c>
      <c r="D6848" t="s">
        <v>19312</v>
      </c>
      <c r="F6848" t="s">
        <v>2785</v>
      </c>
      <c r="K6848" s="18">
        <f>6282134403303</f>
        <v>6282134403303</v>
      </c>
      <c r="N6848" s="17" t="s">
        <v>81</v>
      </c>
      <c r="V6848" s="18">
        <f>6282134403303</f>
        <v>6282134403303</v>
      </c>
    </row>
    <row r="6849" ht="15" customHeight="1" spans="1:22" x14ac:dyDescent="0.25">
      <c r="A6849" s="17" t="s">
        <v>19320</v>
      </c>
      <c r="B6849" s="17" t="s">
        <v>70</v>
      </c>
      <c r="C6849" s="17" t="s">
        <v>71</v>
      </c>
      <c r="D6849" t="s">
        <v>19321</v>
      </c>
      <c r="F6849" t="s">
        <v>15494</v>
      </c>
      <c r="K6849" s="18">
        <f>6281322551011</f>
        <v>6281322551011</v>
      </c>
      <c r="N6849" s="17" t="s">
        <v>77</v>
      </c>
      <c r="V6849" s="18">
        <f>6281322551011</f>
        <v>6281322551011</v>
      </c>
    </row>
    <row r="6850" ht="15" customHeight="1" spans="1:22" x14ac:dyDescent="0.25">
      <c r="A6850" s="17" t="s">
        <v>19322</v>
      </c>
      <c r="B6850" s="17" t="s">
        <v>70</v>
      </c>
      <c r="C6850" s="17" t="s">
        <v>71</v>
      </c>
      <c r="D6850" t="s">
        <v>19323</v>
      </c>
      <c r="F6850" t="s">
        <v>615</v>
      </c>
      <c r="J6850" s="17" t="s">
        <v>19324</v>
      </c>
      <c r="K6850" s="18">
        <f>628128753140</f>
        <v>628128753140</v>
      </c>
      <c r="N6850" s="17" t="s">
        <v>74</v>
      </c>
      <c r="V6850" s="18">
        <f>628128753140</f>
        <v>628128753140</v>
      </c>
    </row>
    <row r="6851" ht="15" customHeight="1" spans="1:23" x14ac:dyDescent="0.25">
      <c r="A6851" s="17" t="s">
        <v>19325</v>
      </c>
      <c r="B6851" s="17" t="s">
        <v>70</v>
      </c>
      <c r="C6851" s="17" t="s">
        <v>71</v>
      </c>
      <c r="D6851" t="s">
        <v>19326</v>
      </c>
      <c r="F6851" t="s">
        <v>5890</v>
      </c>
      <c r="K6851" s="18">
        <f>62818169134</f>
        <v>62818169134</v>
      </c>
      <c r="N6851" s="17" t="s">
        <v>77</v>
      </c>
      <c r="U6851" s="17"/>
      <c r="V6851" s="18">
        <f>62818169134</f>
        <v>62818169134</v>
      </c>
      <c r="W6851" t="s">
        <v>19327</v>
      </c>
    </row>
    <row r="6852" ht="15" customHeight="1" spans="1:27" x14ac:dyDescent="0.25">
      <c r="A6852" s="17" t="s">
        <v>19328</v>
      </c>
      <c r="B6852" s="17" t="s">
        <v>70</v>
      </c>
      <c r="C6852" s="17" t="s">
        <v>71</v>
      </c>
      <c r="D6852" t="s">
        <v>19329</v>
      </c>
      <c r="F6852" t="s">
        <v>19329</v>
      </c>
      <c r="K6852" s="18">
        <f>628122271161</f>
        <v>628122271161</v>
      </c>
      <c r="N6852" s="17" t="s">
        <v>77</v>
      </c>
      <c r="U6852" s="17"/>
      <c r="V6852" s="18">
        <f>628122271161</f>
        <v>628122271161</v>
      </c>
      <c r="W6852" t="s">
        <v>19330</v>
      </c>
      <c r="Y6852" s="17" t="s">
        <v>397</v>
      </c>
      <c r="AA6852" s="17" t="s">
        <v>19331</v>
      </c>
    </row>
    <row r="6853" ht="15" customHeight="1" spans="1:23" x14ac:dyDescent="0.25">
      <c r="A6853" s="17" t="s">
        <v>19332</v>
      </c>
      <c r="B6853" s="17" t="s">
        <v>70</v>
      </c>
      <c r="C6853" s="17" t="s">
        <v>71</v>
      </c>
      <c r="D6853" t="s">
        <v>19333</v>
      </c>
      <c r="F6853" t="s">
        <v>12104</v>
      </c>
      <c r="K6853" s="18">
        <v>25542000</v>
      </c>
      <c r="N6853" s="17" t="s">
        <v>77</v>
      </c>
      <c r="U6853" s="17"/>
      <c r="V6853" s="18">
        <v>25542000</v>
      </c>
      <c r="W6853" t="s">
        <v>19334</v>
      </c>
    </row>
    <row r="6854" ht="15" customHeight="1" spans="1:22" x14ac:dyDescent="0.25">
      <c r="A6854" s="17" t="s">
        <v>19335</v>
      </c>
      <c r="B6854" s="17" t="s">
        <v>70</v>
      </c>
      <c r="C6854" s="17" t="s">
        <v>71</v>
      </c>
      <c r="D6854" t="s">
        <v>19336</v>
      </c>
      <c r="F6854" t="s">
        <v>19336</v>
      </c>
      <c r="K6854" s="18">
        <f>62816768087</f>
        <v>62816768087</v>
      </c>
      <c r="N6854" s="17" t="s">
        <v>77</v>
      </c>
      <c r="V6854" s="18">
        <f>62816768087</f>
        <v>62816768087</v>
      </c>
    </row>
    <row r="6855" ht="15" customHeight="1" spans="1:23" x14ac:dyDescent="0.25">
      <c r="A6855" s="17" t="s">
        <v>19337</v>
      </c>
      <c r="B6855" s="17" t="s">
        <v>70</v>
      </c>
      <c r="C6855" s="17" t="s">
        <v>71</v>
      </c>
      <c r="D6855" t="s">
        <v>1608</v>
      </c>
      <c r="F6855" t="s">
        <v>1608</v>
      </c>
      <c r="K6855" s="18">
        <f>622145869700</f>
        <v>622145869700</v>
      </c>
      <c r="N6855" s="17" t="s">
        <v>74</v>
      </c>
      <c r="U6855" s="17"/>
      <c r="V6855" s="18">
        <f>622145869700</f>
        <v>622145869700</v>
      </c>
      <c r="W6855" t="s">
        <v>19338</v>
      </c>
    </row>
    <row r="6856" ht="15" customHeight="1" spans="1:22" x14ac:dyDescent="0.25">
      <c r="A6856" s="17" t="s">
        <v>19339</v>
      </c>
      <c r="B6856" s="17" t="s">
        <v>70</v>
      </c>
      <c r="C6856" s="17" t="s">
        <v>71</v>
      </c>
      <c r="D6856" t="s">
        <v>1608</v>
      </c>
      <c r="F6856" t="s">
        <v>1608</v>
      </c>
      <c r="K6856" s="18">
        <f>62811885163</f>
        <v>62811885163</v>
      </c>
      <c r="N6856" s="17" t="s">
        <v>81</v>
      </c>
      <c r="V6856" s="18">
        <f>62811885163</f>
        <v>62811885163</v>
      </c>
    </row>
    <row r="6857" ht="15" customHeight="1" spans="1:22" x14ac:dyDescent="0.25">
      <c r="A6857" s="17" t="s">
        <v>19340</v>
      </c>
      <c r="B6857" s="17" t="s">
        <v>70</v>
      </c>
      <c r="C6857" s="17" t="s">
        <v>71</v>
      </c>
      <c r="D6857" t="s">
        <v>1608</v>
      </c>
      <c r="F6857" t="s">
        <v>1608</v>
      </c>
      <c r="K6857" s="18">
        <f>6281314502000</f>
        <v>6281314502000</v>
      </c>
      <c r="N6857" s="17" t="s">
        <v>81</v>
      </c>
      <c r="V6857" s="18">
        <f>6281314502000</f>
        <v>6281314502000</v>
      </c>
    </row>
    <row r="6858" ht="15" customHeight="1" spans="1:22" x14ac:dyDescent="0.25">
      <c r="A6858" s="17" t="s">
        <v>19341</v>
      </c>
      <c r="B6858" s="17" t="s">
        <v>70</v>
      </c>
      <c r="C6858" s="17" t="s">
        <v>71</v>
      </c>
      <c r="D6858" t="s">
        <v>1608</v>
      </c>
      <c r="F6858" t="s">
        <v>1608</v>
      </c>
      <c r="J6858" s="17" t="s">
        <v>19342</v>
      </c>
      <c r="K6858" s="18">
        <f>628119951733</f>
        <v>628119951733</v>
      </c>
      <c r="N6858" s="17" t="s">
        <v>77</v>
      </c>
      <c r="V6858" s="18">
        <f>628119951733</f>
        <v>628119951733</v>
      </c>
    </row>
    <row r="6859" ht="15" customHeight="1" spans="1:22" x14ac:dyDescent="0.25">
      <c r="A6859" s="17" t="s">
        <v>19343</v>
      </c>
      <c r="B6859" s="17" t="s">
        <v>70</v>
      </c>
      <c r="C6859" s="17" t="s">
        <v>71</v>
      </c>
      <c r="D6859" t="s">
        <v>1608</v>
      </c>
      <c r="F6859" t="s">
        <v>1608</v>
      </c>
      <c r="K6859" s="18">
        <f>62811836309</f>
        <v>62811836309</v>
      </c>
      <c r="N6859" s="17" t="s">
        <v>77</v>
      </c>
      <c r="V6859" s="18">
        <f>62811836309</f>
        <v>62811836309</v>
      </c>
    </row>
    <row r="6860" ht="15" customHeight="1" spans="1:22" x14ac:dyDescent="0.25">
      <c r="A6860" s="17" t="s">
        <v>19344</v>
      </c>
      <c r="B6860" s="17" t="s">
        <v>70</v>
      </c>
      <c r="C6860" s="17" t="s">
        <v>71</v>
      </c>
      <c r="D6860" t="s">
        <v>1608</v>
      </c>
      <c r="F6860" t="s">
        <v>7043</v>
      </c>
      <c r="K6860" s="18">
        <f>62811951124</f>
        <v>62811951124</v>
      </c>
      <c r="N6860" s="17" t="s">
        <v>81</v>
      </c>
      <c r="V6860" s="18">
        <f>62811951124</f>
        <v>62811951124</v>
      </c>
    </row>
    <row r="6861" ht="15" customHeight="1" spans="1:23" x14ac:dyDescent="0.25">
      <c r="A6861" s="17" t="s">
        <v>19345</v>
      </c>
      <c r="B6861" s="17" t="s">
        <v>70</v>
      </c>
      <c r="C6861" s="17" t="s">
        <v>71</v>
      </c>
      <c r="D6861" t="s">
        <v>1608</v>
      </c>
      <c r="F6861" t="s">
        <v>19346</v>
      </c>
      <c r="K6861" s="18">
        <f>62217251801</f>
        <v>62217251801</v>
      </c>
      <c r="N6861" s="17" t="s">
        <v>77</v>
      </c>
      <c r="U6861" s="17"/>
      <c r="V6861" s="18">
        <f>62217251801</f>
        <v>62217251801</v>
      </c>
      <c r="W6861" t="s">
        <v>19347</v>
      </c>
    </row>
    <row r="6862" ht="15" customHeight="1" spans="1:25" x14ac:dyDescent="0.25">
      <c r="A6862" s="17" t="s">
        <v>19348</v>
      </c>
      <c r="B6862" s="17" t="s">
        <v>70</v>
      </c>
      <c r="C6862" s="17" t="s">
        <v>71</v>
      </c>
      <c r="D6862" t="s">
        <v>1608</v>
      </c>
      <c r="F6862" t="s">
        <v>19349</v>
      </c>
      <c r="K6862" s="18">
        <f>628567996958</f>
        <v>628567996958</v>
      </c>
      <c r="N6862" s="17" t="s">
        <v>81</v>
      </c>
      <c r="U6862" s="17"/>
      <c r="V6862" s="18">
        <f>628567996958</f>
        <v>628567996958</v>
      </c>
      <c r="W6862" t="s">
        <v>19350</v>
      </c>
      <c r="Y6862" s="17" t="s">
        <v>515</v>
      </c>
    </row>
    <row r="6863" ht="15" customHeight="1" spans="1:25" x14ac:dyDescent="0.25">
      <c r="A6863" s="17" t="s">
        <v>19351</v>
      </c>
      <c r="B6863" s="17" t="s">
        <v>70</v>
      </c>
      <c r="C6863" s="17" t="s">
        <v>71</v>
      </c>
      <c r="D6863" t="s">
        <v>1608</v>
      </c>
      <c r="F6863" t="s">
        <v>2178</v>
      </c>
      <c r="K6863" s="18">
        <f>628568808877</f>
        <v>628568808877</v>
      </c>
      <c r="N6863" s="17" t="s">
        <v>77</v>
      </c>
      <c r="U6863" s="17"/>
      <c r="V6863" s="18">
        <f>628568808877</f>
        <v>628568808877</v>
      </c>
      <c r="W6863" t="s">
        <v>19352</v>
      </c>
      <c r="Y6863" s="17" t="s">
        <v>10914</v>
      </c>
    </row>
    <row r="6864" ht="15" customHeight="1" spans="1:23" x14ac:dyDescent="0.25">
      <c r="A6864" s="17" t="s">
        <v>19353</v>
      </c>
      <c r="B6864" s="17" t="s">
        <v>70</v>
      </c>
      <c r="C6864" s="17" t="s">
        <v>71</v>
      </c>
      <c r="D6864" t="s">
        <v>1608</v>
      </c>
      <c r="F6864" t="s">
        <v>19354</v>
      </c>
      <c r="K6864" s="18">
        <f>622145865617</f>
        <v>622145865617</v>
      </c>
      <c r="N6864" s="17" t="s">
        <v>77</v>
      </c>
      <c r="U6864" s="17"/>
      <c r="V6864" s="18">
        <f>622145865617</f>
        <v>622145865617</v>
      </c>
      <c r="W6864" t="s">
        <v>19355</v>
      </c>
    </row>
    <row r="6865" ht="15" customHeight="1" spans="1:22" x14ac:dyDescent="0.25">
      <c r="A6865" s="17" t="s">
        <v>19356</v>
      </c>
      <c r="B6865" s="17" t="s">
        <v>70</v>
      </c>
      <c r="C6865" s="17" t="s">
        <v>71</v>
      </c>
      <c r="D6865" t="s">
        <v>19357</v>
      </c>
      <c r="F6865" t="s">
        <v>3125</v>
      </c>
      <c r="K6865" s="18">
        <f>6281380886669</f>
        <v>6281380886669</v>
      </c>
      <c r="N6865" s="17" t="s">
        <v>77</v>
      </c>
      <c r="V6865" s="18">
        <f>6281380886669</f>
        <v>6281380886669</v>
      </c>
    </row>
    <row r="6866" ht="15" customHeight="1" spans="1:28" x14ac:dyDescent="0.25">
      <c r="A6866" s="17" t="s">
        <v>19358</v>
      </c>
      <c r="B6866" s="17" t="s">
        <v>70</v>
      </c>
      <c r="C6866" s="17" t="s">
        <v>71</v>
      </c>
      <c r="D6866" t="s">
        <v>19359</v>
      </c>
      <c r="F6866" t="s">
        <v>19360</v>
      </c>
      <c r="J6866" t="s">
        <v>115</v>
      </c>
      <c r="K6866" s="18" t="s">
        <v>19361</v>
      </c>
      <c r="N6866" s="17" t="s">
        <v>77</v>
      </c>
      <c r="O6866" t="s">
        <v>117</v>
      </c>
      <c r="V6866" s="18" t="s">
        <v>19361</v>
      </c>
      <c r="Y6866" t="s">
        <v>90</v>
      </c>
      <c r="AA6866" t="s">
        <v>118</v>
      </c>
      <c r="AB6866" t="s">
        <v>119</v>
      </c>
    </row>
    <row r="6867" ht="15" customHeight="1" spans="1:23" x14ac:dyDescent="0.25">
      <c r="A6867" s="17" t="s">
        <v>19362</v>
      </c>
      <c r="B6867" s="17" t="s">
        <v>70</v>
      </c>
      <c r="C6867" s="17" t="s">
        <v>71</v>
      </c>
      <c r="D6867" t="s">
        <v>19363</v>
      </c>
      <c r="F6867" t="s">
        <v>19364</v>
      </c>
      <c r="K6867" s="18">
        <f>77733333458</f>
        <v>77733333458</v>
      </c>
      <c r="N6867" s="17" t="s">
        <v>77</v>
      </c>
      <c r="U6867" s="17"/>
      <c r="V6867" s="18">
        <f>77733333458</f>
        <v>77733333458</v>
      </c>
      <c r="W6867" t="s">
        <v>5451</v>
      </c>
    </row>
    <row r="6868" ht="15" customHeight="1" spans="1:28" x14ac:dyDescent="0.25">
      <c r="A6868" s="17" t="s">
        <v>19365</v>
      </c>
      <c r="B6868" s="17" t="s">
        <v>70</v>
      </c>
      <c r="C6868" s="17" t="s">
        <v>71</v>
      </c>
      <c r="D6868" t="s">
        <v>9486</v>
      </c>
      <c r="F6868" t="s">
        <v>19366</v>
      </c>
      <c r="J6868" t="s">
        <v>115</v>
      </c>
      <c r="K6868" s="18" t="s">
        <v>19367</v>
      </c>
      <c r="N6868" s="17" t="s">
        <v>77</v>
      </c>
      <c r="O6868" t="s">
        <v>117</v>
      </c>
      <c r="V6868" s="18" t="s">
        <v>19367</v>
      </c>
      <c r="Y6868" t="s">
        <v>115</v>
      </c>
      <c r="AA6868" t="s">
        <v>115</v>
      </c>
      <c r="AB6868" t="s">
        <v>119</v>
      </c>
    </row>
    <row r="6869" ht="15" customHeight="1" spans="1:22" x14ac:dyDescent="0.25">
      <c r="A6869" s="17" t="s">
        <v>19368</v>
      </c>
      <c r="B6869" s="17" t="s">
        <v>70</v>
      </c>
      <c r="C6869" s="17" t="s">
        <v>71</v>
      </c>
      <c r="D6869" t="s">
        <v>9486</v>
      </c>
      <c r="F6869" t="s">
        <v>9486</v>
      </c>
      <c r="K6869" s="18">
        <f>6282264381001</f>
        <v>6282264381001</v>
      </c>
      <c r="N6869" s="17" t="s">
        <v>81</v>
      </c>
      <c r="V6869" s="18">
        <f>6282264381001</f>
        <v>6282264381001</v>
      </c>
    </row>
    <row r="6870" ht="15" customHeight="1" spans="1:22" x14ac:dyDescent="0.25">
      <c r="A6870" s="17" t="s">
        <v>19369</v>
      </c>
      <c r="B6870" s="17" t="s">
        <v>70</v>
      </c>
      <c r="C6870" s="17" t="s">
        <v>71</v>
      </c>
      <c r="D6870" t="s">
        <v>9486</v>
      </c>
      <c r="F6870" t="s">
        <v>2987</v>
      </c>
      <c r="K6870" s="18">
        <f>628123751986</f>
        <v>628123751986</v>
      </c>
      <c r="N6870" s="17" t="s">
        <v>81</v>
      </c>
      <c r="V6870" s="18">
        <f>628123751986</f>
        <v>628123751986</v>
      </c>
    </row>
    <row r="6871" ht="15" customHeight="1" spans="1:28" x14ac:dyDescent="0.25">
      <c r="A6871" s="17" t="s">
        <v>19370</v>
      </c>
      <c r="B6871" s="17" t="s">
        <v>70</v>
      </c>
      <c r="C6871" s="17" t="s">
        <v>71</v>
      </c>
      <c r="D6871" t="s">
        <v>9486</v>
      </c>
      <c r="F6871" t="s">
        <v>19371</v>
      </c>
      <c r="J6871" t="s">
        <v>115</v>
      </c>
      <c r="K6871" s="18" t="s">
        <v>19372</v>
      </c>
      <c r="N6871" s="17" t="s">
        <v>77</v>
      </c>
      <c r="O6871" t="s">
        <v>199</v>
      </c>
      <c r="V6871" s="18" t="s">
        <v>19372</v>
      </c>
      <c r="Y6871" s="17" t="s">
        <v>78</v>
      </c>
      <c r="AA6871" t="s">
        <v>115</v>
      </c>
      <c r="AB6871" t="s">
        <v>119</v>
      </c>
    </row>
    <row r="6872" ht="15" customHeight="1" spans="1:25" x14ac:dyDescent="0.25">
      <c r="A6872" s="17" t="s">
        <v>19373</v>
      </c>
      <c r="B6872" s="17" t="s">
        <v>70</v>
      </c>
      <c r="C6872" s="17" t="s">
        <v>71</v>
      </c>
      <c r="D6872" t="s">
        <v>9486</v>
      </c>
      <c r="F6872" t="s">
        <v>19374</v>
      </c>
      <c r="K6872" s="18">
        <f>628111881987</f>
        <v>628111881987</v>
      </c>
      <c r="N6872" s="17" t="s">
        <v>81</v>
      </c>
      <c r="U6872" s="17"/>
      <c r="V6872" s="18">
        <f>628111881987</f>
        <v>628111881987</v>
      </c>
      <c r="W6872" t="s">
        <v>19375</v>
      </c>
      <c r="Y6872" s="17" t="s">
        <v>96</v>
      </c>
    </row>
    <row r="6873" ht="15" customHeight="1" spans="1:25" x14ac:dyDescent="0.25">
      <c r="A6873" s="17" t="s">
        <v>19376</v>
      </c>
      <c r="B6873" s="17" t="s">
        <v>70</v>
      </c>
      <c r="C6873" s="17" t="s">
        <v>71</v>
      </c>
      <c r="D6873" t="s">
        <v>19377</v>
      </c>
      <c r="F6873" t="s">
        <v>19377</v>
      </c>
      <c r="K6873" s="18">
        <f>628211381888</f>
        <v>628211381888</v>
      </c>
      <c r="N6873" s="17" t="s">
        <v>77</v>
      </c>
      <c r="V6873" s="18">
        <f>628211381888</f>
        <v>628211381888</v>
      </c>
      <c r="Y6873" s="17" t="s">
        <v>90</v>
      </c>
    </row>
    <row r="6874" ht="15" customHeight="1" spans="1:28" x14ac:dyDescent="0.25">
      <c r="A6874" s="17" t="s">
        <v>19378</v>
      </c>
      <c r="B6874" s="17" t="s">
        <v>70</v>
      </c>
      <c r="C6874" s="17" t="s">
        <v>71</v>
      </c>
      <c r="D6874" t="s">
        <v>19379</v>
      </c>
      <c r="F6874" t="s">
        <v>19379</v>
      </c>
      <c r="J6874" t="s">
        <v>115</v>
      </c>
      <c r="K6874" s="18" t="s">
        <v>19380</v>
      </c>
      <c r="N6874" s="17" t="s">
        <v>77</v>
      </c>
      <c r="O6874" t="s">
        <v>117</v>
      </c>
      <c r="V6874" s="18" t="s">
        <v>19380</v>
      </c>
      <c r="Y6874" t="s">
        <v>90</v>
      </c>
      <c r="AA6874" t="s">
        <v>118</v>
      </c>
      <c r="AB6874" t="s">
        <v>119</v>
      </c>
    </row>
    <row r="6875" ht="15" customHeight="1" spans="1:23" x14ac:dyDescent="0.25">
      <c r="A6875" s="17" t="s">
        <v>19381</v>
      </c>
      <c r="B6875" s="17" t="s">
        <v>70</v>
      </c>
      <c r="C6875" s="17" t="s">
        <v>71</v>
      </c>
      <c r="D6875" t="s">
        <v>19379</v>
      </c>
      <c r="F6875" t="s">
        <v>12591</v>
      </c>
      <c r="K6875" s="18">
        <f>6281679113</f>
        <v>6281679113</v>
      </c>
      <c r="N6875" s="17" t="s">
        <v>77</v>
      </c>
      <c r="U6875" s="17"/>
      <c r="V6875" s="18">
        <f>6281679113</f>
        <v>6281679113</v>
      </c>
      <c r="W6875" t="s">
        <v>19382</v>
      </c>
    </row>
    <row r="6876" ht="15" customHeight="1" spans="1:22" x14ac:dyDescent="0.25">
      <c r="A6876" s="17" t="s">
        <v>19383</v>
      </c>
      <c r="B6876" s="17" t="s">
        <v>70</v>
      </c>
      <c r="C6876" s="17" t="s">
        <v>71</v>
      </c>
      <c r="D6876" t="s">
        <v>19384</v>
      </c>
      <c r="F6876" t="s">
        <v>7571</v>
      </c>
      <c r="K6876" s="18">
        <f>628111887188</f>
        <v>628111887188</v>
      </c>
      <c r="N6876" s="17" t="s">
        <v>74</v>
      </c>
      <c r="V6876" s="18">
        <f>628111887188</f>
        <v>628111887188</v>
      </c>
    </row>
    <row r="6877" ht="15" customHeight="1" spans="1:22" x14ac:dyDescent="0.25">
      <c r="A6877" s="17" t="s">
        <v>19385</v>
      </c>
      <c r="B6877" s="17" t="s">
        <v>70</v>
      </c>
      <c r="C6877" s="17" t="s">
        <v>71</v>
      </c>
      <c r="D6877" t="s">
        <v>19386</v>
      </c>
      <c r="F6877" t="s">
        <v>19386</v>
      </c>
      <c r="K6877" s="18">
        <f>62811888815</f>
        <v>62811888815</v>
      </c>
      <c r="N6877" s="17" t="s">
        <v>77</v>
      </c>
      <c r="V6877" s="18">
        <f>62811888815</f>
        <v>62811888815</v>
      </c>
    </row>
    <row r="6878" ht="15" customHeight="1" spans="1:22" x14ac:dyDescent="0.25">
      <c r="A6878" s="17" t="s">
        <v>19387</v>
      </c>
      <c r="B6878" s="17" t="s">
        <v>70</v>
      </c>
      <c r="C6878" s="17" t="s">
        <v>71</v>
      </c>
      <c r="D6878" t="s">
        <v>19386</v>
      </c>
      <c r="F6878" t="s">
        <v>19386</v>
      </c>
      <c r="K6878" s="18">
        <f>62818723486</f>
        <v>62818723486</v>
      </c>
      <c r="N6878" s="17" t="s">
        <v>77</v>
      </c>
      <c r="V6878" s="18">
        <f>62818723486</f>
        <v>62818723486</v>
      </c>
    </row>
    <row r="6879" ht="15" customHeight="1" spans="1:28" x14ac:dyDescent="0.25">
      <c r="A6879" s="17" t="s">
        <v>19388</v>
      </c>
      <c r="B6879" s="17" t="s">
        <v>70</v>
      </c>
      <c r="C6879" s="17" t="s">
        <v>71</v>
      </c>
      <c r="D6879" t="s">
        <v>19386</v>
      </c>
      <c r="F6879" t="s">
        <v>19389</v>
      </c>
      <c r="J6879" s="17" t="s">
        <v>19390</v>
      </c>
      <c r="K6879" s="18" t="s">
        <v>19391</v>
      </c>
      <c r="N6879" s="17" t="s">
        <v>74</v>
      </c>
      <c r="O6879" t="s">
        <v>145</v>
      </c>
      <c r="U6879" s="17"/>
      <c r="V6879" s="18" t="s">
        <v>19391</v>
      </c>
      <c r="W6879" t="s">
        <v>19392</v>
      </c>
      <c r="Y6879" s="17" t="s">
        <v>891</v>
      </c>
      <c r="AA6879" t="s">
        <v>623</v>
      </c>
      <c r="AB6879" t="s">
        <v>119</v>
      </c>
    </row>
    <row r="6880" ht="15" customHeight="1" spans="1:22" x14ac:dyDescent="0.25">
      <c r="A6880" s="17" t="s">
        <v>19393</v>
      </c>
      <c r="B6880" s="17" t="s">
        <v>70</v>
      </c>
      <c r="C6880" s="17" t="s">
        <v>71</v>
      </c>
      <c r="D6880" t="s">
        <v>19394</v>
      </c>
      <c r="F6880" t="s">
        <v>19394</v>
      </c>
      <c r="K6880" s="18">
        <f>628121876967</f>
        <v>628121876967</v>
      </c>
      <c r="N6880" s="17" t="s">
        <v>81</v>
      </c>
      <c r="V6880" s="18">
        <f>628121876967</f>
        <v>628121876967</v>
      </c>
    </row>
    <row r="6881" ht="15" customHeight="1" spans="1:22" x14ac:dyDescent="0.25">
      <c r="A6881" s="17" t="s">
        <v>19395</v>
      </c>
      <c r="B6881" s="17" t="s">
        <v>70</v>
      </c>
      <c r="C6881" s="17" t="s">
        <v>71</v>
      </c>
      <c r="D6881" t="s">
        <v>19396</v>
      </c>
      <c r="F6881" t="s">
        <v>9868</v>
      </c>
      <c r="K6881" s="18">
        <f>62811993000</f>
        <v>62811993000</v>
      </c>
      <c r="N6881" s="17" t="s">
        <v>74</v>
      </c>
      <c r="V6881" s="18">
        <f>62811993000</f>
        <v>62811993000</v>
      </c>
    </row>
    <row r="6882" ht="15" customHeight="1" spans="1:25" x14ac:dyDescent="0.25">
      <c r="A6882" s="17" t="s">
        <v>19397</v>
      </c>
      <c r="B6882" s="17" t="s">
        <v>70</v>
      </c>
      <c r="C6882" s="17" t="s">
        <v>71</v>
      </c>
      <c r="D6882" t="s">
        <v>19398</v>
      </c>
      <c r="F6882" t="s">
        <v>19398</v>
      </c>
      <c r="J6882" s="17" t="s">
        <v>19399</v>
      </c>
      <c r="K6882" s="18">
        <f>62811179983</f>
        <v>62811179983</v>
      </c>
      <c r="N6882" s="17" t="s">
        <v>77</v>
      </c>
      <c r="U6882" s="17"/>
      <c r="V6882" s="18">
        <f>62811179983</f>
        <v>62811179983</v>
      </c>
      <c r="W6882" t="s">
        <v>19400</v>
      </c>
      <c r="Y6882" s="17" t="s">
        <v>1084</v>
      </c>
    </row>
    <row r="6883" ht="15" customHeight="1" spans="1:22" x14ac:dyDescent="0.25">
      <c r="A6883" s="17" t="s">
        <v>19401</v>
      </c>
      <c r="B6883" s="17" t="s">
        <v>70</v>
      </c>
      <c r="C6883" s="17" t="s">
        <v>71</v>
      </c>
      <c r="D6883" t="s">
        <v>19402</v>
      </c>
      <c r="F6883" t="s">
        <v>19403</v>
      </c>
      <c r="K6883" s="18">
        <f>62816575766</f>
        <v>62816575766</v>
      </c>
      <c r="N6883" s="17" t="s">
        <v>77</v>
      </c>
      <c r="V6883" s="18">
        <f>62816575766</f>
        <v>62816575766</v>
      </c>
    </row>
    <row r="6884" ht="15" customHeight="1" spans="1:28" x14ac:dyDescent="0.25">
      <c r="A6884" s="17" t="s">
        <v>19404</v>
      </c>
      <c r="B6884" s="17" t="s">
        <v>70</v>
      </c>
      <c r="C6884" s="17" t="s">
        <v>71</v>
      </c>
      <c r="D6884" t="s">
        <v>19405</v>
      </c>
      <c r="F6884" t="s">
        <v>19406</v>
      </c>
      <c r="J6884" s="17" t="s">
        <v>19407</v>
      </c>
      <c r="K6884" s="18" t="s">
        <v>19408</v>
      </c>
      <c r="N6884" s="17" t="s">
        <v>77</v>
      </c>
      <c r="O6884" t="s">
        <v>199</v>
      </c>
      <c r="V6884" s="18" t="s">
        <v>19408</v>
      </c>
      <c r="Y6884" t="s">
        <v>90</v>
      </c>
      <c r="AA6884" t="s">
        <v>118</v>
      </c>
      <c r="AB6884" t="s">
        <v>119</v>
      </c>
    </row>
    <row r="6885" ht="15" customHeight="1" spans="1:28" x14ac:dyDescent="0.25">
      <c r="A6885" s="17" t="s">
        <v>19409</v>
      </c>
      <c r="B6885" s="17" t="s">
        <v>70</v>
      </c>
      <c r="C6885" s="17" t="s">
        <v>71</v>
      </c>
      <c r="D6885" t="s">
        <v>19410</v>
      </c>
      <c r="F6885" t="s">
        <v>19410</v>
      </c>
      <c r="J6885" t="s">
        <v>115</v>
      </c>
      <c r="K6885" s="18" t="s">
        <v>19411</v>
      </c>
      <c r="N6885" s="17" t="s">
        <v>77</v>
      </c>
      <c r="O6885" t="s">
        <v>199</v>
      </c>
      <c r="U6885" s="17"/>
      <c r="V6885" s="18" t="s">
        <v>19411</v>
      </c>
      <c r="W6885" t="s">
        <v>19412</v>
      </c>
      <c r="Y6885" t="s">
        <v>704</v>
      </c>
      <c r="AA6885" t="s">
        <v>705</v>
      </c>
      <c r="AB6885" t="s">
        <v>119</v>
      </c>
    </row>
    <row r="6886" ht="15" customHeight="1" spans="1:22" x14ac:dyDescent="0.25">
      <c r="A6886" s="17" t="s">
        <v>19413</v>
      </c>
      <c r="B6886" s="17" t="s">
        <v>70</v>
      </c>
      <c r="C6886" s="17" t="s">
        <v>71</v>
      </c>
      <c r="D6886" t="s">
        <v>19414</v>
      </c>
      <c r="F6886" t="s">
        <v>600</v>
      </c>
      <c r="K6886" s="18">
        <f>62816951515</f>
        <v>62816951515</v>
      </c>
      <c r="N6886" s="17" t="s">
        <v>77</v>
      </c>
      <c r="V6886" s="18">
        <f>62816951515</f>
        <v>62816951515</v>
      </c>
    </row>
    <row r="6887" ht="15" customHeight="1" spans="1:22" x14ac:dyDescent="0.25">
      <c r="A6887" s="17" t="s">
        <v>19415</v>
      </c>
      <c r="B6887" s="17" t="s">
        <v>70</v>
      </c>
      <c r="C6887" s="17" t="s">
        <v>71</v>
      </c>
      <c r="D6887" t="s">
        <v>13096</v>
      </c>
      <c r="F6887" t="s">
        <v>13096</v>
      </c>
      <c r="K6887" s="18">
        <f>628121112026</f>
        <v>628121112026</v>
      </c>
      <c r="N6887" s="17" t="s">
        <v>81</v>
      </c>
      <c r="V6887" s="18">
        <f>628121112026</f>
        <v>628121112026</v>
      </c>
    </row>
    <row r="6888" ht="15" customHeight="1" spans="1:28" x14ac:dyDescent="0.25">
      <c r="A6888" s="17" t="s">
        <v>19416</v>
      </c>
      <c r="B6888" s="17" t="s">
        <v>70</v>
      </c>
      <c r="C6888" s="17" t="s">
        <v>71</v>
      </c>
      <c r="D6888" t="s">
        <v>13096</v>
      </c>
      <c r="F6888" t="s">
        <v>19417</v>
      </c>
      <c r="J6888" t="s">
        <v>115</v>
      </c>
      <c r="K6888" s="18" t="s">
        <v>19418</v>
      </c>
      <c r="N6888" s="17" t="s">
        <v>77</v>
      </c>
      <c r="O6888" t="s">
        <v>261</v>
      </c>
      <c r="V6888" s="18" t="s">
        <v>19418</v>
      </c>
      <c r="Y6888" t="s">
        <v>90</v>
      </c>
      <c r="AA6888" t="s">
        <v>118</v>
      </c>
      <c r="AB6888" t="s">
        <v>119</v>
      </c>
    </row>
    <row r="6889" ht="15" customHeight="1" spans="1:22" x14ac:dyDescent="0.25">
      <c r="A6889" s="17" t="s">
        <v>19419</v>
      </c>
      <c r="B6889" s="17" t="s">
        <v>70</v>
      </c>
      <c r="C6889" s="17" t="s">
        <v>71</v>
      </c>
      <c r="D6889" t="s">
        <v>19420</v>
      </c>
      <c r="F6889" t="s">
        <v>19420</v>
      </c>
      <c r="K6889" s="18">
        <f>62811630880</f>
        <v>62811630880</v>
      </c>
      <c r="N6889" s="17" t="s">
        <v>77</v>
      </c>
      <c r="V6889" s="18">
        <f>62811630880</f>
        <v>62811630880</v>
      </c>
    </row>
    <row r="6890" ht="15" customHeight="1" spans="1:22" x14ac:dyDescent="0.25">
      <c r="A6890" s="17" t="s">
        <v>19421</v>
      </c>
      <c r="B6890" s="17" t="s">
        <v>70</v>
      </c>
      <c r="C6890" s="17" t="s">
        <v>71</v>
      </c>
      <c r="D6890" t="s">
        <v>19420</v>
      </c>
      <c r="F6890" t="s">
        <v>19420</v>
      </c>
      <c r="K6890" s="18">
        <f>628118903288</f>
        <v>628118903288</v>
      </c>
      <c r="N6890" s="17" t="s">
        <v>81</v>
      </c>
      <c r="V6890" s="18">
        <f>628118903288</f>
        <v>628118903288</v>
      </c>
    </row>
    <row r="6891" ht="15" customHeight="1" spans="1:28" x14ac:dyDescent="0.25">
      <c r="A6891" s="17" t="s">
        <v>19422</v>
      </c>
      <c r="B6891" s="17" t="s">
        <v>70</v>
      </c>
      <c r="C6891" s="17" t="s">
        <v>71</v>
      </c>
      <c r="D6891" t="s">
        <v>5480</v>
      </c>
      <c r="F6891" t="s">
        <v>5480</v>
      </c>
      <c r="J6891" t="s">
        <v>19423</v>
      </c>
      <c r="K6891" s="18" t="s">
        <v>19424</v>
      </c>
      <c r="N6891" s="17" t="s">
        <v>77</v>
      </c>
      <c r="O6891" t="s">
        <v>145</v>
      </c>
      <c r="U6891" s="17"/>
      <c r="V6891" s="18" t="s">
        <v>19424</v>
      </c>
      <c r="W6891" t="s">
        <v>19425</v>
      </c>
      <c r="Y6891" s="17" t="s">
        <v>90</v>
      </c>
      <c r="AA6891" t="s">
        <v>118</v>
      </c>
      <c r="AB6891" t="s">
        <v>119</v>
      </c>
    </row>
    <row r="6892" ht="15" customHeight="1" spans="1:22" x14ac:dyDescent="0.25">
      <c r="A6892" s="17" t="s">
        <v>19426</v>
      </c>
      <c r="B6892" s="17" t="s">
        <v>70</v>
      </c>
      <c r="C6892" s="17" t="s">
        <v>71</v>
      </c>
      <c r="D6892" t="s">
        <v>19274</v>
      </c>
      <c r="F6892" t="s">
        <v>19274</v>
      </c>
      <c r="K6892" s="18">
        <f>62818145637</f>
        <v>62818145637</v>
      </c>
      <c r="N6892" s="17" t="s">
        <v>81</v>
      </c>
      <c r="V6892" s="18">
        <f>62818145637</f>
        <v>62818145637</v>
      </c>
    </row>
    <row r="6893" ht="15" customHeight="1" spans="1:23" x14ac:dyDescent="0.25">
      <c r="A6893" s="17" t="s">
        <v>19427</v>
      </c>
      <c r="B6893" s="17" t="s">
        <v>70</v>
      </c>
      <c r="C6893" s="17" t="s">
        <v>71</v>
      </c>
      <c r="D6893" t="s">
        <v>19428</v>
      </c>
      <c r="F6893" t="s">
        <v>2381</v>
      </c>
      <c r="K6893" s="18">
        <f>62214897167</f>
        <v>62214897167</v>
      </c>
      <c r="N6893" s="17" t="s">
        <v>77</v>
      </c>
      <c r="U6893" s="17"/>
      <c r="V6893" s="18">
        <f>62214897167</f>
        <v>62214897167</v>
      </c>
      <c r="W6893" t="s">
        <v>19429</v>
      </c>
    </row>
    <row r="6894" ht="15" customHeight="1" spans="1:28" x14ac:dyDescent="0.25">
      <c r="A6894" s="17" t="s">
        <v>19430</v>
      </c>
      <c r="B6894" s="17" t="s">
        <v>70</v>
      </c>
      <c r="C6894" s="17" t="s">
        <v>71</v>
      </c>
      <c r="D6894" t="s">
        <v>19428</v>
      </c>
      <c r="F6894" t="s">
        <v>19431</v>
      </c>
      <c r="J6894" s="17" t="s">
        <v>19432</v>
      </c>
      <c r="K6894" s="18" t="s">
        <v>19433</v>
      </c>
      <c r="N6894" s="17" t="s">
        <v>77</v>
      </c>
      <c r="O6894" t="s">
        <v>117</v>
      </c>
      <c r="V6894" s="18" t="s">
        <v>19433</v>
      </c>
      <c r="Y6894" t="s">
        <v>90</v>
      </c>
      <c r="AA6894" t="s">
        <v>118</v>
      </c>
      <c r="AB6894" t="s">
        <v>119</v>
      </c>
    </row>
    <row r="6895" ht="15" customHeight="1" spans="1:28" x14ac:dyDescent="0.25">
      <c r="A6895" s="17" t="s">
        <v>19434</v>
      </c>
      <c r="B6895" s="17" t="s">
        <v>70</v>
      </c>
      <c r="C6895" s="17" t="s">
        <v>71</v>
      </c>
      <c r="D6895" t="s">
        <v>19435</v>
      </c>
      <c r="F6895" t="s">
        <v>19436</v>
      </c>
      <c r="J6895" s="17" t="s">
        <v>19437</v>
      </c>
      <c r="K6895" s="18" t="s">
        <v>19438</v>
      </c>
      <c r="N6895" s="17" t="s">
        <v>77</v>
      </c>
      <c r="O6895" t="s">
        <v>117</v>
      </c>
      <c r="V6895" s="18" t="s">
        <v>19438</v>
      </c>
      <c r="Y6895" t="s">
        <v>90</v>
      </c>
      <c r="AA6895" t="s">
        <v>118</v>
      </c>
      <c r="AB6895" t="s">
        <v>119</v>
      </c>
    </row>
    <row r="6896" ht="15" customHeight="1" spans="1:28" x14ac:dyDescent="0.25">
      <c r="A6896" s="17" t="s">
        <v>19439</v>
      </c>
      <c r="B6896" s="17" t="s">
        <v>70</v>
      </c>
      <c r="C6896" s="17" t="s">
        <v>71</v>
      </c>
      <c r="D6896" t="s">
        <v>19440</v>
      </c>
      <c r="F6896" t="s">
        <v>19441</v>
      </c>
      <c r="J6896" t="s">
        <v>115</v>
      </c>
      <c r="K6896" s="18" t="s">
        <v>19442</v>
      </c>
      <c r="N6896" s="17" t="s">
        <v>77</v>
      </c>
      <c r="O6896" t="s">
        <v>145</v>
      </c>
      <c r="U6896" s="17"/>
      <c r="V6896" s="18" t="s">
        <v>19442</v>
      </c>
      <c r="W6896" t="s">
        <v>19443</v>
      </c>
      <c r="Y6896" s="17" t="s">
        <v>190</v>
      </c>
      <c r="AA6896" t="s">
        <v>118</v>
      </c>
      <c r="AB6896" t="s">
        <v>119</v>
      </c>
    </row>
    <row r="6897" ht="15" customHeight="1" spans="1:22" x14ac:dyDescent="0.25">
      <c r="A6897" s="17" t="s">
        <v>19444</v>
      </c>
      <c r="B6897" s="17" t="s">
        <v>70</v>
      </c>
      <c r="C6897" s="17" t="s">
        <v>71</v>
      </c>
      <c r="D6897" t="s">
        <v>19445</v>
      </c>
      <c r="F6897" t="s">
        <v>19445</v>
      </c>
      <c r="K6897" s="18">
        <f>6282160558889</f>
        <v>6282160558889</v>
      </c>
      <c r="N6897" s="17" t="s">
        <v>81</v>
      </c>
      <c r="V6897" s="18">
        <f>6282160558889</f>
        <v>6282160558889</v>
      </c>
    </row>
    <row r="6898" ht="15" customHeight="1" spans="1:22" x14ac:dyDescent="0.25">
      <c r="A6898" s="17" t="s">
        <v>19446</v>
      </c>
      <c r="B6898" s="17" t="s">
        <v>70</v>
      </c>
      <c r="C6898" s="17" t="s">
        <v>71</v>
      </c>
      <c r="D6898" t="s">
        <v>19447</v>
      </c>
      <c r="F6898" t="s">
        <v>19447</v>
      </c>
      <c r="K6898" s="18">
        <f>628568909669</f>
        <v>628568909669</v>
      </c>
      <c r="N6898" s="17" t="s">
        <v>77</v>
      </c>
      <c r="V6898" s="18">
        <f>628568909669</f>
        <v>628568909669</v>
      </c>
    </row>
    <row r="6899" ht="15" customHeight="1" spans="1:25" x14ac:dyDescent="0.25">
      <c r="A6899" s="17" t="s">
        <v>19448</v>
      </c>
      <c r="B6899" s="17" t="s">
        <v>70</v>
      </c>
      <c r="C6899" s="17" t="s">
        <v>71</v>
      </c>
      <c r="D6899" t="s">
        <v>19447</v>
      </c>
      <c r="F6899" t="s">
        <v>19447</v>
      </c>
      <c r="K6899" s="18">
        <f>62811403302</f>
        <v>62811403302</v>
      </c>
      <c r="N6899" s="17" t="s">
        <v>77</v>
      </c>
      <c r="U6899" s="17"/>
      <c r="V6899" s="18">
        <f>62811403302</f>
        <v>62811403302</v>
      </c>
      <c r="W6899" t="s">
        <v>19449</v>
      </c>
      <c r="Y6899" s="17" t="s">
        <v>96</v>
      </c>
    </row>
    <row r="6900" ht="15" customHeight="1" spans="1:25" x14ac:dyDescent="0.25">
      <c r="A6900" s="17" t="s">
        <v>19450</v>
      </c>
      <c r="B6900" s="17" t="s">
        <v>70</v>
      </c>
      <c r="C6900" s="17" t="s">
        <v>71</v>
      </c>
      <c r="D6900" t="s">
        <v>19447</v>
      </c>
      <c r="F6900" t="s">
        <v>19447</v>
      </c>
      <c r="K6900" s="18">
        <f>628159702899</f>
        <v>628159702899</v>
      </c>
      <c r="N6900" s="17" t="s">
        <v>77</v>
      </c>
      <c r="U6900" s="17"/>
      <c r="V6900" s="18">
        <f>628159702899</f>
        <v>628159702899</v>
      </c>
      <c r="W6900" t="s">
        <v>19451</v>
      </c>
      <c r="Y6900" s="17" t="s">
        <v>714</v>
      </c>
    </row>
    <row r="6901" ht="15" customHeight="1" spans="1:22" x14ac:dyDescent="0.25">
      <c r="A6901" s="17" t="s">
        <v>19452</v>
      </c>
      <c r="B6901" s="17" t="s">
        <v>70</v>
      </c>
      <c r="C6901" s="17" t="s">
        <v>71</v>
      </c>
      <c r="D6901" t="s">
        <v>19447</v>
      </c>
      <c r="F6901" t="s">
        <v>19447</v>
      </c>
      <c r="K6901" s="18">
        <f>628229869947</f>
        <v>628229869947</v>
      </c>
      <c r="N6901" s="17" t="s">
        <v>74</v>
      </c>
      <c r="V6901" s="18">
        <f>628229869947</f>
        <v>628229869947</v>
      </c>
    </row>
    <row r="6902" ht="15" customHeight="1" spans="1:22" x14ac:dyDescent="0.25">
      <c r="A6902" s="17" t="s">
        <v>19453</v>
      </c>
      <c r="B6902" s="17" t="s">
        <v>70</v>
      </c>
      <c r="C6902" s="17" t="s">
        <v>71</v>
      </c>
      <c r="D6902" t="s">
        <v>19447</v>
      </c>
      <c r="F6902" t="s">
        <v>19454</v>
      </c>
      <c r="K6902" s="18">
        <f>6281219740106</f>
        <v>6281219740106</v>
      </c>
      <c r="N6902" s="17" t="s">
        <v>77</v>
      </c>
      <c r="V6902" s="18">
        <f>6281219740106</f>
        <v>6281219740106</v>
      </c>
    </row>
    <row r="6903" ht="15" customHeight="1" spans="1:23" x14ac:dyDescent="0.25">
      <c r="A6903" s="17" t="s">
        <v>19455</v>
      </c>
      <c r="B6903" s="17" t="s">
        <v>70</v>
      </c>
      <c r="C6903" s="17" t="s">
        <v>71</v>
      </c>
      <c r="D6903" t="s">
        <v>19447</v>
      </c>
      <c r="F6903" t="s">
        <v>6671</v>
      </c>
      <c r="K6903" s="18">
        <f>628161188123</f>
        <v>628161188123</v>
      </c>
      <c r="N6903" s="17" t="s">
        <v>81</v>
      </c>
      <c r="U6903" s="17"/>
      <c r="V6903" s="18">
        <f>628161188123</f>
        <v>628161188123</v>
      </c>
      <c r="W6903" t="s">
        <v>19456</v>
      </c>
    </row>
    <row r="6904" ht="15" customHeight="1" spans="1:27" x14ac:dyDescent="0.25">
      <c r="A6904" s="17" t="s">
        <v>19457</v>
      </c>
      <c r="B6904" s="17" t="s">
        <v>70</v>
      </c>
      <c r="C6904" s="17" t="s">
        <v>71</v>
      </c>
      <c r="D6904" t="s">
        <v>19447</v>
      </c>
      <c r="F6904" t="s">
        <v>14464</v>
      </c>
      <c r="K6904" s="18">
        <f>628119840200</f>
        <v>628119840200</v>
      </c>
      <c r="N6904" s="17" t="s">
        <v>77</v>
      </c>
      <c r="U6904" s="17"/>
      <c r="V6904" s="18">
        <f>628119840200</f>
        <v>628119840200</v>
      </c>
      <c r="W6904" t="s">
        <v>19458</v>
      </c>
      <c r="AA6904" s="17">
        <v>12110</v>
      </c>
    </row>
    <row r="6905" ht="15" customHeight="1" spans="1:28" x14ac:dyDescent="0.25">
      <c r="A6905" s="17" t="s">
        <v>19459</v>
      </c>
      <c r="B6905" s="17" t="s">
        <v>70</v>
      </c>
      <c r="C6905" s="17" t="s">
        <v>71</v>
      </c>
      <c r="D6905" t="s">
        <v>19447</v>
      </c>
      <c r="F6905" t="s">
        <v>19460</v>
      </c>
      <c r="J6905" t="s">
        <v>115</v>
      </c>
      <c r="K6905" s="18" t="s">
        <v>19461</v>
      </c>
      <c r="N6905" s="17" t="s">
        <v>77</v>
      </c>
      <c r="O6905" t="s">
        <v>145</v>
      </c>
      <c r="V6905" s="18" t="s">
        <v>19461</v>
      </c>
      <c r="Y6905" t="s">
        <v>4412</v>
      </c>
      <c r="AA6905" t="s">
        <v>115</v>
      </c>
      <c r="AB6905" t="s">
        <v>119</v>
      </c>
    </row>
    <row r="6906" ht="15" customHeight="1" spans="1:28" x14ac:dyDescent="0.25">
      <c r="A6906" s="17" t="s">
        <v>19462</v>
      </c>
      <c r="B6906" s="17" t="s">
        <v>70</v>
      </c>
      <c r="C6906" s="17" t="s">
        <v>71</v>
      </c>
      <c r="D6906" t="s">
        <v>19447</v>
      </c>
      <c r="F6906" t="s">
        <v>19463</v>
      </c>
      <c r="J6906" t="s">
        <v>115</v>
      </c>
      <c r="K6906" s="18" t="s">
        <v>19464</v>
      </c>
      <c r="N6906" s="17" t="s">
        <v>74</v>
      </c>
      <c r="O6906" t="s">
        <v>117</v>
      </c>
      <c r="V6906" s="18" t="s">
        <v>19464</v>
      </c>
      <c r="Y6906" t="s">
        <v>90</v>
      </c>
      <c r="AA6906" t="s">
        <v>118</v>
      </c>
      <c r="AB6906" t="s">
        <v>119</v>
      </c>
    </row>
    <row r="6907" ht="15" customHeight="1" spans="1:22" x14ac:dyDescent="0.25">
      <c r="A6907" s="17" t="s">
        <v>19465</v>
      </c>
      <c r="B6907" s="17" t="s">
        <v>70</v>
      </c>
      <c r="C6907" s="17" t="s">
        <v>71</v>
      </c>
      <c r="D6907" t="s">
        <v>19447</v>
      </c>
      <c r="F6907" t="s">
        <v>19466</v>
      </c>
      <c r="K6907" s="18">
        <f>6281230909080</f>
        <v>6281230909080</v>
      </c>
      <c r="N6907" s="17" t="s">
        <v>77</v>
      </c>
      <c r="V6907" s="18">
        <f>6281230909080</f>
        <v>6281230909080</v>
      </c>
    </row>
    <row r="6908" ht="15" customHeight="1" spans="1:22" x14ac:dyDescent="0.25">
      <c r="A6908" s="17" t="s">
        <v>19467</v>
      </c>
      <c r="B6908" s="17" t="s">
        <v>70</v>
      </c>
      <c r="C6908" s="17" t="s">
        <v>71</v>
      </c>
      <c r="D6908" t="s">
        <v>19447</v>
      </c>
      <c r="F6908" t="s">
        <v>16593</v>
      </c>
      <c r="K6908" s="18">
        <f>628129907090</f>
        <v>628129907090</v>
      </c>
      <c r="N6908" s="17" t="s">
        <v>81</v>
      </c>
      <c r="V6908" s="18">
        <f>628129907090</f>
        <v>628129907090</v>
      </c>
    </row>
    <row r="6909" ht="15" customHeight="1" spans="1:28" x14ac:dyDescent="0.25">
      <c r="A6909" s="17" t="s">
        <v>19468</v>
      </c>
      <c r="B6909" s="17" t="s">
        <v>70</v>
      </c>
      <c r="C6909" s="17" t="s">
        <v>71</v>
      </c>
      <c r="D6909" t="s">
        <v>19447</v>
      </c>
      <c r="F6909" t="s">
        <v>19469</v>
      </c>
      <c r="J6909" t="s">
        <v>115</v>
      </c>
      <c r="K6909" s="18" t="s">
        <v>19470</v>
      </c>
      <c r="N6909" s="17" t="s">
        <v>74</v>
      </c>
      <c r="O6909" t="s">
        <v>117</v>
      </c>
      <c r="U6909" s="17"/>
      <c r="V6909" s="18" t="s">
        <v>19470</v>
      </c>
      <c r="W6909" t="s">
        <v>19471</v>
      </c>
      <c r="Y6909" s="17" t="s">
        <v>190</v>
      </c>
      <c r="AA6909" t="s">
        <v>118</v>
      </c>
      <c r="AB6909" t="s">
        <v>119</v>
      </c>
    </row>
    <row r="6910" ht="15" customHeight="1" spans="1:23" x14ac:dyDescent="0.25">
      <c r="A6910" s="17" t="s">
        <v>19472</v>
      </c>
      <c r="B6910" s="17" t="s">
        <v>70</v>
      </c>
      <c r="C6910" s="17" t="s">
        <v>71</v>
      </c>
      <c r="D6910" t="s">
        <v>19447</v>
      </c>
      <c r="F6910" t="s">
        <v>2258</v>
      </c>
      <c r="K6910" s="18">
        <f>62811888470</f>
        <v>62811888470</v>
      </c>
      <c r="N6910" s="17" t="s">
        <v>77</v>
      </c>
      <c r="U6910" s="17"/>
      <c r="V6910" s="18">
        <f>62811888470</f>
        <v>62811888470</v>
      </c>
      <c r="W6910" t="s">
        <v>19473</v>
      </c>
    </row>
    <row r="6911" ht="15" customHeight="1" spans="1:28" x14ac:dyDescent="0.25">
      <c r="A6911" s="17" t="s">
        <v>19474</v>
      </c>
      <c r="B6911" s="17" t="s">
        <v>70</v>
      </c>
      <c r="C6911" s="17" t="s">
        <v>71</v>
      </c>
      <c r="D6911" t="s">
        <v>19447</v>
      </c>
      <c r="F6911" t="s">
        <v>7860</v>
      </c>
      <c r="J6911" s="17" t="s">
        <v>19475</v>
      </c>
      <c r="K6911" s="18" t="s">
        <v>19476</v>
      </c>
      <c r="N6911" s="17" t="s">
        <v>77</v>
      </c>
      <c r="O6911" t="s">
        <v>145</v>
      </c>
      <c r="U6911" s="17"/>
      <c r="V6911" s="18" t="s">
        <v>19476</v>
      </c>
      <c r="W6911" t="s">
        <v>19477</v>
      </c>
      <c r="Y6911" t="s">
        <v>378</v>
      </c>
      <c r="AA6911" t="s">
        <v>118</v>
      </c>
      <c r="AB6911" t="s">
        <v>119</v>
      </c>
    </row>
    <row r="6912" ht="15" customHeight="1" spans="1:27" x14ac:dyDescent="0.25">
      <c r="A6912" s="17" t="s">
        <v>19478</v>
      </c>
      <c r="B6912" s="17" t="s">
        <v>70</v>
      </c>
      <c r="C6912" s="17" t="s">
        <v>71</v>
      </c>
      <c r="D6912" t="s">
        <v>19447</v>
      </c>
      <c r="F6912" t="s">
        <v>1704</v>
      </c>
      <c r="K6912" s="18">
        <f>622157959920</f>
        <v>622157959920</v>
      </c>
      <c r="N6912" s="17" t="s">
        <v>77</v>
      </c>
      <c r="U6912" s="17"/>
      <c r="V6912" s="18">
        <f>622157959920</f>
        <v>622157959920</v>
      </c>
      <c r="W6912" t="s">
        <v>19479</v>
      </c>
      <c r="Y6912" s="17" t="s">
        <v>19480</v>
      </c>
      <c r="AA6912" s="17" t="s">
        <v>19481</v>
      </c>
    </row>
    <row r="6913" ht="15" customHeight="1" spans="1:22" x14ac:dyDescent="0.25">
      <c r="A6913" s="17" t="s">
        <v>19482</v>
      </c>
      <c r="B6913" s="17" t="s">
        <v>70</v>
      </c>
      <c r="C6913" s="17" t="s">
        <v>71</v>
      </c>
      <c r="D6913" t="s">
        <v>19447</v>
      </c>
      <c r="F6913" t="s">
        <v>19483</v>
      </c>
      <c r="K6913" s="18">
        <f>628128588494</f>
        <v>628128588494</v>
      </c>
      <c r="N6913" s="17" t="s">
        <v>77</v>
      </c>
      <c r="V6913" s="18">
        <f>628128588494</f>
        <v>628128588494</v>
      </c>
    </row>
    <row r="6914" ht="15" customHeight="1" spans="1:22" x14ac:dyDescent="0.25">
      <c r="A6914" s="17" t="s">
        <v>19484</v>
      </c>
      <c r="B6914" s="17" t="s">
        <v>70</v>
      </c>
      <c r="C6914" s="17" t="s">
        <v>71</v>
      </c>
      <c r="D6914" t="s">
        <v>19447</v>
      </c>
      <c r="F6914" t="s">
        <v>19485</v>
      </c>
      <c r="K6914" s="18">
        <f>628121059608</f>
        <v>628121059608</v>
      </c>
      <c r="N6914" s="17" t="s">
        <v>81</v>
      </c>
      <c r="V6914" s="18">
        <f>628121059608</f>
        <v>628121059608</v>
      </c>
    </row>
    <row r="6915" ht="15" customHeight="1" spans="1:25" x14ac:dyDescent="0.25">
      <c r="A6915" s="17" t="s">
        <v>19486</v>
      </c>
      <c r="B6915" s="17" t="s">
        <v>70</v>
      </c>
      <c r="C6915" s="17" t="s">
        <v>71</v>
      </c>
      <c r="D6915" t="s">
        <v>19487</v>
      </c>
      <c r="F6915" t="s">
        <v>3931</v>
      </c>
      <c r="K6915" s="18">
        <v>227531420</v>
      </c>
      <c r="N6915" s="17" t="s">
        <v>77</v>
      </c>
      <c r="U6915" s="17"/>
      <c r="V6915" s="18">
        <v>227531420</v>
      </c>
      <c r="W6915" t="s">
        <v>19488</v>
      </c>
      <c r="Y6915" s="17" t="s">
        <v>500</v>
      </c>
    </row>
    <row r="6916" ht="15" customHeight="1" spans="1:25" x14ac:dyDescent="0.25">
      <c r="A6916" s="17" t="s">
        <v>19489</v>
      </c>
      <c r="B6916" s="17" t="s">
        <v>70</v>
      </c>
      <c r="C6916" s="17" t="s">
        <v>71</v>
      </c>
      <c r="D6916" t="s">
        <v>19490</v>
      </c>
      <c r="F6916" t="s">
        <v>19491</v>
      </c>
      <c r="K6916" s="18">
        <f>6282118305999</f>
        <v>6282118305999</v>
      </c>
      <c r="N6916" s="17" t="s">
        <v>77</v>
      </c>
      <c r="U6916" s="17"/>
      <c r="V6916" s="18">
        <f>6282118305999</f>
        <v>6282118305999</v>
      </c>
      <c r="W6916" t="s">
        <v>19492</v>
      </c>
      <c r="Y6916" s="17" t="s">
        <v>96</v>
      </c>
    </row>
    <row r="6917" ht="15" customHeight="1" spans="1:22" x14ac:dyDescent="0.25">
      <c r="A6917" s="17" t="s">
        <v>19493</v>
      </c>
      <c r="B6917" s="17" t="s">
        <v>70</v>
      </c>
      <c r="C6917" s="17" t="s">
        <v>71</v>
      </c>
      <c r="D6917" t="s">
        <v>19494</v>
      </c>
      <c r="F6917" t="s">
        <v>19495</v>
      </c>
      <c r="K6917" s="18">
        <f>628161987839</f>
        <v>628161987839</v>
      </c>
      <c r="N6917" s="17" t="s">
        <v>77</v>
      </c>
      <c r="V6917" s="18">
        <f>628161987839</f>
        <v>628161987839</v>
      </c>
    </row>
    <row r="6918" ht="15" customHeight="1" spans="1:25" x14ac:dyDescent="0.25">
      <c r="A6918" s="17" t="s">
        <v>19496</v>
      </c>
      <c r="B6918" s="17" t="s">
        <v>70</v>
      </c>
      <c r="C6918" s="17" t="s">
        <v>71</v>
      </c>
      <c r="D6918" t="s">
        <v>19494</v>
      </c>
      <c r="F6918" t="s">
        <v>19495</v>
      </c>
      <c r="K6918" s="18">
        <f>628170839999</f>
        <v>628170839999</v>
      </c>
      <c r="N6918" s="17" t="s">
        <v>77</v>
      </c>
      <c r="U6918" s="17"/>
      <c r="V6918" s="18">
        <f>628170839999</f>
        <v>628170839999</v>
      </c>
      <c r="W6918" t="s">
        <v>19497</v>
      </c>
      <c r="Y6918" s="17" t="s">
        <v>19498</v>
      </c>
    </row>
    <row r="6919" ht="15" customHeight="1" spans="1:25" x14ac:dyDescent="0.25">
      <c r="A6919" s="17" t="s">
        <v>19499</v>
      </c>
      <c r="B6919" s="17" t="s">
        <v>70</v>
      </c>
      <c r="C6919" s="17" t="s">
        <v>71</v>
      </c>
      <c r="D6919" t="s">
        <v>3836</v>
      </c>
      <c r="F6919" t="s">
        <v>3836</v>
      </c>
      <c r="J6919" s="17" t="s">
        <v>19500</v>
      </c>
      <c r="K6919" s="18">
        <f>62811564916</f>
        <v>62811564916</v>
      </c>
      <c r="N6919" s="17" t="s">
        <v>77</v>
      </c>
      <c r="U6919" s="17"/>
      <c r="V6919" s="18">
        <f>62811564916</f>
        <v>62811564916</v>
      </c>
      <c r="W6919" t="s">
        <v>19501</v>
      </c>
      <c r="Y6919" s="17" t="s">
        <v>19502</v>
      </c>
    </row>
    <row r="6920" ht="15" customHeight="1" spans="1:22" x14ac:dyDescent="0.25">
      <c r="A6920" s="17" t="s">
        <v>19503</v>
      </c>
      <c r="B6920" s="17" t="s">
        <v>70</v>
      </c>
      <c r="C6920" s="17" t="s">
        <v>71</v>
      </c>
      <c r="D6920" t="s">
        <v>3836</v>
      </c>
      <c r="F6920" t="s">
        <v>3836</v>
      </c>
      <c r="K6920" s="18">
        <f>62816652388</f>
        <v>62816652388</v>
      </c>
      <c r="N6920" s="17" t="s">
        <v>77</v>
      </c>
      <c r="V6920" s="18">
        <f>62816652388</f>
        <v>62816652388</v>
      </c>
    </row>
    <row r="6921" ht="15" customHeight="1" spans="1:22" x14ac:dyDescent="0.25">
      <c r="A6921" s="17" t="s">
        <v>19504</v>
      </c>
      <c r="B6921" s="17" t="s">
        <v>70</v>
      </c>
      <c r="C6921" s="17" t="s">
        <v>71</v>
      </c>
      <c r="D6921" t="s">
        <v>3836</v>
      </c>
      <c r="F6921" t="s">
        <v>3836</v>
      </c>
      <c r="K6921" s="18">
        <f>6281289570203</f>
        <v>6281289570203</v>
      </c>
      <c r="N6921" s="17" t="s">
        <v>81</v>
      </c>
      <c r="V6921" s="18">
        <f>6281289570203</f>
        <v>6281289570203</v>
      </c>
    </row>
    <row r="6922" ht="15" customHeight="1" spans="1:22" x14ac:dyDescent="0.25">
      <c r="A6922" s="17" t="s">
        <v>19505</v>
      </c>
      <c r="B6922" s="17" t="s">
        <v>70</v>
      </c>
      <c r="C6922" s="17" t="s">
        <v>71</v>
      </c>
      <c r="D6922" t="s">
        <v>3836</v>
      </c>
      <c r="F6922" t="s">
        <v>2730</v>
      </c>
      <c r="K6922" s="18">
        <f>6287881041042</f>
        <v>6287881041042</v>
      </c>
      <c r="N6922" s="17" t="s">
        <v>81</v>
      </c>
      <c r="V6922" s="18">
        <f>6287881041042</f>
        <v>6287881041042</v>
      </c>
    </row>
    <row r="6923" ht="15" customHeight="1" spans="1:28" x14ac:dyDescent="0.25">
      <c r="A6923" s="17" t="s">
        <v>19506</v>
      </c>
      <c r="B6923" s="17" t="s">
        <v>70</v>
      </c>
      <c r="C6923" s="17" t="s">
        <v>71</v>
      </c>
      <c r="D6923" t="s">
        <v>3836</v>
      </c>
      <c r="F6923" t="s">
        <v>19507</v>
      </c>
      <c r="J6923" s="17" t="s">
        <v>19508</v>
      </c>
      <c r="K6923" s="18" t="s">
        <v>19509</v>
      </c>
      <c r="N6923" s="17" t="s">
        <v>77</v>
      </c>
      <c r="O6923" t="s">
        <v>489</v>
      </c>
      <c r="V6923" s="18" t="s">
        <v>19509</v>
      </c>
      <c r="Y6923" t="s">
        <v>90</v>
      </c>
      <c r="AA6923" t="s">
        <v>118</v>
      </c>
      <c r="AB6923" t="s">
        <v>119</v>
      </c>
    </row>
    <row r="6924" ht="15" customHeight="1" spans="1:22" x14ac:dyDescent="0.25">
      <c r="A6924" s="17" t="s">
        <v>19510</v>
      </c>
      <c r="B6924" s="17" t="s">
        <v>70</v>
      </c>
      <c r="C6924" s="17" t="s">
        <v>71</v>
      </c>
      <c r="D6924" t="s">
        <v>3836</v>
      </c>
      <c r="F6924" t="s">
        <v>9669</v>
      </c>
      <c r="K6924" s="18">
        <f>628111851715</f>
        <v>628111851715</v>
      </c>
      <c r="N6924" s="17" t="s">
        <v>77</v>
      </c>
      <c r="V6924" s="18">
        <f>628111851715</f>
        <v>628111851715</v>
      </c>
    </row>
    <row r="6925" ht="15" customHeight="1" spans="1:25" x14ac:dyDescent="0.25">
      <c r="A6925" s="17" t="s">
        <v>19511</v>
      </c>
      <c r="B6925" s="17" t="s">
        <v>70</v>
      </c>
      <c r="C6925" s="17" t="s">
        <v>71</v>
      </c>
      <c r="D6925" t="s">
        <v>3836</v>
      </c>
      <c r="F6925" t="s">
        <v>618</v>
      </c>
      <c r="K6925" s="18">
        <f>6285611131319</f>
        <v>6285611131319</v>
      </c>
      <c r="N6925" s="17" t="s">
        <v>77</v>
      </c>
      <c r="V6925" s="18">
        <f>6285611131319</f>
        <v>6285611131319</v>
      </c>
      <c r="Y6925" s="17" t="s">
        <v>90</v>
      </c>
    </row>
    <row r="6926" ht="15" customHeight="1" spans="1:28" x14ac:dyDescent="0.25">
      <c r="A6926" s="17" t="s">
        <v>19512</v>
      </c>
      <c r="B6926" s="17" t="s">
        <v>70</v>
      </c>
      <c r="C6926" s="17" t="s">
        <v>71</v>
      </c>
      <c r="D6926" t="s">
        <v>3836</v>
      </c>
      <c r="F6926" t="s">
        <v>19513</v>
      </c>
      <c r="J6926" t="s">
        <v>19514</v>
      </c>
      <c r="K6926" s="18" t="s">
        <v>19515</v>
      </c>
      <c r="N6926" s="17" t="s">
        <v>74</v>
      </c>
      <c r="O6926" t="s">
        <v>117</v>
      </c>
      <c r="V6926" s="18" t="s">
        <v>19515</v>
      </c>
      <c r="Y6926" t="s">
        <v>190</v>
      </c>
      <c r="AA6926" t="s">
        <v>118</v>
      </c>
      <c r="AB6926" t="s">
        <v>119</v>
      </c>
    </row>
    <row r="6927" ht="15" customHeight="1" spans="1:27" x14ac:dyDescent="0.25">
      <c r="A6927" s="17" t="s">
        <v>19516</v>
      </c>
      <c r="B6927" s="17" t="s">
        <v>70</v>
      </c>
      <c r="C6927" s="17" t="s">
        <v>71</v>
      </c>
      <c r="D6927" t="s">
        <v>3836</v>
      </c>
      <c r="F6927" t="s">
        <v>8858</v>
      </c>
      <c r="J6927" s="17" t="s">
        <v>19517</v>
      </c>
      <c r="K6927" s="18">
        <f>6281286057501</f>
        <v>6281286057501</v>
      </c>
      <c r="N6927" s="17" t="s">
        <v>77</v>
      </c>
      <c r="U6927" s="17"/>
      <c r="V6927" s="18">
        <f>6281286057501</f>
        <v>6281286057501</v>
      </c>
      <c r="W6927" t="s">
        <v>19518</v>
      </c>
      <c r="Y6927" s="17" t="s">
        <v>6412</v>
      </c>
      <c r="AA6927" s="17">
        <v>14460</v>
      </c>
    </row>
    <row r="6928" ht="15" customHeight="1" spans="1:22" x14ac:dyDescent="0.25">
      <c r="A6928" s="17" t="s">
        <v>19519</v>
      </c>
      <c r="B6928" s="17" t="s">
        <v>70</v>
      </c>
      <c r="C6928" s="17" t="s">
        <v>71</v>
      </c>
      <c r="D6928" t="s">
        <v>3836</v>
      </c>
      <c r="F6928" t="s">
        <v>10396</v>
      </c>
      <c r="K6928" s="18">
        <f>6281362717777</f>
        <v>6281362717777</v>
      </c>
      <c r="N6928" s="17" t="s">
        <v>77</v>
      </c>
      <c r="V6928" s="18">
        <f>6281362717777</f>
        <v>6281362717777</v>
      </c>
    </row>
    <row r="6929" ht="15" customHeight="1" spans="1:22" x14ac:dyDescent="0.25">
      <c r="A6929" s="17" t="s">
        <v>19520</v>
      </c>
      <c r="B6929" s="17" t="s">
        <v>70</v>
      </c>
      <c r="C6929" s="17" t="s">
        <v>71</v>
      </c>
      <c r="D6929" t="s">
        <v>3836</v>
      </c>
      <c r="F6929" t="s">
        <v>19521</v>
      </c>
      <c r="K6929" s="18">
        <f>6281362177777</f>
        <v>6281362177777</v>
      </c>
      <c r="N6929" s="17" t="s">
        <v>81</v>
      </c>
      <c r="V6929" s="18">
        <f>6281362177777</f>
        <v>6281362177777</v>
      </c>
    </row>
    <row r="6930" ht="15" customHeight="1" spans="1:22" x14ac:dyDescent="0.25">
      <c r="A6930" s="17" t="s">
        <v>19522</v>
      </c>
      <c r="B6930" s="17" t="s">
        <v>70</v>
      </c>
      <c r="C6930" s="17" t="s">
        <v>71</v>
      </c>
      <c r="D6930" t="s">
        <v>3836</v>
      </c>
      <c r="F6930" t="s">
        <v>19523</v>
      </c>
      <c r="K6930" s="18">
        <f>79246575555</f>
        <v>79246575555</v>
      </c>
      <c r="N6930" s="17" t="s">
        <v>77</v>
      </c>
      <c r="V6930" s="18">
        <f>79246575555</f>
        <v>79246575555</v>
      </c>
    </row>
    <row r="6931" ht="15" customHeight="1" spans="1:27" x14ac:dyDescent="0.25">
      <c r="A6931" s="17" t="s">
        <v>19524</v>
      </c>
      <c r="B6931" s="17" t="s">
        <v>70</v>
      </c>
      <c r="C6931" s="17" t="s">
        <v>71</v>
      </c>
      <c r="D6931" t="s">
        <v>3836</v>
      </c>
      <c r="F6931" t="s">
        <v>3477</v>
      </c>
      <c r="K6931" s="18">
        <f>6282136527392</f>
        <v>6282136527392</v>
      </c>
      <c r="N6931" s="17" t="s">
        <v>81</v>
      </c>
      <c r="V6931" s="18">
        <f>6282136527392</f>
        <v>6282136527392</v>
      </c>
      <c r="Y6931" s="17" t="s">
        <v>90</v>
      </c>
      <c r="AA6931" s="17">
        <v>10420</v>
      </c>
    </row>
    <row r="6932" ht="15" customHeight="1" spans="1:22" x14ac:dyDescent="0.25">
      <c r="A6932" s="17" t="s">
        <v>19525</v>
      </c>
      <c r="B6932" s="17" t="s">
        <v>70</v>
      </c>
      <c r="C6932" s="17" t="s">
        <v>71</v>
      </c>
      <c r="D6932" t="s">
        <v>3836</v>
      </c>
      <c r="F6932" t="s">
        <v>3873</v>
      </c>
      <c r="K6932" s="18">
        <f>6281284400211</f>
        <v>6281284400211</v>
      </c>
      <c r="N6932" s="17" t="s">
        <v>77</v>
      </c>
      <c r="V6932" s="18">
        <f>6281284400211</f>
        <v>6281284400211</v>
      </c>
    </row>
    <row r="6933" ht="15" customHeight="1" spans="1:28" x14ac:dyDescent="0.25">
      <c r="A6933" s="17" t="s">
        <v>19526</v>
      </c>
      <c r="B6933" s="17" t="s">
        <v>70</v>
      </c>
      <c r="C6933" s="17" t="s">
        <v>71</v>
      </c>
      <c r="D6933" t="s">
        <v>3836</v>
      </c>
      <c r="F6933" t="s">
        <v>2730</v>
      </c>
      <c r="J6933" t="s">
        <v>115</v>
      </c>
      <c r="K6933" s="18" t="s">
        <v>19527</v>
      </c>
      <c r="N6933" s="17" t="s">
        <v>77</v>
      </c>
      <c r="O6933" t="s">
        <v>117</v>
      </c>
      <c r="V6933" s="18" t="s">
        <v>19527</v>
      </c>
      <c r="Y6933" t="s">
        <v>90</v>
      </c>
      <c r="AA6933" t="s">
        <v>118</v>
      </c>
      <c r="AB6933" t="s">
        <v>119</v>
      </c>
    </row>
    <row r="6934" ht="15" customHeight="1" spans="1:25" x14ac:dyDescent="0.25">
      <c r="A6934" s="17" t="s">
        <v>19528</v>
      </c>
      <c r="B6934" s="17" t="s">
        <v>70</v>
      </c>
      <c r="C6934" s="17" t="s">
        <v>71</v>
      </c>
      <c r="D6934" t="s">
        <v>3836</v>
      </c>
      <c r="F6934" t="s">
        <v>6173</v>
      </c>
      <c r="K6934" s="18">
        <f>628116501977</f>
        <v>628116501977</v>
      </c>
      <c r="N6934" s="17" t="s">
        <v>81</v>
      </c>
      <c r="U6934" s="17"/>
      <c r="V6934" s="18">
        <f>628116501977</f>
        <v>628116501977</v>
      </c>
      <c r="W6934" t="s">
        <v>19529</v>
      </c>
      <c r="Y6934" s="17" t="s">
        <v>1157</v>
      </c>
    </row>
    <row r="6935" ht="15" customHeight="1" spans="1:23" x14ac:dyDescent="0.25">
      <c r="A6935" s="17" t="s">
        <v>19530</v>
      </c>
      <c r="B6935" s="17" t="s">
        <v>70</v>
      </c>
      <c r="C6935" s="17" t="s">
        <v>71</v>
      </c>
      <c r="D6935" t="s">
        <v>3836</v>
      </c>
      <c r="F6935" t="s">
        <v>19531</v>
      </c>
      <c r="K6935" s="18">
        <f>6282230000333</f>
        <v>6282230000333</v>
      </c>
      <c r="N6935" s="17" t="s">
        <v>81</v>
      </c>
      <c r="U6935" s="17"/>
      <c r="V6935" s="18">
        <f>6282230000333</f>
        <v>6282230000333</v>
      </c>
      <c r="W6935" t="s">
        <v>19532</v>
      </c>
    </row>
    <row r="6936" ht="15" customHeight="1" spans="1:28" x14ac:dyDescent="0.25">
      <c r="A6936" s="17" t="s">
        <v>19533</v>
      </c>
      <c r="B6936" s="17" t="s">
        <v>70</v>
      </c>
      <c r="C6936" s="17" t="s">
        <v>71</v>
      </c>
      <c r="D6936" t="s">
        <v>315</v>
      </c>
      <c r="F6936" t="s">
        <v>19534</v>
      </c>
      <c r="J6936" t="s">
        <v>115</v>
      </c>
      <c r="K6936" s="18" t="s">
        <v>19535</v>
      </c>
      <c r="N6936" s="17" t="s">
        <v>74</v>
      </c>
      <c r="O6936" t="s">
        <v>145</v>
      </c>
      <c r="V6936" s="18" t="s">
        <v>19535</v>
      </c>
      <c r="Y6936" t="s">
        <v>90</v>
      </c>
      <c r="AA6936" t="s">
        <v>118</v>
      </c>
      <c r="AB6936" t="s">
        <v>119</v>
      </c>
    </row>
    <row r="6937" ht="15" customHeight="1" spans="1:23" x14ac:dyDescent="0.25">
      <c r="A6937" s="17" t="s">
        <v>19536</v>
      </c>
      <c r="B6937" s="17" t="s">
        <v>70</v>
      </c>
      <c r="C6937" s="17" t="s">
        <v>71</v>
      </c>
      <c r="D6937" t="s">
        <v>315</v>
      </c>
      <c r="F6937" t="s">
        <v>5783</v>
      </c>
      <c r="K6937" s="18">
        <f>62818988891</f>
        <v>62818988891</v>
      </c>
      <c r="N6937" s="17" t="s">
        <v>77</v>
      </c>
      <c r="U6937" s="17"/>
      <c r="V6937" s="18">
        <f>62818988891</f>
        <v>62818988891</v>
      </c>
      <c r="W6937" t="s">
        <v>19537</v>
      </c>
    </row>
    <row r="6938" ht="15" customHeight="1" spans="1:27" x14ac:dyDescent="0.25">
      <c r="A6938" s="17" t="s">
        <v>19538</v>
      </c>
      <c r="B6938" s="17" t="s">
        <v>70</v>
      </c>
      <c r="C6938" s="17" t="s">
        <v>71</v>
      </c>
      <c r="D6938" t="s">
        <v>19539</v>
      </c>
      <c r="F6938" t="s">
        <v>19540</v>
      </c>
      <c r="J6938" s="17" t="s">
        <v>19541</v>
      </c>
      <c r="K6938" s="18">
        <f>628127631555</f>
        <v>628127631555</v>
      </c>
      <c r="N6938" s="17" t="s">
        <v>77</v>
      </c>
      <c r="U6938" s="17"/>
      <c r="V6938" s="18">
        <f>628127631555</f>
        <v>628127631555</v>
      </c>
      <c r="W6938" t="s">
        <v>19542</v>
      </c>
      <c r="Y6938" s="17" t="s">
        <v>3048</v>
      </c>
      <c r="AA6938" s="17">
        <v>15810</v>
      </c>
    </row>
    <row r="6939" ht="15" customHeight="1" spans="1:28" x14ac:dyDescent="0.25">
      <c r="A6939" s="17" t="s">
        <v>19543</v>
      </c>
      <c r="B6939" s="17" t="s">
        <v>70</v>
      </c>
      <c r="C6939" s="17" t="s">
        <v>71</v>
      </c>
      <c r="D6939" t="s">
        <v>19544</v>
      </c>
      <c r="F6939" t="s">
        <v>19544</v>
      </c>
      <c r="J6939" t="s">
        <v>115</v>
      </c>
      <c r="K6939" s="18" t="s">
        <v>19545</v>
      </c>
      <c r="N6939" s="17" t="s">
        <v>81</v>
      </c>
      <c r="O6939" t="s">
        <v>117</v>
      </c>
      <c r="V6939" s="18" t="s">
        <v>19545</v>
      </c>
      <c r="Y6939" t="s">
        <v>115</v>
      </c>
      <c r="AA6939" t="s">
        <v>115</v>
      </c>
      <c r="AB6939" t="s">
        <v>119</v>
      </c>
    </row>
    <row r="6940" ht="15" customHeight="1" spans="1:23" x14ac:dyDescent="0.25">
      <c r="A6940" s="17" t="s">
        <v>19546</v>
      </c>
      <c r="B6940" s="17" t="s">
        <v>70</v>
      </c>
      <c r="C6940" s="17" t="s">
        <v>71</v>
      </c>
      <c r="D6940" t="s">
        <v>19547</v>
      </c>
      <c r="F6940" t="s">
        <v>15038</v>
      </c>
      <c r="K6940" s="18">
        <f>79859219830</f>
        <v>79859219830</v>
      </c>
      <c r="N6940" s="17" t="s">
        <v>77</v>
      </c>
      <c r="U6940" s="17"/>
      <c r="V6940" s="18">
        <f>79859219830</f>
        <v>79859219830</v>
      </c>
      <c r="W6940" t="s">
        <v>19548</v>
      </c>
    </row>
    <row r="6941" ht="15" customHeight="1" spans="1:23" x14ac:dyDescent="0.25">
      <c r="A6941" s="17" t="s">
        <v>19549</v>
      </c>
      <c r="B6941" s="17" t="s">
        <v>70</v>
      </c>
      <c r="C6941" s="17" t="s">
        <v>71</v>
      </c>
      <c r="D6941" t="s">
        <v>1960</v>
      </c>
      <c r="F6941" t="s">
        <v>17892</v>
      </c>
      <c r="K6941" s="18">
        <f>798592175</f>
        <v>798592175</v>
      </c>
      <c r="N6941" s="17" t="s">
        <v>77</v>
      </c>
      <c r="U6941" s="17"/>
      <c r="V6941" s="18">
        <f>798592175</f>
        <v>798592175</v>
      </c>
      <c r="W6941" t="s">
        <v>19550</v>
      </c>
    </row>
    <row r="6942" ht="15" customHeight="1" spans="1:23" x14ac:dyDescent="0.25">
      <c r="A6942" s="17" t="s">
        <v>19551</v>
      </c>
      <c r="B6942" s="17" t="s">
        <v>70</v>
      </c>
      <c r="C6942" s="17" t="s">
        <v>71</v>
      </c>
      <c r="D6942" t="s">
        <v>19552</v>
      </c>
      <c r="F6942" t="s">
        <v>19553</v>
      </c>
      <c r="K6942" s="18">
        <f>62811822178</f>
        <v>62811822178</v>
      </c>
      <c r="N6942" s="17" t="s">
        <v>77</v>
      </c>
      <c r="U6942" s="17"/>
      <c r="V6942" s="18">
        <f>62811822178</f>
        <v>62811822178</v>
      </c>
      <c r="W6942" t="s">
        <v>19554</v>
      </c>
    </row>
    <row r="6943" ht="15" customHeight="1" spans="1:23" x14ac:dyDescent="0.25">
      <c r="A6943" s="17" t="s">
        <v>19555</v>
      </c>
      <c r="B6943" s="17" t="s">
        <v>70</v>
      </c>
      <c r="C6943" s="17" t="s">
        <v>71</v>
      </c>
      <c r="D6943" t="s">
        <v>19556</v>
      </c>
      <c r="F6943" t="s">
        <v>19557</v>
      </c>
      <c r="K6943" s="18">
        <f>628117412378</f>
        <v>628117412378</v>
      </c>
      <c r="N6943" s="17" t="s">
        <v>77</v>
      </c>
      <c r="U6943" s="17"/>
      <c r="V6943" s="18">
        <f>628117412378</f>
        <v>628117412378</v>
      </c>
      <c r="W6943" t="s">
        <v>19558</v>
      </c>
    </row>
    <row r="6944" ht="15" customHeight="1" spans="1:22" x14ac:dyDescent="0.25">
      <c r="A6944" s="17" t="s">
        <v>19559</v>
      </c>
      <c r="B6944" s="17" t="s">
        <v>70</v>
      </c>
      <c r="C6944" s="17" t="s">
        <v>71</v>
      </c>
      <c r="D6944" t="s">
        <v>19560</v>
      </c>
      <c r="F6944" t="s">
        <v>19560</v>
      </c>
      <c r="K6944" s="18">
        <f>628113425860</f>
        <v>628113425860</v>
      </c>
      <c r="N6944" s="17" t="s">
        <v>81</v>
      </c>
      <c r="V6944" s="18">
        <f>628113425860</f>
        <v>628113425860</v>
      </c>
    </row>
    <row r="6945" ht="15" customHeight="1" spans="1:28" x14ac:dyDescent="0.25">
      <c r="A6945" s="17" t="s">
        <v>19561</v>
      </c>
      <c r="B6945" s="17" t="s">
        <v>70</v>
      </c>
      <c r="C6945" s="17" t="s">
        <v>71</v>
      </c>
      <c r="D6945" t="s">
        <v>19560</v>
      </c>
      <c r="F6945" t="s">
        <v>19562</v>
      </c>
      <c r="J6945" t="s">
        <v>115</v>
      </c>
      <c r="K6945" s="18" t="s">
        <v>19563</v>
      </c>
      <c r="N6945" s="17" t="s">
        <v>77</v>
      </c>
      <c r="O6945" t="s">
        <v>117</v>
      </c>
      <c r="V6945" s="18" t="s">
        <v>19563</v>
      </c>
      <c r="Y6945" t="s">
        <v>190</v>
      </c>
      <c r="AA6945" t="s">
        <v>118</v>
      </c>
      <c r="AB6945" t="s">
        <v>119</v>
      </c>
    </row>
    <row r="6946" ht="15" customHeight="1" spans="1:27" x14ac:dyDescent="0.25">
      <c r="A6946" s="17" t="s">
        <v>19564</v>
      </c>
      <c r="B6946" s="17" t="s">
        <v>70</v>
      </c>
      <c r="C6946" s="17" t="s">
        <v>71</v>
      </c>
      <c r="D6946" t="s">
        <v>19565</v>
      </c>
      <c r="F6946" t="s">
        <v>19565</v>
      </c>
      <c r="J6946" s="17" t="s">
        <v>19566</v>
      </c>
      <c r="K6946" s="18">
        <f>628176446688</f>
        <v>628176446688</v>
      </c>
      <c r="N6946" s="17" t="s">
        <v>77</v>
      </c>
      <c r="U6946" s="17"/>
      <c r="V6946" s="18">
        <f>628176446688</f>
        <v>628176446688</v>
      </c>
      <c r="W6946" t="s">
        <v>19567</v>
      </c>
      <c r="Y6946" s="17" t="s">
        <v>90</v>
      </c>
      <c r="AA6946" s="17">
        <v>12830</v>
      </c>
    </row>
    <row r="6947" ht="15" customHeight="1" spans="1:22" x14ac:dyDescent="0.25">
      <c r="A6947" s="17" t="s">
        <v>19568</v>
      </c>
      <c r="B6947" s="17" t="s">
        <v>70</v>
      </c>
      <c r="C6947" s="17" t="s">
        <v>71</v>
      </c>
      <c r="D6947" t="s">
        <v>19569</v>
      </c>
      <c r="F6947" t="s">
        <v>19569</v>
      </c>
      <c r="K6947" s="18">
        <f>628128743313</f>
        <v>628128743313</v>
      </c>
      <c r="N6947" s="17" t="s">
        <v>77</v>
      </c>
      <c r="V6947" s="18">
        <f>628128743313</f>
        <v>628128743313</v>
      </c>
    </row>
    <row r="6948" ht="15" customHeight="1" spans="1:28" x14ac:dyDescent="0.25">
      <c r="A6948" s="17" t="s">
        <v>19570</v>
      </c>
      <c r="B6948" s="17" t="s">
        <v>70</v>
      </c>
      <c r="C6948" s="17" t="s">
        <v>71</v>
      </c>
      <c r="D6948" t="s">
        <v>19571</v>
      </c>
      <c r="F6948" t="s">
        <v>19571</v>
      </c>
      <c r="J6948" t="s">
        <v>115</v>
      </c>
      <c r="K6948" s="18" t="s">
        <v>19572</v>
      </c>
      <c r="N6948" s="17" t="s">
        <v>77</v>
      </c>
      <c r="O6948" t="s">
        <v>117</v>
      </c>
      <c r="V6948" s="18" t="s">
        <v>19572</v>
      </c>
      <c r="Y6948" t="s">
        <v>115</v>
      </c>
      <c r="AA6948" t="s">
        <v>115</v>
      </c>
      <c r="AB6948" t="s">
        <v>119</v>
      </c>
    </row>
    <row r="6949" ht="15" customHeight="1" spans="1:22" x14ac:dyDescent="0.25">
      <c r="A6949" s="17" t="s">
        <v>19573</v>
      </c>
      <c r="B6949" s="17" t="s">
        <v>70</v>
      </c>
      <c r="C6949" s="17" t="s">
        <v>71</v>
      </c>
      <c r="D6949" t="s">
        <v>19571</v>
      </c>
      <c r="F6949" t="s">
        <v>19574</v>
      </c>
      <c r="K6949" s="18">
        <f>62811300789</f>
        <v>62811300789</v>
      </c>
      <c r="N6949" s="17" t="s">
        <v>77</v>
      </c>
      <c r="V6949" s="18">
        <f>62811300789</f>
        <v>62811300789</v>
      </c>
    </row>
    <row r="6950" ht="15" customHeight="1" spans="1:25" x14ac:dyDescent="0.25">
      <c r="A6950" s="17" t="s">
        <v>19575</v>
      </c>
      <c r="B6950" s="17" t="s">
        <v>70</v>
      </c>
      <c r="C6950" s="17" t="s">
        <v>71</v>
      </c>
      <c r="D6950" t="s">
        <v>19571</v>
      </c>
      <c r="F6950" t="s">
        <v>3740</v>
      </c>
      <c r="K6950" s="18">
        <f>628116075258</f>
        <v>628116075258</v>
      </c>
      <c r="N6950" s="17" t="s">
        <v>77</v>
      </c>
      <c r="U6950" s="17"/>
      <c r="V6950" s="18">
        <f>628116075258</f>
        <v>628116075258</v>
      </c>
      <c r="W6950" t="s">
        <v>19576</v>
      </c>
      <c r="Y6950" s="17" t="s">
        <v>1157</v>
      </c>
    </row>
    <row r="6951" ht="15" customHeight="1" spans="1:23" x14ac:dyDescent="0.25">
      <c r="A6951" s="17" t="s">
        <v>19577</v>
      </c>
      <c r="B6951" s="17" t="s">
        <v>70</v>
      </c>
      <c r="C6951" s="17" t="s">
        <v>71</v>
      </c>
      <c r="D6951" t="s">
        <v>19571</v>
      </c>
      <c r="F6951" t="s">
        <v>6082</v>
      </c>
      <c r="K6951" s="18">
        <f>628111115321</f>
        <v>628111115321</v>
      </c>
      <c r="N6951" s="17" t="s">
        <v>81</v>
      </c>
      <c r="U6951" s="17"/>
      <c r="V6951" s="18">
        <f>628111115321</f>
        <v>628111115321</v>
      </c>
      <c r="W6951" t="s">
        <v>19578</v>
      </c>
    </row>
    <row r="6952" ht="15" customHeight="1" spans="1:22" x14ac:dyDescent="0.25">
      <c r="A6952" s="17" t="s">
        <v>19579</v>
      </c>
      <c r="B6952" s="17" t="s">
        <v>70</v>
      </c>
      <c r="C6952" s="17" t="s">
        <v>71</v>
      </c>
      <c r="D6952" t="s">
        <v>19580</v>
      </c>
      <c r="F6952" t="s">
        <v>19580</v>
      </c>
      <c r="K6952" s="18">
        <f>62816894703</f>
        <v>62816894703</v>
      </c>
      <c r="N6952" s="17" t="s">
        <v>77</v>
      </c>
      <c r="V6952" s="18">
        <f>62816894703</f>
        <v>62816894703</v>
      </c>
    </row>
    <row r="6953" ht="15" customHeight="1" spans="1:22" x14ac:dyDescent="0.25">
      <c r="A6953" s="17" t="s">
        <v>19581</v>
      </c>
      <c r="B6953" s="17" t="s">
        <v>70</v>
      </c>
      <c r="C6953" s="17" t="s">
        <v>71</v>
      </c>
      <c r="D6953" t="s">
        <v>19580</v>
      </c>
      <c r="F6953" t="s">
        <v>19580</v>
      </c>
      <c r="K6953" s="18">
        <f>6281130988</f>
        <v>6281130988</v>
      </c>
      <c r="N6953" s="17" t="s">
        <v>77</v>
      </c>
      <c r="V6953" s="18">
        <f>6281130988</f>
        <v>6281130988</v>
      </c>
    </row>
    <row r="6954" ht="15" customHeight="1" spans="1:22" x14ac:dyDescent="0.25">
      <c r="A6954" s="17" t="s">
        <v>19582</v>
      </c>
      <c r="B6954" s="17" t="s">
        <v>70</v>
      </c>
      <c r="C6954" s="17" t="s">
        <v>71</v>
      </c>
      <c r="D6954" t="s">
        <v>19583</v>
      </c>
      <c r="F6954" t="s">
        <v>19583</v>
      </c>
      <c r="K6954" s="18">
        <f>6281295390499</f>
        <v>6281295390499</v>
      </c>
      <c r="N6954" s="17" t="s">
        <v>81</v>
      </c>
      <c r="V6954" s="18">
        <f>6281295390499</f>
        <v>6281295390499</v>
      </c>
    </row>
    <row r="6955" ht="15" customHeight="1" spans="1:22" x14ac:dyDescent="0.25">
      <c r="A6955" s="17" t="s">
        <v>19584</v>
      </c>
      <c r="B6955" s="17" t="s">
        <v>70</v>
      </c>
      <c r="C6955" s="17" t="s">
        <v>71</v>
      </c>
      <c r="D6955" t="s">
        <v>19580</v>
      </c>
      <c r="F6955" t="s">
        <v>19585</v>
      </c>
      <c r="K6955" s="18">
        <f>6281331467177</f>
        <v>6281331467177</v>
      </c>
      <c r="N6955" s="17" t="s">
        <v>74</v>
      </c>
      <c r="V6955" s="18">
        <f>6281331467177</f>
        <v>6281331467177</v>
      </c>
    </row>
    <row r="6956" ht="15" customHeight="1" spans="1:22" x14ac:dyDescent="0.25">
      <c r="A6956" s="17" t="s">
        <v>19586</v>
      </c>
      <c r="B6956" s="17" t="s">
        <v>70</v>
      </c>
      <c r="C6956" s="17" t="s">
        <v>71</v>
      </c>
      <c r="D6956" t="s">
        <v>19580</v>
      </c>
      <c r="F6956" t="s">
        <v>212</v>
      </c>
      <c r="K6956" s="18">
        <f>628787857980</f>
        <v>628787857980</v>
      </c>
      <c r="N6956" s="17" t="s">
        <v>81</v>
      </c>
      <c r="V6956" s="18">
        <f>628787857980</f>
        <v>628787857980</v>
      </c>
    </row>
    <row r="6957" ht="15" customHeight="1" spans="1:25" x14ac:dyDescent="0.25">
      <c r="A6957" s="17" t="s">
        <v>19587</v>
      </c>
      <c r="B6957" s="17" t="s">
        <v>70</v>
      </c>
      <c r="C6957" s="17" t="s">
        <v>71</v>
      </c>
      <c r="D6957" t="s">
        <v>19580</v>
      </c>
      <c r="F6957" t="s">
        <v>548</v>
      </c>
      <c r="J6957" s="17" t="s">
        <v>19588</v>
      </c>
      <c r="K6957" s="18">
        <f>62816973899</f>
        <v>62816973899</v>
      </c>
      <c r="N6957" s="17" t="s">
        <v>81</v>
      </c>
      <c r="U6957" s="17"/>
      <c r="V6957" s="18">
        <f>62816973899</f>
        <v>62816973899</v>
      </c>
      <c r="W6957" t="s">
        <v>19589</v>
      </c>
      <c r="Y6957" s="17" t="s">
        <v>1084</v>
      </c>
    </row>
    <row r="6958" ht="15" customHeight="1" spans="1:28" x14ac:dyDescent="0.25">
      <c r="A6958" s="17" t="s">
        <v>19590</v>
      </c>
      <c r="B6958" s="17" t="s">
        <v>70</v>
      </c>
      <c r="C6958" s="17" t="s">
        <v>71</v>
      </c>
      <c r="D6958" t="s">
        <v>19591</v>
      </c>
      <c r="F6958" t="s">
        <v>1064</v>
      </c>
      <c r="J6958" t="s">
        <v>115</v>
      </c>
      <c r="K6958" s="18" t="s">
        <v>19592</v>
      </c>
      <c r="N6958" s="17" t="s">
        <v>81</v>
      </c>
      <c r="O6958" t="s">
        <v>117</v>
      </c>
      <c r="U6958" s="17"/>
      <c r="V6958" s="18" t="s">
        <v>19592</v>
      </c>
      <c r="W6958" t="s">
        <v>19593</v>
      </c>
      <c r="Y6958" s="17" t="s">
        <v>90</v>
      </c>
      <c r="AA6958" t="s">
        <v>118</v>
      </c>
      <c r="AB6958" t="s">
        <v>119</v>
      </c>
    </row>
    <row r="6959" ht="15" customHeight="1" spans="1:27" x14ac:dyDescent="0.25">
      <c r="A6959" s="17" t="s">
        <v>19594</v>
      </c>
      <c r="B6959" s="17" t="s">
        <v>70</v>
      </c>
      <c r="C6959" s="17" t="s">
        <v>71</v>
      </c>
      <c r="D6959" t="s">
        <v>19580</v>
      </c>
      <c r="F6959" t="s">
        <v>1064</v>
      </c>
      <c r="K6959" s="18">
        <f>628557881994</f>
        <v>628557881994</v>
      </c>
      <c r="N6959" s="17" t="s">
        <v>74</v>
      </c>
      <c r="U6959" s="17"/>
      <c r="V6959" s="18">
        <f>628557881994</f>
        <v>628557881994</v>
      </c>
      <c r="W6959" t="s">
        <v>19595</v>
      </c>
      <c r="Y6959" s="17" t="s">
        <v>96</v>
      </c>
      <c r="AA6959" s="17" t="s">
        <v>16350</v>
      </c>
    </row>
    <row r="6960" ht="15" customHeight="1" spans="1:22" x14ac:dyDescent="0.25">
      <c r="A6960" s="17" t="s">
        <v>19596</v>
      </c>
      <c r="B6960" s="17" t="s">
        <v>70</v>
      </c>
      <c r="C6960" s="17" t="s">
        <v>71</v>
      </c>
      <c r="D6960" t="s">
        <v>19580</v>
      </c>
      <c r="F6960" t="s">
        <v>8630</v>
      </c>
      <c r="K6960" s="18">
        <f>628111129494</f>
        <v>628111129494</v>
      </c>
      <c r="N6960" s="17" t="s">
        <v>77</v>
      </c>
      <c r="V6960" s="18">
        <f>628111129494</f>
        <v>628111129494</v>
      </c>
    </row>
    <row r="6961" ht="15" customHeight="1" spans="1:22" x14ac:dyDescent="0.25">
      <c r="A6961" s="17" t="s">
        <v>19597</v>
      </c>
      <c r="B6961" s="17" t="s">
        <v>70</v>
      </c>
      <c r="C6961" s="17" t="s">
        <v>71</v>
      </c>
      <c r="D6961" t="s">
        <v>19580</v>
      </c>
      <c r="F6961" t="s">
        <v>19598</v>
      </c>
      <c r="K6961" s="18">
        <f>62811322222</f>
        <v>62811322222</v>
      </c>
      <c r="N6961" s="17" t="s">
        <v>77</v>
      </c>
      <c r="V6961" s="18">
        <f>62811322222</f>
        <v>62811322222</v>
      </c>
    </row>
    <row r="6962" ht="15" customHeight="1" spans="1:25" x14ac:dyDescent="0.25">
      <c r="A6962" s="17" t="s">
        <v>19599</v>
      </c>
      <c r="B6962" s="17" t="s">
        <v>70</v>
      </c>
      <c r="C6962" s="17" t="s">
        <v>71</v>
      </c>
      <c r="D6962" t="s">
        <v>19580</v>
      </c>
      <c r="F6962" t="s">
        <v>19600</v>
      </c>
      <c r="K6962" s="18">
        <f>628161616789</f>
        <v>628161616789</v>
      </c>
      <c r="N6962" s="17" t="s">
        <v>74</v>
      </c>
      <c r="U6962" s="17"/>
      <c r="V6962" s="18">
        <f>628161616789</f>
        <v>628161616789</v>
      </c>
      <c r="W6962" t="s">
        <v>19601</v>
      </c>
      <c r="Y6962" s="17" t="s">
        <v>96</v>
      </c>
    </row>
    <row r="6963" ht="15" customHeight="1" spans="1:22" x14ac:dyDescent="0.25">
      <c r="A6963" s="17" t="s">
        <v>19602</v>
      </c>
      <c r="B6963" s="17" t="s">
        <v>70</v>
      </c>
      <c r="C6963" s="17" t="s">
        <v>71</v>
      </c>
      <c r="D6963" t="s">
        <v>19580</v>
      </c>
      <c r="F6963" t="s">
        <v>19603</v>
      </c>
      <c r="K6963" s="18">
        <f>62811921954</f>
        <v>62811921954</v>
      </c>
      <c r="N6963" s="17" t="s">
        <v>77</v>
      </c>
      <c r="V6963" s="18">
        <f>62811921954</f>
        <v>62811921954</v>
      </c>
    </row>
    <row r="6964" ht="15" customHeight="1" spans="1:22" x14ac:dyDescent="0.25">
      <c r="A6964" s="17" t="s">
        <v>19604</v>
      </c>
      <c r="B6964" s="17" t="s">
        <v>70</v>
      </c>
      <c r="C6964" s="17" t="s">
        <v>71</v>
      </c>
      <c r="D6964" t="s">
        <v>19580</v>
      </c>
      <c r="F6964" t="s">
        <v>2517</v>
      </c>
      <c r="K6964" s="18">
        <f>62816823344</f>
        <v>62816823344</v>
      </c>
      <c r="N6964" s="17" t="s">
        <v>77</v>
      </c>
      <c r="V6964" s="18">
        <f>62816823344</f>
        <v>62816823344</v>
      </c>
    </row>
    <row r="6965" ht="15" customHeight="1" spans="1:22" x14ac:dyDescent="0.25">
      <c r="A6965" s="17" t="s">
        <v>19605</v>
      </c>
      <c r="B6965" s="17" t="s">
        <v>70</v>
      </c>
      <c r="C6965" s="17" t="s">
        <v>71</v>
      </c>
      <c r="D6965" t="s">
        <v>19580</v>
      </c>
      <c r="F6965" t="s">
        <v>19606</v>
      </c>
      <c r="K6965" s="18">
        <f>62811850820</f>
        <v>62811850820</v>
      </c>
      <c r="N6965" s="17" t="s">
        <v>74</v>
      </c>
      <c r="V6965" s="18">
        <f>62811850820</f>
        <v>62811850820</v>
      </c>
    </row>
    <row r="6966" ht="15" customHeight="1" spans="1:22" x14ac:dyDescent="0.25">
      <c r="A6966" s="17" t="s">
        <v>19607</v>
      </c>
      <c r="B6966" s="17" t="s">
        <v>70</v>
      </c>
      <c r="C6966" s="17" t="s">
        <v>71</v>
      </c>
      <c r="D6966" t="s">
        <v>19580</v>
      </c>
      <c r="F6966" t="s">
        <v>19608</v>
      </c>
      <c r="K6966" s="18">
        <f>6282178575952</f>
        <v>6282178575952</v>
      </c>
      <c r="N6966" s="17" t="s">
        <v>81</v>
      </c>
      <c r="V6966" s="18">
        <f>6282178575952</f>
        <v>6282178575952</v>
      </c>
    </row>
    <row r="6967" ht="15" customHeight="1" spans="1:28" x14ac:dyDescent="0.25">
      <c r="A6967" s="17" t="s">
        <v>19609</v>
      </c>
      <c r="B6967" s="17" t="s">
        <v>70</v>
      </c>
      <c r="C6967" s="17" t="s">
        <v>71</v>
      </c>
      <c r="D6967" t="s">
        <v>19580</v>
      </c>
      <c r="F6967" t="s">
        <v>19610</v>
      </c>
      <c r="J6967" t="s">
        <v>115</v>
      </c>
      <c r="K6967" s="18" t="s">
        <v>19611</v>
      </c>
      <c r="N6967" s="17" t="s">
        <v>77</v>
      </c>
      <c r="O6967" t="s">
        <v>145</v>
      </c>
      <c r="U6967" s="17"/>
      <c r="V6967" s="18" t="s">
        <v>19611</v>
      </c>
      <c r="W6967" t="s">
        <v>19612</v>
      </c>
      <c r="Y6967" t="s">
        <v>90</v>
      </c>
      <c r="AA6967" t="s">
        <v>118</v>
      </c>
      <c r="AB6967" t="s">
        <v>119</v>
      </c>
    </row>
    <row r="6968" ht="15" customHeight="1" spans="1:23" x14ac:dyDescent="0.25">
      <c r="A6968" s="17" t="s">
        <v>19613</v>
      </c>
      <c r="B6968" s="17" t="s">
        <v>70</v>
      </c>
      <c r="C6968" s="17" t="s">
        <v>71</v>
      </c>
      <c r="D6968" t="s">
        <v>19580</v>
      </c>
      <c r="F6968" t="s">
        <v>19614</v>
      </c>
      <c r="K6968" s="18">
        <f>62816102173</f>
        <v>62816102173</v>
      </c>
      <c r="N6968" s="17" t="s">
        <v>74</v>
      </c>
      <c r="U6968" s="17"/>
      <c r="V6968" s="18">
        <f>62816102173</f>
        <v>62816102173</v>
      </c>
      <c r="W6968" t="s">
        <v>19615</v>
      </c>
    </row>
    <row r="6969" ht="15" customHeight="1" spans="1:22" x14ac:dyDescent="0.25">
      <c r="A6969" s="17" t="s">
        <v>19616</v>
      </c>
      <c r="B6969" s="17" t="s">
        <v>70</v>
      </c>
      <c r="C6969" s="17" t="s">
        <v>71</v>
      </c>
      <c r="D6969" t="s">
        <v>19580</v>
      </c>
      <c r="F6969" t="s">
        <v>3605</v>
      </c>
      <c r="K6969" s="18">
        <f>6281514108385</f>
        <v>6281514108385</v>
      </c>
      <c r="N6969" s="17" t="s">
        <v>77</v>
      </c>
      <c r="V6969" s="18">
        <f>6281514108385</f>
        <v>6281514108385</v>
      </c>
    </row>
    <row r="6970" ht="15" customHeight="1" spans="1:22" x14ac:dyDescent="0.25">
      <c r="A6970" s="17" t="s">
        <v>19617</v>
      </c>
      <c r="B6970" s="17" t="s">
        <v>70</v>
      </c>
      <c r="C6970" s="17" t="s">
        <v>71</v>
      </c>
      <c r="D6970" t="s">
        <v>19580</v>
      </c>
      <c r="F6970" t="s">
        <v>3605</v>
      </c>
      <c r="K6970" s="18">
        <f>628129355123</f>
        <v>628129355123</v>
      </c>
      <c r="N6970" s="17" t="s">
        <v>81</v>
      </c>
      <c r="V6970" s="18">
        <f>628129355123</f>
        <v>628129355123</v>
      </c>
    </row>
    <row r="6971" ht="15" customHeight="1" spans="1:25" x14ac:dyDescent="0.25">
      <c r="A6971" s="17" t="s">
        <v>19618</v>
      </c>
      <c r="B6971" s="17" t="s">
        <v>70</v>
      </c>
      <c r="C6971" s="17" t="s">
        <v>71</v>
      </c>
      <c r="D6971" t="s">
        <v>19580</v>
      </c>
      <c r="F6971" t="s">
        <v>153</v>
      </c>
      <c r="K6971" s="18">
        <f>6281345526188</f>
        <v>6281345526188</v>
      </c>
      <c r="N6971" s="17" t="s">
        <v>77</v>
      </c>
      <c r="U6971" s="17"/>
      <c r="V6971" s="18">
        <f>6281345526188</f>
        <v>6281345526188</v>
      </c>
      <c r="W6971" t="s">
        <v>19619</v>
      </c>
      <c r="Y6971" s="17" t="s">
        <v>1151</v>
      </c>
    </row>
    <row r="6972" ht="15" customHeight="1" spans="1:28" x14ac:dyDescent="0.25">
      <c r="A6972" s="17" t="s">
        <v>19620</v>
      </c>
      <c r="B6972" s="17" t="s">
        <v>70</v>
      </c>
      <c r="C6972" s="17" t="s">
        <v>71</v>
      </c>
      <c r="D6972" t="s">
        <v>19580</v>
      </c>
      <c r="F6972" t="s">
        <v>19621</v>
      </c>
      <c r="J6972" s="17" t="s">
        <v>19622</v>
      </c>
      <c r="K6972" s="18" t="s">
        <v>19623</v>
      </c>
      <c r="N6972" s="17" t="s">
        <v>77</v>
      </c>
      <c r="O6972" t="s">
        <v>199</v>
      </c>
      <c r="U6972" s="17"/>
      <c r="V6972" s="18" t="s">
        <v>19623</v>
      </c>
      <c r="W6972" t="s">
        <v>19624</v>
      </c>
      <c r="Y6972" t="s">
        <v>90</v>
      </c>
      <c r="AA6972" t="s">
        <v>118</v>
      </c>
      <c r="AB6972" t="s">
        <v>119</v>
      </c>
    </row>
    <row r="6973" ht="15" customHeight="1" spans="1:25" x14ac:dyDescent="0.25">
      <c r="A6973" s="17" t="s">
        <v>19625</v>
      </c>
      <c r="B6973" s="17" t="s">
        <v>70</v>
      </c>
      <c r="C6973" s="17" t="s">
        <v>71</v>
      </c>
      <c r="D6973" t="s">
        <v>19580</v>
      </c>
      <c r="F6973" t="s">
        <v>558</v>
      </c>
      <c r="K6973" s="18">
        <v>92933338</v>
      </c>
      <c r="N6973" s="17" t="s">
        <v>77</v>
      </c>
      <c r="U6973" s="17"/>
      <c r="V6973" s="18">
        <v>92933338</v>
      </c>
      <c r="W6973" t="s">
        <v>19626</v>
      </c>
      <c r="Y6973" s="17" t="s">
        <v>378</v>
      </c>
    </row>
    <row r="6974" ht="15" customHeight="1" spans="1:22" x14ac:dyDescent="0.25">
      <c r="A6974" s="17" t="s">
        <v>19627</v>
      </c>
      <c r="B6974" s="17" t="s">
        <v>70</v>
      </c>
      <c r="C6974" s="17" t="s">
        <v>71</v>
      </c>
      <c r="D6974" t="s">
        <v>19580</v>
      </c>
      <c r="F6974" t="s">
        <v>19606</v>
      </c>
      <c r="K6974" s="18">
        <f>62811112064</f>
        <v>62811112064</v>
      </c>
      <c r="N6974" s="17" t="s">
        <v>77</v>
      </c>
      <c r="V6974" s="18">
        <f>62811112064</f>
        <v>62811112064</v>
      </c>
    </row>
    <row r="6975" ht="15" customHeight="1" spans="1:27" x14ac:dyDescent="0.25">
      <c r="A6975" s="17" t="s">
        <v>19628</v>
      </c>
      <c r="B6975" s="17" t="s">
        <v>70</v>
      </c>
      <c r="C6975" s="17" t="s">
        <v>71</v>
      </c>
      <c r="D6975" t="s">
        <v>19580</v>
      </c>
      <c r="F6975" t="s">
        <v>1159</v>
      </c>
      <c r="J6975" s="17" t="s">
        <v>19629</v>
      </c>
      <c r="K6975" s="18">
        <v>981511800269</v>
      </c>
      <c r="N6975" s="17" t="s">
        <v>77</v>
      </c>
      <c r="U6975" s="17"/>
      <c r="V6975" s="18">
        <v>981511800269</v>
      </c>
      <c r="W6975" t="s">
        <v>19630</v>
      </c>
      <c r="Y6975" s="17" t="s">
        <v>96</v>
      </c>
      <c r="AA6975" s="17">
        <v>12140</v>
      </c>
    </row>
    <row r="6976" ht="15" customHeight="1" spans="1:25" x14ac:dyDescent="0.25">
      <c r="A6976" s="17" t="s">
        <v>19631</v>
      </c>
      <c r="B6976" s="17" t="s">
        <v>70</v>
      </c>
      <c r="C6976" s="17" t="s">
        <v>71</v>
      </c>
      <c r="D6976" t="s">
        <v>19580</v>
      </c>
      <c r="F6976" t="s">
        <v>19632</v>
      </c>
      <c r="K6976" s="18">
        <f>62811922864</f>
        <v>62811922864</v>
      </c>
      <c r="N6976" s="17" t="s">
        <v>81</v>
      </c>
      <c r="U6976" s="17"/>
      <c r="V6976" s="18">
        <f>62811922864</f>
        <v>62811922864</v>
      </c>
      <c r="W6976" t="s">
        <v>19633</v>
      </c>
      <c r="Y6976" s="17" t="s">
        <v>5678</v>
      </c>
    </row>
    <row r="6977" ht="15" customHeight="1" spans="1:25" x14ac:dyDescent="0.25">
      <c r="A6977" s="17" t="s">
        <v>19634</v>
      </c>
      <c r="B6977" s="17" t="s">
        <v>70</v>
      </c>
      <c r="C6977" s="17" t="s">
        <v>71</v>
      </c>
      <c r="D6977" t="s">
        <v>19635</v>
      </c>
      <c r="F6977" t="s">
        <v>13358</v>
      </c>
      <c r="K6977" s="18">
        <f>62811147341</f>
        <v>62811147341</v>
      </c>
      <c r="N6977" s="17" t="s">
        <v>74</v>
      </c>
      <c r="U6977" s="17"/>
      <c r="V6977" s="18">
        <f>62811147341</f>
        <v>62811147341</v>
      </c>
      <c r="W6977" t="s">
        <v>19636</v>
      </c>
      <c r="Y6977" s="17" t="s">
        <v>378</v>
      </c>
    </row>
    <row r="6978" ht="15" customHeight="1" spans="1:25" x14ac:dyDescent="0.25">
      <c r="A6978" s="17" t="s">
        <v>19637</v>
      </c>
      <c r="B6978" s="17" t="s">
        <v>70</v>
      </c>
      <c r="C6978" s="17" t="s">
        <v>71</v>
      </c>
      <c r="D6978" t="s">
        <v>19638</v>
      </c>
      <c r="F6978" t="s">
        <v>8206</v>
      </c>
      <c r="K6978" s="18">
        <f>62216629988</f>
        <v>62216629988</v>
      </c>
      <c r="N6978" s="17" t="s">
        <v>77</v>
      </c>
      <c r="U6978" s="17"/>
      <c r="V6978" s="18">
        <f>62216629988</f>
        <v>62216629988</v>
      </c>
      <c r="W6978" t="s">
        <v>19639</v>
      </c>
      <c r="Y6978" s="17" t="s">
        <v>90</v>
      </c>
    </row>
    <row r="6979" ht="15" customHeight="1" spans="1:22" x14ac:dyDescent="0.25">
      <c r="A6979" s="17" t="s">
        <v>19640</v>
      </c>
      <c r="B6979" s="17" t="s">
        <v>70</v>
      </c>
      <c r="C6979" s="17" t="s">
        <v>71</v>
      </c>
      <c r="D6979" t="s">
        <v>19638</v>
      </c>
      <c r="F6979" t="s">
        <v>9835</v>
      </c>
      <c r="K6979" s="18">
        <f>6287782223699</f>
        <v>6287782223699</v>
      </c>
      <c r="N6979" s="17" t="s">
        <v>77</v>
      </c>
      <c r="V6979" s="18">
        <f>6287782223699</f>
        <v>6287782223699</v>
      </c>
    </row>
    <row r="6980" ht="15" customHeight="1" spans="1:22" x14ac:dyDescent="0.25">
      <c r="A6980" s="17" t="s">
        <v>19641</v>
      </c>
      <c r="B6980" s="17" t="s">
        <v>70</v>
      </c>
      <c r="C6980" s="17" t="s">
        <v>71</v>
      </c>
      <c r="D6980" t="s">
        <v>19642</v>
      </c>
      <c r="F6980" t="s">
        <v>19643</v>
      </c>
      <c r="K6980" s="18">
        <f>6281213371111</f>
        <v>6281213371111</v>
      </c>
      <c r="N6980" s="17" t="s">
        <v>77</v>
      </c>
      <c r="V6980" s="18">
        <f>6281213371111</f>
        <v>6281213371111</v>
      </c>
    </row>
    <row r="6981" ht="15" customHeight="1" spans="1:25" x14ac:dyDescent="0.25">
      <c r="A6981" s="17" t="s">
        <v>19644</v>
      </c>
      <c r="B6981" s="17" t="s">
        <v>70</v>
      </c>
      <c r="C6981" s="17" t="s">
        <v>71</v>
      </c>
      <c r="D6981" t="s">
        <v>19645</v>
      </c>
      <c r="F6981" t="s">
        <v>17913</v>
      </c>
      <c r="J6981" s="17" t="s">
        <v>19646</v>
      </c>
      <c r="K6981" s="18">
        <f>6282158904444</f>
        <v>6282158904444</v>
      </c>
      <c r="N6981" s="17" t="s">
        <v>77</v>
      </c>
      <c r="U6981" s="17"/>
      <c r="V6981" s="18">
        <f>6282158904444</f>
        <v>6282158904444</v>
      </c>
      <c r="W6981" t="s">
        <v>19647</v>
      </c>
      <c r="Y6981" s="17" t="s">
        <v>217</v>
      </c>
    </row>
    <row r="6982" ht="15" customHeight="1" spans="1:22" x14ac:dyDescent="0.25">
      <c r="A6982" s="17" t="s">
        <v>19648</v>
      </c>
      <c r="B6982" s="17" t="s">
        <v>70</v>
      </c>
      <c r="C6982" s="17" t="s">
        <v>71</v>
      </c>
      <c r="D6982" t="s">
        <v>19649</v>
      </c>
      <c r="F6982" t="s">
        <v>19649</v>
      </c>
      <c r="K6982" s="18">
        <f>628111997920</f>
        <v>628111997920</v>
      </c>
      <c r="N6982" s="17" t="s">
        <v>81</v>
      </c>
      <c r="V6982" s="18">
        <f>628111997920</f>
        <v>628111997920</v>
      </c>
    </row>
    <row r="6983" ht="15" customHeight="1" spans="1:22" x14ac:dyDescent="0.25">
      <c r="A6983" s="17" t="s">
        <v>19650</v>
      </c>
      <c r="B6983" s="17" t="s">
        <v>70</v>
      </c>
      <c r="C6983" s="17" t="s">
        <v>71</v>
      </c>
      <c r="D6983" t="s">
        <v>11897</v>
      </c>
      <c r="F6983" t="s">
        <v>5637</v>
      </c>
      <c r="K6983" s="18">
        <f>628123914151</f>
        <v>628123914151</v>
      </c>
      <c r="N6983" s="17" t="s">
        <v>77</v>
      </c>
      <c r="V6983" s="18">
        <f>628123914151</f>
        <v>628123914151</v>
      </c>
    </row>
    <row r="6984" ht="15" customHeight="1" spans="1:25" x14ac:dyDescent="0.25">
      <c r="A6984" s="17" t="s">
        <v>19651</v>
      </c>
      <c r="B6984" s="17" t="s">
        <v>70</v>
      </c>
      <c r="C6984" s="17" t="s">
        <v>71</v>
      </c>
      <c r="D6984" t="s">
        <v>11897</v>
      </c>
      <c r="F6984" t="s">
        <v>19652</v>
      </c>
      <c r="K6984" s="18">
        <f>62216330056</f>
        <v>62216330056</v>
      </c>
      <c r="N6984" s="17" t="s">
        <v>77</v>
      </c>
      <c r="U6984" s="17"/>
      <c r="V6984" s="18">
        <f>62216330056</f>
        <v>62216330056</v>
      </c>
      <c r="W6984" t="s">
        <v>19653</v>
      </c>
      <c r="Y6984" s="17" t="s">
        <v>90</v>
      </c>
    </row>
    <row r="6985" ht="15" customHeight="1" spans="1:22" x14ac:dyDescent="0.25">
      <c r="A6985" s="17" t="s">
        <v>19654</v>
      </c>
      <c r="B6985" s="17" t="s">
        <v>70</v>
      </c>
      <c r="C6985" s="17" t="s">
        <v>71</v>
      </c>
      <c r="D6985" t="s">
        <v>11897</v>
      </c>
      <c r="F6985" t="s">
        <v>19655</v>
      </c>
      <c r="K6985" s="18">
        <f>622170393116</f>
        <v>622170393116</v>
      </c>
      <c r="N6985" s="17" t="s">
        <v>77</v>
      </c>
      <c r="V6985" s="18">
        <f>622170393116</f>
        <v>622170393116</v>
      </c>
    </row>
    <row r="6986" ht="15" customHeight="1" spans="1:22" x14ac:dyDescent="0.25">
      <c r="A6986" s="17" t="s">
        <v>19656</v>
      </c>
      <c r="B6986" s="17" t="s">
        <v>70</v>
      </c>
      <c r="C6986" s="17" t="s">
        <v>71</v>
      </c>
      <c r="D6986" t="s">
        <v>19657</v>
      </c>
      <c r="F6986" t="s">
        <v>19657</v>
      </c>
      <c r="K6986" s="18">
        <f>62811132102</f>
        <v>62811132102</v>
      </c>
      <c r="N6986" s="17" t="s">
        <v>81</v>
      </c>
      <c r="V6986" s="18">
        <f>62811132102</f>
        <v>62811132102</v>
      </c>
    </row>
    <row r="6987" ht="15" customHeight="1" spans="1:28" x14ac:dyDescent="0.25">
      <c r="A6987" s="17" t="s">
        <v>19658</v>
      </c>
      <c r="B6987" s="17" t="s">
        <v>70</v>
      </c>
      <c r="C6987" s="17" t="s">
        <v>71</v>
      </c>
      <c r="D6987" t="s">
        <v>19659</v>
      </c>
      <c r="F6987" t="s">
        <v>19660</v>
      </c>
      <c r="J6987" s="17" t="s">
        <v>19661</v>
      </c>
      <c r="K6987" s="18" t="s">
        <v>19662</v>
      </c>
      <c r="N6987" s="17" t="s">
        <v>77</v>
      </c>
      <c r="O6987" t="s">
        <v>261</v>
      </c>
      <c r="U6987" s="17"/>
      <c r="V6987" s="18" t="s">
        <v>19662</v>
      </c>
      <c r="W6987" t="s">
        <v>1903</v>
      </c>
      <c r="Y6987" t="s">
        <v>1903</v>
      </c>
      <c r="AA6987" t="s">
        <v>115</v>
      </c>
      <c r="AB6987" t="s">
        <v>1903</v>
      </c>
    </row>
    <row r="6988" ht="15" customHeight="1" spans="1:22" x14ac:dyDescent="0.25">
      <c r="A6988" s="17" t="s">
        <v>19663</v>
      </c>
      <c r="B6988" s="17" t="s">
        <v>70</v>
      </c>
      <c r="C6988" s="17" t="s">
        <v>71</v>
      </c>
      <c r="D6988" t="s">
        <v>19664</v>
      </c>
      <c r="F6988" t="s">
        <v>18563</v>
      </c>
      <c r="K6988" s="18">
        <f>62816880988</f>
        <v>62816880988</v>
      </c>
      <c r="N6988" s="17" t="s">
        <v>81</v>
      </c>
      <c r="V6988" s="18">
        <f>62816880988</f>
        <v>62816880988</v>
      </c>
    </row>
    <row r="6989" ht="15" customHeight="1" spans="1:22" x14ac:dyDescent="0.25">
      <c r="A6989" s="17" t="s">
        <v>19665</v>
      </c>
      <c r="B6989" s="17" t="s">
        <v>70</v>
      </c>
      <c r="C6989" s="17" t="s">
        <v>71</v>
      </c>
      <c r="D6989" t="s">
        <v>19666</v>
      </c>
      <c r="F6989" t="s">
        <v>19666</v>
      </c>
      <c r="K6989" s="18">
        <f>6281318878188</f>
        <v>6281318878188</v>
      </c>
      <c r="N6989" s="17" t="s">
        <v>81</v>
      </c>
      <c r="V6989" s="18">
        <f>6281318878188</f>
        <v>6281318878188</v>
      </c>
    </row>
    <row r="6990" ht="15" customHeight="1" spans="1:22" x14ac:dyDescent="0.25">
      <c r="A6990" s="17" t="s">
        <v>19667</v>
      </c>
      <c r="B6990" s="17" t="s">
        <v>70</v>
      </c>
      <c r="C6990" s="17" t="s">
        <v>71</v>
      </c>
      <c r="D6990" t="s">
        <v>19666</v>
      </c>
      <c r="F6990" t="s">
        <v>672</v>
      </c>
      <c r="K6990" s="18">
        <f>62818123363</f>
        <v>62818123363</v>
      </c>
      <c r="N6990" s="17" t="s">
        <v>77</v>
      </c>
      <c r="V6990" s="18">
        <f>62818123363</f>
        <v>62818123363</v>
      </c>
    </row>
    <row r="6991" ht="15" customHeight="1" spans="1:22" x14ac:dyDescent="0.25">
      <c r="A6991" s="17" t="s">
        <v>19668</v>
      </c>
      <c r="B6991" s="17" t="s">
        <v>70</v>
      </c>
      <c r="C6991" s="17" t="s">
        <v>71</v>
      </c>
      <c r="D6991" t="s">
        <v>19669</v>
      </c>
      <c r="F6991" t="s">
        <v>19670</v>
      </c>
      <c r="K6991" s="18">
        <f>6285719673306</f>
        <v>6285719673306</v>
      </c>
      <c r="N6991" s="17" t="s">
        <v>77</v>
      </c>
      <c r="V6991" s="18">
        <f>6285719673306</f>
        <v>6285719673306</v>
      </c>
    </row>
    <row r="6992" ht="15" customHeight="1" spans="1:22" x14ac:dyDescent="0.25">
      <c r="A6992" s="17" t="s">
        <v>19671</v>
      </c>
      <c r="B6992" s="17" t="s">
        <v>70</v>
      </c>
      <c r="C6992" s="17" t="s">
        <v>71</v>
      </c>
      <c r="D6992" t="s">
        <v>19672</v>
      </c>
      <c r="F6992" t="s">
        <v>19672</v>
      </c>
      <c r="K6992" s="18">
        <f>62818718288</f>
        <v>62818718288</v>
      </c>
      <c r="N6992" s="17" t="s">
        <v>77</v>
      </c>
      <c r="V6992" s="18">
        <f>62818718288</f>
        <v>62818718288</v>
      </c>
    </row>
    <row r="6993" ht="15" customHeight="1" spans="1:22" x14ac:dyDescent="0.25">
      <c r="A6993" s="17" t="s">
        <v>19673</v>
      </c>
      <c r="B6993" s="17" t="s">
        <v>70</v>
      </c>
      <c r="C6993" s="17" t="s">
        <v>71</v>
      </c>
      <c r="D6993" t="s">
        <v>19672</v>
      </c>
      <c r="F6993" t="s">
        <v>19672</v>
      </c>
      <c r="K6993" s="18">
        <f>6283898888899</f>
        <v>6283898888899</v>
      </c>
      <c r="N6993" s="17" t="s">
        <v>81</v>
      </c>
      <c r="V6993" s="18">
        <f>6283898888899</f>
        <v>6283898888899</v>
      </c>
    </row>
    <row r="6994" ht="15" customHeight="1" spans="1:22" x14ac:dyDescent="0.25">
      <c r="A6994" s="17" t="s">
        <v>19674</v>
      </c>
      <c r="B6994" s="17" t="s">
        <v>70</v>
      </c>
      <c r="C6994" s="17" t="s">
        <v>71</v>
      </c>
      <c r="D6994" t="s">
        <v>19672</v>
      </c>
      <c r="F6994" t="s">
        <v>19672</v>
      </c>
      <c r="K6994" s="18">
        <f>628116666921</f>
        <v>628116666921</v>
      </c>
      <c r="N6994" s="17" t="s">
        <v>81</v>
      </c>
      <c r="V6994" s="18">
        <f>628116666921</f>
        <v>628116666921</v>
      </c>
    </row>
    <row r="6995" ht="15" customHeight="1" spans="1:22" x14ac:dyDescent="0.25">
      <c r="A6995" s="17" t="s">
        <v>19675</v>
      </c>
      <c r="B6995" s="17" t="s">
        <v>70</v>
      </c>
      <c r="C6995" s="17" t="s">
        <v>71</v>
      </c>
      <c r="D6995" t="s">
        <v>19672</v>
      </c>
      <c r="F6995" t="s">
        <v>1711</v>
      </c>
      <c r="K6995" s="18">
        <f>6285361669999</f>
        <v>6285361669999</v>
      </c>
      <c r="N6995" s="17" t="s">
        <v>81</v>
      </c>
      <c r="V6995" s="18">
        <f>6285361669999</f>
        <v>6285361669999</v>
      </c>
    </row>
    <row r="6996" ht="15" customHeight="1" spans="1:22" x14ac:dyDescent="0.25">
      <c r="A6996" s="17" t="s">
        <v>19676</v>
      </c>
      <c r="B6996" s="17" t="s">
        <v>70</v>
      </c>
      <c r="C6996" s="17" t="s">
        <v>71</v>
      </c>
      <c r="D6996" t="s">
        <v>19672</v>
      </c>
      <c r="F6996" t="s">
        <v>153</v>
      </c>
      <c r="K6996" s="18">
        <f>6281513988888</f>
        <v>6281513988888</v>
      </c>
      <c r="N6996" s="17" t="s">
        <v>77</v>
      </c>
      <c r="V6996" s="18">
        <f>6281513988888</f>
        <v>6281513988888</v>
      </c>
    </row>
    <row r="6997" ht="15" customHeight="1" spans="1:22" x14ac:dyDescent="0.25">
      <c r="A6997" s="17" t="s">
        <v>19677</v>
      </c>
      <c r="B6997" s="17" t="s">
        <v>70</v>
      </c>
      <c r="C6997" s="17" t="s">
        <v>71</v>
      </c>
      <c r="D6997" t="s">
        <v>19678</v>
      </c>
      <c r="F6997" t="s">
        <v>1053</v>
      </c>
      <c r="K6997" s="18">
        <f>628128849316</f>
        <v>628128849316</v>
      </c>
      <c r="N6997" s="17" t="s">
        <v>74</v>
      </c>
      <c r="V6997" s="18">
        <f>628128849316</f>
        <v>628128849316</v>
      </c>
    </row>
    <row r="6998" ht="15" customHeight="1" spans="1:22" x14ac:dyDescent="0.25">
      <c r="A6998" s="17" t="s">
        <v>19679</v>
      </c>
      <c r="B6998" s="17" t="s">
        <v>70</v>
      </c>
      <c r="C6998" s="17" t="s">
        <v>71</v>
      </c>
      <c r="D6998" t="s">
        <v>19678</v>
      </c>
      <c r="F6998" t="s">
        <v>19680</v>
      </c>
      <c r="K6998" s="18">
        <f>6282298749256</f>
        <v>6282298749256</v>
      </c>
      <c r="N6998" s="17" t="s">
        <v>74</v>
      </c>
      <c r="V6998" s="18">
        <f>6282298749256</f>
        <v>6282298749256</v>
      </c>
    </row>
    <row r="6999" ht="15" customHeight="1" spans="1:22" x14ac:dyDescent="0.25">
      <c r="A6999" s="17" t="s">
        <v>19681</v>
      </c>
      <c r="B6999" s="17" t="s">
        <v>70</v>
      </c>
      <c r="C6999" s="17" t="s">
        <v>71</v>
      </c>
      <c r="D6999" t="s">
        <v>19682</v>
      </c>
      <c r="F6999" t="s">
        <v>19683</v>
      </c>
      <c r="K6999" s="18">
        <f>62217653123</f>
        <v>62217653123</v>
      </c>
      <c r="N6999" s="17" t="s">
        <v>77</v>
      </c>
      <c r="V6999" s="18">
        <f>62217653123</f>
        <v>62217653123</v>
      </c>
    </row>
    <row r="7000" ht="15" customHeight="1" spans="1:25" x14ac:dyDescent="0.25">
      <c r="A7000" s="17" t="s">
        <v>19684</v>
      </c>
      <c r="B7000" s="17" t="s">
        <v>70</v>
      </c>
      <c r="C7000" s="17" t="s">
        <v>71</v>
      </c>
      <c r="D7000" t="s">
        <v>19685</v>
      </c>
      <c r="F7000" t="s">
        <v>3083</v>
      </c>
      <c r="J7000" s="17" t="s">
        <v>19686</v>
      </c>
      <c r="K7000" s="18">
        <f>62811889500</f>
        <v>62811889500</v>
      </c>
      <c r="N7000" s="17" t="s">
        <v>77</v>
      </c>
      <c r="U7000" s="17"/>
      <c r="V7000" s="18">
        <f>62811889500</f>
        <v>62811889500</v>
      </c>
      <c r="W7000" t="s">
        <v>19687</v>
      </c>
      <c r="Y7000" s="17" t="s">
        <v>96</v>
      </c>
    </row>
    <row r="7001" ht="15" customHeight="1" spans="1:22" x14ac:dyDescent="0.25">
      <c r="A7001" s="17" t="s">
        <v>19688</v>
      </c>
      <c r="B7001" s="17" t="s">
        <v>70</v>
      </c>
      <c r="C7001" s="17" t="s">
        <v>71</v>
      </c>
      <c r="D7001" t="s">
        <v>19685</v>
      </c>
      <c r="F7001" t="s">
        <v>19689</v>
      </c>
      <c r="K7001" s="18">
        <f>6287881200272</f>
        <v>6287881200272</v>
      </c>
      <c r="N7001" s="17" t="s">
        <v>74</v>
      </c>
      <c r="V7001" s="18">
        <f>6287881200272</f>
        <v>6287881200272</v>
      </c>
    </row>
    <row r="7002" ht="15" customHeight="1" spans="1:25" x14ac:dyDescent="0.25">
      <c r="A7002" s="17" t="s">
        <v>19690</v>
      </c>
      <c r="B7002" s="17" t="s">
        <v>70</v>
      </c>
      <c r="C7002" s="17" t="s">
        <v>71</v>
      </c>
      <c r="D7002" t="s">
        <v>19691</v>
      </c>
      <c r="F7002" t="s">
        <v>19691</v>
      </c>
      <c r="J7002" s="17" t="s">
        <v>19692</v>
      </c>
      <c r="K7002" s="18">
        <f>628161903093</f>
        <v>628161903093</v>
      </c>
      <c r="N7002" s="17" t="s">
        <v>77</v>
      </c>
      <c r="U7002" s="17"/>
      <c r="V7002" s="18">
        <f>628161903093</f>
        <v>628161903093</v>
      </c>
      <c r="W7002" t="s">
        <v>19693</v>
      </c>
      <c r="Y7002" s="17" t="s">
        <v>90</v>
      </c>
    </row>
    <row r="7003" ht="15" customHeight="1" spans="1:22" x14ac:dyDescent="0.25">
      <c r="A7003" s="17" t="s">
        <v>19694</v>
      </c>
      <c r="B7003" s="17" t="s">
        <v>70</v>
      </c>
      <c r="C7003" s="17" t="s">
        <v>71</v>
      </c>
      <c r="D7003" t="s">
        <v>9742</v>
      </c>
      <c r="F7003" t="s">
        <v>3605</v>
      </c>
      <c r="K7003" s="18">
        <f>628119957516</f>
        <v>628119957516</v>
      </c>
      <c r="N7003" s="17" t="s">
        <v>81</v>
      </c>
      <c r="V7003" s="18">
        <f>628119957516</f>
        <v>628119957516</v>
      </c>
    </row>
    <row r="7004" ht="15" customHeight="1" spans="1:27" x14ac:dyDescent="0.25">
      <c r="A7004" s="17" t="s">
        <v>19695</v>
      </c>
      <c r="B7004" s="17" t="s">
        <v>70</v>
      </c>
      <c r="C7004" s="17" t="s">
        <v>71</v>
      </c>
      <c r="D7004" t="s">
        <v>19696</v>
      </c>
      <c r="F7004" t="s">
        <v>19697</v>
      </c>
      <c r="K7004" s="18">
        <f>62816946830</f>
        <v>62816946830</v>
      </c>
      <c r="N7004" s="17" t="s">
        <v>74</v>
      </c>
      <c r="U7004" s="17"/>
      <c r="V7004" s="18">
        <f>62816946830</f>
        <v>62816946830</v>
      </c>
      <c r="W7004" t="s">
        <v>19698</v>
      </c>
      <c r="Y7004" s="17" t="s">
        <v>96</v>
      </c>
      <c r="AA7004" s="17" t="s">
        <v>19699</v>
      </c>
    </row>
    <row r="7005" ht="15" customHeight="1" spans="1:23" x14ac:dyDescent="0.25">
      <c r="A7005" s="17" t="s">
        <v>19700</v>
      </c>
      <c r="B7005" s="17" t="s">
        <v>70</v>
      </c>
      <c r="C7005" s="17" t="s">
        <v>71</v>
      </c>
      <c r="D7005" t="s">
        <v>19701</v>
      </c>
      <c r="F7005" t="s">
        <v>19702</v>
      </c>
      <c r="K7005" s="18" t="s">
        <v>19703</v>
      </c>
      <c r="N7005" s="17" t="s">
        <v>77</v>
      </c>
      <c r="U7005" s="17"/>
      <c r="V7005" s="18" t="s">
        <v>19703</v>
      </c>
      <c r="W7005" t="s">
        <v>920</v>
      </c>
    </row>
    <row r="7006" ht="15" customHeight="1" spans="1:22" x14ac:dyDescent="0.25">
      <c r="A7006" s="17" t="s">
        <v>19704</v>
      </c>
      <c r="B7006" s="17" t="s">
        <v>70</v>
      </c>
      <c r="C7006" s="17" t="s">
        <v>71</v>
      </c>
      <c r="D7006" t="s">
        <v>19705</v>
      </c>
      <c r="F7006" t="s">
        <v>301</v>
      </c>
      <c r="K7006" s="18">
        <f>6281380888888</f>
        <v>6281380888888</v>
      </c>
      <c r="N7006" s="17" t="s">
        <v>81</v>
      </c>
      <c r="V7006" s="18">
        <f>6281380888888</f>
        <v>6281380888888</v>
      </c>
    </row>
    <row r="7007" ht="15" customHeight="1" spans="1:28" x14ac:dyDescent="0.25">
      <c r="A7007" s="17" t="s">
        <v>19706</v>
      </c>
      <c r="B7007" s="17" t="s">
        <v>70</v>
      </c>
      <c r="C7007" s="17" t="s">
        <v>71</v>
      </c>
      <c r="D7007" t="s">
        <v>19707</v>
      </c>
      <c r="F7007" t="s">
        <v>19708</v>
      </c>
      <c r="J7007" s="17" t="s">
        <v>19709</v>
      </c>
      <c r="K7007" s="18" t="s">
        <v>19710</v>
      </c>
      <c r="N7007" s="17" t="s">
        <v>77</v>
      </c>
      <c r="O7007" t="s">
        <v>145</v>
      </c>
      <c r="U7007" s="17"/>
      <c r="V7007" s="18" t="s">
        <v>19710</v>
      </c>
      <c r="W7007" t="s">
        <v>920</v>
      </c>
      <c r="Y7007" t="s">
        <v>115</v>
      </c>
      <c r="AA7007" t="s">
        <v>115</v>
      </c>
      <c r="AB7007" t="s">
        <v>920</v>
      </c>
    </row>
    <row r="7008" ht="15" customHeight="1" spans="1:22" x14ac:dyDescent="0.25">
      <c r="A7008" s="17" t="s">
        <v>19711</v>
      </c>
      <c r="B7008" s="17" t="s">
        <v>70</v>
      </c>
      <c r="C7008" s="17" t="s">
        <v>71</v>
      </c>
      <c r="D7008" t="s">
        <v>19712</v>
      </c>
      <c r="F7008" t="s">
        <v>19713</v>
      </c>
      <c r="K7008" s="18">
        <f>6282299131986</f>
        <v>6282299131986</v>
      </c>
      <c r="N7008" s="17" t="s">
        <v>81</v>
      </c>
      <c r="V7008" s="18">
        <f>6282299131986</f>
        <v>6282299131986</v>
      </c>
    </row>
    <row r="7009" ht="15" customHeight="1" spans="1:22" x14ac:dyDescent="0.25">
      <c r="A7009" s="17" t="s">
        <v>19714</v>
      </c>
      <c r="B7009" s="17" t="s">
        <v>70</v>
      </c>
      <c r="C7009" s="17" t="s">
        <v>71</v>
      </c>
      <c r="D7009" t="s">
        <v>19715</v>
      </c>
      <c r="F7009" t="s">
        <v>19715</v>
      </c>
      <c r="K7009" s="18">
        <f>6285219037685</f>
        <v>6285219037685</v>
      </c>
      <c r="N7009" s="17" t="s">
        <v>81</v>
      </c>
      <c r="V7009" s="18">
        <f>6285219037685</f>
        <v>6285219037685</v>
      </c>
    </row>
    <row r="7010" ht="15" customHeight="1" spans="1:22" x14ac:dyDescent="0.25">
      <c r="A7010" s="17" t="s">
        <v>19716</v>
      </c>
      <c r="B7010" s="17" t="s">
        <v>70</v>
      </c>
      <c r="C7010" s="17" t="s">
        <v>71</v>
      </c>
      <c r="D7010" t="s">
        <v>19717</v>
      </c>
      <c r="F7010" t="s">
        <v>10033</v>
      </c>
      <c r="K7010" s="18">
        <f>628111006019</f>
        <v>628111006019</v>
      </c>
      <c r="N7010" s="17" t="s">
        <v>77</v>
      </c>
      <c r="V7010" s="18">
        <f>628111006019</f>
        <v>628111006019</v>
      </c>
    </row>
    <row r="7011" ht="15" customHeight="1" spans="1:22" x14ac:dyDescent="0.25">
      <c r="A7011" s="17" t="s">
        <v>19718</v>
      </c>
      <c r="B7011" s="17" t="s">
        <v>70</v>
      </c>
      <c r="C7011" s="17" t="s">
        <v>71</v>
      </c>
      <c r="D7011" t="s">
        <v>19719</v>
      </c>
      <c r="F7011" t="s">
        <v>19720</v>
      </c>
      <c r="K7011" s="18">
        <f>6281118009955</f>
        <v>6281118009955</v>
      </c>
      <c r="N7011" s="17" t="s">
        <v>74</v>
      </c>
      <c r="V7011" s="18">
        <f>6281118009955</f>
        <v>6281118009955</v>
      </c>
    </row>
    <row r="7012" ht="15" customHeight="1" spans="1:22" x14ac:dyDescent="0.25">
      <c r="A7012" s="17" t="s">
        <v>19721</v>
      </c>
      <c r="B7012" s="17" t="s">
        <v>70</v>
      </c>
      <c r="C7012" s="17" t="s">
        <v>71</v>
      </c>
      <c r="D7012" t="s">
        <v>19722</v>
      </c>
      <c r="F7012" t="s">
        <v>2987</v>
      </c>
      <c r="K7012" s="18">
        <f>62816511339</f>
        <v>62816511339</v>
      </c>
      <c r="N7012" s="17" t="s">
        <v>74</v>
      </c>
      <c r="V7012" s="18">
        <f>62816511339</f>
        <v>62816511339</v>
      </c>
    </row>
    <row r="7013" ht="15" customHeight="1" spans="1:28" x14ac:dyDescent="0.25">
      <c r="A7013" s="17" t="s">
        <v>19723</v>
      </c>
      <c r="B7013" s="17" t="s">
        <v>70</v>
      </c>
      <c r="C7013" s="17" t="s">
        <v>71</v>
      </c>
      <c r="D7013" t="s">
        <v>19724</v>
      </c>
      <c r="F7013" t="s">
        <v>19725</v>
      </c>
      <c r="J7013" t="s">
        <v>115</v>
      </c>
      <c r="K7013" s="18" t="s">
        <v>19726</v>
      </c>
      <c r="N7013" s="17" t="s">
        <v>77</v>
      </c>
      <c r="O7013" t="s">
        <v>145</v>
      </c>
      <c r="V7013" s="18" t="s">
        <v>19726</v>
      </c>
      <c r="Y7013" t="s">
        <v>704</v>
      </c>
      <c r="AA7013" t="s">
        <v>705</v>
      </c>
      <c r="AB7013" t="s">
        <v>119</v>
      </c>
    </row>
    <row r="7014" ht="15" customHeight="1" spans="1:22" x14ac:dyDescent="0.25">
      <c r="A7014" s="17" t="s">
        <v>19727</v>
      </c>
      <c r="B7014" s="17" t="s">
        <v>70</v>
      </c>
      <c r="C7014" s="17" t="s">
        <v>71</v>
      </c>
      <c r="D7014" t="s">
        <v>19728</v>
      </c>
      <c r="F7014" t="s">
        <v>19729</v>
      </c>
      <c r="K7014" s="18">
        <f>62811441035</f>
        <v>62811441035</v>
      </c>
      <c r="N7014" s="17" t="s">
        <v>77</v>
      </c>
      <c r="V7014" s="18">
        <f>62811441035</f>
        <v>62811441035</v>
      </c>
    </row>
    <row r="7015" ht="15" customHeight="1" spans="1:23" x14ac:dyDescent="0.25">
      <c r="A7015" s="17" t="s">
        <v>19730</v>
      </c>
      <c r="B7015" s="17" t="s">
        <v>70</v>
      </c>
      <c r="C7015" s="17" t="s">
        <v>71</v>
      </c>
      <c r="D7015" t="s">
        <v>19731</v>
      </c>
      <c r="F7015" t="s">
        <v>19731</v>
      </c>
      <c r="J7015" s="17" t="s">
        <v>19732</v>
      </c>
      <c r="K7015" s="18">
        <f>62811671974</f>
        <v>62811671974</v>
      </c>
      <c r="N7015" s="17" t="s">
        <v>77</v>
      </c>
      <c r="U7015" s="17"/>
      <c r="V7015" s="18">
        <f>62811671974</f>
        <v>62811671974</v>
      </c>
      <c r="W7015" t="s">
        <v>19733</v>
      </c>
    </row>
    <row r="7016" ht="15" customHeight="1" spans="1:28" x14ac:dyDescent="0.25">
      <c r="A7016" s="17" t="s">
        <v>19734</v>
      </c>
      <c r="B7016" s="17" t="s">
        <v>70</v>
      </c>
      <c r="C7016" s="17" t="s">
        <v>71</v>
      </c>
      <c r="D7016" t="s">
        <v>1711</v>
      </c>
      <c r="F7016" t="s">
        <v>10707</v>
      </c>
      <c r="J7016" s="17" t="s">
        <v>19735</v>
      </c>
      <c r="K7016" s="18" t="s">
        <v>19736</v>
      </c>
      <c r="N7016" s="17" t="s">
        <v>77</v>
      </c>
      <c r="O7016" t="s">
        <v>145</v>
      </c>
      <c r="U7016" s="17"/>
      <c r="V7016" s="18" t="s">
        <v>19736</v>
      </c>
      <c r="W7016" t="s">
        <v>3028</v>
      </c>
      <c r="Y7016" t="s">
        <v>115</v>
      </c>
      <c r="AA7016" t="s">
        <v>115</v>
      </c>
      <c r="AB7016" t="s">
        <v>2914</v>
      </c>
    </row>
    <row r="7017" ht="15" customHeight="1" spans="1:22" x14ac:dyDescent="0.25">
      <c r="A7017" s="17" t="s">
        <v>19737</v>
      </c>
      <c r="B7017" s="17" t="s">
        <v>70</v>
      </c>
      <c r="C7017" s="17" t="s">
        <v>71</v>
      </c>
      <c r="D7017" t="s">
        <v>10707</v>
      </c>
      <c r="F7017" t="s">
        <v>1754</v>
      </c>
      <c r="K7017" s="18">
        <f>628111100919</f>
        <v>628111100919</v>
      </c>
      <c r="N7017" s="17" t="s">
        <v>81</v>
      </c>
      <c r="V7017" s="18">
        <f>628111100919</f>
        <v>628111100919</v>
      </c>
    </row>
    <row r="7018" ht="15" customHeight="1" spans="1:22" x14ac:dyDescent="0.25">
      <c r="A7018" s="17" t="s">
        <v>19738</v>
      </c>
      <c r="B7018" s="17" t="s">
        <v>70</v>
      </c>
      <c r="C7018" s="17" t="s">
        <v>71</v>
      </c>
      <c r="D7018" t="s">
        <v>10707</v>
      </c>
      <c r="F7018" t="s">
        <v>19739</v>
      </c>
      <c r="J7018" s="17" t="s">
        <v>19740</v>
      </c>
      <c r="K7018" s="18">
        <f>628176688897</f>
        <v>628176688897</v>
      </c>
      <c r="N7018" s="17" t="s">
        <v>77</v>
      </c>
      <c r="V7018" s="18">
        <f>628176688897</f>
        <v>628176688897</v>
      </c>
    </row>
    <row r="7019" ht="15" customHeight="1" spans="1:22" x14ac:dyDescent="0.25">
      <c r="A7019" s="17" t="s">
        <v>19741</v>
      </c>
      <c r="B7019" s="17" t="s">
        <v>70</v>
      </c>
      <c r="C7019" s="17" t="s">
        <v>71</v>
      </c>
      <c r="D7019" t="s">
        <v>10707</v>
      </c>
      <c r="F7019" t="s">
        <v>19742</v>
      </c>
      <c r="K7019" s="18">
        <f>886986916528</f>
        <v>886986916528</v>
      </c>
      <c r="N7019" s="17" t="s">
        <v>77</v>
      </c>
      <c r="V7019" s="18">
        <f>886986916528</f>
        <v>886986916528</v>
      </c>
    </row>
    <row r="7020" ht="15" customHeight="1" spans="1:22" x14ac:dyDescent="0.25">
      <c r="A7020" s="17" t="s">
        <v>19743</v>
      </c>
      <c r="B7020" s="17" t="s">
        <v>70</v>
      </c>
      <c r="C7020" s="17" t="s">
        <v>71</v>
      </c>
      <c r="D7020" t="s">
        <v>10707</v>
      </c>
      <c r="F7020" t="s">
        <v>11355</v>
      </c>
      <c r="J7020" s="17" t="s">
        <v>19744</v>
      </c>
      <c r="K7020" s="18">
        <f>628111551988</f>
        <v>628111551988</v>
      </c>
      <c r="N7020" s="17" t="s">
        <v>77</v>
      </c>
      <c r="V7020" s="18">
        <f>628111551988</f>
        <v>628111551988</v>
      </c>
    </row>
    <row r="7021" ht="15" customHeight="1" spans="1:22" x14ac:dyDescent="0.25">
      <c r="A7021" s="17" t="s">
        <v>19745</v>
      </c>
      <c r="B7021" s="17" t="s">
        <v>70</v>
      </c>
      <c r="C7021" s="17" t="s">
        <v>71</v>
      </c>
      <c r="D7021" t="s">
        <v>10707</v>
      </c>
      <c r="F7021" t="s">
        <v>19746</v>
      </c>
      <c r="K7021" s="18">
        <f>628787765559</f>
        <v>628787765559</v>
      </c>
      <c r="N7021" s="17" t="s">
        <v>81</v>
      </c>
      <c r="V7021" s="18">
        <f>628787765559</f>
        <v>628787765559</v>
      </c>
    </row>
    <row r="7022" ht="15" customHeight="1" spans="1:22" x14ac:dyDescent="0.25">
      <c r="A7022" s="17" t="s">
        <v>19747</v>
      </c>
      <c r="B7022" s="17" t="s">
        <v>70</v>
      </c>
      <c r="C7022" s="17" t="s">
        <v>71</v>
      </c>
      <c r="D7022" t="s">
        <v>10707</v>
      </c>
      <c r="F7022" t="s">
        <v>19748</v>
      </c>
      <c r="K7022" s="18">
        <f>6281287358613</f>
        <v>6281287358613</v>
      </c>
      <c r="N7022" s="17" t="s">
        <v>77</v>
      </c>
      <c r="V7022" s="18">
        <f>6281287358613</f>
        <v>6281287358613</v>
      </c>
    </row>
    <row r="7023" ht="15" customHeight="1" spans="1:28" x14ac:dyDescent="0.25">
      <c r="A7023" s="17" t="s">
        <v>19749</v>
      </c>
      <c r="B7023" s="17" t="s">
        <v>70</v>
      </c>
      <c r="C7023" s="17" t="s">
        <v>71</v>
      </c>
      <c r="D7023" t="s">
        <v>10707</v>
      </c>
      <c r="F7023" t="s">
        <v>672</v>
      </c>
      <c r="J7023" s="17" t="s">
        <v>19750</v>
      </c>
      <c r="K7023" s="18" t="s">
        <v>19751</v>
      </c>
      <c r="N7023" s="17" t="s">
        <v>77</v>
      </c>
      <c r="O7023" t="s">
        <v>145</v>
      </c>
      <c r="V7023" s="18" t="s">
        <v>19751</v>
      </c>
      <c r="Y7023" t="s">
        <v>190</v>
      </c>
      <c r="AA7023" t="s">
        <v>118</v>
      </c>
      <c r="AB7023" t="s">
        <v>119</v>
      </c>
    </row>
    <row r="7024" ht="15" customHeight="1" spans="1:25" x14ac:dyDescent="0.25">
      <c r="A7024" s="17" t="s">
        <v>19752</v>
      </c>
      <c r="B7024" s="17" t="s">
        <v>70</v>
      </c>
      <c r="C7024" s="17" t="s">
        <v>71</v>
      </c>
      <c r="D7024" t="s">
        <v>10707</v>
      </c>
      <c r="F7024" t="s">
        <v>19753</v>
      </c>
      <c r="K7024" s="18">
        <f>6281228003049</f>
        <v>6281228003049</v>
      </c>
      <c r="N7024" s="17" t="s">
        <v>81</v>
      </c>
      <c r="U7024" s="17"/>
      <c r="V7024" s="18">
        <f>6281228003049</f>
        <v>6281228003049</v>
      </c>
      <c r="W7024" t="s">
        <v>19754</v>
      </c>
      <c r="Y7024" s="17" t="s">
        <v>626</v>
      </c>
    </row>
    <row r="7025" ht="15" customHeight="1" spans="1:28" x14ac:dyDescent="0.25">
      <c r="A7025" s="17" t="s">
        <v>19755</v>
      </c>
      <c r="B7025" s="17" t="s">
        <v>70</v>
      </c>
      <c r="C7025" s="17" t="s">
        <v>71</v>
      </c>
      <c r="D7025" t="s">
        <v>19756</v>
      </c>
      <c r="F7025" t="s">
        <v>19757</v>
      </c>
      <c r="J7025" t="s">
        <v>19758</v>
      </c>
      <c r="K7025" s="18" t="s">
        <v>19759</v>
      </c>
      <c r="N7025" s="17" t="s">
        <v>77</v>
      </c>
      <c r="O7025" t="s">
        <v>199</v>
      </c>
      <c r="V7025" s="18" t="s">
        <v>19759</v>
      </c>
      <c r="Y7025" t="s">
        <v>90</v>
      </c>
      <c r="AA7025" t="s">
        <v>118</v>
      </c>
      <c r="AB7025" t="s">
        <v>119</v>
      </c>
    </row>
    <row r="7026" ht="15" customHeight="1" spans="1:22" x14ac:dyDescent="0.25">
      <c r="A7026" s="17" t="s">
        <v>19760</v>
      </c>
      <c r="B7026" s="17" t="s">
        <v>70</v>
      </c>
      <c r="C7026" s="17" t="s">
        <v>71</v>
      </c>
      <c r="D7026" t="s">
        <v>19761</v>
      </c>
      <c r="F7026" t="s">
        <v>19761</v>
      </c>
      <c r="K7026" s="18">
        <f>6285890088192</f>
        <v>6285890088192</v>
      </c>
      <c r="N7026" s="17" t="s">
        <v>74</v>
      </c>
      <c r="V7026" s="18">
        <f>6285890088192</f>
        <v>6285890088192</v>
      </c>
    </row>
    <row r="7027" ht="15" customHeight="1" spans="1:22" x14ac:dyDescent="0.25">
      <c r="A7027" s="17" t="s">
        <v>19762</v>
      </c>
      <c r="B7027" s="17" t="s">
        <v>70</v>
      </c>
      <c r="C7027" s="17" t="s">
        <v>71</v>
      </c>
      <c r="D7027" t="s">
        <v>19763</v>
      </c>
      <c r="F7027" t="s">
        <v>19764</v>
      </c>
      <c r="K7027" s="18">
        <f>62816868580</f>
        <v>62816868580</v>
      </c>
      <c r="N7027" s="17" t="s">
        <v>81</v>
      </c>
      <c r="V7027" s="18">
        <f>62816868580</f>
        <v>62816868580</v>
      </c>
    </row>
    <row r="7028" ht="15" customHeight="1" spans="1:22" x14ac:dyDescent="0.25">
      <c r="A7028" s="17" t="s">
        <v>19765</v>
      </c>
      <c r="B7028" s="17" t="s">
        <v>70</v>
      </c>
      <c r="C7028" s="17" t="s">
        <v>71</v>
      </c>
      <c r="D7028" t="s">
        <v>19766</v>
      </c>
      <c r="F7028" t="s">
        <v>629</v>
      </c>
      <c r="K7028" s="18">
        <f>628151826151</f>
        <v>628151826151</v>
      </c>
      <c r="N7028" s="17" t="s">
        <v>74</v>
      </c>
      <c r="V7028" s="18">
        <f>628151826151</f>
        <v>628151826151</v>
      </c>
    </row>
    <row r="7029" ht="15" customHeight="1" spans="1:22" x14ac:dyDescent="0.25">
      <c r="A7029" s="17" t="s">
        <v>19767</v>
      </c>
      <c r="B7029" s="17" t="s">
        <v>70</v>
      </c>
      <c r="C7029" s="17" t="s">
        <v>71</v>
      </c>
      <c r="D7029" t="s">
        <v>19768</v>
      </c>
      <c r="F7029" t="s">
        <v>19768</v>
      </c>
      <c r="K7029" s="18">
        <f>6281317773720</f>
        <v>6281317773720</v>
      </c>
      <c r="N7029" s="17" t="s">
        <v>81</v>
      </c>
      <c r="V7029" s="18">
        <f>6281317773720</f>
        <v>6281317773720</v>
      </c>
    </row>
    <row r="7030" ht="15" customHeight="1" spans="1:22" x14ac:dyDescent="0.25">
      <c r="A7030" s="17" t="s">
        <v>19769</v>
      </c>
      <c r="B7030" s="17" t="s">
        <v>70</v>
      </c>
      <c r="C7030" s="17" t="s">
        <v>71</v>
      </c>
      <c r="D7030" t="s">
        <v>19768</v>
      </c>
      <c r="F7030" t="s">
        <v>8055</v>
      </c>
      <c r="J7030" s="23">
        <v>32994</v>
      </c>
      <c r="K7030" s="18">
        <f>628125123311</f>
        <v>628125123311</v>
      </c>
      <c r="N7030" s="17" t="s">
        <v>81</v>
      </c>
      <c r="V7030" s="18">
        <f>628125123311</f>
        <v>628125123311</v>
      </c>
    </row>
    <row r="7031" ht="15" customHeight="1" spans="1:28" x14ac:dyDescent="0.25">
      <c r="A7031" s="17" t="s">
        <v>19770</v>
      </c>
      <c r="B7031" s="17" t="s">
        <v>70</v>
      </c>
      <c r="C7031" s="17" t="s">
        <v>71</v>
      </c>
      <c r="D7031" t="s">
        <v>19771</v>
      </c>
      <c r="F7031" t="s">
        <v>11744</v>
      </c>
      <c r="J7031" s="17" t="s">
        <v>19772</v>
      </c>
      <c r="K7031" s="18" t="s">
        <v>19773</v>
      </c>
      <c r="N7031" s="17" t="s">
        <v>77</v>
      </c>
      <c r="O7031" t="s">
        <v>199</v>
      </c>
      <c r="V7031" s="18" t="s">
        <v>19773</v>
      </c>
      <c r="Y7031" t="s">
        <v>115</v>
      </c>
      <c r="AA7031" t="s">
        <v>115</v>
      </c>
      <c r="AB7031" t="s">
        <v>451</v>
      </c>
    </row>
    <row r="7032" ht="15" customHeight="1" spans="1:27" x14ac:dyDescent="0.25">
      <c r="A7032" s="17" t="s">
        <v>19774</v>
      </c>
      <c r="B7032" s="17" t="s">
        <v>70</v>
      </c>
      <c r="C7032" s="17" t="s">
        <v>71</v>
      </c>
      <c r="D7032" t="s">
        <v>19768</v>
      </c>
      <c r="F7032" t="s">
        <v>19775</v>
      </c>
      <c r="K7032" s="18">
        <f>628111717118</f>
        <v>628111717118</v>
      </c>
      <c r="N7032" s="17" t="s">
        <v>81</v>
      </c>
      <c r="U7032" s="17"/>
      <c r="V7032" s="18">
        <f>628111717118</f>
        <v>628111717118</v>
      </c>
      <c r="W7032" t="s">
        <v>19776</v>
      </c>
      <c r="AA7032" s="17">
        <v>14440</v>
      </c>
    </row>
    <row r="7033" ht="15" customHeight="1" spans="1:28" x14ac:dyDescent="0.25">
      <c r="A7033" s="17" t="s">
        <v>19777</v>
      </c>
      <c r="B7033" s="17" t="s">
        <v>70</v>
      </c>
      <c r="C7033" s="17" t="s">
        <v>71</v>
      </c>
      <c r="D7033" t="s">
        <v>19768</v>
      </c>
      <c r="F7033" t="s">
        <v>19778</v>
      </c>
      <c r="J7033" t="s">
        <v>115</v>
      </c>
      <c r="K7033" s="18" t="s">
        <v>19779</v>
      </c>
      <c r="N7033" s="17" t="s">
        <v>74</v>
      </c>
      <c r="O7033" t="s">
        <v>117</v>
      </c>
      <c r="U7033" s="17"/>
      <c r="V7033" s="18" t="s">
        <v>19779</v>
      </c>
      <c r="W7033" t="s">
        <v>19780</v>
      </c>
      <c r="Y7033" t="s">
        <v>90</v>
      </c>
      <c r="AA7033" t="s">
        <v>118</v>
      </c>
      <c r="AB7033" t="s">
        <v>119</v>
      </c>
    </row>
    <row r="7034" ht="15" customHeight="1" spans="1:22" x14ac:dyDescent="0.25">
      <c r="A7034" s="17" t="s">
        <v>19781</v>
      </c>
      <c r="B7034" s="17" t="s">
        <v>70</v>
      </c>
      <c r="C7034" s="17" t="s">
        <v>71</v>
      </c>
      <c r="D7034" t="s">
        <v>19768</v>
      </c>
      <c r="F7034" t="s">
        <v>19782</v>
      </c>
      <c r="K7034" s="18">
        <f>6262818818305</f>
        <v>6262818818305</v>
      </c>
      <c r="N7034" s="17" t="s">
        <v>77</v>
      </c>
      <c r="V7034" s="18">
        <f>6262818818305</f>
        <v>6262818818305</v>
      </c>
    </row>
    <row r="7035" ht="15" customHeight="1" spans="1:28" x14ac:dyDescent="0.25">
      <c r="A7035" s="17" t="s">
        <v>19783</v>
      </c>
      <c r="B7035" s="17" t="s">
        <v>70</v>
      </c>
      <c r="C7035" s="17" t="s">
        <v>71</v>
      </c>
      <c r="D7035" t="s">
        <v>19768</v>
      </c>
      <c r="F7035" t="s">
        <v>19784</v>
      </c>
      <c r="J7035" t="s">
        <v>115</v>
      </c>
      <c r="K7035" s="18" t="s">
        <v>19785</v>
      </c>
      <c r="N7035" s="17" t="s">
        <v>77</v>
      </c>
      <c r="O7035" t="s">
        <v>261</v>
      </c>
      <c r="V7035" s="18" t="s">
        <v>19785</v>
      </c>
      <c r="Y7035" t="s">
        <v>90</v>
      </c>
      <c r="AA7035" t="s">
        <v>118</v>
      </c>
      <c r="AB7035" t="s">
        <v>119</v>
      </c>
    </row>
    <row r="7036" ht="15" customHeight="1" spans="1:28" x14ac:dyDescent="0.25">
      <c r="A7036" s="17" t="s">
        <v>19786</v>
      </c>
      <c r="B7036" s="17" t="s">
        <v>70</v>
      </c>
      <c r="C7036" s="17" t="s">
        <v>71</v>
      </c>
      <c r="D7036" t="s">
        <v>19787</v>
      </c>
      <c r="F7036" t="s">
        <v>19788</v>
      </c>
      <c r="J7036" s="17" t="s">
        <v>19789</v>
      </c>
      <c r="K7036" s="18" t="s">
        <v>19790</v>
      </c>
      <c r="N7036" s="17" t="s">
        <v>77</v>
      </c>
      <c r="O7036" t="s">
        <v>261</v>
      </c>
      <c r="U7036" s="17"/>
      <c r="V7036" s="18" t="s">
        <v>19790</v>
      </c>
      <c r="W7036" t="s">
        <v>19791</v>
      </c>
      <c r="Y7036" t="s">
        <v>90</v>
      </c>
      <c r="AA7036" t="s">
        <v>118</v>
      </c>
      <c r="AB7036" t="s">
        <v>119</v>
      </c>
    </row>
    <row r="7037" ht="15" customHeight="1" spans="1:27" x14ac:dyDescent="0.25">
      <c r="A7037" s="17" t="s">
        <v>19792</v>
      </c>
      <c r="B7037" s="17" t="s">
        <v>70</v>
      </c>
      <c r="C7037" s="17" t="s">
        <v>71</v>
      </c>
      <c r="D7037" t="s">
        <v>2484</v>
      </c>
      <c r="F7037" t="s">
        <v>19793</v>
      </c>
      <c r="K7037" s="18">
        <f>62816720664</f>
        <v>62816720664</v>
      </c>
      <c r="N7037" s="17" t="s">
        <v>81</v>
      </c>
      <c r="U7037" s="17"/>
      <c r="V7037" s="18">
        <f>62816720664</f>
        <v>62816720664</v>
      </c>
      <c r="W7037" t="s">
        <v>19794</v>
      </c>
      <c r="Y7037" s="17" t="s">
        <v>515</v>
      </c>
      <c r="AA7037" s="17">
        <v>14240</v>
      </c>
    </row>
    <row r="7038" ht="15" customHeight="1" spans="1:22" x14ac:dyDescent="0.25">
      <c r="A7038" s="17" t="s">
        <v>19795</v>
      </c>
      <c r="B7038" s="17" t="s">
        <v>70</v>
      </c>
      <c r="C7038" s="17" t="s">
        <v>71</v>
      </c>
      <c r="D7038" t="s">
        <v>2484</v>
      </c>
      <c r="F7038" t="s">
        <v>2916</v>
      </c>
      <c r="K7038" s="18">
        <f>62815841655555</f>
        <v>62815841655555</v>
      </c>
      <c r="N7038" s="17" t="s">
        <v>77</v>
      </c>
      <c r="V7038" s="18">
        <f>62815841655555</f>
        <v>62815841655555</v>
      </c>
    </row>
    <row r="7039" ht="15" customHeight="1" spans="1:22" x14ac:dyDescent="0.25">
      <c r="A7039" s="17" t="s">
        <v>19796</v>
      </c>
      <c r="B7039" s="17" t="s">
        <v>70</v>
      </c>
      <c r="C7039" s="17" t="s">
        <v>71</v>
      </c>
      <c r="D7039" t="s">
        <v>2484</v>
      </c>
      <c r="F7039" t="s">
        <v>6450</v>
      </c>
      <c r="K7039" s="18">
        <f>6281807701080</f>
        <v>6281807701080</v>
      </c>
      <c r="N7039" s="17" t="s">
        <v>81</v>
      </c>
      <c r="V7039" s="18">
        <f>6281807701080</f>
        <v>6281807701080</v>
      </c>
    </row>
    <row r="7040" ht="15" customHeight="1" spans="1:22" x14ac:dyDescent="0.25">
      <c r="A7040" s="17" t="s">
        <v>19797</v>
      </c>
      <c r="B7040" s="17" t="s">
        <v>70</v>
      </c>
      <c r="C7040" s="17" t="s">
        <v>71</v>
      </c>
      <c r="D7040" t="s">
        <v>2484</v>
      </c>
      <c r="F7040" t="s">
        <v>6095</v>
      </c>
      <c r="K7040" s="18">
        <f>62811113446</f>
        <v>62811113446</v>
      </c>
      <c r="N7040" s="17" t="s">
        <v>81</v>
      </c>
      <c r="V7040" s="18">
        <f>62811113446</f>
        <v>62811113446</v>
      </c>
    </row>
    <row r="7041" ht="15" customHeight="1" spans="1:25" x14ac:dyDescent="0.25">
      <c r="A7041" s="17" t="s">
        <v>19798</v>
      </c>
      <c r="B7041" s="17" t="s">
        <v>70</v>
      </c>
      <c r="C7041" s="17" t="s">
        <v>71</v>
      </c>
      <c r="D7041" t="s">
        <v>2484</v>
      </c>
      <c r="F7041" t="s">
        <v>19799</v>
      </c>
      <c r="K7041" s="18">
        <f>628118162300</f>
        <v>628118162300</v>
      </c>
      <c r="N7041" s="17" t="s">
        <v>77</v>
      </c>
      <c r="U7041" s="17"/>
      <c r="V7041" s="18">
        <f>628118162300</f>
        <v>628118162300</v>
      </c>
      <c r="W7041" t="s">
        <v>4845</v>
      </c>
      <c r="Y7041" s="17" t="s">
        <v>96</v>
      </c>
    </row>
    <row r="7042" ht="15" customHeight="1" spans="1:23" x14ac:dyDescent="0.25">
      <c r="A7042" s="17" t="s">
        <v>19800</v>
      </c>
      <c r="B7042" s="17" t="s">
        <v>70</v>
      </c>
      <c r="C7042" s="17" t="s">
        <v>71</v>
      </c>
      <c r="D7042" t="s">
        <v>19801</v>
      </c>
      <c r="F7042" t="s">
        <v>19802</v>
      </c>
      <c r="K7042" s="18">
        <f>62816901396</f>
        <v>62816901396</v>
      </c>
      <c r="N7042" s="17" t="s">
        <v>77</v>
      </c>
      <c r="U7042" s="17"/>
      <c r="V7042" s="18">
        <f>62816901396</f>
        <v>62816901396</v>
      </c>
      <c r="W7042" t="s">
        <v>19803</v>
      </c>
    </row>
    <row r="7043" ht="15" customHeight="1" spans="1:22" x14ac:dyDescent="0.25">
      <c r="A7043" s="17" t="s">
        <v>19804</v>
      </c>
      <c r="B7043" s="17" t="s">
        <v>70</v>
      </c>
      <c r="C7043" s="17" t="s">
        <v>71</v>
      </c>
      <c r="D7043" t="s">
        <v>15251</v>
      </c>
      <c r="F7043" t="s">
        <v>15251</v>
      </c>
      <c r="K7043" s="18">
        <v>6281952324113</v>
      </c>
      <c r="N7043" s="17" t="s">
        <v>81</v>
      </c>
      <c r="V7043" s="18">
        <v>6281952324113</v>
      </c>
    </row>
    <row r="7044" ht="15" customHeight="1" spans="1:28" x14ac:dyDescent="0.25">
      <c r="A7044" s="17" t="s">
        <v>19805</v>
      </c>
      <c r="B7044" s="17" t="s">
        <v>70</v>
      </c>
      <c r="C7044" s="17" t="s">
        <v>71</v>
      </c>
      <c r="D7044" t="s">
        <v>15251</v>
      </c>
      <c r="F7044" t="s">
        <v>19806</v>
      </c>
      <c r="J7044" t="s">
        <v>115</v>
      </c>
      <c r="K7044" s="18" t="s">
        <v>19807</v>
      </c>
      <c r="N7044" s="17" t="s">
        <v>81</v>
      </c>
      <c r="O7044" t="s">
        <v>117</v>
      </c>
      <c r="V7044" s="18" t="s">
        <v>19807</v>
      </c>
      <c r="Y7044" t="s">
        <v>90</v>
      </c>
      <c r="AA7044" t="s">
        <v>118</v>
      </c>
      <c r="AB7044" t="s">
        <v>119</v>
      </c>
    </row>
    <row r="7045" ht="15" customHeight="1" spans="1:25" x14ac:dyDescent="0.25">
      <c r="A7045" s="17" t="s">
        <v>19808</v>
      </c>
      <c r="B7045" s="17" t="s">
        <v>70</v>
      </c>
      <c r="C7045" s="17" t="s">
        <v>71</v>
      </c>
      <c r="D7045" t="s">
        <v>15251</v>
      </c>
      <c r="F7045" t="s">
        <v>3134</v>
      </c>
      <c r="J7045" s="17" t="s">
        <v>19809</v>
      </c>
      <c r="K7045" s="18">
        <f>62811332558</f>
        <v>62811332558</v>
      </c>
      <c r="N7045" s="17" t="s">
        <v>77</v>
      </c>
      <c r="U7045" s="17"/>
      <c r="V7045" s="18">
        <f>62811332558</f>
        <v>62811332558</v>
      </c>
      <c r="W7045" t="s">
        <v>19810</v>
      </c>
      <c r="Y7045" s="17" t="s">
        <v>704</v>
      </c>
    </row>
    <row r="7046" ht="15" customHeight="1" spans="1:28" x14ac:dyDescent="0.25">
      <c r="A7046" s="17" t="s">
        <v>19811</v>
      </c>
      <c r="B7046" s="17" t="s">
        <v>70</v>
      </c>
      <c r="C7046" s="17" t="s">
        <v>71</v>
      </c>
      <c r="D7046" t="s">
        <v>15251</v>
      </c>
      <c r="F7046" t="s">
        <v>19812</v>
      </c>
      <c r="J7046" t="s">
        <v>115</v>
      </c>
      <c r="K7046" s="18" t="s">
        <v>19813</v>
      </c>
      <c r="N7046" s="17" t="s">
        <v>77</v>
      </c>
      <c r="O7046" t="s">
        <v>117</v>
      </c>
      <c r="V7046" s="18" t="s">
        <v>19813</v>
      </c>
      <c r="Y7046" t="s">
        <v>90</v>
      </c>
      <c r="AA7046" t="s">
        <v>118</v>
      </c>
      <c r="AB7046" t="s">
        <v>119</v>
      </c>
    </row>
    <row r="7047" ht="15" customHeight="1" spans="1:28" x14ac:dyDescent="0.25">
      <c r="A7047" s="17" t="s">
        <v>19814</v>
      </c>
      <c r="B7047" s="17" t="s">
        <v>70</v>
      </c>
      <c r="C7047" s="17" t="s">
        <v>71</v>
      </c>
      <c r="D7047" t="s">
        <v>15251</v>
      </c>
      <c r="F7047" t="s">
        <v>19815</v>
      </c>
      <c r="J7047" t="s">
        <v>19816</v>
      </c>
      <c r="K7047" s="18" t="s">
        <v>19817</v>
      </c>
      <c r="N7047" s="17" t="s">
        <v>77</v>
      </c>
      <c r="O7047" t="s">
        <v>145</v>
      </c>
      <c r="U7047" s="17"/>
      <c r="V7047" s="18" t="s">
        <v>19817</v>
      </c>
      <c r="W7047" t="s">
        <v>7956</v>
      </c>
      <c r="Y7047" s="17" t="s">
        <v>1084</v>
      </c>
      <c r="AA7047" t="s">
        <v>3146</v>
      </c>
      <c r="AB7047" t="s">
        <v>119</v>
      </c>
    </row>
    <row r="7048" ht="15" customHeight="1" spans="1:22" x14ac:dyDescent="0.25">
      <c r="A7048" s="17" t="s">
        <v>19818</v>
      </c>
      <c r="B7048" s="17" t="s">
        <v>70</v>
      </c>
      <c r="C7048" s="17" t="s">
        <v>71</v>
      </c>
      <c r="D7048" t="s">
        <v>19819</v>
      </c>
      <c r="F7048" t="s">
        <v>19820</v>
      </c>
      <c r="K7048" s="18">
        <f>6281284202021</f>
        <v>6281284202021</v>
      </c>
      <c r="N7048" s="17" t="s">
        <v>81</v>
      </c>
      <c r="V7048" s="18">
        <f>6281284202021</f>
        <v>6281284202021</v>
      </c>
    </row>
    <row r="7049" ht="15" customHeight="1" spans="1:22" x14ac:dyDescent="0.25">
      <c r="A7049" s="17" t="s">
        <v>19821</v>
      </c>
      <c r="B7049" s="17" t="s">
        <v>70</v>
      </c>
      <c r="C7049" s="17" t="s">
        <v>71</v>
      </c>
      <c r="D7049" t="s">
        <v>19822</v>
      </c>
      <c r="F7049" t="s">
        <v>19823</v>
      </c>
      <c r="K7049" s="18">
        <f>62818888271</f>
        <v>62818888271</v>
      </c>
      <c r="N7049" s="17" t="s">
        <v>77</v>
      </c>
      <c r="V7049" s="18">
        <f>62818888271</f>
        <v>62818888271</v>
      </c>
    </row>
    <row r="7050" ht="15" customHeight="1" spans="1:28" x14ac:dyDescent="0.25">
      <c r="A7050" s="17" t="s">
        <v>19824</v>
      </c>
      <c r="B7050" s="17" t="s">
        <v>70</v>
      </c>
      <c r="C7050" s="17" t="s">
        <v>71</v>
      </c>
      <c r="D7050" t="s">
        <v>19825</v>
      </c>
      <c r="F7050" t="s">
        <v>13778</v>
      </c>
      <c r="J7050" t="s">
        <v>115</v>
      </c>
      <c r="K7050" s="18" t="s">
        <v>19826</v>
      </c>
      <c r="N7050" s="17" t="s">
        <v>77</v>
      </c>
      <c r="O7050" t="s">
        <v>261</v>
      </c>
      <c r="V7050" s="18" t="s">
        <v>19826</v>
      </c>
      <c r="Y7050" t="s">
        <v>90</v>
      </c>
      <c r="AA7050" t="s">
        <v>118</v>
      </c>
      <c r="AB7050" t="s">
        <v>119</v>
      </c>
    </row>
    <row r="7051" ht="15" customHeight="1" spans="1:28" x14ac:dyDescent="0.25">
      <c r="A7051" s="17" t="s">
        <v>19827</v>
      </c>
      <c r="B7051" s="17" t="s">
        <v>70</v>
      </c>
      <c r="C7051" s="17" t="s">
        <v>71</v>
      </c>
      <c r="D7051" t="s">
        <v>19828</v>
      </c>
      <c r="F7051" t="s">
        <v>19829</v>
      </c>
      <c r="J7051" t="s">
        <v>115</v>
      </c>
      <c r="K7051" s="18" t="s">
        <v>19830</v>
      </c>
      <c r="N7051" s="17" t="s">
        <v>77</v>
      </c>
      <c r="O7051" t="s">
        <v>117</v>
      </c>
      <c r="V7051" s="18" t="s">
        <v>19830</v>
      </c>
      <c r="Y7051" t="s">
        <v>1903</v>
      </c>
      <c r="AA7051" t="s">
        <v>115</v>
      </c>
      <c r="AB7051" t="s">
        <v>1903</v>
      </c>
    </row>
    <row r="7052" ht="15" customHeight="1" spans="1:22" x14ac:dyDescent="0.25">
      <c r="A7052" s="17" t="s">
        <v>19831</v>
      </c>
      <c r="B7052" s="17" t="s">
        <v>70</v>
      </c>
      <c r="C7052" s="17" t="s">
        <v>71</v>
      </c>
      <c r="D7052" t="s">
        <v>19828</v>
      </c>
      <c r="F7052" t="s">
        <v>12297</v>
      </c>
      <c r="K7052" s="18">
        <f>62817111612</f>
        <v>62817111612</v>
      </c>
      <c r="N7052" s="17" t="s">
        <v>77</v>
      </c>
      <c r="V7052" s="18">
        <f>62817111612</f>
        <v>62817111612</v>
      </c>
    </row>
    <row r="7053" ht="15" customHeight="1" spans="1:22" x14ac:dyDescent="0.25">
      <c r="A7053" s="17" t="s">
        <v>19832</v>
      </c>
      <c r="B7053" s="17" t="s">
        <v>70</v>
      </c>
      <c r="C7053" s="17" t="s">
        <v>71</v>
      </c>
      <c r="D7053" t="s">
        <v>19833</v>
      </c>
      <c r="F7053" t="s">
        <v>19833</v>
      </c>
      <c r="K7053" s="18">
        <f>6283875985588</f>
        <v>6283875985588</v>
      </c>
      <c r="N7053" s="17" t="s">
        <v>77</v>
      </c>
      <c r="V7053" s="18">
        <f>6283875985588</f>
        <v>6283875985588</v>
      </c>
    </row>
    <row r="7054" ht="15" customHeight="1" spans="1:22" x14ac:dyDescent="0.25">
      <c r="A7054" s="17" t="s">
        <v>19834</v>
      </c>
      <c r="B7054" s="17" t="s">
        <v>70</v>
      </c>
      <c r="C7054" s="17" t="s">
        <v>71</v>
      </c>
      <c r="D7054" t="s">
        <v>19835</v>
      </c>
      <c r="F7054" t="s">
        <v>19835</v>
      </c>
      <c r="K7054" s="18">
        <f>6281316032495</f>
        <v>6281316032495</v>
      </c>
      <c r="N7054" s="17" t="s">
        <v>81</v>
      </c>
      <c r="V7054" s="18">
        <f>6281316032495</f>
        <v>6281316032495</v>
      </c>
    </row>
    <row r="7055" ht="15" customHeight="1" spans="1:22" x14ac:dyDescent="0.25">
      <c r="A7055" s="17" t="s">
        <v>19836</v>
      </c>
      <c r="B7055" s="17" t="s">
        <v>70</v>
      </c>
      <c r="C7055" s="17" t="s">
        <v>71</v>
      </c>
      <c r="D7055" t="s">
        <v>19837</v>
      </c>
      <c r="F7055" t="s">
        <v>14080</v>
      </c>
      <c r="K7055" s="18">
        <f>62811861089</f>
        <v>62811861089</v>
      </c>
      <c r="N7055" s="17" t="s">
        <v>74</v>
      </c>
      <c r="V7055" s="18">
        <f>62811861089</f>
        <v>62811861089</v>
      </c>
    </row>
    <row r="7056" ht="15" customHeight="1" spans="1:22" x14ac:dyDescent="0.25">
      <c r="A7056" s="17" t="s">
        <v>19838</v>
      </c>
      <c r="B7056" s="17" t="s">
        <v>70</v>
      </c>
      <c r="C7056" s="17" t="s">
        <v>71</v>
      </c>
      <c r="D7056" t="s">
        <v>19839</v>
      </c>
      <c r="F7056" t="s">
        <v>19839</v>
      </c>
      <c r="K7056" s="18">
        <f>85296868671</f>
        <v>85296868671</v>
      </c>
      <c r="N7056" s="17" t="s">
        <v>81</v>
      </c>
      <c r="V7056" s="18">
        <f>85296868671</f>
        <v>85296868671</v>
      </c>
    </row>
    <row r="7057" ht="15" customHeight="1" spans="1:28" x14ac:dyDescent="0.25">
      <c r="A7057" s="17" t="s">
        <v>19840</v>
      </c>
      <c r="B7057" s="17" t="s">
        <v>70</v>
      </c>
      <c r="C7057" s="17" t="s">
        <v>71</v>
      </c>
      <c r="D7057" t="s">
        <v>19841</v>
      </c>
      <c r="F7057" t="s">
        <v>576</v>
      </c>
      <c r="J7057" t="s">
        <v>115</v>
      </c>
      <c r="K7057" s="18" t="s">
        <v>19842</v>
      </c>
      <c r="N7057" s="17" t="s">
        <v>77</v>
      </c>
      <c r="O7057" t="s">
        <v>145</v>
      </c>
      <c r="V7057" s="18" t="s">
        <v>19842</v>
      </c>
      <c r="Y7057" t="s">
        <v>190</v>
      </c>
      <c r="AA7057" t="s">
        <v>118</v>
      </c>
      <c r="AB7057" t="s">
        <v>119</v>
      </c>
    </row>
    <row r="7058" ht="15" customHeight="1" spans="1:25" x14ac:dyDescent="0.25">
      <c r="A7058" s="17" t="s">
        <v>19843</v>
      </c>
      <c r="B7058" s="17" t="s">
        <v>70</v>
      </c>
      <c r="C7058" s="17" t="s">
        <v>71</v>
      </c>
      <c r="D7058" t="s">
        <v>19844</v>
      </c>
      <c r="F7058" t="s">
        <v>19845</v>
      </c>
      <c r="K7058" s="18">
        <f>62215807572</f>
        <v>62215807572</v>
      </c>
      <c r="N7058" s="17" t="s">
        <v>77</v>
      </c>
      <c r="U7058" s="17"/>
      <c r="V7058" s="18">
        <f>62215807572</f>
        <v>62215807572</v>
      </c>
      <c r="W7058" t="s">
        <v>19846</v>
      </c>
      <c r="Y7058" s="17" t="s">
        <v>627</v>
      </c>
    </row>
    <row r="7059" ht="15" customHeight="1" spans="1:28" x14ac:dyDescent="0.25">
      <c r="A7059" s="17" t="s">
        <v>19847</v>
      </c>
      <c r="B7059" s="17" t="s">
        <v>70</v>
      </c>
      <c r="C7059" s="17" t="s">
        <v>71</v>
      </c>
      <c r="D7059" t="s">
        <v>3148</v>
      </c>
      <c r="F7059" t="s">
        <v>19848</v>
      </c>
      <c r="J7059" t="s">
        <v>115</v>
      </c>
      <c r="K7059" s="18" t="s">
        <v>19849</v>
      </c>
      <c r="N7059" s="17" t="s">
        <v>81</v>
      </c>
      <c r="O7059" t="s">
        <v>489</v>
      </c>
      <c r="U7059" s="17"/>
      <c r="V7059" s="18" t="s">
        <v>19849</v>
      </c>
      <c r="W7059" t="s">
        <v>19850</v>
      </c>
      <c r="Y7059" t="s">
        <v>1084</v>
      </c>
      <c r="AA7059" t="s">
        <v>3146</v>
      </c>
      <c r="AB7059" t="s">
        <v>119</v>
      </c>
    </row>
    <row r="7060" ht="15" customHeight="1" spans="1:22" x14ac:dyDescent="0.25">
      <c r="A7060" s="17" t="s">
        <v>19851</v>
      </c>
      <c r="B7060" s="17" t="s">
        <v>70</v>
      </c>
      <c r="C7060" s="17" t="s">
        <v>71</v>
      </c>
      <c r="D7060" t="s">
        <v>19852</v>
      </c>
      <c r="F7060" t="s">
        <v>19852</v>
      </c>
      <c r="K7060" s="18">
        <f>62815643999</f>
        <v>62815643999</v>
      </c>
      <c r="N7060" s="17" t="s">
        <v>77</v>
      </c>
      <c r="V7060" s="18">
        <f>62815643999</f>
        <v>62815643999</v>
      </c>
    </row>
    <row r="7061" ht="15" customHeight="1" spans="1:28" x14ac:dyDescent="0.25">
      <c r="A7061" s="17" t="s">
        <v>19853</v>
      </c>
      <c r="B7061" s="17" t="s">
        <v>70</v>
      </c>
      <c r="C7061" s="17" t="s">
        <v>71</v>
      </c>
      <c r="D7061" t="s">
        <v>19852</v>
      </c>
      <c r="F7061" t="s">
        <v>19854</v>
      </c>
      <c r="J7061" s="17" t="s">
        <v>19855</v>
      </c>
      <c r="K7061" s="18" t="s">
        <v>19856</v>
      </c>
      <c r="N7061" s="17" t="s">
        <v>81</v>
      </c>
      <c r="O7061" t="s">
        <v>489</v>
      </c>
      <c r="U7061" s="17"/>
      <c r="V7061" s="18" t="s">
        <v>19856</v>
      </c>
      <c r="W7061" t="s">
        <v>19857</v>
      </c>
      <c r="Y7061" t="s">
        <v>90</v>
      </c>
      <c r="AA7061" s="17" t="s">
        <v>118</v>
      </c>
      <c r="AB7061" t="s">
        <v>119</v>
      </c>
    </row>
    <row r="7062" ht="15" customHeight="1" spans="1:22" x14ac:dyDescent="0.25">
      <c r="A7062" s="17" t="s">
        <v>19858</v>
      </c>
      <c r="B7062" s="17" t="s">
        <v>70</v>
      </c>
      <c r="C7062" s="17" t="s">
        <v>71</v>
      </c>
      <c r="D7062" t="s">
        <v>19852</v>
      </c>
      <c r="F7062" t="s">
        <v>576</v>
      </c>
      <c r="K7062" s="18">
        <f>62811174678</f>
        <v>62811174678</v>
      </c>
      <c r="N7062" s="17" t="s">
        <v>77</v>
      </c>
      <c r="V7062" s="18">
        <f>62811174678</f>
        <v>62811174678</v>
      </c>
    </row>
    <row r="7063" ht="15" customHeight="1" spans="1:22" x14ac:dyDescent="0.25">
      <c r="A7063" s="17" t="s">
        <v>19859</v>
      </c>
      <c r="B7063" s="17" t="s">
        <v>70</v>
      </c>
      <c r="C7063" s="17" t="s">
        <v>71</v>
      </c>
      <c r="D7063" t="s">
        <v>19099</v>
      </c>
      <c r="F7063" t="s">
        <v>19129</v>
      </c>
      <c r="K7063" s="18">
        <f>6281343685888</f>
        <v>6281343685888</v>
      </c>
      <c r="N7063" s="17" t="s">
        <v>77</v>
      </c>
      <c r="V7063" s="18">
        <f>6281343685888</f>
        <v>6281343685888</v>
      </c>
    </row>
    <row r="7064" ht="15" customHeight="1" spans="1:22" x14ac:dyDescent="0.25">
      <c r="A7064" s="17" t="s">
        <v>19860</v>
      </c>
      <c r="B7064" s="17" t="s">
        <v>70</v>
      </c>
      <c r="C7064" s="17" t="s">
        <v>71</v>
      </c>
      <c r="D7064" t="s">
        <v>19861</v>
      </c>
      <c r="F7064" t="s">
        <v>2517</v>
      </c>
      <c r="K7064" s="18">
        <f>6282238499872</f>
        <v>6282238499872</v>
      </c>
      <c r="N7064" s="17" t="s">
        <v>77</v>
      </c>
      <c r="V7064" s="18">
        <f>6282238499872</f>
        <v>6282238499872</v>
      </c>
    </row>
    <row r="7065" ht="15" customHeight="1" spans="1:28" x14ac:dyDescent="0.25">
      <c r="A7065" s="17" t="s">
        <v>19862</v>
      </c>
      <c r="B7065" s="17" t="s">
        <v>70</v>
      </c>
      <c r="C7065" s="17" t="s">
        <v>71</v>
      </c>
      <c r="D7065" t="s">
        <v>5688</v>
      </c>
      <c r="F7065" t="s">
        <v>19863</v>
      </c>
      <c r="J7065" s="17" t="s">
        <v>19864</v>
      </c>
      <c r="K7065" s="18" t="s">
        <v>19865</v>
      </c>
      <c r="N7065" s="17" t="s">
        <v>81</v>
      </c>
      <c r="O7065" t="s">
        <v>117</v>
      </c>
      <c r="U7065" s="17"/>
      <c r="V7065" s="18" t="s">
        <v>19865</v>
      </c>
      <c r="W7065" t="s">
        <v>19866</v>
      </c>
      <c r="Y7065" t="s">
        <v>90</v>
      </c>
      <c r="AA7065" s="17" t="s">
        <v>118</v>
      </c>
      <c r="AB7065" t="s">
        <v>119</v>
      </c>
    </row>
    <row r="7066" ht="15" customHeight="1" spans="1:22" x14ac:dyDescent="0.25">
      <c r="A7066" s="17" t="s">
        <v>19867</v>
      </c>
      <c r="B7066" s="17" t="s">
        <v>70</v>
      </c>
      <c r="C7066" s="17" t="s">
        <v>71</v>
      </c>
      <c r="D7066" t="s">
        <v>19868</v>
      </c>
      <c r="F7066" t="s">
        <v>8308</v>
      </c>
      <c r="K7066" s="18">
        <f>628129499090</f>
        <v>628129499090</v>
      </c>
      <c r="N7066" s="17" t="s">
        <v>81</v>
      </c>
      <c r="V7066" s="18">
        <f>628129499090</f>
        <v>628129499090</v>
      </c>
    </row>
    <row r="7067" ht="15" customHeight="1" spans="1:22" x14ac:dyDescent="0.25">
      <c r="A7067" s="17" t="s">
        <v>19869</v>
      </c>
      <c r="B7067" s="17" t="s">
        <v>70</v>
      </c>
      <c r="C7067" s="17" t="s">
        <v>71</v>
      </c>
      <c r="D7067" t="s">
        <v>19868</v>
      </c>
      <c r="F7067" t="s">
        <v>19870</v>
      </c>
      <c r="K7067" s="18">
        <f>62816812836</f>
        <v>62816812836</v>
      </c>
      <c r="N7067" s="17" t="s">
        <v>77</v>
      </c>
      <c r="V7067" s="18">
        <f>62816812836</f>
        <v>62816812836</v>
      </c>
    </row>
    <row r="7068" ht="15" customHeight="1" spans="1:22" x14ac:dyDescent="0.25">
      <c r="A7068" s="17" t="s">
        <v>19871</v>
      </c>
      <c r="B7068" s="17" t="s">
        <v>70</v>
      </c>
      <c r="C7068" s="17" t="s">
        <v>71</v>
      </c>
      <c r="D7068" t="s">
        <v>19872</v>
      </c>
      <c r="F7068" t="s">
        <v>8492</v>
      </c>
      <c r="K7068" s="18">
        <f>6281397317500</f>
        <v>6281397317500</v>
      </c>
      <c r="N7068" s="17" t="s">
        <v>81</v>
      </c>
      <c r="V7068" s="18">
        <f>6281397317500</f>
        <v>6281397317500</v>
      </c>
    </row>
    <row r="7069" ht="15" customHeight="1" spans="1:22" x14ac:dyDescent="0.25">
      <c r="A7069" s="17" t="s">
        <v>19873</v>
      </c>
      <c r="B7069" s="17" t="s">
        <v>70</v>
      </c>
      <c r="C7069" s="17" t="s">
        <v>71</v>
      </c>
      <c r="D7069" t="s">
        <v>19874</v>
      </c>
      <c r="F7069" t="s">
        <v>19874</v>
      </c>
      <c r="K7069" s="18">
        <f>62818869023</f>
        <v>62818869023</v>
      </c>
      <c r="N7069" s="17" t="s">
        <v>77</v>
      </c>
      <c r="V7069" s="18">
        <f>62818869023</f>
        <v>62818869023</v>
      </c>
    </row>
    <row r="7070" ht="15" customHeight="1" spans="1:22" x14ac:dyDescent="0.25">
      <c r="A7070" s="17" t="s">
        <v>19875</v>
      </c>
      <c r="B7070" s="17" t="s">
        <v>70</v>
      </c>
      <c r="C7070" s="17" t="s">
        <v>71</v>
      </c>
      <c r="D7070" t="s">
        <v>19876</v>
      </c>
      <c r="F7070" t="s">
        <v>19877</v>
      </c>
      <c r="K7070" s="18">
        <f>62812224389</f>
        <v>62812224389</v>
      </c>
      <c r="N7070" s="17" t="s">
        <v>77</v>
      </c>
      <c r="V7070" s="18">
        <f>62812224389</f>
        <v>62812224389</v>
      </c>
    </row>
    <row r="7071" ht="15" customHeight="1" spans="1:23" x14ac:dyDescent="0.25">
      <c r="A7071" s="17" t="s">
        <v>19878</v>
      </c>
      <c r="B7071" s="17" t="s">
        <v>70</v>
      </c>
      <c r="C7071" s="17" t="s">
        <v>71</v>
      </c>
      <c r="D7071" t="s">
        <v>9659</v>
      </c>
      <c r="F7071" t="s">
        <v>9659</v>
      </c>
      <c r="K7071" s="18">
        <f>62811216777</f>
        <v>62811216777</v>
      </c>
      <c r="N7071" s="17" t="s">
        <v>77</v>
      </c>
      <c r="U7071" s="17"/>
      <c r="V7071" s="18">
        <f>62811216777</f>
        <v>62811216777</v>
      </c>
      <c r="W7071" t="s">
        <v>19879</v>
      </c>
    </row>
    <row r="7072" ht="15" customHeight="1" spans="1:28" x14ac:dyDescent="0.25">
      <c r="A7072" s="17" t="s">
        <v>19880</v>
      </c>
      <c r="B7072" s="17" t="s">
        <v>70</v>
      </c>
      <c r="C7072" s="17" t="s">
        <v>71</v>
      </c>
      <c r="D7072" t="s">
        <v>9659</v>
      </c>
      <c r="F7072" t="s">
        <v>19881</v>
      </c>
      <c r="J7072" t="s">
        <v>115</v>
      </c>
      <c r="K7072" s="18" t="s">
        <v>19882</v>
      </c>
      <c r="N7072" s="17" t="s">
        <v>77</v>
      </c>
      <c r="O7072" t="s">
        <v>199</v>
      </c>
      <c r="V7072" s="18" t="s">
        <v>19882</v>
      </c>
      <c r="Y7072" t="s">
        <v>78</v>
      </c>
      <c r="AA7072" t="s">
        <v>115</v>
      </c>
      <c r="AB7072" t="s">
        <v>119</v>
      </c>
    </row>
    <row r="7073" ht="15" customHeight="1" spans="1:23" x14ac:dyDescent="0.25">
      <c r="A7073" s="17" t="s">
        <v>19883</v>
      </c>
      <c r="B7073" s="17" t="s">
        <v>70</v>
      </c>
      <c r="C7073" s="17" t="s">
        <v>71</v>
      </c>
      <c r="D7073" t="s">
        <v>9659</v>
      </c>
      <c r="F7073" t="s">
        <v>629</v>
      </c>
      <c r="J7073" s="17" t="s">
        <v>19884</v>
      </c>
      <c r="K7073" s="18">
        <f>6287880995010</f>
        <v>6287880995010</v>
      </c>
      <c r="N7073" s="17" t="s">
        <v>77</v>
      </c>
      <c r="U7073" s="17"/>
      <c r="V7073" s="18">
        <f>6287880995010</f>
        <v>6287880995010</v>
      </c>
      <c r="W7073" t="s">
        <v>19885</v>
      </c>
    </row>
    <row r="7074" ht="15" customHeight="1" spans="1:22" x14ac:dyDescent="0.25">
      <c r="A7074" s="17" t="s">
        <v>19886</v>
      </c>
      <c r="B7074" s="17" t="s">
        <v>70</v>
      </c>
      <c r="C7074" s="17" t="s">
        <v>71</v>
      </c>
      <c r="D7074" t="s">
        <v>9659</v>
      </c>
      <c r="F7074" t="s">
        <v>629</v>
      </c>
      <c r="K7074" s="18">
        <f>6282123274010</f>
        <v>6282123274010</v>
      </c>
      <c r="N7074" s="17" t="s">
        <v>81</v>
      </c>
      <c r="V7074" s="18">
        <f>6282123274010</f>
        <v>6282123274010</v>
      </c>
    </row>
    <row r="7075" ht="15" customHeight="1" spans="1:23" x14ac:dyDescent="0.25">
      <c r="A7075" s="17" t="s">
        <v>19887</v>
      </c>
      <c r="B7075" s="17" t="s">
        <v>70</v>
      </c>
      <c r="C7075" s="17" t="s">
        <v>71</v>
      </c>
      <c r="D7075" t="s">
        <v>9659</v>
      </c>
      <c r="F7075" t="s">
        <v>19888</v>
      </c>
      <c r="K7075" s="18">
        <f>628116400828</f>
        <v>628116400828</v>
      </c>
      <c r="N7075" s="17" t="s">
        <v>77</v>
      </c>
      <c r="U7075" s="17"/>
      <c r="V7075" s="18">
        <f>628116400828</f>
        <v>628116400828</v>
      </c>
      <c r="W7075" t="s">
        <v>19889</v>
      </c>
    </row>
    <row r="7076" ht="15" customHeight="1" spans="1:25" x14ac:dyDescent="0.25">
      <c r="A7076" s="17" t="s">
        <v>19890</v>
      </c>
      <c r="B7076" s="17" t="s">
        <v>70</v>
      </c>
      <c r="C7076" s="17" t="s">
        <v>71</v>
      </c>
      <c r="D7076" t="s">
        <v>9659</v>
      </c>
      <c r="F7076" t="s">
        <v>19891</v>
      </c>
      <c r="K7076" s="18">
        <f>628111963069</f>
        <v>628111963069</v>
      </c>
      <c r="N7076" s="17" t="s">
        <v>77</v>
      </c>
      <c r="U7076" s="17"/>
      <c r="V7076" s="18">
        <f>628111963069</f>
        <v>628111963069</v>
      </c>
      <c r="W7076" t="s">
        <v>19892</v>
      </c>
      <c r="Y7076" s="17" t="s">
        <v>96</v>
      </c>
    </row>
    <row r="7077" ht="15" customHeight="1" spans="1:28" x14ac:dyDescent="0.25">
      <c r="A7077" s="17" t="s">
        <v>19893</v>
      </c>
      <c r="B7077" s="17" t="s">
        <v>70</v>
      </c>
      <c r="C7077" s="17" t="s">
        <v>71</v>
      </c>
      <c r="D7077" t="s">
        <v>19894</v>
      </c>
      <c r="F7077" t="s">
        <v>19894</v>
      </c>
      <c r="J7077" t="s">
        <v>115</v>
      </c>
      <c r="K7077" s="18" t="s">
        <v>19895</v>
      </c>
      <c r="N7077" s="17" t="s">
        <v>81</v>
      </c>
      <c r="O7077" t="s">
        <v>117</v>
      </c>
      <c r="V7077" s="18" t="s">
        <v>19895</v>
      </c>
      <c r="Y7077" t="s">
        <v>1084</v>
      </c>
      <c r="AA7077" t="s">
        <v>3146</v>
      </c>
      <c r="AB7077" t="s">
        <v>119</v>
      </c>
    </row>
    <row r="7078" ht="15" customHeight="1" spans="1:23" x14ac:dyDescent="0.25">
      <c r="A7078" s="17" t="s">
        <v>19896</v>
      </c>
      <c r="B7078" s="17" t="s">
        <v>70</v>
      </c>
      <c r="C7078" s="17" t="s">
        <v>71</v>
      </c>
      <c r="D7078" t="s">
        <v>19894</v>
      </c>
      <c r="F7078" t="s">
        <v>19897</v>
      </c>
      <c r="J7078" s="17" t="s">
        <v>19898</v>
      </c>
      <c r="K7078" s="18">
        <f>6282213888808</f>
        <v>6282213888808</v>
      </c>
      <c r="N7078" s="17" t="s">
        <v>77</v>
      </c>
      <c r="U7078" s="17"/>
      <c r="V7078" s="18">
        <f>6282213888808</f>
        <v>6282213888808</v>
      </c>
      <c r="W7078" t="s">
        <v>19899</v>
      </c>
    </row>
    <row r="7079" ht="15" customHeight="1" spans="1:22" x14ac:dyDescent="0.25">
      <c r="A7079" s="17" t="s">
        <v>19900</v>
      </c>
      <c r="B7079" s="17" t="s">
        <v>70</v>
      </c>
      <c r="C7079" s="17" t="s">
        <v>71</v>
      </c>
      <c r="D7079" t="s">
        <v>19894</v>
      </c>
      <c r="F7079" t="s">
        <v>19901</v>
      </c>
      <c r="K7079" s="18">
        <f>628999068181</f>
        <v>628999068181</v>
      </c>
      <c r="N7079" s="17" t="s">
        <v>77</v>
      </c>
      <c r="V7079" s="18">
        <f>628999068181</f>
        <v>628999068181</v>
      </c>
    </row>
    <row r="7080" ht="15" customHeight="1" spans="1:28" x14ac:dyDescent="0.25">
      <c r="A7080" s="17" t="s">
        <v>19902</v>
      </c>
      <c r="B7080" s="17" t="s">
        <v>70</v>
      </c>
      <c r="C7080" s="17" t="s">
        <v>71</v>
      </c>
      <c r="D7080" t="s">
        <v>19894</v>
      </c>
      <c r="F7080" t="s">
        <v>19903</v>
      </c>
      <c r="J7080" t="s">
        <v>19904</v>
      </c>
      <c r="K7080" s="18" t="s">
        <v>19905</v>
      </c>
      <c r="N7080" s="17" t="s">
        <v>77</v>
      </c>
      <c r="O7080" t="s">
        <v>489</v>
      </c>
      <c r="V7080" s="18" t="s">
        <v>19905</v>
      </c>
      <c r="Y7080" t="s">
        <v>90</v>
      </c>
      <c r="AA7080" t="s">
        <v>118</v>
      </c>
      <c r="AB7080" t="s">
        <v>119</v>
      </c>
    </row>
    <row r="7081" ht="15" customHeight="1" spans="1:23" x14ac:dyDescent="0.25">
      <c r="A7081" s="17" t="s">
        <v>19906</v>
      </c>
      <c r="B7081" s="17" t="s">
        <v>70</v>
      </c>
      <c r="C7081" s="17" t="s">
        <v>71</v>
      </c>
      <c r="D7081" t="s">
        <v>19894</v>
      </c>
      <c r="F7081" t="s">
        <v>19907</v>
      </c>
      <c r="K7081" s="18">
        <f>447427565952</f>
        <v>447427565952</v>
      </c>
      <c r="N7081" s="17" t="s">
        <v>77</v>
      </c>
      <c r="U7081" s="17"/>
      <c r="V7081" s="18">
        <f>447427565952</f>
        <v>447427565952</v>
      </c>
      <c r="W7081" t="s">
        <v>19908</v>
      </c>
    </row>
    <row r="7082" ht="15" customHeight="1" spans="1:22" x14ac:dyDescent="0.25">
      <c r="A7082" s="17" t="s">
        <v>19909</v>
      </c>
      <c r="B7082" s="17" t="s">
        <v>70</v>
      </c>
      <c r="C7082" s="17" t="s">
        <v>71</v>
      </c>
      <c r="D7082" t="s">
        <v>19910</v>
      </c>
      <c r="F7082" t="s">
        <v>19911</v>
      </c>
      <c r="K7082" s="18">
        <f>62818711711</f>
        <v>62818711711</v>
      </c>
      <c r="N7082" s="17" t="s">
        <v>77</v>
      </c>
      <c r="V7082" s="18">
        <f>62818711711</f>
        <v>62818711711</v>
      </c>
    </row>
    <row r="7083" ht="15" customHeight="1" spans="1:22" x14ac:dyDescent="0.25">
      <c r="A7083" s="17" t="s">
        <v>19912</v>
      </c>
      <c r="B7083" s="17" t="s">
        <v>70</v>
      </c>
      <c r="C7083" s="17" t="s">
        <v>71</v>
      </c>
      <c r="D7083" t="s">
        <v>19913</v>
      </c>
      <c r="F7083" t="s">
        <v>19914</v>
      </c>
      <c r="K7083" s="18">
        <f>6281377895519</f>
        <v>6281377895519</v>
      </c>
      <c r="N7083" s="17" t="s">
        <v>81</v>
      </c>
      <c r="V7083" s="18">
        <f>6281377895519</f>
        <v>6281377895519</v>
      </c>
    </row>
    <row r="7084" ht="15" customHeight="1" spans="1:22" x14ac:dyDescent="0.25">
      <c r="A7084" s="17" t="s">
        <v>19915</v>
      </c>
      <c r="B7084" s="17" t="s">
        <v>70</v>
      </c>
      <c r="C7084" s="17" t="s">
        <v>71</v>
      </c>
      <c r="D7084" t="s">
        <v>19916</v>
      </c>
      <c r="F7084" t="s">
        <v>672</v>
      </c>
      <c r="K7084" s="18">
        <f>6281111797979</f>
        <v>6281111797979</v>
      </c>
      <c r="N7084" s="17" t="s">
        <v>77</v>
      </c>
      <c r="V7084" s="18">
        <f>6281111797979</f>
        <v>6281111797979</v>
      </c>
    </row>
    <row r="7085" ht="15" customHeight="1" spans="1:28" x14ac:dyDescent="0.25">
      <c r="A7085" s="17" t="s">
        <v>19917</v>
      </c>
      <c r="B7085" s="17" t="s">
        <v>70</v>
      </c>
      <c r="C7085" s="17" t="s">
        <v>71</v>
      </c>
      <c r="D7085" t="s">
        <v>19918</v>
      </c>
      <c r="F7085" t="s">
        <v>19918</v>
      </c>
      <c r="J7085" t="s">
        <v>115</v>
      </c>
      <c r="K7085" s="18" t="s">
        <v>19919</v>
      </c>
      <c r="N7085" s="17" t="s">
        <v>77</v>
      </c>
      <c r="O7085" t="s">
        <v>199</v>
      </c>
      <c r="U7085" s="17"/>
      <c r="V7085" s="18" t="s">
        <v>19919</v>
      </c>
      <c r="W7085" t="s">
        <v>7007</v>
      </c>
      <c r="Y7085" t="s">
        <v>115</v>
      </c>
      <c r="AA7085" t="s">
        <v>115</v>
      </c>
      <c r="AB7085" t="s">
        <v>119</v>
      </c>
    </row>
    <row r="7086" ht="15" customHeight="1" spans="1:22" x14ac:dyDescent="0.25">
      <c r="A7086" s="17" t="s">
        <v>19920</v>
      </c>
      <c r="B7086" s="17" t="s">
        <v>70</v>
      </c>
      <c r="C7086" s="17" t="s">
        <v>71</v>
      </c>
      <c r="D7086" t="s">
        <v>19918</v>
      </c>
      <c r="F7086" t="s">
        <v>3142</v>
      </c>
      <c r="K7086" s="18">
        <f>62081319471984</f>
        <v>62081319471984</v>
      </c>
      <c r="N7086" s="17" t="s">
        <v>77</v>
      </c>
      <c r="V7086" s="18">
        <f>62081319471984</f>
        <v>62081319471984</v>
      </c>
    </row>
    <row r="7087" ht="15" customHeight="1" spans="1:28" x14ac:dyDescent="0.25">
      <c r="A7087" s="17" t="s">
        <v>19921</v>
      </c>
      <c r="B7087" s="17" t="s">
        <v>70</v>
      </c>
      <c r="C7087" s="17" t="s">
        <v>71</v>
      </c>
      <c r="D7087" t="s">
        <v>19918</v>
      </c>
      <c r="F7087" t="s">
        <v>3869</v>
      </c>
      <c r="J7087" t="s">
        <v>115</v>
      </c>
      <c r="K7087" s="18" t="s">
        <v>19922</v>
      </c>
      <c r="N7087" s="17" t="s">
        <v>74</v>
      </c>
      <c r="O7087" t="s">
        <v>117</v>
      </c>
      <c r="V7087" s="18" t="s">
        <v>19922</v>
      </c>
      <c r="Y7087" t="s">
        <v>115</v>
      </c>
      <c r="AA7087" t="s">
        <v>115</v>
      </c>
      <c r="AB7087" t="s">
        <v>16695</v>
      </c>
    </row>
    <row r="7088" ht="15" customHeight="1" spans="1:28" x14ac:dyDescent="0.25">
      <c r="A7088" s="17" t="s">
        <v>19923</v>
      </c>
      <c r="B7088" s="17" t="s">
        <v>70</v>
      </c>
      <c r="C7088" s="17" t="s">
        <v>71</v>
      </c>
      <c r="D7088" t="s">
        <v>19918</v>
      </c>
      <c r="F7088" t="s">
        <v>7914</v>
      </c>
      <c r="J7088" t="s">
        <v>115</v>
      </c>
      <c r="K7088" s="18" t="s">
        <v>19924</v>
      </c>
      <c r="N7088" s="17" t="s">
        <v>77</v>
      </c>
      <c r="O7088" t="s">
        <v>145</v>
      </c>
      <c r="V7088" s="18" t="s">
        <v>19924</v>
      </c>
      <c r="Y7088" t="s">
        <v>90</v>
      </c>
      <c r="AA7088" t="s">
        <v>118</v>
      </c>
      <c r="AB7088" t="s">
        <v>119</v>
      </c>
    </row>
    <row r="7089" ht="15" customHeight="1" spans="1:25" x14ac:dyDescent="0.25">
      <c r="A7089" s="17" t="s">
        <v>19925</v>
      </c>
      <c r="B7089" s="17" t="s">
        <v>70</v>
      </c>
      <c r="C7089" s="17" t="s">
        <v>71</v>
      </c>
      <c r="D7089" t="s">
        <v>19918</v>
      </c>
      <c r="F7089" t="s">
        <v>2905</v>
      </c>
      <c r="K7089" s="18">
        <f>628151827391</f>
        <v>628151827391</v>
      </c>
      <c r="N7089" s="17" t="s">
        <v>77</v>
      </c>
      <c r="U7089" s="17"/>
      <c r="V7089" s="18">
        <f>628151827391</f>
        <v>628151827391</v>
      </c>
      <c r="W7089" t="s">
        <v>19926</v>
      </c>
      <c r="Y7089" s="17" t="s">
        <v>96</v>
      </c>
    </row>
    <row r="7090" ht="15" customHeight="1" spans="1:22" x14ac:dyDescent="0.25">
      <c r="A7090" s="17" t="s">
        <v>19927</v>
      </c>
      <c r="B7090" s="17" t="s">
        <v>70</v>
      </c>
      <c r="C7090" s="17" t="s">
        <v>71</v>
      </c>
      <c r="D7090" t="s">
        <v>19928</v>
      </c>
      <c r="F7090" t="s">
        <v>19928</v>
      </c>
      <c r="K7090" s="18">
        <f>6281286866839</f>
        <v>6281286866839</v>
      </c>
      <c r="N7090" s="17" t="s">
        <v>77</v>
      </c>
      <c r="V7090" s="18">
        <f>6281286866839</f>
        <v>6281286866839</v>
      </c>
    </row>
    <row r="7091" ht="15" customHeight="1" spans="1:22" x14ac:dyDescent="0.25">
      <c r="A7091" s="17" t="s">
        <v>19929</v>
      </c>
      <c r="B7091" s="17" t="s">
        <v>70</v>
      </c>
      <c r="C7091" s="17" t="s">
        <v>71</v>
      </c>
      <c r="D7091" t="s">
        <v>19930</v>
      </c>
      <c r="F7091" t="s">
        <v>19930</v>
      </c>
      <c r="J7091" s="17" t="s">
        <v>19931</v>
      </c>
      <c r="K7091" s="18">
        <f>6287777000769</f>
        <v>6287777000769</v>
      </c>
      <c r="N7091" s="17" t="s">
        <v>77</v>
      </c>
      <c r="V7091" s="18">
        <f>6287777000769</f>
        <v>6287777000769</v>
      </c>
    </row>
    <row r="7092" ht="15" customHeight="1" spans="1:28" x14ac:dyDescent="0.25">
      <c r="A7092" s="17" t="s">
        <v>19932</v>
      </c>
      <c r="B7092" s="17" t="s">
        <v>70</v>
      </c>
      <c r="C7092" s="17" t="s">
        <v>71</v>
      </c>
      <c r="D7092" t="s">
        <v>19933</v>
      </c>
      <c r="F7092" t="s">
        <v>1016</v>
      </c>
      <c r="J7092" t="s">
        <v>19934</v>
      </c>
      <c r="K7092" s="18" t="s">
        <v>19935</v>
      </c>
      <c r="N7092" s="17" t="s">
        <v>74</v>
      </c>
      <c r="O7092" t="s">
        <v>117</v>
      </c>
      <c r="V7092" s="18" t="s">
        <v>19935</v>
      </c>
      <c r="Y7092" t="s">
        <v>190</v>
      </c>
      <c r="AA7092" t="s">
        <v>118</v>
      </c>
      <c r="AB7092" t="s">
        <v>119</v>
      </c>
    </row>
    <row r="7093" ht="15" customHeight="1" spans="1:22" x14ac:dyDescent="0.25">
      <c r="A7093" s="17" t="s">
        <v>19936</v>
      </c>
      <c r="B7093" s="17" t="s">
        <v>70</v>
      </c>
      <c r="C7093" s="17" t="s">
        <v>71</v>
      </c>
      <c r="D7093" t="s">
        <v>19937</v>
      </c>
      <c r="F7093" t="s">
        <v>19938</v>
      </c>
      <c r="K7093" s="18">
        <f>6281197700775</f>
        <v>6281197700775</v>
      </c>
      <c r="N7093" s="17" t="s">
        <v>77</v>
      </c>
      <c r="V7093" s="18">
        <f>6281197700775</f>
        <v>6281197700775</v>
      </c>
    </row>
    <row r="7094" ht="15" customHeight="1" spans="1:22" x14ac:dyDescent="0.25">
      <c r="A7094" s="17" t="s">
        <v>19939</v>
      </c>
      <c r="B7094" s="17" t="s">
        <v>70</v>
      </c>
      <c r="C7094" s="17" t="s">
        <v>71</v>
      </c>
      <c r="D7094" t="s">
        <v>19940</v>
      </c>
      <c r="F7094" t="s">
        <v>1226</v>
      </c>
      <c r="K7094" s="18">
        <f>6281316936263</f>
        <v>6281316936263</v>
      </c>
      <c r="N7094" s="17" t="s">
        <v>77</v>
      </c>
      <c r="V7094" s="18">
        <f>6281316936263</f>
        <v>6281316936263</v>
      </c>
    </row>
    <row r="7095" ht="15" customHeight="1" spans="1:22" x14ac:dyDescent="0.25">
      <c r="A7095" s="17" t="s">
        <v>19941</v>
      </c>
      <c r="B7095" s="17" t="s">
        <v>70</v>
      </c>
      <c r="C7095" s="17" t="s">
        <v>71</v>
      </c>
      <c r="D7095" t="s">
        <v>19940</v>
      </c>
      <c r="F7095" t="s">
        <v>16759</v>
      </c>
      <c r="K7095" s="18">
        <f>6281514736149</f>
        <v>6281514736149</v>
      </c>
      <c r="N7095" s="17" t="s">
        <v>77</v>
      </c>
      <c r="V7095" s="18">
        <f>6281514736149</f>
        <v>6281514736149</v>
      </c>
    </row>
    <row r="7096" ht="15" customHeight="1" spans="1:22" x14ac:dyDescent="0.25">
      <c r="A7096" s="17" t="s">
        <v>19942</v>
      </c>
      <c r="B7096" s="17" t="s">
        <v>70</v>
      </c>
      <c r="C7096" s="17" t="s">
        <v>71</v>
      </c>
      <c r="D7096" t="s">
        <v>19943</v>
      </c>
      <c r="F7096" t="s">
        <v>19944</v>
      </c>
      <c r="K7096" s="18">
        <f>6281927778998</f>
        <v>6281927778998</v>
      </c>
      <c r="N7096" s="17" t="s">
        <v>77</v>
      </c>
      <c r="V7096" s="18">
        <f>6281927778998</f>
        <v>6281927778998</v>
      </c>
    </row>
    <row r="7097" ht="15" customHeight="1" spans="1:28" x14ac:dyDescent="0.25">
      <c r="A7097" s="17" t="s">
        <v>19945</v>
      </c>
      <c r="B7097" s="17" t="s">
        <v>70</v>
      </c>
      <c r="C7097" s="17" t="s">
        <v>71</v>
      </c>
      <c r="D7097" t="s">
        <v>19946</v>
      </c>
      <c r="F7097" t="s">
        <v>19947</v>
      </c>
      <c r="J7097" t="s">
        <v>115</v>
      </c>
      <c r="K7097" s="18" t="s">
        <v>19948</v>
      </c>
      <c r="N7097" s="17" t="s">
        <v>77</v>
      </c>
      <c r="O7097" t="s">
        <v>489</v>
      </c>
      <c r="V7097" s="18" t="s">
        <v>19948</v>
      </c>
      <c r="Y7097" t="s">
        <v>217</v>
      </c>
      <c r="AA7097" t="s">
        <v>218</v>
      </c>
      <c r="AB7097" t="s">
        <v>119</v>
      </c>
    </row>
    <row r="7098" ht="15" customHeight="1" spans="1:25" x14ac:dyDescent="0.25">
      <c r="A7098" s="17" t="s">
        <v>19949</v>
      </c>
      <c r="B7098" s="17" t="s">
        <v>70</v>
      </c>
      <c r="C7098" s="17" t="s">
        <v>71</v>
      </c>
      <c r="D7098" t="s">
        <v>19946</v>
      </c>
      <c r="F7098" t="s">
        <v>3866</v>
      </c>
      <c r="K7098" s="18">
        <f>628121312122</f>
        <v>628121312122</v>
      </c>
      <c r="N7098" s="17" t="s">
        <v>74</v>
      </c>
      <c r="U7098" s="17"/>
      <c r="V7098" s="18">
        <f>628121312122</f>
        <v>628121312122</v>
      </c>
      <c r="W7098" t="s">
        <v>19950</v>
      </c>
      <c r="Y7098" s="17" t="s">
        <v>5003</v>
      </c>
    </row>
    <row r="7099" ht="15" customHeight="1" spans="1:22" x14ac:dyDescent="0.25">
      <c r="A7099" s="17" t="s">
        <v>19951</v>
      </c>
      <c r="B7099" s="17" t="s">
        <v>70</v>
      </c>
      <c r="C7099" s="17" t="s">
        <v>71</v>
      </c>
      <c r="D7099" t="s">
        <v>19946</v>
      </c>
      <c r="F7099" t="s">
        <v>19952</v>
      </c>
      <c r="K7099" s="18">
        <f>628124246246</f>
        <v>628124246246</v>
      </c>
      <c r="N7099" s="17" t="s">
        <v>77</v>
      </c>
      <c r="V7099" s="18">
        <f>628124246246</f>
        <v>628124246246</v>
      </c>
    </row>
    <row r="7100" ht="15" customHeight="1" spans="1:28" x14ac:dyDescent="0.25">
      <c r="A7100" s="17" t="s">
        <v>19953</v>
      </c>
      <c r="B7100" s="17" t="s">
        <v>70</v>
      </c>
      <c r="C7100" s="17" t="s">
        <v>71</v>
      </c>
      <c r="D7100" t="s">
        <v>19954</v>
      </c>
      <c r="F7100" t="s">
        <v>19955</v>
      </c>
      <c r="J7100" t="s">
        <v>115</v>
      </c>
      <c r="K7100" s="18" t="s">
        <v>19956</v>
      </c>
      <c r="N7100" s="17" t="s">
        <v>77</v>
      </c>
      <c r="O7100" t="s">
        <v>117</v>
      </c>
      <c r="V7100" s="18" t="s">
        <v>19956</v>
      </c>
      <c r="Y7100" t="s">
        <v>190</v>
      </c>
      <c r="AA7100" t="s">
        <v>118</v>
      </c>
      <c r="AB7100" t="s">
        <v>119</v>
      </c>
    </row>
    <row r="7101" ht="15" customHeight="1" spans="1:25" x14ac:dyDescent="0.25">
      <c r="A7101" s="17" t="s">
        <v>19957</v>
      </c>
      <c r="B7101" s="17" t="s">
        <v>70</v>
      </c>
      <c r="C7101" s="17" t="s">
        <v>71</v>
      </c>
      <c r="D7101" t="s">
        <v>19954</v>
      </c>
      <c r="F7101" t="s">
        <v>4401</v>
      </c>
      <c r="K7101" s="18">
        <f>62816922638</f>
        <v>62816922638</v>
      </c>
      <c r="N7101" s="17" t="s">
        <v>74</v>
      </c>
      <c r="U7101" s="17"/>
      <c r="V7101" s="18">
        <f>62816922638</f>
        <v>62816922638</v>
      </c>
      <c r="W7101" t="s">
        <v>19958</v>
      </c>
      <c r="Y7101" s="17" t="s">
        <v>19959</v>
      </c>
    </row>
    <row r="7102" ht="15" customHeight="1" spans="1:23" x14ac:dyDescent="0.25">
      <c r="A7102" s="17" t="s">
        <v>19960</v>
      </c>
      <c r="B7102" s="17" t="s">
        <v>70</v>
      </c>
      <c r="C7102" s="17" t="s">
        <v>71</v>
      </c>
      <c r="D7102" t="s">
        <v>19961</v>
      </c>
      <c r="F7102" t="s">
        <v>301</v>
      </c>
      <c r="K7102" s="18">
        <f>628198889609</f>
        <v>628198889609</v>
      </c>
      <c r="N7102" s="17" t="s">
        <v>74</v>
      </c>
      <c r="U7102" s="17"/>
      <c r="V7102" s="18">
        <f>628198889609</f>
        <v>628198889609</v>
      </c>
      <c r="W7102" t="s">
        <v>19962</v>
      </c>
    </row>
    <row r="7103" ht="15" customHeight="1" spans="1:22" x14ac:dyDescent="0.25">
      <c r="A7103" s="17" t="s">
        <v>19963</v>
      </c>
      <c r="B7103" s="17" t="s">
        <v>70</v>
      </c>
      <c r="C7103" s="17" t="s">
        <v>71</v>
      </c>
      <c r="D7103" t="s">
        <v>19964</v>
      </c>
      <c r="F7103" t="s">
        <v>1850</v>
      </c>
      <c r="K7103" s="18">
        <f>62818715828</f>
        <v>62818715828</v>
      </c>
      <c r="N7103" s="17" t="s">
        <v>77</v>
      </c>
      <c r="V7103" s="18">
        <f>62818715828</f>
        <v>62818715828</v>
      </c>
    </row>
    <row r="7104" ht="15" customHeight="1" spans="1:25" x14ac:dyDescent="0.25">
      <c r="A7104" s="17" t="s">
        <v>19965</v>
      </c>
      <c r="B7104" s="17" t="s">
        <v>70</v>
      </c>
      <c r="C7104" s="17" t="s">
        <v>71</v>
      </c>
      <c r="D7104" t="s">
        <v>19964</v>
      </c>
      <c r="F7104" t="s">
        <v>19966</v>
      </c>
      <c r="K7104" s="18">
        <f>628161862369</f>
        <v>628161862369</v>
      </c>
      <c r="N7104" s="17" t="s">
        <v>74</v>
      </c>
      <c r="U7104" s="17"/>
      <c r="V7104" s="18">
        <f>628161862369</f>
        <v>628161862369</v>
      </c>
      <c r="W7104" t="s">
        <v>19967</v>
      </c>
      <c r="Y7104" s="17" t="s">
        <v>96</v>
      </c>
    </row>
    <row r="7105" ht="15" customHeight="1" spans="1:23" x14ac:dyDescent="0.25">
      <c r="A7105" s="17" t="s">
        <v>19968</v>
      </c>
      <c r="B7105" s="17" t="s">
        <v>70</v>
      </c>
      <c r="C7105" s="17" t="s">
        <v>71</v>
      </c>
      <c r="D7105" t="s">
        <v>19964</v>
      </c>
      <c r="F7105" t="s">
        <v>3003</v>
      </c>
      <c r="K7105" s="18">
        <f>62816628062</f>
        <v>62816628062</v>
      </c>
      <c r="N7105" s="17" t="s">
        <v>77</v>
      </c>
      <c r="U7105" s="17"/>
      <c r="V7105" s="18">
        <f>62816628062</f>
        <v>62816628062</v>
      </c>
      <c r="W7105" t="s">
        <v>19969</v>
      </c>
    </row>
    <row r="7106" ht="15" customHeight="1" spans="1:22" x14ac:dyDescent="0.25">
      <c r="A7106" s="17" t="s">
        <v>19970</v>
      </c>
      <c r="B7106" s="17" t="s">
        <v>70</v>
      </c>
      <c r="C7106" s="17" t="s">
        <v>71</v>
      </c>
      <c r="D7106" t="s">
        <v>19971</v>
      </c>
      <c r="F7106" t="s">
        <v>19971</v>
      </c>
      <c r="K7106" s="18">
        <f>6281919731975</f>
        <v>6281919731975</v>
      </c>
      <c r="N7106" s="17" t="s">
        <v>77</v>
      </c>
      <c r="V7106" s="18">
        <f>6281919731975</f>
        <v>6281919731975</v>
      </c>
    </row>
    <row r="7107" ht="15" customHeight="1" spans="1:22" x14ac:dyDescent="0.25">
      <c r="A7107" s="17" t="s">
        <v>19972</v>
      </c>
      <c r="B7107" s="17" t="s">
        <v>70</v>
      </c>
      <c r="C7107" s="17" t="s">
        <v>71</v>
      </c>
      <c r="D7107" t="s">
        <v>19971</v>
      </c>
      <c r="F7107" t="s">
        <v>19973</v>
      </c>
      <c r="K7107" s="18">
        <f>628111788661</f>
        <v>628111788661</v>
      </c>
      <c r="N7107" s="17" t="s">
        <v>81</v>
      </c>
      <c r="V7107" s="18">
        <f>628111788661</f>
        <v>628111788661</v>
      </c>
    </row>
    <row r="7108" ht="15" customHeight="1" spans="1:28" x14ac:dyDescent="0.25">
      <c r="A7108" s="17" t="s">
        <v>19974</v>
      </c>
      <c r="B7108" s="17" t="s">
        <v>70</v>
      </c>
      <c r="C7108" s="17" t="s">
        <v>71</v>
      </c>
      <c r="D7108" t="s">
        <v>19975</v>
      </c>
      <c r="F7108" t="s">
        <v>19976</v>
      </c>
      <c r="J7108" t="s">
        <v>115</v>
      </c>
      <c r="K7108" s="18" t="s">
        <v>19977</v>
      </c>
      <c r="N7108" s="17" t="s">
        <v>81</v>
      </c>
      <c r="O7108" t="s">
        <v>117</v>
      </c>
      <c r="V7108" s="18" t="s">
        <v>19977</v>
      </c>
      <c r="Y7108" t="s">
        <v>190</v>
      </c>
      <c r="AA7108" t="s">
        <v>118</v>
      </c>
      <c r="AB7108" t="s">
        <v>119</v>
      </c>
    </row>
    <row r="7109" ht="15" customHeight="1" spans="1:22" x14ac:dyDescent="0.25">
      <c r="A7109" s="17" t="s">
        <v>19978</v>
      </c>
      <c r="B7109" s="17" t="s">
        <v>70</v>
      </c>
      <c r="C7109" s="17" t="s">
        <v>71</v>
      </c>
      <c r="D7109" t="s">
        <v>19979</v>
      </c>
      <c r="F7109" t="s">
        <v>19979</v>
      </c>
      <c r="K7109" s="18">
        <f>6281803967776</f>
        <v>6281803967776</v>
      </c>
      <c r="N7109" s="17" t="s">
        <v>74</v>
      </c>
      <c r="V7109" s="18">
        <f>6281803967776</f>
        <v>6281803967776</v>
      </c>
    </row>
    <row r="7110" ht="15" customHeight="1" spans="1:28" x14ac:dyDescent="0.25">
      <c r="A7110" s="17" t="s">
        <v>19980</v>
      </c>
      <c r="B7110" s="17" t="s">
        <v>70</v>
      </c>
      <c r="C7110" s="17" t="s">
        <v>71</v>
      </c>
      <c r="D7110" t="s">
        <v>19981</v>
      </c>
      <c r="F7110" t="s">
        <v>19982</v>
      </c>
      <c r="J7110" t="s">
        <v>115</v>
      </c>
      <c r="K7110" s="18" t="s">
        <v>19983</v>
      </c>
      <c r="N7110" s="17" t="s">
        <v>77</v>
      </c>
      <c r="O7110" t="s">
        <v>117</v>
      </c>
      <c r="V7110" s="18" t="s">
        <v>19983</v>
      </c>
      <c r="Y7110" t="s">
        <v>190</v>
      </c>
      <c r="AA7110" t="s">
        <v>118</v>
      </c>
      <c r="AB7110" t="s">
        <v>119</v>
      </c>
    </row>
    <row r="7111" ht="15" customHeight="1" spans="1:23" x14ac:dyDescent="0.25">
      <c r="A7111" s="17" t="s">
        <v>19984</v>
      </c>
      <c r="B7111" s="17" t="s">
        <v>70</v>
      </c>
      <c r="C7111" s="17" t="s">
        <v>71</v>
      </c>
      <c r="D7111" t="s">
        <v>19981</v>
      </c>
      <c r="F7111" t="s">
        <v>3134</v>
      </c>
      <c r="K7111" s="18">
        <f>62816887028</f>
        <v>62816887028</v>
      </c>
      <c r="N7111" s="17" t="s">
        <v>77</v>
      </c>
      <c r="U7111" s="17"/>
      <c r="V7111" s="18">
        <f>62816887028</f>
        <v>62816887028</v>
      </c>
      <c r="W7111" t="s">
        <v>19985</v>
      </c>
    </row>
    <row r="7112" ht="15" customHeight="1" spans="1:25" x14ac:dyDescent="0.25">
      <c r="A7112" s="17" t="s">
        <v>19986</v>
      </c>
      <c r="B7112" s="17" t="s">
        <v>70</v>
      </c>
      <c r="C7112" s="17" t="s">
        <v>71</v>
      </c>
      <c r="D7112" t="s">
        <v>19981</v>
      </c>
      <c r="F7112" t="s">
        <v>8419</v>
      </c>
      <c r="K7112" s="18">
        <f>62811811819</f>
        <v>62811811819</v>
      </c>
      <c r="N7112" s="17" t="s">
        <v>77</v>
      </c>
      <c r="U7112" s="17"/>
      <c r="V7112" s="18">
        <f>62811811819</f>
        <v>62811811819</v>
      </c>
      <c r="W7112" t="s">
        <v>19987</v>
      </c>
      <c r="Y7112" s="17" t="s">
        <v>90</v>
      </c>
    </row>
    <row r="7113" ht="15" customHeight="1" spans="1:22" x14ac:dyDescent="0.25">
      <c r="A7113" s="17" t="s">
        <v>19988</v>
      </c>
      <c r="B7113" s="17" t="s">
        <v>70</v>
      </c>
      <c r="C7113" s="17" t="s">
        <v>71</v>
      </c>
      <c r="D7113" t="s">
        <v>19981</v>
      </c>
      <c r="F7113" t="s">
        <v>19982</v>
      </c>
      <c r="K7113" s="18">
        <f>628161854091</f>
        <v>628161854091</v>
      </c>
      <c r="N7113" s="17" t="s">
        <v>74</v>
      </c>
      <c r="V7113" s="18">
        <f>628161854091</f>
        <v>628161854091</v>
      </c>
    </row>
    <row r="7114" ht="15" customHeight="1" spans="1:25" x14ac:dyDescent="0.25">
      <c r="A7114" s="17" t="s">
        <v>19989</v>
      </c>
      <c r="B7114" s="17" t="s">
        <v>70</v>
      </c>
      <c r="C7114" s="17" t="s">
        <v>71</v>
      </c>
      <c r="D7114" t="s">
        <v>19990</v>
      </c>
      <c r="F7114" t="s">
        <v>3605</v>
      </c>
      <c r="K7114" s="18">
        <f>628164869013</f>
        <v>628164869013</v>
      </c>
      <c r="N7114" s="17" t="s">
        <v>81</v>
      </c>
      <c r="U7114" s="17"/>
      <c r="V7114" s="18">
        <f>628164869013</f>
        <v>628164869013</v>
      </c>
      <c r="W7114" t="s">
        <v>19991</v>
      </c>
      <c r="Y7114" s="17" t="s">
        <v>500</v>
      </c>
    </row>
    <row r="7115" ht="15" customHeight="1" spans="1:23" x14ac:dyDescent="0.25">
      <c r="A7115" s="17" t="s">
        <v>19992</v>
      </c>
      <c r="B7115" s="17" t="s">
        <v>70</v>
      </c>
      <c r="C7115" s="17" t="s">
        <v>71</v>
      </c>
      <c r="D7115" t="s">
        <v>19990</v>
      </c>
      <c r="F7115" t="s">
        <v>19993</v>
      </c>
      <c r="K7115" s="18">
        <f>62817888188</f>
        <v>62817888188</v>
      </c>
      <c r="N7115" s="17" t="s">
        <v>77</v>
      </c>
      <c r="U7115" s="17"/>
      <c r="V7115" s="18">
        <f>62817888188</f>
        <v>62817888188</v>
      </c>
      <c r="W7115" t="s">
        <v>19994</v>
      </c>
    </row>
    <row r="7116" ht="15" customHeight="1" spans="1:22" x14ac:dyDescent="0.25">
      <c r="A7116" s="17" t="s">
        <v>19995</v>
      </c>
      <c r="B7116" s="17" t="s">
        <v>70</v>
      </c>
      <c r="C7116" s="17" t="s">
        <v>71</v>
      </c>
      <c r="D7116" t="s">
        <v>19990</v>
      </c>
      <c r="F7116" t="s">
        <v>6887</v>
      </c>
      <c r="K7116" s="18">
        <f>62811833081</f>
        <v>62811833081</v>
      </c>
      <c r="N7116" s="17" t="s">
        <v>74</v>
      </c>
      <c r="V7116" s="18">
        <f>62811833081</f>
        <v>62811833081</v>
      </c>
    </row>
    <row r="7117" ht="15" customHeight="1" spans="1:23" x14ac:dyDescent="0.25">
      <c r="A7117" s="17" t="s">
        <v>19996</v>
      </c>
      <c r="B7117" s="17" t="s">
        <v>70</v>
      </c>
      <c r="C7117" s="17" t="s">
        <v>71</v>
      </c>
      <c r="D7117" t="s">
        <v>19997</v>
      </c>
      <c r="F7117" t="s">
        <v>19998</v>
      </c>
      <c r="K7117" s="18">
        <f>660818849484</f>
        <v>660818849484</v>
      </c>
      <c r="N7117" s="17" t="s">
        <v>77</v>
      </c>
      <c r="U7117" s="17"/>
      <c r="V7117" s="18">
        <f>660818849484</f>
        <v>660818849484</v>
      </c>
      <c r="W7117" t="s">
        <v>4036</v>
      </c>
    </row>
    <row r="7118" ht="15" customHeight="1" spans="1:22" x14ac:dyDescent="0.25">
      <c r="A7118" s="17" t="s">
        <v>19999</v>
      </c>
      <c r="B7118" s="17" t="s">
        <v>70</v>
      </c>
      <c r="C7118" s="17" t="s">
        <v>71</v>
      </c>
      <c r="D7118" t="s">
        <v>20000</v>
      </c>
      <c r="F7118" t="s">
        <v>20001</v>
      </c>
      <c r="K7118" s="18">
        <f>628113222571</f>
        <v>628113222571</v>
      </c>
      <c r="N7118" s="17" t="s">
        <v>77</v>
      </c>
      <c r="V7118" s="18">
        <f>628113222571</f>
        <v>628113222571</v>
      </c>
    </row>
    <row r="7119" ht="15" customHeight="1" spans="1:27" x14ac:dyDescent="0.25">
      <c r="A7119" s="17" t="s">
        <v>20002</v>
      </c>
      <c r="B7119" s="17" t="s">
        <v>70</v>
      </c>
      <c r="C7119" s="17" t="s">
        <v>71</v>
      </c>
      <c r="D7119" t="s">
        <v>20003</v>
      </c>
      <c r="F7119" t="s">
        <v>7914</v>
      </c>
      <c r="J7119" s="17" t="s">
        <v>20004</v>
      </c>
      <c r="K7119" s="18">
        <f>628111115934</f>
        <v>628111115934</v>
      </c>
      <c r="N7119" s="17" t="s">
        <v>81</v>
      </c>
      <c r="U7119" s="17"/>
      <c r="V7119" s="18">
        <f>628111115934</f>
        <v>628111115934</v>
      </c>
      <c r="W7119" t="s">
        <v>20005</v>
      </c>
      <c r="Y7119" s="17" t="s">
        <v>567</v>
      </c>
      <c r="AA7119" s="17">
        <v>16454</v>
      </c>
    </row>
    <row r="7120" ht="15" customHeight="1" spans="1:22" x14ac:dyDescent="0.25">
      <c r="A7120" s="17" t="s">
        <v>20006</v>
      </c>
      <c r="B7120" s="17" t="s">
        <v>70</v>
      </c>
      <c r="C7120" s="17" t="s">
        <v>71</v>
      </c>
      <c r="D7120" t="s">
        <v>20007</v>
      </c>
      <c r="F7120" t="s">
        <v>20008</v>
      </c>
      <c r="K7120" s="18">
        <f>6281288880307</f>
        <v>6281288880307</v>
      </c>
      <c r="N7120" s="17" t="s">
        <v>81</v>
      </c>
      <c r="V7120" s="18">
        <f>6281288880307</f>
        <v>6281288880307</v>
      </c>
    </row>
    <row r="7121" ht="15" customHeight="1" spans="1:22" x14ac:dyDescent="0.25">
      <c r="A7121" s="17" t="s">
        <v>20009</v>
      </c>
      <c r="B7121" s="17" t="s">
        <v>70</v>
      </c>
      <c r="C7121" s="17" t="s">
        <v>71</v>
      </c>
      <c r="D7121" t="s">
        <v>20007</v>
      </c>
      <c r="F7121" t="s">
        <v>12056</v>
      </c>
      <c r="K7121" s="18">
        <f>6281232793202</f>
        <v>6281232793202</v>
      </c>
      <c r="N7121" s="17" t="s">
        <v>81</v>
      </c>
      <c r="V7121" s="18">
        <f>6281232793202</f>
        <v>6281232793202</v>
      </c>
    </row>
    <row r="7122" ht="15" customHeight="1" spans="1:22" x14ac:dyDescent="0.25">
      <c r="A7122" s="17" t="s">
        <v>20010</v>
      </c>
      <c r="B7122" s="17" t="s">
        <v>70</v>
      </c>
      <c r="C7122" s="17" t="s">
        <v>71</v>
      </c>
      <c r="D7122" t="s">
        <v>16111</v>
      </c>
      <c r="F7122" t="s">
        <v>16112</v>
      </c>
      <c r="J7122" s="17">
        <f>65989767011</f>
        <v>65989767011</v>
      </c>
      <c r="K7122" s="18" t="s">
        <v>20011</v>
      </c>
      <c r="N7122" s="17" t="s">
        <v>77</v>
      </c>
      <c r="V7122" s="18" t="s">
        <v>20011</v>
      </c>
    </row>
    <row r="7123" ht="15" customHeight="1" spans="1:23" x14ac:dyDescent="0.25">
      <c r="A7123" s="17" t="s">
        <v>20012</v>
      </c>
      <c r="B7123" s="17" t="s">
        <v>70</v>
      </c>
      <c r="C7123" s="17" t="s">
        <v>71</v>
      </c>
      <c r="D7123" t="s">
        <v>16111</v>
      </c>
      <c r="F7123" t="s">
        <v>20013</v>
      </c>
      <c r="J7123" s="17" t="s">
        <v>20014</v>
      </c>
      <c r="K7123" s="18">
        <f>6287880100309</f>
        <v>6287880100309</v>
      </c>
      <c r="N7123" s="17" t="s">
        <v>81</v>
      </c>
      <c r="U7123" s="17"/>
      <c r="V7123" s="18">
        <f>6287880100309</f>
        <v>6287880100309</v>
      </c>
      <c r="W7123" t="s">
        <v>20015</v>
      </c>
    </row>
    <row r="7124" ht="15" customHeight="1" spans="1:22" x14ac:dyDescent="0.25">
      <c r="A7124" s="17" t="s">
        <v>20016</v>
      </c>
      <c r="B7124" s="17" t="s">
        <v>70</v>
      </c>
      <c r="C7124" s="17" t="s">
        <v>71</v>
      </c>
      <c r="D7124" t="s">
        <v>20017</v>
      </c>
      <c r="F7124" t="s">
        <v>20017</v>
      </c>
      <c r="K7124" s="18">
        <f>628116627135</f>
        <v>628116627135</v>
      </c>
      <c r="N7124" s="17" t="s">
        <v>77</v>
      </c>
      <c r="V7124" s="18">
        <f>628116627135</f>
        <v>628116627135</v>
      </c>
    </row>
    <row r="7125" ht="15" customHeight="1" spans="1:25" x14ac:dyDescent="0.25">
      <c r="A7125" s="17" t="s">
        <v>20018</v>
      </c>
      <c r="B7125" s="17" t="s">
        <v>70</v>
      </c>
      <c r="C7125" s="17" t="s">
        <v>71</v>
      </c>
      <c r="D7125" t="s">
        <v>20017</v>
      </c>
      <c r="F7125" t="s">
        <v>5238</v>
      </c>
      <c r="K7125" s="18">
        <f>62212512830</f>
        <v>62212512830</v>
      </c>
      <c r="N7125" s="17" t="s">
        <v>77</v>
      </c>
      <c r="U7125" s="17"/>
      <c r="V7125" s="18">
        <f>62212512830</f>
        <v>62212512830</v>
      </c>
      <c r="W7125" t="s">
        <v>20019</v>
      </c>
      <c r="Y7125" s="17" t="s">
        <v>90</v>
      </c>
    </row>
    <row r="7126" ht="15" customHeight="1" spans="1:27" x14ac:dyDescent="0.25">
      <c r="A7126" s="17" t="s">
        <v>20020</v>
      </c>
      <c r="B7126" s="17" t="s">
        <v>70</v>
      </c>
      <c r="C7126" s="17" t="s">
        <v>71</v>
      </c>
      <c r="D7126" t="s">
        <v>20017</v>
      </c>
      <c r="F7126" t="s">
        <v>20021</v>
      </c>
      <c r="J7126" s="17" t="s">
        <v>20022</v>
      </c>
      <c r="K7126" s="18">
        <f>6285335392229</f>
        <v>6285335392229</v>
      </c>
      <c r="N7126" s="17" t="s">
        <v>77</v>
      </c>
      <c r="U7126" s="17"/>
      <c r="V7126" s="18">
        <f>6285335392229</f>
        <v>6285335392229</v>
      </c>
      <c r="W7126" t="s">
        <v>20023</v>
      </c>
      <c r="AA7126" s="17">
        <v>80362</v>
      </c>
    </row>
    <row r="7127" ht="15" customHeight="1" spans="1:23" x14ac:dyDescent="0.25">
      <c r="A7127" s="17" t="s">
        <v>20024</v>
      </c>
      <c r="B7127" s="17" t="s">
        <v>70</v>
      </c>
      <c r="C7127" s="17" t="s">
        <v>71</v>
      </c>
      <c r="D7127" t="s">
        <v>20017</v>
      </c>
      <c r="F7127" t="s">
        <v>16735</v>
      </c>
      <c r="K7127" s="18">
        <f>628111106918</f>
        <v>628111106918</v>
      </c>
      <c r="N7127" s="17" t="s">
        <v>74</v>
      </c>
      <c r="U7127" s="17"/>
      <c r="V7127" s="18">
        <f>628111106918</f>
        <v>628111106918</v>
      </c>
      <c r="W7127" t="s">
        <v>20025</v>
      </c>
    </row>
    <row r="7128" ht="15" customHeight="1" spans="1:25" x14ac:dyDescent="0.25">
      <c r="A7128" s="17" t="s">
        <v>20026</v>
      </c>
      <c r="B7128" s="17" t="s">
        <v>70</v>
      </c>
      <c r="C7128" s="17" t="s">
        <v>71</v>
      </c>
      <c r="D7128" t="s">
        <v>20027</v>
      </c>
      <c r="F7128" t="s">
        <v>10140</v>
      </c>
      <c r="K7128" s="18">
        <f>62816715555</f>
        <v>62816715555</v>
      </c>
      <c r="N7128" s="17" t="s">
        <v>74</v>
      </c>
      <c r="U7128" s="17"/>
      <c r="V7128" s="18">
        <f>62816715555</f>
        <v>62816715555</v>
      </c>
      <c r="W7128" t="s">
        <v>20028</v>
      </c>
      <c r="Y7128" s="17" t="s">
        <v>96</v>
      </c>
    </row>
    <row r="7129" ht="15" customHeight="1" spans="1:27" x14ac:dyDescent="0.25">
      <c r="A7129" s="17" t="s">
        <v>20029</v>
      </c>
      <c r="B7129" s="17" t="s">
        <v>70</v>
      </c>
      <c r="C7129" s="17" t="s">
        <v>71</v>
      </c>
      <c r="D7129" t="s">
        <v>20030</v>
      </c>
      <c r="F7129" t="s">
        <v>11264</v>
      </c>
      <c r="K7129" s="18">
        <f>622162306958</f>
        <v>622162306958</v>
      </c>
      <c r="N7129" s="17" t="s">
        <v>77</v>
      </c>
      <c r="U7129" s="17"/>
      <c r="V7129" s="18">
        <f>622162306958</f>
        <v>622162306958</v>
      </c>
      <c r="W7129" t="s">
        <v>20031</v>
      </c>
      <c r="Y7129" s="17" t="s">
        <v>378</v>
      </c>
      <c r="AA7129" s="17">
        <v>10730</v>
      </c>
    </row>
    <row r="7130" ht="15" customHeight="1" spans="1:23" x14ac:dyDescent="0.25">
      <c r="A7130" s="17" t="s">
        <v>20032</v>
      </c>
      <c r="B7130" s="17" t="s">
        <v>70</v>
      </c>
      <c r="C7130" s="17" t="s">
        <v>71</v>
      </c>
      <c r="D7130" t="s">
        <v>12726</v>
      </c>
      <c r="F7130" t="s">
        <v>1589</v>
      </c>
      <c r="K7130" s="18">
        <f>6281369644882</f>
        <v>6281369644882</v>
      </c>
      <c r="N7130" s="17" t="s">
        <v>74</v>
      </c>
      <c r="U7130" s="17"/>
      <c r="V7130" s="18">
        <f>6281369644882</f>
        <v>6281369644882</v>
      </c>
      <c r="W7130" t="s">
        <v>20033</v>
      </c>
    </row>
    <row r="7131" ht="15" customHeight="1" spans="1:28" x14ac:dyDescent="0.25">
      <c r="A7131" s="17" t="s">
        <v>20034</v>
      </c>
      <c r="B7131" s="17" t="s">
        <v>70</v>
      </c>
      <c r="C7131" s="17" t="s">
        <v>71</v>
      </c>
      <c r="D7131" t="s">
        <v>12726</v>
      </c>
      <c r="F7131" t="s">
        <v>20035</v>
      </c>
      <c r="J7131" s="17" t="s">
        <v>20036</v>
      </c>
      <c r="K7131" s="18" t="s">
        <v>20037</v>
      </c>
      <c r="N7131" s="17" t="s">
        <v>77</v>
      </c>
      <c r="O7131" t="s">
        <v>145</v>
      </c>
      <c r="U7131" s="17"/>
      <c r="V7131" s="18" t="s">
        <v>20037</v>
      </c>
      <c r="W7131" t="s">
        <v>20038</v>
      </c>
      <c r="Y7131" t="s">
        <v>190</v>
      </c>
      <c r="AA7131" t="s">
        <v>118</v>
      </c>
      <c r="AB7131" t="s">
        <v>119</v>
      </c>
    </row>
    <row r="7132" ht="15" customHeight="1" spans="1:28" x14ac:dyDescent="0.25">
      <c r="A7132" s="17" t="s">
        <v>20039</v>
      </c>
      <c r="B7132" s="17" t="s">
        <v>70</v>
      </c>
      <c r="C7132" s="17" t="s">
        <v>71</v>
      </c>
      <c r="D7132" t="s">
        <v>12726</v>
      </c>
      <c r="F7132" t="s">
        <v>20040</v>
      </c>
      <c r="J7132" t="s">
        <v>115</v>
      </c>
      <c r="K7132" s="18" t="s">
        <v>20041</v>
      </c>
      <c r="N7132" s="17" t="s">
        <v>77</v>
      </c>
      <c r="O7132" t="s">
        <v>145</v>
      </c>
      <c r="V7132" s="18" t="s">
        <v>20041</v>
      </c>
      <c r="Y7132" t="s">
        <v>90</v>
      </c>
      <c r="AA7132" t="s">
        <v>118</v>
      </c>
      <c r="AB7132" t="s">
        <v>119</v>
      </c>
    </row>
    <row r="7133" ht="15" customHeight="1" spans="1:22" x14ac:dyDescent="0.25">
      <c r="A7133" s="17" t="s">
        <v>20042</v>
      </c>
      <c r="B7133" s="17" t="s">
        <v>70</v>
      </c>
      <c r="C7133" s="17" t="s">
        <v>71</v>
      </c>
      <c r="D7133" t="s">
        <v>12726</v>
      </c>
      <c r="F7133" t="s">
        <v>1589</v>
      </c>
      <c r="K7133" s="18">
        <f>628111777281</f>
        <v>628111777281</v>
      </c>
      <c r="N7133" s="17" t="s">
        <v>77</v>
      </c>
      <c r="V7133" s="18">
        <f>628111777281</f>
        <v>628111777281</v>
      </c>
    </row>
    <row r="7134" ht="15" customHeight="1" spans="1:23" x14ac:dyDescent="0.25">
      <c r="A7134" s="17" t="s">
        <v>20043</v>
      </c>
      <c r="B7134" s="17" t="s">
        <v>70</v>
      </c>
      <c r="C7134" s="17" t="s">
        <v>71</v>
      </c>
      <c r="D7134" t="s">
        <v>12726</v>
      </c>
      <c r="F7134" t="s">
        <v>6111</v>
      </c>
      <c r="K7134" s="18">
        <f>628114851998</f>
        <v>628114851998</v>
      </c>
      <c r="N7134" s="17" t="s">
        <v>77</v>
      </c>
      <c r="U7134" s="17"/>
      <c r="V7134" s="18">
        <f>628114851998</f>
        <v>628114851998</v>
      </c>
      <c r="W7134" t="s">
        <v>20044</v>
      </c>
    </row>
    <row r="7135" ht="15" customHeight="1" spans="1:22" x14ac:dyDescent="0.25">
      <c r="A7135" s="17" t="s">
        <v>20045</v>
      </c>
      <c r="B7135" s="17" t="s">
        <v>70</v>
      </c>
      <c r="C7135" s="17" t="s">
        <v>71</v>
      </c>
      <c r="D7135" t="s">
        <v>20046</v>
      </c>
      <c r="F7135" t="s">
        <v>20046</v>
      </c>
      <c r="K7135" s="18">
        <f>6281234393931</f>
        <v>6281234393931</v>
      </c>
      <c r="N7135" s="17" t="s">
        <v>77</v>
      </c>
      <c r="V7135" s="18">
        <f>6281234393931</f>
        <v>6281234393931</v>
      </c>
    </row>
    <row r="7136" ht="15" customHeight="1" spans="1:28" x14ac:dyDescent="0.25">
      <c r="A7136" s="17" t="s">
        <v>20047</v>
      </c>
      <c r="B7136" s="17" t="s">
        <v>70</v>
      </c>
      <c r="C7136" s="17" t="s">
        <v>71</v>
      </c>
      <c r="D7136" t="s">
        <v>20048</v>
      </c>
      <c r="F7136" t="s">
        <v>20049</v>
      </c>
      <c r="J7136" s="17" t="s">
        <v>20050</v>
      </c>
      <c r="K7136" s="18" t="s">
        <v>20051</v>
      </c>
      <c r="N7136" s="17" t="s">
        <v>81</v>
      </c>
      <c r="O7136" t="s">
        <v>261</v>
      </c>
      <c r="U7136" s="17"/>
      <c r="V7136" s="18" t="s">
        <v>20051</v>
      </c>
      <c r="W7136" t="s">
        <v>20052</v>
      </c>
      <c r="Y7136" t="s">
        <v>90</v>
      </c>
      <c r="AA7136" t="s">
        <v>118</v>
      </c>
      <c r="AB7136" t="s">
        <v>119</v>
      </c>
    </row>
    <row r="7137" ht="15" customHeight="1" spans="1:22" x14ac:dyDescent="0.25">
      <c r="A7137" s="17" t="s">
        <v>20053</v>
      </c>
      <c r="B7137" s="17" t="s">
        <v>70</v>
      </c>
      <c r="C7137" s="17" t="s">
        <v>71</v>
      </c>
      <c r="D7137" t="s">
        <v>20054</v>
      </c>
      <c r="F7137" t="s">
        <v>4458</v>
      </c>
      <c r="J7137" s="17" t="s">
        <v>20055</v>
      </c>
      <c r="K7137" s="18">
        <f>6281319288161</f>
        <v>6281319288161</v>
      </c>
      <c r="N7137" s="17" t="s">
        <v>81</v>
      </c>
      <c r="V7137" s="18">
        <f>6281319288161</f>
        <v>6281319288161</v>
      </c>
    </row>
    <row r="7138" ht="15" customHeight="1" spans="1:28" x14ac:dyDescent="0.25">
      <c r="A7138" s="17" t="s">
        <v>20056</v>
      </c>
      <c r="B7138" s="17" t="s">
        <v>70</v>
      </c>
      <c r="C7138" s="17" t="s">
        <v>71</v>
      </c>
      <c r="D7138" t="s">
        <v>20057</v>
      </c>
      <c r="F7138" t="s">
        <v>20058</v>
      </c>
      <c r="J7138" s="17" t="s">
        <v>20059</v>
      </c>
      <c r="K7138" s="18" t="s">
        <v>20060</v>
      </c>
      <c r="N7138" s="17" t="s">
        <v>77</v>
      </c>
      <c r="O7138" t="s">
        <v>117</v>
      </c>
      <c r="V7138" s="18" t="s">
        <v>20060</v>
      </c>
      <c r="Y7138" t="s">
        <v>90</v>
      </c>
      <c r="AA7138" t="s">
        <v>118</v>
      </c>
      <c r="AB7138" t="s">
        <v>119</v>
      </c>
    </row>
    <row r="7139" ht="15" customHeight="1" spans="1:22" x14ac:dyDescent="0.25">
      <c r="A7139" s="17" t="s">
        <v>20061</v>
      </c>
      <c r="B7139" s="17" t="s">
        <v>70</v>
      </c>
      <c r="C7139" s="17" t="s">
        <v>71</v>
      </c>
      <c r="D7139" t="s">
        <v>20062</v>
      </c>
      <c r="F7139" t="s">
        <v>20063</v>
      </c>
      <c r="K7139" s="18">
        <f>6287888823888</f>
        <v>6287888823888</v>
      </c>
      <c r="N7139" s="17" t="s">
        <v>77</v>
      </c>
      <c r="V7139" s="18">
        <f>6287888823888</f>
        <v>6287888823888</v>
      </c>
    </row>
    <row r="7140" ht="15" customHeight="1" spans="1:23" x14ac:dyDescent="0.25">
      <c r="A7140" s="17" t="s">
        <v>20064</v>
      </c>
      <c r="B7140" s="17" t="s">
        <v>70</v>
      </c>
      <c r="C7140" s="17" t="s">
        <v>71</v>
      </c>
      <c r="D7140" t="s">
        <v>20062</v>
      </c>
      <c r="F7140" t="s">
        <v>20065</v>
      </c>
      <c r="K7140" s="18">
        <f>6281284071945</f>
        <v>6281284071945</v>
      </c>
      <c r="N7140" s="17" t="s">
        <v>77</v>
      </c>
      <c r="U7140" s="17"/>
      <c r="V7140" s="18">
        <f>6281284071945</f>
        <v>6281284071945</v>
      </c>
      <c r="W7140" t="s">
        <v>20066</v>
      </c>
    </row>
    <row r="7141" ht="15" customHeight="1" spans="1:22" x14ac:dyDescent="0.25">
      <c r="A7141" s="17" t="s">
        <v>20067</v>
      </c>
      <c r="B7141" s="17" t="s">
        <v>70</v>
      </c>
      <c r="C7141" s="17" t="s">
        <v>71</v>
      </c>
      <c r="D7141" t="s">
        <v>20068</v>
      </c>
      <c r="F7141" t="s">
        <v>20068</v>
      </c>
      <c r="K7141" s="18">
        <f>628999866859</f>
        <v>628999866859</v>
      </c>
      <c r="N7141" s="17" t="s">
        <v>77</v>
      </c>
      <c r="V7141" s="18">
        <f>628999866859</f>
        <v>628999866859</v>
      </c>
    </row>
    <row r="7142" ht="15" customHeight="1" spans="1:28" x14ac:dyDescent="0.25">
      <c r="A7142" s="17" t="s">
        <v>20069</v>
      </c>
      <c r="B7142" s="17" t="s">
        <v>70</v>
      </c>
      <c r="C7142" s="17" t="s">
        <v>71</v>
      </c>
      <c r="D7142" t="s">
        <v>4488</v>
      </c>
      <c r="F7142" t="s">
        <v>153</v>
      </c>
      <c r="J7142" t="s">
        <v>20070</v>
      </c>
      <c r="K7142" s="18" t="s">
        <v>20071</v>
      </c>
      <c r="N7142" s="17" t="s">
        <v>77</v>
      </c>
      <c r="O7142" t="s">
        <v>145</v>
      </c>
      <c r="V7142" s="18" t="s">
        <v>20071</v>
      </c>
      <c r="Y7142" t="s">
        <v>90</v>
      </c>
      <c r="AA7142" t="s">
        <v>118</v>
      </c>
      <c r="AB7142" t="s">
        <v>119</v>
      </c>
    </row>
    <row r="7143" ht="15" customHeight="1" spans="1:22" x14ac:dyDescent="0.25">
      <c r="A7143" s="17" t="s">
        <v>20072</v>
      </c>
      <c r="B7143" s="17" t="s">
        <v>70</v>
      </c>
      <c r="C7143" s="17" t="s">
        <v>71</v>
      </c>
      <c r="D7143" t="s">
        <v>20073</v>
      </c>
      <c r="F7143" t="s">
        <v>20074</v>
      </c>
      <c r="K7143" s="18">
        <f>6281240885505</f>
        <v>6281240885505</v>
      </c>
      <c r="N7143" s="17" t="s">
        <v>77</v>
      </c>
      <c r="V7143" s="18">
        <f>6281240885505</f>
        <v>6281240885505</v>
      </c>
    </row>
    <row r="7144" ht="15" customHeight="1" spans="1:22" x14ac:dyDescent="0.25">
      <c r="A7144" s="17" t="s">
        <v>20075</v>
      </c>
      <c r="B7144" s="17" t="s">
        <v>70</v>
      </c>
      <c r="C7144" s="17" t="s">
        <v>71</v>
      </c>
      <c r="D7144" t="s">
        <v>20076</v>
      </c>
      <c r="F7144" t="s">
        <v>20076</v>
      </c>
      <c r="K7144" s="18">
        <f>628179234759</f>
        <v>628179234759</v>
      </c>
      <c r="N7144" s="17" t="s">
        <v>81</v>
      </c>
      <c r="V7144" s="18">
        <f>628179234759</f>
        <v>628179234759</v>
      </c>
    </row>
    <row r="7145" ht="15" customHeight="1" spans="1:22" x14ac:dyDescent="0.25">
      <c r="A7145" s="17" t="s">
        <v>20077</v>
      </c>
      <c r="B7145" s="17" t="s">
        <v>70</v>
      </c>
      <c r="C7145" s="17" t="s">
        <v>71</v>
      </c>
      <c r="D7145" t="s">
        <v>20076</v>
      </c>
      <c r="F7145" t="s">
        <v>20078</v>
      </c>
      <c r="K7145" s="18">
        <f>628114111777</f>
        <v>628114111777</v>
      </c>
      <c r="N7145" s="17" t="s">
        <v>77</v>
      </c>
      <c r="V7145" s="18">
        <f>628114111777</f>
        <v>628114111777</v>
      </c>
    </row>
    <row r="7146" ht="15" customHeight="1" spans="1:22" x14ac:dyDescent="0.25">
      <c r="A7146" s="17" t="s">
        <v>20079</v>
      </c>
      <c r="B7146" s="17" t="s">
        <v>70</v>
      </c>
      <c r="C7146" s="17" t="s">
        <v>71</v>
      </c>
      <c r="D7146" t="s">
        <v>20076</v>
      </c>
      <c r="F7146" t="s">
        <v>11151</v>
      </c>
      <c r="K7146" s="18">
        <f>628118517070</f>
        <v>628118517070</v>
      </c>
      <c r="N7146" s="17" t="s">
        <v>77</v>
      </c>
      <c r="V7146" s="18">
        <f>628118517070</f>
        <v>628118517070</v>
      </c>
    </row>
    <row r="7147" ht="15" customHeight="1" spans="1:22" x14ac:dyDescent="0.25">
      <c r="A7147" s="17" t="s">
        <v>20080</v>
      </c>
      <c r="B7147" s="17" t="s">
        <v>70</v>
      </c>
      <c r="C7147" s="17" t="s">
        <v>71</v>
      </c>
      <c r="D7147" t="s">
        <v>20076</v>
      </c>
      <c r="F7147" t="s">
        <v>20081</v>
      </c>
      <c r="K7147" s="18">
        <f>6281318408265</f>
        <v>6281318408265</v>
      </c>
      <c r="N7147" s="17" t="s">
        <v>81</v>
      </c>
      <c r="V7147" s="18">
        <f>6281318408265</f>
        <v>6281318408265</v>
      </c>
    </row>
    <row r="7148" ht="15" customHeight="1" spans="1:22" x14ac:dyDescent="0.25">
      <c r="A7148" s="17" t="s">
        <v>20082</v>
      </c>
      <c r="B7148" s="17" t="s">
        <v>70</v>
      </c>
      <c r="C7148" s="17" t="s">
        <v>71</v>
      </c>
      <c r="D7148" t="s">
        <v>20083</v>
      </c>
      <c r="F7148" t="s">
        <v>1303</v>
      </c>
      <c r="K7148" s="18">
        <f>62817159559</f>
        <v>62817159559</v>
      </c>
      <c r="N7148" s="17" t="s">
        <v>81</v>
      </c>
      <c r="V7148" s="18">
        <f>62817159559</f>
        <v>62817159559</v>
      </c>
    </row>
    <row r="7149" ht="15" customHeight="1" spans="1:23" x14ac:dyDescent="0.25">
      <c r="A7149" s="17" t="s">
        <v>20084</v>
      </c>
      <c r="B7149" s="17" t="s">
        <v>70</v>
      </c>
      <c r="C7149" s="17" t="s">
        <v>71</v>
      </c>
      <c r="D7149" t="s">
        <v>20085</v>
      </c>
      <c r="F7149" t="s">
        <v>20086</v>
      </c>
      <c r="K7149" s="18">
        <f>62811976679</f>
        <v>62811976679</v>
      </c>
      <c r="N7149" s="17" t="s">
        <v>77</v>
      </c>
      <c r="U7149" s="17"/>
      <c r="V7149" s="18">
        <f>62811976679</f>
        <v>62811976679</v>
      </c>
      <c r="W7149" t="s">
        <v>20087</v>
      </c>
    </row>
    <row r="7150" ht="15" customHeight="1" spans="1:22" x14ac:dyDescent="0.25">
      <c r="A7150" s="17" t="s">
        <v>20088</v>
      </c>
      <c r="B7150" s="17" t="s">
        <v>70</v>
      </c>
      <c r="C7150" s="17" t="s">
        <v>71</v>
      </c>
      <c r="D7150" t="s">
        <v>20089</v>
      </c>
      <c r="F7150" t="s">
        <v>20089</v>
      </c>
      <c r="K7150" s="18">
        <f>6281271137440</f>
        <v>6281271137440</v>
      </c>
      <c r="N7150" s="17" t="s">
        <v>81</v>
      </c>
      <c r="V7150" s="18">
        <f>6281271137440</f>
        <v>6281271137440</v>
      </c>
    </row>
    <row r="7151" ht="15" customHeight="1" spans="1:23" x14ac:dyDescent="0.25">
      <c r="A7151" s="17" t="s">
        <v>20090</v>
      </c>
      <c r="B7151" s="17" t="s">
        <v>70</v>
      </c>
      <c r="C7151" s="17" t="s">
        <v>71</v>
      </c>
      <c r="D7151" t="s">
        <v>20089</v>
      </c>
      <c r="F7151" t="s">
        <v>212</v>
      </c>
      <c r="K7151" s="18">
        <f>62811800307</f>
        <v>62811800307</v>
      </c>
      <c r="N7151" s="17" t="s">
        <v>81</v>
      </c>
      <c r="U7151" s="17"/>
      <c r="V7151" s="18">
        <f>62811800307</f>
        <v>62811800307</v>
      </c>
      <c r="W7151" t="s">
        <v>20091</v>
      </c>
    </row>
    <row r="7152" ht="15" customHeight="1" spans="1:22" x14ac:dyDescent="0.25">
      <c r="A7152" s="17" t="s">
        <v>20092</v>
      </c>
      <c r="B7152" s="17" t="s">
        <v>70</v>
      </c>
      <c r="C7152" s="17" t="s">
        <v>71</v>
      </c>
      <c r="D7152" t="s">
        <v>20093</v>
      </c>
      <c r="F7152" t="s">
        <v>84</v>
      </c>
      <c r="K7152" s="18">
        <f>62816727672</f>
        <v>62816727672</v>
      </c>
      <c r="N7152" s="17" t="s">
        <v>81</v>
      </c>
      <c r="V7152" s="18">
        <f>62816727672</f>
        <v>62816727672</v>
      </c>
    </row>
    <row r="7153" ht="15" customHeight="1" spans="1:28" x14ac:dyDescent="0.25">
      <c r="A7153" s="17" t="s">
        <v>20094</v>
      </c>
      <c r="B7153" s="17" t="s">
        <v>70</v>
      </c>
      <c r="C7153" s="17" t="s">
        <v>71</v>
      </c>
      <c r="D7153" t="s">
        <v>20095</v>
      </c>
      <c r="F7153" t="s">
        <v>20095</v>
      </c>
      <c r="J7153" t="s">
        <v>115</v>
      </c>
      <c r="K7153" s="18" t="s">
        <v>20096</v>
      </c>
      <c r="N7153" s="17" t="s">
        <v>77</v>
      </c>
      <c r="O7153" t="s">
        <v>117</v>
      </c>
      <c r="V7153" s="18" t="s">
        <v>20096</v>
      </c>
      <c r="Y7153" t="s">
        <v>181</v>
      </c>
      <c r="AA7153" t="s">
        <v>1672</v>
      </c>
      <c r="AB7153" t="s">
        <v>119</v>
      </c>
    </row>
    <row r="7154" ht="15" customHeight="1" spans="1:22" x14ac:dyDescent="0.25">
      <c r="A7154" s="17" t="s">
        <v>20097</v>
      </c>
      <c r="B7154" s="17" t="s">
        <v>70</v>
      </c>
      <c r="C7154" s="17" t="s">
        <v>71</v>
      </c>
      <c r="D7154" t="s">
        <v>20098</v>
      </c>
      <c r="F7154" t="s">
        <v>4654</v>
      </c>
      <c r="K7154" s="18">
        <f>628161851408</f>
        <v>628161851408</v>
      </c>
      <c r="N7154" s="17" t="s">
        <v>77</v>
      </c>
      <c r="V7154" s="18">
        <f>628161851408</f>
        <v>628161851408</v>
      </c>
    </row>
    <row r="7155" ht="15" customHeight="1" spans="1:22" x14ac:dyDescent="0.25">
      <c r="A7155" s="17" t="s">
        <v>20099</v>
      </c>
      <c r="B7155" s="17" t="s">
        <v>70</v>
      </c>
      <c r="C7155" s="17" t="s">
        <v>71</v>
      </c>
      <c r="D7155" t="s">
        <v>999</v>
      </c>
      <c r="F7155" t="s">
        <v>999</v>
      </c>
      <c r="K7155" s="18">
        <f>628123276619</f>
        <v>628123276619</v>
      </c>
      <c r="N7155" s="17" t="s">
        <v>77</v>
      </c>
      <c r="V7155" s="18">
        <f>628123276619</f>
        <v>628123276619</v>
      </c>
    </row>
    <row r="7156" ht="15" customHeight="1" spans="1:28" x14ac:dyDescent="0.25">
      <c r="A7156" s="17" t="s">
        <v>20100</v>
      </c>
      <c r="B7156" s="17" t="s">
        <v>70</v>
      </c>
      <c r="C7156" s="17" t="s">
        <v>71</v>
      </c>
      <c r="D7156" t="s">
        <v>999</v>
      </c>
      <c r="F7156" t="s">
        <v>999</v>
      </c>
      <c r="J7156" s="17" t="s">
        <v>20101</v>
      </c>
      <c r="K7156" s="18" t="s">
        <v>20102</v>
      </c>
      <c r="N7156" s="17" t="s">
        <v>81</v>
      </c>
      <c r="O7156" t="s">
        <v>199</v>
      </c>
      <c r="U7156" s="17"/>
      <c r="V7156" s="18" t="s">
        <v>20102</v>
      </c>
      <c r="W7156" t="s">
        <v>20103</v>
      </c>
      <c r="Y7156" s="17" t="s">
        <v>90</v>
      </c>
      <c r="AA7156" t="s">
        <v>118</v>
      </c>
      <c r="AB7156" t="s">
        <v>119</v>
      </c>
    </row>
    <row r="7157" ht="15" customHeight="1" spans="1:22" x14ac:dyDescent="0.25">
      <c r="A7157" s="17" t="s">
        <v>20104</v>
      </c>
      <c r="B7157" s="17" t="s">
        <v>70</v>
      </c>
      <c r="C7157" s="17" t="s">
        <v>71</v>
      </c>
      <c r="D7157" t="s">
        <v>999</v>
      </c>
      <c r="F7157" t="s">
        <v>999</v>
      </c>
      <c r="K7157" s="18">
        <f>628111800328</f>
        <v>628111800328</v>
      </c>
      <c r="N7157" s="17" t="s">
        <v>77</v>
      </c>
      <c r="V7157" s="18">
        <f>628111800328</f>
        <v>628111800328</v>
      </c>
    </row>
    <row r="7158" ht="15" customHeight="1" spans="1:28" x14ac:dyDescent="0.25">
      <c r="A7158" s="17" t="s">
        <v>20105</v>
      </c>
      <c r="B7158" s="17" t="s">
        <v>70</v>
      </c>
      <c r="C7158" s="17" t="s">
        <v>71</v>
      </c>
      <c r="D7158" t="s">
        <v>999</v>
      </c>
      <c r="F7158" t="s">
        <v>20106</v>
      </c>
      <c r="J7158" s="17" t="s">
        <v>20107</v>
      </c>
      <c r="K7158" s="18" t="s">
        <v>20108</v>
      </c>
      <c r="N7158" s="17" t="s">
        <v>77</v>
      </c>
      <c r="O7158" t="s">
        <v>145</v>
      </c>
      <c r="U7158" s="17"/>
      <c r="V7158" s="18" t="s">
        <v>20108</v>
      </c>
      <c r="W7158" t="s">
        <v>20109</v>
      </c>
      <c r="Y7158" t="s">
        <v>181</v>
      </c>
      <c r="AA7158" t="s">
        <v>1672</v>
      </c>
      <c r="AB7158" t="s">
        <v>119</v>
      </c>
    </row>
    <row r="7159" ht="15" customHeight="1" spans="1:22" x14ac:dyDescent="0.25">
      <c r="A7159" s="17" t="s">
        <v>20110</v>
      </c>
      <c r="B7159" s="17" t="s">
        <v>70</v>
      </c>
      <c r="C7159" s="17" t="s">
        <v>71</v>
      </c>
      <c r="D7159" t="s">
        <v>999</v>
      </c>
      <c r="F7159" t="s">
        <v>20111</v>
      </c>
      <c r="K7159" s="18">
        <f>6281297050069</f>
        <v>6281297050069</v>
      </c>
      <c r="N7159" s="17" t="s">
        <v>81</v>
      </c>
      <c r="V7159" s="18">
        <f>6281297050069</f>
        <v>6281297050069</v>
      </c>
    </row>
    <row r="7160" ht="15" customHeight="1" spans="1:22" x14ac:dyDescent="0.25">
      <c r="A7160" s="17" t="s">
        <v>20112</v>
      </c>
      <c r="B7160" s="17" t="s">
        <v>70</v>
      </c>
      <c r="C7160" s="17" t="s">
        <v>71</v>
      </c>
      <c r="D7160" t="s">
        <v>999</v>
      </c>
      <c r="F7160" t="s">
        <v>20111</v>
      </c>
      <c r="K7160" s="18">
        <f>6282141414297</f>
        <v>6282141414297</v>
      </c>
      <c r="N7160" s="17" t="s">
        <v>81</v>
      </c>
      <c r="V7160" s="18">
        <f>6282141414297</f>
        <v>6282141414297</v>
      </c>
    </row>
    <row r="7161" ht="15" customHeight="1" spans="1:28" x14ac:dyDescent="0.25">
      <c r="A7161" s="17" t="s">
        <v>20113</v>
      </c>
      <c r="B7161" s="17" t="s">
        <v>70</v>
      </c>
      <c r="C7161" s="17" t="s">
        <v>71</v>
      </c>
      <c r="D7161" t="s">
        <v>999</v>
      </c>
      <c r="F7161" t="s">
        <v>999</v>
      </c>
      <c r="J7161" t="s">
        <v>115</v>
      </c>
      <c r="K7161" s="18" t="s">
        <v>20114</v>
      </c>
      <c r="N7161" s="17" t="s">
        <v>77</v>
      </c>
      <c r="O7161" t="s">
        <v>145</v>
      </c>
      <c r="V7161" s="18" t="s">
        <v>20114</v>
      </c>
      <c r="Y7161" t="s">
        <v>190</v>
      </c>
      <c r="AA7161" t="s">
        <v>118</v>
      </c>
      <c r="AB7161" t="s">
        <v>119</v>
      </c>
    </row>
    <row r="7162" ht="15" customHeight="1" spans="1:28" x14ac:dyDescent="0.25">
      <c r="A7162" s="17" t="s">
        <v>20115</v>
      </c>
      <c r="B7162" s="17" t="s">
        <v>70</v>
      </c>
      <c r="C7162" s="17" t="s">
        <v>71</v>
      </c>
      <c r="D7162" t="s">
        <v>999</v>
      </c>
      <c r="F7162" t="s">
        <v>10875</v>
      </c>
      <c r="J7162" t="s">
        <v>115</v>
      </c>
      <c r="K7162" s="18" t="s">
        <v>20116</v>
      </c>
      <c r="N7162" s="17" t="s">
        <v>81</v>
      </c>
      <c r="O7162" t="s">
        <v>117</v>
      </c>
      <c r="V7162" s="18" t="s">
        <v>20116</v>
      </c>
      <c r="Y7162" t="s">
        <v>90</v>
      </c>
      <c r="AA7162" t="s">
        <v>118</v>
      </c>
      <c r="AB7162" t="s">
        <v>119</v>
      </c>
    </row>
    <row r="7163" ht="15" customHeight="1" spans="1:22" x14ac:dyDescent="0.25">
      <c r="A7163" s="17" t="s">
        <v>20117</v>
      </c>
      <c r="B7163" s="17" t="s">
        <v>70</v>
      </c>
      <c r="C7163" s="17" t="s">
        <v>71</v>
      </c>
      <c r="D7163" t="s">
        <v>999</v>
      </c>
      <c r="F7163" t="s">
        <v>20118</v>
      </c>
      <c r="K7163" s="18">
        <f>6281299111129</f>
        <v>6281299111129</v>
      </c>
      <c r="N7163" s="17" t="s">
        <v>81</v>
      </c>
      <c r="V7163" s="18">
        <f>6281299111129</f>
        <v>6281299111129</v>
      </c>
    </row>
    <row r="7164" ht="15" customHeight="1" spans="1:22" x14ac:dyDescent="0.25">
      <c r="A7164" s="17" t="s">
        <v>20119</v>
      </c>
      <c r="B7164" s="17" t="s">
        <v>70</v>
      </c>
      <c r="C7164" s="17" t="s">
        <v>71</v>
      </c>
      <c r="D7164" t="s">
        <v>999</v>
      </c>
      <c r="F7164" t="s">
        <v>20120</v>
      </c>
      <c r="K7164" s="18">
        <f>6287780078002</f>
        <v>6287780078002</v>
      </c>
      <c r="N7164" s="17" t="s">
        <v>77</v>
      </c>
      <c r="V7164" s="18">
        <f>6287780078002</f>
        <v>6287780078002</v>
      </c>
    </row>
    <row r="7165" ht="15" customHeight="1" spans="1:22" x14ac:dyDescent="0.25">
      <c r="A7165" s="17" t="s">
        <v>20121</v>
      </c>
      <c r="B7165" s="17" t="s">
        <v>70</v>
      </c>
      <c r="C7165" s="17" t="s">
        <v>71</v>
      </c>
      <c r="D7165" t="s">
        <v>999</v>
      </c>
      <c r="F7165" t="s">
        <v>20122</v>
      </c>
      <c r="K7165" s="18">
        <f>628158877712</f>
        <v>628158877712</v>
      </c>
      <c r="N7165" s="17" t="s">
        <v>77</v>
      </c>
      <c r="V7165" s="18">
        <f>628158877712</f>
        <v>628158877712</v>
      </c>
    </row>
    <row r="7166" ht="15" customHeight="1" spans="1:28" x14ac:dyDescent="0.25">
      <c r="A7166" s="17" t="s">
        <v>20123</v>
      </c>
      <c r="B7166" s="17" t="s">
        <v>70</v>
      </c>
      <c r="C7166" s="17" t="s">
        <v>71</v>
      </c>
      <c r="D7166" t="s">
        <v>999</v>
      </c>
      <c r="F7166" t="s">
        <v>20124</v>
      </c>
      <c r="J7166" t="s">
        <v>115</v>
      </c>
      <c r="K7166" s="18" t="s">
        <v>20125</v>
      </c>
      <c r="N7166" s="17" t="s">
        <v>77</v>
      </c>
      <c r="O7166" t="s">
        <v>199</v>
      </c>
      <c r="V7166" s="18" t="s">
        <v>20125</v>
      </c>
      <c r="Y7166" t="s">
        <v>190</v>
      </c>
      <c r="AA7166" t="s">
        <v>118</v>
      </c>
      <c r="AB7166" t="s">
        <v>119</v>
      </c>
    </row>
    <row r="7167" ht="15" customHeight="1" spans="1:25" x14ac:dyDescent="0.25">
      <c r="A7167" s="17" t="s">
        <v>20126</v>
      </c>
      <c r="B7167" s="17" t="s">
        <v>70</v>
      </c>
      <c r="C7167" s="17" t="s">
        <v>71</v>
      </c>
      <c r="D7167" t="s">
        <v>999</v>
      </c>
      <c r="F7167" t="s">
        <v>3605</v>
      </c>
      <c r="K7167" s="18">
        <f>6281388191919</f>
        <v>6281388191919</v>
      </c>
      <c r="N7167" s="17" t="s">
        <v>74</v>
      </c>
      <c r="U7167" s="17"/>
      <c r="V7167" s="18">
        <f>6281388191919</f>
        <v>6281388191919</v>
      </c>
      <c r="W7167" t="s">
        <v>20127</v>
      </c>
      <c r="Y7167" s="17" t="s">
        <v>96</v>
      </c>
    </row>
    <row r="7168" ht="15" customHeight="1" spans="1:22" x14ac:dyDescent="0.25">
      <c r="A7168" s="17" t="s">
        <v>20128</v>
      </c>
      <c r="B7168" s="17" t="s">
        <v>70</v>
      </c>
      <c r="C7168" s="17" t="s">
        <v>71</v>
      </c>
      <c r="D7168" t="s">
        <v>999</v>
      </c>
      <c r="F7168" t="s">
        <v>20129</v>
      </c>
      <c r="K7168" s="18">
        <f>62811888398</f>
        <v>62811888398</v>
      </c>
      <c r="N7168" s="17" t="s">
        <v>81</v>
      </c>
      <c r="V7168" s="18">
        <f>62811888398</f>
        <v>62811888398</v>
      </c>
    </row>
    <row r="7169" ht="15" customHeight="1" spans="1:28" x14ac:dyDescent="0.25">
      <c r="A7169" s="17" t="s">
        <v>20130</v>
      </c>
      <c r="B7169" s="17" t="s">
        <v>70</v>
      </c>
      <c r="C7169" s="17" t="s">
        <v>71</v>
      </c>
      <c r="D7169" t="s">
        <v>999</v>
      </c>
      <c r="F7169" t="s">
        <v>10220</v>
      </c>
      <c r="J7169" t="s">
        <v>115</v>
      </c>
      <c r="K7169" s="18" t="s">
        <v>20131</v>
      </c>
      <c r="N7169" s="17" t="s">
        <v>77</v>
      </c>
      <c r="O7169" t="s">
        <v>145</v>
      </c>
      <c r="V7169" s="18" t="s">
        <v>20131</v>
      </c>
      <c r="Y7169" t="s">
        <v>90</v>
      </c>
      <c r="AA7169" t="s">
        <v>118</v>
      </c>
      <c r="AB7169" t="s">
        <v>119</v>
      </c>
    </row>
    <row r="7170" ht="15" customHeight="1" spans="1:22" x14ac:dyDescent="0.25">
      <c r="A7170" s="17" t="s">
        <v>20132</v>
      </c>
      <c r="B7170" s="17" t="s">
        <v>70</v>
      </c>
      <c r="C7170" s="17" t="s">
        <v>71</v>
      </c>
      <c r="D7170" t="s">
        <v>20133</v>
      </c>
      <c r="F7170" t="s">
        <v>20133</v>
      </c>
      <c r="K7170" s="18">
        <f>6281294050148</f>
        <v>6281294050148</v>
      </c>
      <c r="N7170" s="17" t="s">
        <v>81</v>
      </c>
      <c r="V7170" s="18">
        <f>6281294050148</f>
        <v>6281294050148</v>
      </c>
    </row>
    <row r="7171" ht="15" customHeight="1" spans="1:28" x14ac:dyDescent="0.25">
      <c r="A7171" s="17" t="s">
        <v>20134</v>
      </c>
      <c r="B7171" s="17" t="s">
        <v>70</v>
      </c>
      <c r="C7171" s="17" t="s">
        <v>71</v>
      </c>
      <c r="D7171" t="s">
        <v>20135</v>
      </c>
      <c r="F7171" t="s">
        <v>20135</v>
      </c>
      <c r="J7171" t="s">
        <v>115</v>
      </c>
      <c r="K7171" s="18" t="s">
        <v>20136</v>
      </c>
      <c r="N7171" s="17" t="s">
        <v>81</v>
      </c>
      <c r="O7171" t="s">
        <v>117</v>
      </c>
      <c r="V7171" s="18" t="s">
        <v>20136</v>
      </c>
      <c r="Y7171" t="s">
        <v>90</v>
      </c>
      <c r="AA7171" t="s">
        <v>118</v>
      </c>
      <c r="AB7171" t="s">
        <v>119</v>
      </c>
    </row>
    <row r="7172" ht="15" customHeight="1" spans="1:22" x14ac:dyDescent="0.25">
      <c r="A7172" s="17" t="s">
        <v>20137</v>
      </c>
      <c r="B7172" s="17" t="s">
        <v>70</v>
      </c>
      <c r="C7172" s="17" t="s">
        <v>71</v>
      </c>
      <c r="D7172" t="s">
        <v>20135</v>
      </c>
      <c r="F7172" t="s">
        <v>20135</v>
      </c>
      <c r="K7172" s="18">
        <f>628181853498</f>
        <v>628181853498</v>
      </c>
      <c r="N7172" s="17" t="s">
        <v>77</v>
      </c>
      <c r="V7172" s="18">
        <f>628181853498</f>
        <v>628181853498</v>
      </c>
    </row>
    <row r="7173" ht="15" customHeight="1" spans="1:28" x14ac:dyDescent="0.25">
      <c r="A7173" s="17" t="s">
        <v>20138</v>
      </c>
      <c r="B7173" s="17" t="s">
        <v>70</v>
      </c>
      <c r="C7173" s="17" t="s">
        <v>71</v>
      </c>
      <c r="D7173" t="s">
        <v>20135</v>
      </c>
      <c r="F7173" t="s">
        <v>20135</v>
      </c>
      <c r="J7173" t="s">
        <v>115</v>
      </c>
      <c r="K7173" s="18" t="s">
        <v>20139</v>
      </c>
      <c r="N7173" s="17" t="s">
        <v>81</v>
      </c>
      <c r="O7173" t="s">
        <v>117</v>
      </c>
      <c r="V7173" s="18" t="s">
        <v>20139</v>
      </c>
      <c r="Y7173" t="s">
        <v>90</v>
      </c>
      <c r="AA7173" t="s">
        <v>118</v>
      </c>
      <c r="AB7173" t="s">
        <v>119</v>
      </c>
    </row>
    <row r="7174" ht="15" customHeight="1" spans="1:22" x14ac:dyDescent="0.25">
      <c r="A7174" s="17" t="s">
        <v>20140</v>
      </c>
      <c r="B7174" s="17" t="s">
        <v>70</v>
      </c>
      <c r="C7174" s="17" t="s">
        <v>71</v>
      </c>
      <c r="D7174" t="s">
        <v>20135</v>
      </c>
      <c r="F7174" t="s">
        <v>20135</v>
      </c>
      <c r="K7174" s="18">
        <f>62818185898</f>
        <v>62818185898</v>
      </c>
      <c r="N7174" s="17" t="s">
        <v>81</v>
      </c>
      <c r="V7174" s="18">
        <f>62818185898</f>
        <v>62818185898</v>
      </c>
    </row>
    <row r="7175" ht="15" customHeight="1" spans="1:28" x14ac:dyDescent="0.25">
      <c r="A7175" s="17" t="s">
        <v>20141</v>
      </c>
      <c r="B7175" s="17" t="s">
        <v>70</v>
      </c>
      <c r="C7175" s="17" t="s">
        <v>71</v>
      </c>
      <c r="D7175" t="s">
        <v>20135</v>
      </c>
      <c r="F7175" t="s">
        <v>20142</v>
      </c>
      <c r="J7175" t="s">
        <v>115</v>
      </c>
      <c r="K7175" s="18" t="s">
        <v>20143</v>
      </c>
      <c r="N7175" s="17" t="s">
        <v>81</v>
      </c>
      <c r="O7175" t="s">
        <v>117</v>
      </c>
      <c r="V7175" s="18" t="s">
        <v>20143</v>
      </c>
      <c r="Y7175" t="s">
        <v>190</v>
      </c>
      <c r="AA7175" t="s">
        <v>118</v>
      </c>
      <c r="AB7175" t="s">
        <v>119</v>
      </c>
    </row>
    <row r="7176" ht="15" customHeight="1" spans="1:28" x14ac:dyDescent="0.25">
      <c r="A7176" s="17" t="s">
        <v>20144</v>
      </c>
      <c r="B7176" s="17" t="s">
        <v>70</v>
      </c>
      <c r="C7176" s="17" t="s">
        <v>71</v>
      </c>
      <c r="D7176" t="s">
        <v>20135</v>
      </c>
      <c r="F7176" t="s">
        <v>20145</v>
      </c>
      <c r="J7176" t="s">
        <v>115</v>
      </c>
      <c r="K7176" s="18" t="s">
        <v>20146</v>
      </c>
      <c r="N7176" s="17" t="s">
        <v>77</v>
      </c>
      <c r="O7176" t="s">
        <v>117</v>
      </c>
      <c r="V7176" s="18" t="s">
        <v>20146</v>
      </c>
      <c r="Y7176" t="s">
        <v>190</v>
      </c>
      <c r="AA7176" t="s">
        <v>118</v>
      </c>
      <c r="AB7176" t="s">
        <v>119</v>
      </c>
    </row>
    <row r="7177" ht="15" customHeight="1" spans="1:23" x14ac:dyDescent="0.25">
      <c r="A7177" s="17" t="s">
        <v>20147</v>
      </c>
      <c r="B7177" s="17" t="s">
        <v>70</v>
      </c>
      <c r="C7177" s="17" t="s">
        <v>71</v>
      </c>
      <c r="D7177" t="s">
        <v>20135</v>
      </c>
      <c r="F7177" t="s">
        <v>20148</v>
      </c>
      <c r="K7177" s="18">
        <f>6282111177348</f>
        <v>6282111177348</v>
      </c>
      <c r="N7177" s="17" t="s">
        <v>81</v>
      </c>
      <c r="U7177" s="17"/>
      <c r="V7177" s="18">
        <f>6282111177348</f>
        <v>6282111177348</v>
      </c>
      <c r="W7177" t="s">
        <v>20149</v>
      </c>
    </row>
    <row r="7178" ht="15" customHeight="1" spans="1:28" x14ac:dyDescent="0.25">
      <c r="A7178" s="17" t="s">
        <v>20150</v>
      </c>
      <c r="B7178" s="17" t="s">
        <v>70</v>
      </c>
      <c r="C7178" s="17" t="s">
        <v>71</v>
      </c>
      <c r="D7178" t="s">
        <v>20135</v>
      </c>
      <c r="F7178" t="s">
        <v>3619</v>
      </c>
      <c r="J7178" t="s">
        <v>115</v>
      </c>
      <c r="K7178" s="18" t="s">
        <v>20151</v>
      </c>
      <c r="N7178" s="17" t="s">
        <v>77</v>
      </c>
      <c r="O7178" t="s">
        <v>145</v>
      </c>
      <c r="V7178" s="18" t="s">
        <v>20151</v>
      </c>
      <c r="Y7178" t="s">
        <v>90</v>
      </c>
      <c r="AA7178" t="s">
        <v>118</v>
      </c>
      <c r="AB7178" t="s">
        <v>119</v>
      </c>
    </row>
    <row r="7179" ht="15" customHeight="1" spans="1:22" x14ac:dyDescent="0.25">
      <c r="A7179" s="17" t="s">
        <v>20152</v>
      </c>
      <c r="B7179" s="17" t="s">
        <v>70</v>
      </c>
      <c r="C7179" s="17" t="s">
        <v>71</v>
      </c>
      <c r="D7179" t="s">
        <v>20135</v>
      </c>
      <c r="F7179" t="s">
        <v>618</v>
      </c>
      <c r="K7179" s="18">
        <f>62817198989</f>
        <v>62817198989</v>
      </c>
      <c r="N7179" s="17" t="s">
        <v>81</v>
      </c>
      <c r="V7179" s="18">
        <f>62817198989</f>
        <v>62817198989</v>
      </c>
    </row>
    <row r="7180" ht="15" customHeight="1" spans="1:22" x14ac:dyDescent="0.25">
      <c r="A7180" s="17" t="s">
        <v>20153</v>
      </c>
      <c r="B7180" s="17" t="s">
        <v>70</v>
      </c>
      <c r="C7180" s="17" t="s">
        <v>71</v>
      </c>
      <c r="D7180" t="s">
        <v>20135</v>
      </c>
      <c r="F7180" t="s">
        <v>20154</v>
      </c>
      <c r="K7180" s="18">
        <f>628161835901</f>
        <v>628161835901</v>
      </c>
      <c r="N7180" s="17" t="s">
        <v>77</v>
      </c>
      <c r="V7180" s="18">
        <f>628161835901</f>
        <v>628161835901</v>
      </c>
    </row>
    <row r="7181" ht="15" customHeight="1" spans="1:22" x14ac:dyDescent="0.25">
      <c r="A7181" s="17" t="s">
        <v>20155</v>
      </c>
      <c r="B7181" s="17" t="s">
        <v>70</v>
      </c>
      <c r="C7181" s="17" t="s">
        <v>71</v>
      </c>
      <c r="D7181" t="s">
        <v>20135</v>
      </c>
      <c r="F7181" t="s">
        <v>20156</v>
      </c>
      <c r="K7181" s="18">
        <f>62812111699399</f>
        <v>62812111699399</v>
      </c>
      <c r="N7181" s="17" t="s">
        <v>77</v>
      </c>
      <c r="V7181" s="18">
        <f>62812111699399</f>
        <v>62812111699399</v>
      </c>
    </row>
    <row r="7182" ht="15" customHeight="1" spans="1:22" x14ac:dyDescent="0.25">
      <c r="A7182" s="17" t="s">
        <v>20157</v>
      </c>
      <c r="B7182" s="17" t="s">
        <v>70</v>
      </c>
      <c r="C7182" s="17" t="s">
        <v>71</v>
      </c>
      <c r="D7182" t="s">
        <v>20135</v>
      </c>
      <c r="F7182" t="s">
        <v>20158</v>
      </c>
      <c r="K7182" s="18">
        <f>6282189286059</f>
        <v>6282189286059</v>
      </c>
      <c r="N7182" s="17" t="s">
        <v>77</v>
      </c>
      <c r="V7182" s="18">
        <f>6282189286059</f>
        <v>6282189286059</v>
      </c>
    </row>
    <row r="7183" ht="15" customHeight="1" spans="1:23" x14ac:dyDescent="0.25">
      <c r="A7183" s="17" t="s">
        <v>20159</v>
      </c>
      <c r="B7183" s="17" t="s">
        <v>70</v>
      </c>
      <c r="C7183" s="17" t="s">
        <v>71</v>
      </c>
      <c r="D7183" t="s">
        <v>20135</v>
      </c>
      <c r="F7183" t="s">
        <v>2947</v>
      </c>
      <c r="K7183" s="18">
        <f>6281288698182</f>
        <v>6281288698182</v>
      </c>
      <c r="N7183" s="17" t="s">
        <v>77</v>
      </c>
      <c r="U7183" s="17"/>
      <c r="V7183" s="18">
        <f>6281288698182</f>
        <v>6281288698182</v>
      </c>
      <c r="W7183" t="s">
        <v>20160</v>
      </c>
    </row>
    <row r="7184" ht="15" customHeight="1" spans="1:25" x14ac:dyDescent="0.25">
      <c r="A7184" s="17" t="s">
        <v>20161</v>
      </c>
      <c r="B7184" s="17" t="s">
        <v>70</v>
      </c>
      <c r="C7184" s="17" t="s">
        <v>71</v>
      </c>
      <c r="D7184" t="s">
        <v>20135</v>
      </c>
      <c r="F7184" t="s">
        <v>20162</v>
      </c>
      <c r="J7184" s="17" t="s">
        <v>20163</v>
      </c>
      <c r="K7184" s="18">
        <f>6281996633366</f>
        <v>6281996633366</v>
      </c>
      <c r="N7184" s="17" t="s">
        <v>81</v>
      </c>
      <c r="U7184" s="17"/>
      <c r="V7184" s="18">
        <f>6281996633366</f>
        <v>6281996633366</v>
      </c>
      <c r="W7184" t="s">
        <v>20164</v>
      </c>
      <c r="Y7184" s="17" t="s">
        <v>90</v>
      </c>
    </row>
    <row r="7185" ht="15" customHeight="1" spans="1:28" x14ac:dyDescent="0.25">
      <c r="A7185" s="17" t="s">
        <v>20165</v>
      </c>
      <c r="B7185" s="17" t="s">
        <v>70</v>
      </c>
      <c r="C7185" s="17" t="s">
        <v>71</v>
      </c>
      <c r="D7185" t="s">
        <v>20135</v>
      </c>
      <c r="F7185" t="s">
        <v>20166</v>
      </c>
      <c r="J7185" t="s">
        <v>115</v>
      </c>
      <c r="K7185" s="18" t="s">
        <v>20167</v>
      </c>
      <c r="N7185" s="17" t="s">
        <v>77</v>
      </c>
      <c r="O7185" t="s">
        <v>199</v>
      </c>
      <c r="U7185" s="17"/>
      <c r="V7185" s="18" t="s">
        <v>20167</v>
      </c>
      <c r="W7185" t="s">
        <v>1903</v>
      </c>
      <c r="Y7185" t="s">
        <v>1903</v>
      </c>
      <c r="AA7185" t="s">
        <v>115</v>
      </c>
      <c r="AB7185" t="s">
        <v>1903</v>
      </c>
    </row>
    <row r="7186" ht="15" customHeight="1" spans="1:28" x14ac:dyDescent="0.25">
      <c r="A7186" s="17" t="s">
        <v>20168</v>
      </c>
      <c r="B7186" s="17" t="s">
        <v>70</v>
      </c>
      <c r="C7186" s="17" t="s">
        <v>71</v>
      </c>
      <c r="D7186" t="s">
        <v>20135</v>
      </c>
      <c r="F7186" t="s">
        <v>6028</v>
      </c>
      <c r="J7186" t="s">
        <v>115</v>
      </c>
      <c r="K7186" s="18" t="s">
        <v>20169</v>
      </c>
      <c r="N7186" s="17" t="s">
        <v>77</v>
      </c>
      <c r="O7186" t="s">
        <v>489</v>
      </c>
      <c r="V7186" s="18" t="s">
        <v>20169</v>
      </c>
      <c r="Y7186" t="s">
        <v>90</v>
      </c>
      <c r="AA7186" t="s">
        <v>118</v>
      </c>
      <c r="AB7186" t="s">
        <v>119</v>
      </c>
    </row>
    <row r="7187" ht="15" customHeight="1" spans="1:22" x14ac:dyDescent="0.25">
      <c r="A7187" s="17" t="s">
        <v>20170</v>
      </c>
      <c r="B7187" s="17" t="s">
        <v>70</v>
      </c>
      <c r="C7187" s="17" t="s">
        <v>71</v>
      </c>
      <c r="D7187" t="s">
        <v>20135</v>
      </c>
      <c r="F7187" t="s">
        <v>230</v>
      </c>
      <c r="K7187" s="18">
        <f>6281514272416</f>
        <v>6281514272416</v>
      </c>
      <c r="N7187" s="17" t="s">
        <v>77</v>
      </c>
      <c r="V7187" s="18">
        <f>6281514272416</f>
        <v>6281514272416</v>
      </c>
    </row>
    <row r="7188" ht="15" customHeight="1" spans="1:22" x14ac:dyDescent="0.25">
      <c r="A7188" s="17" t="s">
        <v>20171</v>
      </c>
      <c r="B7188" s="17" t="s">
        <v>70</v>
      </c>
      <c r="C7188" s="17" t="s">
        <v>71</v>
      </c>
      <c r="D7188" t="s">
        <v>20135</v>
      </c>
      <c r="F7188" t="s">
        <v>19870</v>
      </c>
      <c r="J7188" s="17" t="s">
        <v>20172</v>
      </c>
      <c r="K7188" s="18">
        <f>62816984199</f>
        <v>62816984199</v>
      </c>
      <c r="N7188" s="17" t="s">
        <v>81</v>
      </c>
      <c r="V7188" s="18">
        <f>62816984199</f>
        <v>62816984199</v>
      </c>
    </row>
    <row r="7189" ht="15" customHeight="1" spans="1:22" x14ac:dyDescent="0.25">
      <c r="A7189" s="17" t="s">
        <v>20173</v>
      </c>
      <c r="B7189" s="17" t="s">
        <v>70</v>
      </c>
      <c r="C7189" s="17" t="s">
        <v>71</v>
      </c>
      <c r="D7189" t="s">
        <v>20135</v>
      </c>
      <c r="F7189" t="s">
        <v>4918</v>
      </c>
      <c r="K7189" s="18">
        <f>6596186196</f>
        <v>6596186196</v>
      </c>
      <c r="N7189" s="17" t="s">
        <v>81</v>
      </c>
      <c r="V7189" s="18">
        <f>6596186196</f>
        <v>6596186196</v>
      </c>
    </row>
    <row r="7190" ht="15" customHeight="1" spans="1:22" x14ac:dyDescent="0.25">
      <c r="A7190" s="17" t="s">
        <v>20174</v>
      </c>
      <c r="B7190" s="17" t="s">
        <v>70</v>
      </c>
      <c r="C7190" s="17" t="s">
        <v>71</v>
      </c>
      <c r="D7190" t="s">
        <v>20135</v>
      </c>
      <c r="F7190" t="s">
        <v>11260</v>
      </c>
      <c r="K7190" s="18">
        <f>6281286868833</f>
        <v>6281286868833</v>
      </c>
      <c r="N7190" s="17" t="s">
        <v>81</v>
      </c>
      <c r="V7190" s="18">
        <f>6281286868833</f>
        <v>6281286868833</v>
      </c>
    </row>
    <row r="7191" ht="15" customHeight="1" spans="1:28" x14ac:dyDescent="0.25">
      <c r="A7191" s="17" t="s">
        <v>20175</v>
      </c>
      <c r="B7191" s="17" t="s">
        <v>70</v>
      </c>
      <c r="C7191" s="17" t="s">
        <v>71</v>
      </c>
      <c r="D7191" t="s">
        <v>20135</v>
      </c>
      <c r="F7191" t="s">
        <v>7846</v>
      </c>
      <c r="J7191" t="s">
        <v>115</v>
      </c>
      <c r="K7191" s="18" t="s">
        <v>20176</v>
      </c>
      <c r="N7191" s="17" t="s">
        <v>77</v>
      </c>
      <c r="O7191" t="s">
        <v>145</v>
      </c>
      <c r="V7191" s="18" t="s">
        <v>20176</v>
      </c>
      <c r="Y7191" t="s">
        <v>90</v>
      </c>
      <c r="AA7191" t="s">
        <v>118</v>
      </c>
      <c r="AB7191" t="s">
        <v>119</v>
      </c>
    </row>
    <row r="7192" ht="15" customHeight="1" spans="1:22" x14ac:dyDescent="0.25">
      <c r="A7192" s="17" t="s">
        <v>20177</v>
      </c>
      <c r="B7192" s="17" t="s">
        <v>70</v>
      </c>
      <c r="C7192" s="17" t="s">
        <v>71</v>
      </c>
      <c r="D7192" t="s">
        <v>20135</v>
      </c>
      <c r="F7192" t="s">
        <v>7846</v>
      </c>
      <c r="K7192" s="18">
        <f>6287877671919</f>
        <v>6287877671919</v>
      </c>
      <c r="N7192" s="17" t="s">
        <v>81</v>
      </c>
      <c r="V7192" s="18">
        <f>6287877671919</f>
        <v>6287877671919</v>
      </c>
    </row>
    <row r="7193" ht="15" customHeight="1" spans="1:27" x14ac:dyDescent="0.25">
      <c r="A7193" s="17" t="s">
        <v>20178</v>
      </c>
      <c r="B7193" s="17" t="s">
        <v>70</v>
      </c>
      <c r="C7193" s="17" t="s">
        <v>71</v>
      </c>
      <c r="D7193" t="s">
        <v>20135</v>
      </c>
      <c r="F7193" t="s">
        <v>12610</v>
      </c>
      <c r="K7193" s="18">
        <f>6281222229586</f>
        <v>6281222229586</v>
      </c>
      <c r="N7193" s="17" t="s">
        <v>81</v>
      </c>
      <c r="U7193" s="17"/>
      <c r="V7193" s="18">
        <f>6281222229586</f>
        <v>6281222229586</v>
      </c>
      <c r="W7193" t="s">
        <v>20179</v>
      </c>
      <c r="AA7193" s="17">
        <v>12190</v>
      </c>
    </row>
    <row r="7194" ht="15" customHeight="1" spans="1:22" x14ac:dyDescent="0.25">
      <c r="A7194" s="17" t="s">
        <v>20180</v>
      </c>
      <c r="B7194" s="17" t="s">
        <v>70</v>
      </c>
      <c r="C7194" s="17" t="s">
        <v>71</v>
      </c>
      <c r="D7194" t="s">
        <v>20135</v>
      </c>
      <c r="F7194" t="s">
        <v>672</v>
      </c>
      <c r="K7194" s="18">
        <f>628121886060</f>
        <v>628121886060</v>
      </c>
      <c r="N7194" s="17" t="s">
        <v>81</v>
      </c>
      <c r="V7194" s="18">
        <f>628121886060</f>
        <v>628121886060</v>
      </c>
    </row>
    <row r="7195" ht="15" customHeight="1" spans="1:22" x14ac:dyDescent="0.25">
      <c r="A7195" s="17" t="s">
        <v>20181</v>
      </c>
      <c r="B7195" s="17" t="s">
        <v>70</v>
      </c>
      <c r="C7195" s="17" t="s">
        <v>71</v>
      </c>
      <c r="D7195" t="s">
        <v>20135</v>
      </c>
      <c r="F7195" t="s">
        <v>672</v>
      </c>
      <c r="K7195" s="18">
        <f>628126060018</f>
        <v>628126060018</v>
      </c>
      <c r="N7195" s="17" t="s">
        <v>74</v>
      </c>
      <c r="V7195" s="18">
        <f>628126060018</f>
        <v>628126060018</v>
      </c>
    </row>
    <row r="7196" ht="15" customHeight="1" spans="1:23" x14ac:dyDescent="0.25">
      <c r="A7196" s="17" t="s">
        <v>20182</v>
      </c>
      <c r="B7196" s="17" t="s">
        <v>70</v>
      </c>
      <c r="C7196" s="17" t="s">
        <v>71</v>
      </c>
      <c r="D7196" t="s">
        <v>20183</v>
      </c>
      <c r="F7196" t="s">
        <v>20183</v>
      </c>
      <c r="K7196" s="18">
        <f>628159060590</f>
        <v>628159060590</v>
      </c>
      <c r="N7196" s="17" t="s">
        <v>77</v>
      </c>
      <c r="U7196" s="17"/>
      <c r="V7196" s="18">
        <f>628159060590</f>
        <v>628159060590</v>
      </c>
      <c r="W7196" t="s">
        <v>20184</v>
      </c>
    </row>
    <row r="7197" ht="15" customHeight="1" spans="1:28" x14ac:dyDescent="0.25">
      <c r="A7197" s="17" t="s">
        <v>20185</v>
      </c>
      <c r="B7197" s="17" t="s">
        <v>70</v>
      </c>
      <c r="C7197" s="17" t="s">
        <v>71</v>
      </c>
      <c r="D7197" t="s">
        <v>20186</v>
      </c>
      <c r="F7197" t="s">
        <v>13843</v>
      </c>
      <c r="J7197" t="s">
        <v>115</v>
      </c>
      <c r="K7197" s="18" t="s">
        <v>20187</v>
      </c>
      <c r="N7197" s="17" t="s">
        <v>77</v>
      </c>
      <c r="O7197" t="s">
        <v>117</v>
      </c>
      <c r="U7197" s="17"/>
      <c r="V7197" s="18" t="s">
        <v>20187</v>
      </c>
      <c r="W7197" t="s">
        <v>20188</v>
      </c>
      <c r="Y7197" t="s">
        <v>190</v>
      </c>
      <c r="AA7197" t="s">
        <v>118</v>
      </c>
      <c r="AB7197" t="s">
        <v>119</v>
      </c>
    </row>
    <row r="7198" ht="15" customHeight="1" spans="1:28" x14ac:dyDescent="0.25">
      <c r="A7198" s="17" t="s">
        <v>20189</v>
      </c>
      <c r="B7198" s="17" t="s">
        <v>70</v>
      </c>
      <c r="C7198" s="17" t="s">
        <v>71</v>
      </c>
      <c r="D7198" t="s">
        <v>20190</v>
      </c>
      <c r="F7198" t="s">
        <v>6028</v>
      </c>
      <c r="J7198" s="17" t="s">
        <v>20191</v>
      </c>
      <c r="K7198" s="18" t="s">
        <v>20192</v>
      </c>
      <c r="N7198" s="17" t="s">
        <v>77</v>
      </c>
      <c r="O7198" t="s">
        <v>145</v>
      </c>
      <c r="U7198" s="17"/>
      <c r="V7198" s="18" t="s">
        <v>20192</v>
      </c>
      <c r="W7198" t="s">
        <v>20193</v>
      </c>
      <c r="Y7198" t="s">
        <v>90</v>
      </c>
      <c r="AA7198" s="17" t="s">
        <v>118</v>
      </c>
      <c r="AB7198" t="s">
        <v>119</v>
      </c>
    </row>
    <row r="7199" ht="15" customHeight="1" spans="1:25" x14ac:dyDescent="0.25">
      <c r="A7199" s="17" t="s">
        <v>20194</v>
      </c>
      <c r="B7199" s="17" t="s">
        <v>70</v>
      </c>
      <c r="C7199" s="17" t="s">
        <v>71</v>
      </c>
      <c r="D7199" t="s">
        <v>20190</v>
      </c>
      <c r="F7199" t="s">
        <v>913</v>
      </c>
      <c r="K7199" s="18">
        <f>62816667788</f>
        <v>62816667788</v>
      </c>
      <c r="N7199" s="17" t="s">
        <v>74</v>
      </c>
      <c r="U7199" s="17"/>
      <c r="V7199" s="18">
        <f>62816667788</f>
        <v>62816667788</v>
      </c>
      <c r="W7199" t="s">
        <v>20195</v>
      </c>
      <c r="Y7199" s="17" t="s">
        <v>410</v>
      </c>
    </row>
    <row r="7200" ht="15" customHeight="1" spans="1:25" x14ac:dyDescent="0.25">
      <c r="A7200" s="17" t="s">
        <v>20196</v>
      </c>
      <c r="B7200" s="17" t="s">
        <v>70</v>
      </c>
      <c r="C7200" s="17" t="s">
        <v>71</v>
      </c>
      <c r="D7200" t="s">
        <v>20197</v>
      </c>
      <c r="F7200" t="s">
        <v>3869</v>
      </c>
      <c r="K7200" s="18">
        <f>628161911472</f>
        <v>628161911472</v>
      </c>
      <c r="N7200" s="17" t="s">
        <v>77</v>
      </c>
      <c r="U7200" s="17"/>
      <c r="V7200" s="18">
        <f>628161911472</f>
        <v>628161911472</v>
      </c>
      <c r="W7200" t="s">
        <v>20198</v>
      </c>
      <c r="Y7200" s="17" t="s">
        <v>96</v>
      </c>
    </row>
    <row r="7201" ht="15" customHeight="1" spans="1:23" x14ac:dyDescent="0.25">
      <c r="A7201" s="17" t="s">
        <v>20199</v>
      </c>
      <c r="B7201" s="17" t="s">
        <v>70</v>
      </c>
      <c r="C7201" s="17" t="s">
        <v>71</v>
      </c>
      <c r="D7201" t="s">
        <v>20197</v>
      </c>
      <c r="F7201" t="s">
        <v>17798</v>
      </c>
      <c r="K7201" s="18">
        <f>6281317504569</f>
        <v>6281317504569</v>
      </c>
      <c r="N7201" s="17" t="s">
        <v>81</v>
      </c>
      <c r="U7201" s="17"/>
      <c r="V7201" s="18">
        <f>6281317504569</f>
        <v>6281317504569</v>
      </c>
      <c r="W7201" t="s">
        <v>20200</v>
      </c>
    </row>
    <row r="7202" ht="15" customHeight="1" spans="1:22" x14ac:dyDescent="0.25">
      <c r="A7202" s="17" t="s">
        <v>20201</v>
      </c>
      <c r="B7202" s="17" t="s">
        <v>70</v>
      </c>
      <c r="C7202" s="17" t="s">
        <v>71</v>
      </c>
      <c r="D7202" t="s">
        <v>20197</v>
      </c>
      <c r="F7202" t="s">
        <v>20202</v>
      </c>
      <c r="K7202" s="18">
        <f>821062501142</f>
        <v>821062501142</v>
      </c>
      <c r="N7202" s="17" t="s">
        <v>81</v>
      </c>
      <c r="V7202" s="18">
        <f>821062501142</f>
        <v>821062501142</v>
      </c>
    </row>
    <row r="7203" ht="15" customHeight="1" spans="1:22" x14ac:dyDescent="0.25">
      <c r="A7203" s="17" t="s">
        <v>20203</v>
      </c>
      <c r="B7203" s="17" t="s">
        <v>70</v>
      </c>
      <c r="C7203" s="17" t="s">
        <v>71</v>
      </c>
      <c r="D7203" t="s">
        <v>20197</v>
      </c>
      <c r="F7203" t="s">
        <v>2494</v>
      </c>
      <c r="K7203" s="18">
        <f>6281297440557</f>
        <v>6281297440557</v>
      </c>
      <c r="N7203" s="17" t="s">
        <v>81</v>
      </c>
      <c r="V7203" s="18">
        <f>6281297440557</f>
        <v>6281297440557</v>
      </c>
    </row>
    <row r="7204" ht="15" customHeight="1" spans="1:23" x14ac:dyDescent="0.25">
      <c r="A7204" s="17" t="s">
        <v>20204</v>
      </c>
      <c r="B7204" s="17" t="s">
        <v>70</v>
      </c>
      <c r="C7204" s="17" t="s">
        <v>71</v>
      </c>
      <c r="D7204" t="s">
        <v>20205</v>
      </c>
      <c r="F7204" t="s">
        <v>20206</v>
      </c>
      <c r="J7204" s="17" t="s">
        <v>20207</v>
      </c>
      <c r="K7204" s="18">
        <f>628118385199</f>
        <v>628118385199</v>
      </c>
      <c r="N7204" s="17" t="s">
        <v>81</v>
      </c>
      <c r="U7204" s="17"/>
      <c r="V7204" s="18">
        <f>628118385199</f>
        <v>628118385199</v>
      </c>
      <c r="W7204" t="s">
        <v>20208</v>
      </c>
    </row>
    <row r="7205" ht="15" customHeight="1" spans="1:22" x14ac:dyDescent="0.25">
      <c r="A7205" s="17" t="s">
        <v>20209</v>
      </c>
      <c r="B7205" s="17" t="s">
        <v>70</v>
      </c>
      <c r="C7205" s="17" t="s">
        <v>71</v>
      </c>
      <c r="D7205" t="s">
        <v>20210</v>
      </c>
      <c r="F7205" t="s">
        <v>20211</v>
      </c>
      <c r="K7205" s="18">
        <f>6281311397351</f>
        <v>6281311397351</v>
      </c>
      <c r="N7205" s="17" t="s">
        <v>81</v>
      </c>
      <c r="V7205" s="18">
        <f>6281311397351</f>
        <v>6281311397351</v>
      </c>
    </row>
    <row r="7206" ht="15" customHeight="1" spans="1:25" x14ac:dyDescent="0.25">
      <c r="A7206" s="17" t="s">
        <v>20212</v>
      </c>
      <c r="B7206" s="17" t="s">
        <v>70</v>
      </c>
      <c r="C7206" s="17" t="s">
        <v>71</v>
      </c>
      <c r="D7206" t="s">
        <v>20213</v>
      </c>
      <c r="F7206" t="s">
        <v>20214</v>
      </c>
      <c r="K7206" s="18">
        <f>6309206986221</f>
        <v>6309206986221</v>
      </c>
      <c r="N7206" s="17" t="s">
        <v>77</v>
      </c>
      <c r="V7206" s="18">
        <f>6309206986221</f>
        <v>6309206986221</v>
      </c>
      <c r="Y7206" s="17" t="s">
        <v>20215</v>
      </c>
    </row>
    <row r="7207" ht="15" customHeight="1" spans="1:22" x14ac:dyDescent="0.25">
      <c r="A7207" s="17" t="s">
        <v>20216</v>
      </c>
      <c r="B7207" s="17" t="s">
        <v>70</v>
      </c>
      <c r="C7207" s="17" t="s">
        <v>71</v>
      </c>
      <c r="D7207" t="s">
        <v>20217</v>
      </c>
      <c r="F7207" t="s">
        <v>20217</v>
      </c>
      <c r="J7207" s="17" t="s">
        <v>20218</v>
      </c>
      <c r="K7207" s="18">
        <f>6282194461313</f>
        <v>6282194461313</v>
      </c>
      <c r="N7207" s="17" t="s">
        <v>77</v>
      </c>
      <c r="V7207" s="18">
        <f>6282194461313</f>
        <v>6282194461313</v>
      </c>
    </row>
    <row r="7208" ht="15" customHeight="1" spans="1:28" x14ac:dyDescent="0.25">
      <c r="A7208" s="17" t="s">
        <v>20219</v>
      </c>
      <c r="B7208" s="17" t="s">
        <v>70</v>
      </c>
      <c r="C7208" s="17" t="s">
        <v>71</v>
      </c>
      <c r="D7208" t="s">
        <v>20220</v>
      </c>
      <c r="F7208" t="s">
        <v>10536</v>
      </c>
      <c r="J7208" s="17" t="s">
        <v>20221</v>
      </c>
      <c r="K7208" s="18" t="s">
        <v>20222</v>
      </c>
      <c r="N7208" s="17" t="s">
        <v>77</v>
      </c>
      <c r="O7208" t="s">
        <v>145</v>
      </c>
      <c r="V7208" s="18" t="s">
        <v>20222</v>
      </c>
      <c r="Y7208" t="s">
        <v>20223</v>
      </c>
      <c r="AA7208" t="s">
        <v>115</v>
      </c>
      <c r="AB7208" t="s">
        <v>119</v>
      </c>
    </row>
    <row r="7209" ht="15" customHeight="1" spans="1:27" x14ac:dyDescent="0.25">
      <c r="A7209" s="17" t="s">
        <v>20224</v>
      </c>
      <c r="B7209" s="17" t="s">
        <v>70</v>
      </c>
      <c r="C7209" s="17" t="s">
        <v>71</v>
      </c>
      <c r="D7209" t="s">
        <v>20220</v>
      </c>
      <c r="F7209" t="s">
        <v>20225</v>
      </c>
      <c r="J7209" s="17" t="s">
        <v>20226</v>
      </c>
      <c r="K7209" s="18">
        <f>628111189599</f>
        <v>628111189599</v>
      </c>
      <c r="N7209" s="17" t="s">
        <v>77</v>
      </c>
      <c r="U7209" s="17"/>
      <c r="V7209" s="18">
        <f>628111189599</f>
        <v>628111189599</v>
      </c>
      <c r="W7209" t="s">
        <v>20227</v>
      </c>
      <c r="Y7209" s="17" t="s">
        <v>90</v>
      </c>
      <c r="AA7209" s="17">
        <v>12430</v>
      </c>
    </row>
    <row r="7210" ht="15" customHeight="1" spans="1:22" x14ac:dyDescent="0.25">
      <c r="A7210" s="17" t="s">
        <v>20228</v>
      </c>
      <c r="B7210" s="17" t="s">
        <v>70</v>
      </c>
      <c r="C7210" s="17" t="s">
        <v>71</v>
      </c>
      <c r="D7210" t="s">
        <v>20220</v>
      </c>
      <c r="F7210" t="s">
        <v>9175</v>
      </c>
      <c r="K7210" s="18">
        <f>6282125943351</f>
        <v>6282125943351</v>
      </c>
      <c r="N7210" s="17" t="s">
        <v>81</v>
      </c>
      <c r="V7210" s="18">
        <f>6282125943351</f>
        <v>6282125943351</v>
      </c>
    </row>
    <row r="7211" ht="15" customHeight="1" spans="1:22" x14ac:dyDescent="0.25">
      <c r="A7211" s="17" t="s">
        <v>20229</v>
      </c>
      <c r="B7211" s="17" t="s">
        <v>70</v>
      </c>
      <c r="C7211" s="17" t="s">
        <v>71</v>
      </c>
      <c r="D7211" t="s">
        <v>20220</v>
      </c>
      <c r="F7211" t="s">
        <v>20230</v>
      </c>
      <c r="K7211" s="18">
        <f>62816905922</f>
        <v>62816905922</v>
      </c>
      <c r="N7211" s="17" t="s">
        <v>74</v>
      </c>
      <c r="V7211" s="18">
        <f>62816905922</f>
        <v>62816905922</v>
      </c>
    </row>
    <row r="7212" ht="15" customHeight="1" spans="1:28" x14ac:dyDescent="0.25">
      <c r="A7212" s="17" t="s">
        <v>20231</v>
      </c>
      <c r="B7212" s="17" t="s">
        <v>70</v>
      </c>
      <c r="C7212" s="17" t="s">
        <v>71</v>
      </c>
      <c r="D7212" t="s">
        <v>20220</v>
      </c>
      <c r="F7212" t="s">
        <v>20232</v>
      </c>
      <c r="J7212" s="17" t="s">
        <v>20233</v>
      </c>
      <c r="K7212" s="18" t="s">
        <v>20234</v>
      </c>
      <c r="N7212" s="17" t="s">
        <v>77</v>
      </c>
      <c r="O7212" t="s">
        <v>199</v>
      </c>
      <c r="V7212" s="18" t="s">
        <v>20234</v>
      </c>
      <c r="Y7212" t="s">
        <v>190</v>
      </c>
      <c r="AA7212" t="s">
        <v>118</v>
      </c>
      <c r="AB7212" t="s">
        <v>7229</v>
      </c>
    </row>
    <row r="7213" ht="15" customHeight="1" spans="1:22" x14ac:dyDescent="0.25">
      <c r="A7213" s="17" t="s">
        <v>20235</v>
      </c>
      <c r="B7213" s="17" t="s">
        <v>70</v>
      </c>
      <c r="C7213" s="17" t="s">
        <v>71</v>
      </c>
      <c r="D7213" t="s">
        <v>20236</v>
      </c>
      <c r="F7213" t="s">
        <v>20237</v>
      </c>
      <c r="K7213" s="18">
        <f>628537001708</f>
        <v>628537001708</v>
      </c>
      <c r="N7213" s="17" t="s">
        <v>77</v>
      </c>
      <c r="V7213" s="18">
        <f>628537001708</f>
        <v>628537001708</v>
      </c>
    </row>
    <row r="7214" ht="15" customHeight="1" spans="1:28" x14ac:dyDescent="0.25">
      <c r="A7214" s="17" t="s">
        <v>20238</v>
      </c>
      <c r="B7214" s="17" t="s">
        <v>70</v>
      </c>
      <c r="C7214" s="17" t="s">
        <v>71</v>
      </c>
      <c r="D7214" t="s">
        <v>20239</v>
      </c>
      <c r="F7214" t="s">
        <v>20239</v>
      </c>
      <c r="J7214" t="s">
        <v>115</v>
      </c>
      <c r="K7214" s="18" t="s">
        <v>20240</v>
      </c>
      <c r="N7214" s="17" t="s">
        <v>77</v>
      </c>
      <c r="O7214" t="s">
        <v>117</v>
      </c>
      <c r="V7214" s="18" t="s">
        <v>20240</v>
      </c>
      <c r="Y7214" t="s">
        <v>190</v>
      </c>
      <c r="AA7214" t="s">
        <v>118</v>
      </c>
      <c r="AB7214" t="s">
        <v>1903</v>
      </c>
    </row>
    <row r="7215" ht="15" customHeight="1" spans="1:22" x14ac:dyDescent="0.25">
      <c r="A7215" s="17" t="s">
        <v>20241</v>
      </c>
      <c r="B7215" s="17" t="s">
        <v>70</v>
      </c>
      <c r="C7215" s="17" t="s">
        <v>71</v>
      </c>
      <c r="D7215" t="s">
        <v>20242</v>
      </c>
      <c r="F7215" t="s">
        <v>18814</v>
      </c>
      <c r="K7215" s="18">
        <f>628111900402</f>
        <v>628111900402</v>
      </c>
      <c r="N7215" s="17" t="s">
        <v>81</v>
      </c>
      <c r="V7215" s="18">
        <f>628111900402</f>
        <v>628111900402</v>
      </c>
    </row>
    <row r="7216" ht="15" customHeight="1" spans="1:22" x14ac:dyDescent="0.25">
      <c r="A7216" s="17" t="s">
        <v>20243</v>
      </c>
      <c r="B7216" s="17" t="s">
        <v>70</v>
      </c>
      <c r="C7216" s="17" t="s">
        <v>71</v>
      </c>
      <c r="D7216" t="s">
        <v>20244</v>
      </c>
      <c r="F7216" t="s">
        <v>20244</v>
      </c>
      <c r="K7216" s="18">
        <f>628119503677</f>
        <v>628119503677</v>
      </c>
      <c r="N7216" s="17" t="s">
        <v>77</v>
      </c>
      <c r="V7216" s="18">
        <f>628119503677</f>
        <v>628119503677</v>
      </c>
    </row>
    <row r="7217" ht="15" customHeight="1" spans="1:22" x14ac:dyDescent="0.25">
      <c r="A7217" s="17" t="s">
        <v>20245</v>
      </c>
      <c r="B7217" s="17" t="s">
        <v>70</v>
      </c>
      <c r="C7217" s="17" t="s">
        <v>71</v>
      </c>
      <c r="D7217" t="s">
        <v>20244</v>
      </c>
      <c r="F7217" t="s">
        <v>20246</v>
      </c>
      <c r="K7217" s="18">
        <f>6281584656565</f>
        <v>6281584656565</v>
      </c>
      <c r="N7217" s="17" t="s">
        <v>77</v>
      </c>
      <c r="V7217" s="18">
        <f>6281584656565</f>
        <v>6281584656565</v>
      </c>
    </row>
    <row r="7218" ht="15" customHeight="1" spans="1:23" x14ac:dyDescent="0.25">
      <c r="A7218" s="17" t="s">
        <v>20247</v>
      </c>
      <c r="B7218" s="17" t="s">
        <v>70</v>
      </c>
      <c r="C7218" s="17" t="s">
        <v>71</v>
      </c>
      <c r="D7218" t="s">
        <v>20244</v>
      </c>
      <c r="F7218" t="s">
        <v>20248</v>
      </c>
      <c r="K7218" s="18">
        <f>6281297900093</f>
        <v>6281297900093</v>
      </c>
      <c r="N7218" s="17" t="s">
        <v>77</v>
      </c>
      <c r="U7218" s="17"/>
      <c r="V7218" s="18">
        <f>6281297900093</f>
        <v>6281297900093</v>
      </c>
      <c r="W7218" t="s">
        <v>20249</v>
      </c>
    </row>
    <row r="7219" ht="15" customHeight="1" spans="1:28" x14ac:dyDescent="0.25">
      <c r="A7219" s="17" t="s">
        <v>20250</v>
      </c>
      <c r="B7219" s="17" t="s">
        <v>70</v>
      </c>
      <c r="C7219" s="17" t="s">
        <v>71</v>
      </c>
      <c r="D7219" t="s">
        <v>20244</v>
      </c>
      <c r="F7219" t="s">
        <v>20251</v>
      </c>
      <c r="J7219" s="17" t="s">
        <v>20252</v>
      </c>
      <c r="K7219" s="18" t="s">
        <v>20253</v>
      </c>
      <c r="N7219" s="17" t="s">
        <v>77</v>
      </c>
      <c r="O7219" t="s">
        <v>145</v>
      </c>
      <c r="U7219" s="17"/>
      <c r="V7219" s="18" t="s">
        <v>20253</v>
      </c>
      <c r="W7219" t="s">
        <v>20254</v>
      </c>
      <c r="Y7219" t="s">
        <v>704</v>
      </c>
      <c r="AA7219" t="s">
        <v>705</v>
      </c>
      <c r="AB7219" t="s">
        <v>119</v>
      </c>
    </row>
    <row r="7220" ht="15" customHeight="1" spans="1:23" x14ac:dyDescent="0.25">
      <c r="A7220" s="17" t="s">
        <v>20255</v>
      </c>
      <c r="B7220" s="17" t="s">
        <v>70</v>
      </c>
      <c r="C7220" s="17" t="s">
        <v>71</v>
      </c>
      <c r="D7220" t="s">
        <v>20244</v>
      </c>
      <c r="F7220" t="s">
        <v>20256</v>
      </c>
      <c r="K7220" s="18">
        <f>6281380848585</f>
        <v>6281380848585</v>
      </c>
      <c r="N7220" s="17" t="s">
        <v>81</v>
      </c>
      <c r="U7220" s="17"/>
      <c r="V7220" s="18">
        <f>6281380848585</f>
        <v>6281380848585</v>
      </c>
      <c r="W7220" t="s">
        <v>20257</v>
      </c>
    </row>
    <row r="7221" ht="15" customHeight="1" spans="1:22" x14ac:dyDescent="0.25">
      <c r="A7221" s="17" t="s">
        <v>20258</v>
      </c>
      <c r="B7221" s="17" t="s">
        <v>70</v>
      </c>
      <c r="C7221" s="17" t="s">
        <v>71</v>
      </c>
      <c r="D7221" t="s">
        <v>20259</v>
      </c>
      <c r="F7221" t="s">
        <v>5128</v>
      </c>
      <c r="K7221" s="18">
        <f>6281381798435</f>
        <v>6281381798435</v>
      </c>
      <c r="N7221" s="17" t="s">
        <v>77</v>
      </c>
      <c r="V7221" s="18">
        <f>6281381798435</f>
        <v>6281381798435</v>
      </c>
    </row>
    <row r="7222" ht="15" customHeight="1" spans="1:27" x14ac:dyDescent="0.25">
      <c r="A7222" s="17" t="s">
        <v>20260</v>
      </c>
      <c r="B7222" s="17" t="s">
        <v>70</v>
      </c>
      <c r="C7222" s="17" t="s">
        <v>71</v>
      </c>
      <c r="D7222" t="s">
        <v>20261</v>
      </c>
      <c r="F7222" t="s">
        <v>20262</v>
      </c>
      <c r="J7222" s="17" t="s">
        <v>20263</v>
      </c>
      <c r="K7222" s="18">
        <f>6281216860000</f>
        <v>6281216860000</v>
      </c>
      <c r="N7222" s="17" t="s">
        <v>81</v>
      </c>
      <c r="U7222" s="17"/>
      <c r="V7222" s="18">
        <f>6281216860000</f>
        <v>6281216860000</v>
      </c>
      <c r="W7222" t="s">
        <v>20264</v>
      </c>
      <c r="Y7222" s="17" t="s">
        <v>1084</v>
      </c>
      <c r="AA7222" s="17">
        <v>14460</v>
      </c>
    </row>
    <row r="7223" ht="15" customHeight="1" spans="1:28" x14ac:dyDescent="0.25">
      <c r="A7223" s="17" t="s">
        <v>20265</v>
      </c>
      <c r="B7223" s="17" t="s">
        <v>70</v>
      </c>
      <c r="C7223" s="17" t="s">
        <v>71</v>
      </c>
      <c r="D7223" t="s">
        <v>10649</v>
      </c>
      <c r="F7223" t="s">
        <v>11270</v>
      </c>
      <c r="J7223" t="s">
        <v>115</v>
      </c>
      <c r="K7223" s="18" t="s">
        <v>20266</v>
      </c>
      <c r="N7223" s="17" t="s">
        <v>77</v>
      </c>
      <c r="O7223" t="s">
        <v>199</v>
      </c>
      <c r="V7223" s="18" t="s">
        <v>20266</v>
      </c>
      <c r="Y7223" t="s">
        <v>217</v>
      </c>
      <c r="AA7223" t="s">
        <v>218</v>
      </c>
      <c r="AB7223" t="s">
        <v>119</v>
      </c>
    </row>
    <row r="7224" ht="15" customHeight="1" spans="1:22" x14ac:dyDescent="0.25">
      <c r="A7224" s="17" t="s">
        <v>20267</v>
      </c>
      <c r="B7224" s="17" t="s">
        <v>70</v>
      </c>
      <c r="C7224" s="17" t="s">
        <v>71</v>
      </c>
      <c r="D7224" t="s">
        <v>20268</v>
      </c>
      <c r="F7224" t="s">
        <v>20268</v>
      </c>
      <c r="K7224" s="18">
        <f>6285156876939</f>
        <v>6285156876939</v>
      </c>
      <c r="N7224" s="17" t="s">
        <v>81</v>
      </c>
      <c r="V7224" s="18">
        <f>6285156876939</f>
        <v>6285156876939</v>
      </c>
    </row>
    <row r="7225" ht="15" customHeight="1" spans="1:23" x14ac:dyDescent="0.25">
      <c r="A7225" s="17" t="s">
        <v>20269</v>
      </c>
      <c r="B7225" s="17" t="s">
        <v>70</v>
      </c>
      <c r="C7225" s="17" t="s">
        <v>71</v>
      </c>
      <c r="D7225" t="s">
        <v>20268</v>
      </c>
      <c r="F7225" t="s">
        <v>14080</v>
      </c>
      <c r="K7225" s="18">
        <f>628119555511</f>
        <v>628119555511</v>
      </c>
      <c r="N7225" s="17" t="s">
        <v>77</v>
      </c>
      <c r="U7225" s="17"/>
      <c r="V7225" s="18">
        <f>628119555511</f>
        <v>628119555511</v>
      </c>
      <c r="W7225" t="s">
        <v>20270</v>
      </c>
    </row>
    <row r="7226" ht="15" customHeight="1" spans="1:22" x14ac:dyDescent="0.25">
      <c r="A7226" s="17" t="s">
        <v>20271</v>
      </c>
      <c r="B7226" s="17" t="s">
        <v>70</v>
      </c>
      <c r="C7226" s="17" t="s">
        <v>71</v>
      </c>
      <c r="D7226" t="s">
        <v>20272</v>
      </c>
      <c r="F7226" t="s">
        <v>20273</v>
      </c>
      <c r="K7226" s="18">
        <f>6282111913086</f>
        <v>6282111913086</v>
      </c>
      <c r="N7226" s="17" t="s">
        <v>77</v>
      </c>
      <c r="V7226" s="18">
        <f>6282111913086</f>
        <v>6282111913086</v>
      </c>
    </row>
    <row r="7227" ht="15" customHeight="1" spans="1:22" x14ac:dyDescent="0.25">
      <c r="A7227" s="17" t="s">
        <v>20274</v>
      </c>
      <c r="B7227" s="17" t="s">
        <v>70</v>
      </c>
      <c r="C7227" s="17" t="s">
        <v>71</v>
      </c>
      <c r="D7227" t="s">
        <v>20275</v>
      </c>
      <c r="F7227" t="s">
        <v>20275</v>
      </c>
      <c r="K7227" s="18">
        <f>628138636670</f>
        <v>628138636670</v>
      </c>
      <c r="N7227" s="17" t="s">
        <v>77</v>
      </c>
      <c r="V7227" s="18">
        <f>628138636670</f>
        <v>628138636670</v>
      </c>
    </row>
    <row r="7228" ht="15" customHeight="1" spans="1:23" x14ac:dyDescent="0.25">
      <c r="A7228" s="17" t="s">
        <v>20276</v>
      </c>
      <c r="B7228" s="17" t="s">
        <v>70</v>
      </c>
      <c r="C7228" s="17" t="s">
        <v>71</v>
      </c>
      <c r="D7228" t="s">
        <v>3206</v>
      </c>
      <c r="F7228" t="s">
        <v>3206</v>
      </c>
      <c r="J7228" s="17" t="s">
        <v>20277</v>
      </c>
      <c r="K7228" s="18">
        <f>628125520099</f>
        <v>628125520099</v>
      </c>
      <c r="N7228" s="17" t="s">
        <v>77</v>
      </c>
      <c r="U7228" s="17"/>
      <c r="V7228" s="18">
        <f>628125520099</f>
        <v>628125520099</v>
      </c>
      <c r="W7228" t="s">
        <v>20278</v>
      </c>
    </row>
    <row r="7229" ht="15" customHeight="1" spans="1:22" x14ac:dyDescent="0.25">
      <c r="A7229" s="17" t="s">
        <v>20279</v>
      </c>
      <c r="B7229" s="17" t="s">
        <v>70</v>
      </c>
      <c r="C7229" s="17" t="s">
        <v>71</v>
      </c>
      <c r="D7229" t="s">
        <v>3206</v>
      </c>
      <c r="F7229" t="s">
        <v>3206</v>
      </c>
      <c r="K7229" s="18">
        <f>628111866869</f>
        <v>628111866869</v>
      </c>
      <c r="N7229" s="17" t="s">
        <v>81</v>
      </c>
      <c r="V7229" s="18">
        <f>628111866869</f>
        <v>628111866869</v>
      </c>
    </row>
    <row r="7230" ht="15" customHeight="1" spans="1:28" x14ac:dyDescent="0.25">
      <c r="A7230" s="17" t="s">
        <v>20280</v>
      </c>
      <c r="B7230" s="17" t="s">
        <v>70</v>
      </c>
      <c r="C7230" s="17" t="s">
        <v>71</v>
      </c>
      <c r="D7230" t="s">
        <v>5764</v>
      </c>
      <c r="F7230" t="s">
        <v>672</v>
      </c>
      <c r="J7230" t="s">
        <v>115</v>
      </c>
      <c r="K7230" s="18" t="s">
        <v>20281</v>
      </c>
      <c r="N7230" s="17" t="s">
        <v>81</v>
      </c>
      <c r="O7230" t="s">
        <v>145</v>
      </c>
      <c r="V7230" s="18" t="s">
        <v>20281</v>
      </c>
      <c r="Y7230" t="s">
        <v>115</v>
      </c>
      <c r="AA7230" t="s">
        <v>115</v>
      </c>
      <c r="AB7230" t="s">
        <v>119</v>
      </c>
    </row>
    <row r="7231" ht="15" customHeight="1" spans="1:23" x14ac:dyDescent="0.25">
      <c r="A7231" s="17" t="s">
        <v>20282</v>
      </c>
      <c r="B7231" s="17" t="s">
        <v>70</v>
      </c>
      <c r="C7231" s="17" t="s">
        <v>71</v>
      </c>
      <c r="D7231" t="s">
        <v>3206</v>
      </c>
      <c r="F7231" t="s">
        <v>3206</v>
      </c>
      <c r="K7231" s="18">
        <f>6282125562639</f>
        <v>6282125562639</v>
      </c>
      <c r="N7231" s="17" t="s">
        <v>77</v>
      </c>
      <c r="U7231" s="17"/>
      <c r="V7231" s="18">
        <f>6282125562639</f>
        <v>6282125562639</v>
      </c>
      <c r="W7231" t="s">
        <v>20283</v>
      </c>
    </row>
    <row r="7232" ht="15" customHeight="1" spans="1:28" x14ac:dyDescent="0.25">
      <c r="A7232" s="17" t="s">
        <v>20284</v>
      </c>
      <c r="B7232" s="17" t="s">
        <v>70</v>
      </c>
      <c r="C7232" s="17" t="s">
        <v>71</v>
      </c>
      <c r="D7232" t="s">
        <v>3206</v>
      </c>
      <c r="F7232" t="s">
        <v>3206</v>
      </c>
      <c r="J7232" t="s">
        <v>115</v>
      </c>
      <c r="K7232" s="18" t="s">
        <v>20285</v>
      </c>
      <c r="N7232" s="17" t="s">
        <v>81</v>
      </c>
      <c r="O7232" t="s">
        <v>117</v>
      </c>
      <c r="V7232" s="18" t="s">
        <v>20285</v>
      </c>
      <c r="Y7232" t="s">
        <v>704</v>
      </c>
      <c r="AA7232" t="s">
        <v>705</v>
      </c>
      <c r="AB7232" t="s">
        <v>119</v>
      </c>
    </row>
    <row r="7233" ht="15" customHeight="1" spans="1:22" x14ac:dyDescent="0.25">
      <c r="A7233" s="17" t="s">
        <v>20286</v>
      </c>
      <c r="B7233" s="17" t="s">
        <v>70</v>
      </c>
      <c r="C7233" s="17" t="s">
        <v>71</v>
      </c>
      <c r="D7233" t="s">
        <v>3206</v>
      </c>
      <c r="F7233" t="s">
        <v>1130</v>
      </c>
      <c r="K7233" s="18">
        <f>628111777511</f>
        <v>628111777511</v>
      </c>
      <c r="N7233" s="17" t="s">
        <v>77</v>
      </c>
      <c r="V7233" s="18">
        <f>628111777511</f>
        <v>628111777511</v>
      </c>
    </row>
    <row r="7234" ht="15" customHeight="1" spans="1:28" x14ac:dyDescent="0.25">
      <c r="A7234" s="17" t="s">
        <v>20287</v>
      </c>
      <c r="B7234" s="17" t="s">
        <v>70</v>
      </c>
      <c r="C7234" s="17" t="s">
        <v>71</v>
      </c>
      <c r="D7234" t="s">
        <v>3206</v>
      </c>
      <c r="F7234" t="s">
        <v>1738</v>
      </c>
      <c r="J7234" t="s">
        <v>115</v>
      </c>
      <c r="K7234" s="18" t="s">
        <v>20288</v>
      </c>
      <c r="N7234" s="17" t="s">
        <v>77</v>
      </c>
      <c r="O7234" t="s">
        <v>117</v>
      </c>
      <c r="U7234" s="17"/>
      <c r="V7234" s="18" t="s">
        <v>20288</v>
      </c>
      <c r="W7234" t="s">
        <v>20289</v>
      </c>
      <c r="Y7234" t="s">
        <v>96</v>
      </c>
      <c r="AA7234" s="17" t="s">
        <v>693</v>
      </c>
      <c r="AB7234" t="s">
        <v>119</v>
      </c>
    </row>
    <row r="7235" ht="15" customHeight="1" spans="1:28" x14ac:dyDescent="0.25">
      <c r="A7235" s="17" t="s">
        <v>20290</v>
      </c>
      <c r="B7235" s="17" t="s">
        <v>70</v>
      </c>
      <c r="C7235" s="17" t="s">
        <v>71</v>
      </c>
      <c r="D7235" t="s">
        <v>20291</v>
      </c>
      <c r="F7235" t="s">
        <v>20292</v>
      </c>
      <c r="J7235" t="s">
        <v>115</v>
      </c>
      <c r="K7235" s="18" t="s">
        <v>20293</v>
      </c>
      <c r="N7235" s="17" t="s">
        <v>77</v>
      </c>
      <c r="O7235" t="s">
        <v>489</v>
      </c>
      <c r="U7235" s="17"/>
      <c r="V7235" s="18" t="s">
        <v>20293</v>
      </c>
      <c r="W7235" t="s">
        <v>626</v>
      </c>
      <c r="Y7235" t="s">
        <v>190</v>
      </c>
      <c r="AA7235" t="s">
        <v>118</v>
      </c>
      <c r="AB7235" t="s">
        <v>119</v>
      </c>
    </row>
    <row r="7236" ht="15" customHeight="1" spans="1:22" x14ac:dyDescent="0.25">
      <c r="A7236" s="17" t="s">
        <v>20294</v>
      </c>
      <c r="B7236" s="17" t="s">
        <v>70</v>
      </c>
      <c r="C7236" s="17" t="s">
        <v>71</v>
      </c>
      <c r="D7236" t="s">
        <v>3206</v>
      </c>
      <c r="F7236" t="s">
        <v>4081</v>
      </c>
      <c r="K7236" s="18">
        <f>6281383000490</f>
        <v>6281383000490</v>
      </c>
      <c r="N7236" s="17" t="s">
        <v>77</v>
      </c>
      <c r="V7236" s="18">
        <f>6281383000490</f>
        <v>6281383000490</v>
      </c>
    </row>
    <row r="7237" ht="15" customHeight="1" spans="1:25" x14ac:dyDescent="0.25">
      <c r="A7237" s="17" t="s">
        <v>20295</v>
      </c>
      <c r="B7237" s="17" t="s">
        <v>70</v>
      </c>
      <c r="C7237" s="17" t="s">
        <v>71</v>
      </c>
      <c r="D7237" t="s">
        <v>3206</v>
      </c>
      <c r="F7237" t="s">
        <v>3086</v>
      </c>
      <c r="K7237" s="18">
        <f>6287878952012</f>
        <v>6287878952012</v>
      </c>
      <c r="N7237" s="17" t="s">
        <v>77</v>
      </c>
      <c r="U7237" s="17"/>
      <c r="V7237" s="18">
        <f>6287878952012</f>
        <v>6287878952012</v>
      </c>
      <c r="W7237" t="s">
        <v>20296</v>
      </c>
      <c r="Y7237" s="17" t="s">
        <v>1084</v>
      </c>
    </row>
    <row r="7238" ht="15" customHeight="1" spans="1:22" x14ac:dyDescent="0.25">
      <c r="A7238" s="17" t="s">
        <v>20297</v>
      </c>
      <c r="B7238" s="17" t="s">
        <v>70</v>
      </c>
      <c r="C7238" s="17" t="s">
        <v>71</v>
      </c>
      <c r="D7238" t="s">
        <v>3206</v>
      </c>
      <c r="F7238" t="s">
        <v>14414</v>
      </c>
      <c r="K7238" s="18">
        <f>62818060880705</f>
        <v>62818060880705</v>
      </c>
      <c r="N7238" s="17" t="s">
        <v>81</v>
      </c>
      <c r="V7238" s="18">
        <f>62818060880705</f>
        <v>62818060880705</v>
      </c>
    </row>
    <row r="7239" ht="15" customHeight="1" spans="1:22" x14ac:dyDescent="0.25">
      <c r="A7239" s="17" t="s">
        <v>20298</v>
      </c>
      <c r="B7239" s="17" t="s">
        <v>70</v>
      </c>
      <c r="C7239" s="17" t="s">
        <v>71</v>
      </c>
      <c r="D7239" t="s">
        <v>3206</v>
      </c>
      <c r="F7239" t="s">
        <v>14414</v>
      </c>
      <c r="K7239" s="18">
        <f>6281806080705</f>
        <v>6281806080705</v>
      </c>
      <c r="N7239" s="17" t="s">
        <v>77</v>
      </c>
      <c r="V7239" s="18">
        <f>6281806080705</f>
        <v>6281806080705</v>
      </c>
    </row>
    <row r="7240" ht="15" customHeight="1" spans="1:28" x14ac:dyDescent="0.25">
      <c r="A7240" s="17" t="s">
        <v>20299</v>
      </c>
      <c r="B7240" s="17" t="s">
        <v>70</v>
      </c>
      <c r="C7240" s="17" t="s">
        <v>71</v>
      </c>
      <c r="D7240" t="s">
        <v>3206</v>
      </c>
      <c r="F7240" t="s">
        <v>20300</v>
      </c>
      <c r="J7240" t="s">
        <v>20301</v>
      </c>
      <c r="K7240" s="18" t="s">
        <v>20302</v>
      </c>
      <c r="N7240" s="17" t="s">
        <v>77</v>
      </c>
      <c r="O7240" t="s">
        <v>145</v>
      </c>
      <c r="V7240" s="18" t="s">
        <v>20302</v>
      </c>
      <c r="Y7240" t="s">
        <v>190</v>
      </c>
      <c r="AA7240" t="s">
        <v>118</v>
      </c>
      <c r="AB7240" t="s">
        <v>119</v>
      </c>
    </row>
    <row r="7241" ht="15" customHeight="1" spans="1:23" x14ac:dyDescent="0.25">
      <c r="A7241" s="17" t="s">
        <v>20303</v>
      </c>
      <c r="B7241" s="17" t="s">
        <v>70</v>
      </c>
      <c r="C7241" s="17" t="s">
        <v>71</v>
      </c>
      <c r="D7241" t="s">
        <v>3206</v>
      </c>
      <c r="F7241" t="s">
        <v>9081</v>
      </c>
      <c r="K7241" s="18">
        <f>6281808533222</f>
        <v>6281808533222</v>
      </c>
      <c r="N7241" s="17" t="s">
        <v>81</v>
      </c>
      <c r="U7241" s="17"/>
      <c r="V7241" s="18">
        <f>6281808533222</f>
        <v>6281808533222</v>
      </c>
      <c r="W7241" t="s">
        <v>20304</v>
      </c>
    </row>
    <row r="7242" ht="15" customHeight="1" spans="1:23" x14ac:dyDescent="0.25">
      <c r="A7242" s="17" t="s">
        <v>20305</v>
      </c>
      <c r="B7242" s="17" t="s">
        <v>70</v>
      </c>
      <c r="C7242" s="17" t="s">
        <v>71</v>
      </c>
      <c r="D7242" t="s">
        <v>3206</v>
      </c>
      <c r="F7242" t="s">
        <v>2938</v>
      </c>
      <c r="K7242" s="18">
        <f>6287883311486</f>
        <v>6287883311486</v>
      </c>
      <c r="N7242" s="17" t="s">
        <v>81</v>
      </c>
      <c r="U7242" s="17"/>
      <c r="V7242" s="18">
        <f>6287883311486</f>
        <v>6287883311486</v>
      </c>
      <c r="W7242" t="s">
        <v>20306</v>
      </c>
    </row>
    <row r="7243" ht="15" customHeight="1" spans="1:22" x14ac:dyDescent="0.25">
      <c r="A7243" s="17" t="s">
        <v>20307</v>
      </c>
      <c r="B7243" s="17" t="s">
        <v>70</v>
      </c>
      <c r="C7243" s="17" t="s">
        <v>71</v>
      </c>
      <c r="D7243" t="s">
        <v>3206</v>
      </c>
      <c r="F7243" t="s">
        <v>18210</v>
      </c>
      <c r="K7243" s="18">
        <f>628113999850</f>
        <v>628113999850</v>
      </c>
      <c r="N7243" s="17" t="s">
        <v>77</v>
      </c>
      <c r="V7243" s="18">
        <f>628113999850</f>
        <v>628113999850</v>
      </c>
    </row>
    <row r="7244" ht="15" customHeight="1" spans="1:23" x14ac:dyDescent="0.25">
      <c r="A7244" s="17" t="s">
        <v>20308</v>
      </c>
      <c r="B7244" s="17" t="s">
        <v>70</v>
      </c>
      <c r="C7244" s="17" t="s">
        <v>71</v>
      </c>
      <c r="D7244" t="s">
        <v>3206</v>
      </c>
      <c r="F7244" t="s">
        <v>1608</v>
      </c>
      <c r="K7244" s="18">
        <f>628129555911</f>
        <v>628129555911</v>
      </c>
      <c r="N7244" s="17" t="s">
        <v>77</v>
      </c>
      <c r="U7244" s="17"/>
      <c r="V7244" s="18">
        <f>628129555911</f>
        <v>628129555911</v>
      </c>
      <c r="W7244" t="s">
        <v>20309</v>
      </c>
    </row>
    <row r="7245" ht="15" customHeight="1" spans="1:28" x14ac:dyDescent="0.25">
      <c r="A7245" s="17" t="s">
        <v>20310</v>
      </c>
      <c r="B7245" s="17" t="s">
        <v>70</v>
      </c>
      <c r="C7245" s="17" t="s">
        <v>71</v>
      </c>
      <c r="D7245" t="s">
        <v>3206</v>
      </c>
      <c r="F7245" t="s">
        <v>19868</v>
      </c>
      <c r="J7245" t="s">
        <v>20311</v>
      </c>
      <c r="K7245" s="18" t="s">
        <v>20312</v>
      </c>
      <c r="N7245" s="17" t="s">
        <v>77</v>
      </c>
      <c r="O7245" t="s">
        <v>117</v>
      </c>
      <c r="V7245" s="18" t="s">
        <v>20312</v>
      </c>
      <c r="Y7245" t="s">
        <v>90</v>
      </c>
      <c r="AA7245" t="s">
        <v>118</v>
      </c>
      <c r="AB7245" t="s">
        <v>119</v>
      </c>
    </row>
    <row r="7246" ht="15" customHeight="1" spans="1:28" x14ac:dyDescent="0.25">
      <c r="A7246" s="17" t="s">
        <v>20313</v>
      </c>
      <c r="B7246" s="17" t="s">
        <v>70</v>
      </c>
      <c r="C7246" s="17" t="s">
        <v>71</v>
      </c>
      <c r="D7246" t="s">
        <v>3206</v>
      </c>
      <c r="F7246" t="s">
        <v>4167</v>
      </c>
      <c r="J7246" s="17" t="s">
        <v>20314</v>
      </c>
      <c r="K7246" s="18" t="s">
        <v>20315</v>
      </c>
      <c r="N7246" s="17" t="s">
        <v>81</v>
      </c>
      <c r="O7246" t="s">
        <v>261</v>
      </c>
      <c r="U7246" s="17"/>
      <c r="V7246" s="18" t="s">
        <v>20315</v>
      </c>
      <c r="W7246" t="s">
        <v>20316</v>
      </c>
      <c r="Y7246" t="s">
        <v>115</v>
      </c>
      <c r="AA7246" t="s">
        <v>115</v>
      </c>
      <c r="AB7246" t="s">
        <v>119</v>
      </c>
    </row>
    <row r="7247" ht="15" customHeight="1" spans="1:28" x14ac:dyDescent="0.25">
      <c r="A7247" s="17" t="s">
        <v>20317</v>
      </c>
      <c r="B7247" s="17" t="s">
        <v>70</v>
      </c>
      <c r="C7247" s="17" t="s">
        <v>71</v>
      </c>
      <c r="D7247" t="s">
        <v>3206</v>
      </c>
      <c r="F7247" t="s">
        <v>20318</v>
      </c>
      <c r="J7247" t="s">
        <v>115</v>
      </c>
      <c r="K7247" s="18" t="s">
        <v>20319</v>
      </c>
      <c r="N7247" s="17" t="s">
        <v>81</v>
      </c>
      <c r="O7247" t="s">
        <v>261</v>
      </c>
      <c r="V7247" s="18" t="s">
        <v>20319</v>
      </c>
      <c r="Y7247" t="s">
        <v>1084</v>
      </c>
      <c r="AA7247" t="s">
        <v>3146</v>
      </c>
      <c r="AB7247" t="s">
        <v>119</v>
      </c>
    </row>
    <row r="7248" ht="15" customHeight="1" spans="1:25" x14ac:dyDescent="0.25">
      <c r="A7248" s="17" t="s">
        <v>20320</v>
      </c>
      <c r="B7248" s="17" t="s">
        <v>70</v>
      </c>
      <c r="C7248" s="17" t="s">
        <v>71</v>
      </c>
      <c r="D7248" t="s">
        <v>3206</v>
      </c>
      <c r="F7248" t="s">
        <v>13891</v>
      </c>
      <c r="K7248" s="18">
        <f>628119950503</f>
        <v>628119950503</v>
      </c>
      <c r="N7248" s="17" t="s">
        <v>77</v>
      </c>
      <c r="U7248" s="17"/>
      <c r="V7248" s="18">
        <f>628119950503</f>
        <v>628119950503</v>
      </c>
      <c r="W7248" t="s">
        <v>20321</v>
      </c>
      <c r="Y7248" s="17" t="s">
        <v>20322</v>
      </c>
    </row>
    <row r="7249" ht="15" customHeight="1" spans="1:22" x14ac:dyDescent="0.25">
      <c r="A7249" s="17" t="s">
        <v>20323</v>
      </c>
      <c r="B7249" s="17" t="s">
        <v>70</v>
      </c>
      <c r="C7249" s="17" t="s">
        <v>71</v>
      </c>
      <c r="D7249" t="s">
        <v>3206</v>
      </c>
      <c r="F7249" t="s">
        <v>1217</v>
      </c>
      <c r="J7249" s="17" t="s">
        <v>20324</v>
      </c>
      <c r="K7249" s="18">
        <f>62811990289</f>
        <v>62811990289</v>
      </c>
      <c r="N7249" s="17" t="s">
        <v>77</v>
      </c>
      <c r="V7249" s="18">
        <f>62811990289</f>
        <v>62811990289</v>
      </c>
    </row>
    <row r="7250" ht="15" customHeight="1" spans="1:28" x14ac:dyDescent="0.25">
      <c r="A7250" s="17" t="s">
        <v>20325</v>
      </c>
      <c r="B7250" s="17" t="s">
        <v>70</v>
      </c>
      <c r="C7250" s="17" t="s">
        <v>71</v>
      </c>
      <c r="D7250" t="s">
        <v>3206</v>
      </c>
      <c r="F7250" t="s">
        <v>20326</v>
      </c>
      <c r="J7250" s="17" t="s">
        <v>20327</v>
      </c>
      <c r="K7250" s="18" t="s">
        <v>20328</v>
      </c>
      <c r="N7250" s="17" t="s">
        <v>77</v>
      </c>
      <c r="O7250" t="s">
        <v>199</v>
      </c>
      <c r="V7250" s="18" t="s">
        <v>20328</v>
      </c>
      <c r="Y7250" t="s">
        <v>181</v>
      </c>
      <c r="AA7250" t="s">
        <v>1672</v>
      </c>
      <c r="AB7250" t="s">
        <v>119</v>
      </c>
    </row>
    <row r="7251" ht="15" customHeight="1" spans="1:28" x14ac:dyDescent="0.25">
      <c r="A7251" s="17" t="s">
        <v>20329</v>
      </c>
      <c r="B7251" s="17" t="s">
        <v>70</v>
      </c>
      <c r="C7251" s="17" t="s">
        <v>71</v>
      </c>
      <c r="D7251" t="s">
        <v>3206</v>
      </c>
      <c r="F7251" t="s">
        <v>20330</v>
      </c>
      <c r="J7251" t="s">
        <v>115</v>
      </c>
      <c r="K7251" s="18" t="s">
        <v>20331</v>
      </c>
      <c r="N7251" s="17" t="s">
        <v>81</v>
      </c>
      <c r="O7251" t="s">
        <v>261</v>
      </c>
      <c r="U7251" s="17"/>
      <c r="V7251" s="18" t="s">
        <v>20331</v>
      </c>
      <c r="W7251" t="s">
        <v>20332</v>
      </c>
      <c r="Y7251" t="s">
        <v>96</v>
      </c>
      <c r="AA7251" t="s">
        <v>693</v>
      </c>
      <c r="AB7251" t="s">
        <v>119</v>
      </c>
    </row>
    <row r="7252" ht="15" customHeight="1" spans="1:22" x14ac:dyDescent="0.25">
      <c r="A7252" s="17" t="s">
        <v>20333</v>
      </c>
      <c r="B7252" s="17" t="s">
        <v>70</v>
      </c>
      <c r="C7252" s="17" t="s">
        <v>71</v>
      </c>
      <c r="D7252" t="s">
        <v>3206</v>
      </c>
      <c r="F7252" t="s">
        <v>20334</v>
      </c>
      <c r="K7252" s="18">
        <f>6281930121988</f>
        <v>6281930121988</v>
      </c>
      <c r="N7252" s="17" t="s">
        <v>81</v>
      </c>
      <c r="V7252" s="18">
        <f>6281930121988</f>
        <v>6281930121988</v>
      </c>
    </row>
    <row r="7253" ht="15" customHeight="1" spans="1:28" x14ac:dyDescent="0.25">
      <c r="A7253" s="17" t="s">
        <v>20335</v>
      </c>
      <c r="B7253" s="17" t="s">
        <v>70</v>
      </c>
      <c r="C7253" s="17" t="s">
        <v>71</v>
      </c>
      <c r="D7253" t="s">
        <v>3206</v>
      </c>
      <c r="F7253" t="s">
        <v>20336</v>
      </c>
      <c r="J7253" t="s">
        <v>20337</v>
      </c>
      <c r="K7253" s="18" t="s">
        <v>20338</v>
      </c>
      <c r="N7253" s="17" t="s">
        <v>77</v>
      </c>
      <c r="O7253" t="s">
        <v>117</v>
      </c>
      <c r="V7253" s="18" t="s">
        <v>20338</v>
      </c>
      <c r="Y7253" t="s">
        <v>190</v>
      </c>
      <c r="AA7253" t="s">
        <v>118</v>
      </c>
      <c r="AB7253" t="s">
        <v>119</v>
      </c>
    </row>
    <row r="7254" ht="15" customHeight="1" spans="1:28" x14ac:dyDescent="0.25">
      <c r="A7254" s="17" t="s">
        <v>20339</v>
      </c>
      <c r="B7254" s="17" t="s">
        <v>70</v>
      </c>
      <c r="C7254" s="17" t="s">
        <v>71</v>
      </c>
      <c r="D7254" t="s">
        <v>3206</v>
      </c>
      <c r="F7254" t="s">
        <v>20340</v>
      </c>
      <c r="J7254" t="s">
        <v>115</v>
      </c>
      <c r="K7254" s="18" t="s">
        <v>20341</v>
      </c>
      <c r="N7254" s="17" t="s">
        <v>81</v>
      </c>
      <c r="O7254" t="s">
        <v>261</v>
      </c>
      <c r="V7254" s="18" t="s">
        <v>20341</v>
      </c>
      <c r="Y7254" t="s">
        <v>90</v>
      </c>
      <c r="AA7254" t="s">
        <v>118</v>
      </c>
      <c r="AB7254" t="s">
        <v>119</v>
      </c>
    </row>
    <row r="7255" ht="15" customHeight="1" spans="1:28" x14ac:dyDescent="0.25">
      <c r="A7255" s="17" t="s">
        <v>20342</v>
      </c>
      <c r="B7255" s="17" t="s">
        <v>70</v>
      </c>
      <c r="C7255" s="17" t="s">
        <v>71</v>
      </c>
      <c r="D7255" t="s">
        <v>3206</v>
      </c>
      <c r="F7255" t="s">
        <v>2885</v>
      </c>
      <c r="J7255" t="s">
        <v>115</v>
      </c>
      <c r="K7255" s="18" t="s">
        <v>20343</v>
      </c>
      <c r="N7255" s="17" t="s">
        <v>77</v>
      </c>
      <c r="O7255" t="s">
        <v>145</v>
      </c>
      <c r="U7255" s="17"/>
      <c r="V7255" s="18" t="s">
        <v>20343</v>
      </c>
      <c r="W7255" t="s">
        <v>20344</v>
      </c>
      <c r="Y7255" t="s">
        <v>190</v>
      </c>
      <c r="AA7255" t="s">
        <v>118</v>
      </c>
      <c r="AB7255" t="s">
        <v>119</v>
      </c>
    </row>
    <row r="7256" ht="15" customHeight="1" spans="1:28" x14ac:dyDescent="0.25">
      <c r="A7256" s="17" t="s">
        <v>20345</v>
      </c>
      <c r="B7256" s="17" t="s">
        <v>70</v>
      </c>
      <c r="C7256" s="17" t="s">
        <v>71</v>
      </c>
      <c r="D7256" t="s">
        <v>3206</v>
      </c>
      <c r="F7256" t="s">
        <v>20346</v>
      </c>
      <c r="J7256" t="s">
        <v>115</v>
      </c>
      <c r="K7256" s="18" t="s">
        <v>20347</v>
      </c>
      <c r="N7256" s="17" t="s">
        <v>77</v>
      </c>
      <c r="O7256" t="s">
        <v>145</v>
      </c>
      <c r="V7256" s="18" t="s">
        <v>20347</v>
      </c>
      <c r="Y7256" t="s">
        <v>90</v>
      </c>
      <c r="AA7256" t="s">
        <v>118</v>
      </c>
      <c r="AB7256" t="s">
        <v>119</v>
      </c>
    </row>
    <row r="7257" ht="15" customHeight="1" spans="1:22" x14ac:dyDescent="0.25">
      <c r="A7257" s="17" t="s">
        <v>20348</v>
      </c>
      <c r="B7257" s="17" t="s">
        <v>70</v>
      </c>
      <c r="C7257" s="17" t="s">
        <v>71</v>
      </c>
      <c r="D7257" t="s">
        <v>3206</v>
      </c>
      <c r="F7257" t="s">
        <v>282</v>
      </c>
      <c r="K7257" s="18">
        <f>62811319300</f>
        <v>62811319300</v>
      </c>
      <c r="N7257" s="17" t="s">
        <v>77</v>
      </c>
      <c r="V7257" s="18">
        <f>62811319300</f>
        <v>62811319300</v>
      </c>
    </row>
    <row r="7258" ht="15" customHeight="1" spans="1:28" x14ac:dyDescent="0.25">
      <c r="A7258" s="17" t="s">
        <v>20349</v>
      </c>
      <c r="B7258" s="17" t="s">
        <v>70</v>
      </c>
      <c r="C7258" s="17" t="s">
        <v>71</v>
      </c>
      <c r="D7258" t="s">
        <v>3206</v>
      </c>
      <c r="F7258" t="s">
        <v>20350</v>
      </c>
      <c r="J7258" t="s">
        <v>115</v>
      </c>
      <c r="K7258" s="18" t="s">
        <v>20351</v>
      </c>
      <c r="N7258" s="17" t="s">
        <v>77</v>
      </c>
      <c r="O7258" t="s">
        <v>145</v>
      </c>
      <c r="V7258" s="18" t="s">
        <v>20351</v>
      </c>
      <c r="Y7258" t="s">
        <v>115</v>
      </c>
      <c r="AA7258" t="s">
        <v>115</v>
      </c>
      <c r="AB7258" t="s">
        <v>119</v>
      </c>
    </row>
    <row r="7259" ht="15" customHeight="1" spans="1:22" x14ac:dyDescent="0.25">
      <c r="A7259" s="17" t="s">
        <v>20352</v>
      </c>
      <c r="B7259" s="17" t="s">
        <v>70</v>
      </c>
      <c r="C7259" s="17" t="s">
        <v>71</v>
      </c>
      <c r="D7259" t="s">
        <v>3206</v>
      </c>
      <c r="F7259" t="s">
        <v>20353</v>
      </c>
      <c r="K7259" s="18">
        <f>6281322009000</f>
        <v>6281322009000</v>
      </c>
      <c r="N7259" s="17" t="s">
        <v>77</v>
      </c>
      <c r="V7259" s="18">
        <f>6281322009000</f>
        <v>6281322009000</v>
      </c>
    </row>
    <row r="7260" ht="15" customHeight="1" spans="1:22" x14ac:dyDescent="0.25">
      <c r="A7260" s="17" t="s">
        <v>20354</v>
      </c>
      <c r="B7260" s="17" t="s">
        <v>70</v>
      </c>
      <c r="C7260" s="17" t="s">
        <v>71</v>
      </c>
      <c r="D7260" t="s">
        <v>3206</v>
      </c>
      <c r="F7260" t="s">
        <v>20355</v>
      </c>
      <c r="K7260" s="18">
        <f>6287881060161</f>
        <v>6287881060161</v>
      </c>
      <c r="N7260" s="17" t="s">
        <v>81</v>
      </c>
      <c r="V7260" s="18">
        <f>6287881060161</f>
        <v>6287881060161</v>
      </c>
    </row>
    <row r="7261" ht="15" customHeight="1" spans="1:22" x14ac:dyDescent="0.25">
      <c r="A7261" s="17" t="s">
        <v>20356</v>
      </c>
      <c r="B7261" s="17" t="s">
        <v>70</v>
      </c>
      <c r="C7261" s="17" t="s">
        <v>71</v>
      </c>
      <c r="D7261" t="s">
        <v>3206</v>
      </c>
      <c r="F7261" t="s">
        <v>20355</v>
      </c>
      <c r="K7261" s="18">
        <f>62878810601611</f>
        <v>62878810601611</v>
      </c>
      <c r="N7261" s="17" t="s">
        <v>81</v>
      </c>
      <c r="V7261" s="18">
        <f>62878810601611</f>
        <v>62878810601611</v>
      </c>
    </row>
    <row r="7262" ht="15" customHeight="1" spans="1:28" x14ac:dyDescent="0.25">
      <c r="A7262" s="17" t="s">
        <v>20357</v>
      </c>
      <c r="B7262" s="17" t="s">
        <v>70</v>
      </c>
      <c r="C7262" s="17" t="s">
        <v>71</v>
      </c>
      <c r="D7262" t="s">
        <v>3206</v>
      </c>
      <c r="F7262" t="s">
        <v>11765</v>
      </c>
      <c r="J7262" t="s">
        <v>115</v>
      </c>
      <c r="K7262" s="18" t="s">
        <v>20358</v>
      </c>
      <c r="N7262" s="17" t="s">
        <v>74</v>
      </c>
      <c r="O7262" t="s">
        <v>199</v>
      </c>
      <c r="V7262" s="18" t="s">
        <v>20358</v>
      </c>
      <c r="Y7262" t="s">
        <v>90</v>
      </c>
      <c r="AA7262" t="s">
        <v>118</v>
      </c>
      <c r="AB7262" t="s">
        <v>119</v>
      </c>
    </row>
    <row r="7263" ht="15" customHeight="1" spans="1:23" x14ac:dyDescent="0.25">
      <c r="A7263" s="17" t="s">
        <v>20359</v>
      </c>
      <c r="B7263" s="17" t="s">
        <v>70</v>
      </c>
      <c r="C7263" s="17" t="s">
        <v>71</v>
      </c>
      <c r="D7263" t="s">
        <v>3206</v>
      </c>
      <c r="F7263" t="s">
        <v>19621</v>
      </c>
      <c r="J7263" s="17" t="s">
        <v>20360</v>
      </c>
      <c r="K7263" s="18">
        <f>628174777488</f>
        <v>628174777488</v>
      </c>
      <c r="N7263" s="17" t="s">
        <v>81</v>
      </c>
      <c r="U7263" s="17"/>
      <c r="V7263" s="18">
        <f>628174777488</f>
        <v>628174777488</v>
      </c>
      <c r="W7263" t="s">
        <v>20361</v>
      </c>
    </row>
    <row r="7264" ht="15" customHeight="1" spans="1:23" x14ac:dyDescent="0.25">
      <c r="A7264" s="17" t="s">
        <v>20362</v>
      </c>
      <c r="B7264" s="17" t="s">
        <v>70</v>
      </c>
      <c r="C7264" s="17" t="s">
        <v>71</v>
      </c>
      <c r="D7264" t="s">
        <v>3206</v>
      </c>
      <c r="F7264" t="s">
        <v>19621</v>
      </c>
      <c r="J7264" s="17" t="s">
        <v>20363</v>
      </c>
      <c r="K7264" s="18">
        <f>628119797659</f>
        <v>628119797659</v>
      </c>
      <c r="N7264" s="17" t="s">
        <v>81</v>
      </c>
      <c r="U7264" s="17"/>
      <c r="V7264" s="18">
        <f>628119797659</f>
        <v>628119797659</v>
      </c>
      <c r="W7264" t="s">
        <v>20364</v>
      </c>
    </row>
    <row r="7265" ht="15" customHeight="1" spans="1:27" x14ac:dyDescent="0.25">
      <c r="A7265" s="17" t="s">
        <v>20365</v>
      </c>
      <c r="B7265" s="17" t="s">
        <v>70</v>
      </c>
      <c r="C7265" s="17" t="s">
        <v>71</v>
      </c>
      <c r="D7265" t="s">
        <v>3206</v>
      </c>
      <c r="F7265" t="s">
        <v>20366</v>
      </c>
      <c r="K7265" s="18">
        <f>628121018921</f>
        <v>628121018921</v>
      </c>
      <c r="N7265" s="17" t="s">
        <v>77</v>
      </c>
      <c r="U7265" s="17"/>
      <c r="V7265" s="18">
        <f>628121018921</f>
        <v>628121018921</v>
      </c>
      <c r="W7265" t="s">
        <v>20367</v>
      </c>
      <c r="Y7265" s="17" t="s">
        <v>217</v>
      </c>
      <c r="AA7265" s="17" t="s">
        <v>20368</v>
      </c>
    </row>
    <row r="7266" ht="15" customHeight="1" spans="1:27" x14ac:dyDescent="0.25">
      <c r="A7266" s="17" t="s">
        <v>20369</v>
      </c>
      <c r="B7266" s="17" t="s">
        <v>70</v>
      </c>
      <c r="C7266" s="17" t="s">
        <v>71</v>
      </c>
      <c r="D7266" t="s">
        <v>3206</v>
      </c>
      <c r="F7266" t="s">
        <v>20370</v>
      </c>
      <c r="J7266" s="17" t="s">
        <v>20371</v>
      </c>
      <c r="K7266" s="18">
        <f>6287888203503</f>
        <v>6287888203503</v>
      </c>
      <c r="N7266" s="17" t="s">
        <v>77</v>
      </c>
      <c r="U7266" s="17"/>
      <c r="V7266" s="18">
        <f>6287888203503</f>
        <v>6287888203503</v>
      </c>
      <c r="W7266" t="s">
        <v>20372</v>
      </c>
      <c r="AA7266" s="17">
        <v>13210</v>
      </c>
    </row>
    <row r="7267" ht="15" customHeight="1" spans="1:22" x14ac:dyDescent="0.25">
      <c r="A7267" s="17" t="s">
        <v>20373</v>
      </c>
      <c r="B7267" s="17" t="s">
        <v>70</v>
      </c>
      <c r="C7267" s="17" t="s">
        <v>71</v>
      </c>
      <c r="D7267" t="s">
        <v>3206</v>
      </c>
      <c r="F7267" t="s">
        <v>5862</v>
      </c>
      <c r="K7267" s="18">
        <f>628111331793</f>
        <v>628111331793</v>
      </c>
      <c r="N7267" s="17" t="s">
        <v>77</v>
      </c>
      <c r="V7267" s="18">
        <f>628111331793</f>
        <v>628111331793</v>
      </c>
    </row>
    <row r="7268" ht="15" customHeight="1" spans="1:28" x14ac:dyDescent="0.25">
      <c r="A7268" s="17" t="s">
        <v>20374</v>
      </c>
      <c r="B7268" s="17" t="s">
        <v>70</v>
      </c>
      <c r="C7268" s="17" t="s">
        <v>71</v>
      </c>
      <c r="D7268" t="s">
        <v>3206</v>
      </c>
      <c r="F7268" t="s">
        <v>672</v>
      </c>
      <c r="J7268" t="s">
        <v>115</v>
      </c>
      <c r="K7268" s="18" t="s">
        <v>20375</v>
      </c>
      <c r="N7268" s="17" t="s">
        <v>77</v>
      </c>
      <c r="O7268" t="s">
        <v>145</v>
      </c>
      <c r="V7268" s="18" t="s">
        <v>20375</v>
      </c>
      <c r="Y7268" t="s">
        <v>190</v>
      </c>
      <c r="AA7268" t="s">
        <v>118</v>
      </c>
      <c r="AB7268" t="s">
        <v>119</v>
      </c>
    </row>
    <row r="7269" ht="15" customHeight="1" spans="1:23" x14ac:dyDescent="0.25">
      <c r="A7269" s="17" t="s">
        <v>20376</v>
      </c>
      <c r="B7269" s="17" t="s">
        <v>70</v>
      </c>
      <c r="C7269" s="17" t="s">
        <v>71</v>
      </c>
      <c r="D7269" t="s">
        <v>3206</v>
      </c>
      <c r="F7269" t="s">
        <v>20377</v>
      </c>
      <c r="K7269" s="18">
        <v>81316170283</v>
      </c>
      <c r="N7269" s="17" t="s">
        <v>81</v>
      </c>
      <c r="U7269" s="17"/>
      <c r="V7269" s="18">
        <v>81316170283</v>
      </c>
      <c r="W7269" t="s">
        <v>20378</v>
      </c>
    </row>
    <row r="7270" ht="15" customHeight="1" spans="1:23" x14ac:dyDescent="0.25">
      <c r="A7270" s="17" t="s">
        <v>20379</v>
      </c>
      <c r="B7270" s="17" t="s">
        <v>70</v>
      </c>
      <c r="C7270" s="17" t="s">
        <v>71</v>
      </c>
      <c r="D7270" t="s">
        <v>3206</v>
      </c>
      <c r="F7270" t="s">
        <v>20380</v>
      </c>
      <c r="K7270" s="18">
        <f>6281272755511</f>
        <v>6281272755511</v>
      </c>
      <c r="N7270" s="17" t="s">
        <v>81</v>
      </c>
      <c r="U7270" s="17"/>
      <c r="V7270" s="18">
        <f>6281272755511</f>
        <v>6281272755511</v>
      </c>
      <c r="W7270" t="s">
        <v>20381</v>
      </c>
    </row>
    <row r="7271" ht="15" customHeight="1" spans="1:22" x14ac:dyDescent="0.25">
      <c r="A7271" s="17" t="s">
        <v>20382</v>
      </c>
      <c r="B7271" s="17" t="s">
        <v>70</v>
      </c>
      <c r="C7271" s="17" t="s">
        <v>71</v>
      </c>
      <c r="D7271" t="s">
        <v>20383</v>
      </c>
      <c r="F7271" t="s">
        <v>20383</v>
      </c>
      <c r="K7271" s="18">
        <f>62816877788</f>
        <v>62816877788</v>
      </c>
      <c r="N7271" s="17" t="s">
        <v>81</v>
      </c>
      <c r="V7271" s="18">
        <f>62816877788</f>
        <v>62816877788</v>
      </c>
    </row>
    <row r="7272" ht="15" customHeight="1" spans="1:22" x14ac:dyDescent="0.25">
      <c r="A7272" s="17" t="s">
        <v>20384</v>
      </c>
      <c r="B7272" s="17" t="s">
        <v>70</v>
      </c>
      <c r="C7272" s="17" t="s">
        <v>71</v>
      </c>
      <c r="D7272" t="s">
        <v>20385</v>
      </c>
      <c r="F7272" t="s">
        <v>20385</v>
      </c>
      <c r="K7272" s="18">
        <f>628131813207</f>
        <v>628131813207</v>
      </c>
      <c r="N7272" s="17" t="s">
        <v>81</v>
      </c>
      <c r="V7272" s="18">
        <f>628131813207</f>
        <v>628131813207</v>
      </c>
    </row>
    <row r="7273" ht="15" customHeight="1" spans="1:22" x14ac:dyDescent="0.25">
      <c r="A7273" s="17" t="s">
        <v>20386</v>
      </c>
      <c r="B7273" s="17" t="s">
        <v>70</v>
      </c>
      <c r="C7273" s="17" t="s">
        <v>71</v>
      </c>
      <c r="D7273" t="s">
        <v>20385</v>
      </c>
      <c r="F7273" t="s">
        <v>20385</v>
      </c>
      <c r="K7273" s="18">
        <f>628159141373</f>
        <v>628159141373</v>
      </c>
      <c r="N7273" s="17" t="s">
        <v>81</v>
      </c>
      <c r="V7273" s="18">
        <f>628159141373</f>
        <v>628159141373</v>
      </c>
    </row>
    <row r="7274" ht="15" customHeight="1" spans="1:22" x14ac:dyDescent="0.25">
      <c r="A7274" s="17" t="s">
        <v>20387</v>
      </c>
      <c r="B7274" s="17" t="s">
        <v>70</v>
      </c>
      <c r="C7274" s="17" t="s">
        <v>71</v>
      </c>
      <c r="D7274" t="s">
        <v>20385</v>
      </c>
      <c r="F7274" t="s">
        <v>20385</v>
      </c>
      <c r="K7274" s="18">
        <f>628179918788</f>
        <v>628179918788</v>
      </c>
      <c r="N7274" s="17" t="s">
        <v>77</v>
      </c>
      <c r="V7274" s="18">
        <f>628179918788</f>
        <v>628179918788</v>
      </c>
    </row>
    <row r="7275" ht="15" customHeight="1" spans="1:22" x14ac:dyDescent="0.25">
      <c r="A7275" s="17" t="s">
        <v>20388</v>
      </c>
      <c r="B7275" s="17" t="s">
        <v>70</v>
      </c>
      <c r="C7275" s="17" t="s">
        <v>71</v>
      </c>
      <c r="D7275" t="s">
        <v>20385</v>
      </c>
      <c r="F7275" t="s">
        <v>7099</v>
      </c>
      <c r="K7275" s="18">
        <f>628111072825</f>
        <v>628111072825</v>
      </c>
      <c r="N7275" s="17" t="s">
        <v>77</v>
      </c>
      <c r="V7275" s="18">
        <f>628111072825</f>
        <v>628111072825</v>
      </c>
    </row>
    <row r="7276" ht="15" customHeight="1" spans="1:28" x14ac:dyDescent="0.25">
      <c r="A7276" s="17" t="s">
        <v>20389</v>
      </c>
      <c r="B7276" s="17" t="s">
        <v>70</v>
      </c>
      <c r="C7276" s="17" t="s">
        <v>71</v>
      </c>
      <c r="D7276" t="s">
        <v>19788</v>
      </c>
      <c r="F7276" t="s">
        <v>19788</v>
      </c>
      <c r="J7276" s="17" t="s">
        <v>20390</v>
      </c>
      <c r="K7276" s="18" t="s">
        <v>20391</v>
      </c>
      <c r="N7276" s="17" t="s">
        <v>81</v>
      </c>
      <c r="O7276" t="s">
        <v>261</v>
      </c>
      <c r="U7276" s="17"/>
      <c r="V7276" s="18" t="s">
        <v>20391</v>
      </c>
      <c r="W7276" t="s">
        <v>20392</v>
      </c>
      <c r="Y7276" t="s">
        <v>115</v>
      </c>
      <c r="AA7276" s="17" t="s">
        <v>20393</v>
      </c>
      <c r="AB7276" t="s">
        <v>119</v>
      </c>
    </row>
    <row r="7277" ht="15" customHeight="1" spans="1:23" x14ac:dyDescent="0.25">
      <c r="A7277" s="17" t="s">
        <v>20394</v>
      </c>
      <c r="B7277" s="17" t="s">
        <v>70</v>
      </c>
      <c r="C7277" s="17" t="s">
        <v>71</v>
      </c>
      <c r="D7277" t="s">
        <v>19788</v>
      </c>
      <c r="F7277" t="s">
        <v>7950</v>
      </c>
      <c r="K7277" s="18">
        <f>62817408006</f>
        <v>62817408006</v>
      </c>
      <c r="N7277" s="17" t="s">
        <v>77</v>
      </c>
      <c r="U7277" s="17"/>
      <c r="V7277" s="18">
        <f>62817408006</f>
        <v>62817408006</v>
      </c>
      <c r="W7277" t="s">
        <v>20395</v>
      </c>
    </row>
    <row r="7278" ht="15" customHeight="1" spans="1:25" x14ac:dyDescent="0.25">
      <c r="A7278" s="17" t="s">
        <v>20396</v>
      </c>
      <c r="B7278" s="17" t="s">
        <v>70</v>
      </c>
      <c r="C7278" s="17" t="s">
        <v>71</v>
      </c>
      <c r="D7278" t="s">
        <v>20397</v>
      </c>
      <c r="F7278" t="s">
        <v>20397</v>
      </c>
      <c r="J7278" s="17" t="s">
        <v>20398</v>
      </c>
      <c r="K7278" s="18">
        <f>62816822699</f>
        <v>62816822699</v>
      </c>
      <c r="N7278" s="17" t="s">
        <v>81</v>
      </c>
      <c r="U7278" s="17"/>
      <c r="V7278" s="18">
        <f>62816822699</f>
        <v>62816822699</v>
      </c>
      <c r="W7278" t="s">
        <v>20399</v>
      </c>
      <c r="Y7278" s="17" t="s">
        <v>1084</v>
      </c>
    </row>
    <row r="7279" ht="15" customHeight="1" spans="1:22" x14ac:dyDescent="0.25">
      <c r="A7279" s="17" t="s">
        <v>20400</v>
      </c>
      <c r="B7279" s="17" t="s">
        <v>70</v>
      </c>
      <c r="C7279" s="17" t="s">
        <v>71</v>
      </c>
      <c r="D7279" t="s">
        <v>20397</v>
      </c>
      <c r="F7279" t="s">
        <v>20397</v>
      </c>
      <c r="K7279" s="18">
        <f>6281510909152</f>
        <v>6281510909152</v>
      </c>
      <c r="N7279" s="17" t="s">
        <v>81</v>
      </c>
      <c r="V7279" s="18">
        <f>6281510909152</f>
        <v>6281510909152</v>
      </c>
    </row>
    <row r="7280" ht="15" customHeight="1" spans="1:28" x14ac:dyDescent="0.25">
      <c r="A7280" s="17" t="s">
        <v>20401</v>
      </c>
      <c r="B7280" s="17" t="s">
        <v>70</v>
      </c>
      <c r="C7280" s="17" t="s">
        <v>71</v>
      </c>
      <c r="D7280" t="s">
        <v>20397</v>
      </c>
      <c r="F7280" t="s">
        <v>6406</v>
      </c>
      <c r="J7280" t="s">
        <v>115</v>
      </c>
      <c r="K7280" s="18" t="s">
        <v>20402</v>
      </c>
      <c r="N7280" s="17" t="s">
        <v>77</v>
      </c>
      <c r="O7280" t="s">
        <v>199</v>
      </c>
      <c r="V7280" s="18" t="s">
        <v>20402</v>
      </c>
      <c r="Y7280" t="s">
        <v>90</v>
      </c>
      <c r="AA7280" t="s">
        <v>118</v>
      </c>
      <c r="AB7280" t="s">
        <v>119</v>
      </c>
    </row>
    <row r="7281" ht="15" customHeight="1" spans="1:25" x14ac:dyDescent="0.25">
      <c r="A7281" s="17" t="s">
        <v>20403</v>
      </c>
      <c r="B7281" s="17" t="s">
        <v>70</v>
      </c>
      <c r="C7281" s="17" t="s">
        <v>71</v>
      </c>
      <c r="D7281" t="s">
        <v>20397</v>
      </c>
      <c r="F7281" t="s">
        <v>20404</v>
      </c>
      <c r="J7281" s="17" t="s">
        <v>20405</v>
      </c>
      <c r="K7281" s="18">
        <f>6287888002227</f>
        <v>6287888002227</v>
      </c>
      <c r="N7281" s="17" t="s">
        <v>77</v>
      </c>
      <c r="U7281" s="17"/>
      <c r="V7281" s="18">
        <f>6287888002227</f>
        <v>6287888002227</v>
      </c>
      <c r="W7281" t="s">
        <v>20406</v>
      </c>
      <c r="Y7281" s="17" t="s">
        <v>1084</v>
      </c>
    </row>
    <row r="7282" ht="15" customHeight="1" spans="1:28" x14ac:dyDescent="0.25">
      <c r="A7282" s="17" t="s">
        <v>20407</v>
      </c>
      <c r="B7282" s="17" t="s">
        <v>70</v>
      </c>
      <c r="C7282" s="17" t="s">
        <v>71</v>
      </c>
      <c r="D7282" t="s">
        <v>20408</v>
      </c>
      <c r="F7282" t="s">
        <v>12489</v>
      </c>
      <c r="J7282" t="s">
        <v>20409</v>
      </c>
      <c r="K7282" s="18" t="s">
        <v>20410</v>
      </c>
      <c r="N7282" s="17" t="s">
        <v>77</v>
      </c>
      <c r="O7282" t="s">
        <v>145</v>
      </c>
      <c r="V7282" s="18" t="s">
        <v>20410</v>
      </c>
      <c r="Y7282" t="s">
        <v>90</v>
      </c>
      <c r="AA7282" t="s">
        <v>118</v>
      </c>
      <c r="AB7282" t="s">
        <v>119</v>
      </c>
    </row>
    <row r="7283" ht="15" customHeight="1" spans="1:22" x14ac:dyDescent="0.25">
      <c r="A7283" s="17" t="s">
        <v>20411</v>
      </c>
      <c r="B7283" s="17" t="s">
        <v>70</v>
      </c>
      <c r="C7283" s="17" t="s">
        <v>71</v>
      </c>
      <c r="D7283" t="s">
        <v>20412</v>
      </c>
      <c r="F7283" t="s">
        <v>20413</v>
      </c>
      <c r="J7283" s="17" t="s">
        <v>20414</v>
      </c>
      <c r="K7283" s="18" t="s">
        <v>20415</v>
      </c>
      <c r="N7283" s="17" t="s">
        <v>77</v>
      </c>
      <c r="V7283" s="18" t="s">
        <v>20415</v>
      </c>
    </row>
    <row r="7284" ht="15" customHeight="1" spans="1:28" x14ac:dyDescent="0.25">
      <c r="A7284" s="17" t="s">
        <v>20416</v>
      </c>
      <c r="B7284" s="17" t="s">
        <v>70</v>
      </c>
      <c r="C7284" s="17" t="s">
        <v>71</v>
      </c>
      <c r="D7284" t="s">
        <v>20417</v>
      </c>
      <c r="F7284" t="s">
        <v>19705</v>
      </c>
      <c r="J7284" t="s">
        <v>115</v>
      </c>
      <c r="K7284" s="18" t="s">
        <v>20418</v>
      </c>
      <c r="N7284" s="17" t="s">
        <v>77</v>
      </c>
      <c r="O7284" t="s">
        <v>261</v>
      </c>
      <c r="U7284" s="17"/>
      <c r="V7284" s="18" t="s">
        <v>20418</v>
      </c>
      <c r="W7284" t="s">
        <v>20419</v>
      </c>
      <c r="Y7284" s="17" t="s">
        <v>90</v>
      </c>
      <c r="AA7284" t="s">
        <v>118</v>
      </c>
      <c r="AB7284" t="s">
        <v>119</v>
      </c>
    </row>
    <row r="7285" ht="15" customHeight="1" spans="1:23" x14ac:dyDescent="0.25">
      <c r="A7285" s="17" t="s">
        <v>20420</v>
      </c>
      <c r="B7285" s="17" t="s">
        <v>70</v>
      </c>
      <c r="C7285" s="17" t="s">
        <v>71</v>
      </c>
      <c r="D7285" t="s">
        <v>20421</v>
      </c>
      <c r="F7285" t="s">
        <v>20422</v>
      </c>
      <c r="K7285" s="18">
        <f>29052022</f>
        <v>29052022</v>
      </c>
      <c r="N7285" s="17" t="s">
        <v>77</v>
      </c>
      <c r="U7285" s="17"/>
      <c r="V7285" s="18">
        <f>29052022</f>
        <v>29052022</v>
      </c>
      <c r="W7285" t="s">
        <v>9317</v>
      </c>
    </row>
    <row r="7286" ht="15" customHeight="1" spans="1:22" x14ac:dyDescent="0.25">
      <c r="A7286" s="17" t="s">
        <v>20423</v>
      </c>
      <c r="B7286" s="17" t="s">
        <v>70</v>
      </c>
      <c r="C7286" s="17" t="s">
        <v>71</v>
      </c>
      <c r="D7286" t="s">
        <v>20424</v>
      </c>
      <c r="F7286" t="s">
        <v>672</v>
      </c>
      <c r="K7286" s="18">
        <f>628161110511</f>
        <v>628161110511</v>
      </c>
      <c r="N7286" s="17" t="s">
        <v>77</v>
      </c>
      <c r="V7286" s="18">
        <f>628161110511</f>
        <v>628161110511</v>
      </c>
    </row>
    <row r="7287" ht="15" customHeight="1" spans="1:22" x14ac:dyDescent="0.25">
      <c r="A7287" s="17" t="s">
        <v>20425</v>
      </c>
      <c r="B7287" s="17" t="s">
        <v>70</v>
      </c>
      <c r="C7287" s="17" t="s">
        <v>71</v>
      </c>
      <c r="D7287" t="s">
        <v>20426</v>
      </c>
      <c r="F7287" t="s">
        <v>20427</v>
      </c>
      <c r="K7287" s="18">
        <f>62811150278</f>
        <v>62811150278</v>
      </c>
      <c r="N7287" s="17" t="s">
        <v>81</v>
      </c>
      <c r="V7287" s="18">
        <f>62811150278</f>
        <v>62811150278</v>
      </c>
    </row>
    <row r="7288" ht="15" customHeight="1" spans="1:28" x14ac:dyDescent="0.25">
      <c r="A7288" s="17" t="s">
        <v>20428</v>
      </c>
      <c r="B7288" s="17" t="s">
        <v>70</v>
      </c>
      <c r="C7288" s="17" t="s">
        <v>71</v>
      </c>
      <c r="D7288" t="s">
        <v>10889</v>
      </c>
      <c r="F7288" t="s">
        <v>20429</v>
      </c>
      <c r="J7288" t="s">
        <v>115</v>
      </c>
      <c r="K7288" s="18" t="s">
        <v>20430</v>
      </c>
      <c r="N7288" s="17" t="s">
        <v>77</v>
      </c>
      <c r="O7288" t="s">
        <v>145</v>
      </c>
      <c r="V7288" s="18" t="s">
        <v>20430</v>
      </c>
      <c r="Y7288" t="s">
        <v>190</v>
      </c>
      <c r="AA7288" t="s">
        <v>118</v>
      </c>
      <c r="AB7288" t="s">
        <v>3140</v>
      </c>
    </row>
    <row r="7289" ht="15" customHeight="1" spans="1:22" x14ac:dyDescent="0.25">
      <c r="A7289" s="17" t="s">
        <v>20431</v>
      </c>
      <c r="B7289" s="17" t="s">
        <v>70</v>
      </c>
      <c r="C7289" s="17" t="s">
        <v>71</v>
      </c>
      <c r="D7289" t="s">
        <v>20432</v>
      </c>
      <c r="F7289" t="s">
        <v>20432</v>
      </c>
      <c r="K7289" s="18">
        <f>6281288990722</f>
        <v>6281288990722</v>
      </c>
      <c r="N7289" s="17" t="s">
        <v>77</v>
      </c>
      <c r="V7289" s="18">
        <f>6281288990722</f>
        <v>6281288990722</v>
      </c>
    </row>
    <row r="7290" ht="15" customHeight="1" spans="1:25" x14ac:dyDescent="0.25">
      <c r="A7290" s="17" t="s">
        <v>20433</v>
      </c>
      <c r="B7290" s="17" t="s">
        <v>70</v>
      </c>
      <c r="C7290" s="17" t="s">
        <v>71</v>
      </c>
      <c r="D7290" t="s">
        <v>20432</v>
      </c>
      <c r="F7290" t="s">
        <v>6406</v>
      </c>
      <c r="K7290" s="18">
        <f>628126090704</f>
        <v>628126090704</v>
      </c>
      <c r="N7290" s="17" t="s">
        <v>81</v>
      </c>
      <c r="U7290" s="17"/>
      <c r="V7290" s="18">
        <f>628126090704</f>
        <v>628126090704</v>
      </c>
      <c r="W7290" t="s">
        <v>20434</v>
      </c>
      <c r="Y7290" s="17" t="s">
        <v>90</v>
      </c>
    </row>
    <row r="7291" ht="15" customHeight="1" spans="1:22" x14ac:dyDescent="0.25">
      <c r="A7291" s="17" t="s">
        <v>20435</v>
      </c>
      <c r="B7291" s="17" t="s">
        <v>70</v>
      </c>
      <c r="C7291" s="17" t="s">
        <v>71</v>
      </c>
      <c r="D7291" t="s">
        <v>20436</v>
      </c>
      <c r="F7291" t="s">
        <v>20436</v>
      </c>
      <c r="K7291" s="18">
        <f>628111742142</f>
        <v>628111742142</v>
      </c>
      <c r="N7291" s="17" t="s">
        <v>77</v>
      </c>
      <c r="V7291" s="18">
        <f>628111742142</f>
        <v>628111742142</v>
      </c>
    </row>
    <row r="7292" ht="15" customHeight="1" spans="1:22" x14ac:dyDescent="0.25">
      <c r="A7292" s="17" t="s">
        <v>20437</v>
      </c>
      <c r="B7292" s="17" t="s">
        <v>70</v>
      </c>
      <c r="C7292" s="17" t="s">
        <v>71</v>
      </c>
      <c r="D7292" t="s">
        <v>20436</v>
      </c>
      <c r="F7292" t="s">
        <v>14080</v>
      </c>
      <c r="K7292" s="18">
        <f>628111898999</f>
        <v>628111898999</v>
      </c>
      <c r="N7292" s="17" t="s">
        <v>77</v>
      </c>
      <c r="V7292" s="18">
        <f>628111898999</f>
        <v>628111898999</v>
      </c>
    </row>
    <row r="7293" ht="15" customHeight="1" spans="1:22" x14ac:dyDescent="0.25">
      <c r="A7293" s="17" t="s">
        <v>20438</v>
      </c>
      <c r="B7293" s="17" t="s">
        <v>70</v>
      </c>
      <c r="C7293" s="17" t="s">
        <v>71</v>
      </c>
      <c r="D7293" t="s">
        <v>20439</v>
      </c>
      <c r="F7293" t="s">
        <v>20440</v>
      </c>
      <c r="K7293" s="18">
        <f>62816907730</f>
        <v>62816907730</v>
      </c>
      <c r="N7293" s="17" t="s">
        <v>77</v>
      </c>
      <c r="V7293" s="18">
        <f>62816907730</f>
        <v>62816907730</v>
      </c>
    </row>
    <row r="7294" ht="15" customHeight="1" spans="1:28" x14ac:dyDescent="0.25">
      <c r="A7294" s="17" t="s">
        <v>20441</v>
      </c>
      <c r="B7294" s="17" t="s">
        <v>70</v>
      </c>
      <c r="C7294" s="17" t="s">
        <v>71</v>
      </c>
      <c r="D7294" t="s">
        <v>20442</v>
      </c>
      <c r="F7294" t="s">
        <v>20443</v>
      </c>
      <c r="J7294" t="s">
        <v>20444</v>
      </c>
      <c r="K7294" s="18" t="s">
        <v>20445</v>
      </c>
      <c r="N7294" s="17" t="s">
        <v>77</v>
      </c>
      <c r="O7294" t="s">
        <v>145</v>
      </c>
      <c r="V7294" s="18" t="s">
        <v>20445</v>
      </c>
      <c r="Y7294" t="s">
        <v>190</v>
      </c>
      <c r="AA7294" t="s">
        <v>118</v>
      </c>
      <c r="AB7294" t="s">
        <v>3140</v>
      </c>
    </row>
    <row r="7295" ht="15" customHeight="1" spans="1:28" x14ac:dyDescent="0.25">
      <c r="A7295" s="17" t="s">
        <v>20446</v>
      </c>
      <c r="B7295" s="17" t="s">
        <v>70</v>
      </c>
      <c r="C7295" s="17" t="s">
        <v>71</v>
      </c>
      <c r="D7295" t="s">
        <v>20447</v>
      </c>
      <c r="F7295" t="s">
        <v>20448</v>
      </c>
      <c r="J7295" s="17" t="s">
        <v>20449</v>
      </c>
      <c r="K7295" s="18" t="s">
        <v>20450</v>
      </c>
      <c r="N7295" s="17" t="s">
        <v>77</v>
      </c>
      <c r="O7295" t="s">
        <v>199</v>
      </c>
      <c r="U7295" s="17"/>
      <c r="V7295" s="18" t="s">
        <v>20450</v>
      </c>
      <c r="W7295" t="s">
        <v>16025</v>
      </c>
      <c r="Y7295" t="s">
        <v>190</v>
      </c>
      <c r="AA7295" t="s">
        <v>118</v>
      </c>
      <c r="AB7295" t="s">
        <v>1306</v>
      </c>
    </row>
    <row r="7296" ht="15" customHeight="1" spans="1:22" x14ac:dyDescent="0.25">
      <c r="A7296" s="17" t="s">
        <v>20451</v>
      </c>
      <c r="B7296" s="17" t="s">
        <v>70</v>
      </c>
      <c r="C7296" s="17" t="s">
        <v>71</v>
      </c>
      <c r="D7296" t="s">
        <v>20447</v>
      </c>
      <c r="F7296" t="s">
        <v>15964</v>
      </c>
      <c r="K7296" s="18">
        <f>6287778333492</f>
        <v>6287778333492</v>
      </c>
      <c r="N7296" s="17" t="s">
        <v>77</v>
      </c>
      <c r="V7296" s="18">
        <f>6287778333492</f>
        <v>6287778333492</v>
      </c>
    </row>
    <row r="7297" ht="15" customHeight="1" spans="1:23" x14ac:dyDescent="0.25">
      <c r="A7297" s="17" t="s">
        <v>20452</v>
      </c>
      <c r="B7297" s="17" t="s">
        <v>70</v>
      </c>
      <c r="C7297" s="17" t="s">
        <v>71</v>
      </c>
      <c r="D7297" t="s">
        <v>20447</v>
      </c>
      <c r="F7297" t="s">
        <v>3142</v>
      </c>
      <c r="K7297" s="18">
        <v>1052515119</v>
      </c>
      <c r="N7297" s="17" t="s">
        <v>77</v>
      </c>
      <c r="U7297" s="17"/>
      <c r="V7297" s="18">
        <v>1052515119</v>
      </c>
      <c r="W7297" t="s">
        <v>20453</v>
      </c>
    </row>
    <row r="7298" ht="15" customHeight="1" spans="1:22" x14ac:dyDescent="0.25">
      <c r="A7298" s="17" t="s">
        <v>20454</v>
      </c>
      <c r="B7298" s="17" t="s">
        <v>70</v>
      </c>
      <c r="C7298" s="17" t="s">
        <v>71</v>
      </c>
      <c r="D7298" t="s">
        <v>20447</v>
      </c>
      <c r="F7298" t="s">
        <v>3869</v>
      </c>
      <c r="K7298" s="18">
        <f>6281290320912</f>
        <v>6281290320912</v>
      </c>
      <c r="N7298" s="17" t="s">
        <v>81</v>
      </c>
      <c r="V7298" s="18">
        <f>6281290320912</f>
        <v>6281290320912</v>
      </c>
    </row>
    <row r="7299" ht="15" customHeight="1" spans="1:23" x14ac:dyDescent="0.25">
      <c r="A7299" s="17" t="s">
        <v>20455</v>
      </c>
      <c r="B7299" s="17" t="s">
        <v>70</v>
      </c>
      <c r="C7299" s="17" t="s">
        <v>71</v>
      </c>
      <c r="D7299" t="s">
        <v>20447</v>
      </c>
      <c r="F7299" t="s">
        <v>20456</v>
      </c>
      <c r="K7299" s="18">
        <f>179173496682</f>
        <v>179173496682</v>
      </c>
      <c r="N7299" s="17" t="s">
        <v>77</v>
      </c>
      <c r="U7299" s="17"/>
      <c r="V7299" s="18">
        <f>179173496682</f>
        <v>179173496682</v>
      </c>
      <c r="W7299" t="s">
        <v>20457</v>
      </c>
    </row>
    <row r="7300" ht="15" customHeight="1" spans="1:22" x14ac:dyDescent="0.25">
      <c r="A7300" s="17" t="s">
        <v>20458</v>
      </c>
      <c r="B7300" s="17" t="s">
        <v>70</v>
      </c>
      <c r="C7300" s="17" t="s">
        <v>71</v>
      </c>
      <c r="D7300" t="s">
        <v>20447</v>
      </c>
      <c r="F7300" t="s">
        <v>7283</v>
      </c>
      <c r="K7300" s="18">
        <f>6281240800516</f>
        <v>6281240800516</v>
      </c>
      <c r="N7300" s="17" t="s">
        <v>81</v>
      </c>
      <c r="V7300" s="18">
        <f>6281240800516</f>
        <v>6281240800516</v>
      </c>
    </row>
    <row r="7301" ht="15" customHeight="1" spans="1:28" x14ac:dyDescent="0.25">
      <c r="A7301" s="17" t="s">
        <v>20459</v>
      </c>
      <c r="B7301" s="17" t="s">
        <v>70</v>
      </c>
      <c r="C7301" s="17" t="s">
        <v>71</v>
      </c>
      <c r="D7301" t="s">
        <v>20460</v>
      </c>
      <c r="F7301" t="s">
        <v>20461</v>
      </c>
      <c r="J7301" t="s">
        <v>115</v>
      </c>
      <c r="K7301" s="18" t="s">
        <v>20462</v>
      </c>
      <c r="N7301" s="17" t="s">
        <v>81</v>
      </c>
      <c r="O7301" t="s">
        <v>489</v>
      </c>
      <c r="U7301" s="17"/>
      <c r="V7301" s="18" t="s">
        <v>20462</v>
      </c>
      <c r="W7301" t="s">
        <v>20463</v>
      </c>
      <c r="Y7301" t="s">
        <v>90</v>
      </c>
      <c r="AA7301" t="s">
        <v>118</v>
      </c>
      <c r="AB7301" t="s">
        <v>119</v>
      </c>
    </row>
    <row r="7302" ht="15" customHeight="1" spans="1:23" x14ac:dyDescent="0.25">
      <c r="A7302" s="17" t="s">
        <v>20464</v>
      </c>
      <c r="B7302" s="17" t="s">
        <v>70</v>
      </c>
      <c r="C7302" s="17" t="s">
        <v>71</v>
      </c>
      <c r="D7302" t="s">
        <v>20465</v>
      </c>
      <c r="F7302" t="s">
        <v>20466</v>
      </c>
      <c r="J7302" s="17" t="s">
        <v>20467</v>
      </c>
      <c r="K7302" s="18">
        <f>6581323159</f>
        <v>6581323159</v>
      </c>
      <c r="N7302" s="17" t="s">
        <v>77</v>
      </c>
      <c r="U7302" s="17"/>
      <c r="V7302" s="18">
        <f>6581323159</f>
        <v>6581323159</v>
      </c>
      <c r="W7302" t="s">
        <v>3140</v>
      </c>
    </row>
    <row r="7303" ht="15" customHeight="1" spans="1:25" x14ac:dyDescent="0.25">
      <c r="A7303" s="17" t="s">
        <v>20468</v>
      </c>
      <c r="B7303" s="17" t="s">
        <v>70</v>
      </c>
      <c r="C7303" s="17" t="s">
        <v>71</v>
      </c>
      <c r="D7303" t="s">
        <v>20469</v>
      </c>
      <c r="F7303" t="s">
        <v>20470</v>
      </c>
      <c r="J7303" s="17" t="s">
        <v>20471</v>
      </c>
      <c r="K7303" s="18">
        <v>13678423680</v>
      </c>
      <c r="N7303" s="17" t="s">
        <v>81</v>
      </c>
      <c r="V7303" s="18">
        <v>13678423680</v>
      </c>
      <c r="Y7303" s="17" t="s">
        <v>20472</v>
      </c>
    </row>
    <row r="7304" ht="15" customHeight="1" spans="1:22" x14ac:dyDescent="0.25">
      <c r="A7304" s="17" t="s">
        <v>20473</v>
      </c>
      <c r="B7304" s="17" t="s">
        <v>70</v>
      </c>
      <c r="C7304" s="17" t="s">
        <v>71</v>
      </c>
      <c r="D7304" t="s">
        <v>20469</v>
      </c>
      <c r="F7304" t="s">
        <v>7944</v>
      </c>
      <c r="K7304" s="18">
        <f>61466110468</f>
        <v>61466110468</v>
      </c>
      <c r="N7304" s="17" t="s">
        <v>81</v>
      </c>
      <c r="V7304" s="18">
        <f>61466110468</f>
        <v>61466110468</v>
      </c>
    </row>
    <row r="7305" ht="15" customHeight="1" spans="1:22" x14ac:dyDescent="0.25">
      <c r="A7305" s="17" t="s">
        <v>20474</v>
      </c>
      <c r="B7305" s="17" t="s">
        <v>70</v>
      </c>
      <c r="C7305" s="17" t="s">
        <v>71</v>
      </c>
      <c r="D7305" t="s">
        <v>20469</v>
      </c>
      <c r="F7305" t="s">
        <v>20475</v>
      </c>
      <c r="K7305" s="18">
        <f>8613928222822</f>
        <v>8613928222822</v>
      </c>
      <c r="N7305" s="17" t="s">
        <v>81</v>
      </c>
      <c r="V7305" s="18">
        <f>8613928222822</f>
        <v>8613928222822</v>
      </c>
    </row>
    <row r="7306" ht="15" customHeight="1" spans="1:23" x14ac:dyDescent="0.25">
      <c r="A7306" s="17" t="s">
        <v>20476</v>
      </c>
      <c r="B7306" s="17" t="s">
        <v>70</v>
      </c>
      <c r="C7306" s="17" t="s">
        <v>71</v>
      </c>
      <c r="D7306" t="s">
        <v>20477</v>
      </c>
      <c r="F7306" t="s">
        <v>15386</v>
      </c>
      <c r="J7306" s="17" t="s">
        <v>20478</v>
      </c>
      <c r="K7306" s="18">
        <f>8613809870066</f>
        <v>8613809870066</v>
      </c>
      <c r="N7306" s="17" t="s">
        <v>77</v>
      </c>
      <c r="U7306" s="17"/>
      <c r="V7306" s="18">
        <f>8613809870066</f>
        <v>8613809870066</v>
      </c>
      <c r="W7306" t="s">
        <v>3140</v>
      </c>
    </row>
    <row r="7307" ht="15" customHeight="1" spans="1:22" x14ac:dyDescent="0.25">
      <c r="A7307" s="17" t="s">
        <v>20479</v>
      </c>
      <c r="B7307" s="17" t="s">
        <v>70</v>
      </c>
      <c r="C7307" s="17" t="s">
        <v>71</v>
      </c>
      <c r="D7307" t="s">
        <v>20480</v>
      </c>
      <c r="F7307" t="s">
        <v>7123</v>
      </c>
      <c r="K7307" s="18">
        <f>6287889086960</f>
        <v>6287889086960</v>
      </c>
      <c r="N7307" s="17" t="s">
        <v>77</v>
      </c>
      <c r="V7307" s="18">
        <f>6287889086960</f>
        <v>6287889086960</v>
      </c>
    </row>
    <row r="7308" ht="15" customHeight="1" spans="1:23" x14ac:dyDescent="0.25">
      <c r="A7308" s="17" t="s">
        <v>20481</v>
      </c>
      <c r="B7308" s="17" t="s">
        <v>70</v>
      </c>
      <c r="C7308" s="17" t="s">
        <v>71</v>
      </c>
      <c r="D7308" t="s">
        <v>15915</v>
      </c>
      <c r="F7308" t="s">
        <v>7304</v>
      </c>
      <c r="K7308" s="18">
        <f>628613857718019</f>
        <v>628613857718019</v>
      </c>
      <c r="N7308" s="17" t="s">
        <v>77</v>
      </c>
      <c r="U7308" s="17"/>
      <c r="V7308" s="18">
        <f>628613857718019</f>
        <v>628613857718019</v>
      </c>
      <c r="W7308" t="s">
        <v>20482</v>
      </c>
    </row>
    <row r="7309" ht="15" customHeight="1" spans="1:22" x14ac:dyDescent="0.25">
      <c r="A7309" s="17" t="s">
        <v>20483</v>
      </c>
      <c r="B7309" s="17" t="s">
        <v>70</v>
      </c>
      <c r="C7309" s="17" t="s">
        <v>71</v>
      </c>
      <c r="D7309" t="s">
        <v>20484</v>
      </c>
      <c r="F7309" t="s">
        <v>20485</v>
      </c>
      <c r="K7309" s="18">
        <f>6281286945191</f>
        <v>6281286945191</v>
      </c>
      <c r="N7309" s="17" t="s">
        <v>81</v>
      </c>
      <c r="V7309" s="18">
        <f>6281286945191</f>
        <v>6281286945191</v>
      </c>
    </row>
    <row r="7310" ht="15" customHeight="1" spans="1:22" x14ac:dyDescent="0.25">
      <c r="A7310" s="17" t="s">
        <v>20486</v>
      </c>
      <c r="B7310" s="17" t="s">
        <v>70</v>
      </c>
      <c r="C7310" s="17" t="s">
        <v>71</v>
      </c>
      <c r="D7310" t="s">
        <v>15915</v>
      </c>
      <c r="F7310" t="s">
        <v>20487</v>
      </c>
      <c r="K7310" s="18">
        <f>8615251922222</f>
        <v>8615251922222</v>
      </c>
      <c r="N7310" s="17" t="s">
        <v>81</v>
      </c>
      <c r="V7310" s="18">
        <f>8615251922222</f>
        <v>8615251922222</v>
      </c>
    </row>
    <row r="7311" ht="15" customHeight="1" spans="1:28" x14ac:dyDescent="0.25">
      <c r="A7311" s="17" t="s">
        <v>20488</v>
      </c>
      <c r="B7311" s="17" t="s">
        <v>70</v>
      </c>
      <c r="C7311" s="17" t="s">
        <v>71</v>
      </c>
      <c r="D7311" t="s">
        <v>7293</v>
      </c>
      <c r="F7311" t="s">
        <v>7846</v>
      </c>
      <c r="J7311" t="s">
        <v>115</v>
      </c>
      <c r="K7311" s="18" t="s">
        <v>20489</v>
      </c>
      <c r="N7311" s="17" t="s">
        <v>81</v>
      </c>
      <c r="O7311" t="s">
        <v>117</v>
      </c>
      <c r="V7311" s="18" t="s">
        <v>20489</v>
      </c>
      <c r="Y7311" t="s">
        <v>115</v>
      </c>
      <c r="AA7311" t="s">
        <v>115</v>
      </c>
      <c r="AB7311" t="s">
        <v>1903</v>
      </c>
    </row>
    <row r="7312" ht="15" customHeight="1" spans="1:23" x14ac:dyDescent="0.25">
      <c r="A7312" s="17" t="s">
        <v>20490</v>
      </c>
      <c r="B7312" s="17" t="s">
        <v>70</v>
      </c>
      <c r="C7312" s="17" t="s">
        <v>71</v>
      </c>
      <c r="D7312" t="s">
        <v>15915</v>
      </c>
      <c r="F7312" t="s">
        <v>7297</v>
      </c>
      <c r="K7312" s="18">
        <f>17788618642</f>
        <v>17788618642</v>
      </c>
      <c r="N7312" s="17" t="s">
        <v>77</v>
      </c>
      <c r="U7312" s="17"/>
      <c r="V7312" s="18">
        <f>17788618642</f>
        <v>17788618642</v>
      </c>
      <c r="W7312" t="s">
        <v>20491</v>
      </c>
    </row>
    <row r="7313" ht="15" customHeight="1" spans="1:22" x14ac:dyDescent="0.25">
      <c r="A7313" s="17" t="s">
        <v>20492</v>
      </c>
      <c r="B7313" s="17" t="s">
        <v>70</v>
      </c>
      <c r="C7313" s="17" t="s">
        <v>71</v>
      </c>
      <c r="D7313" t="s">
        <v>15915</v>
      </c>
      <c r="F7313" t="s">
        <v>20493</v>
      </c>
      <c r="K7313" s="18">
        <f>6281288626666</f>
        <v>6281288626666</v>
      </c>
      <c r="N7313" s="17" t="s">
        <v>81</v>
      </c>
      <c r="V7313" s="18">
        <f>6281288626666</f>
        <v>6281288626666</v>
      </c>
    </row>
    <row r="7314" ht="15" customHeight="1" spans="1:28" x14ac:dyDescent="0.25">
      <c r="A7314" s="17" t="s">
        <v>20494</v>
      </c>
      <c r="B7314" s="17" t="s">
        <v>70</v>
      </c>
      <c r="C7314" s="17" t="s">
        <v>71</v>
      </c>
      <c r="D7314" t="s">
        <v>20495</v>
      </c>
      <c r="F7314" t="s">
        <v>1217</v>
      </c>
      <c r="J7314" t="s">
        <v>115</v>
      </c>
      <c r="K7314" s="18" t="s">
        <v>20496</v>
      </c>
      <c r="N7314" s="17" t="s">
        <v>77</v>
      </c>
      <c r="O7314" t="s">
        <v>261</v>
      </c>
      <c r="V7314" s="18" t="s">
        <v>20496</v>
      </c>
      <c r="Y7314" t="s">
        <v>90</v>
      </c>
      <c r="AA7314" t="s">
        <v>118</v>
      </c>
      <c r="AB7314" t="s">
        <v>119</v>
      </c>
    </row>
    <row r="7315" ht="15" customHeight="1" spans="1:23" x14ac:dyDescent="0.25">
      <c r="A7315" s="17" t="s">
        <v>20497</v>
      </c>
      <c r="B7315" s="17" t="s">
        <v>70</v>
      </c>
      <c r="C7315" s="17" t="s">
        <v>71</v>
      </c>
      <c r="D7315" t="s">
        <v>15915</v>
      </c>
      <c r="F7315" t="s">
        <v>10991</v>
      </c>
      <c r="K7315" s="18">
        <f>628121089950</f>
        <v>628121089950</v>
      </c>
      <c r="N7315" s="17" t="s">
        <v>77</v>
      </c>
      <c r="U7315" s="17"/>
      <c r="V7315" s="18">
        <f>628121089950</f>
        <v>628121089950</v>
      </c>
      <c r="W7315" t="s">
        <v>20498</v>
      </c>
    </row>
    <row r="7316" ht="15" customHeight="1" spans="1:22" x14ac:dyDescent="0.25">
      <c r="A7316" s="17" t="s">
        <v>20499</v>
      </c>
      <c r="B7316" s="17" t="s">
        <v>70</v>
      </c>
      <c r="C7316" s="17" t="s">
        <v>71</v>
      </c>
      <c r="D7316" t="s">
        <v>15915</v>
      </c>
      <c r="F7316" t="s">
        <v>20500</v>
      </c>
      <c r="K7316" s="18">
        <f>6281381118878</f>
        <v>6281381118878</v>
      </c>
      <c r="N7316" s="17" t="s">
        <v>81</v>
      </c>
      <c r="V7316" s="18">
        <f>6281381118878</f>
        <v>6281381118878</v>
      </c>
    </row>
    <row r="7317" ht="15" customHeight="1" spans="1:23" x14ac:dyDescent="0.25">
      <c r="A7317" s="17" t="s">
        <v>20501</v>
      </c>
      <c r="B7317" s="17" t="s">
        <v>70</v>
      </c>
      <c r="C7317" s="17" t="s">
        <v>71</v>
      </c>
      <c r="D7317" t="s">
        <v>20502</v>
      </c>
      <c r="F7317" t="s">
        <v>20503</v>
      </c>
      <c r="J7317" s="17" t="s">
        <v>20504</v>
      </c>
      <c r="K7317" s="18">
        <f>8615162502339</f>
        <v>8615162502339</v>
      </c>
      <c r="N7317" s="17" t="s">
        <v>77</v>
      </c>
      <c r="U7317" s="17"/>
      <c r="V7317" s="18">
        <f>8615162502339</f>
        <v>8615162502339</v>
      </c>
      <c r="W7317" t="s">
        <v>3140</v>
      </c>
    </row>
    <row r="7318" ht="15" customHeight="1" spans="1:28" x14ac:dyDescent="0.25">
      <c r="A7318" s="17" t="s">
        <v>20505</v>
      </c>
      <c r="B7318" s="17" t="s">
        <v>70</v>
      </c>
      <c r="C7318" s="17" t="s">
        <v>71</v>
      </c>
      <c r="D7318" t="s">
        <v>20506</v>
      </c>
      <c r="F7318" t="s">
        <v>15915</v>
      </c>
      <c r="J7318" s="17" t="s">
        <v>20507</v>
      </c>
      <c r="K7318" s="18" t="s">
        <v>20508</v>
      </c>
      <c r="N7318" s="17" t="s">
        <v>77</v>
      </c>
      <c r="O7318" t="s">
        <v>117</v>
      </c>
      <c r="U7318" s="17"/>
      <c r="V7318" s="18" t="s">
        <v>20508</v>
      </c>
      <c r="W7318" t="s">
        <v>20509</v>
      </c>
      <c r="Y7318" t="s">
        <v>930</v>
      </c>
      <c r="AA7318" t="s">
        <v>115</v>
      </c>
      <c r="AB7318" t="s">
        <v>930</v>
      </c>
    </row>
    <row r="7319" ht="15" customHeight="1" spans="1:23" x14ac:dyDescent="0.25">
      <c r="A7319" s="17" t="s">
        <v>20510</v>
      </c>
      <c r="B7319" s="17" t="s">
        <v>70</v>
      </c>
      <c r="C7319" s="17" t="s">
        <v>71</v>
      </c>
      <c r="D7319" t="s">
        <v>20502</v>
      </c>
      <c r="F7319" t="s">
        <v>20511</v>
      </c>
      <c r="J7319" s="17" t="s">
        <v>20512</v>
      </c>
      <c r="K7319" s="18">
        <f>6583016644</f>
        <v>6583016644</v>
      </c>
      <c r="N7319" s="17" t="s">
        <v>77</v>
      </c>
      <c r="U7319" s="17"/>
      <c r="V7319" s="18">
        <f>6583016644</f>
        <v>6583016644</v>
      </c>
      <c r="W7319" t="s">
        <v>3140</v>
      </c>
    </row>
    <row r="7320" ht="15" customHeight="1" spans="1:22" x14ac:dyDescent="0.25">
      <c r="A7320" s="17" t="s">
        <v>20513</v>
      </c>
      <c r="B7320" s="17" t="s">
        <v>70</v>
      </c>
      <c r="C7320" s="17" t="s">
        <v>71</v>
      </c>
      <c r="D7320" t="s">
        <v>20514</v>
      </c>
      <c r="F7320" t="s">
        <v>20515</v>
      </c>
      <c r="K7320" s="18">
        <f>16507335753</f>
        <v>16507335753</v>
      </c>
      <c r="N7320" s="17" t="s">
        <v>81</v>
      </c>
      <c r="V7320" s="18">
        <f>16507335753</f>
        <v>16507335753</v>
      </c>
    </row>
    <row r="7321" ht="15" customHeight="1" spans="1:28" x14ac:dyDescent="0.25">
      <c r="A7321" s="17" t="s">
        <v>20516</v>
      </c>
      <c r="B7321" s="17" t="s">
        <v>70</v>
      </c>
      <c r="C7321" s="17" t="s">
        <v>71</v>
      </c>
      <c r="D7321" t="s">
        <v>20502</v>
      </c>
      <c r="F7321" t="s">
        <v>20517</v>
      </c>
      <c r="J7321" s="17" t="s">
        <v>20518</v>
      </c>
      <c r="K7321" s="18" t="s">
        <v>20519</v>
      </c>
      <c r="N7321" s="17" t="s">
        <v>77</v>
      </c>
      <c r="O7321" t="s">
        <v>117</v>
      </c>
      <c r="U7321" s="17"/>
      <c r="V7321" s="18" t="s">
        <v>20519</v>
      </c>
      <c r="W7321" t="s">
        <v>3140</v>
      </c>
      <c r="Y7321" t="s">
        <v>3140</v>
      </c>
      <c r="AA7321" t="s">
        <v>115</v>
      </c>
      <c r="AB7321" t="s">
        <v>3140</v>
      </c>
    </row>
    <row r="7322" ht="15" customHeight="1" spans="1:28" x14ac:dyDescent="0.25">
      <c r="A7322" s="17" t="s">
        <v>20520</v>
      </c>
      <c r="B7322" s="17" t="s">
        <v>70</v>
      </c>
      <c r="C7322" s="17" t="s">
        <v>71</v>
      </c>
      <c r="D7322" t="s">
        <v>20502</v>
      </c>
      <c r="F7322" t="s">
        <v>20521</v>
      </c>
      <c r="J7322" s="17" t="s">
        <v>20522</v>
      </c>
      <c r="K7322" s="18" t="s">
        <v>20523</v>
      </c>
      <c r="N7322" s="17" t="s">
        <v>77</v>
      </c>
      <c r="O7322" t="s">
        <v>117</v>
      </c>
      <c r="V7322" s="18" t="s">
        <v>20523</v>
      </c>
      <c r="Y7322" t="s">
        <v>115</v>
      </c>
      <c r="AA7322" t="s">
        <v>115</v>
      </c>
      <c r="AB7322" t="s">
        <v>3140</v>
      </c>
    </row>
    <row r="7323" ht="15" customHeight="1" spans="1:28" x14ac:dyDescent="0.25">
      <c r="A7323" s="17" t="s">
        <v>20524</v>
      </c>
      <c r="B7323" s="17" t="s">
        <v>70</v>
      </c>
      <c r="C7323" s="17" t="s">
        <v>71</v>
      </c>
      <c r="D7323" t="s">
        <v>15915</v>
      </c>
      <c r="F7323" t="s">
        <v>20525</v>
      </c>
      <c r="J7323" s="17" t="s">
        <v>20526</v>
      </c>
      <c r="K7323" s="18" t="s">
        <v>20527</v>
      </c>
      <c r="N7323" s="17" t="s">
        <v>77</v>
      </c>
      <c r="O7323" t="s">
        <v>117</v>
      </c>
      <c r="V7323" s="18" t="s">
        <v>20527</v>
      </c>
      <c r="Y7323" t="s">
        <v>115</v>
      </c>
      <c r="AA7323" t="s">
        <v>115</v>
      </c>
      <c r="AB7323" t="s">
        <v>3140</v>
      </c>
    </row>
    <row r="7324" ht="15" customHeight="1" spans="1:28" x14ac:dyDescent="0.25">
      <c r="A7324" s="17" t="s">
        <v>20528</v>
      </c>
      <c r="B7324" s="17" t="s">
        <v>70</v>
      </c>
      <c r="C7324" s="17" t="s">
        <v>71</v>
      </c>
      <c r="D7324" t="s">
        <v>20529</v>
      </c>
      <c r="F7324" t="s">
        <v>10875</v>
      </c>
      <c r="J7324" t="s">
        <v>115</v>
      </c>
      <c r="K7324" s="18" t="s">
        <v>20530</v>
      </c>
      <c r="N7324" s="17" t="s">
        <v>77</v>
      </c>
      <c r="O7324" t="s">
        <v>145</v>
      </c>
      <c r="V7324" s="18" t="s">
        <v>20530</v>
      </c>
      <c r="Y7324" t="s">
        <v>3140</v>
      </c>
      <c r="AA7324" t="s">
        <v>115</v>
      </c>
      <c r="AB7324" t="s">
        <v>3140</v>
      </c>
    </row>
    <row r="7325" ht="15" customHeight="1" spans="1:28" x14ac:dyDescent="0.25">
      <c r="A7325" s="17" t="s">
        <v>20531</v>
      </c>
      <c r="B7325" s="17" t="s">
        <v>70</v>
      </c>
      <c r="C7325" s="17" t="s">
        <v>71</v>
      </c>
      <c r="D7325" t="s">
        <v>20532</v>
      </c>
      <c r="F7325" t="s">
        <v>17672</v>
      </c>
      <c r="J7325" s="17" t="s">
        <v>20533</v>
      </c>
      <c r="K7325" s="18" t="s">
        <v>20534</v>
      </c>
      <c r="N7325" s="17" t="s">
        <v>77</v>
      </c>
      <c r="O7325" t="s">
        <v>199</v>
      </c>
      <c r="U7325" s="17"/>
      <c r="V7325" s="18" t="s">
        <v>20534</v>
      </c>
      <c r="W7325" t="s">
        <v>20535</v>
      </c>
      <c r="Y7325" t="s">
        <v>3140</v>
      </c>
      <c r="AA7325" t="s">
        <v>115</v>
      </c>
      <c r="AB7325" t="s">
        <v>3140</v>
      </c>
    </row>
    <row r="7326" ht="15" customHeight="1" spans="1:28" x14ac:dyDescent="0.25">
      <c r="A7326" s="17" t="s">
        <v>20536</v>
      </c>
      <c r="B7326" s="17" t="s">
        <v>70</v>
      </c>
      <c r="C7326" s="17" t="s">
        <v>71</v>
      </c>
      <c r="D7326" t="s">
        <v>20537</v>
      </c>
      <c r="F7326" t="s">
        <v>7944</v>
      </c>
      <c r="J7326" t="s">
        <v>115</v>
      </c>
      <c r="K7326" s="18" t="s">
        <v>20538</v>
      </c>
      <c r="N7326" s="17" t="s">
        <v>81</v>
      </c>
      <c r="O7326" t="s">
        <v>117</v>
      </c>
      <c r="V7326" s="18" t="s">
        <v>20538</v>
      </c>
      <c r="Y7326" t="s">
        <v>90</v>
      </c>
      <c r="AA7326" t="s">
        <v>118</v>
      </c>
      <c r="AB7326" t="s">
        <v>119</v>
      </c>
    </row>
    <row r="7327" ht="15" customHeight="1" spans="1:28" x14ac:dyDescent="0.25">
      <c r="A7327" s="17" t="s">
        <v>20539</v>
      </c>
      <c r="B7327" s="17" t="s">
        <v>70</v>
      </c>
      <c r="C7327" s="17" t="s">
        <v>71</v>
      </c>
      <c r="D7327" t="s">
        <v>20540</v>
      </c>
      <c r="F7327" t="s">
        <v>7846</v>
      </c>
      <c r="J7327" t="s">
        <v>115</v>
      </c>
      <c r="K7327" s="18" t="s">
        <v>20541</v>
      </c>
      <c r="N7327" s="17" t="s">
        <v>77</v>
      </c>
      <c r="O7327" t="s">
        <v>145</v>
      </c>
      <c r="V7327" s="18" t="s">
        <v>20541</v>
      </c>
      <c r="Y7327" t="s">
        <v>115</v>
      </c>
      <c r="AA7327" t="s">
        <v>115</v>
      </c>
      <c r="AB7327" t="s">
        <v>3140</v>
      </c>
    </row>
    <row r="7328" ht="15" customHeight="1" spans="1:22" x14ac:dyDescent="0.25">
      <c r="A7328" s="17" t="s">
        <v>20542</v>
      </c>
      <c r="B7328" s="17" t="s">
        <v>70</v>
      </c>
      <c r="C7328" s="17" t="s">
        <v>71</v>
      </c>
      <c r="D7328" t="s">
        <v>20543</v>
      </c>
      <c r="F7328" t="s">
        <v>20544</v>
      </c>
      <c r="K7328" s="18">
        <f>81280497884</f>
        <v>81280497884</v>
      </c>
      <c r="N7328" s="17" t="s">
        <v>81</v>
      </c>
      <c r="V7328" s="18">
        <f>81280497884</f>
        <v>81280497884</v>
      </c>
    </row>
    <row r="7329" ht="15" customHeight="1" spans="1:25" x14ac:dyDescent="0.25">
      <c r="A7329" s="17" t="s">
        <v>20545</v>
      </c>
      <c r="B7329" s="17" t="s">
        <v>70</v>
      </c>
      <c r="C7329" s="17" t="s">
        <v>71</v>
      </c>
      <c r="D7329" t="s">
        <v>20546</v>
      </c>
      <c r="F7329" t="s">
        <v>20547</v>
      </c>
      <c r="J7329" s="17" t="s">
        <v>20548</v>
      </c>
      <c r="K7329" s="18">
        <v>18910550711</v>
      </c>
      <c r="N7329" s="17" t="s">
        <v>77</v>
      </c>
      <c r="V7329" s="18">
        <v>18910550711</v>
      </c>
      <c r="Y7329" s="17" t="s">
        <v>5998</v>
      </c>
    </row>
    <row r="7330" ht="15" customHeight="1" spans="1:22" x14ac:dyDescent="0.25">
      <c r="A7330" s="17" t="s">
        <v>20549</v>
      </c>
      <c r="B7330" s="17" t="s">
        <v>70</v>
      </c>
      <c r="C7330" s="17" t="s">
        <v>71</v>
      </c>
      <c r="D7330" t="s">
        <v>8419</v>
      </c>
      <c r="F7330" t="s">
        <v>20550</v>
      </c>
      <c r="K7330" s="18">
        <f>628119779253</f>
        <v>628119779253</v>
      </c>
      <c r="N7330" s="17" t="s">
        <v>77</v>
      </c>
      <c r="V7330" s="18">
        <f>628119779253</f>
        <v>628119779253</v>
      </c>
    </row>
    <row r="7331" ht="15" customHeight="1" spans="1:28" x14ac:dyDescent="0.25">
      <c r="A7331" s="17" t="s">
        <v>20551</v>
      </c>
      <c r="B7331" s="17" t="s">
        <v>70</v>
      </c>
      <c r="C7331" s="17" t="s">
        <v>71</v>
      </c>
      <c r="D7331" t="s">
        <v>8419</v>
      </c>
      <c r="F7331" t="s">
        <v>6979</v>
      </c>
      <c r="J7331" s="17" t="s">
        <v>20552</v>
      </c>
      <c r="K7331" s="18" t="s">
        <v>20553</v>
      </c>
      <c r="N7331" s="17" t="s">
        <v>77</v>
      </c>
      <c r="O7331" t="s">
        <v>145</v>
      </c>
      <c r="U7331" s="17"/>
      <c r="V7331" s="18" t="s">
        <v>20553</v>
      </c>
      <c r="W7331" t="s">
        <v>20554</v>
      </c>
      <c r="Y7331" s="17" t="s">
        <v>3140</v>
      </c>
      <c r="AA7331" t="s">
        <v>115</v>
      </c>
      <c r="AB7331" t="s">
        <v>3140</v>
      </c>
    </row>
    <row r="7332" ht="15" customHeight="1" spans="1:28" x14ac:dyDescent="0.25">
      <c r="A7332" s="17" t="s">
        <v>20555</v>
      </c>
      <c r="B7332" s="17" t="s">
        <v>70</v>
      </c>
      <c r="C7332" s="17" t="s">
        <v>71</v>
      </c>
      <c r="D7332" t="s">
        <v>20556</v>
      </c>
      <c r="F7332" t="s">
        <v>618</v>
      </c>
      <c r="J7332" t="s">
        <v>20557</v>
      </c>
      <c r="K7332" s="18" t="s">
        <v>20558</v>
      </c>
      <c r="N7332" s="17" t="s">
        <v>74</v>
      </c>
      <c r="O7332" t="s">
        <v>145</v>
      </c>
      <c r="V7332" s="18" t="s">
        <v>20558</v>
      </c>
      <c r="Y7332" t="s">
        <v>90</v>
      </c>
      <c r="AA7332" t="s">
        <v>118</v>
      </c>
      <c r="AB7332" t="s">
        <v>119</v>
      </c>
    </row>
    <row r="7333" ht="15" customHeight="1" spans="1:28" x14ac:dyDescent="0.25">
      <c r="A7333" s="17" t="s">
        <v>20559</v>
      </c>
      <c r="B7333" s="17" t="s">
        <v>70</v>
      </c>
      <c r="C7333" s="17" t="s">
        <v>71</v>
      </c>
      <c r="D7333" t="s">
        <v>20560</v>
      </c>
      <c r="F7333" t="s">
        <v>20561</v>
      </c>
      <c r="J7333" s="17" t="s">
        <v>20562</v>
      </c>
      <c r="K7333" s="18" t="s">
        <v>20563</v>
      </c>
      <c r="N7333" s="17" t="s">
        <v>77</v>
      </c>
      <c r="O7333" t="s">
        <v>117</v>
      </c>
      <c r="V7333" s="18" t="s">
        <v>20563</v>
      </c>
      <c r="Y7333" t="s">
        <v>115</v>
      </c>
      <c r="AA7333" t="s">
        <v>115</v>
      </c>
      <c r="AB7333" t="s">
        <v>119</v>
      </c>
    </row>
    <row r="7334" ht="15" customHeight="1" spans="1:28" x14ac:dyDescent="0.25">
      <c r="A7334" s="17" t="s">
        <v>20564</v>
      </c>
      <c r="B7334" s="17" t="s">
        <v>70</v>
      </c>
      <c r="C7334" s="17" t="s">
        <v>71</v>
      </c>
      <c r="D7334" t="s">
        <v>20560</v>
      </c>
      <c r="F7334" t="s">
        <v>20565</v>
      </c>
      <c r="J7334" t="s">
        <v>115</v>
      </c>
      <c r="K7334" s="18" t="s">
        <v>20566</v>
      </c>
      <c r="N7334" s="17" t="s">
        <v>77</v>
      </c>
      <c r="O7334" t="s">
        <v>145</v>
      </c>
      <c r="V7334" s="18" t="s">
        <v>20566</v>
      </c>
      <c r="Y7334" t="s">
        <v>217</v>
      </c>
      <c r="AA7334" t="s">
        <v>218</v>
      </c>
      <c r="AB7334" t="s">
        <v>119</v>
      </c>
    </row>
    <row r="7335" ht="15" customHeight="1" spans="1:28" x14ac:dyDescent="0.25">
      <c r="A7335" s="17" t="s">
        <v>20567</v>
      </c>
      <c r="B7335" s="17" t="s">
        <v>70</v>
      </c>
      <c r="C7335" s="17" t="s">
        <v>71</v>
      </c>
      <c r="D7335" t="s">
        <v>20568</v>
      </c>
      <c r="F7335" t="s">
        <v>1754</v>
      </c>
      <c r="J7335" t="s">
        <v>115</v>
      </c>
      <c r="K7335" s="18" t="s">
        <v>20569</v>
      </c>
      <c r="N7335" s="17" t="s">
        <v>77</v>
      </c>
      <c r="O7335" t="s">
        <v>261</v>
      </c>
      <c r="V7335" s="18" t="s">
        <v>20569</v>
      </c>
      <c r="Y7335" t="s">
        <v>190</v>
      </c>
      <c r="AA7335" t="s">
        <v>118</v>
      </c>
      <c r="AB7335" t="s">
        <v>1306</v>
      </c>
    </row>
    <row r="7336" ht="15" customHeight="1" spans="1:22" x14ac:dyDescent="0.25">
      <c r="A7336" s="17" t="s">
        <v>20570</v>
      </c>
      <c r="B7336" s="17" t="s">
        <v>70</v>
      </c>
      <c r="C7336" s="17" t="s">
        <v>71</v>
      </c>
      <c r="D7336" t="s">
        <v>20571</v>
      </c>
      <c r="F7336" t="s">
        <v>8192</v>
      </c>
      <c r="K7336" s="18">
        <f>628111876466</f>
        <v>628111876466</v>
      </c>
      <c r="N7336" s="17" t="s">
        <v>77</v>
      </c>
      <c r="V7336" s="18">
        <f>628111876466</f>
        <v>628111876466</v>
      </c>
    </row>
    <row r="7337" ht="15" customHeight="1" spans="1:22" x14ac:dyDescent="0.25">
      <c r="A7337" s="17" t="s">
        <v>20572</v>
      </c>
      <c r="B7337" s="17" t="s">
        <v>70</v>
      </c>
      <c r="C7337" s="17" t="s">
        <v>71</v>
      </c>
      <c r="D7337" t="s">
        <v>20573</v>
      </c>
      <c r="F7337" t="s">
        <v>8031</v>
      </c>
      <c r="K7337" s="18">
        <f>6287777082009</f>
        <v>6287777082009</v>
      </c>
      <c r="N7337" s="17" t="s">
        <v>77</v>
      </c>
      <c r="V7337" s="18">
        <f>6287777082009</f>
        <v>6287777082009</v>
      </c>
    </row>
    <row r="7338" ht="15" customHeight="1" spans="1:22" x14ac:dyDescent="0.25">
      <c r="A7338" s="17" t="s">
        <v>20574</v>
      </c>
      <c r="B7338" s="17" t="s">
        <v>70</v>
      </c>
      <c r="C7338" s="17" t="s">
        <v>71</v>
      </c>
      <c r="D7338" t="s">
        <v>20573</v>
      </c>
      <c r="F7338" t="s">
        <v>1236</v>
      </c>
      <c r="K7338" s="18">
        <f>14152543419</f>
        <v>14152543419</v>
      </c>
      <c r="N7338" s="17" t="s">
        <v>77</v>
      </c>
      <c r="V7338" s="18">
        <f>14152543419</f>
        <v>14152543419</v>
      </c>
    </row>
    <row r="7339" ht="15" customHeight="1" spans="1:23" x14ac:dyDescent="0.25">
      <c r="A7339" s="17" t="s">
        <v>20575</v>
      </c>
      <c r="B7339" s="17" t="s">
        <v>70</v>
      </c>
      <c r="C7339" s="17" t="s">
        <v>71</v>
      </c>
      <c r="D7339" t="s">
        <v>20576</v>
      </c>
      <c r="F7339" t="s">
        <v>8308</v>
      </c>
      <c r="K7339" s="18">
        <v>2291186986</v>
      </c>
      <c r="N7339" s="17" t="s">
        <v>77</v>
      </c>
      <c r="U7339" s="17"/>
      <c r="V7339" s="18">
        <v>2291186986</v>
      </c>
      <c r="W7339" t="s">
        <v>20577</v>
      </c>
    </row>
    <row r="7340" ht="15" customHeight="1" spans="1:22" x14ac:dyDescent="0.25">
      <c r="A7340" s="17" t="s">
        <v>20578</v>
      </c>
      <c r="B7340" s="17" t="s">
        <v>70</v>
      </c>
      <c r="C7340" s="17" t="s">
        <v>71</v>
      </c>
      <c r="D7340" t="s">
        <v>20579</v>
      </c>
      <c r="F7340" t="s">
        <v>3605</v>
      </c>
      <c r="K7340" s="18">
        <f>6285359183686</f>
        <v>6285359183686</v>
      </c>
      <c r="N7340" s="17" t="s">
        <v>81</v>
      </c>
      <c r="V7340" s="18">
        <f>6285359183686</f>
        <v>6285359183686</v>
      </c>
    </row>
    <row r="7341" ht="15" customHeight="1" spans="1:22" x14ac:dyDescent="0.25">
      <c r="A7341" s="17" t="s">
        <v>20580</v>
      </c>
      <c r="B7341" s="17" t="s">
        <v>70</v>
      </c>
      <c r="C7341" s="17" t="s">
        <v>71</v>
      </c>
      <c r="D7341" t="s">
        <v>20581</v>
      </c>
      <c r="F7341" t="s">
        <v>20581</v>
      </c>
      <c r="K7341" s="18">
        <f>6281808633591</f>
        <v>6281808633591</v>
      </c>
      <c r="N7341" s="17" t="s">
        <v>81</v>
      </c>
      <c r="V7341" s="18">
        <f>6281808633591</f>
        <v>6281808633591</v>
      </c>
    </row>
    <row r="7342" ht="15" customHeight="1" spans="1:22" x14ac:dyDescent="0.25">
      <c r="A7342" s="17" t="s">
        <v>20582</v>
      </c>
      <c r="B7342" s="17" t="s">
        <v>70</v>
      </c>
      <c r="C7342" s="17" t="s">
        <v>71</v>
      </c>
      <c r="D7342" t="s">
        <v>20583</v>
      </c>
      <c r="F7342" t="s">
        <v>20583</v>
      </c>
      <c r="K7342" s="18">
        <f>6281282319338</f>
        <v>6281282319338</v>
      </c>
      <c r="N7342" s="17" t="s">
        <v>81</v>
      </c>
      <c r="V7342" s="18">
        <f>6281282319338</f>
        <v>6281282319338</v>
      </c>
    </row>
    <row r="7343" ht="15" customHeight="1" spans="1:22" x14ac:dyDescent="0.25">
      <c r="A7343" s="17" t="s">
        <v>20584</v>
      </c>
      <c r="B7343" s="17" t="s">
        <v>70</v>
      </c>
      <c r="C7343" s="17" t="s">
        <v>71</v>
      </c>
      <c r="D7343" t="s">
        <v>5520</v>
      </c>
      <c r="F7343" t="s">
        <v>5520</v>
      </c>
      <c r="K7343" s="18">
        <f>62811111578</f>
        <v>62811111578</v>
      </c>
      <c r="N7343" s="17" t="s">
        <v>77</v>
      </c>
      <c r="V7343" s="18">
        <f>62811111578</f>
        <v>62811111578</v>
      </c>
    </row>
    <row r="7344" ht="15" customHeight="1" spans="1:22" x14ac:dyDescent="0.25">
      <c r="A7344" s="17" t="s">
        <v>20585</v>
      </c>
      <c r="B7344" s="17" t="s">
        <v>70</v>
      </c>
      <c r="C7344" s="17" t="s">
        <v>71</v>
      </c>
      <c r="D7344" t="s">
        <v>5520</v>
      </c>
      <c r="F7344" t="s">
        <v>5520</v>
      </c>
      <c r="K7344" s="18">
        <f>62816255888</f>
        <v>62816255888</v>
      </c>
      <c r="N7344" s="17" t="s">
        <v>81</v>
      </c>
      <c r="V7344" s="18">
        <f>62816255888</f>
        <v>62816255888</v>
      </c>
    </row>
    <row r="7345" ht="15" customHeight="1" spans="1:22" x14ac:dyDescent="0.25">
      <c r="A7345" s="17" t="s">
        <v>20586</v>
      </c>
      <c r="B7345" s="17" t="s">
        <v>70</v>
      </c>
      <c r="C7345" s="17" t="s">
        <v>71</v>
      </c>
      <c r="D7345" t="s">
        <v>5520</v>
      </c>
      <c r="F7345" t="s">
        <v>5520</v>
      </c>
      <c r="K7345" s="18">
        <f>62811883598</f>
        <v>62811883598</v>
      </c>
      <c r="N7345" s="17" t="s">
        <v>81</v>
      </c>
      <c r="V7345" s="18">
        <f>62811883598</f>
        <v>62811883598</v>
      </c>
    </row>
    <row r="7346" ht="15" customHeight="1" spans="1:22" x14ac:dyDescent="0.25">
      <c r="A7346" s="17" t="s">
        <v>20587</v>
      </c>
      <c r="B7346" s="17" t="s">
        <v>70</v>
      </c>
      <c r="C7346" s="17" t="s">
        <v>71</v>
      </c>
      <c r="D7346" t="s">
        <v>5520</v>
      </c>
      <c r="F7346" t="s">
        <v>5520</v>
      </c>
      <c r="K7346" s="18">
        <f>62818880887</f>
        <v>62818880887</v>
      </c>
      <c r="N7346" s="17" t="s">
        <v>81</v>
      </c>
      <c r="V7346" s="18">
        <f>62818880887</f>
        <v>62818880887</v>
      </c>
    </row>
    <row r="7347" ht="15" customHeight="1" spans="1:23" x14ac:dyDescent="0.25">
      <c r="A7347" s="17" t="s">
        <v>20588</v>
      </c>
      <c r="B7347" s="17" t="s">
        <v>70</v>
      </c>
      <c r="C7347" s="17" t="s">
        <v>71</v>
      </c>
      <c r="D7347" t="s">
        <v>5520</v>
      </c>
      <c r="F7347" t="s">
        <v>2668</v>
      </c>
      <c r="J7347" s="17" t="s">
        <v>20589</v>
      </c>
      <c r="K7347" s="18">
        <f>6281289588828</f>
        <v>6281289588828</v>
      </c>
      <c r="N7347" s="17" t="s">
        <v>81</v>
      </c>
      <c r="U7347" s="17"/>
      <c r="V7347" s="18">
        <f>6281289588828</f>
        <v>6281289588828</v>
      </c>
      <c r="W7347" t="s">
        <v>20590</v>
      </c>
    </row>
    <row r="7348" ht="15" customHeight="1" spans="1:22" x14ac:dyDescent="0.25">
      <c r="A7348" s="17" t="s">
        <v>20591</v>
      </c>
      <c r="B7348" s="17" t="s">
        <v>70</v>
      </c>
      <c r="C7348" s="17" t="s">
        <v>71</v>
      </c>
      <c r="D7348" t="s">
        <v>5520</v>
      </c>
      <c r="F7348" t="s">
        <v>20592</v>
      </c>
      <c r="K7348" s="18">
        <f>6281340087888</f>
        <v>6281340087888</v>
      </c>
      <c r="N7348" s="17" t="s">
        <v>81</v>
      </c>
      <c r="V7348" s="18">
        <f>6281340087888</f>
        <v>6281340087888</v>
      </c>
    </row>
    <row r="7349" ht="15" customHeight="1" spans="1:23" x14ac:dyDescent="0.25">
      <c r="A7349" s="17" t="s">
        <v>20593</v>
      </c>
      <c r="B7349" s="17" t="s">
        <v>70</v>
      </c>
      <c r="C7349" s="17" t="s">
        <v>71</v>
      </c>
      <c r="D7349" t="s">
        <v>5520</v>
      </c>
      <c r="F7349" t="s">
        <v>618</v>
      </c>
      <c r="K7349" s="18">
        <f>6287821466111</f>
        <v>6287821466111</v>
      </c>
      <c r="N7349" s="17" t="s">
        <v>77</v>
      </c>
      <c r="U7349" s="17"/>
      <c r="V7349" s="18">
        <f>6287821466111</f>
        <v>6287821466111</v>
      </c>
      <c r="W7349" t="s">
        <v>500</v>
      </c>
    </row>
    <row r="7350" ht="15" customHeight="1" spans="1:22" x14ac:dyDescent="0.25">
      <c r="A7350" s="17" t="s">
        <v>20594</v>
      </c>
      <c r="B7350" s="17" t="s">
        <v>70</v>
      </c>
      <c r="C7350" s="17" t="s">
        <v>71</v>
      </c>
      <c r="D7350" t="s">
        <v>5520</v>
      </c>
      <c r="F7350" t="s">
        <v>20595</v>
      </c>
      <c r="K7350" s="18">
        <f>628125403338</f>
        <v>628125403338</v>
      </c>
      <c r="N7350" s="17" t="s">
        <v>77</v>
      </c>
      <c r="V7350" s="18">
        <f>628125403338</f>
        <v>628125403338</v>
      </c>
    </row>
    <row r="7351" ht="15" customHeight="1" spans="1:27" x14ac:dyDescent="0.25">
      <c r="A7351" s="17" t="s">
        <v>20596</v>
      </c>
      <c r="B7351" s="17" t="s">
        <v>70</v>
      </c>
      <c r="C7351" s="17" t="s">
        <v>71</v>
      </c>
      <c r="D7351" t="s">
        <v>5520</v>
      </c>
      <c r="F7351" t="s">
        <v>1690</v>
      </c>
      <c r="K7351" s="18">
        <v>53663877</v>
      </c>
      <c r="N7351" s="17" t="s">
        <v>77</v>
      </c>
      <c r="U7351" s="17"/>
      <c r="V7351" s="18">
        <v>53663877</v>
      </c>
      <c r="W7351" t="s">
        <v>20597</v>
      </c>
      <c r="Y7351" s="17" t="s">
        <v>96</v>
      </c>
      <c r="AA7351" s="17" t="s">
        <v>19040</v>
      </c>
    </row>
    <row r="7352" ht="15" customHeight="1" spans="1:28" x14ac:dyDescent="0.25">
      <c r="A7352" s="17" t="s">
        <v>20598</v>
      </c>
      <c r="B7352" s="17" t="s">
        <v>70</v>
      </c>
      <c r="C7352" s="17" t="s">
        <v>71</v>
      </c>
      <c r="D7352" t="s">
        <v>5520</v>
      </c>
      <c r="F7352" t="s">
        <v>20599</v>
      </c>
      <c r="J7352" t="s">
        <v>115</v>
      </c>
      <c r="K7352" s="18" t="s">
        <v>20600</v>
      </c>
      <c r="N7352" s="17" t="s">
        <v>81</v>
      </c>
      <c r="O7352" t="s">
        <v>145</v>
      </c>
      <c r="U7352" s="17"/>
      <c r="V7352" s="18" t="s">
        <v>20600</v>
      </c>
      <c r="W7352" t="s">
        <v>20601</v>
      </c>
      <c r="Y7352" s="17" t="s">
        <v>704</v>
      </c>
      <c r="AA7352" t="s">
        <v>705</v>
      </c>
      <c r="AB7352" t="s">
        <v>119</v>
      </c>
    </row>
    <row r="7353" ht="15" customHeight="1" spans="1:28" x14ac:dyDescent="0.25">
      <c r="A7353" s="17" t="s">
        <v>20602</v>
      </c>
      <c r="B7353" s="17" t="s">
        <v>70</v>
      </c>
      <c r="C7353" s="17" t="s">
        <v>71</v>
      </c>
      <c r="D7353" t="s">
        <v>5520</v>
      </c>
      <c r="F7353" t="s">
        <v>3111</v>
      </c>
      <c r="J7353" s="17" t="s">
        <v>20603</v>
      </c>
      <c r="K7353" s="18" t="s">
        <v>20604</v>
      </c>
      <c r="N7353" s="17" t="s">
        <v>77</v>
      </c>
      <c r="O7353" t="s">
        <v>117</v>
      </c>
      <c r="V7353" s="18" t="s">
        <v>20604</v>
      </c>
      <c r="Y7353" s="17" t="s">
        <v>1157</v>
      </c>
      <c r="AA7353" t="s">
        <v>5957</v>
      </c>
      <c r="AB7353" t="s">
        <v>119</v>
      </c>
    </row>
    <row r="7354" ht="15" customHeight="1" spans="1:28" x14ac:dyDescent="0.25">
      <c r="A7354" s="17" t="s">
        <v>20605</v>
      </c>
      <c r="B7354" s="17" t="s">
        <v>70</v>
      </c>
      <c r="C7354" s="17" t="s">
        <v>71</v>
      </c>
      <c r="D7354" t="s">
        <v>5520</v>
      </c>
      <c r="F7354" t="s">
        <v>20606</v>
      </c>
      <c r="J7354" t="s">
        <v>115</v>
      </c>
      <c r="K7354" s="18" t="s">
        <v>20607</v>
      </c>
      <c r="N7354" s="17" t="s">
        <v>77</v>
      </c>
      <c r="O7354" t="s">
        <v>145</v>
      </c>
      <c r="U7354" s="17"/>
      <c r="V7354" s="18" t="s">
        <v>20607</v>
      </c>
      <c r="W7354" t="s">
        <v>20608</v>
      </c>
      <c r="Y7354" t="s">
        <v>90</v>
      </c>
      <c r="AA7354" t="s">
        <v>118</v>
      </c>
      <c r="AB7354" t="s">
        <v>119</v>
      </c>
    </row>
    <row r="7355" ht="15" customHeight="1" spans="1:22" x14ac:dyDescent="0.25">
      <c r="A7355" s="17" t="s">
        <v>20609</v>
      </c>
      <c r="B7355" s="17" t="s">
        <v>70</v>
      </c>
      <c r="C7355" s="17" t="s">
        <v>71</v>
      </c>
      <c r="D7355" t="s">
        <v>5520</v>
      </c>
      <c r="F7355" t="s">
        <v>20610</v>
      </c>
      <c r="J7355" s="17" t="s">
        <v>20611</v>
      </c>
      <c r="K7355" s="18">
        <f>6285718756146</f>
        <v>6285718756146</v>
      </c>
      <c r="N7355" s="17" t="s">
        <v>77</v>
      </c>
      <c r="V7355" s="18">
        <f>6285718756146</f>
        <v>6285718756146</v>
      </c>
    </row>
    <row r="7356" ht="15" customHeight="1" spans="1:22" x14ac:dyDescent="0.25">
      <c r="A7356" s="17" t="s">
        <v>20612</v>
      </c>
      <c r="B7356" s="17" t="s">
        <v>70</v>
      </c>
      <c r="C7356" s="17" t="s">
        <v>71</v>
      </c>
      <c r="D7356" t="s">
        <v>5520</v>
      </c>
      <c r="F7356" t="s">
        <v>1169</v>
      </c>
      <c r="K7356" s="18">
        <f>6287777165090</f>
        <v>6287777165090</v>
      </c>
      <c r="N7356" s="17" t="s">
        <v>77</v>
      </c>
      <c r="V7356" s="18">
        <f>6287777165090</f>
        <v>6287777165090</v>
      </c>
    </row>
    <row r="7357" ht="15" customHeight="1" spans="1:22" x14ac:dyDescent="0.25">
      <c r="A7357" s="17" t="s">
        <v>20613</v>
      </c>
      <c r="B7357" s="17" t="s">
        <v>70</v>
      </c>
      <c r="C7357" s="17" t="s">
        <v>71</v>
      </c>
      <c r="D7357" t="s">
        <v>5520</v>
      </c>
      <c r="F7357" t="s">
        <v>629</v>
      </c>
      <c r="K7357" s="18">
        <f>6281380801314</f>
        <v>6281380801314</v>
      </c>
      <c r="N7357" s="17" t="s">
        <v>81</v>
      </c>
      <c r="V7357" s="18">
        <f>6281380801314</f>
        <v>6281380801314</v>
      </c>
    </row>
    <row r="7358" ht="15" customHeight="1" spans="1:22" x14ac:dyDescent="0.25">
      <c r="A7358" s="17" t="s">
        <v>20614</v>
      </c>
      <c r="B7358" s="17" t="s">
        <v>70</v>
      </c>
      <c r="C7358" s="17" t="s">
        <v>71</v>
      </c>
      <c r="D7358" t="s">
        <v>5520</v>
      </c>
      <c r="F7358" t="s">
        <v>5520</v>
      </c>
      <c r="K7358" s="18">
        <f>6282156837258</f>
        <v>6282156837258</v>
      </c>
      <c r="N7358" s="17" t="s">
        <v>81</v>
      </c>
      <c r="V7358" s="18">
        <f>6282156837258</f>
        <v>6282156837258</v>
      </c>
    </row>
    <row r="7359" ht="15" customHeight="1" spans="1:28" x14ac:dyDescent="0.25">
      <c r="A7359" s="17" t="s">
        <v>20615</v>
      </c>
      <c r="B7359" s="17" t="s">
        <v>70</v>
      </c>
      <c r="C7359" s="17" t="s">
        <v>71</v>
      </c>
      <c r="D7359" t="s">
        <v>20616</v>
      </c>
      <c r="F7359" t="s">
        <v>20617</v>
      </c>
      <c r="J7359" s="17" t="s">
        <v>20618</v>
      </c>
      <c r="K7359" s="18" t="s">
        <v>20619</v>
      </c>
      <c r="N7359" s="17" t="s">
        <v>81</v>
      </c>
      <c r="O7359" t="s">
        <v>261</v>
      </c>
      <c r="U7359" s="17"/>
      <c r="V7359" s="18" t="s">
        <v>20619</v>
      </c>
      <c r="W7359" t="s">
        <v>20620</v>
      </c>
      <c r="Y7359" t="s">
        <v>90</v>
      </c>
      <c r="AA7359" t="s">
        <v>118</v>
      </c>
      <c r="AB7359" t="s">
        <v>119</v>
      </c>
    </row>
    <row r="7360" ht="15" customHeight="1" spans="1:22" x14ac:dyDescent="0.25">
      <c r="A7360" s="17" t="s">
        <v>20621</v>
      </c>
      <c r="B7360" s="17" t="s">
        <v>70</v>
      </c>
      <c r="C7360" s="17" t="s">
        <v>71</v>
      </c>
      <c r="D7360" t="s">
        <v>14821</v>
      </c>
      <c r="F7360" t="s">
        <v>1859</v>
      </c>
      <c r="J7360" s="17" t="s">
        <v>20622</v>
      </c>
      <c r="K7360" s="18">
        <f>6281282067966</f>
        <v>6281282067966</v>
      </c>
      <c r="N7360" s="17" t="s">
        <v>81</v>
      </c>
      <c r="V7360" s="18">
        <f>6281282067966</f>
        <v>6281282067966</v>
      </c>
    </row>
    <row r="7361" ht="15" customHeight="1" spans="1:22" x14ac:dyDescent="0.25">
      <c r="A7361" s="17" t="s">
        <v>20623</v>
      </c>
      <c r="B7361" s="17" t="s">
        <v>70</v>
      </c>
      <c r="C7361" s="17" t="s">
        <v>71</v>
      </c>
      <c r="D7361" t="s">
        <v>14821</v>
      </c>
      <c r="F7361" t="s">
        <v>5890</v>
      </c>
      <c r="K7361" s="18">
        <f>6282123938998</f>
        <v>6282123938998</v>
      </c>
      <c r="N7361" s="17" t="s">
        <v>77</v>
      </c>
      <c r="V7361" s="18">
        <f>6282123938998</f>
        <v>6282123938998</v>
      </c>
    </row>
    <row r="7362" ht="15" customHeight="1" spans="1:28" x14ac:dyDescent="0.25">
      <c r="A7362" s="17" t="s">
        <v>20624</v>
      </c>
      <c r="B7362" s="17" t="s">
        <v>70</v>
      </c>
      <c r="C7362" s="17" t="s">
        <v>71</v>
      </c>
      <c r="D7362" t="s">
        <v>20625</v>
      </c>
      <c r="F7362" t="s">
        <v>14821</v>
      </c>
      <c r="J7362" s="17" t="s">
        <v>20626</v>
      </c>
      <c r="K7362" s="18" t="s">
        <v>20627</v>
      </c>
      <c r="N7362" s="17" t="s">
        <v>77</v>
      </c>
      <c r="O7362" t="s">
        <v>145</v>
      </c>
      <c r="U7362" s="17"/>
      <c r="V7362" s="18" t="s">
        <v>20627</v>
      </c>
      <c r="W7362" t="s">
        <v>1903</v>
      </c>
      <c r="Y7362" t="s">
        <v>1903</v>
      </c>
      <c r="AA7362" t="s">
        <v>115</v>
      </c>
      <c r="AB7362" t="s">
        <v>1903</v>
      </c>
    </row>
    <row r="7363" ht="15" customHeight="1" spans="1:28" x14ac:dyDescent="0.25">
      <c r="A7363" s="17" t="s">
        <v>20628</v>
      </c>
      <c r="B7363" s="17" t="s">
        <v>70</v>
      </c>
      <c r="C7363" s="17" t="s">
        <v>71</v>
      </c>
      <c r="D7363" t="s">
        <v>14821</v>
      </c>
      <c r="F7363" t="s">
        <v>3142</v>
      </c>
      <c r="J7363" t="s">
        <v>115</v>
      </c>
      <c r="K7363" s="18" t="s">
        <v>20629</v>
      </c>
      <c r="N7363" s="17" t="s">
        <v>77</v>
      </c>
      <c r="O7363" t="s">
        <v>117</v>
      </c>
      <c r="V7363" s="18" t="s">
        <v>20629</v>
      </c>
      <c r="Y7363" t="s">
        <v>90</v>
      </c>
      <c r="AA7363" t="s">
        <v>118</v>
      </c>
      <c r="AB7363" t="s">
        <v>119</v>
      </c>
    </row>
    <row r="7364" ht="15" customHeight="1" spans="1:27" x14ac:dyDescent="0.25">
      <c r="A7364" s="17" t="s">
        <v>20630</v>
      </c>
      <c r="B7364" s="17" t="s">
        <v>70</v>
      </c>
      <c r="C7364" s="17" t="s">
        <v>71</v>
      </c>
      <c r="D7364" t="s">
        <v>14821</v>
      </c>
      <c r="F7364" t="s">
        <v>1754</v>
      </c>
      <c r="J7364" s="17" t="s">
        <v>20631</v>
      </c>
      <c r="K7364" s="18">
        <f>6281293990123</f>
        <v>6281293990123</v>
      </c>
      <c r="N7364" s="17" t="s">
        <v>81</v>
      </c>
      <c r="U7364" s="17"/>
      <c r="V7364" s="18">
        <f>6281293990123</f>
        <v>6281293990123</v>
      </c>
      <c r="W7364" t="s">
        <v>20632</v>
      </c>
      <c r="Y7364" s="17" t="s">
        <v>90</v>
      </c>
      <c r="AA7364" s="17">
        <v>12560</v>
      </c>
    </row>
    <row r="7365" ht="15" customHeight="1" spans="1:23" x14ac:dyDescent="0.25">
      <c r="A7365" s="17" t="s">
        <v>20633</v>
      </c>
      <c r="B7365" s="17" t="s">
        <v>70</v>
      </c>
      <c r="C7365" s="17" t="s">
        <v>71</v>
      </c>
      <c r="D7365" t="s">
        <v>14821</v>
      </c>
      <c r="F7365" t="s">
        <v>20634</v>
      </c>
      <c r="K7365" s="18">
        <f>6598380142</f>
        <v>6598380142</v>
      </c>
      <c r="N7365" s="17" t="s">
        <v>77</v>
      </c>
      <c r="U7365" s="17"/>
      <c r="V7365" s="18">
        <f>6598380142</f>
        <v>6598380142</v>
      </c>
      <c r="W7365" t="s">
        <v>16002</v>
      </c>
    </row>
    <row r="7366" ht="15" customHeight="1" spans="1:23" x14ac:dyDescent="0.25">
      <c r="A7366" s="17" t="s">
        <v>20635</v>
      </c>
      <c r="B7366" s="17" t="s">
        <v>70</v>
      </c>
      <c r="C7366" s="17" t="s">
        <v>71</v>
      </c>
      <c r="D7366" t="s">
        <v>14821</v>
      </c>
      <c r="F7366" t="s">
        <v>7944</v>
      </c>
      <c r="K7366" s="18">
        <f>8613661969268</f>
        <v>8613661969268</v>
      </c>
      <c r="N7366" s="17" t="s">
        <v>81</v>
      </c>
      <c r="U7366" s="17"/>
      <c r="V7366" s="18">
        <f>8613661969268</f>
        <v>8613661969268</v>
      </c>
      <c r="W7366" t="s">
        <v>20636</v>
      </c>
    </row>
    <row r="7367" ht="15" customHeight="1" spans="1:23" x14ac:dyDescent="0.25">
      <c r="A7367" s="17" t="s">
        <v>20637</v>
      </c>
      <c r="B7367" s="17" t="s">
        <v>70</v>
      </c>
      <c r="C7367" s="17" t="s">
        <v>71</v>
      </c>
      <c r="D7367" t="s">
        <v>14821</v>
      </c>
      <c r="F7367" t="s">
        <v>20638</v>
      </c>
      <c r="K7367" s="18" t="s">
        <v>20639</v>
      </c>
      <c r="N7367" s="17" t="s">
        <v>77</v>
      </c>
      <c r="U7367" s="17"/>
      <c r="V7367" s="18" t="s">
        <v>20639</v>
      </c>
      <c r="W7367" t="s">
        <v>3140</v>
      </c>
    </row>
    <row r="7368" ht="15" customHeight="1" spans="1:27" x14ac:dyDescent="0.25">
      <c r="A7368" s="17" t="s">
        <v>20640</v>
      </c>
      <c r="B7368" s="17" t="s">
        <v>70</v>
      </c>
      <c r="C7368" s="17" t="s">
        <v>71</v>
      </c>
      <c r="D7368" t="s">
        <v>14821</v>
      </c>
      <c r="F7368" t="s">
        <v>20641</v>
      </c>
      <c r="K7368" s="18">
        <f>628127547398</f>
        <v>628127547398</v>
      </c>
      <c r="N7368" s="17" t="s">
        <v>77</v>
      </c>
      <c r="U7368" s="17"/>
      <c r="V7368" s="18">
        <f>628127547398</f>
        <v>628127547398</v>
      </c>
      <c r="W7368" t="s">
        <v>20642</v>
      </c>
      <c r="Y7368" s="17" t="s">
        <v>96</v>
      </c>
      <c r="AA7368" s="17" t="s">
        <v>20643</v>
      </c>
    </row>
    <row r="7369" ht="15" customHeight="1" spans="1:28" x14ac:dyDescent="0.25">
      <c r="A7369" s="17" t="s">
        <v>20644</v>
      </c>
      <c r="B7369" s="17" t="s">
        <v>70</v>
      </c>
      <c r="C7369" s="17" t="s">
        <v>71</v>
      </c>
      <c r="D7369" t="s">
        <v>14821</v>
      </c>
      <c r="F7369" t="s">
        <v>7234</v>
      </c>
      <c r="J7369" t="s">
        <v>115</v>
      </c>
      <c r="K7369" s="18" t="s">
        <v>20645</v>
      </c>
      <c r="N7369" s="17" t="s">
        <v>77</v>
      </c>
      <c r="O7369" t="s">
        <v>145</v>
      </c>
      <c r="V7369" s="18" t="s">
        <v>20645</v>
      </c>
      <c r="Y7369" t="s">
        <v>190</v>
      </c>
      <c r="AA7369" t="s">
        <v>118</v>
      </c>
      <c r="AB7369" t="s">
        <v>3140</v>
      </c>
    </row>
    <row r="7370" ht="15" customHeight="1" spans="1:23" x14ac:dyDescent="0.25">
      <c r="A7370" s="17" t="s">
        <v>20646</v>
      </c>
      <c r="B7370" s="17" t="s">
        <v>70</v>
      </c>
      <c r="C7370" s="17" t="s">
        <v>71</v>
      </c>
      <c r="D7370" t="s">
        <v>14821</v>
      </c>
      <c r="F7370" t="s">
        <v>3962</v>
      </c>
      <c r="K7370" s="18">
        <f>62217230937</f>
        <v>62217230937</v>
      </c>
      <c r="N7370" s="17" t="s">
        <v>77</v>
      </c>
      <c r="U7370" s="17"/>
      <c r="V7370" s="18">
        <f>62217230937</f>
        <v>62217230937</v>
      </c>
      <c r="W7370" t="s">
        <v>20647</v>
      </c>
    </row>
    <row r="7371" ht="15" customHeight="1" spans="1:23" x14ac:dyDescent="0.25">
      <c r="A7371" s="17" t="s">
        <v>20648</v>
      </c>
      <c r="B7371" s="17" t="s">
        <v>70</v>
      </c>
      <c r="C7371" s="17" t="s">
        <v>71</v>
      </c>
      <c r="D7371" t="s">
        <v>20649</v>
      </c>
      <c r="F7371" t="s">
        <v>20650</v>
      </c>
      <c r="K7371" s="18">
        <f>8615903408000</f>
        <v>8615903408000</v>
      </c>
      <c r="N7371" s="17" t="s">
        <v>81</v>
      </c>
      <c r="U7371" s="17"/>
      <c r="V7371" s="18">
        <f>8615903408000</f>
        <v>8615903408000</v>
      </c>
      <c r="W7371" t="s">
        <v>6666</v>
      </c>
    </row>
    <row r="7372" ht="15" customHeight="1" spans="1:22" x14ac:dyDescent="0.25">
      <c r="A7372" s="17" t="s">
        <v>20651</v>
      </c>
      <c r="B7372" s="17" t="s">
        <v>70</v>
      </c>
      <c r="C7372" s="17" t="s">
        <v>71</v>
      </c>
      <c r="D7372" t="s">
        <v>14821</v>
      </c>
      <c r="F7372" t="s">
        <v>6028</v>
      </c>
      <c r="J7372" s="17" t="s">
        <v>20652</v>
      </c>
      <c r="K7372" s="18">
        <f>628119202828</f>
        <v>628119202828</v>
      </c>
      <c r="N7372" s="17" t="s">
        <v>77</v>
      </c>
      <c r="V7372" s="18">
        <f>628119202828</f>
        <v>628119202828</v>
      </c>
    </row>
    <row r="7373" ht="15" customHeight="1" spans="1:28" x14ac:dyDescent="0.25">
      <c r="A7373" s="17" t="s">
        <v>20653</v>
      </c>
      <c r="B7373" s="17" t="s">
        <v>70</v>
      </c>
      <c r="C7373" s="17" t="s">
        <v>71</v>
      </c>
      <c r="D7373" t="s">
        <v>14821</v>
      </c>
      <c r="F7373" t="s">
        <v>20654</v>
      </c>
      <c r="J7373" s="17" t="s">
        <v>20655</v>
      </c>
      <c r="K7373" s="18" t="s">
        <v>20656</v>
      </c>
      <c r="N7373" s="17" t="s">
        <v>77</v>
      </c>
      <c r="O7373" t="s">
        <v>489</v>
      </c>
      <c r="V7373" s="18" t="s">
        <v>20656</v>
      </c>
      <c r="Y7373" t="s">
        <v>90</v>
      </c>
      <c r="AA7373" t="s">
        <v>118</v>
      </c>
      <c r="AB7373" t="s">
        <v>119</v>
      </c>
    </row>
    <row r="7374" ht="15" customHeight="1" spans="1:28" x14ac:dyDescent="0.25">
      <c r="A7374" s="17" t="s">
        <v>20657</v>
      </c>
      <c r="B7374" s="17" t="s">
        <v>70</v>
      </c>
      <c r="C7374" s="17" t="s">
        <v>71</v>
      </c>
      <c r="D7374" t="s">
        <v>14821</v>
      </c>
      <c r="F7374" t="s">
        <v>20658</v>
      </c>
      <c r="J7374" t="s">
        <v>20659</v>
      </c>
      <c r="K7374" s="18" t="s">
        <v>20660</v>
      </c>
      <c r="N7374" s="17" t="s">
        <v>77</v>
      </c>
      <c r="O7374" t="s">
        <v>145</v>
      </c>
      <c r="V7374" s="18" t="s">
        <v>20660</v>
      </c>
      <c r="Y7374" t="s">
        <v>3140</v>
      </c>
      <c r="AA7374" t="s">
        <v>115</v>
      </c>
      <c r="AB7374" t="s">
        <v>3140</v>
      </c>
    </row>
    <row r="7375" ht="15" customHeight="1" spans="1:22" x14ac:dyDescent="0.25">
      <c r="A7375" s="17" t="s">
        <v>20661</v>
      </c>
      <c r="B7375" s="17" t="s">
        <v>70</v>
      </c>
      <c r="C7375" s="17" t="s">
        <v>71</v>
      </c>
      <c r="D7375" t="s">
        <v>14821</v>
      </c>
      <c r="F7375" t="s">
        <v>1754</v>
      </c>
      <c r="K7375" s="18">
        <f>6282110001104</f>
        <v>6282110001104</v>
      </c>
      <c r="N7375" s="17" t="s">
        <v>81</v>
      </c>
      <c r="V7375" s="18">
        <f>6282110001104</f>
        <v>6282110001104</v>
      </c>
    </row>
    <row r="7376" ht="15" customHeight="1" spans="1:22" x14ac:dyDescent="0.25">
      <c r="A7376" s="17" t="s">
        <v>20662</v>
      </c>
      <c r="B7376" s="17" t="s">
        <v>70</v>
      </c>
      <c r="C7376" s="17" t="s">
        <v>71</v>
      </c>
      <c r="D7376" t="s">
        <v>14821</v>
      </c>
      <c r="F7376" t="s">
        <v>20663</v>
      </c>
      <c r="K7376" s="18">
        <f>62877783815332</f>
        <v>62877783815332</v>
      </c>
      <c r="N7376" s="17" t="s">
        <v>77</v>
      </c>
      <c r="V7376" s="18">
        <f>62877783815332</f>
        <v>62877783815332</v>
      </c>
    </row>
    <row r="7377" ht="15" customHeight="1" spans="1:22" x14ac:dyDescent="0.25">
      <c r="A7377" s="17" t="s">
        <v>20664</v>
      </c>
      <c r="B7377" s="17" t="s">
        <v>70</v>
      </c>
      <c r="C7377" s="17" t="s">
        <v>71</v>
      </c>
      <c r="D7377" t="s">
        <v>14821</v>
      </c>
      <c r="F7377" t="s">
        <v>8308</v>
      </c>
      <c r="K7377" s="18">
        <f>8613771785888</f>
        <v>8613771785888</v>
      </c>
      <c r="N7377" s="17" t="s">
        <v>77</v>
      </c>
      <c r="V7377" s="18">
        <f>8613771785888</f>
        <v>8613771785888</v>
      </c>
    </row>
    <row r="7378" ht="15" customHeight="1" spans="1:23" x14ac:dyDescent="0.25">
      <c r="A7378" s="17" t="s">
        <v>20665</v>
      </c>
      <c r="B7378" s="17" t="s">
        <v>70</v>
      </c>
      <c r="C7378" s="17" t="s">
        <v>71</v>
      </c>
      <c r="D7378" t="s">
        <v>20666</v>
      </c>
      <c r="F7378" t="s">
        <v>10795</v>
      </c>
      <c r="K7378" s="18">
        <f>61468525464</f>
        <v>61468525464</v>
      </c>
      <c r="N7378" s="17" t="s">
        <v>77</v>
      </c>
      <c r="U7378" s="17"/>
      <c r="V7378" s="18">
        <f>61468525464</f>
        <v>61468525464</v>
      </c>
      <c r="W7378" t="s">
        <v>20667</v>
      </c>
    </row>
    <row r="7379" ht="15" customHeight="1" spans="1:23" x14ac:dyDescent="0.25">
      <c r="A7379" s="17" t="s">
        <v>20668</v>
      </c>
      <c r="B7379" s="17" t="s">
        <v>70</v>
      </c>
      <c r="C7379" s="17" t="s">
        <v>71</v>
      </c>
      <c r="D7379" t="s">
        <v>20666</v>
      </c>
      <c r="F7379" t="s">
        <v>20669</v>
      </c>
      <c r="K7379" s="18">
        <f>61433198777</f>
        <v>61433198777</v>
      </c>
      <c r="N7379" s="17" t="s">
        <v>77</v>
      </c>
      <c r="U7379" s="17"/>
      <c r="V7379" s="18">
        <f>61433198777</f>
        <v>61433198777</v>
      </c>
      <c r="W7379" t="s">
        <v>3140</v>
      </c>
    </row>
    <row r="7380" ht="15" customHeight="1" spans="1:28" x14ac:dyDescent="0.25">
      <c r="A7380" s="17" t="s">
        <v>20670</v>
      </c>
      <c r="B7380" s="17" t="s">
        <v>70</v>
      </c>
      <c r="C7380" s="17" t="s">
        <v>71</v>
      </c>
      <c r="D7380" t="s">
        <v>14821</v>
      </c>
      <c r="F7380" t="s">
        <v>13426</v>
      </c>
      <c r="J7380" s="17" t="s">
        <v>20671</v>
      </c>
      <c r="K7380" s="18" t="s">
        <v>20672</v>
      </c>
      <c r="N7380" s="17" t="s">
        <v>77</v>
      </c>
      <c r="O7380" t="s">
        <v>117</v>
      </c>
      <c r="U7380" s="17"/>
      <c r="V7380" s="18" t="s">
        <v>20672</v>
      </c>
      <c r="W7380" t="s">
        <v>3140</v>
      </c>
      <c r="Y7380" t="s">
        <v>3140</v>
      </c>
      <c r="AA7380" t="s">
        <v>115</v>
      </c>
      <c r="AB7380" t="s">
        <v>3140</v>
      </c>
    </row>
    <row r="7381" ht="15" customHeight="1" spans="1:23" x14ac:dyDescent="0.25">
      <c r="A7381" s="17" t="s">
        <v>20673</v>
      </c>
      <c r="B7381" s="17" t="s">
        <v>70</v>
      </c>
      <c r="C7381" s="17" t="s">
        <v>71</v>
      </c>
      <c r="D7381" t="s">
        <v>20666</v>
      </c>
      <c r="F7381" t="s">
        <v>20674</v>
      </c>
      <c r="J7381" s="17" t="s">
        <v>20675</v>
      </c>
      <c r="K7381" s="18">
        <f>8613124838398</f>
        <v>8613124838398</v>
      </c>
      <c r="N7381" s="17" t="s">
        <v>77</v>
      </c>
      <c r="U7381" s="17"/>
      <c r="V7381" s="18">
        <f>8613124838398</f>
        <v>8613124838398</v>
      </c>
      <c r="W7381" t="s">
        <v>3140</v>
      </c>
    </row>
    <row r="7382" ht="15" customHeight="1" spans="1:28" x14ac:dyDescent="0.25">
      <c r="A7382" s="17" t="s">
        <v>20676</v>
      </c>
      <c r="B7382" s="17" t="s">
        <v>70</v>
      </c>
      <c r="C7382" s="17" t="s">
        <v>71</v>
      </c>
      <c r="D7382" t="s">
        <v>14821</v>
      </c>
      <c r="F7382" t="s">
        <v>20677</v>
      </c>
      <c r="J7382" t="s">
        <v>115</v>
      </c>
      <c r="K7382" s="18" t="s">
        <v>20678</v>
      </c>
      <c r="N7382" s="17" t="s">
        <v>77</v>
      </c>
      <c r="O7382" t="s">
        <v>261</v>
      </c>
      <c r="V7382" s="18" t="s">
        <v>20678</v>
      </c>
      <c r="Y7382" t="s">
        <v>115</v>
      </c>
      <c r="AA7382" t="s">
        <v>115</v>
      </c>
      <c r="AB7382" t="s">
        <v>3140</v>
      </c>
    </row>
    <row r="7383" ht="15" customHeight="1" spans="1:28" x14ac:dyDescent="0.25">
      <c r="A7383" s="17" t="s">
        <v>20679</v>
      </c>
      <c r="B7383" s="17" t="s">
        <v>70</v>
      </c>
      <c r="C7383" s="17" t="s">
        <v>71</v>
      </c>
      <c r="D7383" t="s">
        <v>20680</v>
      </c>
      <c r="F7383" t="s">
        <v>7285</v>
      </c>
      <c r="J7383" t="s">
        <v>115</v>
      </c>
      <c r="K7383" s="18" t="s">
        <v>20681</v>
      </c>
      <c r="N7383" s="17" t="s">
        <v>77</v>
      </c>
      <c r="O7383" t="s">
        <v>145</v>
      </c>
      <c r="V7383" s="18" t="s">
        <v>20681</v>
      </c>
      <c r="Y7383" t="s">
        <v>115</v>
      </c>
      <c r="AA7383" t="s">
        <v>115</v>
      </c>
      <c r="AB7383" t="s">
        <v>119</v>
      </c>
    </row>
    <row r="7384" ht="15" customHeight="1" spans="1:22" x14ac:dyDescent="0.25">
      <c r="A7384" s="17" t="s">
        <v>20682</v>
      </c>
      <c r="B7384" s="17" t="s">
        <v>70</v>
      </c>
      <c r="C7384" s="17" t="s">
        <v>71</v>
      </c>
      <c r="D7384" t="s">
        <v>7293</v>
      </c>
      <c r="F7384" t="s">
        <v>2497</v>
      </c>
      <c r="K7384" s="18">
        <f>628613626265789</f>
        <v>628613626265789</v>
      </c>
      <c r="N7384" s="17" t="s">
        <v>77</v>
      </c>
      <c r="V7384" s="18">
        <f>628613626265789</f>
        <v>628613626265789</v>
      </c>
    </row>
    <row r="7385" ht="15" customHeight="1" spans="1:27" x14ac:dyDescent="0.25">
      <c r="A7385" s="17" t="s">
        <v>20683</v>
      </c>
      <c r="B7385" s="17" t="s">
        <v>70</v>
      </c>
      <c r="C7385" s="17" t="s">
        <v>71</v>
      </c>
      <c r="D7385" t="s">
        <v>7293</v>
      </c>
      <c r="F7385" t="s">
        <v>20684</v>
      </c>
      <c r="J7385" s="17" t="s">
        <v>20685</v>
      </c>
      <c r="K7385" s="18">
        <f>8618016833323</f>
        <v>8618016833323</v>
      </c>
      <c r="N7385" s="17" t="s">
        <v>77</v>
      </c>
      <c r="U7385" s="17"/>
      <c r="V7385" s="18">
        <f>8618016833323</f>
        <v>8618016833323</v>
      </c>
      <c r="W7385" t="s">
        <v>20686</v>
      </c>
      <c r="Y7385" s="17" t="s">
        <v>6980</v>
      </c>
      <c r="AA7385" s="17">
        <v>200120</v>
      </c>
    </row>
    <row r="7386" ht="15" customHeight="1" spans="1:28" x14ac:dyDescent="0.25">
      <c r="A7386" s="17" t="s">
        <v>20687</v>
      </c>
      <c r="B7386" s="17" t="s">
        <v>70</v>
      </c>
      <c r="C7386" s="17" t="s">
        <v>71</v>
      </c>
      <c r="D7386" t="s">
        <v>20688</v>
      </c>
      <c r="F7386" t="s">
        <v>7293</v>
      </c>
      <c r="J7386" s="17" t="s">
        <v>20689</v>
      </c>
      <c r="K7386" s="18" t="s">
        <v>20690</v>
      </c>
      <c r="N7386" s="17" t="s">
        <v>77</v>
      </c>
      <c r="O7386" t="s">
        <v>117</v>
      </c>
      <c r="U7386" s="17"/>
      <c r="V7386" s="18" t="s">
        <v>20690</v>
      </c>
      <c r="W7386" t="s">
        <v>20691</v>
      </c>
      <c r="Y7386" s="17" t="s">
        <v>3140</v>
      </c>
      <c r="AA7386" t="s">
        <v>115</v>
      </c>
      <c r="AB7386" t="s">
        <v>3140</v>
      </c>
    </row>
    <row r="7387" ht="15" customHeight="1" spans="1:22" x14ac:dyDescent="0.25">
      <c r="A7387" s="17" t="s">
        <v>20692</v>
      </c>
      <c r="B7387" s="17" t="s">
        <v>70</v>
      </c>
      <c r="C7387" s="17" t="s">
        <v>71</v>
      </c>
      <c r="D7387" t="s">
        <v>20693</v>
      </c>
      <c r="F7387" t="s">
        <v>20693</v>
      </c>
      <c r="K7387" s="18">
        <f>6287782550909</f>
        <v>6287782550909</v>
      </c>
      <c r="N7387" s="17" t="s">
        <v>77</v>
      </c>
      <c r="V7387" s="18">
        <f>6287782550909</f>
        <v>6287782550909</v>
      </c>
    </row>
    <row r="7388" ht="15" customHeight="1" spans="1:28" x14ac:dyDescent="0.25">
      <c r="A7388" s="17" t="s">
        <v>20694</v>
      </c>
      <c r="B7388" s="17" t="s">
        <v>70</v>
      </c>
      <c r="C7388" s="17" t="s">
        <v>71</v>
      </c>
      <c r="D7388" t="s">
        <v>20695</v>
      </c>
      <c r="F7388" t="s">
        <v>14588</v>
      </c>
      <c r="J7388" s="17" t="s">
        <v>20696</v>
      </c>
      <c r="K7388" s="18" t="s">
        <v>20697</v>
      </c>
      <c r="N7388" s="17" t="s">
        <v>77</v>
      </c>
      <c r="O7388" t="s">
        <v>145</v>
      </c>
      <c r="V7388" s="18" t="s">
        <v>20697</v>
      </c>
      <c r="Y7388" t="s">
        <v>90</v>
      </c>
      <c r="AA7388" t="s">
        <v>118</v>
      </c>
      <c r="AB7388" t="s">
        <v>119</v>
      </c>
    </row>
    <row r="7389" ht="15" customHeight="1" spans="1:22" x14ac:dyDescent="0.25">
      <c r="A7389" s="17" t="s">
        <v>20698</v>
      </c>
      <c r="B7389" s="17" t="s">
        <v>70</v>
      </c>
      <c r="C7389" s="17" t="s">
        <v>71</v>
      </c>
      <c r="D7389" t="s">
        <v>20699</v>
      </c>
      <c r="F7389" t="s">
        <v>20699</v>
      </c>
      <c r="K7389" s="18">
        <f>628121077107</f>
        <v>628121077107</v>
      </c>
      <c r="N7389" s="17" t="s">
        <v>77</v>
      </c>
      <c r="V7389" s="18">
        <f>628121077107</f>
        <v>628121077107</v>
      </c>
    </row>
    <row r="7390" ht="15" customHeight="1" spans="1:28" x14ac:dyDescent="0.25">
      <c r="A7390" s="17" t="s">
        <v>20700</v>
      </c>
      <c r="B7390" s="17" t="s">
        <v>70</v>
      </c>
      <c r="C7390" s="17" t="s">
        <v>71</v>
      </c>
      <c r="D7390" t="s">
        <v>20701</v>
      </c>
      <c r="F7390" t="s">
        <v>20702</v>
      </c>
      <c r="J7390" s="17" t="s">
        <v>20703</v>
      </c>
      <c r="K7390" s="18" t="s">
        <v>20704</v>
      </c>
      <c r="N7390" s="17" t="s">
        <v>77</v>
      </c>
      <c r="O7390" t="s">
        <v>489</v>
      </c>
      <c r="U7390" s="17"/>
      <c r="V7390" s="18" t="s">
        <v>20704</v>
      </c>
      <c r="W7390" t="s">
        <v>20705</v>
      </c>
      <c r="Y7390" t="s">
        <v>6942</v>
      </c>
      <c r="AA7390" t="s">
        <v>115</v>
      </c>
      <c r="AB7390" t="s">
        <v>119</v>
      </c>
    </row>
    <row r="7391" ht="15" customHeight="1" spans="1:28" x14ac:dyDescent="0.25">
      <c r="A7391" s="17" t="s">
        <v>20706</v>
      </c>
      <c r="B7391" s="17" t="s">
        <v>70</v>
      </c>
      <c r="C7391" s="17" t="s">
        <v>71</v>
      </c>
      <c r="D7391" t="s">
        <v>20707</v>
      </c>
      <c r="F7391" t="s">
        <v>3869</v>
      </c>
      <c r="J7391" s="17" t="s">
        <v>20708</v>
      </c>
      <c r="K7391" s="18" t="s">
        <v>20709</v>
      </c>
      <c r="N7391" s="17" t="s">
        <v>81</v>
      </c>
      <c r="O7391" t="s">
        <v>117</v>
      </c>
      <c r="V7391" s="18" t="s">
        <v>20709</v>
      </c>
      <c r="Y7391" t="s">
        <v>115</v>
      </c>
      <c r="AA7391" t="s">
        <v>115</v>
      </c>
      <c r="AB7391" t="s">
        <v>1306</v>
      </c>
    </row>
    <row r="7392" ht="15" customHeight="1" spans="1:25" x14ac:dyDescent="0.25">
      <c r="A7392" s="17" t="s">
        <v>20710</v>
      </c>
      <c r="B7392" s="17" t="s">
        <v>70</v>
      </c>
      <c r="C7392" s="17" t="s">
        <v>71</v>
      </c>
      <c r="D7392" t="s">
        <v>20711</v>
      </c>
      <c r="F7392" t="s">
        <v>20711</v>
      </c>
      <c r="K7392" s="18">
        <f>628156086586</f>
        <v>628156086586</v>
      </c>
      <c r="N7392" s="17" t="s">
        <v>77</v>
      </c>
      <c r="U7392" s="17"/>
      <c r="V7392" s="18">
        <f>628156086586</f>
        <v>628156086586</v>
      </c>
      <c r="W7392" t="s">
        <v>20712</v>
      </c>
      <c r="Y7392" s="17" t="s">
        <v>500</v>
      </c>
    </row>
    <row r="7393" ht="15" customHeight="1" spans="1:25" x14ac:dyDescent="0.25">
      <c r="A7393" s="17" t="s">
        <v>20713</v>
      </c>
      <c r="B7393" s="17" t="s">
        <v>70</v>
      </c>
      <c r="C7393" s="17" t="s">
        <v>71</v>
      </c>
      <c r="D7393" t="s">
        <v>20714</v>
      </c>
      <c r="F7393" t="s">
        <v>20714</v>
      </c>
      <c r="K7393" s="18">
        <f>6282293620006</f>
        <v>6282293620006</v>
      </c>
      <c r="N7393" s="17" t="s">
        <v>77</v>
      </c>
      <c r="V7393" s="18">
        <f>6282293620006</f>
        <v>6282293620006</v>
      </c>
      <c r="Y7393" s="17" t="s">
        <v>2500</v>
      </c>
    </row>
    <row r="7394" ht="15" customHeight="1" spans="1:23" x14ac:dyDescent="0.25">
      <c r="A7394" s="17" t="s">
        <v>20715</v>
      </c>
      <c r="B7394" s="17" t="s">
        <v>70</v>
      </c>
      <c r="C7394" s="17" t="s">
        <v>71</v>
      </c>
      <c r="D7394" t="s">
        <v>20716</v>
      </c>
      <c r="F7394" t="s">
        <v>1303</v>
      </c>
      <c r="K7394" s="18">
        <f>821036886109</f>
        <v>821036886109</v>
      </c>
      <c r="N7394" s="17" t="s">
        <v>77</v>
      </c>
      <c r="U7394" s="17"/>
      <c r="V7394" s="18">
        <f>821036886109</f>
        <v>821036886109</v>
      </c>
      <c r="W7394" t="s">
        <v>20717</v>
      </c>
    </row>
    <row r="7395" ht="15" customHeight="1" spans="1:23" x14ac:dyDescent="0.25">
      <c r="A7395" s="17" t="s">
        <v>20718</v>
      </c>
      <c r="B7395" s="17" t="s">
        <v>70</v>
      </c>
      <c r="C7395" s="17" t="s">
        <v>71</v>
      </c>
      <c r="D7395" t="s">
        <v>20719</v>
      </c>
      <c r="F7395" t="s">
        <v>7093</v>
      </c>
      <c r="J7395" s="17" t="s">
        <v>20720</v>
      </c>
      <c r="K7395" s="18">
        <f>628112165999</f>
        <v>628112165999</v>
      </c>
      <c r="N7395" s="17" t="s">
        <v>81</v>
      </c>
      <c r="U7395" s="17"/>
      <c r="V7395" s="18">
        <f>628112165999</f>
        <v>628112165999</v>
      </c>
      <c r="W7395" t="s">
        <v>20721</v>
      </c>
    </row>
    <row r="7396" ht="15" customHeight="1" spans="1:22" x14ac:dyDescent="0.25">
      <c r="A7396" s="17" t="s">
        <v>20722</v>
      </c>
      <c r="B7396" s="17" t="s">
        <v>70</v>
      </c>
      <c r="C7396" s="17" t="s">
        <v>71</v>
      </c>
      <c r="D7396" t="s">
        <v>7000</v>
      </c>
      <c r="F7396" t="s">
        <v>7914</v>
      </c>
      <c r="K7396" s="18">
        <f>6287778485492</f>
        <v>6287778485492</v>
      </c>
      <c r="N7396" s="17" t="s">
        <v>81</v>
      </c>
      <c r="V7396" s="18">
        <f>6287778485492</f>
        <v>6287778485492</v>
      </c>
    </row>
    <row r="7397" ht="15" customHeight="1" spans="1:28" x14ac:dyDescent="0.25">
      <c r="A7397" s="17" t="s">
        <v>20723</v>
      </c>
      <c r="B7397" s="17" t="s">
        <v>70</v>
      </c>
      <c r="C7397" s="17" t="s">
        <v>71</v>
      </c>
      <c r="D7397" t="s">
        <v>20724</v>
      </c>
      <c r="F7397" t="s">
        <v>20725</v>
      </c>
      <c r="J7397" s="17" t="s">
        <v>20726</v>
      </c>
      <c r="K7397" s="18" t="s">
        <v>20727</v>
      </c>
      <c r="N7397" s="17" t="s">
        <v>77</v>
      </c>
      <c r="O7397" t="s">
        <v>199</v>
      </c>
      <c r="V7397" s="18" t="s">
        <v>20727</v>
      </c>
      <c r="Y7397" t="s">
        <v>90</v>
      </c>
      <c r="AA7397" t="s">
        <v>118</v>
      </c>
      <c r="AB7397" t="s">
        <v>119</v>
      </c>
    </row>
    <row r="7398" ht="15" customHeight="1" spans="1:22" x14ac:dyDescent="0.25">
      <c r="A7398" s="17" t="s">
        <v>20728</v>
      </c>
      <c r="B7398" s="17" t="s">
        <v>70</v>
      </c>
      <c r="C7398" s="17" t="s">
        <v>71</v>
      </c>
      <c r="D7398" t="s">
        <v>20729</v>
      </c>
      <c r="F7398" t="s">
        <v>20730</v>
      </c>
      <c r="K7398" s="18">
        <f>62818210208</f>
        <v>62818210208</v>
      </c>
      <c r="N7398" s="17" t="s">
        <v>77</v>
      </c>
      <c r="V7398" s="18">
        <f>62818210208</f>
        <v>62818210208</v>
      </c>
    </row>
    <row r="7399" ht="15" customHeight="1" spans="1:22" x14ac:dyDescent="0.25">
      <c r="A7399" s="17" t="s">
        <v>20731</v>
      </c>
      <c r="B7399" s="17" t="s">
        <v>70</v>
      </c>
      <c r="C7399" s="17" t="s">
        <v>71</v>
      </c>
      <c r="D7399" t="s">
        <v>20732</v>
      </c>
      <c r="F7399" t="s">
        <v>2484</v>
      </c>
      <c r="K7399" s="18">
        <f>62811843202</f>
        <v>62811843202</v>
      </c>
      <c r="N7399" s="17" t="s">
        <v>74</v>
      </c>
      <c r="V7399" s="18">
        <f>62811843202</f>
        <v>62811843202</v>
      </c>
    </row>
    <row r="7400" ht="15" customHeight="1" spans="1:22" x14ac:dyDescent="0.25">
      <c r="A7400" s="17" t="s">
        <v>20733</v>
      </c>
      <c r="B7400" s="17" t="s">
        <v>70</v>
      </c>
      <c r="C7400" s="17" t="s">
        <v>71</v>
      </c>
      <c r="D7400" t="s">
        <v>16735</v>
      </c>
      <c r="F7400" t="s">
        <v>16735</v>
      </c>
      <c r="K7400" s="18">
        <f>6281280775374</f>
        <v>6281280775374</v>
      </c>
      <c r="N7400" s="17" t="s">
        <v>77</v>
      </c>
      <c r="V7400" s="18">
        <f>6281280775374</f>
        <v>6281280775374</v>
      </c>
    </row>
    <row r="7401" ht="15" customHeight="1" spans="1:28" x14ac:dyDescent="0.25">
      <c r="A7401" s="17" t="s">
        <v>20734</v>
      </c>
      <c r="B7401" s="17" t="s">
        <v>70</v>
      </c>
      <c r="C7401" s="17" t="s">
        <v>71</v>
      </c>
      <c r="D7401" t="s">
        <v>20735</v>
      </c>
      <c r="F7401" t="s">
        <v>2730</v>
      </c>
      <c r="J7401" t="s">
        <v>115</v>
      </c>
      <c r="K7401" s="18" t="s">
        <v>20736</v>
      </c>
      <c r="N7401" s="17" t="s">
        <v>81</v>
      </c>
      <c r="O7401" t="s">
        <v>145</v>
      </c>
      <c r="V7401" s="18" t="s">
        <v>20736</v>
      </c>
      <c r="Y7401" t="s">
        <v>500</v>
      </c>
      <c r="AA7401" t="s">
        <v>501</v>
      </c>
      <c r="AB7401" t="s">
        <v>119</v>
      </c>
    </row>
    <row r="7402" ht="15" customHeight="1" spans="1:28" x14ac:dyDescent="0.25">
      <c r="A7402" s="17" t="s">
        <v>20737</v>
      </c>
      <c r="B7402" s="17" t="s">
        <v>70</v>
      </c>
      <c r="C7402" s="17" t="s">
        <v>71</v>
      </c>
      <c r="D7402" t="s">
        <v>16735</v>
      </c>
      <c r="F7402" t="s">
        <v>20738</v>
      </c>
      <c r="J7402" s="17" t="s">
        <v>20739</v>
      </c>
      <c r="K7402" s="18" t="s">
        <v>20740</v>
      </c>
      <c r="N7402" s="17" t="s">
        <v>77</v>
      </c>
      <c r="O7402" t="s">
        <v>199</v>
      </c>
      <c r="U7402" s="17"/>
      <c r="V7402" s="18" t="s">
        <v>20740</v>
      </c>
      <c r="W7402" t="s">
        <v>7007</v>
      </c>
      <c r="Y7402" t="s">
        <v>7939</v>
      </c>
      <c r="AA7402" t="s">
        <v>115</v>
      </c>
      <c r="AB7402" t="s">
        <v>119</v>
      </c>
    </row>
    <row r="7403" ht="15" customHeight="1" spans="1:22" x14ac:dyDescent="0.25">
      <c r="A7403" s="17" t="s">
        <v>20741</v>
      </c>
      <c r="B7403" s="17" t="s">
        <v>70</v>
      </c>
      <c r="C7403" s="17" t="s">
        <v>71</v>
      </c>
      <c r="D7403" t="s">
        <v>5663</v>
      </c>
      <c r="F7403" t="s">
        <v>5663</v>
      </c>
      <c r="K7403" s="18">
        <f>628128878181</f>
        <v>628128878181</v>
      </c>
      <c r="N7403" s="17" t="s">
        <v>77</v>
      </c>
      <c r="V7403" s="18">
        <f>628128878181</f>
        <v>628128878181</v>
      </c>
    </row>
    <row r="7404" ht="15" customHeight="1" spans="1:28" x14ac:dyDescent="0.25">
      <c r="A7404" s="17" t="s">
        <v>20742</v>
      </c>
      <c r="B7404" s="17" t="s">
        <v>70</v>
      </c>
      <c r="C7404" s="17" t="s">
        <v>71</v>
      </c>
      <c r="D7404" t="s">
        <v>5663</v>
      </c>
      <c r="F7404" t="s">
        <v>20743</v>
      </c>
      <c r="J7404" t="s">
        <v>115</v>
      </c>
      <c r="K7404" s="18" t="s">
        <v>20744</v>
      </c>
      <c r="N7404" s="17" t="s">
        <v>77</v>
      </c>
      <c r="O7404" t="s">
        <v>489</v>
      </c>
      <c r="V7404" s="18" t="s">
        <v>20744</v>
      </c>
      <c r="Y7404" t="s">
        <v>78</v>
      </c>
      <c r="AA7404" t="s">
        <v>115</v>
      </c>
      <c r="AB7404" t="s">
        <v>119</v>
      </c>
    </row>
    <row r="7405" ht="15" customHeight="1" spans="1:27" x14ac:dyDescent="0.25">
      <c r="A7405" s="17" t="s">
        <v>20745</v>
      </c>
      <c r="B7405" s="17" t="s">
        <v>70</v>
      </c>
      <c r="C7405" s="17" t="s">
        <v>71</v>
      </c>
      <c r="D7405" t="s">
        <v>5663</v>
      </c>
      <c r="F7405" t="s">
        <v>20746</v>
      </c>
      <c r="J7405" s="17" t="s">
        <v>20747</v>
      </c>
      <c r="K7405" s="18">
        <f>62817822429</f>
        <v>62817822429</v>
      </c>
      <c r="N7405" s="17" t="s">
        <v>81</v>
      </c>
      <c r="U7405" s="17"/>
      <c r="V7405" s="18">
        <f>62817822429</f>
        <v>62817822429</v>
      </c>
      <c r="W7405" t="s">
        <v>20748</v>
      </c>
      <c r="Y7405" s="17" t="s">
        <v>622</v>
      </c>
      <c r="AA7405" s="17">
        <v>16143</v>
      </c>
    </row>
    <row r="7406" ht="15" customHeight="1" spans="1:22" x14ac:dyDescent="0.25">
      <c r="A7406" s="17" t="s">
        <v>20749</v>
      </c>
      <c r="B7406" s="17" t="s">
        <v>70</v>
      </c>
      <c r="C7406" s="17" t="s">
        <v>71</v>
      </c>
      <c r="D7406" t="s">
        <v>20750</v>
      </c>
      <c r="F7406" t="s">
        <v>20750</v>
      </c>
      <c r="K7406" s="18">
        <f>62818646568</f>
        <v>62818646568</v>
      </c>
      <c r="N7406" s="17" t="s">
        <v>81</v>
      </c>
      <c r="V7406" s="18">
        <f>62818646568</f>
        <v>62818646568</v>
      </c>
    </row>
    <row r="7407" ht="15" customHeight="1" spans="1:22" x14ac:dyDescent="0.25">
      <c r="A7407" s="17" t="s">
        <v>20751</v>
      </c>
      <c r="B7407" s="17" t="s">
        <v>70</v>
      </c>
      <c r="C7407" s="17" t="s">
        <v>71</v>
      </c>
      <c r="D7407" t="s">
        <v>20750</v>
      </c>
      <c r="F7407" t="s">
        <v>20752</v>
      </c>
      <c r="K7407" s="18">
        <f>6287822259205</f>
        <v>6287822259205</v>
      </c>
      <c r="N7407" s="17" t="s">
        <v>81</v>
      </c>
      <c r="V7407" s="18">
        <f>6287822259205</f>
        <v>6287822259205</v>
      </c>
    </row>
    <row r="7408" ht="15" customHeight="1" spans="1:28" x14ac:dyDescent="0.25">
      <c r="A7408" s="17" t="s">
        <v>20753</v>
      </c>
      <c r="B7408" s="17" t="s">
        <v>70</v>
      </c>
      <c r="C7408" s="17" t="s">
        <v>71</v>
      </c>
      <c r="D7408" t="s">
        <v>20754</v>
      </c>
      <c r="F7408" t="s">
        <v>20754</v>
      </c>
      <c r="J7408" t="s">
        <v>115</v>
      </c>
      <c r="K7408" s="18" t="s">
        <v>20755</v>
      </c>
      <c r="N7408" s="17" t="s">
        <v>81</v>
      </c>
      <c r="O7408" t="s">
        <v>117</v>
      </c>
      <c r="V7408" s="18" t="s">
        <v>20755</v>
      </c>
      <c r="Y7408" t="s">
        <v>90</v>
      </c>
      <c r="AA7408" t="s">
        <v>118</v>
      </c>
      <c r="AB7408" t="s">
        <v>119</v>
      </c>
    </row>
    <row r="7409" ht="15" customHeight="1" spans="1:22" x14ac:dyDescent="0.25">
      <c r="A7409" s="17" t="s">
        <v>20756</v>
      </c>
      <c r="B7409" s="17" t="s">
        <v>70</v>
      </c>
      <c r="C7409" s="17" t="s">
        <v>71</v>
      </c>
      <c r="D7409" t="s">
        <v>20754</v>
      </c>
      <c r="F7409" t="s">
        <v>3585</v>
      </c>
      <c r="K7409" s="18">
        <f>6281290199722</f>
        <v>6281290199722</v>
      </c>
      <c r="N7409" s="17" t="s">
        <v>74</v>
      </c>
      <c r="V7409" s="18">
        <f>6281290199722</f>
        <v>6281290199722</v>
      </c>
    </row>
    <row r="7410" ht="15" customHeight="1" spans="1:25" x14ac:dyDescent="0.25">
      <c r="A7410" s="17" t="s">
        <v>20757</v>
      </c>
      <c r="B7410" s="17" t="s">
        <v>70</v>
      </c>
      <c r="C7410" s="17" t="s">
        <v>71</v>
      </c>
      <c r="D7410" t="s">
        <v>20758</v>
      </c>
      <c r="F7410" t="s">
        <v>18710</v>
      </c>
      <c r="J7410" s="17" t="s">
        <v>20759</v>
      </c>
      <c r="K7410" s="18">
        <f>6281224060664</f>
        <v>6281224060664</v>
      </c>
      <c r="N7410" s="17" t="s">
        <v>77</v>
      </c>
      <c r="U7410" s="17"/>
      <c r="V7410" s="18">
        <f>6281224060664</f>
        <v>6281224060664</v>
      </c>
      <c r="W7410" t="s">
        <v>20760</v>
      </c>
      <c r="Y7410" s="17" t="s">
        <v>704</v>
      </c>
    </row>
    <row r="7411" ht="15" customHeight="1" spans="1:22" x14ac:dyDescent="0.25">
      <c r="A7411" s="17" t="s">
        <v>20761</v>
      </c>
      <c r="B7411" s="17" t="s">
        <v>70</v>
      </c>
      <c r="C7411" s="17" t="s">
        <v>71</v>
      </c>
      <c r="D7411" t="s">
        <v>20758</v>
      </c>
      <c r="F7411" t="s">
        <v>20762</v>
      </c>
      <c r="K7411" s="18">
        <f>6281281577777</f>
        <v>6281281577777</v>
      </c>
      <c r="N7411" s="17" t="s">
        <v>77</v>
      </c>
      <c r="V7411" s="18">
        <f>6281281577777</f>
        <v>6281281577777</v>
      </c>
    </row>
    <row r="7412" ht="15" customHeight="1" spans="1:25" x14ac:dyDescent="0.25">
      <c r="A7412" s="17" t="s">
        <v>20763</v>
      </c>
      <c r="B7412" s="17" t="s">
        <v>70</v>
      </c>
      <c r="C7412" s="17" t="s">
        <v>71</v>
      </c>
      <c r="D7412" t="s">
        <v>20758</v>
      </c>
      <c r="F7412" t="s">
        <v>20764</v>
      </c>
      <c r="K7412" s="18">
        <f>62818917899</f>
        <v>62818917899</v>
      </c>
      <c r="N7412" s="17" t="s">
        <v>77</v>
      </c>
      <c r="U7412" s="17"/>
      <c r="V7412" s="18">
        <f>62818917899</f>
        <v>62818917899</v>
      </c>
      <c r="W7412" t="s">
        <v>20765</v>
      </c>
      <c r="Y7412" s="17" t="s">
        <v>90</v>
      </c>
    </row>
    <row r="7413" ht="15" customHeight="1" spans="1:22" x14ac:dyDescent="0.25">
      <c r="A7413" s="17" t="s">
        <v>20766</v>
      </c>
      <c r="B7413" s="17" t="s">
        <v>70</v>
      </c>
      <c r="C7413" s="17" t="s">
        <v>71</v>
      </c>
      <c r="D7413" t="s">
        <v>20758</v>
      </c>
      <c r="F7413" t="s">
        <v>20767</v>
      </c>
      <c r="K7413" s="18">
        <f>811246551</f>
        <v>811246551</v>
      </c>
      <c r="N7413" s="17" t="s">
        <v>81</v>
      </c>
      <c r="V7413" s="18">
        <f>811246551</f>
        <v>811246551</v>
      </c>
    </row>
    <row r="7414" ht="15" customHeight="1" spans="1:28" x14ac:dyDescent="0.25">
      <c r="A7414" s="17" t="s">
        <v>20768</v>
      </c>
      <c r="B7414" s="17" t="s">
        <v>70</v>
      </c>
      <c r="C7414" s="17" t="s">
        <v>71</v>
      </c>
      <c r="D7414" t="s">
        <v>20769</v>
      </c>
      <c r="F7414" t="s">
        <v>20770</v>
      </c>
      <c r="J7414" s="17" t="s">
        <v>20771</v>
      </c>
      <c r="K7414" s="18" t="s">
        <v>20772</v>
      </c>
      <c r="N7414" s="17" t="s">
        <v>81</v>
      </c>
      <c r="O7414" t="s">
        <v>117</v>
      </c>
      <c r="V7414" s="18" t="s">
        <v>20772</v>
      </c>
      <c r="Y7414" t="s">
        <v>90</v>
      </c>
      <c r="AA7414" t="s">
        <v>118</v>
      </c>
      <c r="AB7414" t="s">
        <v>119</v>
      </c>
    </row>
    <row r="7415" ht="15" customHeight="1" spans="1:23" x14ac:dyDescent="0.25">
      <c r="A7415" s="17" t="s">
        <v>20773</v>
      </c>
      <c r="B7415" s="17" t="s">
        <v>70</v>
      </c>
      <c r="C7415" s="17" t="s">
        <v>71</v>
      </c>
      <c r="D7415" t="s">
        <v>20774</v>
      </c>
      <c r="F7415" t="s">
        <v>20775</v>
      </c>
      <c r="K7415" s="18">
        <f>96596606623</f>
        <v>96596606623</v>
      </c>
      <c r="N7415" s="17" t="s">
        <v>77</v>
      </c>
      <c r="U7415" s="17"/>
      <c r="V7415" s="18">
        <f>96596606623</f>
        <v>96596606623</v>
      </c>
      <c r="W7415" t="s">
        <v>20776</v>
      </c>
    </row>
    <row r="7416" ht="15" customHeight="1" spans="1:23" x14ac:dyDescent="0.25">
      <c r="A7416" s="17" t="s">
        <v>20777</v>
      </c>
      <c r="B7416" s="17" t="s">
        <v>70</v>
      </c>
      <c r="C7416" s="17" t="s">
        <v>71</v>
      </c>
      <c r="D7416" t="s">
        <v>20778</v>
      </c>
      <c r="F7416" t="s">
        <v>1169</v>
      </c>
      <c r="K7416" s="18">
        <f>62811992654</f>
        <v>62811992654</v>
      </c>
      <c r="N7416" s="17" t="s">
        <v>74</v>
      </c>
      <c r="U7416" s="17"/>
      <c r="V7416" s="18">
        <f>62811992654</f>
        <v>62811992654</v>
      </c>
      <c r="W7416" t="s">
        <v>20779</v>
      </c>
    </row>
    <row r="7417" ht="15" customHeight="1" spans="1:28" x14ac:dyDescent="0.25">
      <c r="A7417" s="17" t="s">
        <v>20780</v>
      </c>
      <c r="B7417" s="17" t="s">
        <v>70</v>
      </c>
      <c r="C7417" s="17" t="s">
        <v>71</v>
      </c>
      <c r="D7417" t="s">
        <v>3753</v>
      </c>
      <c r="F7417" t="s">
        <v>1169</v>
      </c>
      <c r="J7417" t="s">
        <v>115</v>
      </c>
      <c r="K7417" s="18" t="s">
        <v>20781</v>
      </c>
      <c r="N7417" s="17" t="s">
        <v>77</v>
      </c>
      <c r="O7417" t="s">
        <v>117</v>
      </c>
      <c r="V7417" s="18" t="s">
        <v>20781</v>
      </c>
      <c r="Y7417" t="s">
        <v>90</v>
      </c>
      <c r="AA7417" t="s">
        <v>118</v>
      </c>
      <c r="AB7417" t="s">
        <v>119</v>
      </c>
    </row>
    <row r="7418" ht="15" customHeight="1" spans="1:22" x14ac:dyDescent="0.25">
      <c r="A7418" s="17" t="s">
        <v>20782</v>
      </c>
      <c r="B7418" s="17" t="s">
        <v>70</v>
      </c>
      <c r="C7418" s="17" t="s">
        <v>71</v>
      </c>
      <c r="D7418" t="s">
        <v>5773</v>
      </c>
      <c r="F7418" t="s">
        <v>310</v>
      </c>
      <c r="J7418" s="17" t="s">
        <v>20783</v>
      </c>
      <c r="K7418" s="18">
        <f>6281808052001</f>
        <v>6281808052001</v>
      </c>
      <c r="N7418" s="17" t="s">
        <v>77</v>
      </c>
      <c r="V7418" s="18">
        <f>6281808052001</f>
        <v>6281808052001</v>
      </c>
    </row>
    <row r="7419" ht="15" customHeight="1" spans="1:25" x14ac:dyDescent="0.25">
      <c r="A7419" s="17" t="s">
        <v>20784</v>
      </c>
      <c r="B7419" s="17" t="s">
        <v>70</v>
      </c>
      <c r="C7419" s="17" t="s">
        <v>71</v>
      </c>
      <c r="D7419" t="s">
        <v>5773</v>
      </c>
      <c r="F7419" t="s">
        <v>833</v>
      </c>
      <c r="K7419" s="18">
        <f>6287875372878</f>
        <v>6287875372878</v>
      </c>
      <c r="N7419" s="17" t="s">
        <v>77</v>
      </c>
      <c r="U7419" s="17"/>
      <c r="V7419" s="18">
        <f>6287875372878</f>
        <v>6287875372878</v>
      </c>
      <c r="W7419" t="s">
        <v>20785</v>
      </c>
      <c r="Y7419" s="17" t="s">
        <v>384</v>
      </c>
    </row>
    <row r="7420" ht="15" customHeight="1" spans="1:28" x14ac:dyDescent="0.25">
      <c r="A7420" s="17" t="s">
        <v>20786</v>
      </c>
      <c r="B7420" s="17" t="s">
        <v>70</v>
      </c>
      <c r="C7420" s="17" t="s">
        <v>71</v>
      </c>
      <c r="D7420" t="s">
        <v>5773</v>
      </c>
      <c r="F7420" t="s">
        <v>20787</v>
      </c>
      <c r="J7420" t="s">
        <v>115</v>
      </c>
      <c r="K7420" s="18" t="s">
        <v>20788</v>
      </c>
      <c r="N7420" s="17" t="s">
        <v>77</v>
      </c>
      <c r="O7420" t="s">
        <v>145</v>
      </c>
      <c r="V7420" s="18" t="s">
        <v>20788</v>
      </c>
      <c r="Y7420" t="s">
        <v>90</v>
      </c>
      <c r="AA7420" t="s">
        <v>118</v>
      </c>
      <c r="AB7420" t="s">
        <v>119</v>
      </c>
    </row>
    <row r="7421" ht="15" customHeight="1" spans="1:22" x14ac:dyDescent="0.25">
      <c r="A7421" s="17" t="s">
        <v>20789</v>
      </c>
      <c r="B7421" s="17" t="s">
        <v>70</v>
      </c>
      <c r="C7421" s="17" t="s">
        <v>71</v>
      </c>
      <c r="D7421" t="s">
        <v>5773</v>
      </c>
      <c r="F7421" t="s">
        <v>20790</v>
      </c>
      <c r="K7421" s="18">
        <f>6281381380075</f>
        <v>6281381380075</v>
      </c>
      <c r="N7421" s="17" t="s">
        <v>77</v>
      </c>
      <c r="V7421" s="18">
        <f>6281381380075</f>
        <v>6281381380075</v>
      </c>
    </row>
    <row r="7422" ht="15" customHeight="1" spans="1:23" x14ac:dyDescent="0.25">
      <c r="A7422" s="17" t="s">
        <v>20791</v>
      </c>
      <c r="B7422" s="17" t="s">
        <v>70</v>
      </c>
      <c r="C7422" s="17" t="s">
        <v>71</v>
      </c>
      <c r="D7422" t="s">
        <v>20792</v>
      </c>
      <c r="F7422" t="s">
        <v>20792</v>
      </c>
      <c r="J7422" s="17" t="s">
        <v>20793</v>
      </c>
      <c r="K7422" s="18">
        <f>6287876975526</f>
        <v>6287876975526</v>
      </c>
      <c r="N7422" s="17" t="s">
        <v>77</v>
      </c>
      <c r="U7422" s="17"/>
      <c r="V7422" s="18">
        <f>6287876975526</f>
        <v>6287876975526</v>
      </c>
      <c r="W7422" t="s">
        <v>20794</v>
      </c>
    </row>
    <row r="7423" ht="15" customHeight="1" spans="1:22" x14ac:dyDescent="0.25">
      <c r="A7423" s="17" t="s">
        <v>20795</v>
      </c>
      <c r="B7423" s="17" t="s">
        <v>70</v>
      </c>
      <c r="C7423" s="17" t="s">
        <v>71</v>
      </c>
      <c r="D7423" t="s">
        <v>20796</v>
      </c>
      <c r="F7423" t="s">
        <v>17057</v>
      </c>
      <c r="K7423" s="18">
        <f>6287881511584</f>
        <v>6287881511584</v>
      </c>
      <c r="N7423" s="17" t="s">
        <v>81</v>
      </c>
      <c r="V7423" s="18">
        <f>6287881511584</f>
        <v>6287881511584</v>
      </c>
    </row>
    <row r="7424" ht="15" customHeight="1" spans="1:23" x14ac:dyDescent="0.25">
      <c r="A7424" s="17" t="s">
        <v>20797</v>
      </c>
      <c r="B7424" s="17" t="s">
        <v>70</v>
      </c>
      <c r="C7424" s="17" t="s">
        <v>71</v>
      </c>
      <c r="D7424" t="s">
        <v>20798</v>
      </c>
      <c r="F7424" t="s">
        <v>7304</v>
      </c>
      <c r="J7424" s="17" t="s">
        <v>20799</v>
      </c>
      <c r="K7424" s="18">
        <f>23092022</f>
        <v>23092022</v>
      </c>
      <c r="N7424" s="17" t="s">
        <v>77</v>
      </c>
      <c r="U7424" s="17"/>
      <c r="V7424" s="18">
        <f>23092022</f>
        <v>23092022</v>
      </c>
      <c r="W7424" t="s">
        <v>90</v>
      </c>
    </row>
    <row r="7425" ht="15" customHeight="1" spans="1:22" x14ac:dyDescent="0.25">
      <c r="A7425" s="17" t="s">
        <v>20800</v>
      </c>
      <c r="B7425" s="17" t="s">
        <v>70</v>
      </c>
      <c r="C7425" s="17" t="s">
        <v>71</v>
      </c>
      <c r="D7425" t="s">
        <v>20801</v>
      </c>
      <c r="F7425" t="s">
        <v>1024</v>
      </c>
      <c r="K7425" s="18">
        <f>628551076333</f>
        <v>628551076333</v>
      </c>
      <c r="N7425" s="17" t="s">
        <v>77</v>
      </c>
      <c r="V7425" s="18">
        <f>628551076333</f>
        <v>628551076333</v>
      </c>
    </row>
    <row r="7426" ht="15" customHeight="1" spans="1:22" x14ac:dyDescent="0.25">
      <c r="A7426" s="17" t="s">
        <v>20802</v>
      </c>
      <c r="B7426" s="17" t="s">
        <v>70</v>
      </c>
      <c r="C7426" s="17" t="s">
        <v>71</v>
      </c>
      <c r="D7426" t="s">
        <v>20803</v>
      </c>
      <c r="F7426" t="s">
        <v>1596</v>
      </c>
      <c r="K7426" s="18">
        <f>62811125286</f>
        <v>62811125286</v>
      </c>
      <c r="N7426" s="17" t="s">
        <v>77</v>
      </c>
      <c r="V7426" s="18">
        <f>62811125286</f>
        <v>62811125286</v>
      </c>
    </row>
    <row r="7427" ht="15" customHeight="1" spans="1:23" x14ac:dyDescent="0.25">
      <c r="A7427" s="17" t="s">
        <v>20804</v>
      </c>
      <c r="B7427" s="17" t="s">
        <v>70</v>
      </c>
      <c r="C7427" s="17" t="s">
        <v>71</v>
      </c>
      <c r="D7427" t="s">
        <v>20805</v>
      </c>
      <c r="F7427" t="s">
        <v>5777</v>
      </c>
      <c r="J7427" s="17" t="s">
        <v>20806</v>
      </c>
      <c r="K7427" s="18">
        <f>6282166667722</f>
        <v>6282166667722</v>
      </c>
      <c r="N7427" s="17" t="s">
        <v>77</v>
      </c>
      <c r="U7427" s="17"/>
      <c r="V7427" s="18">
        <f>6282166667722</f>
        <v>6282166667722</v>
      </c>
      <c r="W7427" t="s">
        <v>20807</v>
      </c>
    </row>
    <row r="7428" ht="15" customHeight="1" spans="1:28" x14ac:dyDescent="0.25">
      <c r="A7428" s="17" t="s">
        <v>20808</v>
      </c>
      <c r="B7428" s="17" t="s">
        <v>70</v>
      </c>
      <c r="C7428" s="17" t="s">
        <v>71</v>
      </c>
      <c r="D7428" t="s">
        <v>20809</v>
      </c>
      <c r="F7428" t="s">
        <v>20809</v>
      </c>
      <c r="J7428" t="s">
        <v>115</v>
      </c>
      <c r="K7428" s="18" t="s">
        <v>20810</v>
      </c>
      <c r="N7428" s="17" t="s">
        <v>81</v>
      </c>
      <c r="O7428" t="s">
        <v>117</v>
      </c>
      <c r="V7428" s="18" t="s">
        <v>20810</v>
      </c>
      <c r="Y7428" t="s">
        <v>90</v>
      </c>
      <c r="AA7428" t="s">
        <v>118</v>
      </c>
      <c r="AB7428" t="s">
        <v>119</v>
      </c>
    </row>
    <row r="7429" ht="15" customHeight="1" spans="1:28" x14ac:dyDescent="0.25">
      <c r="A7429" s="17" t="s">
        <v>20811</v>
      </c>
      <c r="B7429" s="17" t="s">
        <v>70</v>
      </c>
      <c r="C7429" s="17" t="s">
        <v>71</v>
      </c>
      <c r="D7429" t="s">
        <v>20809</v>
      </c>
      <c r="F7429" t="s">
        <v>1730</v>
      </c>
      <c r="J7429" t="s">
        <v>115</v>
      </c>
      <c r="K7429" s="18" t="s">
        <v>20812</v>
      </c>
      <c r="N7429" s="17" t="s">
        <v>77</v>
      </c>
      <c r="O7429" t="s">
        <v>117</v>
      </c>
      <c r="V7429" s="18" t="s">
        <v>20812</v>
      </c>
      <c r="Y7429" t="s">
        <v>190</v>
      </c>
      <c r="AA7429" t="s">
        <v>118</v>
      </c>
      <c r="AB7429" t="s">
        <v>119</v>
      </c>
    </row>
    <row r="7430" ht="15" customHeight="1" spans="1:23" x14ac:dyDescent="0.25">
      <c r="A7430" s="17" t="s">
        <v>20813</v>
      </c>
      <c r="B7430" s="17" t="s">
        <v>70</v>
      </c>
      <c r="C7430" s="17" t="s">
        <v>71</v>
      </c>
      <c r="D7430" t="s">
        <v>20809</v>
      </c>
      <c r="F7430" t="s">
        <v>20814</v>
      </c>
      <c r="K7430" s="18">
        <f>62816700160</f>
        <v>62816700160</v>
      </c>
      <c r="N7430" s="17" t="s">
        <v>81</v>
      </c>
      <c r="U7430" s="17"/>
      <c r="V7430" s="18">
        <f>62816700160</f>
        <v>62816700160</v>
      </c>
      <c r="W7430" t="s">
        <v>20815</v>
      </c>
    </row>
    <row r="7431" ht="15" customHeight="1" spans="1:25" x14ac:dyDescent="0.25">
      <c r="A7431" s="17" t="s">
        <v>20816</v>
      </c>
      <c r="B7431" s="17" t="s">
        <v>70</v>
      </c>
      <c r="C7431" s="17" t="s">
        <v>71</v>
      </c>
      <c r="D7431" t="s">
        <v>20817</v>
      </c>
      <c r="F7431" t="s">
        <v>4368</v>
      </c>
      <c r="J7431" s="17" t="s">
        <v>20818</v>
      </c>
      <c r="K7431" s="18">
        <f>6287880849226</f>
        <v>6287880849226</v>
      </c>
      <c r="N7431" s="17" t="s">
        <v>81</v>
      </c>
      <c r="U7431" s="17"/>
      <c r="V7431" s="18">
        <f>6287880849226</f>
        <v>6287880849226</v>
      </c>
      <c r="W7431" t="s">
        <v>20819</v>
      </c>
      <c r="Y7431" s="17" t="s">
        <v>96</v>
      </c>
    </row>
    <row r="7432" ht="15" customHeight="1" spans="1:22" x14ac:dyDescent="0.25">
      <c r="A7432" s="17" t="s">
        <v>20820</v>
      </c>
      <c r="B7432" s="17" t="s">
        <v>70</v>
      </c>
      <c r="C7432" s="17" t="s">
        <v>71</v>
      </c>
      <c r="D7432" t="s">
        <v>20821</v>
      </c>
      <c r="F7432" t="s">
        <v>1444</v>
      </c>
      <c r="K7432" s="18">
        <f>6281321536437</f>
        <v>6281321536437</v>
      </c>
      <c r="N7432" s="17" t="s">
        <v>77</v>
      </c>
      <c r="V7432" s="18">
        <f>6281321536437</f>
        <v>6281321536437</v>
      </c>
    </row>
    <row r="7433" ht="15" customHeight="1" spans="1:22" x14ac:dyDescent="0.25">
      <c r="A7433" s="17" t="s">
        <v>20822</v>
      </c>
      <c r="B7433" s="17" t="s">
        <v>70</v>
      </c>
      <c r="C7433" s="17" t="s">
        <v>71</v>
      </c>
      <c r="D7433" t="s">
        <v>20823</v>
      </c>
      <c r="F7433" t="s">
        <v>20823</v>
      </c>
      <c r="K7433" s="18">
        <f>62818593838</f>
        <v>62818593838</v>
      </c>
      <c r="N7433" s="17" t="s">
        <v>77</v>
      </c>
      <c r="V7433" s="18">
        <f>62818593838</f>
        <v>62818593838</v>
      </c>
    </row>
    <row r="7434" ht="15" customHeight="1" spans="1:23" x14ac:dyDescent="0.25">
      <c r="A7434" s="17" t="s">
        <v>20824</v>
      </c>
      <c r="B7434" s="17" t="s">
        <v>70</v>
      </c>
      <c r="C7434" s="17" t="s">
        <v>71</v>
      </c>
      <c r="D7434" t="s">
        <v>20823</v>
      </c>
      <c r="F7434" t="s">
        <v>20825</v>
      </c>
      <c r="K7434" s="18">
        <f>6281222770411</f>
        <v>6281222770411</v>
      </c>
      <c r="N7434" s="17" t="s">
        <v>77</v>
      </c>
      <c r="U7434" s="17"/>
      <c r="V7434" s="18">
        <f>6281222770411</f>
        <v>6281222770411</v>
      </c>
      <c r="W7434" t="s">
        <v>20826</v>
      </c>
    </row>
    <row r="7435" ht="15" customHeight="1" spans="1:22" x14ac:dyDescent="0.25">
      <c r="A7435" s="17" t="s">
        <v>20827</v>
      </c>
      <c r="B7435" s="17" t="s">
        <v>70</v>
      </c>
      <c r="C7435" s="17" t="s">
        <v>71</v>
      </c>
      <c r="D7435" t="s">
        <v>20823</v>
      </c>
      <c r="F7435" t="s">
        <v>20828</v>
      </c>
      <c r="K7435" s="18">
        <f>6281717118848</f>
        <v>6281717118848</v>
      </c>
      <c r="N7435" s="17" t="s">
        <v>81</v>
      </c>
      <c r="V7435" s="18">
        <f>6281717118848</f>
        <v>6281717118848</v>
      </c>
    </row>
    <row r="7436" ht="15" customHeight="1" spans="1:23" x14ac:dyDescent="0.25">
      <c r="A7436" s="17" t="s">
        <v>20829</v>
      </c>
      <c r="B7436" s="17" t="s">
        <v>70</v>
      </c>
      <c r="C7436" s="17" t="s">
        <v>71</v>
      </c>
      <c r="D7436" t="s">
        <v>5777</v>
      </c>
      <c r="F7436" t="s">
        <v>5777</v>
      </c>
      <c r="K7436" s="18">
        <f>6281310773599</f>
        <v>6281310773599</v>
      </c>
      <c r="N7436" s="17" t="s">
        <v>81</v>
      </c>
      <c r="U7436" s="17"/>
      <c r="V7436" s="18">
        <f>6281310773599</f>
        <v>6281310773599</v>
      </c>
      <c r="W7436" t="s">
        <v>7956</v>
      </c>
    </row>
    <row r="7437" ht="15" customHeight="1" spans="1:22" x14ac:dyDescent="0.25">
      <c r="A7437" s="17" t="s">
        <v>20830</v>
      </c>
      <c r="B7437" s="17" t="s">
        <v>70</v>
      </c>
      <c r="C7437" s="17" t="s">
        <v>71</v>
      </c>
      <c r="D7437" t="s">
        <v>5777</v>
      </c>
      <c r="F7437" t="s">
        <v>5777</v>
      </c>
      <c r="K7437" s="18">
        <f>62811800868</f>
        <v>62811800868</v>
      </c>
      <c r="N7437" s="17" t="s">
        <v>77</v>
      </c>
      <c r="V7437" s="18">
        <f>62811800868</f>
        <v>62811800868</v>
      </c>
    </row>
    <row r="7438" ht="15" customHeight="1" spans="1:23" x14ac:dyDescent="0.25">
      <c r="A7438" s="17" t="s">
        <v>20831</v>
      </c>
      <c r="B7438" s="17" t="s">
        <v>70</v>
      </c>
      <c r="C7438" s="17" t="s">
        <v>71</v>
      </c>
      <c r="D7438" t="s">
        <v>5777</v>
      </c>
      <c r="F7438" t="s">
        <v>4281</v>
      </c>
      <c r="J7438" s="17" t="s">
        <v>20832</v>
      </c>
      <c r="K7438" s="18">
        <f>628111252890</f>
        <v>628111252890</v>
      </c>
      <c r="N7438" s="17" t="s">
        <v>77</v>
      </c>
      <c r="U7438" s="17"/>
      <c r="V7438" s="18">
        <f>628111252890</f>
        <v>628111252890</v>
      </c>
      <c r="W7438" t="s">
        <v>20833</v>
      </c>
    </row>
    <row r="7439" ht="15" customHeight="1" spans="1:28" x14ac:dyDescent="0.25">
      <c r="A7439" s="17" t="s">
        <v>20834</v>
      </c>
      <c r="B7439" s="17" t="s">
        <v>70</v>
      </c>
      <c r="C7439" s="17" t="s">
        <v>71</v>
      </c>
      <c r="D7439" t="s">
        <v>5777</v>
      </c>
      <c r="F7439" t="s">
        <v>6235</v>
      </c>
      <c r="J7439" s="17" t="s">
        <v>20835</v>
      </c>
      <c r="K7439" s="18" t="s">
        <v>20836</v>
      </c>
      <c r="N7439" s="17" t="s">
        <v>77</v>
      </c>
      <c r="O7439" t="s">
        <v>261</v>
      </c>
      <c r="U7439" s="17"/>
      <c r="V7439" s="18" t="s">
        <v>20836</v>
      </c>
      <c r="W7439" t="s">
        <v>20837</v>
      </c>
      <c r="Y7439" t="s">
        <v>90</v>
      </c>
      <c r="AA7439" t="s">
        <v>118</v>
      </c>
      <c r="AB7439" t="s">
        <v>119</v>
      </c>
    </row>
    <row r="7440" ht="15" customHeight="1" spans="1:22" x14ac:dyDescent="0.25">
      <c r="A7440" s="17" t="s">
        <v>20838</v>
      </c>
      <c r="B7440" s="17" t="s">
        <v>70</v>
      </c>
      <c r="C7440" s="17" t="s">
        <v>71</v>
      </c>
      <c r="D7440" t="s">
        <v>5777</v>
      </c>
      <c r="F7440" t="s">
        <v>2159</v>
      </c>
      <c r="J7440" s="17" t="s">
        <v>20839</v>
      </c>
      <c r="K7440" s="18">
        <f>62818223038</f>
        <v>62818223038</v>
      </c>
      <c r="N7440" s="17" t="s">
        <v>77</v>
      </c>
      <c r="V7440" s="18">
        <f>62818223038</f>
        <v>62818223038</v>
      </c>
    </row>
    <row r="7441" ht="15" customHeight="1" spans="1:23" x14ac:dyDescent="0.25">
      <c r="A7441" s="17" t="s">
        <v>20840</v>
      </c>
      <c r="B7441" s="17" t="s">
        <v>70</v>
      </c>
      <c r="C7441" s="17" t="s">
        <v>71</v>
      </c>
      <c r="D7441" t="s">
        <v>5777</v>
      </c>
      <c r="F7441" t="s">
        <v>11221</v>
      </c>
      <c r="J7441" s="17" t="s">
        <v>20841</v>
      </c>
      <c r="K7441" s="18">
        <f>6287883419799</f>
        <v>6287883419799</v>
      </c>
      <c r="N7441" s="17" t="s">
        <v>77</v>
      </c>
      <c r="U7441" s="17"/>
      <c r="V7441" s="18">
        <f>6287883419799</f>
        <v>6287883419799</v>
      </c>
      <c r="W7441" t="s">
        <v>20842</v>
      </c>
    </row>
    <row r="7442" ht="15" customHeight="1" spans="1:27" x14ac:dyDescent="0.25">
      <c r="A7442" s="17" t="s">
        <v>20843</v>
      </c>
      <c r="B7442" s="17" t="s">
        <v>70</v>
      </c>
      <c r="C7442" s="17" t="s">
        <v>71</v>
      </c>
      <c r="D7442" t="s">
        <v>5777</v>
      </c>
      <c r="F7442" t="s">
        <v>12609</v>
      </c>
      <c r="K7442" s="18">
        <f>6282111690526</f>
        <v>6282111690526</v>
      </c>
      <c r="N7442" s="17" t="s">
        <v>81</v>
      </c>
      <c r="U7442" s="17"/>
      <c r="V7442" s="18">
        <f>6282111690526</f>
        <v>6282111690526</v>
      </c>
      <c r="W7442" t="s">
        <v>20844</v>
      </c>
      <c r="AA7442" s="17">
        <v>14450</v>
      </c>
    </row>
    <row r="7443" ht="15" customHeight="1" spans="1:22" x14ac:dyDescent="0.25">
      <c r="A7443" s="17" t="s">
        <v>20845</v>
      </c>
      <c r="B7443" s="17" t="s">
        <v>70</v>
      </c>
      <c r="C7443" s="17" t="s">
        <v>71</v>
      </c>
      <c r="D7443" t="s">
        <v>5777</v>
      </c>
      <c r="F7443" t="s">
        <v>18814</v>
      </c>
      <c r="K7443" s="18">
        <f>6281221811997</f>
        <v>6281221811997</v>
      </c>
      <c r="N7443" s="17" t="s">
        <v>77</v>
      </c>
      <c r="V7443" s="18">
        <f>6281221811997</f>
        <v>6281221811997</v>
      </c>
    </row>
    <row r="7444" ht="15" customHeight="1" spans="1:28" x14ac:dyDescent="0.25">
      <c r="A7444" s="17" t="s">
        <v>20846</v>
      </c>
      <c r="B7444" s="17" t="s">
        <v>70</v>
      </c>
      <c r="C7444" s="17" t="s">
        <v>71</v>
      </c>
      <c r="D7444" t="s">
        <v>5777</v>
      </c>
      <c r="F7444" t="s">
        <v>2159</v>
      </c>
      <c r="J7444" t="s">
        <v>115</v>
      </c>
      <c r="K7444" s="18" t="s">
        <v>20847</v>
      </c>
      <c r="N7444" s="17" t="s">
        <v>77</v>
      </c>
      <c r="O7444" t="s">
        <v>145</v>
      </c>
      <c r="U7444" s="17"/>
      <c r="V7444" s="18" t="s">
        <v>20847</v>
      </c>
      <c r="W7444" t="s">
        <v>20848</v>
      </c>
      <c r="Y7444" s="17" t="s">
        <v>190</v>
      </c>
      <c r="AA7444" t="s">
        <v>118</v>
      </c>
      <c r="AB7444" t="s">
        <v>119</v>
      </c>
    </row>
    <row r="7445" ht="15" customHeight="1" spans="1:23" x14ac:dyDescent="0.25">
      <c r="A7445" s="17" t="s">
        <v>20849</v>
      </c>
      <c r="B7445" s="17" t="s">
        <v>70</v>
      </c>
      <c r="C7445" s="17" t="s">
        <v>71</v>
      </c>
      <c r="D7445" t="s">
        <v>5777</v>
      </c>
      <c r="F7445" t="s">
        <v>20850</v>
      </c>
      <c r="K7445" s="18">
        <f>628159666659</f>
        <v>628159666659</v>
      </c>
      <c r="N7445" s="17" t="s">
        <v>81</v>
      </c>
      <c r="U7445" s="17"/>
      <c r="V7445" s="18">
        <f>628159666659</f>
        <v>628159666659</v>
      </c>
      <c r="W7445" t="s">
        <v>20851</v>
      </c>
    </row>
    <row r="7446" ht="15" customHeight="1" spans="1:23" x14ac:dyDescent="0.25">
      <c r="A7446" s="17" t="s">
        <v>20852</v>
      </c>
      <c r="B7446" s="17" t="s">
        <v>70</v>
      </c>
      <c r="C7446" s="17" t="s">
        <v>71</v>
      </c>
      <c r="D7446" t="s">
        <v>5777</v>
      </c>
      <c r="F7446" t="s">
        <v>20853</v>
      </c>
      <c r="J7446" s="17" t="s">
        <v>20854</v>
      </c>
      <c r="K7446" s="18">
        <f>628170048890</f>
        <v>628170048890</v>
      </c>
      <c r="N7446" s="17" t="s">
        <v>77</v>
      </c>
      <c r="U7446" s="17"/>
      <c r="V7446" s="18">
        <f>628170048890</f>
        <v>628170048890</v>
      </c>
      <c r="W7446" t="s">
        <v>20855</v>
      </c>
    </row>
    <row r="7447" ht="15" customHeight="1" spans="1:22" x14ac:dyDescent="0.25">
      <c r="A7447" s="17" t="s">
        <v>20856</v>
      </c>
      <c r="B7447" s="17" t="s">
        <v>70</v>
      </c>
      <c r="C7447" s="17" t="s">
        <v>71</v>
      </c>
      <c r="D7447" t="s">
        <v>5777</v>
      </c>
      <c r="F7447" t="s">
        <v>20857</v>
      </c>
      <c r="K7447" s="18">
        <f>62811800888</f>
        <v>62811800888</v>
      </c>
      <c r="N7447" s="17" t="s">
        <v>77</v>
      </c>
      <c r="V7447" s="18">
        <f>62811800888</f>
        <v>62811800888</v>
      </c>
    </row>
    <row r="7448" ht="15" customHeight="1" spans="1:22" x14ac:dyDescent="0.25">
      <c r="A7448" s="17" t="s">
        <v>20858</v>
      </c>
      <c r="B7448" s="17" t="s">
        <v>70</v>
      </c>
      <c r="C7448" s="17" t="s">
        <v>71</v>
      </c>
      <c r="D7448" t="s">
        <v>5777</v>
      </c>
      <c r="F7448" t="s">
        <v>8873</v>
      </c>
      <c r="K7448" s="18">
        <v>817262839</v>
      </c>
      <c r="N7448" s="17" t="s">
        <v>77</v>
      </c>
      <c r="V7448" s="18">
        <v>817262839</v>
      </c>
    </row>
    <row r="7449" ht="15" customHeight="1" spans="1:22" x14ac:dyDescent="0.25">
      <c r="A7449" s="17" t="s">
        <v>20859</v>
      </c>
      <c r="B7449" s="17" t="s">
        <v>70</v>
      </c>
      <c r="C7449" s="17" t="s">
        <v>71</v>
      </c>
      <c r="D7449" t="s">
        <v>5777</v>
      </c>
      <c r="F7449" t="s">
        <v>20860</v>
      </c>
      <c r="K7449" s="18">
        <f>6281213414985</f>
        <v>6281213414985</v>
      </c>
      <c r="N7449" s="17" t="s">
        <v>81</v>
      </c>
      <c r="V7449" s="18">
        <f>6281213414985</f>
        <v>6281213414985</v>
      </c>
    </row>
    <row r="7450" ht="15" customHeight="1" spans="1:22" x14ac:dyDescent="0.25">
      <c r="A7450" s="17" t="s">
        <v>20861</v>
      </c>
      <c r="B7450" s="17" t="s">
        <v>70</v>
      </c>
      <c r="C7450" s="17" t="s">
        <v>71</v>
      </c>
      <c r="D7450" t="s">
        <v>5777</v>
      </c>
      <c r="F7450" t="s">
        <v>20860</v>
      </c>
      <c r="K7450" s="18">
        <f>6285695666789</f>
        <v>6285695666789</v>
      </c>
      <c r="N7450" s="17" t="s">
        <v>77</v>
      </c>
      <c r="V7450" s="18">
        <f>6285695666789</f>
        <v>6285695666789</v>
      </c>
    </row>
    <row r="7451" ht="15" customHeight="1" spans="1:25" x14ac:dyDescent="0.25">
      <c r="A7451" s="17" t="s">
        <v>20862</v>
      </c>
      <c r="B7451" s="17" t="s">
        <v>70</v>
      </c>
      <c r="C7451" s="17" t="s">
        <v>71</v>
      </c>
      <c r="D7451" t="s">
        <v>20863</v>
      </c>
      <c r="F7451" t="s">
        <v>20863</v>
      </c>
      <c r="K7451" s="18">
        <f>6281809977801</f>
        <v>6281809977801</v>
      </c>
      <c r="N7451" s="17" t="s">
        <v>81</v>
      </c>
      <c r="U7451" s="17"/>
      <c r="V7451" s="18">
        <f>6281809977801</f>
        <v>6281809977801</v>
      </c>
      <c r="W7451" t="s">
        <v>20864</v>
      </c>
      <c r="Y7451" s="17" t="s">
        <v>500</v>
      </c>
    </row>
    <row r="7452" ht="15" customHeight="1" spans="1:22" x14ac:dyDescent="0.25">
      <c r="A7452" s="17" t="s">
        <v>20865</v>
      </c>
      <c r="B7452" s="17" t="s">
        <v>70</v>
      </c>
      <c r="C7452" s="17" t="s">
        <v>71</v>
      </c>
      <c r="D7452" t="s">
        <v>20863</v>
      </c>
      <c r="F7452" t="s">
        <v>20866</v>
      </c>
      <c r="K7452" s="18">
        <f>628888717526</f>
        <v>628888717526</v>
      </c>
      <c r="N7452" s="17" t="s">
        <v>77</v>
      </c>
      <c r="V7452" s="18">
        <f>628888717526</f>
        <v>628888717526</v>
      </c>
    </row>
    <row r="7453" ht="15" customHeight="1" spans="1:22" x14ac:dyDescent="0.25">
      <c r="A7453" s="17" t="s">
        <v>20867</v>
      </c>
      <c r="B7453" s="17" t="s">
        <v>70</v>
      </c>
      <c r="C7453" s="17" t="s">
        <v>71</v>
      </c>
      <c r="D7453" t="s">
        <v>20863</v>
      </c>
      <c r="F7453" t="s">
        <v>5520</v>
      </c>
      <c r="K7453" s="18">
        <f>62811430033</f>
        <v>62811430033</v>
      </c>
      <c r="N7453" s="17" t="s">
        <v>77</v>
      </c>
      <c r="V7453" s="18">
        <f>62811430033</f>
        <v>62811430033</v>
      </c>
    </row>
    <row r="7454" ht="15" customHeight="1" spans="1:22" x14ac:dyDescent="0.25">
      <c r="A7454" s="17" t="s">
        <v>20868</v>
      </c>
      <c r="B7454" s="17" t="s">
        <v>70</v>
      </c>
      <c r="C7454" s="17" t="s">
        <v>71</v>
      </c>
      <c r="D7454" t="s">
        <v>20863</v>
      </c>
      <c r="F7454" t="s">
        <v>20869</v>
      </c>
      <c r="K7454" s="18">
        <f>6281905653028</f>
        <v>6281905653028</v>
      </c>
      <c r="N7454" s="17" t="s">
        <v>74</v>
      </c>
      <c r="V7454" s="18">
        <f>6281905653028</f>
        <v>6281905653028</v>
      </c>
    </row>
    <row r="7455" ht="15" customHeight="1" spans="1:23" x14ac:dyDescent="0.25">
      <c r="A7455" s="17" t="s">
        <v>20870</v>
      </c>
      <c r="B7455" s="17" t="s">
        <v>70</v>
      </c>
      <c r="C7455" s="17" t="s">
        <v>71</v>
      </c>
      <c r="D7455" t="s">
        <v>20871</v>
      </c>
      <c r="F7455" t="s">
        <v>20871</v>
      </c>
      <c r="J7455" s="17" t="s">
        <v>20872</v>
      </c>
      <c r="K7455" s="18">
        <f>62811754172</f>
        <v>62811754172</v>
      </c>
      <c r="N7455" s="17" t="s">
        <v>77</v>
      </c>
      <c r="U7455" s="17"/>
      <c r="V7455" s="18">
        <f>62811754172</f>
        <v>62811754172</v>
      </c>
      <c r="W7455" t="s">
        <v>20873</v>
      </c>
    </row>
    <row r="7456" ht="15" customHeight="1" spans="1:22" x14ac:dyDescent="0.25">
      <c r="A7456" s="17" t="s">
        <v>20874</v>
      </c>
      <c r="B7456" s="17" t="s">
        <v>70</v>
      </c>
      <c r="C7456" s="17" t="s">
        <v>71</v>
      </c>
      <c r="D7456" t="s">
        <v>20871</v>
      </c>
      <c r="F7456" t="s">
        <v>20871</v>
      </c>
      <c r="K7456" s="18">
        <f>62811151962</f>
        <v>62811151962</v>
      </c>
      <c r="N7456" s="17" t="s">
        <v>77</v>
      </c>
      <c r="V7456" s="18">
        <f>62811151962</f>
        <v>62811151962</v>
      </c>
    </row>
    <row r="7457" ht="15" customHeight="1" spans="1:22" x14ac:dyDescent="0.25">
      <c r="A7457" s="17" t="s">
        <v>20875</v>
      </c>
      <c r="B7457" s="17" t="s">
        <v>70</v>
      </c>
      <c r="C7457" s="17" t="s">
        <v>71</v>
      </c>
      <c r="D7457" t="s">
        <v>20871</v>
      </c>
      <c r="F7457" t="s">
        <v>1064</v>
      </c>
      <c r="K7457" s="18">
        <f>6281808040008</f>
        <v>6281808040008</v>
      </c>
      <c r="N7457" s="17" t="s">
        <v>77</v>
      </c>
      <c r="V7457" s="18">
        <f>6281808040008</f>
        <v>6281808040008</v>
      </c>
    </row>
    <row r="7458" ht="15" customHeight="1" spans="1:23" x14ac:dyDescent="0.25">
      <c r="A7458" s="17" t="s">
        <v>20876</v>
      </c>
      <c r="B7458" s="17" t="s">
        <v>70</v>
      </c>
      <c r="C7458" s="17" t="s">
        <v>71</v>
      </c>
      <c r="D7458" t="s">
        <v>20871</v>
      </c>
      <c r="F7458" t="s">
        <v>20877</v>
      </c>
      <c r="K7458" s="18">
        <f>628111027288</f>
        <v>628111027288</v>
      </c>
      <c r="N7458" s="17" t="s">
        <v>81</v>
      </c>
      <c r="U7458" s="17"/>
      <c r="V7458" s="18">
        <f>628111027288</f>
        <v>628111027288</v>
      </c>
      <c r="W7458" t="s">
        <v>20878</v>
      </c>
    </row>
    <row r="7459" ht="15" customHeight="1" spans="1:22" x14ac:dyDescent="0.25">
      <c r="A7459" s="17" t="s">
        <v>20879</v>
      </c>
      <c r="B7459" s="17" t="s">
        <v>70</v>
      </c>
      <c r="C7459" s="17" t="s">
        <v>71</v>
      </c>
      <c r="D7459" t="s">
        <v>20880</v>
      </c>
      <c r="F7459" t="s">
        <v>20880</v>
      </c>
      <c r="K7459" s="18">
        <f>62811485812</f>
        <v>62811485812</v>
      </c>
      <c r="N7459" s="17" t="s">
        <v>74</v>
      </c>
      <c r="V7459" s="18">
        <f>62811485812</f>
        <v>62811485812</v>
      </c>
    </row>
    <row r="7460" ht="15" customHeight="1" spans="1:22" x14ac:dyDescent="0.25">
      <c r="A7460" s="17" t="s">
        <v>20881</v>
      </c>
      <c r="B7460" s="17" t="s">
        <v>70</v>
      </c>
      <c r="C7460" s="17" t="s">
        <v>71</v>
      </c>
      <c r="D7460" t="s">
        <v>20880</v>
      </c>
      <c r="F7460" t="s">
        <v>618</v>
      </c>
      <c r="K7460" s="18">
        <f>628164857233</f>
        <v>628164857233</v>
      </c>
      <c r="N7460" s="17" t="s">
        <v>77</v>
      </c>
      <c r="V7460" s="18">
        <f>628164857233</f>
        <v>628164857233</v>
      </c>
    </row>
    <row r="7461" ht="15" customHeight="1" spans="1:22" x14ac:dyDescent="0.25">
      <c r="A7461" s="17" t="s">
        <v>20882</v>
      </c>
      <c r="B7461" s="17" t="s">
        <v>70</v>
      </c>
      <c r="C7461" s="17" t="s">
        <v>71</v>
      </c>
      <c r="D7461" t="s">
        <v>20880</v>
      </c>
      <c r="F7461" t="s">
        <v>20883</v>
      </c>
      <c r="K7461" s="18">
        <f>62816800257</f>
        <v>62816800257</v>
      </c>
      <c r="N7461" s="17" t="s">
        <v>77</v>
      </c>
      <c r="V7461" s="18">
        <f>62816800257</f>
        <v>62816800257</v>
      </c>
    </row>
    <row r="7462" ht="15" customHeight="1" spans="1:22" x14ac:dyDescent="0.25">
      <c r="A7462" s="17" t="s">
        <v>20884</v>
      </c>
      <c r="B7462" s="17" t="s">
        <v>70</v>
      </c>
      <c r="C7462" s="17" t="s">
        <v>71</v>
      </c>
      <c r="D7462" t="s">
        <v>10889</v>
      </c>
      <c r="F7462" t="s">
        <v>20885</v>
      </c>
      <c r="K7462" s="18">
        <f>62817762147</f>
        <v>62817762147</v>
      </c>
      <c r="N7462" s="17" t="s">
        <v>77</v>
      </c>
      <c r="V7462" s="18">
        <f>62817762147</f>
        <v>62817762147</v>
      </c>
    </row>
    <row r="7463" ht="15" customHeight="1" spans="1:25" x14ac:dyDescent="0.25">
      <c r="A7463" s="17" t="s">
        <v>20886</v>
      </c>
      <c r="B7463" s="17" t="s">
        <v>70</v>
      </c>
      <c r="C7463" s="17" t="s">
        <v>71</v>
      </c>
      <c r="D7463" t="s">
        <v>10889</v>
      </c>
      <c r="F7463" t="s">
        <v>10866</v>
      </c>
      <c r="J7463" s="17" t="s">
        <v>10867</v>
      </c>
      <c r="K7463" s="18">
        <f>7063158068</f>
        <v>7063158068</v>
      </c>
      <c r="N7463" s="17" t="s">
        <v>77</v>
      </c>
      <c r="U7463" s="17"/>
      <c r="V7463" s="18">
        <f>7063158068</f>
        <v>7063158068</v>
      </c>
      <c r="W7463" t="s">
        <v>20887</v>
      </c>
      <c r="Y7463" s="17" t="s">
        <v>930</v>
      </c>
    </row>
    <row r="7464" ht="15" customHeight="1" spans="1:22" x14ac:dyDescent="0.25">
      <c r="A7464" s="17" t="s">
        <v>20888</v>
      </c>
      <c r="B7464" s="17" t="s">
        <v>70</v>
      </c>
      <c r="C7464" s="17" t="s">
        <v>71</v>
      </c>
      <c r="D7464" t="s">
        <v>10889</v>
      </c>
      <c r="F7464" t="s">
        <v>20889</v>
      </c>
      <c r="K7464" s="18">
        <f>62811163332</f>
        <v>62811163332</v>
      </c>
      <c r="N7464" s="17" t="s">
        <v>77</v>
      </c>
      <c r="V7464" s="18">
        <f>62811163332</f>
        <v>62811163332</v>
      </c>
    </row>
    <row r="7465" ht="15" customHeight="1" spans="1:27" x14ac:dyDescent="0.25">
      <c r="A7465" s="17" t="s">
        <v>20890</v>
      </c>
      <c r="B7465" s="17" t="s">
        <v>70</v>
      </c>
      <c r="C7465" s="17" t="s">
        <v>71</v>
      </c>
      <c r="D7465" t="s">
        <v>10889</v>
      </c>
      <c r="F7465" t="s">
        <v>20891</v>
      </c>
      <c r="K7465" s="18">
        <f>61417209341</f>
        <v>61417209341</v>
      </c>
      <c r="N7465" s="17" t="s">
        <v>81</v>
      </c>
      <c r="U7465" s="17"/>
      <c r="V7465" s="18">
        <f>61417209341</f>
        <v>61417209341</v>
      </c>
      <c r="W7465" t="s">
        <v>20892</v>
      </c>
      <c r="Y7465" s="17" t="s">
        <v>20893</v>
      </c>
      <c r="AA7465" s="17">
        <v>2137</v>
      </c>
    </row>
    <row r="7466" ht="15" customHeight="1" spans="1:22" x14ac:dyDescent="0.25">
      <c r="A7466" s="17" t="s">
        <v>20894</v>
      </c>
      <c r="B7466" s="17" t="s">
        <v>70</v>
      </c>
      <c r="C7466" s="17" t="s">
        <v>71</v>
      </c>
      <c r="D7466" t="s">
        <v>10889</v>
      </c>
      <c r="F7466" t="s">
        <v>20895</v>
      </c>
      <c r="K7466" s="18">
        <f>628118401234</f>
        <v>628118401234</v>
      </c>
      <c r="N7466" s="17" t="s">
        <v>77</v>
      </c>
      <c r="V7466" s="18">
        <f>628118401234</f>
        <v>628118401234</v>
      </c>
    </row>
    <row r="7467" ht="15" customHeight="1" spans="1:28" x14ac:dyDescent="0.25">
      <c r="A7467" s="17" t="s">
        <v>20896</v>
      </c>
      <c r="B7467" s="17" t="s">
        <v>70</v>
      </c>
      <c r="C7467" s="17" t="s">
        <v>71</v>
      </c>
      <c r="D7467" t="s">
        <v>10889</v>
      </c>
      <c r="F7467" t="s">
        <v>20897</v>
      </c>
      <c r="J7467" t="s">
        <v>115</v>
      </c>
      <c r="K7467" s="18" t="s">
        <v>20898</v>
      </c>
      <c r="N7467" s="17" t="s">
        <v>77</v>
      </c>
      <c r="O7467" t="s">
        <v>117</v>
      </c>
      <c r="V7467" s="18" t="s">
        <v>20898</v>
      </c>
      <c r="Y7467" t="s">
        <v>90</v>
      </c>
      <c r="AA7467" t="s">
        <v>118</v>
      </c>
      <c r="AB7467" t="s">
        <v>119</v>
      </c>
    </row>
    <row r="7468" ht="15" customHeight="1" spans="1:22" x14ac:dyDescent="0.25">
      <c r="A7468" s="17" t="s">
        <v>20899</v>
      </c>
      <c r="B7468" s="17" t="s">
        <v>70</v>
      </c>
      <c r="C7468" s="17" t="s">
        <v>71</v>
      </c>
      <c r="D7468" t="s">
        <v>10889</v>
      </c>
      <c r="F7468" t="s">
        <v>1754</v>
      </c>
      <c r="K7468" s="18">
        <f>628111888100</f>
        <v>628111888100</v>
      </c>
      <c r="N7468" s="17" t="s">
        <v>81</v>
      </c>
      <c r="V7468" s="18">
        <f>628111888100</f>
        <v>628111888100</v>
      </c>
    </row>
    <row r="7469" ht="15" customHeight="1" spans="1:28" x14ac:dyDescent="0.25">
      <c r="A7469" s="17" t="s">
        <v>20900</v>
      </c>
      <c r="B7469" s="17" t="s">
        <v>70</v>
      </c>
      <c r="C7469" s="17" t="s">
        <v>71</v>
      </c>
      <c r="D7469" t="s">
        <v>10889</v>
      </c>
      <c r="F7469" t="s">
        <v>20901</v>
      </c>
      <c r="J7469" s="17" t="s">
        <v>20902</v>
      </c>
      <c r="K7469" s="18" t="s">
        <v>20903</v>
      </c>
      <c r="N7469" s="17" t="s">
        <v>77</v>
      </c>
      <c r="O7469" t="s">
        <v>199</v>
      </c>
      <c r="U7469" s="17"/>
      <c r="V7469" s="18" t="s">
        <v>20903</v>
      </c>
      <c r="W7469" t="s">
        <v>20904</v>
      </c>
      <c r="Y7469" t="s">
        <v>115</v>
      </c>
      <c r="AA7469" t="s">
        <v>115</v>
      </c>
      <c r="AB7469" t="s">
        <v>20905</v>
      </c>
    </row>
    <row r="7470" ht="15" customHeight="1" spans="1:22" x14ac:dyDescent="0.25">
      <c r="A7470" s="17" t="s">
        <v>20906</v>
      </c>
      <c r="B7470" s="17" t="s">
        <v>70</v>
      </c>
      <c r="C7470" s="17" t="s">
        <v>71</v>
      </c>
      <c r="D7470" t="s">
        <v>10889</v>
      </c>
      <c r="F7470" t="s">
        <v>8225</v>
      </c>
      <c r="K7470" s="18">
        <f>6281388791791</f>
        <v>6281388791791</v>
      </c>
      <c r="N7470" s="17" t="s">
        <v>74</v>
      </c>
      <c r="V7470" s="18">
        <f>6281388791791</f>
        <v>6281388791791</v>
      </c>
    </row>
    <row r="7471" ht="15" customHeight="1" spans="1:22" x14ac:dyDescent="0.25">
      <c r="A7471" s="17" t="s">
        <v>20907</v>
      </c>
      <c r="B7471" s="17" t="s">
        <v>70</v>
      </c>
      <c r="C7471" s="17" t="s">
        <v>71</v>
      </c>
      <c r="D7471" t="s">
        <v>10889</v>
      </c>
      <c r="F7471" t="s">
        <v>20908</v>
      </c>
      <c r="K7471" s="18">
        <f>6287728061958</f>
        <v>6287728061958</v>
      </c>
      <c r="N7471" s="17" t="s">
        <v>74</v>
      </c>
      <c r="V7471" s="18">
        <f>6287728061958</f>
        <v>6287728061958</v>
      </c>
    </row>
    <row r="7472" ht="15" customHeight="1" spans="1:23" x14ac:dyDescent="0.25">
      <c r="A7472" s="17" t="s">
        <v>20909</v>
      </c>
      <c r="B7472" s="17" t="s">
        <v>70</v>
      </c>
      <c r="C7472" s="17" t="s">
        <v>71</v>
      </c>
      <c r="D7472" t="s">
        <v>10889</v>
      </c>
      <c r="F7472" t="s">
        <v>20910</v>
      </c>
      <c r="J7472" s="17" t="s">
        <v>20911</v>
      </c>
      <c r="K7472" s="18">
        <f>628170031958</f>
        <v>628170031958</v>
      </c>
      <c r="N7472" s="17" t="s">
        <v>74</v>
      </c>
      <c r="U7472" s="17"/>
      <c r="V7472" s="18">
        <f>628170031958</f>
        <v>628170031958</v>
      </c>
      <c r="W7472" t="s">
        <v>20912</v>
      </c>
    </row>
    <row r="7473" ht="15" customHeight="1" spans="1:22" x14ac:dyDescent="0.25">
      <c r="A7473" s="17" t="s">
        <v>20913</v>
      </c>
      <c r="B7473" s="17" t="s">
        <v>70</v>
      </c>
      <c r="C7473" s="17" t="s">
        <v>71</v>
      </c>
      <c r="D7473" t="s">
        <v>10889</v>
      </c>
      <c r="F7473" t="s">
        <v>282</v>
      </c>
      <c r="K7473" s="18">
        <f>6281215311111</f>
        <v>6281215311111</v>
      </c>
      <c r="N7473" s="17" t="s">
        <v>77</v>
      </c>
      <c r="V7473" s="18">
        <f>6281215311111</f>
        <v>6281215311111</v>
      </c>
    </row>
    <row r="7474" ht="15" customHeight="1" spans="1:22" x14ac:dyDescent="0.25">
      <c r="A7474" s="17" t="s">
        <v>20914</v>
      </c>
      <c r="B7474" s="17" t="s">
        <v>70</v>
      </c>
      <c r="C7474" s="17" t="s">
        <v>71</v>
      </c>
      <c r="D7474" t="s">
        <v>10889</v>
      </c>
      <c r="F7474" t="s">
        <v>20915</v>
      </c>
      <c r="K7474" s="18">
        <f>62816859196</f>
        <v>62816859196</v>
      </c>
      <c r="N7474" s="17" t="s">
        <v>77</v>
      </c>
      <c r="V7474" s="18">
        <f>62816859196</f>
        <v>62816859196</v>
      </c>
    </row>
    <row r="7475" ht="15" customHeight="1" spans="1:25" x14ac:dyDescent="0.25">
      <c r="A7475" s="17" t="s">
        <v>20916</v>
      </c>
      <c r="B7475" s="17" t="s">
        <v>70</v>
      </c>
      <c r="C7475" s="17" t="s">
        <v>71</v>
      </c>
      <c r="D7475" t="s">
        <v>10889</v>
      </c>
      <c r="F7475" t="s">
        <v>20917</v>
      </c>
      <c r="J7475" s="17" t="s">
        <v>20918</v>
      </c>
      <c r="K7475" s="18">
        <f>6287875754888</f>
        <v>6287875754888</v>
      </c>
      <c r="N7475" s="17" t="s">
        <v>77</v>
      </c>
      <c r="U7475" s="17"/>
      <c r="V7475" s="18">
        <f>6287875754888</f>
        <v>6287875754888</v>
      </c>
      <c r="W7475" t="s">
        <v>20919</v>
      </c>
      <c r="Y7475" s="17" t="s">
        <v>626</v>
      </c>
    </row>
    <row r="7476" ht="15" customHeight="1" spans="1:25" x14ac:dyDescent="0.25">
      <c r="A7476" s="17" t="s">
        <v>20920</v>
      </c>
      <c r="B7476" s="17" t="s">
        <v>70</v>
      </c>
      <c r="C7476" s="17" t="s">
        <v>71</v>
      </c>
      <c r="D7476" t="s">
        <v>10889</v>
      </c>
      <c r="F7476" t="s">
        <v>20921</v>
      </c>
      <c r="J7476" s="17" t="s">
        <v>20922</v>
      </c>
      <c r="K7476" s="18">
        <f>628116515152</f>
        <v>628116515152</v>
      </c>
      <c r="N7476" s="17" t="s">
        <v>77</v>
      </c>
      <c r="U7476" s="17"/>
      <c r="V7476" s="18">
        <f>628116515152</f>
        <v>628116515152</v>
      </c>
      <c r="W7476" t="s">
        <v>20923</v>
      </c>
      <c r="Y7476" s="17" t="s">
        <v>1157</v>
      </c>
    </row>
    <row r="7477" ht="15" customHeight="1" spans="1:22" x14ac:dyDescent="0.25">
      <c r="A7477" s="17" t="s">
        <v>20924</v>
      </c>
      <c r="B7477" s="17" t="s">
        <v>70</v>
      </c>
      <c r="C7477" s="17" t="s">
        <v>71</v>
      </c>
      <c r="D7477" t="s">
        <v>10889</v>
      </c>
      <c r="F7477" t="s">
        <v>20925</v>
      </c>
      <c r="K7477" s="18">
        <f>62818174953</f>
        <v>62818174953</v>
      </c>
      <c r="N7477" s="17" t="s">
        <v>77</v>
      </c>
      <c r="V7477" s="18">
        <f>62818174953</f>
        <v>62818174953</v>
      </c>
    </row>
    <row r="7478" ht="15" customHeight="1" spans="1:25" x14ac:dyDescent="0.25">
      <c r="A7478" s="17" t="s">
        <v>20926</v>
      </c>
      <c r="B7478" s="17" t="s">
        <v>70</v>
      </c>
      <c r="C7478" s="17" t="s">
        <v>71</v>
      </c>
      <c r="D7478" t="s">
        <v>10889</v>
      </c>
      <c r="F7478" t="s">
        <v>20927</v>
      </c>
      <c r="K7478" s="18">
        <f>62818837782</f>
        <v>62818837782</v>
      </c>
      <c r="N7478" s="17" t="s">
        <v>77</v>
      </c>
      <c r="U7478" s="17"/>
      <c r="V7478" s="18">
        <f>62818837782</f>
        <v>62818837782</v>
      </c>
      <c r="W7478" t="s">
        <v>20928</v>
      </c>
      <c r="Y7478" s="17" t="s">
        <v>90</v>
      </c>
    </row>
    <row r="7479" ht="15" customHeight="1" spans="1:22" x14ac:dyDescent="0.25">
      <c r="A7479" s="17" t="s">
        <v>20929</v>
      </c>
      <c r="B7479" s="17" t="s">
        <v>70</v>
      </c>
      <c r="C7479" s="17" t="s">
        <v>71</v>
      </c>
      <c r="D7479" t="s">
        <v>10889</v>
      </c>
      <c r="F7479" t="s">
        <v>672</v>
      </c>
      <c r="K7479" s="18">
        <f>6281213904575</f>
        <v>6281213904575</v>
      </c>
      <c r="N7479" s="17" t="s">
        <v>77</v>
      </c>
      <c r="V7479" s="18">
        <f>6281213904575</f>
        <v>6281213904575</v>
      </c>
    </row>
    <row r="7480" ht="15" customHeight="1" spans="1:22" x14ac:dyDescent="0.25">
      <c r="A7480" s="17" t="s">
        <v>20930</v>
      </c>
      <c r="B7480" s="17" t="s">
        <v>70</v>
      </c>
      <c r="C7480" s="17" t="s">
        <v>71</v>
      </c>
      <c r="D7480" t="s">
        <v>20931</v>
      </c>
      <c r="F7480" t="s">
        <v>20931</v>
      </c>
      <c r="K7480" s="18">
        <f>628128156877</f>
        <v>628128156877</v>
      </c>
      <c r="N7480" s="17" t="s">
        <v>81</v>
      </c>
      <c r="V7480" s="18">
        <f>628128156877</f>
        <v>628128156877</v>
      </c>
    </row>
    <row r="7481" ht="15" customHeight="1" spans="1:28" x14ac:dyDescent="0.25">
      <c r="A7481" s="17" t="s">
        <v>20932</v>
      </c>
      <c r="B7481" s="17" t="s">
        <v>70</v>
      </c>
      <c r="C7481" s="17" t="s">
        <v>71</v>
      </c>
      <c r="D7481" t="s">
        <v>20933</v>
      </c>
      <c r="F7481" t="s">
        <v>20934</v>
      </c>
      <c r="J7481" t="s">
        <v>115</v>
      </c>
      <c r="K7481" s="18" t="s">
        <v>20935</v>
      </c>
      <c r="N7481" s="17" t="s">
        <v>77</v>
      </c>
      <c r="O7481" t="s">
        <v>117</v>
      </c>
      <c r="V7481" s="18" t="s">
        <v>20935</v>
      </c>
      <c r="Y7481" t="s">
        <v>190</v>
      </c>
      <c r="AA7481" t="s">
        <v>118</v>
      </c>
      <c r="AB7481" t="s">
        <v>119</v>
      </c>
    </row>
    <row r="7482" ht="15" customHeight="1" spans="1:22" x14ac:dyDescent="0.25">
      <c r="A7482" s="17" t="s">
        <v>20936</v>
      </c>
      <c r="B7482" s="17" t="s">
        <v>70</v>
      </c>
      <c r="C7482" s="17" t="s">
        <v>71</v>
      </c>
      <c r="D7482" t="s">
        <v>20937</v>
      </c>
      <c r="F7482" t="s">
        <v>20937</v>
      </c>
      <c r="K7482" s="18">
        <f>628161951888</f>
        <v>628161951888</v>
      </c>
      <c r="N7482" s="17" t="s">
        <v>81</v>
      </c>
      <c r="V7482" s="18">
        <f>628161951888</f>
        <v>628161951888</v>
      </c>
    </row>
    <row r="7483" ht="15" customHeight="1" spans="1:22" x14ac:dyDescent="0.25">
      <c r="A7483" s="17" t="s">
        <v>20938</v>
      </c>
      <c r="B7483" s="17" t="s">
        <v>70</v>
      </c>
      <c r="C7483" s="17" t="s">
        <v>71</v>
      </c>
      <c r="D7483" t="s">
        <v>20937</v>
      </c>
      <c r="F7483" t="s">
        <v>20937</v>
      </c>
      <c r="K7483" s="18">
        <v>639954682066</v>
      </c>
      <c r="N7483" s="17" t="s">
        <v>77</v>
      </c>
      <c r="V7483" s="18">
        <v>639954682066</v>
      </c>
    </row>
    <row r="7484" ht="15" customHeight="1" spans="1:22" x14ac:dyDescent="0.25">
      <c r="A7484" s="17" t="s">
        <v>20939</v>
      </c>
      <c r="B7484" s="17" t="s">
        <v>70</v>
      </c>
      <c r="C7484" s="17" t="s">
        <v>71</v>
      </c>
      <c r="D7484" t="s">
        <v>20937</v>
      </c>
      <c r="F7484" t="s">
        <v>3869</v>
      </c>
      <c r="K7484" s="18">
        <f>6281219325942</f>
        <v>6281219325942</v>
      </c>
      <c r="N7484" s="17" t="s">
        <v>81</v>
      </c>
      <c r="V7484" s="18">
        <f>6281219325942</f>
        <v>6281219325942</v>
      </c>
    </row>
    <row r="7485" ht="15" customHeight="1" spans="1:22" x14ac:dyDescent="0.25">
      <c r="A7485" s="17" t="s">
        <v>20940</v>
      </c>
      <c r="B7485" s="17" t="s">
        <v>70</v>
      </c>
      <c r="C7485" s="17" t="s">
        <v>71</v>
      </c>
      <c r="D7485" t="s">
        <v>20937</v>
      </c>
      <c r="F7485" t="s">
        <v>7944</v>
      </c>
      <c r="K7485" s="18">
        <f>6282138880888</f>
        <v>6282138880888</v>
      </c>
      <c r="N7485" s="17" t="s">
        <v>74</v>
      </c>
      <c r="V7485" s="18">
        <f>6282138880888</f>
        <v>6282138880888</v>
      </c>
    </row>
    <row r="7486" ht="15" customHeight="1" spans="1:28" x14ac:dyDescent="0.25">
      <c r="A7486" s="17" t="s">
        <v>20941</v>
      </c>
      <c r="B7486" s="17" t="s">
        <v>70</v>
      </c>
      <c r="C7486" s="17" t="s">
        <v>71</v>
      </c>
      <c r="D7486" t="s">
        <v>20937</v>
      </c>
      <c r="F7486" t="s">
        <v>20942</v>
      </c>
      <c r="J7486" t="s">
        <v>115</v>
      </c>
      <c r="K7486" s="18" t="s">
        <v>20943</v>
      </c>
      <c r="N7486" s="17" t="s">
        <v>74</v>
      </c>
      <c r="O7486" t="s">
        <v>199</v>
      </c>
      <c r="V7486" s="18" t="s">
        <v>20943</v>
      </c>
      <c r="Y7486" t="s">
        <v>90</v>
      </c>
      <c r="AA7486" t="s">
        <v>118</v>
      </c>
      <c r="AB7486" t="s">
        <v>119</v>
      </c>
    </row>
    <row r="7487" ht="15" customHeight="1" spans="1:22" x14ac:dyDescent="0.25">
      <c r="A7487" s="17" t="s">
        <v>20944</v>
      </c>
      <c r="B7487" s="17" t="s">
        <v>70</v>
      </c>
      <c r="C7487" s="17" t="s">
        <v>71</v>
      </c>
      <c r="D7487" t="s">
        <v>20937</v>
      </c>
      <c r="F7487" t="s">
        <v>20945</v>
      </c>
      <c r="K7487" s="18">
        <f>62811177787</f>
        <v>62811177787</v>
      </c>
      <c r="N7487" s="17" t="s">
        <v>77</v>
      </c>
      <c r="V7487" s="18">
        <f>62811177787</f>
        <v>62811177787</v>
      </c>
    </row>
    <row r="7488" ht="15" customHeight="1" spans="1:22" x14ac:dyDescent="0.25">
      <c r="A7488" s="17" t="s">
        <v>20946</v>
      </c>
      <c r="B7488" s="17" t="s">
        <v>70</v>
      </c>
      <c r="C7488" s="17" t="s">
        <v>71</v>
      </c>
      <c r="D7488" t="s">
        <v>20937</v>
      </c>
      <c r="F7488" t="s">
        <v>20947</v>
      </c>
      <c r="K7488" s="18">
        <f>62811873518</f>
        <v>62811873518</v>
      </c>
      <c r="N7488" s="17" t="s">
        <v>77</v>
      </c>
      <c r="V7488" s="18">
        <f>62811873518</f>
        <v>62811873518</v>
      </c>
    </row>
    <row r="7489" ht="15" customHeight="1" spans="1:28" x14ac:dyDescent="0.25">
      <c r="A7489" s="17" t="s">
        <v>20948</v>
      </c>
      <c r="B7489" s="17" t="s">
        <v>70</v>
      </c>
      <c r="C7489" s="17" t="s">
        <v>71</v>
      </c>
      <c r="D7489" t="s">
        <v>20949</v>
      </c>
      <c r="F7489" t="s">
        <v>20950</v>
      </c>
      <c r="J7489" t="s">
        <v>115</v>
      </c>
      <c r="K7489" s="18" t="s">
        <v>20951</v>
      </c>
      <c r="N7489" s="17" t="s">
        <v>77</v>
      </c>
      <c r="O7489" t="s">
        <v>117</v>
      </c>
      <c r="V7489" s="18" t="s">
        <v>20951</v>
      </c>
      <c r="Y7489" t="s">
        <v>90</v>
      </c>
      <c r="AA7489" t="s">
        <v>118</v>
      </c>
      <c r="AB7489" t="s">
        <v>119</v>
      </c>
    </row>
    <row r="7490" ht="15" customHeight="1" spans="1:22" x14ac:dyDescent="0.25">
      <c r="A7490" s="17" t="s">
        <v>20952</v>
      </c>
      <c r="B7490" s="17" t="s">
        <v>70</v>
      </c>
      <c r="C7490" s="17" t="s">
        <v>71</v>
      </c>
      <c r="D7490" t="s">
        <v>20937</v>
      </c>
      <c r="F7490" t="s">
        <v>20953</v>
      </c>
      <c r="J7490" s="17" t="s">
        <v>20954</v>
      </c>
      <c r="K7490" s="18">
        <f>6282122911956</f>
        <v>6282122911956</v>
      </c>
      <c r="N7490" s="17" t="s">
        <v>81</v>
      </c>
      <c r="V7490" s="18">
        <f>6282122911956</f>
        <v>6282122911956</v>
      </c>
    </row>
    <row r="7491" ht="15" customHeight="1" spans="1:22" x14ac:dyDescent="0.25">
      <c r="A7491" s="17" t="s">
        <v>20955</v>
      </c>
      <c r="B7491" s="17" t="s">
        <v>70</v>
      </c>
      <c r="C7491" s="17" t="s">
        <v>71</v>
      </c>
      <c r="D7491" t="s">
        <v>20937</v>
      </c>
      <c r="F7491" t="s">
        <v>20956</v>
      </c>
      <c r="K7491" s="18">
        <f>6285721223901</f>
        <v>6285721223901</v>
      </c>
      <c r="N7491" s="17" t="s">
        <v>81</v>
      </c>
      <c r="V7491" s="18">
        <f>6285721223901</f>
        <v>6285721223901</v>
      </c>
    </row>
    <row r="7492" ht="15" customHeight="1" spans="1:22" x14ac:dyDescent="0.25">
      <c r="A7492" s="17" t="s">
        <v>20957</v>
      </c>
      <c r="B7492" s="17" t="s">
        <v>70</v>
      </c>
      <c r="C7492" s="17" t="s">
        <v>71</v>
      </c>
      <c r="D7492" t="s">
        <v>20937</v>
      </c>
      <c r="F7492" t="s">
        <v>20958</v>
      </c>
      <c r="K7492" s="18">
        <f>628115808169</f>
        <v>628115808169</v>
      </c>
      <c r="N7492" s="17" t="s">
        <v>77</v>
      </c>
      <c r="V7492" s="18">
        <f>628115808169</f>
        <v>628115808169</v>
      </c>
    </row>
    <row r="7493" ht="15" customHeight="1" spans="1:27" x14ac:dyDescent="0.25">
      <c r="A7493" s="17" t="s">
        <v>20959</v>
      </c>
      <c r="B7493" s="17" t="s">
        <v>70</v>
      </c>
      <c r="C7493" s="17" t="s">
        <v>71</v>
      </c>
      <c r="D7493" t="s">
        <v>20960</v>
      </c>
      <c r="F7493" t="s">
        <v>5663</v>
      </c>
      <c r="J7493" s="17" t="s">
        <v>20961</v>
      </c>
      <c r="K7493" s="18">
        <f>6282236640076</f>
        <v>6282236640076</v>
      </c>
      <c r="N7493" s="17" t="s">
        <v>77</v>
      </c>
      <c r="U7493" s="17"/>
      <c r="V7493" s="18">
        <f>6282236640076</f>
        <v>6282236640076</v>
      </c>
      <c r="W7493" t="s">
        <v>20962</v>
      </c>
      <c r="Y7493" s="17" t="s">
        <v>180</v>
      </c>
      <c r="AA7493" s="17">
        <v>80228</v>
      </c>
    </row>
    <row r="7494" ht="15" customHeight="1" spans="1:27" x14ac:dyDescent="0.25">
      <c r="A7494" s="17" t="s">
        <v>20963</v>
      </c>
      <c r="B7494" s="17" t="s">
        <v>70</v>
      </c>
      <c r="C7494" s="17" t="s">
        <v>71</v>
      </c>
      <c r="D7494" t="s">
        <v>20949</v>
      </c>
      <c r="F7494" t="s">
        <v>170</v>
      </c>
      <c r="K7494" s="18">
        <v>31923228</v>
      </c>
      <c r="N7494" s="17" t="s">
        <v>77</v>
      </c>
      <c r="U7494" s="17"/>
      <c r="V7494" s="18">
        <v>31923228</v>
      </c>
      <c r="W7494" t="s">
        <v>20964</v>
      </c>
      <c r="Y7494" s="17" t="s">
        <v>378</v>
      </c>
      <c r="AA7494" s="17" t="s">
        <v>20965</v>
      </c>
    </row>
    <row r="7495" ht="15" customHeight="1" spans="1:23" x14ac:dyDescent="0.25">
      <c r="A7495" s="17" t="s">
        <v>20966</v>
      </c>
      <c r="B7495" s="17" t="s">
        <v>70</v>
      </c>
      <c r="C7495" s="17" t="s">
        <v>71</v>
      </c>
      <c r="D7495" t="s">
        <v>20949</v>
      </c>
      <c r="F7495" t="s">
        <v>10615</v>
      </c>
      <c r="K7495" s="18">
        <f>62811654600</f>
        <v>62811654600</v>
      </c>
      <c r="N7495" s="17" t="s">
        <v>77</v>
      </c>
      <c r="U7495" s="17"/>
      <c r="V7495" s="18">
        <f>62811654600</f>
        <v>62811654600</v>
      </c>
      <c r="W7495" t="s">
        <v>20967</v>
      </c>
    </row>
    <row r="7496" ht="15" customHeight="1" spans="1:22" x14ac:dyDescent="0.25">
      <c r="A7496" s="17" t="s">
        <v>20968</v>
      </c>
      <c r="B7496" s="17" t="s">
        <v>70</v>
      </c>
      <c r="C7496" s="17" t="s">
        <v>71</v>
      </c>
      <c r="D7496" t="s">
        <v>20949</v>
      </c>
      <c r="F7496" t="s">
        <v>20942</v>
      </c>
      <c r="K7496" s="18">
        <f>628114790069</f>
        <v>628114790069</v>
      </c>
      <c r="N7496" s="17" t="s">
        <v>81</v>
      </c>
      <c r="V7496" s="18">
        <f>628114790069</f>
        <v>628114790069</v>
      </c>
    </row>
    <row r="7497" ht="15" customHeight="1" spans="1:22" x14ac:dyDescent="0.25">
      <c r="A7497" s="17" t="s">
        <v>20969</v>
      </c>
      <c r="B7497" s="17" t="s">
        <v>70</v>
      </c>
      <c r="C7497" s="17" t="s">
        <v>71</v>
      </c>
      <c r="D7497" t="s">
        <v>20949</v>
      </c>
      <c r="F7497" t="s">
        <v>20970</v>
      </c>
      <c r="K7497" s="18">
        <f>628118882831</f>
        <v>628118882831</v>
      </c>
      <c r="N7497" s="17" t="s">
        <v>81</v>
      </c>
      <c r="V7497" s="18">
        <f>628118882831</f>
        <v>628118882831</v>
      </c>
    </row>
    <row r="7498" ht="15" customHeight="1" spans="1:22" x14ac:dyDescent="0.25">
      <c r="A7498" s="17" t="s">
        <v>20971</v>
      </c>
      <c r="B7498" s="17" t="s">
        <v>70</v>
      </c>
      <c r="C7498" s="17" t="s">
        <v>71</v>
      </c>
      <c r="D7498" t="s">
        <v>20949</v>
      </c>
      <c r="F7498" t="s">
        <v>20972</v>
      </c>
      <c r="K7498" s="18">
        <f>628161802089</f>
        <v>628161802089</v>
      </c>
      <c r="N7498" s="17" t="s">
        <v>77</v>
      </c>
      <c r="V7498" s="18">
        <f>628161802089</f>
        <v>628161802089</v>
      </c>
    </row>
    <row r="7499" ht="15" customHeight="1" spans="1:27" x14ac:dyDescent="0.25">
      <c r="A7499" s="17" t="s">
        <v>20973</v>
      </c>
      <c r="B7499" s="17" t="s">
        <v>70</v>
      </c>
      <c r="C7499" s="17" t="s">
        <v>71</v>
      </c>
      <c r="D7499" t="s">
        <v>20949</v>
      </c>
      <c r="F7499" t="s">
        <v>20232</v>
      </c>
      <c r="J7499" s="17" t="s">
        <v>20974</v>
      </c>
      <c r="K7499" s="18">
        <f>62811926198</f>
        <v>62811926198</v>
      </c>
      <c r="N7499" s="17" t="s">
        <v>77</v>
      </c>
      <c r="U7499" s="17"/>
      <c r="V7499" s="18">
        <f>62811926198</f>
        <v>62811926198</v>
      </c>
      <c r="W7499" t="s">
        <v>20975</v>
      </c>
      <c r="Y7499" s="17" t="s">
        <v>626</v>
      </c>
      <c r="AA7499" s="17">
        <v>11460</v>
      </c>
    </row>
    <row r="7500" ht="15" customHeight="1" spans="1:22" x14ac:dyDescent="0.25">
      <c r="A7500" s="17" t="s">
        <v>20976</v>
      </c>
      <c r="B7500" s="17" t="s">
        <v>70</v>
      </c>
      <c r="C7500" s="17" t="s">
        <v>71</v>
      </c>
      <c r="D7500" t="s">
        <v>20977</v>
      </c>
      <c r="F7500" t="s">
        <v>20977</v>
      </c>
      <c r="K7500" s="18">
        <f>6281394179688</f>
        <v>6281394179688</v>
      </c>
      <c r="N7500" s="17" t="s">
        <v>77</v>
      </c>
      <c r="V7500" s="18">
        <f>6281394179688</f>
        <v>6281394179688</v>
      </c>
    </row>
    <row r="7501" ht="15" customHeight="1" spans="1:22" x14ac:dyDescent="0.25">
      <c r="A7501" s="17" t="s">
        <v>20978</v>
      </c>
      <c r="B7501" s="17" t="s">
        <v>70</v>
      </c>
      <c r="C7501" s="17" t="s">
        <v>71</v>
      </c>
      <c r="D7501" t="s">
        <v>20977</v>
      </c>
      <c r="F7501" t="s">
        <v>20979</v>
      </c>
      <c r="K7501" s="18">
        <f>62811976678</f>
        <v>62811976678</v>
      </c>
      <c r="N7501" s="17" t="s">
        <v>77</v>
      </c>
      <c r="V7501" s="18">
        <f>62811976678</f>
        <v>62811976678</v>
      </c>
    </row>
    <row r="7502" ht="15" customHeight="1" spans="1:22" x14ac:dyDescent="0.25">
      <c r="A7502" s="17" t="s">
        <v>20980</v>
      </c>
      <c r="B7502" s="17" t="s">
        <v>70</v>
      </c>
      <c r="C7502" s="17" t="s">
        <v>71</v>
      </c>
      <c r="D7502" t="s">
        <v>20981</v>
      </c>
      <c r="F7502" t="s">
        <v>20981</v>
      </c>
      <c r="K7502" s="18">
        <f>62818924947</f>
        <v>62818924947</v>
      </c>
      <c r="N7502" s="17" t="s">
        <v>81</v>
      </c>
      <c r="V7502" s="18">
        <f>62818924947</f>
        <v>62818924947</v>
      </c>
    </row>
    <row r="7503" ht="15" customHeight="1" spans="1:28" x14ac:dyDescent="0.25">
      <c r="A7503" s="17" t="s">
        <v>20982</v>
      </c>
      <c r="B7503" s="17" t="s">
        <v>70</v>
      </c>
      <c r="C7503" s="17" t="s">
        <v>71</v>
      </c>
      <c r="D7503" t="s">
        <v>20981</v>
      </c>
      <c r="F7503" t="s">
        <v>1630</v>
      </c>
      <c r="J7503" t="s">
        <v>115</v>
      </c>
      <c r="K7503" s="18" t="s">
        <v>20983</v>
      </c>
      <c r="N7503" s="17" t="s">
        <v>77</v>
      </c>
      <c r="O7503" t="s">
        <v>199</v>
      </c>
      <c r="V7503" s="18" t="s">
        <v>20983</v>
      </c>
      <c r="Y7503" t="s">
        <v>90</v>
      </c>
      <c r="AA7503" t="s">
        <v>118</v>
      </c>
      <c r="AB7503" t="s">
        <v>119</v>
      </c>
    </row>
    <row r="7504" ht="15" customHeight="1" spans="1:22" x14ac:dyDescent="0.25">
      <c r="A7504" s="17" t="s">
        <v>20984</v>
      </c>
      <c r="B7504" s="17" t="s">
        <v>70</v>
      </c>
      <c r="C7504" s="17" t="s">
        <v>71</v>
      </c>
      <c r="D7504" t="s">
        <v>20985</v>
      </c>
      <c r="F7504" t="s">
        <v>20986</v>
      </c>
      <c r="K7504" s="18">
        <f>628111014701</f>
        <v>628111014701</v>
      </c>
      <c r="N7504" s="17" t="s">
        <v>81</v>
      </c>
      <c r="V7504" s="18">
        <f>628111014701</f>
        <v>628111014701</v>
      </c>
    </row>
    <row r="7505" ht="15" customHeight="1" spans="1:27" x14ac:dyDescent="0.25">
      <c r="A7505" s="17" t="s">
        <v>20987</v>
      </c>
      <c r="B7505" s="17" t="s">
        <v>70</v>
      </c>
      <c r="C7505" s="17" t="s">
        <v>71</v>
      </c>
      <c r="D7505" t="s">
        <v>20988</v>
      </c>
      <c r="F7505" t="s">
        <v>1608</v>
      </c>
      <c r="K7505" s="18">
        <f>628128888293</f>
        <v>628128888293</v>
      </c>
      <c r="N7505" s="17" t="s">
        <v>74</v>
      </c>
      <c r="U7505" s="17"/>
      <c r="V7505" s="18">
        <f>628128888293</f>
        <v>628128888293</v>
      </c>
      <c r="W7505" t="s">
        <v>20989</v>
      </c>
      <c r="Y7505" s="17" t="s">
        <v>626</v>
      </c>
      <c r="AA7505" s="17" t="s">
        <v>20990</v>
      </c>
    </row>
    <row r="7506" ht="15" customHeight="1" spans="1:27" x14ac:dyDescent="0.25">
      <c r="A7506" s="17" t="s">
        <v>20991</v>
      </c>
      <c r="B7506" s="17" t="s">
        <v>70</v>
      </c>
      <c r="C7506" s="17" t="s">
        <v>71</v>
      </c>
      <c r="D7506" t="s">
        <v>20988</v>
      </c>
      <c r="F7506" t="s">
        <v>669</v>
      </c>
      <c r="K7506" s="18">
        <f>62819836165</f>
        <v>62819836165</v>
      </c>
      <c r="N7506" s="17" t="s">
        <v>77</v>
      </c>
      <c r="U7506" s="17"/>
      <c r="V7506" s="18">
        <f>62819836165</f>
        <v>62819836165</v>
      </c>
      <c r="W7506" t="s">
        <v>20992</v>
      </c>
      <c r="Y7506" s="17" t="s">
        <v>6412</v>
      </c>
      <c r="AA7506" s="17">
        <v>14440</v>
      </c>
    </row>
    <row r="7507" ht="15" customHeight="1" spans="1:28" x14ac:dyDescent="0.25">
      <c r="A7507" s="17" t="s">
        <v>20993</v>
      </c>
      <c r="B7507" s="17" t="s">
        <v>70</v>
      </c>
      <c r="C7507" s="17" t="s">
        <v>71</v>
      </c>
      <c r="D7507" t="s">
        <v>20988</v>
      </c>
      <c r="F7507" t="s">
        <v>4513</v>
      </c>
      <c r="J7507" t="s">
        <v>115</v>
      </c>
      <c r="K7507" s="18" t="s">
        <v>20994</v>
      </c>
      <c r="N7507" s="17" t="s">
        <v>77</v>
      </c>
      <c r="O7507" t="s">
        <v>199</v>
      </c>
      <c r="V7507" s="18" t="s">
        <v>20994</v>
      </c>
      <c r="Y7507" t="s">
        <v>1247</v>
      </c>
      <c r="AA7507" t="s">
        <v>115</v>
      </c>
      <c r="AB7507" t="s">
        <v>119</v>
      </c>
    </row>
    <row r="7508" ht="15" customHeight="1" spans="1:28" x14ac:dyDescent="0.25">
      <c r="A7508" s="17" t="s">
        <v>20995</v>
      </c>
      <c r="B7508" s="17" t="s">
        <v>70</v>
      </c>
      <c r="C7508" s="17" t="s">
        <v>71</v>
      </c>
      <c r="D7508" t="s">
        <v>20996</v>
      </c>
      <c r="F7508" t="s">
        <v>2905</v>
      </c>
      <c r="J7508" t="s">
        <v>115</v>
      </c>
      <c r="K7508" s="18" t="s">
        <v>20997</v>
      </c>
      <c r="N7508" s="17" t="s">
        <v>77</v>
      </c>
      <c r="O7508" t="s">
        <v>117</v>
      </c>
      <c r="V7508" s="18" t="s">
        <v>20997</v>
      </c>
      <c r="Y7508" t="s">
        <v>190</v>
      </c>
      <c r="AA7508" t="s">
        <v>118</v>
      </c>
      <c r="AB7508" t="s">
        <v>119</v>
      </c>
    </row>
    <row r="7509" ht="15" customHeight="1" spans="1:22" x14ac:dyDescent="0.25">
      <c r="A7509" s="17" t="s">
        <v>20998</v>
      </c>
      <c r="B7509" s="17" t="s">
        <v>70</v>
      </c>
      <c r="C7509" s="17" t="s">
        <v>71</v>
      </c>
      <c r="D7509" t="s">
        <v>20999</v>
      </c>
      <c r="F7509" t="s">
        <v>20999</v>
      </c>
      <c r="K7509" s="18">
        <f>6281310896998</f>
        <v>6281310896998</v>
      </c>
      <c r="N7509" s="17" t="s">
        <v>77</v>
      </c>
      <c r="V7509" s="18">
        <f>6281310896998</f>
        <v>6281310896998</v>
      </c>
    </row>
    <row r="7510" ht="15" customHeight="1" spans="1:22" x14ac:dyDescent="0.25">
      <c r="A7510" s="17" t="s">
        <v>21000</v>
      </c>
      <c r="B7510" s="17" t="s">
        <v>70</v>
      </c>
      <c r="C7510" s="17" t="s">
        <v>71</v>
      </c>
      <c r="D7510" t="s">
        <v>20999</v>
      </c>
      <c r="F7510" t="s">
        <v>20999</v>
      </c>
      <c r="K7510" s="18">
        <f>6281210010522</f>
        <v>6281210010522</v>
      </c>
      <c r="N7510" s="17" t="s">
        <v>81</v>
      </c>
      <c r="V7510" s="18">
        <f>6281210010522</f>
        <v>6281210010522</v>
      </c>
    </row>
    <row r="7511" ht="15" customHeight="1" spans="1:22" x14ac:dyDescent="0.25">
      <c r="A7511" s="17" t="s">
        <v>21001</v>
      </c>
      <c r="B7511" s="17" t="s">
        <v>70</v>
      </c>
      <c r="C7511" s="17" t="s">
        <v>71</v>
      </c>
      <c r="D7511" t="s">
        <v>20999</v>
      </c>
      <c r="F7511" t="s">
        <v>1086</v>
      </c>
      <c r="K7511" s="18">
        <f>6281333888670</f>
        <v>6281333888670</v>
      </c>
      <c r="N7511" s="17" t="s">
        <v>81</v>
      </c>
      <c r="V7511" s="18">
        <f>6281333888670</f>
        <v>6281333888670</v>
      </c>
    </row>
    <row r="7512" ht="15" customHeight="1" spans="1:25" x14ac:dyDescent="0.25">
      <c r="A7512" s="17" t="s">
        <v>21002</v>
      </c>
      <c r="B7512" s="17" t="s">
        <v>70</v>
      </c>
      <c r="C7512" s="17" t="s">
        <v>71</v>
      </c>
      <c r="D7512" t="s">
        <v>20999</v>
      </c>
      <c r="F7512" t="s">
        <v>21003</v>
      </c>
      <c r="K7512" s="18">
        <f>628118130046</f>
        <v>628118130046</v>
      </c>
      <c r="N7512" s="17" t="s">
        <v>77</v>
      </c>
      <c r="V7512" s="18">
        <f>628118130046</f>
        <v>628118130046</v>
      </c>
      <c r="Y7512" s="17" t="s">
        <v>5642</v>
      </c>
    </row>
    <row r="7513" ht="15" customHeight="1" spans="1:22" x14ac:dyDescent="0.25">
      <c r="A7513" s="17" t="s">
        <v>21004</v>
      </c>
      <c r="B7513" s="17" t="s">
        <v>70</v>
      </c>
      <c r="C7513" s="17" t="s">
        <v>71</v>
      </c>
      <c r="D7513" t="s">
        <v>20999</v>
      </c>
      <c r="F7513" t="s">
        <v>13843</v>
      </c>
      <c r="K7513" s="18">
        <f>6281330408000</f>
        <v>6281330408000</v>
      </c>
      <c r="N7513" s="17" t="s">
        <v>74</v>
      </c>
      <c r="V7513" s="18">
        <f>6281330408000</f>
        <v>6281330408000</v>
      </c>
    </row>
    <row r="7514" ht="15" customHeight="1" spans="1:28" x14ac:dyDescent="0.25">
      <c r="A7514" s="17" t="s">
        <v>21005</v>
      </c>
      <c r="B7514" s="17" t="s">
        <v>70</v>
      </c>
      <c r="C7514" s="17" t="s">
        <v>71</v>
      </c>
      <c r="D7514" t="s">
        <v>20809</v>
      </c>
      <c r="F7514" t="s">
        <v>21006</v>
      </c>
      <c r="J7514" t="s">
        <v>115</v>
      </c>
      <c r="K7514" s="18" t="s">
        <v>21007</v>
      </c>
      <c r="N7514" s="17" t="s">
        <v>77</v>
      </c>
      <c r="O7514" t="s">
        <v>117</v>
      </c>
      <c r="V7514" s="18" t="s">
        <v>21007</v>
      </c>
      <c r="Y7514" t="s">
        <v>90</v>
      </c>
      <c r="AA7514" t="s">
        <v>118</v>
      </c>
      <c r="AB7514" t="s">
        <v>119</v>
      </c>
    </row>
    <row r="7515" ht="15" customHeight="1" spans="1:22" x14ac:dyDescent="0.25">
      <c r="A7515" s="17" t="s">
        <v>21008</v>
      </c>
      <c r="B7515" s="17" t="s">
        <v>70</v>
      </c>
      <c r="C7515" s="17" t="s">
        <v>71</v>
      </c>
      <c r="D7515" t="s">
        <v>21009</v>
      </c>
      <c r="F7515" t="s">
        <v>21009</v>
      </c>
      <c r="K7515" s="18">
        <f>6281311329105</f>
        <v>6281311329105</v>
      </c>
      <c r="N7515" s="17" t="s">
        <v>81</v>
      </c>
      <c r="V7515" s="18">
        <f>6281311329105</f>
        <v>6281311329105</v>
      </c>
    </row>
    <row r="7516" ht="15" customHeight="1" spans="1:22" x14ac:dyDescent="0.25">
      <c r="A7516" s="17" t="s">
        <v>21010</v>
      </c>
      <c r="B7516" s="17" t="s">
        <v>70</v>
      </c>
      <c r="C7516" s="17" t="s">
        <v>71</v>
      </c>
      <c r="D7516" t="s">
        <v>21011</v>
      </c>
      <c r="F7516" t="s">
        <v>4213</v>
      </c>
      <c r="K7516" s="18">
        <f>62816842978</f>
        <v>62816842978</v>
      </c>
      <c r="N7516" s="17" t="s">
        <v>77</v>
      </c>
      <c r="V7516" s="18">
        <f>62816842978</f>
        <v>62816842978</v>
      </c>
    </row>
    <row r="7517" ht="15" customHeight="1" spans="1:28" x14ac:dyDescent="0.25">
      <c r="A7517" s="17" t="s">
        <v>21012</v>
      </c>
      <c r="B7517" s="17" t="s">
        <v>70</v>
      </c>
      <c r="C7517" s="17" t="s">
        <v>71</v>
      </c>
      <c r="D7517" t="s">
        <v>21013</v>
      </c>
      <c r="F7517" t="s">
        <v>21014</v>
      </c>
      <c r="J7517" t="s">
        <v>115</v>
      </c>
      <c r="K7517" s="18" t="s">
        <v>21015</v>
      </c>
      <c r="N7517" s="17" t="s">
        <v>77</v>
      </c>
      <c r="O7517" t="s">
        <v>117</v>
      </c>
      <c r="V7517" s="18" t="s">
        <v>21015</v>
      </c>
      <c r="Y7517" t="s">
        <v>190</v>
      </c>
      <c r="AA7517" t="s">
        <v>118</v>
      </c>
      <c r="AB7517" t="s">
        <v>119</v>
      </c>
    </row>
    <row r="7518" ht="15" customHeight="1" spans="1:22" x14ac:dyDescent="0.25">
      <c r="A7518" s="17" t="s">
        <v>21016</v>
      </c>
      <c r="B7518" s="17" t="s">
        <v>70</v>
      </c>
      <c r="C7518" s="17" t="s">
        <v>71</v>
      </c>
      <c r="D7518" t="s">
        <v>21017</v>
      </c>
      <c r="F7518" t="s">
        <v>21017</v>
      </c>
      <c r="K7518" s="18">
        <f>628171667891</f>
        <v>628171667891</v>
      </c>
      <c r="N7518" s="17" t="s">
        <v>74</v>
      </c>
      <c r="V7518" s="18">
        <f>628171667891</f>
        <v>628171667891</v>
      </c>
    </row>
    <row r="7519" ht="15" customHeight="1" spans="1:23" x14ac:dyDescent="0.25">
      <c r="A7519" s="17" t="s">
        <v>21018</v>
      </c>
      <c r="B7519" s="17" t="s">
        <v>70</v>
      </c>
      <c r="C7519" s="17" t="s">
        <v>71</v>
      </c>
      <c r="D7519" t="s">
        <v>21019</v>
      </c>
      <c r="F7519" t="s">
        <v>21020</v>
      </c>
      <c r="K7519" s="18">
        <f>639178000143</f>
        <v>639178000143</v>
      </c>
      <c r="N7519" s="17" t="s">
        <v>81</v>
      </c>
      <c r="U7519" s="17"/>
      <c r="V7519" s="18">
        <f>639178000143</f>
        <v>639178000143</v>
      </c>
      <c r="W7519" t="s">
        <v>21021</v>
      </c>
    </row>
    <row r="7520" ht="15" customHeight="1" spans="1:22" x14ac:dyDescent="0.25">
      <c r="A7520" s="17" t="s">
        <v>21022</v>
      </c>
      <c r="B7520" s="17" t="s">
        <v>70</v>
      </c>
      <c r="C7520" s="17" t="s">
        <v>71</v>
      </c>
      <c r="D7520" t="s">
        <v>21023</v>
      </c>
      <c r="F7520" t="s">
        <v>21023</v>
      </c>
      <c r="K7520" s="18">
        <f>62811861900</f>
        <v>62811861900</v>
      </c>
      <c r="N7520" s="17" t="s">
        <v>81</v>
      </c>
      <c r="V7520" s="18">
        <f>62811861900</f>
        <v>62811861900</v>
      </c>
    </row>
    <row r="7521" ht="15" customHeight="1" spans="1:22" x14ac:dyDescent="0.25">
      <c r="A7521" s="17" t="s">
        <v>21024</v>
      </c>
      <c r="B7521" s="17" t="s">
        <v>70</v>
      </c>
      <c r="C7521" s="17" t="s">
        <v>71</v>
      </c>
      <c r="D7521" t="s">
        <v>21023</v>
      </c>
      <c r="F7521" t="s">
        <v>21025</v>
      </c>
      <c r="K7521" s="18">
        <f>62817105555</f>
        <v>62817105555</v>
      </c>
      <c r="N7521" s="17" t="s">
        <v>81</v>
      </c>
      <c r="V7521" s="18">
        <f>62817105555</f>
        <v>62817105555</v>
      </c>
    </row>
    <row r="7522" ht="15" customHeight="1" spans="1:28" x14ac:dyDescent="0.25">
      <c r="A7522" s="17" t="s">
        <v>21026</v>
      </c>
      <c r="B7522" s="17" t="s">
        <v>70</v>
      </c>
      <c r="C7522" s="17" t="s">
        <v>71</v>
      </c>
      <c r="D7522" t="s">
        <v>1642</v>
      </c>
      <c r="F7522" t="s">
        <v>21027</v>
      </c>
      <c r="J7522" t="s">
        <v>115</v>
      </c>
      <c r="K7522" s="18" t="s">
        <v>21028</v>
      </c>
      <c r="N7522" s="17" t="s">
        <v>77</v>
      </c>
      <c r="O7522" t="s">
        <v>261</v>
      </c>
      <c r="V7522" s="18" t="s">
        <v>21028</v>
      </c>
      <c r="Y7522" t="s">
        <v>217</v>
      </c>
      <c r="AA7522" t="s">
        <v>218</v>
      </c>
      <c r="AB7522" t="s">
        <v>119</v>
      </c>
    </row>
    <row r="7523" ht="15" customHeight="1" spans="1:28" x14ac:dyDescent="0.25">
      <c r="A7523" s="17" t="s">
        <v>21029</v>
      </c>
      <c r="B7523" s="17" t="s">
        <v>70</v>
      </c>
      <c r="C7523" s="17" t="s">
        <v>71</v>
      </c>
      <c r="D7523" t="s">
        <v>1642</v>
      </c>
      <c r="F7523" t="s">
        <v>1642</v>
      </c>
      <c r="J7523" t="s">
        <v>115</v>
      </c>
      <c r="K7523" s="18" t="s">
        <v>21030</v>
      </c>
      <c r="N7523" s="17" t="s">
        <v>77</v>
      </c>
      <c r="O7523" t="s">
        <v>117</v>
      </c>
      <c r="V7523" s="18" t="s">
        <v>21030</v>
      </c>
      <c r="Y7523" t="s">
        <v>190</v>
      </c>
      <c r="AA7523" t="s">
        <v>118</v>
      </c>
      <c r="AB7523" t="s">
        <v>119</v>
      </c>
    </row>
    <row r="7524" ht="15" customHeight="1" spans="1:28" x14ac:dyDescent="0.25">
      <c r="A7524" s="17" t="s">
        <v>21031</v>
      </c>
      <c r="B7524" s="17" t="s">
        <v>70</v>
      </c>
      <c r="C7524" s="17" t="s">
        <v>71</v>
      </c>
      <c r="D7524" t="s">
        <v>1642</v>
      </c>
      <c r="F7524" t="s">
        <v>21032</v>
      </c>
      <c r="J7524" t="s">
        <v>115</v>
      </c>
      <c r="K7524" s="18" t="s">
        <v>21033</v>
      </c>
      <c r="N7524" s="17" t="s">
        <v>77</v>
      </c>
      <c r="O7524" t="s">
        <v>199</v>
      </c>
      <c r="V7524" s="18" t="s">
        <v>21033</v>
      </c>
      <c r="Y7524" t="s">
        <v>90</v>
      </c>
      <c r="AA7524" t="s">
        <v>118</v>
      </c>
      <c r="AB7524" t="s">
        <v>119</v>
      </c>
    </row>
    <row r="7525" ht="15" customHeight="1" spans="1:28" x14ac:dyDescent="0.25">
      <c r="A7525" s="17" t="s">
        <v>21034</v>
      </c>
      <c r="B7525" s="17" t="s">
        <v>70</v>
      </c>
      <c r="C7525" s="17" t="s">
        <v>71</v>
      </c>
      <c r="D7525" t="s">
        <v>1642</v>
      </c>
      <c r="F7525" t="s">
        <v>21035</v>
      </c>
      <c r="J7525" t="s">
        <v>115</v>
      </c>
      <c r="K7525" s="18" t="s">
        <v>21036</v>
      </c>
      <c r="N7525" s="17" t="s">
        <v>77</v>
      </c>
      <c r="O7525" t="s">
        <v>145</v>
      </c>
      <c r="V7525" s="18" t="s">
        <v>21036</v>
      </c>
      <c r="Y7525" t="s">
        <v>190</v>
      </c>
      <c r="AA7525" t="s">
        <v>118</v>
      </c>
      <c r="AB7525" t="s">
        <v>119</v>
      </c>
    </row>
    <row r="7526" ht="15" customHeight="1" spans="1:28" x14ac:dyDescent="0.25">
      <c r="A7526" s="17" t="s">
        <v>21037</v>
      </c>
      <c r="B7526" s="17" t="s">
        <v>70</v>
      </c>
      <c r="C7526" s="17" t="s">
        <v>71</v>
      </c>
      <c r="D7526" t="s">
        <v>1642</v>
      </c>
      <c r="F7526" t="s">
        <v>16918</v>
      </c>
      <c r="J7526" s="17" t="s">
        <v>21038</v>
      </c>
      <c r="K7526" s="18" t="s">
        <v>21039</v>
      </c>
      <c r="N7526" s="17" t="s">
        <v>77</v>
      </c>
      <c r="O7526" t="s">
        <v>145</v>
      </c>
      <c r="U7526" s="17"/>
      <c r="V7526" s="18" t="s">
        <v>21039</v>
      </c>
      <c r="W7526" t="s">
        <v>7019</v>
      </c>
      <c r="Y7526" t="s">
        <v>190</v>
      </c>
      <c r="AA7526" t="s">
        <v>118</v>
      </c>
      <c r="AB7526" t="s">
        <v>119</v>
      </c>
    </row>
    <row r="7527" ht="15" customHeight="1" spans="1:22" x14ac:dyDescent="0.25">
      <c r="A7527" s="17" t="s">
        <v>21040</v>
      </c>
      <c r="B7527" s="17" t="s">
        <v>70</v>
      </c>
      <c r="C7527" s="17" t="s">
        <v>71</v>
      </c>
      <c r="D7527" t="s">
        <v>1642</v>
      </c>
      <c r="F7527" t="s">
        <v>21041</v>
      </c>
      <c r="K7527" s="18">
        <f>6281288071558</f>
        <v>6281288071558</v>
      </c>
      <c r="N7527" s="17" t="s">
        <v>74</v>
      </c>
      <c r="V7527" s="18">
        <f>6281288071558</f>
        <v>6281288071558</v>
      </c>
    </row>
    <row r="7528" ht="15" customHeight="1" spans="1:22" x14ac:dyDescent="0.25">
      <c r="A7528" s="17" t="s">
        <v>21042</v>
      </c>
      <c r="B7528" s="17" t="s">
        <v>70</v>
      </c>
      <c r="C7528" s="17" t="s">
        <v>71</v>
      </c>
      <c r="D7528" t="s">
        <v>1642</v>
      </c>
      <c r="F7528" t="s">
        <v>21041</v>
      </c>
      <c r="K7528" s="18">
        <f>62816738033</f>
        <v>62816738033</v>
      </c>
      <c r="N7528" s="17" t="s">
        <v>81</v>
      </c>
      <c r="V7528" s="18">
        <f>62816738033</f>
        <v>62816738033</v>
      </c>
    </row>
    <row r="7529" ht="15" customHeight="1" spans="1:28" x14ac:dyDescent="0.25">
      <c r="A7529" s="17" t="s">
        <v>21043</v>
      </c>
      <c r="B7529" s="17" t="s">
        <v>70</v>
      </c>
      <c r="C7529" s="17" t="s">
        <v>71</v>
      </c>
      <c r="D7529" t="s">
        <v>1642</v>
      </c>
      <c r="F7529" t="s">
        <v>1016</v>
      </c>
      <c r="J7529" s="17" t="s">
        <v>21044</v>
      </c>
      <c r="K7529" s="18" t="s">
        <v>21045</v>
      </c>
      <c r="N7529" s="17" t="s">
        <v>77</v>
      </c>
      <c r="O7529" t="s">
        <v>199</v>
      </c>
      <c r="U7529" s="17"/>
      <c r="V7529" s="18" t="s">
        <v>21045</v>
      </c>
      <c r="W7529" t="s">
        <v>6179</v>
      </c>
      <c r="Y7529" t="s">
        <v>190</v>
      </c>
      <c r="AA7529" t="s">
        <v>118</v>
      </c>
      <c r="AB7529" t="s">
        <v>119</v>
      </c>
    </row>
    <row r="7530" ht="15" customHeight="1" spans="1:22" x14ac:dyDescent="0.25">
      <c r="A7530" s="17" t="s">
        <v>21046</v>
      </c>
      <c r="B7530" s="17" t="s">
        <v>70</v>
      </c>
      <c r="C7530" s="17" t="s">
        <v>71</v>
      </c>
      <c r="D7530" t="s">
        <v>21047</v>
      </c>
      <c r="F7530" t="s">
        <v>1053</v>
      </c>
      <c r="K7530" s="18">
        <f>628118503134</f>
        <v>628118503134</v>
      </c>
      <c r="N7530" s="17" t="s">
        <v>81</v>
      </c>
      <c r="V7530" s="18">
        <f>628118503134</f>
        <v>628118503134</v>
      </c>
    </row>
    <row r="7531" ht="15" customHeight="1" spans="1:28" x14ac:dyDescent="0.25">
      <c r="A7531" s="17" t="s">
        <v>21048</v>
      </c>
      <c r="B7531" s="17" t="s">
        <v>70</v>
      </c>
      <c r="C7531" s="17" t="s">
        <v>71</v>
      </c>
      <c r="D7531" t="s">
        <v>21049</v>
      </c>
      <c r="F7531" t="s">
        <v>20456</v>
      </c>
      <c r="J7531" t="s">
        <v>115</v>
      </c>
      <c r="K7531" s="18" t="s">
        <v>21050</v>
      </c>
      <c r="N7531" s="17" t="s">
        <v>77</v>
      </c>
      <c r="O7531" t="s">
        <v>117</v>
      </c>
      <c r="U7531" s="17"/>
      <c r="V7531" s="18" t="s">
        <v>21050</v>
      </c>
      <c r="W7531" t="s">
        <v>21051</v>
      </c>
      <c r="Y7531" s="17" t="s">
        <v>96</v>
      </c>
      <c r="AA7531" t="s">
        <v>693</v>
      </c>
      <c r="AB7531" t="s">
        <v>119</v>
      </c>
    </row>
    <row r="7532" ht="15" customHeight="1" spans="1:22" x14ac:dyDescent="0.25">
      <c r="A7532" s="17" t="s">
        <v>21052</v>
      </c>
      <c r="B7532" s="17" t="s">
        <v>70</v>
      </c>
      <c r="C7532" s="17" t="s">
        <v>71</v>
      </c>
      <c r="D7532" t="s">
        <v>10871</v>
      </c>
      <c r="F7532" t="s">
        <v>186</v>
      </c>
      <c r="K7532" s="18">
        <f>6281287461922</f>
        <v>6281287461922</v>
      </c>
      <c r="N7532" s="17" t="s">
        <v>81</v>
      </c>
      <c r="V7532" s="18">
        <f>6281287461922</f>
        <v>6281287461922</v>
      </c>
    </row>
    <row r="7533" ht="15" customHeight="1" spans="1:28" x14ac:dyDescent="0.25">
      <c r="A7533" s="17" t="s">
        <v>21053</v>
      </c>
      <c r="B7533" s="17" t="s">
        <v>70</v>
      </c>
      <c r="C7533" s="17" t="s">
        <v>71</v>
      </c>
      <c r="D7533" t="s">
        <v>10871</v>
      </c>
      <c r="F7533" t="s">
        <v>21054</v>
      </c>
      <c r="J7533" t="s">
        <v>115</v>
      </c>
      <c r="K7533" s="18" t="s">
        <v>21055</v>
      </c>
      <c r="N7533" s="17" t="s">
        <v>74</v>
      </c>
      <c r="O7533" t="s">
        <v>117</v>
      </c>
      <c r="U7533" s="17"/>
      <c r="V7533" s="18" t="s">
        <v>21055</v>
      </c>
      <c r="W7533" t="s">
        <v>21056</v>
      </c>
      <c r="Y7533" t="s">
        <v>378</v>
      </c>
      <c r="AA7533" t="s">
        <v>118</v>
      </c>
      <c r="AB7533" t="s">
        <v>119</v>
      </c>
    </row>
    <row r="7534" ht="15" customHeight="1" spans="1:25" x14ac:dyDescent="0.25">
      <c r="A7534" s="17" t="s">
        <v>21057</v>
      </c>
      <c r="B7534" s="17" t="s">
        <v>70</v>
      </c>
      <c r="C7534" s="17" t="s">
        <v>71</v>
      </c>
      <c r="D7534" t="s">
        <v>21058</v>
      </c>
      <c r="F7534" t="s">
        <v>21059</v>
      </c>
      <c r="J7534" s="17" t="s">
        <v>21060</v>
      </c>
      <c r="K7534" s="18">
        <f>628118406740</f>
        <v>628118406740</v>
      </c>
      <c r="N7534" s="17" t="s">
        <v>77</v>
      </c>
      <c r="U7534" s="17"/>
      <c r="V7534" s="18">
        <f>628118406740</f>
        <v>628118406740</v>
      </c>
      <c r="W7534" t="s">
        <v>21061</v>
      </c>
      <c r="Y7534" s="17" t="s">
        <v>18064</v>
      </c>
    </row>
    <row r="7535" ht="15" customHeight="1" spans="1:28" x14ac:dyDescent="0.25">
      <c r="A7535" s="17" t="s">
        <v>21062</v>
      </c>
      <c r="B7535" s="17" t="s">
        <v>70</v>
      </c>
      <c r="C7535" s="17" t="s">
        <v>71</v>
      </c>
      <c r="D7535" t="s">
        <v>21063</v>
      </c>
      <c r="F7535" t="s">
        <v>6668</v>
      </c>
      <c r="J7535" t="s">
        <v>115</v>
      </c>
      <c r="K7535" s="18" t="s">
        <v>21064</v>
      </c>
      <c r="N7535" s="17" t="s">
        <v>77</v>
      </c>
      <c r="O7535" t="s">
        <v>199</v>
      </c>
      <c r="U7535" s="17"/>
      <c r="V7535" s="18" t="s">
        <v>21064</v>
      </c>
      <c r="W7535" t="s">
        <v>21065</v>
      </c>
      <c r="Y7535" t="s">
        <v>190</v>
      </c>
      <c r="AA7535" t="s">
        <v>118</v>
      </c>
      <c r="AB7535" t="s">
        <v>119</v>
      </c>
    </row>
    <row r="7536" ht="15" customHeight="1" spans="1:22" x14ac:dyDescent="0.25">
      <c r="A7536" s="17" t="s">
        <v>21066</v>
      </c>
      <c r="B7536" s="17" t="s">
        <v>70</v>
      </c>
      <c r="C7536" s="17" t="s">
        <v>71</v>
      </c>
      <c r="D7536" t="s">
        <v>21067</v>
      </c>
      <c r="F7536" t="s">
        <v>21067</v>
      </c>
      <c r="K7536" s="18">
        <f>6287882317884</f>
        <v>6287882317884</v>
      </c>
      <c r="N7536" s="17" t="s">
        <v>77</v>
      </c>
      <c r="V7536" s="18">
        <f>6287882317884</f>
        <v>6287882317884</v>
      </c>
    </row>
    <row r="7537" ht="15" customHeight="1" spans="1:22" x14ac:dyDescent="0.25">
      <c r="A7537" s="17" t="s">
        <v>21068</v>
      </c>
      <c r="B7537" s="17" t="s">
        <v>70</v>
      </c>
      <c r="C7537" s="17" t="s">
        <v>71</v>
      </c>
      <c r="D7537" t="s">
        <v>21067</v>
      </c>
      <c r="F7537" t="s">
        <v>21067</v>
      </c>
      <c r="K7537" s="18">
        <f>6281932248055</f>
        <v>6281932248055</v>
      </c>
      <c r="N7537" s="17" t="s">
        <v>77</v>
      </c>
      <c r="V7537" s="18">
        <f>6281932248055</f>
        <v>6281932248055</v>
      </c>
    </row>
    <row r="7538" ht="15" customHeight="1" spans="1:28" x14ac:dyDescent="0.25">
      <c r="A7538" s="17" t="s">
        <v>21069</v>
      </c>
      <c r="B7538" s="17" t="s">
        <v>70</v>
      </c>
      <c r="C7538" s="17" t="s">
        <v>71</v>
      </c>
      <c r="D7538" t="s">
        <v>21067</v>
      </c>
      <c r="F7538" t="s">
        <v>21067</v>
      </c>
      <c r="J7538" t="s">
        <v>115</v>
      </c>
      <c r="K7538" s="18" t="s">
        <v>21070</v>
      </c>
      <c r="N7538" s="17" t="s">
        <v>77</v>
      </c>
      <c r="O7538" t="s">
        <v>199</v>
      </c>
      <c r="V7538" s="18" t="s">
        <v>21070</v>
      </c>
      <c r="Y7538" t="s">
        <v>90</v>
      </c>
      <c r="AA7538" t="s">
        <v>118</v>
      </c>
      <c r="AB7538" t="s">
        <v>119</v>
      </c>
    </row>
    <row r="7539" ht="15" customHeight="1" spans="1:22" x14ac:dyDescent="0.25">
      <c r="A7539" s="17" t="s">
        <v>21071</v>
      </c>
      <c r="B7539" s="17" t="s">
        <v>70</v>
      </c>
      <c r="C7539" s="17" t="s">
        <v>71</v>
      </c>
      <c r="D7539" t="s">
        <v>21067</v>
      </c>
      <c r="F7539" t="s">
        <v>669</v>
      </c>
      <c r="K7539" s="18">
        <f>6281318111592</f>
        <v>6281318111592</v>
      </c>
      <c r="N7539" s="17" t="s">
        <v>77</v>
      </c>
      <c r="V7539" s="18">
        <f>6281318111592</f>
        <v>6281318111592</v>
      </c>
    </row>
    <row r="7540" ht="15" customHeight="1" spans="1:28" x14ac:dyDescent="0.25">
      <c r="A7540" s="17" t="s">
        <v>21072</v>
      </c>
      <c r="B7540" s="17" t="s">
        <v>70</v>
      </c>
      <c r="C7540" s="17" t="s">
        <v>71</v>
      </c>
      <c r="D7540" t="s">
        <v>21073</v>
      </c>
      <c r="F7540" t="s">
        <v>21073</v>
      </c>
      <c r="J7540" t="s">
        <v>21074</v>
      </c>
      <c r="K7540" s="18" t="s">
        <v>21075</v>
      </c>
      <c r="N7540" s="17" t="s">
        <v>77</v>
      </c>
      <c r="O7540" t="s">
        <v>199</v>
      </c>
      <c r="V7540" s="18" t="s">
        <v>21075</v>
      </c>
      <c r="Y7540" s="17" t="s">
        <v>200</v>
      </c>
      <c r="AA7540" t="s">
        <v>115</v>
      </c>
      <c r="AB7540" t="s">
        <v>119</v>
      </c>
    </row>
    <row r="7541" ht="15" customHeight="1" spans="1:22" x14ac:dyDescent="0.25">
      <c r="A7541" s="17" t="s">
        <v>21076</v>
      </c>
      <c r="B7541" s="17" t="s">
        <v>70</v>
      </c>
      <c r="C7541" s="17" t="s">
        <v>71</v>
      </c>
      <c r="D7541" t="s">
        <v>21077</v>
      </c>
      <c r="F7541" t="s">
        <v>21077</v>
      </c>
      <c r="K7541" s="18">
        <f>6285376168899</f>
        <v>6285376168899</v>
      </c>
      <c r="N7541" s="17" t="s">
        <v>81</v>
      </c>
      <c r="V7541" s="18">
        <f>6285376168899</f>
        <v>6285376168899</v>
      </c>
    </row>
    <row r="7542" ht="15" customHeight="1" spans="1:23" x14ac:dyDescent="0.25">
      <c r="A7542" s="17" t="s">
        <v>21078</v>
      </c>
      <c r="B7542" s="17" t="s">
        <v>70</v>
      </c>
      <c r="C7542" s="17" t="s">
        <v>71</v>
      </c>
      <c r="D7542" t="s">
        <v>21077</v>
      </c>
      <c r="F7542" t="s">
        <v>21077</v>
      </c>
      <c r="K7542" s="18">
        <f>62816911333</f>
        <v>62816911333</v>
      </c>
      <c r="N7542" s="17" t="s">
        <v>77</v>
      </c>
      <c r="U7542" s="17"/>
      <c r="V7542" s="18">
        <f>62816911333</f>
        <v>62816911333</v>
      </c>
      <c r="W7542" t="s">
        <v>21079</v>
      </c>
    </row>
    <row r="7543" ht="15" customHeight="1" spans="1:22" x14ac:dyDescent="0.25">
      <c r="A7543" s="17" t="s">
        <v>21080</v>
      </c>
      <c r="B7543" s="17" t="s">
        <v>70</v>
      </c>
      <c r="C7543" s="17" t="s">
        <v>71</v>
      </c>
      <c r="D7543" t="s">
        <v>21077</v>
      </c>
      <c r="F7543" t="s">
        <v>21081</v>
      </c>
      <c r="K7543" s="18">
        <f>62817196789</f>
        <v>62817196789</v>
      </c>
      <c r="N7543" s="17" t="s">
        <v>74</v>
      </c>
      <c r="V7543" s="18">
        <f>62817196789</f>
        <v>62817196789</v>
      </c>
    </row>
    <row r="7544" ht="15" customHeight="1" spans="1:22" x14ac:dyDescent="0.25">
      <c r="A7544" s="17" t="s">
        <v>21082</v>
      </c>
      <c r="B7544" s="17" t="s">
        <v>70</v>
      </c>
      <c r="C7544" s="17" t="s">
        <v>71</v>
      </c>
      <c r="D7544" t="s">
        <v>21077</v>
      </c>
      <c r="F7544" t="s">
        <v>17204</v>
      </c>
      <c r="K7544" s="18">
        <f>628128285555</f>
        <v>628128285555</v>
      </c>
      <c r="N7544" s="17" t="s">
        <v>77</v>
      </c>
      <c r="V7544" s="18">
        <f>628128285555</f>
        <v>628128285555</v>
      </c>
    </row>
    <row r="7545" ht="15" customHeight="1" spans="1:22" x14ac:dyDescent="0.25">
      <c r="A7545" s="17" t="s">
        <v>21083</v>
      </c>
      <c r="B7545" s="17" t="s">
        <v>70</v>
      </c>
      <c r="C7545" s="17" t="s">
        <v>71</v>
      </c>
      <c r="D7545" t="s">
        <v>21077</v>
      </c>
      <c r="F7545" t="s">
        <v>1169</v>
      </c>
      <c r="K7545" s="18">
        <f>6281219062530</f>
        <v>6281219062530</v>
      </c>
      <c r="N7545" s="17" t="s">
        <v>77</v>
      </c>
      <c r="V7545" s="18">
        <f>6281219062530</f>
        <v>6281219062530</v>
      </c>
    </row>
    <row r="7546" ht="15" customHeight="1" spans="1:27" x14ac:dyDescent="0.25">
      <c r="A7546" s="17" t="s">
        <v>21084</v>
      </c>
      <c r="B7546" s="17" t="s">
        <v>70</v>
      </c>
      <c r="C7546" s="17" t="s">
        <v>71</v>
      </c>
      <c r="D7546" t="s">
        <v>21085</v>
      </c>
      <c r="F7546" t="s">
        <v>21086</v>
      </c>
      <c r="K7546" s="18">
        <f>62811935484</f>
        <v>62811935484</v>
      </c>
      <c r="N7546" s="17" t="s">
        <v>74</v>
      </c>
      <c r="U7546" s="17"/>
      <c r="V7546" s="18">
        <f>62811935484</f>
        <v>62811935484</v>
      </c>
      <c r="W7546" t="s">
        <v>21087</v>
      </c>
      <c r="Y7546" s="17" t="s">
        <v>96</v>
      </c>
      <c r="AA7546" s="17" t="s">
        <v>3403</v>
      </c>
    </row>
    <row r="7547" ht="15" customHeight="1" spans="1:28" x14ac:dyDescent="0.25">
      <c r="A7547" s="17" t="s">
        <v>21088</v>
      </c>
      <c r="B7547" s="17" t="s">
        <v>70</v>
      </c>
      <c r="C7547" s="17" t="s">
        <v>71</v>
      </c>
      <c r="D7547" t="s">
        <v>4308</v>
      </c>
      <c r="F7547" t="s">
        <v>4308</v>
      </c>
      <c r="J7547" t="s">
        <v>115</v>
      </c>
      <c r="K7547" s="18" t="s">
        <v>21089</v>
      </c>
      <c r="N7547" s="17" t="s">
        <v>77</v>
      </c>
      <c r="O7547" t="s">
        <v>117</v>
      </c>
      <c r="V7547" s="18" t="s">
        <v>21089</v>
      </c>
      <c r="Y7547" t="s">
        <v>190</v>
      </c>
      <c r="AA7547" t="s">
        <v>118</v>
      </c>
      <c r="AB7547" t="s">
        <v>119</v>
      </c>
    </row>
    <row r="7548" ht="15" customHeight="1" spans="1:22" x14ac:dyDescent="0.25">
      <c r="A7548" s="17" t="s">
        <v>21090</v>
      </c>
      <c r="B7548" s="17" t="s">
        <v>70</v>
      </c>
      <c r="C7548" s="17" t="s">
        <v>71</v>
      </c>
      <c r="D7548" t="s">
        <v>21091</v>
      </c>
      <c r="F7548" t="s">
        <v>3869</v>
      </c>
      <c r="K7548" s="18">
        <f>6281399683401</f>
        <v>6281399683401</v>
      </c>
      <c r="N7548" s="17" t="s">
        <v>77</v>
      </c>
      <c r="V7548" s="18">
        <f>6281399683401</f>
        <v>6281399683401</v>
      </c>
    </row>
    <row r="7549" ht="15" customHeight="1" spans="1:22" x14ac:dyDescent="0.25">
      <c r="A7549" s="17" t="s">
        <v>21092</v>
      </c>
      <c r="B7549" s="17" t="s">
        <v>70</v>
      </c>
      <c r="C7549" s="17" t="s">
        <v>71</v>
      </c>
      <c r="D7549" t="s">
        <v>21093</v>
      </c>
      <c r="F7549" t="s">
        <v>21093</v>
      </c>
      <c r="K7549" s="18">
        <f>6281584327122</f>
        <v>6281584327122</v>
      </c>
      <c r="N7549" s="17" t="s">
        <v>77</v>
      </c>
      <c r="V7549" s="18">
        <f>6281584327122</f>
        <v>6281584327122</v>
      </c>
    </row>
    <row r="7550" ht="15" customHeight="1" spans="1:27" x14ac:dyDescent="0.25">
      <c r="A7550" s="17" t="s">
        <v>21094</v>
      </c>
      <c r="B7550" s="17" t="s">
        <v>70</v>
      </c>
      <c r="C7550" s="17" t="s">
        <v>71</v>
      </c>
      <c r="D7550" t="s">
        <v>21093</v>
      </c>
      <c r="F7550" t="s">
        <v>1754</v>
      </c>
      <c r="K7550" s="18">
        <f>62818723188</f>
        <v>62818723188</v>
      </c>
      <c r="N7550" s="17" t="s">
        <v>77</v>
      </c>
      <c r="U7550" s="17"/>
      <c r="V7550" s="18">
        <f>62818723188</f>
        <v>62818723188</v>
      </c>
      <c r="W7550" t="s">
        <v>21095</v>
      </c>
      <c r="Y7550" s="17" t="s">
        <v>96</v>
      </c>
      <c r="AA7550" s="17" t="s">
        <v>21096</v>
      </c>
    </row>
    <row r="7551" ht="15" customHeight="1" spans="1:22" x14ac:dyDescent="0.25">
      <c r="A7551" s="17" t="s">
        <v>21097</v>
      </c>
      <c r="B7551" s="17" t="s">
        <v>70</v>
      </c>
      <c r="C7551" s="17" t="s">
        <v>71</v>
      </c>
      <c r="D7551" t="s">
        <v>21098</v>
      </c>
      <c r="F7551" t="s">
        <v>1754</v>
      </c>
      <c r="K7551" s="18">
        <f>62811904258</f>
        <v>62811904258</v>
      </c>
      <c r="N7551" s="17" t="s">
        <v>81</v>
      </c>
      <c r="V7551" s="18">
        <f>62811904258</f>
        <v>62811904258</v>
      </c>
    </row>
    <row r="7552" ht="15" customHeight="1" spans="1:22" x14ac:dyDescent="0.25">
      <c r="A7552" s="17" t="s">
        <v>21099</v>
      </c>
      <c r="B7552" s="17" t="s">
        <v>70</v>
      </c>
      <c r="C7552" s="17" t="s">
        <v>71</v>
      </c>
      <c r="D7552" t="s">
        <v>21100</v>
      </c>
      <c r="F7552" t="s">
        <v>21101</v>
      </c>
      <c r="K7552" s="18">
        <f>6282168643620</f>
        <v>6282168643620</v>
      </c>
      <c r="N7552" s="17" t="s">
        <v>77</v>
      </c>
      <c r="V7552" s="18">
        <f>6282168643620</f>
        <v>6282168643620</v>
      </c>
    </row>
    <row r="7553" ht="15" customHeight="1" spans="1:28" x14ac:dyDescent="0.25">
      <c r="A7553" s="17" t="s">
        <v>21102</v>
      </c>
      <c r="B7553" s="17" t="s">
        <v>70</v>
      </c>
      <c r="C7553" s="17" t="s">
        <v>71</v>
      </c>
      <c r="D7553" t="s">
        <v>21103</v>
      </c>
      <c r="F7553" t="s">
        <v>21104</v>
      </c>
      <c r="J7553" s="17" t="s">
        <v>21105</v>
      </c>
      <c r="K7553" s="18" t="s">
        <v>21106</v>
      </c>
      <c r="N7553" s="17" t="s">
        <v>77</v>
      </c>
      <c r="O7553" t="s">
        <v>145</v>
      </c>
      <c r="V7553" s="18" t="s">
        <v>21106</v>
      </c>
      <c r="Y7553" t="s">
        <v>148</v>
      </c>
      <c r="AA7553" t="s">
        <v>115</v>
      </c>
      <c r="AB7553" t="s">
        <v>148</v>
      </c>
    </row>
    <row r="7554" ht="15" customHeight="1" spans="1:23" x14ac:dyDescent="0.25">
      <c r="A7554" s="17" t="s">
        <v>21107</v>
      </c>
      <c r="B7554" s="17" t="s">
        <v>70</v>
      </c>
      <c r="C7554" s="17" t="s">
        <v>71</v>
      </c>
      <c r="D7554" t="s">
        <v>1049</v>
      </c>
      <c r="F7554" t="s">
        <v>21108</v>
      </c>
      <c r="K7554" s="18">
        <f>6285611007553</f>
        <v>6285611007553</v>
      </c>
      <c r="N7554" s="17" t="s">
        <v>81</v>
      </c>
      <c r="U7554" s="17"/>
      <c r="V7554" s="18">
        <f>6285611007553</f>
        <v>6285611007553</v>
      </c>
      <c r="W7554" t="s">
        <v>21109</v>
      </c>
    </row>
    <row r="7555" ht="15" customHeight="1" spans="1:28" x14ac:dyDescent="0.25">
      <c r="A7555" s="17" t="s">
        <v>21110</v>
      </c>
      <c r="B7555" s="17" t="s">
        <v>70</v>
      </c>
      <c r="C7555" s="17" t="s">
        <v>71</v>
      </c>
      <c r="D7555" t="s">
        <v>21111</v>
      </c>
      <c r="F7555" t="s">
        <v>21112</v>
      </c>
      <c r="J7555" t="s">
        <v>115</v>
      </c>
      <c r="K7555" s="18" t="s">
        <v>21113</v>
      </c>
      <c r="N7555" s="17" t="s">
        <v>81</v>
      </c>
      <c r="O7555" t="s">
        <v>117</v>
      </c>
      <c r="U7555" s="17"/>
      <c r="V7555" s="18" t="s">
        <v>21113</v>
      </c>
      <c r="W7555" t="s">
        <v>21114</v>
      </c>
      <c r="Y7555" t="s">
        <v>378</v>
      </c>
      <c r="AA7555" t="s">
        <v>118</v>
      </c>
      <c r="AB7555" t="s">
        <v>119</v>
      </c>
    </row>
    <row r="7556" ht="15" customHeight="1" spans="1:22" x14ac:dyDescent="0.25">
      <c r="A7556" s="17" t="s">
        <v>21115</v>
      </c>
      <c r="B7556" s="17" t="s">
        <v>70</v>
      </c>
      <c r="C7556" s="17" t="s">
        <v>71</v>
      </c>
      <c r="D7556" t="s">
        <v>21116</v>
      </c>
      <c r="F7556" t="s">
        <v>1589</v>
      </c>
      <c r="K7556" s="18">
        <f>6282282669527</f>
        <v>6282282669527</v>
      </c>
      <c r="N7556" s="17" t="s">
        <v>81</v>
      </c>
      <c r="V7556" s="18">
        <f>6282282669527</f>
        <v>6282282669527</v>
      </c>
    </row>
    <row r="7557" ht="15" customHeight="1" spans="1:28" x14ac:dyDescent="0.25">
      <c r="A7557" s="17" t="s">
        <v>21117</v>
      </c>
      <c r="B7557" s="17" t="s">
        <v>70</v>
      </c>
      <c r="C7557" s="17" t="s">
        <v>71</v>
      </c>
      <c r="D7557" t="s">
        <v>21118</v>
      </c>
      <c r="F7557" t="s">
        <v>21119</v>
      </c>
      <c r="J7557" s="17" t="s">
        <v>21120</v>
      </c>
      <c r="K7557" s="18" t="s">
        <v>21121</v>
      </c>
      <c r="N7557" s="17" t="s">
        <v>77</v>
      </c>
      <c r="O7557" t="s">
        <v>199</v>
      </c>
      <c r="V7557" s="18" t="s">
        <v>21121</v>
      </c>
      <c r="Y7557" t="s">
        <v>181</v>
      </c>
      <c r="AA7557" t="s">
        <v>1672</v>
      </c>
      <c r="AB7557" t="s">
        <v>451</v>
      </c>
    </row>
    <row r="7558" ht="15" customHeight="1" spans="1:27" x14ac:dyDescent="0.25">
      <c r="A7558" s="17" t="s">
        <v>21122</v>
      </c>
      <c r="B7558" s="17" t="s">
        <v>70</v>
      </c>
      <c r="C7558" s="17" t="s">
        <v>71</v>
      </c>
      <c r="D7558" t="s">
        <v>21123</v>
      </c>
      <c r="F7558" t="s">
        <v>618</v>
      </c>
      <c r="J7558" s="17" t="s">
        <v>21124</v>
      </c>
      <c r="K7558" s="18">
        <f>62816721641</f>
        <v>62816721641</v>
      </c>
      <c r="N7558" s="17" t="s">
        <v>77</v>
      </c>
      <c r="U7558" s="17"/>
      <c r="V7558" s="18">
        <f>62816721641</f>
        <v>62816721641</v>
      </c>
      <c r="W7558" t="s">
        <v>21125</v>
      </c>
      <c r="AA7558" s="17">
        <v>15310</v>
      </c>
    </row>
    <row r="7559" ht="15" customHeight="1" spans="1:28" x14ac:dyDescent="0.25">
      <c r="A7559" s="17" t="s">
        <v>21126</v>
      </c>
      <c r="B7559" s="17" t="s">
        <v>70</v>
      </c>
      <c r="C7559" s="17" t="s">
        <v>71</v>
      </c>
      <c r="D7559" t="s">
        <v>21123</v>
      </c>
      <c r="F7559" t="s">
        <v>12736</v>
      </c>
      <c r="J7559" t="s">
        <v>115</v>
      </c>
      <c r="K7559" s="18" t="s">
        <v>21127</v>
      </c>
      <c r="N7559" s="17" t="s">
        <v>81</v>
      </c>
      <c r="O7559" t="s">
        <v>117</v>
      </c>
      <c r="V7559" s="18" t="s">
        <v>21127</v>
      </c>
      <c r="Y7559" t="s">
        <v>90</v>
      </c>
      <c r="AA7559" t="s">
        <v>118</v>
      </c>
      <c r="AB7559" t="s">
        <v>119</v>
      </c>
    </row>
    <row r="7560" ht="15" customHeight="1" spans="1:22" x14ac:dyDescent="0.25">
      <c r="A7560" s="17" t="s">
        <v>21128</v>
      </c>
      <c r="B7560" s="17" t="s">
        <v>70</v>
      </c>
      <c r="C7560" s="17" t="s">
        <v>71</v>
      </c>
      <c r="D7560" t="s">
        <v>21123</v>
      </c>
      <c r="F7560" t="s">
        <v>13446</v>
      </c>
      <c r="K7560" s="18">
        <f>62811966606</f>
        <v>62811966606</v>
      </c>
      <c r="N7560" s="17" t="s">
        <v>77</v>
      </c>
      <c r="V7560" s="18">
        <f>62811966606</f>
        <v>62811966606</v>
      </c>
    </row>
    <row r="7561" ht="15" customHeight="1" spans="1:22" x14ac:dyDescent="0.25">
      <c r="A7561" s="17" t="s">
        <v>21129</v>
      </c>
      <c r="B7561" s="17" t="s">
        <v>70</v>
      </c>
      <c r="C7561" s="17" t="s">
        <v>71</v>
      </c>
      <c r="D7561" t="s">
        <v>21130</v>
      </c>
      <c r="F7561" t="s">
        <v>21130</v>
      </c>
      <c r="K7561" s="18">
        <f>6281388981991</f>
        <v>6281388981991</v>
      </c>
      <c r="N7561" s="17" t="s">
        <v>77</v>
      </c>
      <c r="V7561" s="18">
        <f>6281388981991</f>
        <v>6281388981991</v>
      </c>
    </row>
    <row r="7562" ht="15" customHeight="1" spans="1:22" x14ac:dyDescent="0.25">
      <c r="A7562" s="17" t="s">
        <v>21131</v>
      </c>
      <c r="B7562" s="17" t="s">
        <v>70</v>
      </c>
      <c r="C7562" s="17" t="s">
        <v>71</v>
      </c>
      <c r="D7562" t="s">
        <v>21130</v>
      </c>
      <c r="F7562" t="s">
        <v>21130</v>
      </c>
      <c r="K7562" s="18">
        <f>6282211388989</f>
        <v>6282211388989</v>
      </c>
      <c r="N7562" s="17" t="s">
        <v>77</v>
      </c>
      <c r="V7562" s="18">
        <f>6282211388989</f>
        <v>6282211388989</v>
      </c>
    </row>
    <row r="7563" ht="15" customHeight="1" spans="1:22" x14ac:dyDescent="0.25">
      <c r="A7563" s="17" t="s">
        <v>21132</v>
      </c>
      <c r="B7563" s="17" t="s">
        <v>70</v>
      </c>
      <c r="C7563" s="17" t="s">
        <v>71</v>
      </c>
      <c r="D7563" t="s">
        <v>1045</v>
      </c>
      <c r="F7563" t="s">
        <v>14057</v>
      </c>
      <c r="K7563" s="18">
        <f>6329279065798</f>
        <v>6329279065798</v>
      </c>
      <c r="N7563" s="17" t="s">
        <v>81</v>
      </c>
      <c r="V7563" s="18">
        <f>6329279065798</f>
        <v>6329279065798</v>
      </c>
    </row>
    <row r="7564" ht="15" customHeight="1" spans="1:22" x14ac:dyDescent="0.25">
      <c r="A7564" s="17" t="s">
        <v>21133</v>
      </c>
      <c r="B7564" s="17" t="s">
        <v>70</v>
      </c>
      <c r="C7564" s="17" t="s">
        <v>71</v>
      </c>
      <c r="D7564" t="s">
        <v>10630</v>
      </c>
      <c r="F7564" t="s">
        <v>21134</v>
      </c>
      <c r="J7564" s="17" t="s">
        <v>21135</v>
      </c>
      <c r="K7564" s="18">
        <f>420724222990</f>
        <v>420724222990</v>
      </c>
      <c r="N7564" s="17" t="s">
        <v>81</v>
      </c>
      <c r="V7564" s="18">
        <f>420724222990</f>
        <v>420724222990</v>
      </c>
    </row>
    <row r="7565" ht="15" customHeight="1" spans="1:22" x14ac:dyDescent="0.25">
      <c r="A7565" s="17" t="s">
        <v>21136</v>
      </c>
      <c r="B7565" s="17" t="s">
        <v>70</v>
      </c>
      <c r="C7565" s="17" t="s">
        <v>71</v>
      </c>
      <c r="D7565" t="s">
        <v>10630</v>
      </c>
      <c r="F7565" t="s">
        <v>1646</v>
      </c>
      <c r="K7565" s="18">
        <f>628119729340</f>
        <v>628119729340</v>
      </c>
      <c r="N7565" s="17" t="s">
        <v>77</v>
      </c>
      <c r="V7565" s="18">
        <f>628119729340</f>
        <v>628119729340</v>
      </c>
    </row>
    <row r="7566" ht="15" customHeight="1" spans="1:25" x14ac:dyDescent="0.25">
      <c r="A7566" s="17" t="s">
        <v>21137</v>
      </c>
      <c r="B7566" s="17" t="s">
        <v>70</v>
      </c>
      <c r="C7566" s="17" t="s">
        <v>71</v>
      </c>
      <c r="D7566" t="s">
        <v>10630</v>
      </c>
      <c r="F7566" t="s">
        <v>21138</v>
      </c>
      <c r="K7566" s="18">
        <f>6281212121957</f>
        <v>6281212121957</v>
      </c>
      <c r="N7566" s="17" t="s">
        <v>77</v>
      </c>
      <c r="U7566" s="17"/>
      <c r="V7566" s="18">
        <f>6281212121957</f>
        <v>6281212121957</v>
      </c>
      <c r="W7566" t="s">
        <v>21139</v>
      </c>
      <c r="Y7566" s="17" t="s">
        <v>7143</v>
      </c>
    </row>
    <row r="7567" ht="15" customHeight="1" spans="1:22" x14ac:dyDescent="0.25">
      <c r="A7567" s="17" t="s">
        <v>21140</v>
      </c>
      <c r="B7567" s="17" t="s">
        <v>70</v>
      </c>
      <c r="C7567" s="17" t="s">
        <v>71</v>
      </c>
      <c r="D7567" t="s">
        <v>21141</v>
      </c>
      <c r="F7567" t="s">
        <v>21142</v>
      </c>
      <c r="K7567" s="18">
        <f>6281315845118</f>
        <v>6281315845118</v>
      </c>
      <c r="N7567" s="17" t="s">
        <v>81</v>
      </c>
      <c r="V7567" s="18">
        <f>6281315845118</f>
        <v>6281315845118</v>
      </c>
    </row>
    <row r="7568" ht="15" customHeight="1" spans="1:22" x14ac:dyDescent="0.25">
      <c r="A7568" s="17" t="s">
        <v>21143</v>
      </c>
      <c r="B7568" s="17" t="s">
        <v>70</v>
      </c>
      <c r="C7568" s="17" t="s">
        <v>71</v>
      </c>
      <c r="D7568" t="s">
        <v>21141</v>
      </c>
      <c r="F7568" t="s">
        <v>2073</v>
      </c>
      <c r="K7568" s="18">
        <f>628119633789</f>
        <v>628119633789</v>
      </c>
      <c r="N7568" s="17" t="s">
        <v>74</v>
      </c>
      <c r="V7568" s="18">
        <f>628119633789</f>
        <v>628119633789</v>
      </c>
    </row>
    <row r="7569" ht="15" customHeight="1" spans="1:28" x14ac:dyDescent="0.25">
      <c r="A7569" s="17" t="s">
        <v>21144</v>
      </c>
      <c r="B7569" s="17" t="s">
        <v>70</v>
      </c>
      <c r="C7569" s="17" t="s">
        <v>71</v>
      </c>
      <c r="D7569" t="s">
        <v>21141</v>
      </c>
      <c r="F7569" t="s">
        <v>6028</v>
      </c>
      <c r="J7569" t="s">
        <v>115</v>
      </c>
      <c r="K7569" s="18" t="s">
        <v>21145</v>
      </c>
      <c r="N7569" s="17" t="s">
        <v>77</v>
      </c>
      <c r="O7569" t="s">
        <v>117</v>
      </c>
      <c r="V7569" s="18" t="s">
        <v>21145</v>
      </c>
      <c r="Y7569" t="s">
        <v>190</v>
      </c>
      <c r="AA7569" t="s">
        <v>118</v>
      </c>
      <c r="AB7569" t="s">
        <v>119</v>
      </c>
    </row>
    <row r="7570" ht="15" customHeight="1" spans="1:27" x14ac:dyDescent="0.25">
      <c r="A7570" s="17" t="s">
        <v>21146</v>
      </c>
      <c r="B7570" s="17" t="s">
        <v>70</v>
      </c>
      <c r="C7570" s="17" t="s">
        <v>71</v>
      </c>
      <c r="D7570" t="s">
        <v>21141</v>
      </c>
      <c r="F7570" t="s">
        <v>4185</v>
      </c>
      <c r="J7570" s="17" t="s">
        <v>21147</v>
      </c>
      <c r="K7570" s="18">
        <f>828113037897</f>
        <v>828113037897</v>
      </c>
      <c r="N7570" s="17" t="s">
        <v>81</v>
      </c>
      <c r="U7570" s="17"/>
      <c r="V7570" s="18">
        <f>828113037897</f>
        <v>828113037897</v>
      </c>
      <c r="W7570" t="s">
        <v>21148</v>
      </c>
      <c r="Y7570" s="17" t="s">
        <v>762</v>
      </c>
      <c r="AA7570" s="17">
        <v>65112</v>
      </c>
    </row>
    <row r="7571" ht="15" customHeight="1" spans="1:23" x14ac:dyDescent="0.25">
      <c r="A7571" s="17" t="s">
        <v>21149</v>
      </c>
      <c r="B7571" s="17" t="s">
        <v>70</v>
      </c>
      <c r="C7571" s="17" t="s">
        <v>71</v>
      </c>
      <c r="D7571" t="s">
        <v>21141</v>
      </c>
      <c r="F7571" t="s">
        <v>21150</v>
      </c>
      <c r="K7571" s="18">
        <f>628159258586</f>
        <v>628159258586</v>
      </c>
      <c r="N7571" s="17" t="s">
        <v>77</v>
      </c>
      <c r="U7571" s="17"/>
      <c r="V7571" s="18">
        <f>628159258586</f>
        <v>628159258586</v>
      </c>
      <c r="W7571" t="s">
        <v>21151</v>
      </c>
    </row>
    <row r="7572" ht="15" customHeight="1" spans="1:22" x14ac:dyDescent="0.25">
      <c r="A7572" s="17" t="s">
        <v>21152</v>
      </c>
      <c r="B7572" s="17" t="s">
        <v>70</v>
      </c>
      <c r="C7572" s="17" t="s">
        <v>71</v>
      </c>
      <c r="D7572" t="s">
        <v>21141</v>
      </c>
      <c r="F7572" t="s">
        <v>153</v>
      </c>
      <c r="K7572" s="18">
        <f>6281316407115</f>
        <v>6281316407115</v>
      </c>
      <c r="N7572" s="17" t="s">
        <v>77</v>
      </c>
      <c r="V7572" s="18">
        <f>6281316407115</f>
        <v>6281316407115</v>
      </c>
    </row>
    <row r="7573" ht="15" customHeight="1" spans="1:25" x14ac:dyDescent="0.25">
      <c r="A7573" s="17" t="s">
        <v>21153</v>
      </c>
      <c r="B7573" s="17" t="s">
        <v>70</v>
      </c>
      <c r="C7573" s="17" t="s">
        <v>71</v>
      </c>
      <c r="D7573" t="s">
        <v>11975</v>
      </c>
      <c r="F7573" t="s">
        <v>14730</v>
      </c>
      <c r="J7573" s="17" t="s">
        <v>21154</v>
      </c>
      <c r="K7573" s="18">
        <f>628151883400</f>
        <v>628151883400</v>
      </c>
      <c r="N7573" s="17" t="s">
        <v>77</v>
      </c>
      <c r="U7573" s="17"/>
      <c r="V7573" s="18">
        <f>628151883400</f>
        <v>628151883400</v>
      </c>
      <c r="W7573" t="s">
        <v>21155</v>
      </c>
      <c r="Y7573" s="17" t="s">
        <v>626</v>
      </c>
    </row>
    <row r="7574" ht="15" customHeight="1" spans="1:22" x14ac:dyDescent="0.25">
      <c r="A7574" s="17" t="s">
        <v>21156</v>
      </c>
      <c r="B7574" s="17" t="s">
        <v>70</v>
      </c>
      <c r="C7574" s="17" t="s">
        <v>71</v>
      </c>
      <c r="D7574" t="s">
        <v>11975</v>
      </c>
      <c r="F7574" t="s">
        <v>212</v>
      </c>
      <c r="K7574" s="18">
        <f>6281275015121</f>
        <v>6281275015121</v>
      </c>
      <c r="N7574" s="17" t="s">
        <v>81</v>
      </c>
      <c r="V7574" s="18">
        <f>6281275015121</f>
        <v>6281275015121</v>
      </c>
    </row>
    <row r="7575" ht="15" customHeight="1" spans="1:23" x14ac:dyDescent="0.25">
      <c r="A7575" s="17" t="s">
        <v>21157</v>
      </c>
      <c r="B7575" s="17" t="s">
        <v>70</v>
      </c>
      <c r="C7575" s="17" t="s">
        <v>71</v>
      </c>
      <c r="D7575" t="s">
        <v>11975</v>
      </c>
      <c r="F7575" t="s">
        <v>5264</v>
      </c>
      <c r="J7575" s="17" t="s">
        <v>21158</v>
      </c>
      <c r="K7575" s="18">
        <f>6287778889088</f>
        <v>6287778889088</v>
      </c>
      <c r="N7575" s="17" t="s">
        <v>77</v>
      </c>
      <c r="U7575" s="17"/>
      <c r="V7575" s="18">
        <f>6287778889088</f>
        <v>6287778889088</v>
      </c>
      <c r="W7575" t="s">
        <v>21159</v>
      </c>
    </row>
    <row r="7576" ht="15" customHeight="1" spans="1:22" x14ac:dyDescent="0.25">
      <c r="A7576" s="17" t="s">
        <v>21160</v>
      </c>
      <c r="B7576" s="17" t="s">
        <v>70</v>
      </c>
      <c r="C7576" s="17" t="s">
        <v>71</v>
      </c>
      <c r="D7576" t="s">
        <v>11975</v>
      </c>
      <c r="F7576" t="s">
        <v>21161</v>
      </c>
      <c r="K7576" s="18">
        <f>6283892078322</f>
        <v>6283892078322</v>
      </c>
      <c r="N7576" s="17" t="s">
        <v>74</v>
      </c>
      <c r="V7576" s="18">
        <f>6283892078322</f>
        <v>6283892078322</v>
      </c>
    </row>
    <row r="7577" ht="15" customHeight="1" spans="1:27" x14ac:dyDescent="0.25">
      <c r="A7577" s="17" t="s">
        <v>21162</v>
      </c>
      <c r="B7577" s="17" t="s">
        <v>70</v>
      </c>
      <c r="C7577" s="17" t="s">
        <v>71</v>
      </c>
      <c r="D7577" t="s">
        <v>11975</v>
      </c>
      <c r="F7577" t="s">
        <v>21163</v>
      </c>
      <c r="J7577" s="17" t="s">
        <v>21164</v>
      </c>
      <c r="K7577" s="18">
        <f>6281333330190</f>
        <v>6281333330190</v>
      </c>
      <c r="N7577" s="17" t="s">
        <v>81</v>
      </c>
      <c r="U7577" s="17"/>
      <c r="V7577" s="18">
        <f>6281333330190</f>
        <v>6281333330190</v>
      </c>
      <c r="W7577" t="s">
        <v>21165</v>
      </c>
      <c r="AA7577" s="17">
        <v>13890</v>
      </c>
    </row>
    <row r="7578" ht="15" customHeight="1" spans="1:27" x14ac:dyDescent="0.25">
      <c r="A7578" s="17" t="s">
        <v>21166</v>
      </c>
      <c r="B7578" s="17" t="s">
        <v>70</v>
      </c>
      <c r="C7578" s="17" t="s">
        <v>71</v>
      </c>
      <c r="D7578" t="s">
        <v>11975</v>
      </c>
      <c r="F7578" t="s">
        <v>1159</v>
      </c>
      <c r="J7578" s="17" t="s">
        <v>21167</v>
      </c>
      <c r="K7578" s="18">
        <f>6281211636363</f>
        <v>6281211636363</v>
      </c>
      <c r="N7578" s="17" t="s">
        <v>74</v>
      </c>
      <c r="U7578" s="17"/>
      <c r="V7578" s="18">
        <f>6281211636363</f>
        <v>6281211636363</v>
      </c>
      <c r="W7578" t="s">
        <v>21168</v>
      </c>
      <c r="Y7578" s="17" t="s">
        <v>378</v>
      </c>
      <c r="AA7578" s="17">
        <v>14410</v>
      </c>
    </row>
    <row r="7579" ht="15" customHeight="1" spans="1:22" x14ac:dyDescent="0.25">
      <c r="A7579" s="17" t="s">
        <v>21169</v>
      </c>
      <c r="B7579" s="17" t="s">
        <v>70</v>
      </c>
      <c r="C7579" s="17" t="s">
        <v>71</v>
      </c>
      <c r="D7579" t="s">
        <v>21170</v>
      </c>
      <c r="F7579" t="s">
        <v>7944</v>
      </c>
      <c r="K7579" s="18">
        <f>62818880613</f>
        <v>62818880613</v>
      </c>
      <c r="N7579" s="17" t="s">
        <v>74</v>
      </c>
      <c r="V7579" s="18">
        <f>62818880613</f>
        <v>62818880613</v>
      </c>
    </row>
    <row r="7580" ht="15" customHeight="1" spans="1:22" x14ac:dyDescent="0.25">
      <c r="A7580" s="17" t="s">
        <v>21171</v>
      </c>
      <c r="B7580" s="17" t="s">
        <v>70</v>
      </c>
      <c r="C7580" s="17" t="s">
        <v>71</v>
      </c>
      <c r="D7580" t="s">
        <v>21172</v>
      </c>
      <c r="F7580" t="s">
        <v>4458</v>
      </c>
      <c r="K7580" s="18">
        <f>6281519083390</f>
        <v>6281519083390</v>
      </c>
      <c r="N7580" s="17" t="s">
        <v>77</v>
      </c>
      <c r="V7580" s="18">
        <f>6281519083390</f>
        <v>6281519083390</v>
      </c>
    </row>
    <row r="7581" ht="15" customHeight="1" spans="1:28" x14ac:dyDescent="0.25">
      <c r="A7581" s="17" t="s">
        <v>21173</v>
      </c>
      <c r="B7581" s="17" t="s">
        <v>70</v>
      </c>
      <c r="C7581" s="17" t="s">
        <v>71</v>
      </c>
      <c r="D7581" t="s">
        <v>21172</v>
      </c>
      <c r="F7581" t="s">
        <v>21174</v>
      </c>
      <c r="J7581" s="17" t="s">
        <v>21175</v>
      </c>
      <c r="K7581" s="18" t="s">
        <v>21176</v>
      </c>
      <c r="N7581" s="17" t="s">
        <v>77</v>
      </c>
      <c r="O7581" t="s">
        <v>199</v>
      </c>
      <c r="V7581" s="18" t="s">
        <v>21176</v>
      </c>
      <c r="Y7581" t="s">
        <v>190</v>
      </c>
      <c r="AA7581" t="s">
        <v>118</v>
      </c>
      <c r="AB7581" t="s">
        <v>119</v>
      </c>
    </row>
    <row r="7582" ht="15" customHeight="1" spans="1:22" x14ac:dyDescent="0.25">
      <c r="A7582" s="17" t="s">
        <v>21177</v>
      </c>
      <c r="B7582" s="17" t="s">
        <v>70</v>
      </c>
      <c r="C7582" s="17" t="s">
        <v>71</v>
      </c>
      <c r="D7582" t="s">
        <v>21178</v>
      </c>
      <c r="F7582" t="s">
        <v>21178</v>
      </c>
      <c r="K7582" s="18">
        <f>6287787761717</f>
        <v>6287787761717</v>
      </c>
      <c r="N7582" s="17" t="s">
        <v>77</v>
      </c>
      <c r="V7582" s="18">
        <f>6287787761717</f>
        <v>6287787761717</v>
      </c>
    </row>
    <row r="7583" ht="15" customHeight="1" spans="1:23" x14ac:dyDescent="0.25">
      <c r="A7583" s="17" t="s">
        <v>21179</v>
      </c>
      <c r="B7583" s="17" t="s">
        <v>70</v>
      </c>
      <c r="C7583" s="17" t="s">
        <v>71</v>
      </c>
      <c r="D7583" t="s">
        <v>21178</v>
      </c>
      <c r="F7583" t="s">
        <v>21178</v>
      </c>
      <c r="K7583" s="18">
        <f>628118385577</f>
        <v>628118385577</v>
      </c>
      <c r="N7583" s="17" t="s">
        <v>77</v>
      </c>
      <c r="U7583" s="17"/>
      <c r="V7583" s="18">
        <f>628118385577</f>
        <v>628118385577</v>
      </c>
      <c r="W7583" t="s">
        <v>21180</v>
      </c>
    </row>
    <row r="7584" ht="15" customHeight="1" spans="1:22" x14ac:dyDescent="0.25">
      <c r="A7584" s="17" t="s">
        <v>21181</v>
      </c>
      <c r="B7584" s="17" t="s">
        <v>70</v>
      </c>
      <c r="C7584" s="17" t="s">
        <v>71</v>
      </c>
      <c r="D7584" t="s">
        <v>21178</v>
      </c>
      <c r="F7584" t="s">
        <v>21182</v>
      </c>
      <c r="K7584" s="18">
        <f>628119790604</f>
        <v>628119790604</v>
      </c>
      <c r="N7584" s="17" t="s">
        <v>81</v>
      </c>
      <c r="V7584" s="18">
        <f>628119790604</f>
        <v>628119790604</v>
      </c>
    </row>
    <row r="7585" ht="15" customHeight="1" spans="1:28" x14ac:dyDescent="0.25">
      <c r="A7585" s="17" t="s">
        <v>21183</v>
      </c>
      <c r="B7585" s="17" t="s">
        <v>70</v>
      </c>
      <c r="C7585" s="17" t="s">
        <v>71</v>
      </c>
      <c r="D7585" t="s">
        <v>21178</v>
      </c>
      <c r="F7585" t="s">
        <v>21178</v>
      </c>
      <c r="J7585" t="s">
        <v>115</v>
      </c>
      <c r="K7585" s="18" t="s">
        <v>21184</v>
      </c>
      <c r="N7585" s="17" t="s">
        <v>77</v>
      </c>
      <c r="O7585" t="s">
        <v>117</v>
      </c>
      <c r="U7585" s="17"/>
      <c r="V7585" s="18" t="s">
        <v>21184</v>
      </c>
      <c r="W7585" t="s">
        <v>21185</v>
      </c>
      <c r="Y7585" t="s">
        <v>115</v>
      </c>
      <c r="AA7585" t="s">
        <v>115</v>
      </c>
      <c r="AB7585" t="s">
        <v>119</v>
      </c>
    </row>
    <row r="7586" ht="15" customHeight="1" spans="1:22" x14ac:dyDescent="0.25">
      <c r="A7586" s="17" t="s">
        <v>21186</v>
      </c>
      <c r="B7586" s="17" t="s">
        <v>70</v>
      </c>
      <c r="C7586" s="17" t="s">
        <v>71</v>
      </c>
      <c r="D7586" t="s">
        <v>21178</v>
      </c>
      <c r="F7586" t="s">
        <v>21187</v>
      </c>
      <c r="K7586" s="18">
        <f>628129071925</f>
        <v>628129071925</v>
      </c>
      <c r="N7586" s="17" t="s">
        <v>77</v>
      </c>
      <c r="V7586" s="18">
        <f>628129071925</f>
        <v>628129071925</v>
      </c>
    </row>
    <row r="7587" ht="15" customHeight="1" spans="1:22" x14ac:dyDescent="0.25">
      <c r="A7587" s="17" t="s">
        <v>21188</v>
      </c>
      <c r="B7587" s="17" t="s">
        <v>70</v>
      </c>
      <c r="C7587" s="17" t="s">
        <v>71</v>
      </c>
      <c r="D7587" t="s">
        <v>21189</v>
      </c>
      <c r="F7587" t="s">
        <v>7846</v>
      </c>
      <c r="J7587" s="17" t="s">
        <v>21190</v>
      </c>
      <c r="K7587" s="18">
        <f>628118066858</f>
        <v>628118066858</v>
      </c>
      <c r="N7587" s="17" t="s">
        <v>81</v>
      </c>
      <c r="V7587" s="18">
        <f>628118066858</f>
        <v>628118066858</v>
      </c>
    </row>
    <row r="7588" ht="15" customHeight="1" spans="1:22" x14ac:dyDescent="0.25">
      <c r="A7588" s="17" t="s">
        <v>21191</v>
      </c>
      <c r="B7588" s="17" t="s">
        <v>70</v>
      </c>
      <c r="C7588" s="17" t="s">
        <v>71</v>
      </c>
      <c r="D7588" t="s">
        <v>21192</v>
      </c>
      <c r="F7588" t="s">
        <v>21192</v>
      </c>
      <c r="K7588" s="18">
        <f>62811884444</f>
        <v>62811884444</v>
      </c>
      <c r="N7588" s="17" t="s">
        <v>77</v>
      </c>
      <c r="V7588" s="18">
        <f>62811884444</f>
        <v>62811884444</v>
      </c>
    </row>
    <row r="7589" ht="15" customHeight="1" spans="1:28" x14ac:dyDescent="0.25">
      <c r="A7589" s="17" t="s">
        <v>21193</v>
      </c>
      <c r="B7589" s="17" t="s">
        <v>70</v>
      </c>
      <c r="C7589" s="17" t="s">
        <v>71</v>
      </c>
      <c r="D7589" t="s">
        <v>21194</v>
      </c>
      <c r="F7589" t="s">
        <v>21195</v>
      </c>
      <c r="J7589" s="17" t="s">
        <v>21196</v>
      </c>
      <c r="K7589" s="18" t="s">
        <v>21197</v>
      </c>
      <c r="N7589" s="17" t="s">
        <v>77</v>
      </c>
      <c r="O7589" t="s">
        <v>117</v>
      </c>
      <c r="V7589" s="18" t="s">
        <v>21197</v>
      </c>
      <c r="Y7589" t="s">
        <v>115</v>
      </c>
      <c r="AA7589" t="s">
        <v>115</v>
      </c>
      <c r="AB7589" t="s">
        <v>7412</v>
      </c>
    </row>
    <row r="7590" ht="15" customHeight="1" spans="1:25" x14ac:dyDescent="0.25">
      <c r="A7590" s="17" t="s">
        <v>21198</v>
      </c>
      <c r="B7590" s="17" t="s">
        <v>70</v>
      </c>
      <c r="C7590" s="17" t="s">
        <v>71</v>
      </c>
      <c r="D7590" t="s">
        <v>12913</v>
      </c>
      <c r="F7590" t="s">
        <v>21199</v>
      </c>
      <c r="J7590" s="17" t="s">
        <v>21200</v>
      </c>
      <c r="K7590" s="18">
        <f>628111636210</f>
        <v>628111636210</v>
      </c>
      <c r="N7590" s="17" t="s">
        <v>77</v>
      </c>
      <c r="U7590" s="17"/>
      <c r="V7590" s="18">
        <f>628111636210</f>
        <v>628111636210</v>
      </c>
      <c r="W7590" t="s">
        <v>21201</v>
      </c>
      <c r="Y7590" s="17" t="s">
        <v>96</v>
      </c>
    </row>
    <row r="7591" ht="15" customHeight="1" spans="1:22" x14ac:dyDescent="0.25">
      <c r="A7591" s="17" t="s">
        <v>21202</v>
      </c>
      <c r="B7591" s="17" t="s">
        <v>70</v>
      </c>
      <c r="C7591" s="17" t="s">
        <v>71</v>
      </c>
      <c r="D7591" t="s">
        <v>12729</v>
      </c>
      <c r="F7591" t="s">
        <v>868</v>
      </c>
      <c r="K7591" s="18">
        <f>62816881138</f>
        <v>62816881138</v>
      </c>
      <c r="N7591" s="17" t="s">
        <v>77</v>
      </c>
      <c r="V7591" s="18">
        <f>62816881138</f>
        <v>62816881138</v>
      </c>
    </row>
    <row r="7592" ht="15" customHeight="1" spans="1:22" x14ac:dyDescent="0.25">
      <c r="A7592" s="17" t="s">
        <v>21203</v>
      </c>
      <c r="B7592" s="17" t="s">
        <v>70</v>
      </c>
      <c r="C7592" s="17" t="s">
        <v>71</v>
      </c>
      <c r="D7592" t="s">
        <v>21204</v>
      </c>
      <c r="F7592" t="s">
        <v>21204</v>
      </c>
      <c r="K7592" s="18">
        <f>6281288888005</f>
        <v>6281288888005</v>
      </c>
      <c r="N7592" s="17" t="s">
        <v>77</v>
      </c>
      <c r="V7592" s="18">
        <f>6281288888005</f>
        <v>6281288888005</v>
      </c>
    </row>
    <row r="7593" ht="15" customHeight="1" spans="1:23" x14ac:dyDescent="0.25">
      <c r="A7593" s="17" t="s">
        <v>21205</v>
      </c>
      <c r="B7593" s="17" t="s">
        <v>70</v>
      </c>
      <c r="C7593" s="17" t="s">
        <v>71</v>
      </c>
      <c r="D7593" t="s">
        <v>21206</v>
      </c>
      <c r="F7593" t="s">
        <v>21206</v>
      </c>
      <c r="K7593" s="18">
        <f>62811271720</f>
        <v>62811271720</v>
      </c>
      <c r="N7593" s="17" t="s">
        <v>77</v>
      </c>
      <c r="U7593" s="17"/>
      <c r="V7593" s="18">
        <f>62811271720</f>
        <v>62811271720</v>
      </c>
      <c r="W7593" t="s">
        <v>21207</v>
      </c>
    </row>
    <row r="7594" ht="15" customHeight="1" spans="1:22" x14ac:dyDescent="0.25">
      <c r="A7594" s="17" t="s">
        <v>21208</v>
      </c>
      <c r="B7594" s="17" t="s">
        <v>70</v>
      </c>
      <c r="C7594" s="17" t="s">
        <v>71</v>
      </c>
      <c r="D7594" t="s">
        <v>13098</v>
      </c>
      <c r="F7594" t="s">
        <v>21209</v>
      </c>
      <c r="K7594" s="18">
        <f>628170043821</f>
        <v>628170043821</v>
      </c>
      <c r="N7594" s="17" t="s">
        <v>81</v>
      </c>
      <c r="V7594" s="18">
        <f>628170043821</f>
        <v>628170043821</v>
      </c>
    </row>
    <row r="7595" ht="15" customHeight="1" spans="1:28" x14ac:dyDescent="0.25">
      <c r="A7595" s="17" t="s">
        <v>21210</v>
      </c>
      <c r="B7595" s="17" t="s">
        <v>70</v>
      </c>
      <c r="C7595" s="17" t="s">
        <v>71</v>
      </c>
      <c r="D7595" t="s">
        <v>21211</v>
      </c>
      <c r="F7595" t="s">
        <v>150</v>
      </c>
      <c r="J7595" t="s">
        <v>115</v>
      </c>
      <c r="K7595" s="18" t="s">
        <v>21212</v>
      </c>
      <c r="N7595" s="17" t="s">
        <v>77</v>
      </c>
      <c r="O7595" t="s">
        <v>145</v>
      </c>
      <c r="U7595" s="17"/>
      <c r="V7595" s="18" t="s">
        <v>21212</v>
      </c>
      <c r="W7595" t="s">
        <v>21213</v>
      </c>
      <c r="Y7595" s="17" t="s">
        <v>190</v>
      </c>
      <c r="AA7595" t="s">
        <v>118</v>
      </c>
      <c r="AB7595" t="s">
        <v>119</v>
      </c>
    </row>
    <row r="7596" ht="15" customHeight="1" spans="1:28" x14ac:dyDescent="0.25">
      <c r="A7596" s="17" t="s">
        <v>21214</v>
      </c>
      <c r="B7596" s="17" t="s">
        <v>70</v>
      </c>
      <c r="C7596" s="17" t="s">
        <v>71</v>
      </c>
      <c r="D7596" t="s">
        <v>21215</v>
      </c>
      <c r="F7596" t="s">
        <v>8149</v>
      </c>
      <c r="J7596" s="17" t="s">
        <v>21216</v>
      </c>
      <c r="K7596" s="18" t="s">
        <v>21217</v>
      </c>
      <c r="N7596" s="17" t="s">
        <v>81</v>
      </c>
      <c r="O7596" t="s">
        <v>117</v>
      </c>
      <c r="U7596" s="17"/>
      <c r="V7596" s="18" t="s">
        <v>21217</v>
      </c>
      <c r="W7596" t="s">
        <v>21218</v>
      </c>
      <c r="Y7596" t="s">
        <v>190</v>
      </c>
      <c r="AA7596" t="s">
        <v>118</v>
      </c>
      <c r="AB7596" t="s">
        <v>119</v>
      </c>
    </row>
    <row r="7597" ht="15" customHeight="1" spans="1:22" x14ac:dyDescent="0.25">
      <c r="A7597" s="17" t="s">
        <v>21219</v>
      </c>
      <c r="B7597" s="17" t="s">
        <v>70</v>
      </c>
      <c r="C7597" s="17" t="s">
        <v>71</v>
      </c>
      <c r="D7597" t="s">
        <v>4076</v>
      </c>
      <c r="F7597" t="s">
        <v>4076</v>
      </c>
      <c r="K7597" s="18">
        <f>628551019045</f>
        <v>628551019045</v>
      </c>
      <c r="N7597" s="17" t="s">
        <v>77</v>
      </c>
      <c r="V7597" s="18">
        <f>628551019045</f>
        <v>628551019045</v>
      </c>
    </row>
    <row r="7598" ht="15" customHeight="1" spans="1:22" x14ac:dyDescent="0.25">
      <c r="A7598" s="17" t="s">
        <v>21220</v>
      </c>
      <c r="B7598" s="17" t="s">
        <v>70</v>
      </c>
      <c r="C7598" s="17" t="s">
        <v>71</v>
      </c>
      <c r="D7598" t="s">
        <v>4076</v>
      </c>
      <c r="F7598" t="s">
        <v>21221</v>
      </c>
      <c r="K7598" s="18">
        <f>6287782332277</f>
        <v>6287782332277</v>
      </c>
      <c r="N7598" s="17" t="s">
        <v>77</v>
      </c>
      <c r="V7598" s="18">
        <f>6287782332277</f>
        <v>6287782332277</v>
      </c>
    </row>
    <row r="7599" ht="15" customHeight="1" spans="1:28" x14ac:dyDescent="0.25">
      <c r="A7599" s="17" t="s">
        <v>21222</v>
      </c>
      <c r="B7599" s="17" t="s">
        <v>70</v>
      </c>
      <c r="C7599" s="17" t="s">
        <v>71</v>
      </c>
      <c r="D7599" t="s">
        <v>4076</v>
      </c>
      <c r="F7599" t="s">
        <v>21223</v>
      </c>
      <c r="J7599" s="17" t="s">
        <v>21224</v>
      </c>
      <c r="K7599" s="18" t="s">
        <v>21225</v>
      </c>
      <c r="N7599" s="17" t="s">
        <v>77</v>
      </c>
      <c r="O7599" t="s">
        <v>199</v>
      </c>
      <c r="U7599" s="17"/>
      <c r="V7599" s="18" t="s">
        <v>21225</v>
      </c>
      <c r="W7599" t="s">
        <v>21226</v>
      </c>
      <c r="Y7599" t="s">
        <v>90</v>
      </c>
      <c r="AA7599" t="s">
        <v>118</v>
      </c>
      <c r="AB7599" t="s">
        <v>119</v>
      </c>
    </row>
    <row r="7600" ht="15" customHeight="1" spans="1:28" x14ac:dyDescent="0.25">
      <c r="A7600" s="17" t="s">
        <v>21227</v>
      </c>
      <c r="B7600" s="17" t="s">
        <v>70</v>
      </c>
      <c r="C7600" s="17" t="s">
        <v>71</v>
      </c>
      <c r="D7600" t="s">
        <v>4076</v>
      </c>
      <c r="F7600" t="s">
        <v>21228</v>
      </c>
      <c r="J7600" s="17" t="s">
        <v>21229</v>
      </c>
      <c r="K7600" s="18" t="s">
        <v>21230</v>
      </c>
      <c r="N7600" s="17" t="s">
        <v>77</v>
      </c>
      <c r="O7600" t="s">
        <v>145</v>
      </c>
      <c r="V7600" s="18" t="s">
        <v>21230</v>
      </c>
      <c r="Y7600" t="s">
        <v>90</v>
      </c>
      <c r="AA7600" t="s">
        <v>118</v>
      </c>
      <c r="AB7600" t="s">
        <v>119</v>
      </c>
    </row>
    <row r="7601" ht="15" customHeight="1" spans="1:22" x14ac:dyDescent="0.25">
      <c r="A7601" s="17" t="s">
        <v>21231</v>
      </c>
      <c r="B7601" s="17" t="s">
        <v>70</v>
      </c>
      <c r="C7601" s="17" t="s">
        <v>71</v>
      </c>
      <c r="D7601" t="s">
        <v>4076</v>
      </c>
      <c r="F7601" t="s">
        <v>21232</v>
      </c>
      <c r="K7601" s="18">
        <f>62817723469</f>
        <v>62817723469</v>
      </c>
      <c r="N7601" s="17" t="s">
        <v>77</v>
      </c>
      <c r="V7601" s="18">
        <f>62817723469</f>
        <v>62817723469</v>
      </c>
    </row>
    <row r="7602" ht="15" customHeight="1" spans="1:25" x14ac:dyDescent="0.25">
      <c r="A7602" s="17" t="s">
        <v>21233</v>
      </c>
      <c r="B7602" s="17" t="s">
        <v>70</v>
      </c>
      <c r="C7602" s="17" t="s">
        <v>71</v>
      </c>
      <c r="D7602" t="s">
        <v>21234</v>
      </c>
      <c r="F7602" t="s">
        <v>21234</v>
      </c>
      <c r="K7602" s="18">
        <f>6281290926495</f>
        <v>6281290926495</v>
      </c>
      <c r="N7602" s="17" t="s">
        <v>77</v>
      </c>
      <c r="U7602" s="17"/>
      <c r="V7602" s="18">
        <f>6281290926495</f>
        <v>6281290926495</v>
      </c>
      <c r="W7602" t="s">
        <v>21235</v>
      </c>
      <c r="Y7602" s="17" t="s">
        <v>1084</v>
      </c>
    </row>
    <row r="7603" ht="15" customHeight="1" spans="1:22" x14ac:dyDescent="0.25">
      <c r="A7603" s="17" t="s">
        <v>21236</v>
      </c>
      <c r="B7603" s="17" t="s">
        <v>70</v>
      </c>
      <c r="C7603" s="17" t="s">
        <v>71</v>
      </c>
      <c r="D7603" t="s">
        <v>21234</v>
      </c>
      <c r="F7603" t="s">
        <v>21234</v>
      </c>
      <c r="K7603" s="18">
        <f>628111011093</f>
        <v>628111011093</v>
      </c>
      <c r="N7603" s="17" t="s">
        <v>74</v>
      </c>
      <c r="V7603" s="18">
        <f>628111011093</f>
        <v>628111011093</v>
      </c>
    </row>
    <row r="7604" ht="15" customHeight="1" spans="1:25" x14ac:dyDescent="0.25">
      <c r="A7604" s="17" t="s">
        <v>21237</v>
      </c>
      <c r="B7604" s="17" t="s">
        <v>70</v>
      </c>
      <c r="C7604" s="17" t="s">
        <v>71</v>
      </c>
      <c r="D7604" t="s">
        <v>21238</v>
      </c>
      <c r="F7604" t="s">
        <v>3134</v>
      </c>
      <c r="K7604" s="18">
        <f>62811161866</f>
        <v>62811161866</v>
      </c>
      <c r="N7604" s="17" t="s">
        <v>81</v>
      </c>
      <c r="U7604" s="17"/>
      <c r="V7604" s="18">
        <f>62811161866</f>
        <v>62811161866</v>
      </c>
      <c r="W7604" t="s">
        <v>21239</v>
      </c>
      <c r="Y7604" s="17" t="s">
        <v>1084</v>
      </c>
    </row>
    <row r="7605" ht="15" customHeight="1" spans="1:22" x14ac:dyDescent="0.25">
      <c r="A7605" s="17" t="s">
        <v>21240</v>
      </c>
      <c r="B7605" s="17" t="s">
        <v>70</v>
      </c>
      <c r="C7605" s="17" t="s">
        <v>71</v>
      </c>
      <c r="D7605" t="s">
        <v>21241</v>
      </c>
      <c r="F7605" t="s">
        <v>8492</v>
      </c>
      <c r="K7605" s="18">
        <f>6281389584701</f>
        <v>6281389584701</v>
      </c>
      <c r="N7605" s="17" t="s">
        <v>77</v>
      </c>
      <c r="V7605" s="18">
        <f>6281389584701</f>
        <v>6281389584701</v>
      </c>
    </row>
    <row r="7606" ht="15" customHeight="1" spans="1:28" x14ac:dyDescent="0.25">
      <c r="A7606" s="17" t="s">
        <v>21242</v>
      </c>
      <c r="B7606" s="17" t="s">
        <v>70</v>
      </c>
      <c r="C7606" s="17" t="s">
        <v>71</v>
      </c>
      <c r="D7606" t="s">
        <v>21243</v>
      </c>
      <c r="F7606" t="s">
        <v>1053</v>
      </c>
      <c r="J7606" s="17" t="s">
        <v>21244</v>
      </c>
      <c r="K7606" s="18" t="s">
        <v>21245</v>
      </c>
      <c r="N7606" s="17" t="s">
        <v>77</v>
      </c>
      <c r="O7606" t="s">
        <v>117</v>
      </c>
      <c r="U7606" s="17"/>
      <c r="V7606" s="18" t="s">
        <v>21245</v>
      </c>
      <c r="W7606" t="s">
        <v>21246</v>
      </c>
      <c r="Y7606" s="17" t="s">
        <v>181</v>
      </c>
      <c r="AA7606" t="s">
        <v>1672</v>
      </c>
      <c r="AB7606" t="s">
        <v>119</v>
      </c>
    </row>
    <row r="7607" ht="15" customHeight="1" spans="1:28" x14ac:dyDescent="0.25">
      <c r="A7607" s="17" t="s">
        <v>21247</v>
      </c>
      <c r="B7607" s="17" t="s">
        <v>70</v>
      </c>
      <c r="C7607" s="17" t="s">
        <v>71</v>
      </c>
      <c r="D7607" t="s">
        <v>21248</v>
      </c>
      <c r="F7607" t="s">
        <v>2493</v>
      </c>
      <c r="J7607" s="17" t="s">
        <v>21249</v>
      </c>
      <c r="K7607" s="18" t="s">
        <v>21250</v>
      </c>
      <c r="N7607" s="17" t="s">
        <v>77</v>
      </c>
      <c r="O7607" t="s">
        <v>199</v>
      </c>
      <c r="V7607" s="18" t="s">
        <v>21250</v>
      </c>
      <c r="Y7607" t="s">
        <v>190</v>
      </c>
      <c r="AA7607" t="s">
        <v>118</v>
      </c>
      <c r="AB7607" t="s">
        <v>119</v>
      </c>
    </row>
    <row r="7608" ht="15" customHeight="1" spans="1:28" x14ac:dyDescent="0.25">
      <c r="A7608" s="17" t="s">
        <v>21251</v>
      </c>
      <c r="B7608" s="17" t="s">
        <v>70</v>
      </c>
      <c r="C7608" s="17" t="s">
        <v>71</v>
      </c>
      <c r="D7608" t="s">
        <v>21248</v>
      </c>
      <c r="F7608" t="s">
        <v>13426</v>
      </c>
      <c r="J7608" t="s">
        <v>115</v>
      </c>
      <c r="K7608" s="18" t="s">
        <v>21252</v>
      </c>
      <c r="N7608" s="17" t="s">
        <v>77</v>
      </c>
      <c r="O7608" t="s">
        <v>145</v>
      </c>
      <c r="V7608" s="18" t="s">
        <v>21252</v>
      </c>
      <c r="Y7608" t="s">
        <v>3140</v>
      </c>
      <c r="AA7608" t="s">
        <v>115</v>
      </c>
      <c r="AB7608" t="s">
        <v>3140</v>
      </c>
    </row>
    <row r="7609" ht="15" customHeight="1" spans="1:22" x14ac:dyDescent="0.25">
      <c r="A7609" s="17" t="s">
        <v>21253</v>
      </c>
      <c r="B7609" s="17" t="s">
        <v>70</v>
      </c>
      <c r="C7609" s="17" t="s">
        <v>71</v>
      </c>
      <c r="D7609" t="s">
        <v>21248</v>
      </c>
      <c r="F7609" t="s">
        <v>3869</v>
      </c>
      <c r="J7609" s="17" t="s">
        <v>21254</v>
      </c>
      <c r="K7609" s="18">
        <f>628112953030</f>
        <v>628112953030</v>
      </c>
      <c r="N7609" s="17" t="s">
        <v>81</v>
      </c>
      <c r="V7609" s="18">
        <f>628112953030</f>
        <v>628112953030</v>
      </c>
    </row>
    <row r="7610" ht="15" customHeight="1" spans="1:23" x14ac:dyDescent="0.25">
      <c r="A7610" s="17" t="s">
        <v>21255</v>
      </c>
      <c r="B7610" s="17" t="s">
        <v>70</v>
      </c>
      <c r="C7610" s="17" t="s">
        <v>71</v>
      </c>
      <c r="D7610" t="s">
        <v>21256</v>
      </c>
      <c r="F7610" t="s">
        <v>21257</v>
      </c>
      <c r="J7610" s="17" t="s">
        <v>21258</v>
      </c>
      <c r="K7610" s="18">
        <f>8613661096082</f>
        <v>8613661096082</v>
      </c>
      <c r="N7610" s="17" t="s">
        <v>77</v>
      </c>
      <c r="U7610" s="17"/>
      <c r="V7610" s="18">
        <f>8613661096082</f>
        <v>8613661096082</v>
      </c>
      <c r="W7610" t="s">
        <v>3140</v>
      </c>
    </row>
    <row r="7611" ht="15" customHeight="1" spans="1:22" x14ac:dyDescent="0.25">
      <c r="A7611" s="17" t="s">
        <v>21259</v>
      </c>
      <c r="B7611" s="17" t="s">
        <v>70</v>
      </c>
      <c r="C7611" s="17" t="s">
        <v>71</v>
      </c>
      <c r="D7611" t="s">
        <v>7297</v>
      </c>
      <c r="F7611" t="s">
        <v>21260</v>
      </c>
      <c r="K7611" s="18">
        <f>628119934365</f>
        <v>628119934365</v>
      </c>
      <c r="N7611" s="17" t="s">
        <v>81</v>
      </c>
      <c r="V7611" s="18">
        <f>628119934365</f>
        <v>628119934365</v>
      </c>
    </row>
    <row r="7612" ht="15" customHeight="1" spans="1:28" x14ac:dyDescent="0.25">
      <c r="A7612" s="17" t="s">
        <v>21261</v>
      </c>
      <c r="B7612" s="17" t="s">
        <v>70</v>
      </c>
      <c r="C7612" s="17" t="s">
        <v>71</v>
      </c>
      <c r="D7612" t="s">
        <v>7297</v>
      </c>
      <c r="F7612" t="s">
        <v>21262</v>
      </c>
      <c r="J7612" s="17" t="s">
        <v>21263</v>
      </c>
      <c r="K7612" s="18" t="s">
        <v>21264</v>
      </c>
      <c r="N7612" s="17" t="s">
        <v>77</v>
      </c>
      <c r="O7612" t="s">
        <v>261</v>
      </c>
      <c r="U7612" s="17"/>
      <c r="V7612" s="18" t="s">
        <v>21264</v>
      </c>
      <c r="W7612" t="s">
        <v>21265</v>
      </c>
      <c r="Y7612" t="s">
        <v>90</v>
      </c>
      <c r="AA7612" t="s">
        <v>118</v>
      </c>
      <c r="AB7612" t="s">
        <v>119</v>
      </c>
    </row>
    <row r="7613" ht="15" customHeight="1" spans="1:22" x14ac:dyDescent="0.25">
      <c r="A7613" s="17" t="s">
        <v>21266</v>
      </c>
      <c r="B7613" s="17" t="s">
        <v>70</v>
      </c>
      <c r="C7613" s="17" t="s">
        <v>71</v>
      </c>
      <c r="D7613" t="s">
        <v>7297</v>
      </c>
      <c r="F7613" t="s">
        <v>21267</v>
      </c>
      <c r="K7613" s="18">
        <f>6281284059721</f>
        <v>6281284059721</v>
      </c>
      <c r="N7613" s="17" t="s">
        <v>77</v>
      </c>
      <c r="V7613" s="18">
        <f>6281284059721</f>
        <v>6281284059721</v>
      </c>
    </row>
    <row r="7614" ht="15" customHeight="1" spans="1:22" x14ac:dyDescent="0.25">
      <c r="A7614" s="17" t="s">
        <v>21268</v>
      </c>
      <c r="B7614" s="17" t="s">
        <v>70</v>
      </c>
      <c r="C7614" s="17" t="s">
        <v>71</v>
      </c>
      <c r="D7614" t="s">
        <v>21269</v>
      </c>
      <c r="F7614" t="s">
        <v>21270</v>
      </c>
      <c r="K7614" s="18">
        <f>62817772448</f>
        <v>62817772448</v>
      </c>
      <c r="N7614" s="17" t="s">
        <v>77</v>
      </c>
      <c r="V7614" s="18">
        <f>62817772448</f>
        <v>62817772448</v>
      </c>
    </row>
    <row r="7615" ht="15" customHeight="1" spans="1:22" x14ac:dyDescent="0.25">
      <c r="A7615" s="17" t="s">
        <v>21271</v>
      </c>
      <c r="B7615" s="17" t="s">
        <v>70</v>
      </c>
      <c r="C7615" s="17" t="s">
        <v>71</v>
      </c>
      <c r="D7615" t="s">
        <v>21272</v>
      </c>
      <c r="F7615" t="s">
        <v>21272</v>
      </c>
      <c r="K7615" s="18">
        <f>628126037892</f>
        <v>628126037892</v>
      </c>
      <c r="N7615" s="17" t="s">
        <v>77</v>
      </c>
      <c r="V7615" s="18">
        <f>628126037892</f>
        <v>628126037892</v>
      </c>
    </row>
    <row r="7616" ht="15" customHeight="1" spans="1:22" x14ac:dyDescent="0.25">
      <c r="A7616" s="17" t="s">
        <v>21273</v>
      </c>
      <c r="B7616" s="17" t="s">
        <v>70</v>
      </c>
      <c r="C7616" s="17" t="s">
        <v>71</v>
      </c>
      <c r="D7616" t="s">
        <v>10560</v>
      </c>
      <c r="F7616" t="s">
        <v>21274</v>
      </c>
      <c r="K7616" s="18">
        <f>6287886451999</f>
        <v>6287886451999</v>
      </c>
      <c r="N7616" s="17" t="s">
        <v>81</v>
      </c>
      <c r="V7616" s="18">
        <f>6287886451999</f>
        <v>6287886451999</v>
      </c>
    </row>
    <row r="7617" ht="15" customHeight="1" spans="1:22" x14ac:dyDescent="0.25">
      <c r="A7617" s="17" t="s">
        <v>21275</v>
      </c>
      <c r="B7617" s="17" t="s">
        <v>70</v>
      </c>
      <c r="C7617" s="17" t="s">
        <v>71</v>
      </c>
      <c r="D7617" t="s">
        <v>10560</v>
      </c>
      <c r="F7617" t="s">
        <v>5545</v>
      </c>
      <c r="K7617" s="18">
        <f>6282173700097</f>
        <v>6282173700097</v>
      </c>
      <c r="N7617" s="17" t="s">
        <v>77</v>
      </c>
      <c r="V7617" s="18">
        <f>6282173700097</f>
        <v>6282173700097</v>
      </c>
    </row>
    <row r="7618" ht="15" customHeight="1" spans="1:28" x14ac:dyDescent="0.25">
      <c r="A7618" s="17" t="s">
        <v>21276</v>
      </c>
      <c r="B7618" s="17" t="s">
        <v>70</v>
      </c>
      <c r="C7618" s="17" t="s">
        <v>71</v>
      </c>
      <c r="D7618" t="s">
        <v>21277</v>
      </c>
      <c r="F7618" t="s">
        <v>3645</v>
      </c>
      <c r="J7618" s="17" t="s">
        <v>21278</v>
      </c>
      <c r="K7618" s="18" t="s">
        <v>21279</v>
      </c>
      <c r="N7618" s="17" t="s">
        <v>77</v>
      </c>
      <c r="O7618" t="s">
        <v>145</v>
      </c>
      <c r="V7618" s="18" t="s">
        <v>21279</v>
      </c>
      <c r="Y7618" t="s">
        <v>96</v>
      </c>
      <c r="AA7618" t="s">
        <v>693</v>
      </c>
      <c r="AB7618" t="s">
        <v>119</v>
      </c>
    </row>
    <row r="7619" ht="15" customHeight="1" spans="1:22" x14ac:dyDescent="0.25">
      <c r="A7619" s="17" t="s">
        <v>21280</v>
      </c>
      <c r="B7619" s="17" t="s">
        <v>70</v>
      </c>
      <c r="C7619" s="17" t="s">
        <v>71</v>
      </c>
      <c r="D7619" t="s">
        <v>19793</v>
      </c>
      <c r="F7619" t="s">
        <v>3759</v>
      </c>
      <c r="K7619" s="18">
        <f>6281686688</f>
        <v>6281686688</v>
      </c>
      <c r="N7619" s="17" t="s">
        <v>77</v>
      </c>
      <c r="V7619" s="18">
        <f>6281686688</f>
        <v>6281686688</v>
      </c>
    </row>
    <row r="7620" ht="15" customHeight="1" spans="1:22" x14ac:dyDescent="0.25">
      <c r="A7620" s="17" t="s">
        <v>21281</v>
      </c>
      <c r="B7620" s="17" t="s">
        <v>70</v>
      </c>
      <c r="C7620" s="17" t="s">
        <v>71</v>
      </c>
      <c r="D7620" t="s">
        <v>19793</v>
      </c>
      <c r="F7620" t="s">
        <v>669</v>
      </c>
      <c r="K7620" s="18">
        <f>6281808170809</f>
        <v>6281808170809</v>
      </c>
      <c r="N7620" s="17" t="s">
        <v>81</v>
      </c>
      <c r="V7620" s="18">
        <f>6281808170809</f>
        <v>6281808170809</v>
      </c>
    </row>
    <row r="7621" ht="15" customHeight="1" spans="1:23" x14ac:dyDescent="0.25">
      <c r="A7621" s="17" t="s">
        <v>21282</v>
      </c>
      <c r="B7621" s="17" t="s">
        <v>70</v>
      </c>
      <c r="C7621" s="17" t="s">
        <v>71</v>
      </c>
      <c r="D7621" t="s">
        <v>21283</v>
      </c>
      <c r="F7621" t="s">
        <v>21284</v>
      </c>
      <c r="K7621" s="18">
        <f>6287888111552</f>
        <v>6287888111552</v>
      </c>
      <c r="N7621" s="17" t="s">
        <v>81</v>
      </c>
      <c r="U7621" s="17"/>
      <c r="V7621" s="18">
        <f>6287888111552</f>
        <v>6287888111552</v>
      </c>
      <c r="W7621" t="s">
        <v>21285</v>
      </c>
    </row>
    <row r="7622" ht="15" customHeight="1" spans="1:28" x14ac:dyDescent="0.25">
      <c r="A7622" s="17" t="s">
        <v>21286</v>
      </c>
      <c r="B7622" s="17" t="s">
        <v>70</v>
      </c>
      <c r="C7622" s="17" t="s">
        <v>71</v>
      </c>
      <c r="D7622" t="s">
        <v>21287</v>
      </c>
      <c r="F7622" t="s">
        <v>21288</v>
      </c>
      <c r="J7622" t="s">
        <v>21289</v>
      </c>
      <c r="K7622" s="18" t="s">
        <v>21290</v>
      </c>
      <c r="N7622" s="17" t="s">
        <v>81</v>
      </c>
      <c r="O7622" t="s">
        <v>261</v>
      </c>
      <c r="U7622" s="17"/>
      <c r="V7622" s="18" t="s">
        <v>21290</v>
      </c>
      <c r="W7622" t="s">
        <v>21291</v>
      </c>
      <c r="Y7622" s="17" t="s">
        <v>90</v>
      </c>
      <c r="AA7622" t="s">
        <v>118</v>
      </c>
      <c r="AB7622" t="s">
        <v>119</v>
      </c>
    </row>
    <row r="7623" ht="15" customHeight="1" spans="1:23" x14ac:dyDescent="0.25">
      <c r="A7623" s="17" t="s">
        <v>21292</v>
      </c>
      <c r="B7623" s="17" t="s">
        <v>70</v>
      </c>
      <c r="C7623" s="17" t="s">
        <v>71</v>
      </c>
      <c r="D7623" t="s">
        <v>21293</v>
      </c>
      <c r="F7623" t="s">
        <v>21294</v>
      </c>
      <c r="K7623" s="18">
        <f>62818852000</f>
        <v>62818852000</v>
      </c>
      <c r="N7623" s="17" t="s">
        <v>77</v>
      </c>
      <c r="U7623" s="17"/>
      <c r="V7623" s="18">
        <f>62818852000</f>
        <v>62818852000</v>
      </c>
      <c r="W7623" t="s">
        <v>21295</v>
      </c>
    </row>
    <row r="7624" ht="15" customHeight="1" spans="1:22" x14ac:dyDescent="0.25">
      <c r="A7624" s="17" t="s">
        <v>21296</v>
      </c>
      <c r="B7624" s="17" t="s">
        <v>70</v>
      </c>
      <c r="C7624" s="17" t="s">
        <v>71</v>
      </c>
      <c r="D7624" t="s">
        <v>21293</v>
      </c>
      <c r="F7624" t="s">
        <v>21297</v>
      </c>
      <c r="K7624" s="18">
        <f>62817178084</f>
        <v>62817178084</v>
      </c>
      <c r="N7624" s="17" t="s">
        <v>77</v>
      </c>
      <c r="V7624" s="18">
        <f>62817178084</f>
        <v>62817178084</v>
      </c>
    </row>
    <row r="7625" ht="15" customHeight="1" spans="1:22" x14ac:dyDescent="0.25">
      <c r="A7625" s="17" t="s">
        <v>21298</v>
      </c>
      <c r="B7625" s="17" t="s">
        <v>70</v>
      </c>
      <c r="C7625" s="17" t="s">
        <v>71</v>
      </c>
      <c r="D7625" t="s">
        <v>21293</v>
      </c>
      <c r="F7625" t="s">
        <v>21299</v>
      </c>
      <c r="J7625" s="17" t="s">
        <v>21300</v>
      </c>
      <c r="K7625" s="18">
        <f>6285310102712</f>
        <v>6285310102712</v>
      </c>
      <c r="N7625" s="17" t="s">
        <v>81</v>
      </c>
      <c r="V7625" s="18">
        <f>6285310102712</f>
        <v>6285310102712</v>
      </c>
    </row>
    <row r="7626" ht="15" customHeight="1" spans="1:25" x14ac:dyDescent="0.25">
      <c r="A7626" s="17" t="s">
        <v>21301</v>
      </c>
      <c r="B7626" s="17" t="s">
        <v>70</v>
      </c>
      <c r="C7626" s="17" t="s">
        <v>71</v>
      </c>
      <c r="D7626" t="s">
        <v>21302</v>
      </c>
      <c r="F7626" t="s">
        <v>1589</v>
      </c>
      <c r="K7626" s="18">
        <f>622129012957</f>
        <v>622129012957</v>
      </c>
      <c r="N7626" s="17" t="s">
        <v>74</v>
      </c>
      <c r="V7626" s="18">
        <f>622129012957</f>
        <v>622129012957</v>
      </c>
      <c r="Y7626" s="17" t="s">
        <v>21303</v>
      </c>
    </row>
    <row r="7627" ht="15" customHeight="1" spans="1:28" x14ac:dyDescent="0.25">
      <c r="A7627" s="17" t="s">
        <v>21304</v>
      </c>
      <c r="B7627" s="17" t="s">
        <v>70</v>
      </c>
      <c r="C7627" s="17" t="s">
        <v>71</v>
      </c>
      <c r="D7627" t="s">
        <v>21302</v>
      </c>
      <c r="F7627" t="s">
        <v>21305</v>
      </c>
      <c r="J7627" s="17" t="s">
        <v>21306</v>
      </c>
      <c r="K7627" s="18" t="s">
        <v>21307</v>
      </c>
      <c r="N7627" s="17" t="s">
        <v>77</v>
      </c>
      <c r="O7627" t="s">
        <v>199</v>
      </c>
      <c r="U7627" s="17"/>
      <c r="V7627" s="18" t="s">
        <v>21307</v>
      </c>
      <c r="W7627" t="s">
        <v>3140</v>
      </c>
      <c r="Y7627" t="s">
        <v>115</v>
      </c>
      <c r="AA7627" t="s">
        <v>115</v>
      </c>
      <c r="AB7627" t="s">
        <v>3140</v>
      </c>
    </row>
    <row r="7628" ht="15" customHeight="1" spans="1:28" x14ac:dyDescent="0.25">
      <c r="A7628" s="17" t="s">
        <v>21308</v>
      </c>
      <c r="B7628" s="17" t="s">
        <v>70</v>
      </c>
      <c r="C7628" s="17" t="s">
        <v>71</v>
      </c>
      <c r="D7628" t="s">
        <v>21309</v>
      </c>
      <c r="F7628" t="s">
        <v>18201</v>
      </c>
      <c r="J7628" t="s">
        <v>115</v>
      </c>
      <c r="K7628" s="18" t="s">
        <v>21310</v>
      </c>
      <c r="N7628" s="17" t="s">
        <v>74</v>
      </c>
      <c r="O7628" t="s">
        <v>117</v>
      </c>
      <c r="U7628" s="17"/>
      <c r="V7628" s="18" t="s">
        <v>21310</v>
      </c>
      <c r="W7628" t="s">
        <v>21311</v>
      </c>
      <c r="Y7628" s="17" t="s">
        <v>190</v>
      </c>
      <c r="AA7628" s="17" t="s">
        <v>118</v>
      </c>
      <c r="AB7628" t="s">
        <v>119</v>
      </c>
    </row>
    <row r="7629" ht="15" customHeight="1" spans="1:23" x14ac:dyDescent="0.25">
      <c r="A7629" s="17" t="s">
        <v>21312</v>
      </c>
      <c r="B7629" s="17" t="s">
        <v>70</v>
      </c>
      <c r="C7629" s="17" t="s">
        <v>71</v>
      </c>
      <c r="D7629" t="s">
        <v>21313</v>
      </c>
      <c r="F7629" t="s">
        <v>2320</v>
      </c>
      <c r="K7629" s="18">
        <f>6287869321998</f>
        <v>6287869321998</v>
      </c>
      <c r="N7629" s="17" t="s">
        <v>81</v>
      </c>
      <c r="U7629" s="17"/>
      <c r="V7629" s="18">
        <f>6287869321998</f>
        <v>6287869321998</v>
      </c>
      <c r="W7629" t="s">
        <v>21314</v>
      </c>
    </row>
    <row r="7630" ht="15" customHeight="1" spans="1:22" x14ac:dyDescent="0.25">
      <c r="A7630" s="17" t="s">
        <v>21315</v>
      </c>
      <c r="B7630" s="17" t="s">
        <v>70</v>
      </c>
      <c r="C7630" s="17" t="s">
        <v>71</v>
      </c>
      <c r="D7630" t="s">
        <v>21316</v>
      </c>
      <c r="F7630" t="s">
        <v>21316</v>
      </c>
      <c r="K7630" s="18">
        <f>6281918888838</f>
        <v>6281918888838</v>
      </c>
      <c r="N7630" s="17" t="s">
        <v>77</v>
      </c>
      <c r="V7630" s="18">
        <f>6281918888838</f>
        <v>6281918888838</v>
      </c>
    </row>
    <row r="7631" ht="15" customHeight="1" spans="1:23" x14ac:dyDescent="0.25">
      <c r="A7631" s="17" t="s">
        <v>21317</v>
      </c>
      <c r="B7631" s="17" t="s">
        <v>70</v>
      </c>
      <c r="C7631" s="17" t="s">
        <v>71</v>
      </c>
      <c r="D7631" t="s">
        <v>21316</v>
      </c>
      <c r="F7631" t="s">
        <v>21318</v>
      </c>
      <c r="K7631" s="18">
        <f>6281932133175</f>
        <v>6281932133175</v>
      </c>
      <c r="N7631" s="17" t="s">
        <v>77</v>
      </c>
      <c r="U7631" s="17"/>
      <c r="V7631" s="18">
        <f>6281932133175</f>
        <v>6281932133175</v>
      </c>
      <c r="W7631" t="s">
        <v>21319</v>
      </c>
    </row>
    <row r="7632" ht="15" customHeight="1" spans="1:22" x14ac:dyDescent="0.25">
      <c r="A7632" s="17" t="s">
        <v>21320</v>
      </c>
      <c r="B7632" s="17" t="s">
        <v>70</v>
      </c>
      <c r="C7632" s="17" t="s">
        <v>71</v>
      </c>
      <c r="D7632" t="s">
        <v>21316</v>
      </c>
      <c r="F7632" t="s">
        <v>21321</v>
      </c>
      <c r="K7632" s="18">
        <f>628159037563</f>
        <v>628159037563</v>
      </c>
      <c r="N7632" s="17" t="s">
        <v>81</v>
      </c>
      <c r="V7632" s="18">
        <f>628159037563</f>
        <v>628159037563</v>
      </c>
    </row>
    <row r="7633" ht="15" customHeight="1" spans="1:25" x14ac:dyDescent="0.25">
      <c r="A7633" s="17" t="s">
        <v>21322</v>
      </c>
      <c r="B7633" s="17" t="s">
        <v>70</v>
      </c>
      <c r="C7633" s="17" t="s">
        <v>71</v>
      </c>
      <c r="D7633" t="s">
        <v>21323</v>
      </c>
      <c r="F7633" t="s">
        <v>21323</v>
      </c>
      <c r="J7633" s="17" t="s">
        <v>21324</v>
      </c>
      <c r="K7633" s="18">
        <f>6281285095801</f>
        <v>6281285095801</v>
      </c>
      <c r="N7633" s="17" t="s">
        <v>77</v>
      </c>
      <c r="U7633" s="17"/>
      <c r="V7633" s="18">
        <f>6281285095801</f>
        <v>6281285095801</v>
      </c>
      <c r="W7633" t="s">
        <v>21325</v>
      </c>
      <c r="Y7633" s="17" t="s">
        <v>96</v>
      </c>
    </row>
    <row r="7634" ht="15" customHeight="1" spans="1:22" x14ac:dyDescent="0.25">
      <c r="A7634" s="17" t="s">
        <v>21326</v>
      </c>
      <c r="B7634" s="17" t="s">
        <v>70</v>
      </c>
      <c r="C7634" s="17" t="s">
        <v>71</v>
      </c>
      <c r="D7634" t="s">
        <v>21323</v>
      </c>
      <c r="F7634" t="s">
        <v>21323</v>
      </c>
      <c r="K7634" s="18">
        <f>62819891668</f>
        <v>62819891668</v>
      </c>
      <c r="N7634" s="17" t="s">
        <v>81</v>
      </c>
      <c r="V7634" s="18">
        <f>62819891668</f>
        <v>62819891668</v>
      </c>
    </row>
    <row r="7635" ht="15" customHeight="1" spans="1:28" x14ac:dyDescent="0.25">
      <c r="A7635" s="17" t="s">
        <v>21327</v>
      </c>
      <c r="B7635" s="17" t="s">
        <v>70</v>
      </c>
      <c r="C7635" s="17" t="s">
        <v>71</v>
      </c>
      <c r="D7635" t="s">
        <v>21323</v>
      </c>
      <c r="F7635" t="s">
        <v>21323</v>
      </c>
      <c r="J7635" t="s">
        <v>115</v>
      </c>
      <c r="K7635" s="18" t="s">
        <v>21328</v>
      </c>
      <c r="N7635" s="17" t="s">
        <v>74</v>
      </c>
      <c r="O7635" t="s">
        <v>1188</v>
      </c>
      <c r="V7635" s="18" t="s">
        <v>21328</v>
      </c>
      <c r="Y7635" t="s">
        <v>190</v>
      </c>
      <c r="AA7635" t="s">
        <v>118</v>
      </c>
      <c r="AB7635" t="s">
        <v>119</v>
      </c>
    </row>
    <row r="7636" ht="15" customHeight="1" spans="1:28" x14ac:dyDescent="0.25">
      <c r="A7636" s="17" t="s">
        <v>21329</v>
      </c>
      <c r="B7636" s="17" t="s">
        <v>70</v>
      </c>
      <c r="C7636" s="17" t="s">
        <v>71</v>
      </c>
      <c r="D7636" t="s">
        <v>21323</v>
      </c>
      <c r="F7636" t="s">
        <v>4251</v>
      </c>
      <c r="J7636" t="s">
        <v>115</v>
      </c>
      <c r="K7636" s="18" t="s">
        <v>21330</v>
      </c>
      <c r="N7636" s="17" t="s">
        <v>74</v>
      </c>
      <c r="O7636" t="s">
        <v>489</v>
      </c>
      <c r="U7636" s="17"/>
      <c r="V7636" s="18" t="s">
        <v>21330</v>
      </c>
      <c r="W7636" t="s">
        <v>21331</v>
      </c>
      <c r="Y7636" t="s">
        <v>115</v>
      </c>
      <c r="AA7636" t="s">
        <v>115</v>
      </c>
      <c r="AB7636" t="s">
        <v>119</v>
      </c>
    </row>
    <row r="7637" ht="15" customHeight="1" spans="1:22" x14ac:dyDescent="0.25">
      <c r="A7637" s="17" t="s">
        <v>21332</v>
      </c>
      <c r="B7637" s="17" t="s">
        <v>70</v>
      </c>
      <c r="C7637" s="17" t="s">
        <v>71</v>
      </c>
      <c r="D7637" t="s">
        <v>21323</v>
      </c>
      <c r="F7637" t="s">
        <v>4630</v>
      </c>
      <c r="K7637" s="18">
        <f>62811189196</f>
        <v>62811189196</v>
      </c>
      <c r="N7637" s="17" t="s">
        <v>74</v>
      </c>
      <c r="V7637" s="18">
        <f>62811189196</f>
        <v>62811189196</v>
      </c>
    </row>
    <row r="7638" ht="15" customHeight="1" spans="1:23" x14ac:dyDescent="0.25">
      <c r="A7638" s="17" t="s">
        <v>21333</v>
      </c>
      <c r="B7638" s="17" t="s">
        <v>70</v>
      </c>
      <c r="C7638" s="17" t="s">
        <v>71</v>
      </c>
      <c r="D7638" t="s">
        <v>21323</v>
      </c>
      <c r="F7638" t="s">
        <v>21334</v>
      </c>
      <c r="J7638" s="17" t="s">
        <v>21335</v>
      </c>
      <c r="K7638" s="18">
        <f>6281353065059</f>
        <v>6281353065059</v>
      </c>
      <c r="N7638" s="17" t="s">
        <v>77</v>
      </c>
      <c r="U7638" s="17"/>
      <c r="V7638" s="18">
        <f>6281353065059</f>
        <v>6281353065059</v>
      </c>
      <c r="W7638" t="s">
        <v>21336</v>
      </c>
    </row>
    <row r="7639" ht="15" customHeight="1" spans="1:28" x14ac:dyDescent="0.25">
      <c r="A7639" s="17" t="s">
        <v>21337</v>
      </c>
      <c r="B7639" s="17" t="s">
        <v>70</v>
      </c>
      <c r="C7639" s="17" t="s">
        <v>71</v>
      </c>
      <c r="D7639" t="s">
        <v>21323</v>
      </c>
      <c r="F7639" t="s">
        <v>8463</v>
      </c>
      <c r="J7639" s="17" t="s">
        <v>21338</v>
      </c>
      <c r="K7639" s="18" t="s">
        <v>21339</v>
      </c>
      <c r="N7639" s="17" t="s">
        <v>77</v>
      </c>
      <c r="O7639" t="s">
        <v>145</v>
      </c>
      <c r="U7639" s="17"/>
      <c r="V7639" s="18" t="s">
        <v>21339</v>
      </c>
      <c r="W7639" t="s">
        <v>21340</v>
      </c>
      <c r="Y7639" t="s">
        <v>115</v>
      </c>
      <c r="AA7639" t="s">
        <v>115</v>
      </c>
      <c r="AB7639" t="s">
        <v>119</v>
      </c>
    </row>
    <row r="7640" ht="15" customHeight="1" spans="1:22" x14ac:dyDescent="0.25">
      <c r="A7640" s="17" t="s">
        <v>21341</v>
      </c>
      <c r="B7640" s="17" t="s">
        <v>70</v>
      </c>
      <c r="C7640" s="17" t="s">
        <v>71</v>
      </c>
      <c r="D7640" t="s">
        <v>21323</v>
      </c>
      <c r="F7640" t="s">
        <v>19129</v>
      </c>
      <c r="K7640" s="18">
        <f>62818432112</f>
        <v>62818432112</v>
      </c>
      <c r="N7640" s="17" t="s">
        <v>77</v>
      </c>
      <c r="V7640" s="18">
        <f>62818432112</f>
        <v>62818432112</v>
      </c>
    </row>
    <row r="7641" ht="15" customHeight="1" spans="1:28" x14ac:dyDescent="0.25">
      <c r="A7641" s="17" t="s">
        <v>21342</v>
      </c>
      <c r="B7641" s="17" t="s">
        <v>70</v>
      </c>
      <c r="C7641" s="17" t="s">
        <v>71</v>
      </c>
      <c r="D7641" t="s">
        <v>21323</v>
      </c>
      <c r="F7641" t="s">
        <v>21343</v>
      </c>
      <c r="J7641" t="s">
        <v>115</v>
      </c>
      <c r="K7641" s="18" t="s">
        <v>21344</v>
      </c>
      <c r="N7641" s="17" t="s">
        <v>77</v>
      </c>
      <c r="O7641" t="s">
        <v>145</v>
      </c>
      <c r="V7641" s="18" t="s">
        <v>21344</v>
      </c>
      <c r="Y7641" t="s">
        <v>90</v>
      </c>
      <c r="AA7641" t="s">
        <v>118</v>
      </c>
      <c r="AB7641" t="s">
        <v>119</v>
      </c>
    </row>
    <row r="7642" ht="15" customHeight="1" spans="1:27" x14ac:dyDescent="0.25">
      <c r="A7642" s="17" t="s">
        <v>21345</v>
      </c>
      <c r="B7642" s="17" t="s">
        <v>70</v>
      </c>
      <c r="C7642" s="17" t="s">
        <v>71</v>
      </c>
      <c r="D7642" t="s">
        <v>21323</v>
      </c>
      <c r="F7642" t="s">
        <v>21346</v>
      </c>
      <c r="K7642" s="18">
        <f>628176525434</f>
        <v>628176525434</v>
      </c>
      <c r="N7642" s="17" t="s">
        <v>77</v>
      </c>
      <c r="U7642" s="17"/>
      <c r="V7642" s="18">
        <f>628176525434</f>
        <v>628176525434</v>
      </c>
      <c r="W7642" t="s">
        <v>21347</v>
      </c>
      <c r="Y7642" s="17" t="s">
        <v>90</v>
      </c>
      <c r="AA7642" s="17" t="s">
        <v>21348</v>
      </c>
    </row>
    <row r="7643" ht="15" customHeight="1" spans="1:28" x14ac:dyDescent="0.25">
      <c r="A7643" s="17" t="s">
        <v>21349</v>
      </c>
      <c r="B7643" s="17" t="s">
        <v>70</v>
      </c>
      <c r="C7643" s="17" t="s">
        <v>71</v>
      </c>
      <c r="D7643" t="s">
        <v>21323</v>
      </c>
      <c r="F7643" t="s">
        <v>5564</v>
      </c>
      <c r="J7643" t="s">
        <v>115</v>
      </c>
      <c r="K7643" s="18" t="s">
        <v>21350</v>
      </c>
      <c r="N7643" s="17" t="s">
        <v>77</v>
      </c>
      <c r="O7643" t="s">
        <v>489</v>
      </c>
      <c r="U7643" s="17"/>
      <c r="V7643" s="18" t="s">
        <v>21350</v>
      </c>
      <c r="W7643" t="s">
        <v>21351</v>
      </c>
      <c r="Y7643" t="s">
        <v>90</v>
      </c>
      <c r="AA7643" t="s">
        <v>118</v>
      </c>
      <c r="AB7643" t="s">
        <v>119</v>
      </c>
    </row>
    <row r="7644" ht="15" customHeight="1" spans="1:22" x14ac:dyDescent="0.25">
      <c r="A7644" s="17" t="s">
        <v>21352</v>
      </c>
      <c r="B7644" s="17" t="s">
        <v>70</v>
      </c>
      <c r="C7644" s="17" t="s">
        <v>71</v>
      </c>
      <c r="D7644" t="s">
        <v>21323</v>
      </c>
      <c r="F7644" t="s">
        <v>6214</v>
      </c>
      <c r="K7644" s="18">
        <f>628117171123</f>
        <v>628117171123</v>
      </c>
      <c r="N7644" s="17" t="s">
        <v>81</v>
      </c>
      <c r="V7644" s="18">
        <f>628117171123</f>
        <v>628117171123</v>
      </c>
    </row>
    <row r="7645" ht="15" customHeight="1" spans="1:28" x14ac:dyDescent="0.25">
      <c r="A7645" s="17" t="s">
        <v>21353</v>
      </c>
      <c r="B7645" s="17" t="s">
        <v>70</v>
      </c>
      <c r="C7645" s="17" t="s">
        <v>71</v>
      </c>
      <c r="D7645" t="s">
        <v>21323</v>
      </c>
      <c r="F7645" t="s">
        <v>21354</v>
      </c>
      <c r="J7645" t="s">
        <v>115</v>
      </c>
      <c r="K7645" s="18" t="s">
        <v>21355</v>
      </c>
      <c r="N7645" s="17" t="s">
        <v>74</v>
      </c>
      <c r="O7645" t="s">
        <v>1188</v>
      </c>
      <c r="U7645" s="17"/>
      <c r="V7645" s="18" t="s">
        <v>21355</v>
      </c>
      <c r="W7645" t="s">
        <v>21356</v>
      </c>
      <c r="Y7645" t="s">
        <v>90</v>
      </c>
      <c r="AA7645" s="17" t="s">
        <v>118</v>
      </c>
      <c r="AB7645" t="s">
        <v>119</v>
      </c>
    </row>
    <row r="7646" ht="15" customHeight="1" spans="1:23" x14ac:dyDescent="0.25">
      <c r="A7646" s="17" t="s">
        <v>21357</v>
      </c>
      <c r="B7646" s="17" t="s">
        <v>70</v>
      </c>
      <c r="C7646" s="17" t="s">
        <v>71</v>
      </c>
      <c r="D7646" t="s">
        <v>21323</v>
      </c>
      <c r="F7646" t="s">
        <v>1169</v>
      </c>
      <c r="J7646" s="17" t="s">
        <v>21358</v>
      </c>
      <c r="K7646" s="18">
        <f>62816760962</f>
        <v>62816760962</v>
      </c>
      <c r="N7646" s="17" t="s">
        <v>81</v>
      </c>
      <c r="U7646" s="17"/>
      <c r="V7646" s="18">
        <f>62816760962</f>
        <v>62816760962</v>
      </c>
      <c r="W7646" t="s">
        <v>21359</v>
      </c>
    </row>
    <row r="7647" ht="15" customHeight="1" spans="1:22" x14ac:dyDescent="0.25">
      <c r="A7647" s="17" t="s">
        <v>21360</v>
      </c>
      <c r="B7647" s="17" t="s">
        <v>70</v>
      </c>
      <c r="C7647" s="17" t="s">
        <v>71</v>
      </c>
      <c r="D7647" t="s">
        <v>21361</v>
      </c>
      <c r="F7647" t="s">
        <v>14153</v>
      </c>
      <c r="K7647" s="18">
        <f>628119780189</f>
        <v>628119780189</v>
      </c>
      <c r="N7647" s="17" t="s">
        <v>77</v>
      </c>
      <c r="V7647" s="18">
        <f>628119780189</f>
        <v>628119780189</v>
      </c>
    </row>
    <row r="7648" ht="15" customHeight="1" spans="1:22" x14ac:dyDescent="0.25">
      <c r="A7648" s="17" t="s">
        <v>21362</v>
      </c>
      <c r="B7648" s="17" t="s">
        <v>70</v>
      </c>
      <c r="C7648" s="17" t="s">
        <v>71</v>
      </c>
      <c r="D7648" t="s">
        <v>21363</v>
      </c>
      <c r="F7648" t="s">
        <v>2445</v>
      </c>
      <c r="K7648" s="18">
        <f>62811741557</f>
        <v>62811741557</v>
      </c>
      <c r="N7648" s="17" t="s">
        <v>81</v>
      </c>
      <c r="V7648" s="18">
        <f>62811741557</f>
        <v>62811741557</v>
      </c>
    </row>
    <row r="7649" ht="15" customHeight="1" spans="1:28" x14ac:dyDescent="0.25">
      <c r="A7649" s="17" t="s">
        <v>21364</v>
      </c>
      <c r="B7649" s="17" t="s">
        <v>70</v>
      </c>
      <c r="C7649" s="17" t="s">
        <v>71</v>
      </c>
      <c r="D7649" t="s">
        <v>21365</v>
      </c>
      <c r="F7649" t="s">
        <v>21365</v>
      </c>
      <c r="J7649" t="s">
        <v>115</v>
      </c>
      <c r="K7649" s="18" t="s">
        <v>21366</v>
      </c>
      <c r="N7649" s="17" t="s">
        <v>77</v>
      </c>
      <c r="O7649" t="s">
        <v>199</v>
      </c>
      <c r="V7649" s="18" t="s">
        <v>21366</v>
      </c>
      <c r="Y7649" t="s">
        <v>3028</v>
      </c>
      <c r="AA7649" t="s">
        <v>9062</v>
      </c>
      <c r="AB7649" t="s">
        <v>119</v>
      </c>
    </row>
    <row r="7650" ht="15" customHeight="1" spans="1:23" x14ac:dyDescent="0.25">
      <c r="A7650" s="17" t="s">
        <v>21367</v>
      </c>
      <c r="B7650" s="17" t="s">
        <v>70</v>
      </c>
      <c r="C7650" s="17" t="s">
        <v>71</v>
      </c>
      <c r="D7650" t="s">
        <v>21365</v>
      </c>
      <c r="F7650" t="s">
        <v>21368</v>
      </c>
      <c r="K7650" s="18">
        <f>85267518273</f>
        <v>85267518273</v>
      </c>
      <c r="N7650" s="17" t="s">
        <v>81</v>
      </c>
      <c r="U7650" s="17"/>
      <c r="V7650" s="18">
        <f>85267518273</f>
        <v>85267518273</v>
      </c>
      <c r="W7650" t="s">
        <v>21369</v>
      </c>
    </row>
    <row r="7651" ht="15" customHeight="1" spans="1:28" x14ac:dyDescent="0.25">
      <c r="A7651" s="17" t="s">
        <v>21370</v>
      </c>
      <c r="B7651" s="17" t="s">
        <v>70</v>
      </c>
      <c r="C7651" s="17" t="s">
        <v>71</v>
      </c>
      <c r="D7651" t="s">
        <v>21365</v>
      </c>
      <c r="F7651" t="s">
        <v>21371</v>
      </c>
      <c r="J7651" s="17" t="s">
        <v>21372</v>
      </c>
      <c r="K7651" s="18" t="s">
        <v>21373</v>
      </c>
      <c r="N7651" s="17" t="s">
        <v>77</v>
      </c>
      <c r="O7651" t="s">
        <v>199</v>
      </c>
      <c r="V7651" s="18" t="s">
        <v>21373</v>
      </c>
      <c r="Y7651" t="s">
        <v>190</v>
      </c>
      <c r="AA7651" t="s">
        <v>118</v>
      </c>
      <c r="AB7651" t="s">
        <v>119</v>
      </c>
    </row>
    <row r="7652" ht="15" customHeight="1" spans="1:27" x14ac:dyDescent="0.25">
      <c r="A7652" s="17" t="s">
        <v>21374</v>
      </c>
      <c r="B7652" s="17" t="s">
        <v>70</v>
      </c>
      <c r="C7652" s="17" t="s">
        <v>71</v>
      </c>
      <c r="D7652" t="s">
        <v>21365</v>
      </c>
      <c r="F7652" t="s">
        <v>15311</v>
      </c>
      <c r="K7652" s="18">
        <v>251666123</v>
      </c>
      <c r="N7652" s="17" t="s">
        <v>74</v>
      </c>
      <c r="U7652" s="17"/>
      <c r="V7652" s="18">
        <v>251666123</v>
      </c>
      <c r="W7652" t="s">
        <v>21375</v>
      </c>
      <c r="Y7652" s="17" t="s">
        <v>622</v>
      </c>
      <c r="AA7652" s="17" t="s">
        <v>21376</v>
      </c>
    </row>
    <row r="7653" ht="15" customHeight="1" spans="1:25" x14ac:dyDescent="0.25">
      <c r="A7653" s="17" t="s">
        <v>21377</v>
      </c>
      <c r="B7653" s="17" t="s">
        <v>70</v>
      </c>
      <c r="C7653" s="17" t="s">
        <v>71</v>
      </c>
      <c r="D7653" t="s">
        <v>21365</v>
      </c>
      <c r="F7653" t="s">
        <v>21378</v>
      </c>
      <c r="K7653" s="18">
        <f>6281319688882</f>
        <v>6281319688882</v>
      </c>
      <c r="N7653" s="17" t="s">
        <v>74</v>
      </c>
      <c r="U7653" s="17"/>
      <c r="V7653" s="18">
        <f>6281319688882</f>
        <v>6281319688882</v>
      </c>
      <c r="W7653" t="s">
        <v>21379</v>
      </c>
      <c r="Y7653" s="17" t="s">
        <v>96</v>
      </c>
    </row>
    <row r="7654" ht="15" customHeight="1" spans="1:22" x14ac:dyDescent="0.25">
      <c r="A7654" s="17" t="s">
        <v>21380</v>
      </c>
      <c r="B7654" s="17" t="s">
        <v>70</v>
      </c>
      <c r="C7654" s="17" t="s">
        <v>71</v>
      </c>
      <c r="D7654" t="s">
        <v>3645</v>
      </c>
      <c r="F7654" t="s">
        <v>3645</v>
      </c>
      <c r="K7654" s="18">
        <f>628211722200</f>
        <v>628211722200</v>
      </c>
      <c r="N7654" s="17" t="s">
        <v>77</v>
      </c>
      <c r="V7654" s="18">
        <f>628211722200</f>
        <v>628211722200</v>
      </c>
    </row>
    <row r="7655" ht="15" customHeight="1" spans="1:22" x14ac:dyDescent="0.25">
      <c r="A7655" s="17" t="s">
        <v>21381</v>
      </c>
      <c r="B7655" s="17" t="s">
        <v>70</v>
      </c>
      <c r="C7655" s="17" t="s">
        <v>71</v>
      </c>
      <c r="D7655" t="s">
        <v>3645</v>
      </c>
      <c r="F7655" t="s">
        <v>3645</v>
      </c>
      <c r="K7655" s="18">
        <f>6281316068323</f>
        <v>6281316068323</v>
      </c>
      <c r="N7655" s="17" t="s">
        <v>74</v>
      </c>
      <c r="V7655" s="18">
        <f>6281316068323</f>
        <v>6281316068323</v>
      </c>
    </row>
    <row r="7656" ht="15" customHeight="1" spans="1:28" x14ac:dyDescent="0.25">
      <c r="A7656" s="17" t="s">
        <v>21382</v>
      </c>
      <c r="B7656" s="17" t="s">
        <v>70</v>
      </c>
      <c r="C7656" s="17" t="s">
        <v>71</v>
      </c>
      <c r="D7656" t="s">
        <v>3645</v>
      </c>
      <c r="F7656" t="s">
        <v>3866</v>
      </c>
      <c r="J7656" s="17" t="s">
        <v>21383</v>
      </c>
      <c r="K7656" s="18" t="s">
        <v>21384</v>
      </c>
      <c r="N7656" s="17" t="s">
        <v>77</v>
      </c>
      <c r="O7656" t="s">
        <v>489</v>
      </c>
      <c r="U7656" s="17"/>
      <c r="V7656" s="18" t="s">
        <v>21384</v>
      </c>
      <c r="W7656" t="s">
        <v>21385</v>
      </c>
      <c r="Y7656" t="s">
        <v>190</v>
      </c>
      <c r="AA7656" s="17" t="s">
        <v>118</v>
      </c>
      <c r="AB7656" t="s">
        <v>119</v>
      </c>
    </row>
    <row r="7657" ht="15" customHeight="1" spans="1:25" x14ac:dyDescent="0.25">
      <c r="A7657" s="17" t="s">
        <v>21386</v>
      </c>
      <c r="B7657" s="17" t="s">
        <v>70</v>
      </c>
      <c r="C7657" s="17" t="s">
        <v>71</v>
      </c>
      <c r="D7657" t="s">
        <v>3645</v>
      </c>
      <c r="F7657" t="s">
        <v>212</v>
      </c>
      <c r="K7657" s="18">
        <f>6281278534888</f>
        <v>6281278534888</v>
      </c>
      <c r="N7657" s="17" t="s">
        <v>81</v>
      </c>
      <c r="U7657" s="17"/>
      <c r="V7657" s="18">
        <f>6281278534888</f>
        <v>6281278534888</v>
      </c>
      <c r="W7657" t="s">
        <v>21387</v>
      </c>
      <c r="Y7657" s="17" t="s">
        <v>90</v>
      </c>
    </row>
    <row r="7658" ht="15" customHeight="1" spans="1:28" x14ac:dyDescent="0.25">
      <c r="A7658" s="17" t="s">
        <v>21388</v>
      </c>
      <c r="B7658" s="17" t="s">
        <v>70</v>
      </c>
      <c r="C7658" s="17" t="s">
        <v>71</v>
      </c>
      <c r="D7658" t="s">
        <v>3645</v>
      </c>
      <c r="F7658" t="s">
        <v>212</v>
      </c>
      <c r="J7658" t="s">
        <v>21389</v>
      </c>
      <c r="K7658" s="18" t="s">
        <v>21390</v>
      </c>
      <c r="N7658" s="17" t="s">
        <v>77</v>
      </c>
      <c r="O7658" t="s">
        <v>199</v>
      </c>
      <c r="U7658" s="17"/>
      <c r="V7658" s="18" t="s">
        <v>21390</v>
      </c>
      <c r="W7658" t="s">
        <v>3320</v>
      </c>
      <c r="Y7658" t="s">
        <v>96</v>
      </c>
      <c r="AA7658" t="s">
        <v>693</v>
      </c>
      <c r="AB7658" t="s">
        <v>119</v>
      </c>
    </row>
    <row r="7659" ht="15" customHeight="1" spans="1:23" x14ac:dyDescent="0.25">
      <c r="A7659" s="17" t="s">
        <v>21391</v>
      </c>
      <c r="B7659" s="17" t="s">
        <v>70</v>
      </c>
      <c r="C7659" s="17" t="s">
        <v>71</v>
      </c>
      <c r="D7659" t="s">
        <v>3645</v>
      </c>
      <c r="F7659" t="s">
        <v>17216</v>
      </c>
      <c r="J7659" s="17" t="s">
        <v>21392</v>
      </c>
      <c r="K7659" s="18">
        <f>6281888003838</f>
        <v>6281888003838</v>
      </c>
      <c r="N7659" s="17" t="s">
        <v>77</v>
      </c>
      <c r="U7659" s="17"/>
      <c r="V7659" s="18">
        <f>6281888003838</f>
        <v>6281888003838</v>
      </c>
      <c r="W7659" t="s">
        <v>21393</v>
      </c>
    </row>
    <row r="7660" ht="15" customHeight="1" spans="1:22" x14ac:dyDescent="0.25">
      <c r="A7660" s="17" t="s">
        <v>21394</v>
      </c>
      <c r="B7660" s="17" t="s">
        <v>70</v>
      </c>
      <c r="C7660" s="17" t="s">
        <v>71</v>
      </c>
      <c r="D7660" t="s">
        <v>3645</v>
      </c>
      <c r="F7660" t="s">
        <v>4479</v>
      </c>
      <c r="J7660" s="17" t="s">
        <v>21395</v>
      </c>
      <c r="K7660" s="18">
        <f>628121069191</f>
        <v>628121069191</v>
      </c>
      <c r="N7660" s="17" t="s">
        <v>77</v>
      </c>
      <c r="V7660" s="18">
        <f>628121069191</f>
        <v>628121069191</v>
      </c>
    </row>
    <row r="7661" ht="15" customHeight="1" spans="1:28" x14ac:dyDescent="0.25">
      <c r="A7661" s="17" t="s">
        <v>21396</v>
      </c>
      <c r="B7661" s="17" t="s">
        <v>70</v>
      </c>
      <c r="C7661" s="17" t="s">
        <v>71</v>
      </c>
      <c r="D7661" t="s">
        <v>3645</v>
      </c>
      <c r="F7661" t="s">
        <v>3645</v>
      </c>
      <c r="J7661" t="s">
        <v>115</v>
      </c>
      <c r="K7661" s="18" t="s">
        <v>21397</v>
      </c>
      <c r="N7661" s="17" t="s">
        <v>77</v>
      </c>
      <c r="O7661" t="s">
        <v>117</v>
      </c>
      <c r="V7661" s="18" t="s">
        <v>21397</v>
      </c>
      <c r="Y7661" t="s">
        <v>190</v>
      </c>
      <c r="AA7661" t="s">
        <v>118</v>
      </c>
      <c r="AB7661" t="s">
        <v>119</v>
      </c>
    </row>
    <row r="7662" ht="15" customHeight="1" spans="1:22" x14ac:dyDescent="0.25">
      <c r="A7662" s="17" t="s">
        <v>21398</v>
      </c>
      <c r="B7662" s="17" t="s">
        <v>70</v>
      </c>
      <c r="C7662" s="17" t="s">
        <v>71</v>
      </c>
      <c r="D7662" t="s">
        <v>3645</v>
      </c>
      <c r="F7662" t="s">
        <v>21399</v>
      </c>
      <c r="K7662" s="18">
        <f>6281212213000</f>
        <v>6281212213000</v>
      </c>
      <c r="N7662" s="17" t="s">
        <v>81</v>
      </c>
      <c r="V7662" s="18">
        <f>6281212213000</f>
        <v>6281212213000</v>
      </c>
    </row>
    <row r="7663" ht="15" customHeight="1" spans="1:28" x14ac:dyDescent="0.25">
      <c r="A7663" s="17" t="s">
        <v>21400</v>
      </c>
      <c r="B7663" s="17" t="s">
        <v>70</v>
      </c>
      <c r="C7663" s="17" t="s">
        <v>71</v>
      </c>
      <c r="D7663" t="s">
        <v>3645</v>
      </c>
      <c r="F7663" t="s">
        <v>879</v>
      </c>
      <c r="J7663" s="17" t="s">
        <v>21401</v>
      </c>
      <c r="K7663" s="18" t="s">
        <v>21402</v>
      </c>
      <c r="N7663" s="17" t="s">
        <v>77</v>
      </c>
      <c r="O7663" t="s">
        <v>199</v>
      </c>
      <c r="V7663" s="18" t="s">
        <v>21402</v>
      </c>
      <c r="Y7663" t="s">
        <v>90</v>
      </c>
      <c r="AA7663" t="s">
        <v>118</v>
      </c>
      <c r="AB7663" t="s">
        <v>119</v>
      </c>
    </row>
    <row r="7664" ht="15" customHeight="1" spans="1:22" x14ac:dyDescent="0.25">
      <c r="A7664" s="17" t="s">
        <v>21403</v>
      </c>
      <c r="B7664" s="17" t="s">
        <v>70</v>
      </c>
      <c r="C7664" s="17" t="s">
        <v>71</v>
      </c>
      <c r="D7664" t="s">
        <v>3645</v>
      </c>
      <c r="F7664" t="s">
        <v>21404</v>
      </c>
      <c r="J7664" s="17" t="s">
        <v>21405</v>
      </c>
      <c r="K7664" s="18">
        <f>62818919195</f>
        <v>62818919195</v>
      </c>
      <c r="N7664" s="17" t="s">
        <v>77</v>
      </c>
      <c r="V7664" s="18">
        <f>62818919195</f>
        <v>62818919195</v>
      </c>
    </row>
    <row r="7665" ht="15" customHeight="1" spans="1:28" x14ac:dyDescent="0.25">
      <c r="A7665" s="17" t="s">
        <v>21406</v>
      </c>
      <c r="B7665" s="17" t="s">
        <v>70</v>
      </c>
      <c r="C7665" s="17" t="s">
        <v>71</v>
      </c>
      <c r="D7665" t="s">
        <v>3645</v>
      </c>
      <c r="F7665" t="s">
        <v>11853</v>
      </c>
      <c r="J7665" t="s">
        <v>115</v>
      </c>
      <c r="K7665" s="18" t="s">
        <v>21407</v>
      </c>
      <c r="N7665" s="17" t="s">
        <v>77</v>
      </c>
      <c r="O7665" t="s">
        <v>145</v>
      </c>
      <c r="V7665" s="18" t="s">
        <v>21407</v>
      </c>
      <c r="Y7665" t="s">
        <v>90</v>
      </c>
      <c r="AA7665" t="s">
        <v>118</v>
      </c>
      <c r="AB7665" t="s">
        <v>119</v>
      </c>
    </row>
    <row r="7666" ht="15" customHeight="1" spans="1:22" x14ac:dyDescent="0.25">
      <c r="A7666" s="17" t="s">
        <v>21408</v>
      </c>
      <c r="B7666" s="17" t="s">
        <v>70</v>
      </c>
      <c r="C7666" s="17" t="s">
        <v>71</v>
      </c>
      <c r="D7666" t="s">
        <v>3645</v>
      </c>
      <c r="F7666" t="s">
        <v>21409</v>
      </c>
      <c r="K7666" s="18">
        <f>6281214531686</f>
        <v>6281214531686</v>
      </c>
      <c r="N7666" s="17" t="s">
        <v>81</v>
      </c>
      <c r="V7666" s="18">
        <f>6281214531686</f>
        <v>6281214531686</v>
      </c>
    </row>
    <row r="7667" ht="15" customHeight="1" spans="1:23" x14ac:dyDescent="0.25">
      <c r="A7667" s="17" t="s">
        <v>21410</v>
      </c>
      <c r="B7667" s="17" t="s">
        <v>70</v>
      </c>
      <c r="C7667" s="17" t="s">
        <v>71</v>
      </c>
      <c r="D7667" t="s">
        <v>3645</v>
      </c>
      <c r="F7667" t="s">
        <v>153</v>
      </c>
      <c r="K7667" s="18">
        <f>6281316060329</f>
        <v>6281316060329</v>
      </c>
      <c r="N7667" s="17" t="s">
        <v>77</v>
      </c>
      <c r="U7667" s="17"/>
      <c r="V7667" s="18">
        <f>6281316060329</f>
        <v>6281316060329</v>
      </c>
      <c r="W7667" t="s">
        <v>21411</v>
      </c>
    </row>
    <row r="7668" ht="15" customHeight="1" spans="1:28" x14ac:dyDescent="0.25">
      <c r="A7668" s="17" t="s">
        <v>21412</v>
      </c>
      <c r="B7668" s="17" t="s">
        <v>70</v>
      </c>
      <c r="C7668" s="17" t="s">
        <v>71</v>
      </c>
      <c r="D7668" t="s">
        <v>3645</v>
      </c>
      <c r="F7668" t="s">
        <v>153</v>
      </c>
      <c r="J7668" s="17" t="s">
        <v>21413</v>
      </c>
      <c r="K7668" s="18" t="s">
        <v>21414</v>
      </c>
      <c r="N7668" s="17" t="s">
        <v>77</v>
      </c>
      <c r="O7668" t="s">
        <v>117</v>
      </c>
      <c r="V7668" s="18" t="s">
        <v>21414</v>
      </c>
      <c r="Y7668" t="s">
        <v>190</v>
      </c>
      <c r="AA7668" t="s">
        <v>118</v>
      </c>
      <c r="AB7668" t="s">
        <v>119</v>
      </c>
    </row>
    <row r="7669" ht="15" customHeight="1" spans="1:28" x14ac:dyDescent="0.25">
      <c r="A7669" s="17" t="s">
        <v>21415</v>
      </c>
      <c r="B7669" s="17" t="s">
        <v>70</v>
      </c>
      <c r="C7669" s="17" t="s">
        <v>71</v>
      </c>
      <c r="D7669" t="s">
        <v>3645</v>
      </c>
      <c r="F7669" t="s">
        <v>21416</v>
      </c>
      <c r="J7669" s="17" t="s">
        <v>21417</v>
      </c>
      <c r="K7669" s="18" t="s">
        <v>21418</v>
      </c>
      <c r="N7669" s="17" t="s">
        <v>81</v>
      </c>
      <c r="O7669" t="s">
        <v>261</v>
      </c>
      <c r="U7669" s="17"/>
      <c r="V7669" s="18" t="s">
        <v>21418</v>
      </c>
      <c r="W7669" t="s">
        <v>21419</v>
      </c>
      <c r="Y7669" t="s">
        <v>190</v>
      </c>
      <c r="AA7669" t="s">
        <v>118</v>
      </c>
      <c r="AB7669" t="s">
        <v>119</v>
      </c>
    </row>
    <row r="7670" ht="15" customHeight="1" spans="1:23" x14ac:dyDescent="0.25">
      <c r="A7670" s="17" t="s">
        <v>21420</v>
      </c>
      <c r="B7670" s="17" t="s">
        <v>70</v>
      </c>
      <c r="C7670" s="17" t="s">
        <v>71</v>
      </c>
      <c r="D7670" t="s">
        <v>3645</v>
      </c>
      <c r="F7670" t="s">
        <v>7315</v>
      </c>
      <c r="J7670" s="17" t="s">
        <v>21421</v>
      </c>
      <c r="K7670" s="18">
        <f>628121031827</f>
        <v>628121031827</v>
      </c>
      <c r="N7670" s="17" t="s">
        <v>77</v>
      </c>
      <c r="U7670" s="17"/>
      <c r="V7670" s="18">
        <f>628121031827</f>
        <v>628121031827</v>
      </c>
      <c r="W7670" t="s">
        <v>21422</v>
      </c>
    </row>
    <row r="7671" ht="15" customHeight="1" spans="1:22" x14ac:dyDescent="0.25">
      <c r="A7671" s="17" t="s">
        <v>21423</v>
      </c>
      <c r="B7671" s="17" t="s">
        <v>70</v>
      </c>
      <c r="C7671" s="17" t="s">
        <v>71</v>
      </c>
      <c r="D7671" t="s">
        <v>21424</v>
      </c>
      <c r="F7671" t="s">
        <v>21425</v>
      </c>
      <c r="K7671" s="18">
        <f>628127081689</f>
        <v>628127081689</v>
      </c>
      <c r="N7671" s="17" t="s">
        <v>77</v>
      </c>
      <c r="V7671" s="18">
        <f>628127081689</f>
        <v>628127081689</v>
      </c>
    </row>
    <row r="7672" ht="15" customHeight="1" spans="1:25" x14ac:dyDescent="0.25">
      <c r="A7672" s="17" t="s">
        <v>21426</v>
      </c>
      <c r="B7672" s="17" t="s">
        <v>70</v>
      </c>
      <c r="C7672" s="17" t="s">
        <v>71</v>
      </c>
      <c r="D7672" t="s">
        <v>21427</v>
      </c>
      <c r="F7672" t="s">
        <v>10519</v>
      </c>
      <c r="J7672" s="17" t="s">
        <v>21428</v>
      </c>
      <c r="K7672" s="18">
        <f>6281377238888</f>
        <v>6281377238888</v>
      </c>
      <c r="N7672" s="17" t="s">
        <v>81</v>
      </c>
      <c r="U7672" s="17"/>
      <c r="V7672" s="18">
        <f>6281377238888</f>
        <v>6281377238888</v>
      </c>
      <c r="W7672" t="s">
        <v>21429</v>
      </c>
      <c r="Y7672" s="17" t="s">
        <v>13662</v>
      </c>
    </row>
    <row r="7673" ht="15" customHeight="1" spans="1:25" x14ac:dyDescent="0.25">
      <c r="A7673" s="17" t="s">
        <v>21430</v>
      </c>
      <c r="B7673" s="17" t="s">
        <v>70</v>
      </c>
      <c r="C7673" s="17" t="s">
        <v>71</v>
      </c>
      <c r="D7673" t="s">
        <v>21431</v>
      </c>
      <c r="F7673" t="s">
        <v>21432</v>
      </c>
      <c r="J7673" s="17" t="s">
        <v>21433</v>
      </c>
      <c r="K7673" s="18">
        <f>6281294634666</f>
        <v>6281294634666</v>
      </c>
      <c r="N7673" s="17" t="s">
        <v>81</v>
      </c>
      <c r="U7673" s="17"/>
      <c r="V7673" s="18">
        <f>6281294634666</f>
        <v>6281294634666</v>
      </c>
      <c r="W7673" t="s">
        <v>21434</v>
      </c>
      <c r="Y7673" s="17" t="s">
        <v>21435</v>
      </c>
    </row>
    <row r="7674" ht="15" customHeight="1" spans="1:22" x14ac:dyDescent="0.25">
      <c r="A7674" s="17" t="s">
        <v>21436</v>
      </c>
      <c r="B7674" s="17" t="s">
        <v>70</v>
      </c>
      <c r="C7674" s="17" t="s">
        <v>71</v>
      </c>
      <c r="D7674" t="s">
        <v>21437</v>
      </c>
      <c r="F7674" t="s">
        <v>21437</v>
      </c>
      <c r="K7674" s="18">
        <f>62818989110</f>
        <v>62818989110</v>
      </c>
      <c r="N7674" s="17" t="s">
        <v>81</v>
      </c>
      <c r="V7674" s="18">
        <f>62818989110</f>
        <v>62818989110</v>
      </c>
    </row>
    <row r="7675" ht="15" customHeight="1" spans="1:28" x14ac:dyDescent="0.25">
      <c r="A7675" s="17" t="s">
        <v>21438</v>
      </c>
      <c r="B7675" s="17" t="s">
        <v>70</v>
      </c>
      <c r="C7675" s="17" t="s">
        <v>71</v>
      </c>
      <c r="D7675" t="s">
        <v>21439</v>
      </c>
      <c r="F7675" t="s">
        <v>17082</v>
      </c>
      <c r="J7675" t="s">
        <v>115</v>
      </c>
      <c r="K7675" s="18" t="s">
        <v>21440</v>
      </c>
      <c r="N7675" s="17" t="s">
        <v>74</v>
      </c>
      <c r="O7675" t="s">
        <v>117</v>
      </c>
      <c r="V7675" s="18" t="s">
        <v>21440</v>
      </c>
      <c r="Y7675" t="s">
        <v>90</v>
      </c>
      <c r="AA7675" t="s">
        <v>118</v>
      </c>
      <c r="AB7675" t="s">
        <v>119</v>
      </c>
    </row>
    <row r="7676" ht="15" customHeight="1" spans="1:22" x14ac:dyDescent="0.25">
      <c r="A7676" s="17" t="s">
        <v>21441</v>
      </c>
      <c r="B7676" s="17" t="s">
        <v>70</v>
      </c>
      <c r="C7676" s="17" t="s">
        <v>71</v>
      </c>
      <c r="D7676" t="s">
        <v>21439</v>
      </c>
      <c r="F7676" t="s">
        <v>21442</v>
      </c>
      <c r="K7676" s="18">
        <f>6281287511875</f>
        <v>6281287511875</v>
      </c>
      <c r="N7676" s="17" t="s">
        <v>77</v>
      </c>
      <c r="V7676" s="18">
        <f>6281287511875</f>
        <v>6281287511875</v>
      </c>
    </row>
    <row r="7677" ht="15" customHeight="1" spans="1:22" x14ac:dyDescent="0.25">
      <c r="A7677" s="17" t="s">
        <v>21443</v>
      </c>
      <c r="B7677" s="17" t="s">
        <v>70</v>
      </c>
      <c r="C7677" s="17" t="s">
        <v>71</v>
      </c>
      <c r="D7677" t="s">
        <v>21444</v>
      </c>
      <c r="F7677" t="s">
        <v>21444</v>
      </c>
      <c r="K7677" s="18">
        <f>62818699191</f>
        <v>62818699191</v>
      </c>
      <c r="N7677" s="17" t="s">
        <v>74</v>
      </c>
      <c r="V7677" s="18">
        <f>62818699191</f>
        <v>62818699191</v>
      </c>
    </row>
    <row r="7678" ht="15" customHeight="1" spans="1:23" x14ac:dyDescent="0.25">
      <c r="A7678" s="17" t="s">
        <v>21445</v>
      </c>
      <c r="B7678" s="17" t="s">
        <v>70</v>
      </c>
      <c r="C7678" s="17" t="s">
        <v>71</v>
      </c>
      <c r="D7678" t="s">
        <v>21444</v>
      </c>
      <c r="F7678" t="s">
        <v>6671</v>
      </c>
      <c r="K7678" s="18">
        <f>62816610362</f>
        <v>62816610362</v>
      </c>
      <c r="N7678" s="17" t="s">
        <v>81</v>
      </c>
      <c r="U7678" s="17"/>
      <c r="V7678" s="18">
        <f>62816610362</f>
        <v>62816610362</v>
      </c>
      <c r="W7678" t="s">
        <v>21446</v>
      </c>
    </row>
    <row r="7679" ht="15" customHeight="1" spans="1:22" x14ac:dyDescent="0.25">
      <c r="A7679" s="17" t="s">
        <v>21447</v>
      </c>
      <c r="B7679" s="17" t="s">
        <v>70</v>
      </c>
      <c r="C7679" s="17" t="s">
        <v>71</v>
      </c>
      <c r="D7679" t="s">
        <v>21448</v>
      </c>
      <c r="F7679" t="s">
        <v>8308</v>
      </c>
      <c r="J7679" s="17" t="s">
        <v>21449</v>
      </c>
      <c r="K7679" s="18">
        <f>62811821777</f>
        <v>62811821777</v>
      </c>
      <c r="N7679" s="17" t="s">
        <v>81</v>
      </c>
      <c r="V7679" s="18">
        <f>62811821777</f>
        <v>62811821777</v>
      </c>
    </row>
    <row r="7680" ht="15" customHeight="1" spans="1:22" x14ac:dyDescent="0.25">
      <c r="A7680" s="17" t="s">
        <v>21450</v>
      </c>
      <c r="B7680" s="17" t="s">
        <v>70</v>
      </c>
      <c r="C7680" s="17" t="s">
        <v>71</v>
      </c>
      <c r="D7680" t="s">
        <v>21448</v>
      </c>
      <c r="F7680" t="s">
        <v>21451</v>
      </c>
      <c r="K7680" s="18">
        <f>6281219199121</f>
        <v>6281219199121</v>
      </c>
      <c r="N7680" s="17" t="s">
        <v>74</v>
      </c>
      <c r="V7680" s="18">
        <f>6281219199121</f>
        <v>6281219199121</v>
      </c>
    </row>
    <row r="7681" ht="15" customHeight="1" spans="1:22" x14ac:dyDescent="0.25">
      <c r="A7681" s="17" t="s">
        <v>21452</v>
      </c>
      <c r="B7681" s="17" t="s">
        <v>70</v>
      </c>
      <c r="C7681" s="17" t="s">
        <v>71</v>
      </c>
      <c r="D7681" t="s">
        <v>21448</v>
      </c>
      <c r="F7681" t="s">
        <v>21453</v>
      </c>
      <c r="K7681" s="18">
        <f>628119304448</f>
        <v>628119304448</v>
      </c>
      <c r="N7681" s="17" t="s">
        <v>74</v>
      </c>
      <c r="V7681" s="18">
        <f>628119304448</f>
        <v>628119304448</v>
      </c>
    </row>
    <row r="7682" ht="15" customHeight="1" spans="1:23" x14ac:dyDescent="0.25">
      <c r="A7682" s="17" t="s">
        <v>21454</v>
      </c>
      <c r="B7682" s="17" t="s">
        <v>70</v>
      </c>
      <c r="C7682" s="17" t="s">
        <v>71</v>
      </c>
      <c r="D7682" t="s">
        <v>21448</v>
      </c>
      <c r="F7682" t="s">
        <v>1750</v>
      </c>
      <c r="K7682" s="18">
        <f>628129292585</f>
        <v>628129292585</v>
      </c>
      <c r="N7682" s="17" t="s">
        <v>81</v>
      </c>
      <c r="U7682" s="17"/>
      <c r="V7682" s="18">
        <f>628129292585</f>
        <v>628129292585</v>
      </c>
      <c r="W7682" t="s">
        <v>21455</v>
      </c>
    </row>
    <row r="7683" ht="15" customHeight="1" spans="1:22" x14ac:dyDescent="0.25">
      <c r="A7683" s="17" t="s">
        <v>21456</v>
      </c>
      <c r="B7683" s="17" t="s">
        <v>70</v>
      </c>
      <c r="C7683" s="17" t="s">
        <v>71</v>
      </c>
      <c r="D7683" t="s">
        <v>21448</v>
      </c>
      <c r="F7683" t="s">
        <v>21457</v>
      </c>
      <c r="K7683" s="18">
        <f>628161827470</f>
        <v>628161827470</v>
      </c>
      <c r="N7683" s="17" t="s">
        <v>77</v>
      </c>
      <c r="V7683" s="18">
        <f>628161827470</f>
        <v>628161827470</v>
      </c>
    </row>
    <row r="7684" ht="15" customHeight="1" spans="1:28" x14ac:dyDescent="0.25">
      <c r="A7684" s="17" t="s">
        <v>21458</v>
      </c>
      <c r="B7684" s="17" t="s">
        <v>70</v>
      </c>
      <c r="C7684" s="17" t="s">
        <v>71</v>
      </c>
      <c r="D7684" t="s">
        <v>21448</v>
      </c>
      <c r="F7684" t="s">
        <v>21459</v>
      </c>
      <c r="J7684" t="s">
        <v>115</v>
      </c>
      <c r="K7684" s="18" t="s">
        <v>21460</v>
      </c>
      <c r="N7684" s="17" t="s">
        <v>81</v>
      </c>
      <c r="O7684" t="s">
        <v>117</v>
      </c>
      <c r="V7684" s="18" t="s">
        <v>21460</v>
      </c>
      <c r="Y7684" t="s">
        <v>190</v>
      </c>
      <c r="AA7684" t="s">
        <v>118</v>
      </c>
      <c r="AB7684" t="s">
        <v>119</v>
      </c>
    </row>
    <row r="7685" ht="15" customHeight="1" spans="1:22" x14ac:dyDescent="0.25">
      <c r="A7685" s="17" t="s">
        <v>21461</v>
      </c>
      <c r="B7685" s="17" t="s">
        <v>70</v>
      </c>
      <c r="C7685" s="17" t="s">
        <v>71</v>
      </c>
      <c r="D7685" t="s">
        <v>21448</v>
      </c>
      <c r="F7685" t="s">
        <v>2269</v>
      </c>
      <c r="K7685" s="18">
        <f>6281295116795</f>
        <v>6281295116795</v>
      </c>
      <c r="N7685" s="17" t="s">
        <v>74</v>
      </c>
      <c r="V7685" s="18">
        <f>6281295116795</f>
        <v>6281295116795</v>
      </c>
    </row>
    <row r="7686" ht="15" customHeight="1" spans="1:28" x14ac:dyDescent="0.25">
      <c r="A7686" s="17" t="s">
        <v>21462</v>
      </c>
      <c r="B7686" s="17" t="s">
        <v>70</v>
      </c>
      <c r="C7686" s="17" t="s">
        <v>71</v>
      </c>
      <c r="D7686" t="s">
        <v>21463</v>
      </c>
      <c r="F7686" t="s">
        <v>21464</v>
      </c>
      <c r="J7686" s="17" t="s">
        <v>21465</v>
      </c>
      <c r="K7686" s="18" t="s">
        <v>21466</v>
      </c>
      <c r="N7686" s="17" t="s">
        <v>77</v>
      </c>
      <c r="O7686" t="s">
        <v>145</v>
      </c>
      <c r="U7686" s="17"/>
      <c r="V7686" s="18" t="s">
        <v>21466</v>
      </c>
      <c r="W7686" t="s">
        <v>1908</v>
      </c>
      <c r="Y7686" t="s">
        <v>115</v>
      </c>
      <c r="AA7686" t="s">
        <v>115</v>
      </c>
      <c r="AB7686" t="s">
        <v>2605</v>
      </c>
    </row>
    <row r="7687" ht="15" customHeight="1" spans="1:22" x14ac:dyDescent="0.25">
      <c r="A7687" s="17" t="s">
        <v>21467</v>
      </c>
      <c r="B7687" s="17" t="s">
        <v>70</v>
      </c>
      <c r="C7687" s="17" t="s">
        <v>71</v>
      </c>
      <c r="D7687" t="s">
        <v>21468</v>
      </c>
      <c r="F7687" t="s">
        <v>21468</v>
      </c>
      <c r="K7687" s="18">
        <f>62816707871</f>
        <v>62816707871</v>
      </c>
      <c r="N7687" s="17" t="s">
        <v>81</v>
      </c>
      <c r="V7687" s="18">
        <f>62816707871</f>
        <v>62816707871</v>
      </c>
    </row>
    <row r="7688" ht="15" customHeight="1" spans="1:22" x14ac:dyDescent="0.25">
      <c r="A7688" s="17" t="s">
        <v>21469</v>
      </c>
      <c r="B7688" s="17" t="s">
        <v>70</v>
      </c>
      <c r="C7688" s="17" t="s">
        <v>71</v>
      </c>
      <c r="D7688" t="s">
        <v>21468</v>
      </c>
      <c r="F7688" t="s">
        <v>21470</v>
      </c>
      <c r="K7688" s="18">
        <f>6281183121</f>
        <v>6281183121</v>
      </c>
      <c r="N7688" s="17" t="s">
        <v>77</v>
      </c>
      <c r="V7688" s="18">
        <f>6281183121</f>
        <v>6281183121</v>
      </c>
    </row>
    <row r="7689" ht="15" customHeight="1" spans="1:28" x14ac:dyDescent="0.25">
      <c r="A7689" s="17" t="s">
        <v>21471</v>
      </c>
      <c r="B7689" s="17" t="s">
        <v>70</v>
      </c>
      <c r="C7689" s="17" t="s">
        <v>71</v>
      </c>
      <c r="D7689" t="s">
        <v>21472</v>
      </c>
      <c r="F7689" t="s">
        <v>9613</v>
      </c>
      <c r="J7689" t="s">
        <v>115</v>
      </c>
      <c r="K7689" s="18" t="s">
        <v>21473</v>
      </c>
      <c r="N7689" s="17" t="s">
        <v>77</v>
      </c>
      <c r="O7689" t="s">
        <v>117</v>
      </c>
      <c r="V7689" s="18" t="s">
        <v>21473</v>
      </c>
      <c r="Y7689" t="s">
        <v>90</v>
      </c>
      <c r="AA7689" t="s">
        <v>118</v>
      </c>
      <c r="AB7689" t="s">
        <v>119</v>
      </c>
    </row>
    <row r="7690" ht="15" customHeight="1" spans="1:28" x14ac:dyDescent="0.25">
      <c r="A7690" s="17" t="s">
        <v>21474</v>
      </c>
      <c r="B7690" s="17" t="s">
        <v>70</v>
      </c>
      <c r="C7690" s="17" t="s">
        <v>71</v>
      </c>
      <c r="D7690" t="s">
        <v>21475</v>
      </c>
      <c r="F7690" t="s">
        <v>21475</v>
      </c>
      <c r="J7690" t="s">
        <v>115</v>
      </c>
      <c r="K7690" s="18" t="s">
        <v>21476</v>
      </c>
      <c r="N7690" s="17" t="s">
        <v>81</v>
      </c>
      <c r="O7690" t="s">
        <v>261</v>
      </c>
      <c r="U7690" s="17"/>
      <c r="V7690" s="18" t="s">
        <v>21476</v>
      </c>
      <c r="W7690" t="s">
        <v>3999</v>
      </c>
      <c r="Y7690" t="s">
        <v>3028</v>
      </c>
      <c r="AA7690" t="s">
        <v>9062</v>
      </c>
      <c r="AB7690" t="s">
        <v>119</v>
      </c>
    </row>
    <row r="7691" ht="15" customHeight="1" spans="1:22" x14ac:dyDescent="0.25">
      <c r="A7691" s="17" t="s">
        <v>21477</v>
      </c>
      <c r="B7691" s="17" t="s">
        <v>70</v>
      </c>
      <c r="C7691" s="17" t="s">
        <v>71</v>
      </c>
      <c r="D7691" t="s">
        <v>21475</v>
      </c>
      <c r="F7691" t="s">
        <v>21478</v>
      </c>
      <c r="K7691" s="18">
        <f>628156570168</f>
        <v>628156570168</v>
      </c>
      <c r="N7691" s="17" t="s">
        <v>81</v>
      </c>
      <c r="V7691" s="18">
        <f>628156570168</f>
        <v>628156570168</v>
      </c>
    </row>
    <row r="7692" ht="15" customHeight="1" spans="1:22" x14ac:dyDescent="0.25">
      <c r="A7692" s="17" t="s">
        <v>21479</v>
      </c>
      <c r="B7692" s="17" t="s">
        <v>70</v>
      </c>
      <c r="C7692" s="17" t="s">
        <v>71</v>
      </c>
      <c r="D7692" t="s">
        <v>21480</v>
      </c>
      <c r="F7692" t="s">
        <v>11757</v>
      </c>
      <c r="K7692" s="18">
        <f>6281290482876</f>
        <v>6281290482876</v>
      </c>
      <c r="N7692" s="17" t="s">
        <v>77</v>
      </c>
      <c r="V7692" s="18">
        <f>6281290482876</f>
        <v>6281290482876</v>
      </c>
    </row>
    <row r="7693" ht="15" customHeight="1" spans="1:28" x14ac:dyDescent="0.25">
      <c r="A7693" s="17" t="s">
        <v>21481</v>
      </c>
      <c r="B7693" s="17" t="s">
        <v>70</v>
      </c>
      <c r="C7693" s="17" t="s">
        <v>71</v>
      </c>
      <c r="D7693" t="s">
        <v>21480</v>
      </c>
      <c r="F7693" t="s">
        <v>21482</v>
      </c>
      <c r="J7693" t="s">
        <v>115</v>
      </c>
      <c r="K7693" s="18" t="s">
        <v>21483</v>
      </c>
      <c r="N7693" s="17" t="s">
        <v>77</v>
      </c>
      <c r="O7693" t="s">
        <v>117</v>
      </c>
      <c r="U7693" s="17"/>
      <c r="V7693" s="18" t="s">
        <v>21483</v>
      </c>
      <c r="W7693" t="s">
        <v>21484</v>
      </c>
      <c r="Y7693" s="17" t="s">
        <v>90</v>
      </c>
      <c r="AA7693" s="17" t="s">
        <v>118</v>
      </c>
      <c r="AB7693" t="s">
        <v>119</v>
      </c>
    </row>
    <row r="7694" ht="15" customHeight="1" spans="1:22" x14ac:dyDescent="0.25">
      <c r="A7694" s="17" t="s">
        <v>21485</v>
      </c>
      <c r="B7694" s="17" t="s">
        <v>70</v>
      </c>
      <c r="C7694" s="17" t="s">
        <v>71</v>
      </c>
      <c r="D7694" t="s">
        <v>21486</v>
      </c>
      <c r="F7694" t="s">
        <v>21486</v>
      </c>
      <c r="K7694" s="18">
        <f>6282130303080</f>
        <v>6282130303080</v>
      </c>
      <c r="N7694" s="17" t="s">
        <v>77</v>
      </c>
      <c r="V7694" s="18">
        <f>6282130303080</f>
        <v>6282130303080</v>
      </c>
    </row>
    <row r="7695" ht="15" customHeight="1" spans="1:22" x14ac:dyDescent="0.25">
      <c r="A7695" s="17" t="s">
        <v>21487</v>
      </c>
      <c r="B7695" s="17" t="s">
        <v>70</v>
      </c>
      <c r="C7695" s="17" t="s">
        <v>71</v>
      </c>
      <c r="D7695" t="s">
        <v>21486</v>
      </c>
      <c r="F7695" t="s">
        <v>21488</v>
      </c>
      <c r="K7695" s="18">
        <f>628111215088</f>
        <v>628111215088</v>
      </c>
      <c r="N7695" s="17" t="s">
        <v>81</v>
      </c>
      <c r="V7695" s="18">
        <f>628111215088</f>
        <v>628111215088</v>
      </c>
    </row>
    <row r="7696" ht="15" customHeight="1" spans="1:22" x14ac:dyDescent="0.25">
      <c r="A7696" s="17" t="s">
        <v>21489</v>
      </c>
      <c r="B7696" s="17" t="s">
        <v>70</v>
      </c>
      <c r="C7696" s="17" t="s">
        <v>71</v>
      </c>
      <c r="D7696" t="s">
        <v>21486</v>
      </c>
      <c r="F7696" t="s">
        <v>2159</v>
      </c>
      <c r="K7696" s="18">
        <f>62811963859</f>
        <v>62811963859</v>
      </c>
      <c r="N7696" s="17" t="s">
        <v>77</v>
      </c>
      <c r="V7696" s="18">
        <f>62811963859</f>
        <v>62811963859</v>
      </c>
    </row>
    <row r="7697" ht="15" customHeight="1" spans="1:23" x14ac:dyDescent="0.25">
      <c r="A7697" s="17" t="s">
        <v>21490</v>
      </c>
      <c r="B7697" s="17" t="s">
        <v>70</v>
      </c>
      <c r="C7697" s="17" t="s">
        <v>71</v>
      </c>
      <c r="D7697" t="s">
        <v>21486</v>
      </c>
      <c r="F7697" t="s">
        <v>12128</v>
      </c>
      <c r="J7697" s="17" t="s">
        <v>21491</v>
      </c>
      <c r="K7697" s="18">
        <f>62811100639</f>
        <v>62811100639</v>
      </c>
      <c r="N7697" s="17" t="s">
        <v>77</v>
      </c>
      <c r="U7697" s="17"/>
      <c r="V7697" s="18">
        <f>62811100639</f>
        <v>62811100639</v>
      </c>
      <c r="W7697" t="s">
        <v>21492</v>
      </c>
    </row>
    <row r="7698" ht="15" customHeight="1" spans="1:23" x14ac:dyDescent="0.25">
      <c r="A7698" s="17" t="s">
        <v>21493</v>
      </c>
      <c r="B7698" s="17" t="s">
        <v>70</v>
      </c>
      <c r="C7698" s="17" t="s">
        <v>71</v>
      </c>
      <c r="D7698" t="s">
        <v>21486</v>
      </c>
      <c r="F7698" t="s">
        <v>3759</v>
      </c>
      <c r="J7698" s="17" t="s">
        <v>21494</v>
      </c>
      <c r="K7698" s="18">
        <f>628179179999</f>
        <v>628179179999</v>
      </c>
      <c r="N7698" s="17" t="s">
        <v>77</v>
      </c>
      <c r="U7698" s="17"/>
      <c r="V7698" s="18">
        <f>628179179999</f>
        <v>628179179999</v>
      </c>
      <c r="W7698" t="s">
        <v>21495</v>
      </c>
    </row>
    <row r="7699" ht="15" customHeight="1" spans="1:28" x14ac:dyDescent="0.25">
      <c r="A7699" s="17" t="s">
        <v>21496</v>
      </c>
      <c r="B7699" s="17" t="s">
        <v>70</v>
      </c>
      <c r="C7699" s="17" t="s">
        <v>71</v>
      </c>
      <c r="D7699" t="s">
        <v>21486</v>
      </c>
      <c r="F7699" t="s">
        <v>21497</v>
      </c>
      <c r="J7699" t="s">
        <v>115</v>
      </c>
      <c r="K7699" s="18" t="s">
        <v>21498</v>
      </c>
      <c r="N7699" s="17" t="s">
        <v>77</v>
      </c>
      <c r="O7699" t="s">
        <v>117</v>
      </c>
      <c r="V7699" s="18" t="s">
        <v>21498</v>
      </c>
      <c r="Y7699" t="s">
        <v>90</v>
      </c>
      <c r="AA7699" t="s">
        <v>118</v>
      </c>
      <c r="AB7699" t="s">
        <v>119</v>
      </c>
    </row>
    <row r="7700" ht="15" customHeight="1" spans="1:22" x14ac:dyDescent="0.25">
      <c r="A7700" s="17" t="s">
        <v>21499</v>
      </c>
      <c r="B7700" s="17" t="s">
        <v>70</v>
      </c>
      <c r="C7700" s="17" t="s">
        <v>71</v>
      </c>
      <c r="D7700" t="s">
        <v>21486</v>
      </c>
      <c r="F7700" t="s">
        <v>1692</v>
      </c>
      <c r="K7700" s="18">
        <f>628119845678</f>
        <v>628119845678</v>
      </c>
      <c r="N7700" s="17" t="s">
        <v>77</v>
      </c>
      <c r="V7700" s="18">
        <f>628119845678</f>
        <v>628119845678</v>
      </c>
    </row>
    <row r="7701" ht="15" customHeight="1" spans="1:27" x14ac:dyDescent="0.25">
      <c r="A7701" s="17" t="s">
        <v>21500</v>
      </c>
      <c r="B7701" s="17" t="s">
        <v>70</v>
      </c>
      <c r="C7701" s="17" t="s">
        <v>71</v>
      </c>
      <c r="D7701" t="s">
        <v>21486</v>
      </c>
      <c r="F7701" t="s">
        <v>21501</v>
      </c>
      <c r="K7701" s="18">
        <f>62811193899</f>
        <v>62811193899</v>
      </c>
      <c r="N7701" s="17" t="s">
        <v>74</v>
      </c>
      <c r="U7701" s="17"/>
      <c r="V7701" s="18">
        <f>62811193899</f>
        <v>62811193899</v>
      </c>
      <c r="W7701" t="s">
        <v>21502</v>
      </c>
      <c r="Y7701" s="17" t="s">
        <v>96</v>
      </c>
      <c r="AA7701" s="17" t="s">
        <v>97</v>
      </c>
    </row>
    <row r="7702" ht="15" customHeight="1" spans="1:28" x14ac:dyDescent="0.25">
      <c r="A7702" s="17" t="s">
        <v>21503</v>
      </c>
      <c r="B7702" s="17" t="s">
        <v>70</v>
      </c>
      <c r="C7702" s="17" t="s">
        <v>71</v>
      </c>
      <c r="D7702" t="s">
        <v>21486</v>
      </c>
      <c r="F7702" t="s">
        <v>21504</v>
      </c>
      <c r="J7702" t="s">
        <v>115</v>
      </c>
      <c r="K7702" s="18" t="s">
        <v>21505</v>
      </c>
      <c r="N7702" s="17" t="s">
        <v>77</v>
      </c>
      <c r="O7702" t="s">
        <v>199</v>
      </c>
      <c r="V7702" s="18" t="s">
        <v>21505</v>
      </c>
      <c r="Y7702" t="s">
        <v>190</v>
      </c>
      <c r="AA7702" t="s">
        <v>118</v>
      </c>
      <c r="AB7702" t="s">
        <v>119</v>
      </c>
    </row>
    <row r="7703" ht="15" customHeight="1" spans="1:25" x14ac:dyDescent="0.25">
      <c r="A7703" s="17" t="s">
        <v>21506</v>
      </c>
      <c r="B7703" s="17" t="s">
        <v>70</v>
      </c>
      <c r="C7703" s="17" t="s">
        <v>71</v>
      </c>
      <c r="D7703" t="s">
        <v>21486</v>
      </c>
      <c r="F7703" t="s">
        <v>21507</v>
      </c>
      <c r="K7703" s="18">
        <f>6281210608406</f>
        <v>6281210608406</v>
      </c>
      <c r="N7703" s="17" t="s">
        <v>81</v>
      </c>
      <c r="U7703" s="17"/>
      <c r="V7703" s="18">
        <f>6281210608406</f>
        <v>6281210608406</v>
      </c>
      <c r="W7703" t="s">
        <v>21508</v>
      </c>
      <c r="Y7703" s="17" t="s">
        <v>622</v>
      </c>
    </row>
    <row r="7704" ht="15" customHeight="1" spans="1:22" x14ac:dyDescent="0.25">
      <c r="A7704" s="17" t="s">
        <v>21509</v>
      </c>
      <c r="B7704" s="17" t="s">
        <v>70</v>
      </c>
      <c r="C7704" s="17" t="s">
        <v>71</v>
      </c>
      <c r="D7704" t="s">
        <v>21510</v>
      </c>
      <c r="F7704" t="s">
        <v>21510</v>
      </c>
      <c r="K7704" s="18">
        <f>6281364195222</f>
        <v>6281364195222</v>
      </c>
      <c r="N7704" s="17" t="s">
        <v>77</v>
      </c>
      <c r="V7704" s="18">
        <f>6281364195222</f>
        <v>6281364195222</v>
      </c>
    </row>
    <row r="7705" ht="15" customHeight="1" spans="1:22" x14ac:dyDescent="0.25">
      <c r="A7705" s="17" t="s">
        <v>21511</v>
      </c>
      <c r="B7705" s="17" t="s">
        <v>70</v>
      </c>
      <c r="C7705" s="17" t="s">
        <v>71</v>
      </c>
      <c r="D7705" t="s">
        <v>21512</v>
      </c>
      <c r="F7705" t="s">
        <v>21512</v>
      </c>
      <c r="K7705" s="18">
        <f>628111882580</f>
        <v>628111882580</v>
      </c>
      <c r="N7705" s="17" t="s">
        <v>77</v>
      </c>
      <c r="V7705" s="18">
        <f>628111882580</f>
        <v>628111882580</v>
      </c>
    </row>
    <row r="7706" ht="15" customHeight="1" spans="1:22" x14ac:dyDescent="0.25">
      <c r="A7706" s="17" t="s">
        <v>21513</v>
      </c>
      <c r="B7706" s="17" t="s">
        <v>70</v>
      </c>
      <c r="C7706" s="17" t="s">
        <v>71</v>
      </c>
      <c r="D7706" t="s">
        <v>21512</v>
      </c>
      <c r="F7706" t="s">
        <v>21512</v>
      </c>
      <c r="K7706" s="18">
        <f>62811644902</f>
        <v>62811644902</v>
      </c>
      <c r="N7706" s="17" t="s">
        <v>77</v>
      </c>
      <c r="V7706" s="18">
        <f>62811644902</f>
        <v>62811644902</v>
      </c>
    </row>
    <row r="7707" ht="15" customHeight="1" spans="1:28" x14ac:dyDescent="0.25">
      <c r="A7707" s="17" t="s">
        <v>21514</v>
      </c>
      <c r="B7707" s="17" t="s">
        <v>70</v>
      </c>
      <c r="C7707" s="17" t="s">
        <v>71</v>
      </c>
      <c r="D7707" t="s">
        <v>21512</v>
      </c>
      <c r="F7707" t="s">
        <v>17426</v>
      </c>
      <c r="J7707" t="s">
        <v>115</v>
      </c>
      <c r="K7707" s="18" t="s">
        <v>21515</v>
      </c>
      <c r="N7707" s="17" t="s">
        <v>77</v>
      </c>
      <c r="O7707" t="s">
        <v>117</v>
      </c>
      <c r="V7707" s="18" t="s">
        <v>21515</v>
      </c>
      <c r="Y7707" t="s">
        <v>90</v>
      </c>
      <c r="AA7707" t="s">
        <v>118</v>
      </c>
      <c r="AB7707" t="s">
        <v>119</v>
      </c>
    </row>
    <row r="7708" ht="15" customHeight="1" spans="1:28" x14ac:dyDescent="0.25">
      <c r="A7708" s="17" t="s">
        <v>21516</v>
      </c>
      <c r="B7708" s="17" t="s">
        <v>70</v>
      </c>
      <c r="C7708" s="17" t="s">
        <v>71</v>
      </c>
      <c r="D7708" t="s">
        <v>21512</v>
      </c>
      <c r="F7708" t="s">
        <v>21517</v>
      </c>
      <c r="J7708" t="s">
        <v>115</v>
      </c>
      <c r="K7708" s="18" t="s">
        <v>21518</v>
      </c>
      <c r="N7708" s="17" t="s">
        <v>81</v>
      </c>
      <c r="O7708" t="s">
        <v>117</v>
      </c>
      <c r="V7708" s="18" t="s">
        <v>21518</v>
      </c>
      <c r="Y7708" t="s">
        <v>90</v>
      </c>
      <c r="AA7708" t="s">
        <v>118</v>
      </c>
      <c r="AB7708" t="s">
        <v>119</v>
      </c>
    </row>
    <row r="7709" ht="15" customHeight="1" spans="1:22" x14ac:dyDescent="0.25">
      <c r="A7709" s="17" t="s">
        <v>21519</v>
      </c>
      <c r="B7709" s="17" t="s">
        <v>70</v>
      </c>
      <c r="C7709" s="17" t="s">
        <v>71</v>
      </c>
      <c r="D7709" t="s">
        <v>21512</v>
      </c>
      <c r="F7709" t="s">
        <v>6671</v>
      </c>
      <c r="K7709" s="18">
        <f>62811380506</f>
        <v>62811380506</v>
      </c>
      <c r="N7709" s="17" t="s">
        <v>77</v>
      </c>
      <c r="V7709" s="18">
        <f>62811380506</f>
        <v>62811380506</v>
      </c>
    </row>
    <row r="7710" ht="15" customHeight="1" spans="1:28" x14ac:dyDescent="0.25">
      <c r="A7710" s="17" t="s">
        <v>21520</v>
      </c>
      <c r="B7710" s="17" t="s">
        <v>70</v>
      </c>
      <c r="C7710" s="17" t="s">
        <v>71</v>
      </c>
      <c r="D7710" t="s">
        <v>21521</v>
      </c>
      <c r="F7710" t="s">
        <v>21521</v>
      </c>
      <c r="J7710" t="s">
        <v>115</v>
      </c>
      <c r="K7710" s="18" t="s">
        <v>21522</v>
      </c>
      <c r="N7710" s="17" t="s">
        <v>81</v>
      </c>
      <c r="O7710" t="s">
        <v>261</v>
      </c>
      <c r="V7710" s="18" t="s">
        <v>21522</v>
      </c>
      <c r="Y7710" t="s">
        <v>90</v>
      </c>
      <c r="AA7710" t="s">
        <v>118</v>
      </c>
      <c r="AB7710" t="s">
        <v>119</v>
      </c>
    </row>
    <row r="7711" ht="15" customHeight="1" spans="1:28" x14ac:dyDescent="0.25">
      <c r="A7711" s="17" t="s">
        <v>21523</v>
      </c>
      <c r="B7711" s="17" t="s">
        <v>70</v>
      </c>
      <c r="C7711" s="17" t="s">
        <v>71</v>
      </c>
      <c r="D7711" t="s">
        <v>21524</v>
      </c>
      <c r="F7711" t="s">
        <v>21524</v>
      </c>
      <c r="J7711" t="s">
        <v>21525</v>
      </c>
      <c r="K7711" s="18" t="s">
        <v>21526</v>
      </c>
      <c r="N7711" s="17" t="s">
        <v>81</v>
      </c>
      <c r="O7711" t="s">
        <v>261</v>
      </c>
      <c r="U7711" s="17"/>
      <c r="V7711" s="18" t="s">
        <v>21526</v>
      </c>
      <c r="W7711" t="s">
        <v>21527</v>
      </c>
      <c r="Y7711" s="17" t="s">
        <v>6840</v>
      </c>
      <c r="AA7711" t="s">
        <v>115</v>
      </c>
      <c r="AB7711" t="s">
        <v>119</v>
      </c>
    </row>
    <row r="7712" ht="15" customHeight="1" spans="1:28" x14ac:dyDescent="0.25">
      <c r="A7712" s="17" t="s">
        <v>21528</v>
      </c>
      <c r="B7712" s="17" t="s">
        <v>70</v>
      </c>
      <c r="C7712" s="17" t="s">
        <v>71</v>
      </c>
      <c r="D7712" t="s">
        <v>21529</v>
      </c>
      <c r="F7712" t="s">
        <v>909</v>
      </c>
      <c r="J7712" t="s">
        <v>115</v>
      </c>
      <c r="K7712" s="18" t="s">
        <v>21530</v>
      </c>
      <c r="N7712" s="17" t="s">
        <v>77</v>
      </c>
      <c r="O7712" t="s">
        <v>145</v>
      </c>
      <c r="U7712" s="17"/>
      <c r="V7712" s="18" t="s">
        <v>21530</v>
      </c>
      <c r="W7712" t="s">
        <v>21531</v>
      </c>
      <c r="Y7712" s="17" t="s">
        <v>1084</v>
      </c>
      <c r="AA7712" t="s">
        <v>3146</v>
      </c>
      <c r="AB7712" t="s">
        <v>119</v>
      </c>
    </row>
    <row r="7713" ht="15" customHeight="1" spans="1:22" x14ac:dyDescent="0.25">
      <c r="A7713" s="17" t="s">
        <v>21532</v>
      </c>
      <c r="B7713" s="17" t="s">
        <v>70</v>
      </c>
      <c r="C7713" s="17" t="s">
        <v>71</v>
      </c>
      <c r="D7713" t="s">
        <v>21533</v>
      </c>
      <c r="F7713" t="s">
        <v>21533</v>
      </c>
      <c r="K7713" s="18">
        <f>628111014071</f>
        <v>628111014071</v>
      </c>
      <c r="N7713" s="17" t="s">
        <v>81</v>
      </c>
      <c r="V7713" s="18">
        <f>628111014071</f>
        <v>628111014071</v>
      </c>
    </row>
    <row r="7714" ht="15" customHeight="1" spans="1:28" x14ac:dyDescent="0.25">
      <c r="A7714" s="17" t="s">
        <v>21534</v>
      </c>
      <c r="B7714" s="17" t="s">
        <v>70</v>
      </c>
      <c r="C7714" s="17" t="s">
        <v>71</v>
      </c>
      <c r="D7714" t="s">
        <v>21535</v>
      </c>
      <c r="F7714" t="s">
        <v>212</v>
      </c>
      <c r="J7714" t="s">
        <v>115</v>
      </c>
      <c r="K7714" s="18" t="s">
        <v>21536</v>
      </c>
      <c r="N7714" s="17" t="s">
        <v>77</v>
      </c>
      <c r="O7714" t="s">
        <v>261</v>
      </c>
      <c r="V7714" s="18" t="s">
        <v>21536</v>
      </c>
      <c r="Y7714" t="s">
        <v>1084</v>
      </c>
      <c r="AA7714" t="s">
        <v>3146</v>
      </c>
      <c r="AB7714" t="s">
        <v>119</v>
      </c>
    </row>
    <row r="7715" ht="15" customHeight="1" spans="1:22" x14ac:dyDescent="0.25">
      <c r="A7715" s="17" t="s">
        <v>21537</v>
      </c>
      <c r="B7715" s="17" t="s">
        <v>70</v>
      </c>
      <c r="C7715" s="17" t="s">
        <v>71</v>
      </c>
      <c r="D7715" t="s">
        <v>21538</v>
      </c>
      <c r="F7715" t="s">
        <v>21539</v>
      </c>
      <c r="K7715" s="18">
        <f>6285327809999</f>
        <v>6285327809999</v>
      </c>
      <c r="N7715" s="17" t="s">
        <v>77</v>
      </c>
      <c r="V7715" s="18">
        <f>6285327809999</f>
        <v>6285327809999</v>
      </c>
    </row>
    <row r="7716" ht="15" customHeight="1" spans="1:28" x14ac:dyDescent="0.25">
      <c r="A7716" s="17" t="s">
        <v>21540</v>
      </c>
      <c r="B7716" s="17" t="s">
        <v>70</v>
      </c>
      <c r="C7716" s="17" t="s">
        <v>71</v>
      </c>
      <c r="D7716" t="s">
        <v>21541</v>
      </c>
      <c r="F7716" t="s">
        <v>17750</v>
      </c>
      <c r="J7716" t="s">
        <v>115</v>
      </c>
      <c r="K7716" s="18" t="s">
        <v>21542</v>
      </c>
      <c r="N7716" s="17" t="s">
        <v>77</v>
      </c>
      <c r="O7716" t="s">
        <v>199</v>
      </c>
      <c r="V7716" s="18" t="s">
        <v>21542</v>
      </c>
      <c r="Y7716" t="s">
        <v>6937</v>
      </c>
      <c r="AA7716" t="s">
        <v>115</v>
      </c>
      <c r="AB7716" t="s">
        <v>6937</v>
      </c>
    </row>
    <row r="7717" ht="15" customHeight="1" spans="1:22" x14ac:dyDescent="0.25">
      <c r="A7717" s="17" t="s">
        <v>21543</v>
      </c>
      <c r="B7717" s="17" t="s">
        <v>70</v>
      </c>
      <c r="C7717" s="17" t="s">
        <v>71</v>
      </c>
      <c r="D7717" t="s">
        <v>6693</v>
      </c>
      <c r="F7717" t="s">
        <v>21544</v>
      </c>
      <c r="K7717" s="18">
        <f>628119463616</f>
        <v>628119463616</v>
      </c>
      <c r="N7717" s="17" t="s">
        <v>77</v>
      </c>
      <c r="V7717" s="18">
        <f>628119463616</f>
        <v>628119463616</v>
      </c>
    </row>
    <row r="7718" ht="15" customHeight="1" spans="1:28" x14ac:dyDescent="0.25">
      <c r="A7718" s="17" t="s">
        <v>21545</v>
      </c>
      <c r="B7718" s="17" t="s">
        <v>70</v>
      </c>
      <c r="C7718" s="17" t="s">
        <v>71</v>
      </c>
      <c r="D7718" t="s">
        <v>6693</v>
      </c>
      <c r="F7718" t="s">
        <v>17750</v>
      </c>
      <c r="J7718" s="17" t="s">
        <v>21546</v>
      </c>
      <c r="K7718" s="18" t="s">
        <v>21547</v>
      </c>
      <c r="N7718" s="17" t="s">
        <v>77</v>
      </c>
      <c r="O7718" t="s">
        <v>145</v>
      </c>
      <c r="V7718" s="18" t="s">
        <v>21547</v>
      </c>
      <c r="Y7718" s="17" t="s">
        <v>3140</v>
      </c>
      <c r="AA7718" t="s">
        <v>115</v>
      </c>
      <c r="AB7718" t="s">
        <v>3140</v>
      </c>
    </row>
    <row r="7719" ht="15" customHeight="1" spans="1:27" x14ac:dyDescent="0.25">
      <c r="A7719" s="17" t="s">
        <v>21548</v>
      </c>
      <c r="B7719" s="17" t="s">
        <v>70</v>
      </c>
      <c r="C7719" s="17" t="s">
        <v>71</v>
      </c>
      <c r="D7719" t="s">
        <v>21549</v>
      </c>
      <c r="F7719" t="s">
        <v>21549</v>
      </c>
      <c r="K7719" s="18">
        <f>6281511167780</f>
        <v>6281511167780</v>
      </c>
      <c r="N7719" s="17" t="s">
        <v>77</v>
      </c>
      <c r="U7719" s="17"/>
      <c r="V7719" s="18">
        <f>6281511167780</f>
        <v>6281511167780</v>
      </c>
      <c r="W7719" t="s">
        <v>21550</v>
      </c>
      <c r="Y7719" s="17" t="s">
        <v>217</v>
      </c>
      <c r="AA7719" s="17" t="s">
        <v>8658</v>
      </c>
    </row>
    <row r="7720" ht="15" customHeight="1" spans="1:22" x14ac:dyDescent="0.25">
      <c r="A7720" s="17" t="s">
        <v>21551</v>
      </c>
      <c r="B7720" s="17" t="s">
        <v>70</v>
      </c>
      <c r="C7720" s="17" t="s">
        <v>71</v>
      </c>
      <c r="D7720" t="s">
        <v>14443</v>
      </c>
      <c r="F7720" t="s">
        <v>14443</v>
      </c>
      <c r="K7720" s="18">
        <f>6285885573386</f>
        <v>6285885573386</v>
      </c>
      <c r="N7720" s="17" t="s">
        <v>81</v>
      </c>
      <c r="V7720" s="18">
        <f>6285885573386</f>
        <v>6285885573386</v>
      </c>
    </row>
    <row r="7721" ht="15" customHeight="1" spans="1:22" x14ac:dyDescent="0.25">
      <c r="A7721" s="17" t="s">
        <v>21552</v>
      </c>
      <c r="B7721" s="17" t="s">
        <v>70</v>
      </c>
      <c r="C7721" s="17" t="s">
        <v>71</v>
      </c>
      <c r="D7721" t="s">
        <v>14443</v>
      </c>
      <c r="F7721" t="s">
        <v>14443</v>
      </c>
      <c r="K7721" s="18">
        <f>6281366777766</f>
        <v>6281366777766</v>
      </c>
      <c r="N7721" s="17" t="s">
        <v>77</v>
      </c>
      <c r="V7721" s="18">
        <f>6281366777766</f>
        <v>6281366777766</v>
      </c>
    </row>
    <row r="7722" ht="15" customHeight="1" spans="1:22" x14ac:dyDescent="0.25">
      <c r="A7722" s="17" t="s">
        <v>21553</v>
      </c>
      <c r="B7722" s="17" t="s">
        <v>70</v>
      </c>
      <c r="C7722" s="17" t="s">
        <v>71</v>
      </c>
      <c r="D7722" t="s">
        <v>14443</v>
      </c>
      <c r="F7722" t="s">
        <v>186</v>
      </c>
      <c r="K7722" s="18">
        <f>62811701628</f>
        <v>62811701628</v>
      </c>
      <c r="N7722" s="17" t="s">
        <v>81</v>
      </c>
      <c r="V7722" s="18">
        <f>62811701628</f>
        <v>62811701628</v>
      </c>
    </row>
    <row r="7723" ht="15" customHeight="1" spans="1:23" x14ac:dyDescent="0.25">
      <c r="A7723" s="17" t="s">
        <v>21554</v>
      </c>
      <c r="B7723" s="17" t="s">
        <v>70</v>
      </c>
      <c r="C7723" s="17" t="s">
        <v>71</v>
      </c>
      <c r="D7723" t="s">
        <v>21555</v>
      </c>
      <c r="F7723" t="s">
        <v>6049</v>
      </c>
      <c r="J7723" s="17" t="s">
        <v>21556</v>
      </c>
      <c r="K7723" s="18">
        <f>628123295588</f>
        <v>628123295588</v>
      </c>
      <c r="N7723" s="17" t="s">
        <v>77</v>
      </c>
      <c r="U7723" s="17"/>
      <c r="V7723" s="18">
        <f>628123295588</f>
        <v>628123295588</v>
      </c>
      <c r="W7723" t="s">
        <v>21557</v>
      </c>
    </row>
    <row r="7724" ht="15" customHeight="1" spans="1:23" x14ac:dyDescent="0.25">
      <c r="A7724" s="17" t="s">
        <v>21558</v>
      </c>
      <c r="B7724" s="17" t="s">
        <v>70</v>
      </c>
      <c r="C7724" s="17" t="s">
        <v>71</v>
      </c>
      <c r="D7724" t="s">
        <v>21559</v>
      </c>
      <c r="F7724" t="s">
        <v>21560</v>
      </c>
      <c r="K7724" s="18">
        <f>6591859684</f>
        <v>6591859684</v>
      </c>
      <c r="N7724" s="17" t="s">
        <v>77</v>
      </c>
      <c r="U7724" s="17"/>
      <c r="V7724" s="18">
        <f>6591859684</f>
        <v>6591859684</v>
      </c>
      <c r="W7724" t="s">
        <v>920</v>
      </c>
    </row>
    <row r="7725" ht="15" customHeight="1" spans="1:28" x14ac:dyDescent="0.25">
      <c r="A7725" s="17" t="s">
        <v>21561</v>
      </c>
      <c r="B7725" s="17" t="s">
        <v>70</v>
      </c>
      <c r="C7725" s="17" t="s">
        <v>71</v>
      </c>
      <c r="D7725" t="s">
        <v>2108</v>
      </c>
      <c r="F7725" t="s">
        <v>3111</v>
      </c>
      <c r="J7725" s="17" t="s">
        <v>21562</v>
      </c>
      <c r="K7725" s="18" t="s">
        <v>21563</v>
      </c>
      <c r="N7725" s="17" t="s">
        <v>81</v>
      </c>
      <c r="O7725" t="s">
        <v>117</v>
      </c>
      <c r="U7725" s="17"/>
      <c r="V7725" s="18" t="s">
        <v>21563</v>
      </c>
      <c r="W7725" t="s">
        <v>21564</v>
      </c>
      <c r="Y7725" t="s">
        <v>190</v>
      </c>
      <c r="AA7725" t="s">
        <v>118</v>
      </c>
      <c r="AB7725" t="s">
        <v>1306</v>
      </c>
    </row>
    <row r="7726" ht="15" customHeight="1" spans="1:22" x14ac:dyDescent="0.25">
      <c r="A7726" s="17" t="s">
        <v>21565</v>
      </c>
      <c r="B7726" s="17" t="s">
        <v>70</v>
      </c>
      <c r="C7726" s="17" t="s">
        <v>71</v>
      </c>
      <c r="D7726" t="s">
        <v>2108</v>
      </c>
      <c r="F7726" t="s">
        <v>3869</v>
      </c>
      <c r="K7726" s="18">
        <f>628119303328</f>
        <v>628119303328</v>
      </c>
      <c r="N7726" s="17" t="s">
        <v>77</v>
      </c>
      <c r="V7726" s="18">
        <f>628119303328</f>
        <v>628119303328</v>
      </c>
    </row>
    <row r="7727" ht="15" customHeight="1" spans="1:22" x14ac:dyDescent="0.25">
      <c r="A7727" s="17" t="s">
        <v>21566</v>
      </c>
      <c r="B7727" s="17" t="s">
        <v>70</v>
      </c>
      <c r="C7727" s="17" t="s">
        <v>71</v>
      </c>
      <c r="D7727" t="s">
        <v>2108</v>
      </c>
      <c r="F7727" t="s">
        <v>21567</v>
      </c>
      <c r="K7727" s="18">
        <f>6281377008195</f>
        <v>6281377008195</v>
      </c>
      <c r="N7727" s="17" t="s">
        <v>77</v>
      </c>
      <c r="V7727" s="18">
        <f>6281377008195</f>
        <v>6281377008195</v>
      </c>
    </row>
    <row r="7728" ht="15" customHeight="1" spans="1:28" x14ac:dyDescent="0.25">
      <c r="A7728" s="17" t="s">
        <v>21568</v>
      </c>
      <c r="B7728" s="17" t="s">
        <v>70</v>
      </c>
      <c r="C7728" s="17" t="s">
        <v>71</v>
      </c>
      <c r="D7728" t="s">
        <v>2108</v>
      </c>
      <c r="F7728" t="s">
        <v>21569</v>
      </c>
      <c r="J7728" s="17" t="s">
        <v>21570</v>
      </c>
      <c r="K7728" s="18" t="s">
        <v>21571</v>
      </c>
      <c r="N7728" s="17" t="s">
        <v>77</v>
      </c>
      <c r="O7728" t="s">
        <v>145</v>
      </c>
      <c r="U7728" s="17"/>
      <c r="V7728" s="18" t="s">
        <v>21571</v>
      </c>
      <c r="W7728" t="s">
        <v>7007</v>
      </c>
      <c r="Y7728" t="s">
        <v>7939</v>
      </c>
      <c r="AA7728" t="s">
        <v>115</v>
      </c>
      <c r="AB7728" t="s">
        <v>119</v>
      </c>
    </row>
    <row r="7729" ht="15" customHeight="1" spans="1:28" x14ac:dyDescent="0.25">
      <c r="A7729" s="17" t="s">
        <v>21572</v>
      </c>
      <c r="B7729" s="17" t="s">
        <v>70</v>
      </c>
      <c r="C7729" s="17" t="s">
        <v>71</v>
      </c>
      <c r="D7729" t="s">
        <v>21573</v>
      </c>
      <c r="F7729" t="s">
        <v>2108</v>
      </c>
      <c r="J7729" t="s">
        <v>115</v>
      </c>
      <c r="K7729" s="18" t="s">
        <v>21574</v>
      </c>
      <c r="N7729" s="17" t="s">
        <v>77</v>
      </c>
      <c r="O7729" t="s">
        <v>261</v>
      </c>
      <c r="V7729" s="18" t="s">
        <v>21574</v>
      </c>
      <c r="Y7729" t="s">
        <v>90</v>
      </c>
      <c r="AA7729" t="s">
        <v>118</v>
      </c>
      <c r="AB7729" t="s">
        <v>119</v>
      </c>
    </row>
    <row r="7730" ht="15" customHeight="1" spans="1:28" x14ac:dyDescent="0.25">
      <c r="A7730" s="17" t="s">
        <v>21575</v>
      </c>
      <c r="B7730" s="17" t="s">
        <v>70</v>
      </c>
      <c r="C7730" s="17" t="s">
        <v>71</v>
      </c>
      <c r="D7730" t="s">
        <v>21576</v>
      </c>
      <c r="F7730" t="s">
        <v>1754</v>
      </c>
      <c r="J7730" s="17" t="s">
        <v>21577</v>
      </c>
      <c r="K7730" s="18" t="s">
        <v>21578</v>
      </c>
      <c r="N7730" s="17" t="s">
        <v>77</v>
      </c>
      <c r="O7730" t="s">
        <v>199</v>
      </c>
      <c r="V7730" s="18" t="s">
        <v>21578</v>
      </c>
      <c r="Y7730" t="s">
        <v>115</v>
      </c>
      <c r="AA7730" t="s">
        <v>115</v>
      </c>
      <c r="AB7730" t="s">
        <v>1306</v>
      </c>
    </row>
    <row r="7731" ht="15" customHeight="1" spans="1:22" x14ac:dyDescent="0.25">
      <c r="A7731" s="17" t="s">
        <v>21579</v>
      </c>
      <c r="B7731" s="17" t="s">
        <v>70</v>
      </c>
      <c r="C7731" s="17" t="s">
        <v>71</v>
      </c>
      <c r="D7731" t="s">
        <v>21580</v>
      </c>
      <c r="F7731" t="s">
        <v>7089</v>
      </c>
      <c r="K7731" s="18">
        <f>628111722171</f>
        <v>628111722171</v>
      </c>
      <c r="N7731" s="17" t="s">
        <v>77</v>
      </c>
      <c r="V7731" s="18">
        <f>628111722171</f>
        <v>628111722171</v>
      </c>
    </row>
    <row r="7732" ht="15" customHeight="1" spans="1:23" x14ac:dyDescent="0.25">
      <c r="A7732" s="17" t="s">
        <v>21581</v>
      </c>
      <c r="B7732" s="17" t="s">
        <v>70</v>
      </c>
      <c r="C7732" s="17" t="s">
        <v>71</v>
      </c>
      <c r="D7732" t="s">
        <v>21582</v>
      </c>
      <c r="F7732" t="s">
        <v>21583</v>
      </c>
      <c r="J7732" s="17" t="s">
        <v>21584</v>
      </c>
      <c r="K7732" s="18">
        <f>6281191948</f>
        <v>6281191948</v>
      </c>
      <c r="N7732" s="17" t="s">
        <v>77</v>
      </c>
      <c r="U7732" s="17"/>
      <c r="V7732" s="18">
        <f>6281191948</f>
        <v>6281191948</v>
      </c>
      <c r="W7732" t="s">
        <v>21585</v>
      </c>
    </row>
    <row r="7733" ht="15" customHeight="1" spans="1:28" x14ac:dyDescent="0.25">
      <c r="A7733" s="17" t="s">
        <v>21586</v>
      </c>
      <c r="B7733" s="17" t="s">
        <v>70</v>
      </c>
      <c r="C7733" s="17" t="s">
        <v>71</v>
      </c>
      <c r="D7733" t="s">
        <v>21582</v>
      </c>
      <c r="F7733" t="s">
        <v>864</v>
      </c>
      <c r="J7733" t="s">
        <v>115</v>
      </c>
      <c r="K7733" s="18" t="s">
        <v>21587</v>
      </c>
      <c r="N7733" s="17" t="s">
        <v>74</v>
      </c>
      <c r="O7733" t="s">
        <v>117</v>
      </c>
      <c r="V7733" s="18" t="s">
        <v>21587</v>
      </c>
      <c r="Y7733" t="s">
        <v>190</v>
      </c>
      <c r="AA7733" t="s">
        <v>118</v>
      </c>
      <c r="AB7733" t="s">
        <v>119</v>
      </c>
    </row>
    <row r="7734" ht="15" customHeight="1" spans="1:22" x14ac:dyDescent="0.25">
      <c r="A7734" s="17" t="s">
        <v>21588</v>
      </c>
      <c r="B7734" s="17" t="s">
        <v>70</v>
      </c>
      <c r="C7734" s="17" t="s">
        <v>71</v>
      </c>
      <c r="D7734" t="s">
        <v>21582</v>
      </c>
      <c r="F7734" t="s">
        <v>21589</v>
      </c>
      <c r="K7734" s="18">
        <f>6281310668868</f>
        <v>6281310668868</v>
      </c>
      <c r="N7734" s="17" t="s">
        <v>77</v>
      </c>
      <c r="V7734" s="18">
        <f>6281310668868</f>
        <v>6281310668868</v>
      </c>
    </row>
    <row r="7735" ht="15" customHeight="1" spans="1:25" x14ac:dyDescent="0.25">
      <c r="A7735" s="17" t="s">
        <v>21590</v>
      </c>
      <c r="B7735" s="17" t="s">
        <v>70</v>
      </c>
      <c r="C7735" s="17" t="s">
        <v>71</v>
      </c>
      <c r="D7735" t="s">
        <v>21582</v>
      </c>
      <c r="F7735" t="s">
        <v>21591</v>
      </c>
      <c r="J7735" s="17" t="s">
        <v>21592</v>
      </c>
      <c r="K7735" s="18">
        <f>628126979966</f>
        <v>628126979966</v>
      </c>
      <c r="N7735" s="17" t="s">
        <v>77</v>
      </c>
      <c r="V7735" s="18">
        <f>628126979966</f>
        <v>628126979966</v>
      </c>
      <c r="Y7735" s="17" t="s">
        <v>1157</v>
      </c>
    </row>
    <row r="7736" ht="15" customHeight="1" spans="1:22" x14ac:dyDescent="0.25">
      <c r="A7736" s="17" t="s">
        <v>21593</v>
      </c>
      <c r="B7736" s="17" t="s">
        <v>70</v>
      </c>
      <c r="C7736" s="17" t="s">
        <v>71</v>
      </c>
      <c r="D7736" t="s">
        <v>21582</v>
      </c>
      <c r="F7736" t="s">
        <v>21594</v>
      </c>
      <c r="K7736" s="18">
        <f>6281230202016</f>
        <v>6281230202016</v>
      </c>
      <c r="N7736" s="17" t="s">
        <v>81</v>
      </c>
      <c r="V7736" s="18">
        <f>6281230202016</f>
        <v>6281230202016</v>
      </c>
    </row>
    <row r="7737" ht="15" customHeight="1" spans="1:28" x14ac:dyDescent="0.25">
      <c r="A7737" s="17" t="s">
        <v>21595</v>
      </c>
      <c r="B7737" s="17" t="s">
        <v>70</v>
      </c>
      <c r="C7737" s="17" t="s">
        <v>71</v>
      </c>
      <c r="D7737" t="s">
        <v>21596</v>
      </c>
      <c r="F7737" t="s">
        <v>3008</v>
      </c>
      <c r="J7737" t="s">
        <v>115</v>
      </c>
      <c r="K7737" s="18" t="s">
        <v>21597</v>
      </c>
      <c r="N7737" s="17" t="s">
        <v>77</v>
      </c>
      <c r="O7737" t="s">
        <v>145</v>
      </c>
      <c r="U7737" s="17"/>
      <c r="V7737" s="18" t="s">
        <v>21597</v>
      </c>
      <c r="W7737" t="s">
        <v>6840</v>
      </c>
      <c r="Y7737" t="s">
        <v>6840</v>
      </c>
      <c r="AA7737" t="s">
        <v>115</v>
      </c>
      <c r="AB7737" t="s">
        <v>119</v>
      </c>
    </row>
    <row r="7738" ht="15" customHeight="1" spans="1:22" x14ac:dyDescent="0.25">
      <c r="A7738" s="17" t="s">
        <v>21598</v>
      </c>
      <c r="B7738" s="17" t="s">
        <v>70</v>
      </c>
      <c r="C7738" s="17" t="s">
        <v>71</v>
      </c>
      <c r="D7738" t="s">
        <v>21599</v>
      </c>
      <c r="F7738" t="s">
        <v>21599</v>
      </c>
      <c r="K7738" s="18">
        <f>628128218881</f>
        <v>628128218881</v>
      </c>
      <c r="N7738" s="17" t="s">
        <v>74</v>
      </c>
      <c r="V7738" s="18">
        <f>628128218881</f>
        <v>628128218881</v>
      </c>
    </row>
    <row r="7739" ht="15" customHeight="1" spans="1:27" x14ac:dyDescent="0.25">
      <c r="A7739" s="17" t="s">
        <v>21600</v>
      </c>
      <c r="B7739" s="17" t="s">
        <v>70</v>
      </c>
      <c r="C7739" s="17" t="s">
        <v>71</v>
      </c>
      <c r="D7739" t="s">
        <v>21601</v>
      </c>
      <c r="F7739" t="s">
        <v>21601</v>
      </c>
      <c r="K7739" s="18">
        <f>628129042222</f>
        <v>628129042222</v>
      </c>
      <c r="N7739" s="17" t="s">
        <v>77</v>
      </c>
      <c r="U7739" s="17"/>
      <c r="V7739" s="18">
        <f>628129042222</f>
        <v>628129042222</v>
      </c>
      <c r="W7739" t="s">
        <v>21602</v>
      </c>
      <c r="Y7739" s="17" t="s">
        <v>90</v>
      </c>
      <c r="AA7739" s="17">
        <v>10310</v>
      </c>
    </row>
    <row r="7740" ht="15" customHeight="1" spans="1:23" x14ac:dyDescent="0.25">
      <c r="A7740" s="17" t="s">
        <v>21603</v>
      </c>
      <c r="B7740" s="17" t="s">
        <v>70</v>
      </c>
      <c r="C7740" s="17" t="s">
        <v>71</v>
      </c>
      <c r="D7740" t="s">
        <v>21601</v>
      </c>
      <c r="F7740" t="s">
        <v>21601</v>
      </c>
      <c r="K7740" s="18">
        <f>6281218603572</f>
        <v>6281218603572</v>
      </c>
      <c r="N7740" s="17" t="s">
        <v>81</v>
      </c>
      <c r="U7740" s="17"/>
      <c r="V7740" s="18">
        <f>6281218603572</f>
        <v>6281218603572</v>
      </c>
      <c r="W7740" t="s">
        <v>21604</v>
      </c>
    </row>
    <row r="7741" ht="15" customHeight="1" spans="1:22" x14ac:dyDescent="0.25">
      <c r="A7741" s="17" t="s">
        <v>21605</v>
      </c>
      <c r="B7741" s="17" t="s">
        <v>70</v>
      </c>
      <c r="C7741" s="17" t="s">
        <v>71</v>
      </c>
      <c r="D7741" t="s">
        <v>21606</v>
      </c>
      <c r="F7741" t="s">
        <v>17397</v>
      </c>
      <c r="K7741" s="18">
        <f>6281315419288</f>
        <v>6281315419288</v>
      </c>
      <c r="N7741" s="17" t="s">
        <v>77</v>
      </c>
      <c r="V7741" s="18">
        <f>6281315419288</f>
        <v>6281315419288</v>
      </c>
    </row>
    <row r="7742" ht="15" customHeight="1" spans="1:23" x14ac:dyDescent="0.25">
      <c r="A7742" s="17" t="s">
        <v>21607</v>
      </c>
      <c r="B7742" s="17" t="s">
        <v>70</v>
      </c>
      <c r="C7742" s="17" t="s">
        <v>71</v>
      </c>
      <c r="D7742" t="s">
        <v>21608</v>
      </c>
      <c r="F7742" t="s">
        <v>3499</v>
      </c>
      <c r="K7742" s="18">
        <f>628111830533</f>
        <v>628111830533</v>
      </c>
      <c r="N7742" s="17" t="s">
        <v>77</v>
      </c>
      <c r="U7742" s="17"/>
      <c r="V7742" s="18">
        <f>628111830533</f>
        <v>628111830533</v>
      </c>
      <c r="W7742" t="s">
        <v>21609</v>
      </c>
    </row>
    <row r="7743" ht="15" customHeight="1" spans="1:22" x14ac:dyDescent="0.25">
      <c r="A7743" s="17" t="s">
        <v>21610</v>
      </c>
      <c r="B7743" s="17" t="s">
        <v>70</v>
      </c>
      <c r="C7743" s="17" t="s">
        <v>71</v>
      </c>
      <c r="D7743" t="s">
        <v>21611</v>
      </c>
      <c r="F7743" t="s">
        <v>21612</v>
      </c>
      <c r="K7743" s="18">
        <f>628161872941</f>
        <v>628161872941</v>
      </c>
      <c r="N7743" s="17" t="s">
        <v>77</v>
      </c>
      <c r="V7743" s="18">
        <f>628161872941</f>
        <v>628161872941</v>
      </c>
    </row>
    <row r="7744" ht="15" customHeight="1" spans="1:28" x14ac:dyDescent="0.25">
      <c r="A7744" s="17" t="s">
        <v>21613</v>
      </c>
      <c r="B7744" s="17" t="s">
        <v>70</v>
      </c>
      <c r="C7744" s="17" t="s">
        <v>71</v>
      </c>
      <c r="D7744" t="s">
        <v>21611</v>
      </c>
      <c r="F7744" t="s">
        <v>21614</v>
      </c>
      <c r="J7744" t="s">
        <v>115</v>
      </c>
      <c r="K7744" s="18" t="s">
        <v>21615</v>
      </c>
      <c r="N7744" s="17" t="s">
        <v>77</v>
      </c>
      <c r="O7744" t="s">
        <v>117</v>
      </c>
      <c r="V7744" s="18" t="s">
        <v>21615</v>
      </c>
      <c r="Y7744" t="s">
        <v>190</v>
      </c>
      <c r="AA7744" t="s">
        <v>118</v>
      </c>
      <c r="AB7744" t="s">
        <v>119</v>
      </c>
    </row>
    <row r="7745" ht="15" customHeight="1" spans="1:27" x14ac:dyDescent="0.25">
      <c r="A7745" s="17" t="s">
        <v>21616</v>
      </c>
      <c r="B7745" s="17" t="s">
        <v>70</v>
      </c>
      <c r="C7745" s="17" t="s">
        <v>71</v>
      </c>
      <c r="D7745" t="s">
        <v>21611</v>
      </c>
      <c r="F7745" t="s">
        <v>21617</v>
      </c>
      <c r="J7745" s="17" t="s">
        <v>21618</v>
      </c>
      <c r="K7745" s="18">
        <f>628161968453</f>
        <v>628161968453</v>
      </c>
      <c r="N7745" s="17" t="s">
        <v>77</v>
      </c>
      <c r="U7745" s="17"/>
      <c r="V7745" s="18">
        <f>628161968453</f>
        <v>628161968453</v>
      </c>
      <c r="W7745" t="s">
        <v>21619</v>
      </c>
      <c r="Y7745" s="17" t="s">
        <v>397</v>
      </c>
      <c r="AA7745" s="17">
        <v>17412</v>
      </c>
    </row>
    <row r="7746" ht="15" customHeight="1" spans="1:25" x14ac:dyDescent="0.25">
      <c r="A7746" s="17" t="s">
        <v>21620</v>
      </c>
      <c r="B7746" s="17" t="s">
        <v>70</v>
      </c>
      <c r="C7746" s="17" t="s">
        <v>71</v>
      </c>
      <c r="D7746" t="s">
        <v>21611</v>
      </c>
      <c r="F7746" t="s">
        <v>21617</v>
      </c>
      <c r="J7746" s="17" t="s">
        <v>21618</v>
      </c>
      <c r="K7746" s="18">
        <f>6281213458898</f>
        <v>6281213458898</v>
      </c>
      <c r="N7746" s="17" t="s">
        <v>77</v>
      </c>
      <c r="U7746" s="17"/>
      <c r="V7746" s="18">
        <f>6281213458898</f>
        <v>6281213458898</v>
      </c>
      <c r="W7746" t="s">
        <v>21621</v>
      </c>
      <c r="Y7746" s="17" t="s">
        <v>96</v>
      </c>
    </row>
    <row r="7747" ht="15" customHeight="1" spans="1:22" x14ac:dyDescent="0.25">
      <c r="A7747" s="17" t="s">
        <v>21622</v>
      </c>
      <c r="B7747" s="17" t="s">
        <v>70</v>
      </c>
      <c r="C7747" s="17" t="s">
        <v>71</v>
      </c>
      <c r="D7747" t="s">
        <v>21623</v>
      </c>
      <c r="F7747" t="s">
        <v>21624</v>
      </c>
      <c r="K7747" s="18">
        <f>6287777702311</f>
        <v>6287777702311</v>
      </c>
      <c r="N7747" s="17" t="s">
        <v>77</v>
      </c>
      <c r="V7747" s="18">
        <f>6287777702311</f>
        <v>6287777702311</v>
      </c>
    </row>
    <row r="7748" ht="15" customHeight="1" spans="1:28" x14ac:dyDescent="0.25">
      <c r="A7748" s="17" t="s">
        <v>21625</v>
      </c>
      <c r="B7748" s="17" t="s">
        <v>70</v>
      </c>
      <c r="C7748" s="17" t="s">
        <v>71</v>
      </c>
      <c r="D7748" t="s">
        <v>21626</v>
      </c>
      <c r="F7748" t="s">
        <v>21626</v>
      </c>
      <c r="J7748" t="s">
        <v>115</v>
      </c>
      <c r="K7748" s="18" t="s">
        <v>21627</v>
      </c>
      <c r="N7748" s="17" t="s">
        <v>77</v>
      </c>
      <c r="O7748" t="s">
        <v>117</v>
      </c>
      <c r="V7748" s="18" t="s">
        <v>21627</v>
      </c>
      <c r="Y7748" t="s">
        <v>115</v>
      </c>
      <c r="AA7748" t="s">
        <v>115</v>
      </c>
      <c r="AB7748" t="s">
        <v>119</v>
      </c>
    </row>
    <row r="7749" ht="15" customHeight="1" spans="1:22" x14ac:dyDescent="0.25">
      <c r="A7749" s="17" t="s">
        <v>21628</v>
      </c>
      <c r="B7749" s="17" t="s">
        <v>70</v>
      </c>
      <c r="C7749" s="17" t="s">
        <v>71</v>
      </c>
      <c r="D7749" t="s">
        <v>18379</v>
      </c>
      <c r="F7749" t="s">
        <v>21629</v>
      </c>
      <c r="K7749" s="18">
        <f>62816880280</f>
        <v>62816880280</v>
      </c>
      <c r="N7749" s="17" t="s">
        <v>74</v>
      </c>
      <c r="V7749" s="18">
        <f>62816880280</f>
        <v>62816880280</v>
      </c>
    </row>
    <row r="7750" ht="15" customHeight="1" spans="1:22" x14ac:dyDescent="0.25">
      <c r="A7750" s="17" t="s">
        <v>21630</v>
      </c>
      <c r="B7750" s="17" t="s">
        <v>70</v>
      </c>
      <c r="C7750" s="17" t="s">
        <v>71</v>
      </c>
      <c r="D7750" t="s">
        <v>18379</v>
      </c>
      <c r="F7750" t="s">
        <v>21631</v>
      </c>
      <c r="K7750" s="18">
        <f>62811990268</f>
        <v>62811990268</v>
      </c>
      <c r="N7750" s="17" t="s">
        <v>77</v>
      </c>
      <c r="V7750" s="18">
        <f>62811990268</f>
        <v>62811990268</v>
      </c>
    </row>
    <row r="7751" ht="15" customHeight="1" spans="1:22" x14ac:dyDescent="0.25">
      <c r="A7751" s="17" t="s">
        <v>21632</v>
      </c>
      <c r="B7751" s="17" t="s">
        <v>70</v>
      </c>
      <c r="C7751" s="17" t="s">
        <v>71</v>
      </c>
      <c r="D7751" t="s">
        <v>18379</v>
      </c>
      <c r="F7751" t="s">
        <v>6304</v>
      </c>
      <c r="K7751" s="18">
        <f>628111104815</f>
        <v>628111104815</v>
      </c>
      <c r="N7751" s="17" t="s">
        <v>77</v>
      </c>
      <c r="V7751" s="18">
        <f>628111104815</f>
        <v>628111104815</v>
      </c>
    </row>
    <row r="7752" ht="15" customHeight="1" spans="1:25" x14ac:dyDescent="0.25">
      <c r="A7752" s="17" t="s">
        <v>21633</v>
      </c>
      <c r="B7752" s="17" t="s">
        <v>70</v>
      </c>
      <c r="C7752" s="17" t="s">
        <v>71</v>
      </c>
      <c r="D7752" t="s">
        <v>18379</v>
      </c>
      <c r="F7752" t="s">
        <v>15427</v>
      </c>
      <c r="K7752" s="18">
        <f>6282157486860</f>
        <v>6282157486860</v>
      </c>
      <c r="N7752" s="17" t="s">
        <v>77</v>
      </c>
      <c r="U7752" s="17"/>
      <c r="V7752" s="18">
        <f>6282157486860</f>
        <v>6282157486860</v>
      </c>
      <c r="W7752" t="s">
        <v>21634</v>
      </c>
      <c r="Y7752" s="17" t="s">
        <v>1084</v>
      </c>
    </row>
    <row r="7753" ht="15" customHeight="1" spans="1:25" x14ac:dyDescent="0.25">
      <c r="A7753" s="17" t="s">
        <v>21635</v>
      </c>
      <c r="B7753" s="17" t="s">
        <v>70</v>
      </c>
      <c r="C7753" s="17" t="s">
        <v>71</v>
      </c>
      <c r="D7753" t="s">
        <v>18379</v>
      </c>
      <c r="F7753" t="s">
        <v>21636</v>
      </c>
      <c r="K7753" s="18">
        <f>62811873795</f>
        <v>62811873795</v>
      </c>
      <c r="N7753" s="17" t="s">
        <v>81</v>
      </c>
      <c r="U7753" s="17"/>
      <c r="V7753" s="18">
        <f>62811873795</f>
        <v>62811873795</v>
      </c>
      <c r="W7753" t="s">
        <v>21637</v>
      </c>
      <c r="Y7753" s="17" t="s">
        <v>90</v>
      </c>
    </row>
    <row r="7754" ht="15" customHeight="1" spans="1:22" x14ac:dyDescent="0.25">
      <c r="A7754" s="17" t="s">
        <v>21638</v>
      </c>
      <c r="B7754" s="17" t="s">
        <v>70</v>
      </c>
      <c r="C7754" s="17" t="s">
        <v>71</v>
      </c>
      <c r="D7754" t="s">
        <v>18379</v>
      </c>
      <c r="F7754" t="s">
        <v>18683</v>
      </c>
      <c r="J7754" s="17" t="s">
        <v>21639</v>
      </c>
      <c r="K7754" s="18">
        <f>6285888880619</f>
        <v>6285888880619</v>
      </c>
      <c r="N7754" s="17" t="s">
        <v>81</v>
      </c>
      <c r="V7754" s="18">
        <f>6285888880619</f>
        <v>6285888880619</v>
      </c>
    </row>
    <row r="7755" ht="15" customHeight="1" spans="1:27" x14ac:dyDescent="0.25">
      <c r="A7755" s="17" t="s">
        <v>21640</v>
      </c>
      <c r="B7755" s="17" t="s">
        <v>70</v>
      </c>
      <c r="C7755" s="17" t="s">
        <v>71</v>
      </c>
      <c r="D7755" t="s">
        <v>18379</v>
      </c>
      <c r="F7755" t="s">
        <v>21641</v>
      </c>
      <c r="J7755" s="17" t="s">
        <v>21642</v>
      </c>
      <c r="K7755" s="18">
        <f>62811182131</f>
        <v>62811182131</v>
      </c>
      <c r="N7755" s="17" t="s">
        <v>77</v>
      </c>
      <c r="U7755" s="17"/>
      <c r="V7755" s="18">
        <f>62811182131</f>
        <v>62811182131</v>
      </c>
      <c r="W7755" t="s">
        <v>21643</v>
      </c>
      <c r="Y7755" s="17" t="s">
        <v>90</v>
      </c>
      <c r="AA7755" s="17">
        <v>15224</v>
      </c>
    </row>
    <row r="7756" ht="15" customHeight="1" spans="1:22" x14ac:dyDescent="0.25">
      <c r="A7756" s="17" t="s">
        <v>21644</v>
      </c>
      <c r="B7756" s="17" t="s">
        <v>70</v>
      </c>
      <c r="C7756" s="17" t="s">
        <v>71</v>
      </c>
      <c r="D7756" t="s">
        <v>21645</v>
      </c>
      <c r="F7756" t="s">
        <v>21646</v>
      </c>
      <c r="K7756" s="18">
        <f>62811135269</f>
        <v>62811135269</v>
      </c>
      <c r="N7756" s="17" t="s">
        <v>74</v>
      </c>
      <c r="V7756" s="18">
        <f>62811135269</f>
        <v>62811135269</v>
      </c>
    </row>
    <row r="7757" ht="15" customHeight="1" spans="1:22" x14ac:dyDescent="0.25">
      <c r="A7757" s="17" t="s">
        <v>21647</v>
      </c>
      <c r="B7757" s="17" t="s">
        <v>70</v>
      </c>
      <c r="C7757" s="17" t="s">
        <v>71</v>
      </c>
      <c r="D7757" t="s">
        <v>21648</v>
      </c>
      <c r="F7757" t="s">
        <v>1064</v>
      </c>
      <c r="K7757" s="18">
        <f>628176633345</f>
        <v>628176633345</v>
      </c>
      <c r="N7757" s="17" t="s">
        <v>81</v>
      </c>
      <c r="V7757" s="18">
        <f>628176633345</f>
        <v>628176633345</v>
      </c>
    </row>
    <row r="7758" ht="15" customHeight="1" spans="1:22" x14ac:dyDescent="0.25">
      <c r="A7758" s="17" t="s">
        <v>21649</v>
      </c>
      <c r="B7758" s="17" t="s">
        <v>70</v>
      </c>
      <c r="C7758" s="17" t="s">
        <v>71</v>
      </c>
      <c r="D7758" t="s">
        <v>21650</v>
      </c>
      <c r="F7758" t="s">
        <v>3962</v>
      </c>
      <c r="K7758" s="18">
        <f>6281910123328</f>
        <v>6281910123328</v>
      </c>
      <c r="N7758" s="17" t="s">
        <v>77</v>
      </c>
      <c r="V7758" s="18">
        <f>6281910123328</f>
        <v>6281910123328</v>
      </c>
    </row>
    <row r="7759" ht="15" customHeight="1" spans="1:23" x14ac:dyDescent="0.25">
      <c r="A7759" s="17" t="s">
        <v>21651</v>
      </c>
      <c r="B7759" s="17" t="s">
        <v>70</v>
      </c>
      <c r="C7759" s="17" t="s">
        <v>71</v>
      </c>
      <c r="D7759" t="s">
        <v>21652</v>
      </c>
      <c r="F7759" t="s">
        <v>3142</v>
      </c>
      <c r="K7759" s="18">
        <f>6281213298435</f>
        <v>6281213298435</v>
      </c>
      <c r="N7759" s="17" t="s">
        <v>77</v>
      </c>
      <c r="U7759" s="17"/>
      <c r="V7759" s="18">
        <f>6281213298435</f>
        <v>6281213298435</v>
      </c>
      <c r="W7759" t="s">
        <v>21653</v>
      </c>
    </row>
    <row r="7760" ht="15" customHeight="1" spans="1:23" x14ac:dyDescent="0.25">
      <c r="A7760" s="17" t="s">
        <v>21654</v>
      </c>
      <c r="B7760" s="17" t="s">
        <v>70</v>
      </c>
      <c r="C7760" s="17" t="s">
        <v>71</v>
      </c>
      <c r="D7760" t="s">
        <v>21655</v>
      </c>
      <c r="F7760" t="s">
        <v>3869</v>
      </c>
      <c r="K7760" s="18">
        <f>6281211673551</f>
        <v>6281211673551</v>
      </c>
      <c r="N7760" s="17" t="s">
        <v>81</v>
      </c>
      <c r="U7760" s="17"/>
      <c r="V7760" s="18">
        <f>6281211673551</f>
        <v>6281211673551</v>
      </c>
      <c r="W7760" t="s">
        <v>21656</v>
      </c>
    </row>
    <row r="7761" ht="15" customHeight="1" spans="1:22" x14ac:dyDescent="0.25">
      <c r="A7761" s="17" t="s">
        <v>21657</v>
      </c>
      <c r="B7761" s="17" t="s">
        <v>70</v>
      </c>
      <c r="C7761" s="17" t="s">
        <v>71</v>
      </c>
      <c r="D7761" t="s">
        <v>21658</v>
      </c>
      <c r="F7761" t="s">
        <v>2108</v>
      </c>
      <c r="K7761" s="18">
        <f>62816802893</f>
        <v>62816802893</v>
      </c>
      <c r="N7761" s="17" t="s">
        <v>77</v>
      </c>
      <c r="V7761" s="18">
        <f>62816802893</f>
        <v>62816802893</v>
      </c>
    </row>
    <row r="7762" ht="15" customHeight="1" spans="1:22" x14ac:dyDescent="0.25">
      <c r="A7762" s="17" t="s">
        <v>21659</v>
      </c>
      <c r="B7762" s="17" t="s">
        <v>70</v>
      </c>
      <c r="C7762" s="17" t="s">
        <v>71</v>
      </c>
      <c r="D7762" t="s">
        <v>21660</v>
      </c>
      <c r="F7762" t="s">
        <v>21660</v>
      </c>
      <c r="K7762" s="18">
        <f>628781593339</f>
        <v>628781593339</v>
      </c>
      <c r="N7762" s="17" t="s">
        <v>74</v>
      </c>
      <c r="V7762" s="18">
        <f>628781593339</f>
        <v>628781593339</v>
      </c>
    </row>
    <row r="7763" ht="15" customHeight="1" spans="1:28" x14ac:dyDescent="0.25">
      <c r="A7763" s="17" t="s">
        <v>21661</v>
      </c>
      <c r="B7763" s="17" t="s">
        <v>70</v>
      </c>
      <c r="C7763" s="17" t="s">
        <v>71</v>
      </c>
      <c r="D7763" t="s">
        <v>21660</v>
      </c>
      <c r="F7763" t="s">
        <v>6452</v>
      </c>
      <c r="J7763" t="s">
        <v>115</v>
      </c>
      <c r="K7763" s="18" t="s">
        <v>21662</v>
      </c>
      <c r="N7763" s="17" t="s">
        <v>77</v>
      </c>
      <c r="O7763" t="s">
        <v>117</v>
      </c>
      <c r="V7763" s="18" t="s">
        <v>21662</v>
      </c>
      <c r="Y7763" t="s">
        <v>90</v>
      </c>
      <c r="AA7763" t="s">
        <v>118</v>
      </c>
      <c r="AB7763" t="s">
        <v>119</v>
      </c>
    </row>
    <row r="7764" ht="15" customHeight="1" spans="1:22" x14ac:dyDescent="0.25">
      <c r="A7764" s="17" t="s">
        <v>21663</v>
      </c>
      <c r="B7764" s="17" t="s">
        <v>70</v>
      </c>
      <c r="C7764" s="17" t="s">
        <v>71</v>
      </c>
      <c r="D7764" t="s">
        <v>21664</v>
      </c>
      <c r="F7764" t="s">
        <v>21665</v>
      </c>
      <c r="K7764" s="18">
        <f>628111045622</f>
        <v>628111045622</v>
      </c>
      <c r="N7764" s="17" t="s">
        <v>77</v>
      </c>
      <c r="V7764" s="18">
        <f>628111045622</f>
        <v>628111045622</v>
      </c>
    </row>
    <row r="7765" ht="15" customHeight="1" spans="1:22" x14ac:dyDescent="0.25">
      <c r="A7765" s="17" t="s">
        <v>21666</v>
      </c>
      <c r="B7765" s="17" t="s">
        <v>70</v>
      </c>
      <c r="C7765" s="17" t="s">
        <v>71</v>
      </c>
      <c r="D7765" t="s">
        <v>21667</v>
      </c>
      <c r="F7765" t="s">
        <v>3869</v>
      </c>
      <c r="K7765" s="18">
        <f>62811863775</f>
        <v>62811863775</v>
      </c>
      <c r="N7765" s="17" t="s">
        <v>77</v>
      </c>
      <c r="V7765" s="18">
        <f>62811863775</f>
        <v>62811863775</v>
      </c>
    </row>
    <row r="7766" ht="15" customHeight="1" spans="1:25" x14ac:dyDescent="0.25">
      <c r="A7766" s="17" t="s">
        <v>21668</v>
      </c>
      <c r="B7766" s="17" t="s">
        <v>70</v>
      </c>
      <c r="C7766" s="17" t="s">
        <v>71</v>
      </c>
      <c r="D7766" t="s">
        <v>21669</v>
      </c>
      <c r="F7766" t="s">
        <v>21670</v>
      </c>
      <c r="K7766" s="18">
        <f>628888098080</f>
        <v>628888098080</v>
      </c>
      <c r="N7766" s="17" t="s">
        <v>77</v>
      </c>
      <c r="U7766" s="17"/>
      <c r="V7766" s="18">
        <f>628888098080</f>
        <v>628888098080</v>
      </c>
      <c r="W7766" t="s">
        <v>21671</v>
      </c>
      <c r="Y7766" s="17" t="s">
        <v>515</v>
      </c>
    </row>
    <row r="7767" ht="15" customHeight="1" spans="1:25" x14ac:dyDescent="0.25">
      <c r="A7767" s="17" t="s">
        <v>21672</v>
      </c>
      <c r="B7767" s="17" t="s">
        <v>70</v>
      </c>
      <c r="C7767" s="17" t="s">
        <v>71</v>
      </c>
      <c r="D7767" t="s">
        <v>21673</v>
      </c>
      <c r="F7767" t="s">
        <v>21673</v>
      </c>
      <c r="K7767" s="18">
        <f>628121185577</f>
        <v>628121185577</v>
      </c>
      <c r="N7767" s="17" t="s">
        <v>77</v>
      </c>
      <c r="V7767" s="18">
        <f>628121185577</f>
        <v>628121185577</v>
      </c>
      <c r="Y7767" s="17" t="s">
        <v>90</v>
      </c>
    </row>
    <row r="7768" ht="15" customHeight="1" spans="1:22" x14ac:dyDescent="0.25">
      <c r="A7768" s="17" t="s">
        <v>21674</v>
      </c>
      <c r="B7768" s="17" t="s">
        <v>70</v>
      </c>
      <c r="C7768" s="17" t="s">
        <v>71</v>
      </c>
      <c r="D7768" t="s">
        <v>21675</v>
      </c>
      <c r="F7768" t="s">
        <v>21675</v>
      </c>
      <c r="K7768" s="18">
        <f>62813815381016</f>
        <v>62813815381016</v>
      </c>
      <c r="N7768" s="17" t="s">
        <v>81</v>
      </c>
      <c r="V7768" s="18">
        <f>62813815381016</f>
        <v>62813815381016</v>
      </c>
    </row>
    <row r="7769" ht="15" customHeight="1" spans="1:27" x14ac:dyDescent="0.25">
      <c r="A7769" s="17" t="s">
        <v>21676</v>
      </c>
      <c r="B7769" s="17" t="s">
        <v>70</v>
      </c>
      <c r="C7769" s="17" t="s">
        <v>71</v>
      </c>
      <c r="D7769" t="s">
        <v>21675</v>
      </c>
      <c r="F7769" t="s">
        <v>21677</v>
      </c>
      <c r="K7769" s="18">
        <f>62811635388</f>
        <v>62811635388</v>
      </c>
      <c r="N7769" s="17" t="s">
        <v>77</v>
      </c>
      <c r="U7769" s="17"/>
      <c r="V7769" s="18">
        <f>62811635388</f>
        <v>62811635388</v>
      </c>
      <c r="W7769" t="s">
        <v>21678</v>
      </c>
      <c r="Y7769" s="17" t="s">
        <v>90</v>
      </c>
      <c r="AA7769" s="17">
        <v>12190</v>
      </c>
    </row>
    <row r="7770" ht="15" customHeight="1" spans="1:22" x14ac:dyDescent="0.25">
      <c r="A7770" s="17" t="s">
        <v>21679</v>
      </c>
      <c r="B7770" s="17" t="s">
        <v>70</v>
      </c>
      <c r="C7770" s="17" t="s">
        <v>71</v>
      </c>
      <c r="D7770" t="s">
        <v>21680</v>
      </c>
      <c r="F7770" t="s">
        <v>21680</v>
      </c>
      <c r="K7770" s="18">
        <f>6282167193600</f>
        <v>6282167193600</v>
      </c>
      <c r="N7770" s="17" t="s">
        <v>77</v>
      </c>
      <c r="V7770" s="18">
        <f>6282167193600</f>
        <v>6282167193600</v>
      </c>
    </row>
    <row r="7771" ht="15" customHeight="1" spans="1:28" x14ac:dyDescent="0.25">
      <c r="A7771" s="17" t="s">
        <v>21681</v>
      </c>
      <c r="B7771" s="17" t="s">
        <v>70</v>
      </c>
      <c r="C7771" s="17" t="s">
        <v>71</v>
      </c>
      <c r="D7771" t="s">
        <v>21682</v>
      </c>
      <c r="F7771" t="s">
        <v>21683</v>
      </c>
      <c r="J7771" t="s">
        <v>115</v>
      </c>
      <c r="K7771" s="18" t="s">
        <v>21684</v>
      </c>
      <c r="N7771" s="17" t="s">
        <v>74</v>
      </c>
      <c r="O7771" t="s">
        <v>145</v>
      </c>
      <c r="U7771" s="17"/>
      <c r="V7771" s="18" t="s">
        <v>21684</v>
      </c>
      <c r="W7771" t="s">
        <v>21685</v>
      </c>
      <c r="Y7771" t="s">
        <v>115</v>
      </c>
      <c r="AA7771" t="s">
        <v>115</v>
      </c>
      <c r="AB7771" t="s">
        <v>119</v>
      </c>
    </row>
    <row r="7772" ht="15" customHeight="1" spans="1:22" x14ac:dyDescent="0.25">
      <c r="A7772" s="17" t="s">
        <v>21686</v>
      </c>
      <c r="B7772" s="17" t="s">
        <v>70</v>
      </c>
      <c r="C7772" s="17" t="s">
        <v>71</v>
      </c>
      <c r="D7772" t="s">
        <v>21687</v>
      </c>
      <c r="F7772" t="s">
        <v>21688</v>
      </c>
      <c r="K7772" s="18">
        <f>62819878087</f>
        <v>62819878087</v>
      </c>
      <c r="N7772" s="17" t="s">
        <v>81</v>
      </c>
      <c r="V7772" s="18">
        <f>62819878087</f>
        <v>62819878087</v>
      </c>
    </row>
    <row r="7773" ht="15" customHeight="1" spans="1:22" x14ac:dyDescent="0.25">
      <c r="A7773" s="17" t="s">
        <v>21689</v>
      </c>
      <c r="B7773" s="17" t="s">
        <v>70</v>
      </c>
      <c r="C7773" s="17" t="s">
        <v>71</v>
      </c>
      <c r="D7773" t="s">
        <v>21687</v>
      </c>
      <c r="F7773" t="s">
        <v>6095</v>
      </c>
      <c r="K7773" s="18">
        <f>6288102461817</f>
        <v>6288102461817</v>
      </c>
      <c r="N7773" s="17" t="s">
        <v>81</v>
      </c>
      <c r="V7773" s="18">
        <f>6288102461817</f>
        <v>6288102461817</v>
      </c>
    </row>
    <row r="7774" ht="15" customHeight="1" spans="1:22" x14ac:dyDescent="0.25">
      <c r="A7774" s="17" t="s">
        <v>21690</v>
      </c>
      <c r="B7774" s="17" t="s">
        <v>70</v>
      </c>
      <c r="C7774" s="17" t="s">
        <v>71</v>
      </c>
      <c r="D7774" t="s">
        <v>21691</v>
      </c>
      <c r="F7774" t="s">
        <v>17216</v>
      </c>
      <c r="K7774" s="18">
        <f>62811159292</f>
        <v>62811159292</v>
      </c>
      <c r="N7774" s="17" t="s">
        <v>77</v>
      </c>
      <c r="V7774" s="18">
        <f>62811159292</f>
        <v>62811159292</v>
      </c>
    </row>
    <row r="7775" ht="15" customHeight="1" spans="1:22" x14ac:dyDescent="0.25">
      <c r="A7775" s="17" t="s">
        <v>21692</v>
      </c>
      <c r="B7775" s="17" t="s">
        <v>70</v>
      </c>
      <c r="C7775" s="17" t="s">
        <v>71</v>
      </c>
      <c r="D7775" t="s">
        <v>2584</v>
      </c>
      <c r="F7775" t="s">
        <v>2584</v>
      </c>
      <c r="K7775" s="18">
        <f>6281905482772</f>
        <v>6281905482772</v>
      </c>
      <c r="N7775" s="17" t="s">
        <v>81</v>
      </c>
      <c r="V7775" s="18">
        <f>6281905482772</f>
        <v>6281905482772</v>
      </c>
    </row>
    <row r="7776" ht="15" customHeight="1" spans="1:28" x14ac:dyDescent="0.25">
      <c r="A7776" s="17" t="s">
        <v>21693</v>
      </c>
      <c r="B7776" s="17" t="s">
        <v>70</v>
      </c>
      <c r="C7776" s="17" t="s">
        <v>71</v>
      </c>
      <c r="D7776" t="s">
        <v>21694</v>
      </c>
      <c r="F7776" t="s">
        <v>21695</v>
      </c>
      <c r="J7776" t="s">
        <v>115</v>
      </c>
      <c r="K7776" s="18" t="s">
        <v>21696</v>
      </c>
      <c r="N7776" s="17" t="s">
        <v>81</v>
      </c>
      <c r="O7776" t="s">
        <v>117</v>
      </c>
      <c r="V7776" s="18" t="s">
        <v>21696</v>
      </c>
      <c r="Y7776" t="s">
        <v>190</v>
      </c>
      <c r="AA7776" t="s">
        <v>118</v>
      </c>
      <c r="AB7776" t="s">
        <v>119</v>
      </c>
    </row>
    <row r="7777" ht="15" customHeight="1" spans="1:22" x14ac:dyDescent="0.25">
      <c r="A7777" s="17" t="s">
        <v>21697</v>
      </c>
      <c r="B7777" s="17" t="s">
        <v>70</v>
      </c>
      <c r="C7777" s="17" t="s">
        <v>71</v>
      </c>
      <c r="D7777" t="s">
        <v>2418</v>
      </c>
      <c r="F7777" t="s">
        <v>2418</v>
      </c>
      <c r="K7777" s="18">
        <f>628151321377</f>
        <v>628151321377</v>
      </c>
      <c r="N7777" s="17" t="s">
        <v>77</v>
      </c>
      <c r="V7777" s="18">
        <f>628151321377</f>
        <v>628151321377</v>
      </c>
    </row>
    <row r="7778" ht="15" customHeight="1" spans="1:25" x14ac:dyDescent="0.25">
      <c r="A7778" s="17" t="s">
        <v>21698</v>
      </c>
      <c r="B7778" s="17" t="s">
        <v>70</v>
      </c>
      <c r="C7778" s="17" t="s">
        <v>71</v>
      </c>
      <c r="D7778" t="s">
        <v>2418</v>
      </c>
      <c r="F7778" t="s">
        <v>2280</v>
      </c>
      <c r="K7778" s="18">
        <f>62215480013</f>
        <v>62215480013</v>
      </c>
      <c r="N7778" s="17" t="s">
        <v>77</v>
      </c>
      <c r="U7778" s="17"/>
      <c r="V7778" s="18">
        <f>62215480013</f>
        <v>62215480013</v>
      </c>
      <c r="W7778" t="s">
        <v>21699</v>
      </c>
      <c r="Y7778" s="17" t="s">
        <v>90</v>
      </c>
    </row>
    <row r="7779" ht="15" customHeight="1" spans="1:23" x14ac:dyDescent="0.25">
      <c r="A7779" s="17" t="s">
        <v>21700</v>
      </c>
      <c r="B7779" s="17" t="s">
        <v>70</v>
      </c>
      <c r="C7779" s="17" t="s">
        <v>71</v>
      </c>
      <c r="D7779" t="s">
        <v>2418</v>
      </c>
      <c r="F7779" t="s">
        <v>21701</v>
      </c>
      <c r="K7779" s="18">
        <f>6281381685364</f>
        <v>6281381685364</v>
      </c>
      <c r="N7779" s="17" t="s">
        <v>77</v>
      </c>
      <c r="U7779" s="17"/>
      <c r="V7779" s="18">
        <f>6281381685364</f>
        <v>6281381685364</v>
      </c>
      <c r="W7779" t="s">
        <v>21702</v>
      </c>
    </row>
    <row r="7780" ht="15" customHeight="1" spans="1:25" x14ac:dyDescent="0.25">
      <c r="A7780" s="17" t="s">
        <v>21703</v>
      </c>
      <c r="B7780" s="17" t="s">
        <v>70</v>
      </c>
      <c r="C7780" s="17" t="s">
        <v>71</v>
      </c>
      <c r="D7780" t="s">
        <v>2418</v>
      </c>
      <c r="F7780" t="s">
        <v>672</v>
      </c>
      <c r="K7780" s="18">
        <f>62811437959</f>
        <v>62811437959</v>
      </c>
      <c r="N7780" s="17" t="s">
        <v>77</v>
      </c>
      <c r="U7780" s="17"/>
      <c r="V7780" s="18">
        <f>62811437959</f>
        <v>62811437959</v>
      </c>
      <c r="W7780" t="s">
        <v>21704</v>
      </c>
      <c r="Y7780" s="17" t="s">
        <v>217</v>
      </c>
    </row>
    <row r="7781" ht="15" customHeight="1" spans="1:22" x14ac:dyDescent="0.25">
      <c r="A7781" s="17" t="s">
        <v>21705</v>
      </c>
      <c r="B7781" s="17" t="s">
        <v>70</v>
      </c>
      <c r="C7781" s="17" t="s">
        <v>71</v>
      </c>
      <c r="D7781" t="s">
        <v>21706</v>
      </c>
      <c r="F7781" t="s">
        <v>21707</v>
      </c>
      <c r="K7781" s="18">
        <f>62818717450</f>
        <v>62818717450</v>
      </c>
      <c r="N7781" s="17" t="s">
        <v>77</v>
      </c>
      <c r="V7781" s="18">
        <f>62818717450</f>
        <v>62818717450</v>
      </c>
    </row>
    <row r="7782" ht="15" customHeight="1" spans="1:28" x14ac:dyDescent="0.25">
      <c r="A7782" s="17" t="s">
        <v>21708</v>
      </c>
      <c r="B7782" s="17" t="s">
        <v>70</v>
      </c>
      <c r="C7782" s="17" t="s">
        <v>71</v>
      </c>
      <c r="D7782" t="s">
        <v>21709</v>
      </c>
      <c r="F7782" t="s">
        <v>21710</v>
      </c>
      <c r="J7782" t="s">
        <v>115</v>
      </c>
      <c r="K7782" s="18" t="s">
        <v>21711</v>
      </c>
      <c r="N7782" s="17" t="s">
        <v>77</v>
      </c>
      <c r="O7782" t="s">
        <v>117</v>
      </c>
      <c r="U7782" s="17"/>
      <c r="V7782" s="18" t="s">
        <v>21711</v>
      </c>
      <c r="W7782" t="s">
        <v>2356</v>
      </c>
      <c r="Y7782" t="s">
        <v>115</v>
      </c>
      <c r="AA7782" t="s">
        <v>115</v>
      </c>
      <c r="AB7782" t="s">
        <v>7229</v>
      </c>
    </row>
    <row r="7783" ht="15" customHeight="1" spans="1:25" x14ac:dyDescent="0.25">
      <c r="A7783" s="17" t="s">
        <v>21712</v>
      </c>
      <c r="B7783" s="17" t="s">
        <v>70</v>
      </c>
      <c r="C7783" s="17" t="s">
        <v>71</v>
      </c>
      <c r="D7783" t="s">
        <v>19460</v>
      </c>
      <c r="F7783" t="s">
        <v>19460</v>
      </c>
      <c r="K7783" s="18">
        <f>62816756977</f>
        <v>62816756977</v>
      </c>
      <c r="N7783" s="17" t="s">
        <v>77</v>
      </c>
      <c r="U7783" s="17"/>
      <c r="V7783" s="18">
        <f>62816756977</f>
        <v>62816756977</v>
      </c>
      <c r="W7783" t="s">
        <v>21713</v>
      </c>
      <c r="Y7783" s="17" t="s">
        <v>6246</v>
      </c>
    </row>
    <row r="7784" ht="15" customHeight="1" spans="1:27" x14ac:dyDescent="0.25">
      <c r="A7784" s="17" t="s">
        <v>21714</v>
      </c>
      <c r="B7784" s="17" t="s">
        <v>70</v>
      </c>
      <c r="C7784" s="17" t="s">
        <v>71</v>
      </c>
      <c r="D7784" t="s">
        <v>19460</v>
      </c>
      <c r="F7784" t="s">
        <v>153</v>
      </c>
      <c r="J7784" s="17" t="s">
        <v>21715</v>
      </c>
      <c r="K7784" s="18">
        <f>62818756977</f>
        <v>62818756977</v>
      </c>
      <c r="N7784" s="17" t="s">
        <v>77</v>
      </c>
      <c r="U7784" s="17"/>
      <c r="V7784" s="18">
        <f>62818756977</f>
        <v>62818756977</v>
      </c>
      <c r="W7784" t="s">
        <v>21713</v>
      </c>
      <c r="Y7784" s="17" t="s">
        <v>96</v>
      </c>
      <c r="AA7784" s="17">
        <v>12140</v>
      </c>
    </row>
    <row r="7785" ht="15" customHeight="1" spans="1:28" x14ac:dyDescent="0.25">
      <c r="A7785" s="17" t="s">
        <v>21716</v>
      </c>
      <c r="B7785" s="17" t="s">
        <v>70</v>
      </c>
      <c r="C7785" s="17" t="s">
        <v>71</v>
      </c>
      <c r="D7785" t="s">
        <v>21717</v>
      </c>
      <c r="F7785" t="s">
        <v>3869</v>
      </c>
      <c r="J7785" t="s">
        <v>115</v>
      </c>
      <c r="K7785" s="18" t="s">
        <v>21718</v>
      </c>
      <c r="N7785" s="17" t="s">
        <v>77</v>
      </c>
      <c r="O7785" t="s">
        <v>117</v>
      </c>
      <c r="U7785" s="17"/>
      <c r="V7785" s="18" t="s">
        <v>21718</v>
      </c>
      <c r="W7785" t="s">
        <v>21719</v>
      </c>
      <c r="Y7785" s="17" t="s">
        <v>190</v>
      </c>
      <c r="AA7785" t="s">
        <v>118</v>
      </c>
      <c r="AB7785" t="s">
        <v>119</v>
      </c>
    </row>
    <row r="7786" ht="15" customHeight="1" spans="1:22" x14ac:dyDescent="0.25">
      <c r="A7786" s="17" t="s">
        <v>21720</v>
      </c>
      <c r="B7786" s="17" t="s">
        <v>70</v>
      </c>
      <c r="C7786" s="17" t="s">
        <v>71</v>
      </c>
      <c r="D7786" t="s">
        <v>21721</v>
      </c>
      <c r="F7786" t="s">
        <v>21721</v>
      </c>
      <c r="K7786" s="18">
        <f>62818901967</f>
        <v>62818901967</v>
      </c>
      <c r="N7786" s="17" t="s">
        <v>81</v>
      </c>
      <c r="V7786" s="18">
        <f>62818901967</f>
        <v>62818901967</v>
      </c>
    </row>
    <row r="7787" ht="15" customHeight="1" spans="1:22" x14ac:dyDescent="0.25">
      <c r="A7787" s="17" t="s">
        <v>21722</v>
      </c>
      <c r="B7787" s="17" t="s">
        <v>70</v>
      </c>
      <c r="C7787" s="17" t="s">
        <v>71</v>
      </c>
      <c r="D7787" t="s">
        <v>21723</v>
      </c>
      <c r="F7787" t="s">
        <v>21724</v>
      </c>
      <c r="K7787" s="18">
        <f>628118605396</f>
        <v>628118605396</v>
      </c>
      <c r="N7787" s="17" t="s">
        <v>77</v>
      </c>
      <c r="V7787" s="18">
        <f>628118605396</f>
        <v>628118605396</v>
      </c>
    </row>
    <row r="7788" ht="15" customHeight="1" spans="1:28" x14ac:dyDescent="0.25">
      <c r="A7788" s="17" t="s">
        <v>21725</v>
      </c>
      <c r="B7788" s="17" t="s">
        <v>70</v>
      </c>
      <c r="C7788" s="17" t="s">
        <v>71</v>
      </c>
      <c r="D7788" t="s">
        <v>21726</v>
      </c>
      <c r="F7788" t="s">
        <v>21727</v>
      </c>
      <c r="J7788" s="17" t="s">
        <v>21728</v>
      </c>
      <c r="K7788" s="18" t="s">
        <v>21729</v>
      </c>
      <c r="N7788" s="17" t="s">
        <v>81</v>
      </c>
      <c r="O7788" t="s">
        <v>145</v>
      </c>
      <c r="U7788" s="17"/>
      <c r="V7788" s="18" t="s">
        <v>21729</v>
      </c>
      <c r="W7788" t="s">
        <v>21730</v>
      </c>
      <c r="Y7788" t="s">
        <v>190</v>
      </c>
      <c r="AA7788" t="s">
        <v>118</v>
      </c>
      <c r="AB7788" t="s">
        <v>119</v>
      </c>
    </row>
    <row r="7789" ht="15" customHeight="1" spans="1:28" x14ac:dyDescent="0.25">
      <c r="A7789" s="17" t="s">
        <v>21731</v>
      </c>
      <c r="B7789" s="17" t="s">
        <v>70</v>
      </c>
      <c r="C7789" s="17" t="s">
        <v>71</v>
      </c>
      <c r="D7789" t="s">
        <v>21732</v>
      </c>
      <c r="F7789" t="s">
        <v>21733</v>
      </c>
      <c r="J7789" t="s">
        <v>115</v>
      </c>
      <c r="K7789" s="18" t="s">
        <v>21734</v>
      </c>
      <c r="N7789" s="17" t="s">
        <v>77</v>
      </c>
      <c r="O7789" t="s">
        <v>117</v>
      </c>
      <c r="V7789" s="18" t="s">
        <v>21734</v>
      </c>
      <c r="Y7789" t="s">
        <v>190</v>
      </c>
      <c r="AA7789" t="s">
        <v>118</v>
      </c>
      <c r="AB7789" t="s">
        <v>119</v>
      </c>
    </row>
    <row r="7790" ht="15" customHeight="1" spans="1:28" x14ac:dyDescent="0.25">
      <c r="A7790" s="17" t="s">
        <v>21735</v>
      </c>
      <c r="B7790" s="17" t="s">
        <v>70</v>
      </c>
      <c r="C7790" s="17" t="s">
        <v>71</v>
      </c>
      <c r="D7790" t="s">
        <v>21732</v>
      </c>
      <c r="F7790" t="s">
        <v>21736</v>
      </c>
      <c r="J7790" t="s">
        <v>115</v>
      </c>
      <c r="K7790" s="18" t="s">
        <v>21737</v>
      </c>
      <c r="N7790" s="17" t="s">
        <v>74</v>
      </c>
      <c r="O7790" t="s">
        <v>117</v>
      </c>
      <c r="V7790" s="18" t="s">
        <v>21737</v>
      </c>
      <c r="Y7790" t="s">
        <v>115</v>
      </c>
      <c r="AA7790" t="s">
        <v>115</v>
      </c>
      <c r="AB7790" t="s">
        <v>119</v>
      </c>
    </row>
    <row r="7791" ht="15" customHeight="1" spans="1:28" x14ac:dyDescent="0.25">
      <c r="A7791" s="17" t="s">
        <v>21738</v>
      </c>
      <c r="B7791" s="17" t="s">
        <v>70</v>
      </c>
      <c r="C7791" s="17" t="s">
        <v>71</v>
      </c>
      <c r="D7791" t="s">
        <v>21739</v>
      </c>
      <c r="F7791" t="s">
        <v>21740</v>
      </c>
      <c r="J7791" t="s">
        <v>21741</v>
      </c>
      <c r="K7791" s="18" t="s">
        <v>21742</v>
      </c>
      <c r="N7791" s="17" t="s">
        <v>77</v>
      </c>
      <c r="O7791" t="s">
        <v>489</v>
      </c>
      <c r="U7791" s="17"/>
      <c r="V7791" s="18" t="s">
        <v>21742</v>
      </c>
      <c r="W7791" t="s">
        <v>1908</v>
      </c>
      <c r="Y7791" t="s">
        <v>1909</v>
      </c>
      <c r="AA7791" t="s">
        <v>115</v>
      </c>
      <c r="AB7791" t="s">
        <v>1909</v>
      </c>
    </row>
    <row r="7792" ht="15" customHeight="1" spans="1:22" x14ac:dyDescent="0.25">
      <c r="A7792" s="17" t="s">
        <v>21743</v>
      </c>
      <c r="B7792" s="17" t="s">
        <v>70</v>
      </c>
      <c r="C7792" s="17" t="s">
        <v>71</v>
      </c>
      <c r="D7792" t="s">
        <v>21744</v>
      </c>
      <c r="F7792" t="s">
        <v>21744</v>
      </c>
      <c r="K7792" s="18">
        <f>628123456123</f>
        <v>628123456123</v>
      </c>
      <c r="N7792" s="17" t="s">
        <v>81</v>
      </c>
      <c r="V7792" s="18">
        <f>628123456123</f>
        <v>628123456123</v>
      </c>
    </row>
    <row r="7793" ht="15" customHeight="1" spans="1:22" x14ac:dyDescent="0.25">
      <c r="A7793" s="17" t="s">
        <v>21745</v>
      </c>
      <c r="B7793" s="17" t="s">
        <v>70</v>
      </c>
      <c r="C7793" s="17" t="s">
        <v>71</v>
      </c>
      <c r="D7793" t="s">
        <v>21746</v>
      </c>
      <c r="F7793" t="s">
        <v>21746</v>
      </c>
      <c r="K7793" s="18">
        <f>62811961392</f>
        <v>62811961392</v>
      </c>
      <c r="N7793" s="17" t="s">
        <v>81</v>
      </c>
      <c r="V7793" s="18">
        <f>62811961392</f>
        <v>62811961392</v>
      </c>
    </row>
    <row r="7794" ht="15" customHeight="1" spans="1:23" x14ac:dyDescent="0.25">
      <c r="A7794" s="17" t="s">
        <v>21747</v>
      </c>
      <c r="B7794" s="17" t="s">
        <v>70</v>
      </c>
      <c r="C7794" s="17" t="s">
        <v>71</v>
      </c>
      <c r="D7794" t="s">
        <v>21748</v>
      </c>
      <c r="F7794" t="s">
        <v>1730</v>
      </c>
      <c r="K7794" s="18">
        <f>6287788700015</f>
        <v>6287788700015</v>
      </c>
      <c r="N7794" s="17" t="s">
        <v>81</v>
      </c>
      <c r="U7794" s="17"/>
      <c r="V7794" s="18">
        <f>6287788700015</f>
        <v>6287788700015</v>
      </c>
      <c r="W7794" t="s">
        <v>21749</v>
      </c>
    </row>
    <row r="7795" ht="15" customHeight="1" spans="1:28" x14ac:dyDescent="0.25">
      <c r="A7795" s="17" t="s">
        <v>21750</v>
      </c>
      <c r="B7795" s="17" t="s">
        <v>70</v>
      </c>
      <c r="C7795" s="17" t="s">
        <v>71</v>
      </c>
      <c r="D7795" t="s">
        <v>21751</v>
      </c>
      <c r="F7795" t="s">
        <v>2785</v>
      </c>
      <c r="J7795" t="s">
        <v>115</v>
      </c>
      <c r="K7795" s="18" t="s">
        <v>21752</v>
      </c>
      <c r="N7795" s="17" t="s">
        <v>77</v>
      </c>
      <c r="O7795" t="s">
        <v>145</v>
      </c>
      <c r="V7795" s="18" t="s">
        <v>21752</v>
      </c>
      <c r="Y7795" t="s">
        <v>190</v>
      </c>
      <c r="AA7795" t="s">
        <v>118</v>
      </c>
      <c r="AB7795" t="s">
        <v>119</v>
      </c>
    </row>
    <row r="7796" ht="15" customHeight="1" spans="1:22" x14ac:dyDescent="0.25">
      <c r="A7796" s="17" t="s">
        <v>21753</v>
      </c>
      <c r="B7796" s="17" t="s">
        <v>70</v>
      </c>
      <c r="C7796" s="17" t="s">
        <v>71</v>
      </c>
      <c r="D7796" t="s">
        <v>21754</v>
      </c>
      <c r="F7796" t="s">
        <v>3092</v>
      </c>
      <c r="K7796" s="18">
        <f>6281388047902</f>
        <v>6281388047902</v>
      </c>
      <c r="N7796" s="17" t="s">
        <v>77</v>
      </c>
      <c r="V7796" s="18">
        <f>6281388047902</f>
        <v>6281388047902</v>
      </c>
    </row>
    <row r="7797" ht="15" customHeight="1" spans="1:28" x14ac:dyDescent="0.25">
      <c r="A7797" s="17" t="s">
        <v>21755</v>
      </c>
      <c r="B7797" s="17" t="s">
        <v>70</v>
      </c>
      <c r="C7797" s="17" t="s">
        <v>71</v>
      </c>
      <c r="D7797" t="s">
        <v>21754</v>
      </c>
      <c r="F7797" t="s">
        <v>7846</v>
      </c>
      <c r="J7797" t="s">
        <v>115</v>
      </c>
      <c r="K7797" s="18" t="s">
        <v>21756</v>
      </c>
      <c r="N7797" s="17" t="s">
        <v>77</v>
      </c>
      <c r="O7797" t="s">
        <v>145</v>
      </c>
      <c r="V7797" s="18" t="s">
        <v>21756</v>
      </c>
      <c r="Y7797" t="s">
        <v>90</v>
      </c>
      <c r="AA7797" t="s">
        <v>118</v>
      </c>
      <c r="AB7797" t="s">
        <v>119</v>
      </c>
    </row>
    <row r="7798" ht="15" customHeight="1" spans="1:28" x14ac:dyDescent="0.25">
      <c r="A7798" s="17" t="s">
        <v>21757</v>
      </c>
      <c r="B7798" s="17" t="s">
        <v>70</v>
      </c>
      <c r="C7798" s="17" t="s">
        <v>71</v>
      </c>
      <c r="D7798" t="s">
        <v>21758</v>
      </c>
      <c r="F7798" t="s">
        <v>21759</v>
      </c>
      <c r="J7798" t="s">
        <v>115</v>
      </c>
      <c r="K7798" s="18" t="s">
        <v>21760</v>
      </c>
      <c r="N7798" s="17" t="s">
        <v>77</v>
      </c>
      <c r="O7798" t="s">
        <v>199</v>
      </c>
      <c r="U7798" s="17"/>
      <c r="V7798" s="18" t="s">
        <v>21760</v>
      </c>
      <c r="W7798" t="s">
        <v>1908</v>
      </c>
      <c r="Y7798" t="s">
        <v>250</v>
      </c>
      <c r="AA7798" t="s">
        <v>115</v>
      </c>
      <c r="AB7798" t="s">
        <v>119</v>
      </c>
    </row>
    <row r="7799" ht="15" customHeight="1" spans="1:28" x14ac:dyDescent="0.25">
      <c r="A7799" s="17" t="s">
        <v>21761</v>
      </c>
      <c r="B7799" s="17" t="s">
        <v>70</v>
      </c>
      <c r="C7799" s="17" t="s">
        <v>71</v>
      </c>
      <c r="D7799" t="s">
        <v>21762</v>
      </c>
      <c r="F7799" t="s">
        <v>21763</v>
      </c>
      <c r="J7799" t="s">
        <v>115</v>
      </c>
      <c r="K7799" s="18" t="s">
        <v>21764</v>
      </c>
      <c r="N7799" s="17" t="s">
        <v>77</v>
      </c>
      <c r="O7799" t="s">
        <v>199</v>
      </c>
      <c r="U7799" s="17"/>
      <c r="V7799" s="18" t="s">
        <v>21764</v>
      </c>
      <c r="W7799" t="s">
        <v>21765</v>
      </c>
      <c r="Y7799" s="17" t="s">
        <v>920</v>
      </c>
      <c r="AA7799" t="s">
        <v>115</v>
      </c>
      <c r="AB7799" t="s">
        <v>920</v>
      </c>
    </row>
    <row r="7800" ht="15" customHeight="1" spans="1:23" x14ac:dyDescent="0.25">
      <c r="A7800" s="17" t="s">
        <v>21766</v>
      </c>
      <c r="B7800" s="17" t="s">
        <v>70</v>
      </c>
      <c r="C7800" s="17" t="s">
        <v>71</v>
      </c>
      <c r="D7800" t="s">
        <v>21767</v>
      </c>
      <c r="F7800" t="s">
        <v>21768</v>
      </c>
      <c r="K7800" s="18">
        <f>999874002222</f>
        <v>999874002222</v>
      </c>
      <c r="N7800" s="17" t="s">
        <v>77</v>
      </c>
      <c r="U7800" s="17"/>
      <c r="V7800" s="18">
        <f>999874002222</f>
        <v>999874002222</v>
      </c>
      <c r="W7800" t="s">
        <v>17970</v>
      </c>
    </row>
    <row r="7801" ht="15" customHeight="1" spans="1:28" x14ac:dyDescent="0.25">
      <c r="A7801" s="17" t="s">
        <v>21769</v>
      </c>
      <c r="B7801" s="17" t="s">
        <v>70</v>
      </c>
      <c r="C7801" s="17" t="s">
        <v>71</v>
      </c>
      <c r="D7801" t="s">
        <v>21770</v>
      </c>
      <c r="F7801" t="s">
        <v>21771</v>
      </c>
      <c r="J7801" t="s">
        <v>115</v>
      </c>
      <c r="K7801" s="18" t="s">
        <v>21772</v>
      </c>
      <c r="N7801" s="17" t="s">
        <v>77</v>
      </c>
      <c r="O7801" t="s">
        <v>117</v>
      </c>
      <c r="V7801" s="18" t="s">
        <v>21772</v>
      </c>
      <c r="Y7801" t="s">
        <v>190</v>
      </c>
      <c r="AA7801" t="s">
        <v>118</v>
      </c>
      <c r="AB7801" t="s">
        <v>119</v>
      </c>
    </row>
    <row r="7802" ht="15" customHeight="1" spans="1:22" x14ac:dyDescent="0.25">
      <c r="A7802" s="17" t="s">
        <v>21773</v>
      </c>
      <c r="B7802" s="17" t="s">
        <v>70</v>
      </c>
      <c r="C7802" s="17" t="s">
        <v>71</v>
      </c>
      <c r="D7802" t="s">
        <v>21774</v>
      </c>
      <c r="F7802" t="s">
        <v>21775</v>
      </c>
      <c r="K7802" s="18">
        <f>628111493606</f>
        <v>628111493606</v>
      </c>
      <c r="N7802" s="17" t="s">
        <v>81</v>
      </c>
      <c r="V7802" s="18">
        <f>628111493606</f>
        <v>628111493606</v>
      </c>
    </row>
    <row r="7803" ht="15" customHeight="1" spans="1:28" x14ac:dyDescent="0.25">
      <c r="A7803" s="17" t="s">
        <v>21776</v>
      </c>
      <c r="B7803" s="17" t="s">
        <v>70</v>
      </c>
      <c r="C7803" s="17" t="s">
        <v>71</v>
      </c>
      <c r="D7803" t="s">
        <v>8533</v>
      </c>
      <c r="F7803" t="s">
        <v>4744</v>
      </c>
      <c r="J7803" t="s">
        <v>115</v>
      </c>
      <c r="K7803" s="18" t="s">
        <v>21777</v>
      </c>
      <c r="N7803" s="17" t="s">
        <v>77</v>
      </c>
      <c r="O7803" t="s">
        <v>117</v>
      </c>
      <c r="V7803" s="18" t="s">
        <v>21777</v>
      </c>
      <c r="Y7803" t="s">
        <v>190</v>
      </c>
      <c r="AA7803" t="s">
        <v>118</v>
      </c>
      <c r="AB7803" t="s">
        <v>119</v>
      </c>
    </row>
    <row r="7804" ht="15" customHeight="1" spans="1:22" x14ac:dyDescent="0.25">
      <c r="A7804" s="17" t="s">
        <v>21778</v>
      </c>
      <c r="B7804" s="17" t="s">
        <v>70</v>
      </c>
      <c r="C7804" s="17" t="s">
        <v>71</v>
      </c>
      <c r="D7804" t="s">
        <v>21779</v>
      </c>
      <c r="F7804" t="s">
        <v>3121</v>
      </c>
      <c r="K7804" s="18">
        <f>62811927000</f>
        <v>62811927000</v>
      </c>
      <c r="N7804" s="17" t="s">
        <v>81</v>
      </c>
      <c r="V7804" s="18">
        <f>62811927000</f>
        <v>62811927000</v>
      </c>
    </row>
    <row r="7805" ht="15" customHeight="1" spans="1:28" x14ac:dyDescent="0.25">
      <c r="A7805" s="17" t="s">
        <v>21780</v>
      </c>
      <c r="B7805" s="17" t="s">
        <v>70</v>
      </c>
      <c r="C7805" s="17" t="s">
        <v>71</v>
      </c>
      <c r="D7805" t="s">
        <v>21781</v>
      </c>
      <c r="F7805" t="s">
        <v>21782</v>
      </c>
      <c r="J7805" t="s">
        <v>115</v>
      </c>
      <c r="K7805" s="18" t="s">
        <v>21783</v>
      </c>
      <c r="N7805" s="17" t="s">
        <v>77</v>
      </c>
      <c r="O7805" t="s">
        <v>199</v>
      </c>
      <c r="U7805" s="17"/>
      <c r="V7805" s="18" t="s">
        <v>21783</v>
      </c>
      <c r="W7805" t="s">
        <v>1909</v>
      </c>
      <c r="Y7805" t="s">
        <v>1909</v>
      </c>
      <c r="AA7805" t="s">
        <v>115</v>
      </c>
      <c r="AB7805" t="s">
        <v>1909</v>
      </c>
    </row>
    <row r="7806" ht="15" customHeight="1" spans="1:28" x14ac:dyDescent="0.25">
      <c r="A7806" s="17" t="s">
        <v>21784</v>
      </c>
      <c r="B7806" s="17" t="s">
        <v>70</v>
      </c>
      <c r="C7806" s="17" t="s">
        <v>71</v>
      </c>
      <c r="D7806" t="s">
        <v>21785</v>
      </c>
      <c r="F7806" t="s">
        <v>2908</v>
      </c>
      <c r="J7806" s="17" t="s">
        <v>21786</v>
      </c>
      <c r="K7806" s="18" t="s">
        <v>21787</v>
      </c>
      <c r="N7806" s="17" t="s">
        <v>77</v>
      </c>
      <c r="O7806" t="s">
        <v>145</v>
      </c>
      <c r="U7806" s="17"/>
      <c r="V7806" s="18" t="s">
        <v>21787</v>
      </c>
      <c r="W7806" t="s">
        <v>1908</v>
      </c>
      <c r="Y7806" s="17" t="s">
        <v>1909</v>
      </c>
      <c r="AA7806" t="s">
        <v>115</v>
      </c>
      <c r="AB7806" t="s">
        <v>1909</v>
      </c>
    </row>
    <row r="7807" ht="15" customHeight="1" spans="1:25" x14ac:dyDescent="0.25">
      <c r="A7807" s="17" t="s">
        <v>21788</v>
      </c>
      <c r="B7807" s="17" t="s">
        <v>70</v>
      </c>
      <c r="C7807" s="17" t="s">
        <v>71</v>
      </c>
      <c r="D7807" t="s">
        <v>21789</v>
      </c>
      <c r="F7807" t="s">
        <v>21790</v>
      </c>
      <c r="K7807" s="18">
        <f>628188007001</f>
        <v>628188007001</v>
      </c>
      <c r="N7807" s="17" t="s">
        <v>77</v>
      </c>
      <c r="U7807" s="17"/>
      <c r="V7807" s="18">
        <f>628188007001</f>
        <v>628188007001</v>
      </c>
      <c r="W7807" t="s">
        <v>21791</v>
      </c>
      <c r="Y7807" s="17" t="s">
        <v>626</v>
      </c>
    </row>
    <row r="7808" ht="15" customHeight="1" spans="1:22" x14ac:dyDescent="0.25">
      <c r="A7808" s="17" t="s">
        <v>21792</v>
      </c>
      <c r="B7808" s="17" t="s">
        <v>70</v>
      </c>
      <c r="C7808" s="17" t="s">
        <v>71</v>
      </c>
      <c r="D7808" t="s">
        <v>21793</v>
      </c>
      <c r="F7808" t="s">
        <v>21793</v>
      </c>
      <c r="K7808" s="18">
        <f>6281219935934</f>
        <v>6281219935934</v>
      </c>
      <c r="N7808" s="17" t="s">
        <v>77</v>
      </c>
      <c r="V7808" s="18">
        <f>6281219935934</f>
        <v>6281219935934</v>
      </c>
    </row>
    <row r="7809" ht="15" customHeight="1" spans="1:22" x14ac:dyDescent="0.25">
      <c r="A7809" s="17" t="s">
        <v>21794</v>
      </c>
      <c r="B7809" s="17" t="s">
        <v>70</v>
      </c>
      <c r="C7809" s="17" t="s">
        <v>71</v>
      </c>
      <c r="D7809" t="s">
        <v>21795</v>
      </c>
      <c r="F7809" t="s">
        <v>21796</v>
      </c>
      <c r="K7809" s="18">
        <f>6281256265504</f>
        <v>6281256265504</v>
      </c>
      <c r="N7809" s="17" t="s">
        <v>77</v>
      </c>
      <c r="V7809" s="18">
        <f>6281256265504</f>
        <v>6281256265504</v>
      </c>
    </row>
    <row r="7810" ht="15" customHeight="1" spans="1:22" x14ac:dyDescent="0.25">
      <c r="A7810" s="17" t="s">
        <v>21797</v>
      </c>
      <c r="B7810" s="17" t="s">
        <v>70</v>
      </c>
      <c r="C7810" s="17" t="s">
        <v>71</v>
      </c>
      <c r="D7810" t="s">
        <v>21798</v>
      </c>
      <c r="F7810" t="s">
        <v>11291</v>
      </c>
      <c r="K7810" s="18">
        <f>628111778700</f>
        <v>628111778700</v>
      </c>
      <c r="N7810" s="17" t="s">
        <v>77</v>
      </c>
      <c r="V7810" s="18">
        <f>628111778700</f>
        <v>628111778700</v>
      </c>
    </row>
    <row r="7811" ht="15" customHeight="1" spans="1:28" x14ac:dyDescent="0.25">
      <c r="A7811" s="17" t="s">
        <v>21799</v>
      </c>
      <c r="B7811" s="17" t="s">
        <v>70</v>
      </c>
      <c r="C7811" s="17" t="s">
        <v>71</v>
      </c>
      <c r="D7811" t="s">
        <v>21800</v>
      </c>
      <c r="F7811" t="s">
        <v>21801</v>
      </c>
      <c r="J7811" t="s">
        <v>115</v>
      </c>
      <c r="K7811" s="18" t="s">
        <v>21802</v>
      </c>
      <c r="N7811" s="17" t="s">
        <v>77</v>
      </c>
      <c r="O7811" t="s">
        <v>261</v>
      </c>
      <c r="V7811" s="18" t="s">
        <v>21802</v>
      </c>
      <c r="Y7811" t="s">
        <v>90</v>
      </c>
      <c r="AA7811" t="s">
        <v>118</v>
      </c>
      <c r="AB7811" t="s">
        <v>119</v>
      </c>
    </row>
    <row r="7812" ht="15" customHeight="1" spans="1:28" x14ac:dyDescent="0.25">
      <c r="A7812" s="17" t="s">
        <v>21803</v>
      </c>
      <c r="B7812" s="17" t="s">
        <v>70</v>
      </c>
      <c r="C7812" s="17" t="s">
        <v>71</v>
      </c>
      <c r="D7812" t="s">
        <v>8600</v>
      </c>
      <c r="F7812" t="s">
        <v>21804</v>
      </c>
      <c r="J7812" t="s">
        <v>115</v>
      </c>
      <c r="K7812" s="18" t="s">
        <v>21805</v>
      </c>
      <c r="N7812" s="17" t="s">
        <v>77</v>
      </c>
      <c r="O7812" t="s">
        <v>261</v>
      </c>
      <c r="V7812" s="18" t="s">
        <v>21805</v>
      </c>
      <c r="Y7812" t="s">
        <v>3073</v>
      </c>
      <c r="AA7812" t="s">
        <v>115</v>
      </c>
      <c r="AB7812" t="s">
        <v>119</v>
      </c>
    </row>
    <row r="7813" ht="15" customHeight="1" spans="1:25" x14ac:dyDescent="0.25">
      <c r="A7813" s="17" t="s">
        <v>21806</v>
      </c>
      <c r="B7813" s="17" t="s">
        <v>70</v>
      </c>
      <c r="C7813" s="17" t="s">
        <v>71</v>
      </c>
      <c r="D7813" t="s">
        <v>21807</v>
      </c>
      <c r="F7813" t="s">
        <v>21808</v>
      </c>
      <c r="K7813" s="18">
        <f>62213907231</f>
        <v>62213907231</v>
      </c>
      <c r="N7813" s="17" t="s">
        <v>77</v>
      </c>
      <c r="U7813" s="17"/>
      <c r="V7813" s="18">
        <f>62213907231</f>
        <v>62213907231</v>
      </c>
      <c r="W7813" t="s">
        <v>21809</v>
      </c>
      <c r="Y7813" s="17" t="s">
        <v>90</v>
      </c>
    </row>
    <row r="7814" ht="15" customHeight="1" spans="1:22" x14ac:dyDescent="0.25">
      <c r="A7814" s="17" t="s">
        <v>21810</v>
      </c>
      <c r="B7814" s="17" t="s">
        <v>70</v>
      </c>
      <c r="C7814" s="17" t="s">
        <v>71</v>
      </c>
      <c r="D7814" t="s">
        <v>21811</v>
      </c>
      <c r="F7814" t="s">
        <v>21811</v>
      </c>
      <c r="J7814" s="17" t="s">
        <v>21812</v>
      </c>
      <c r="K7814" s="18">
        <f>628118807512</f>
        <v>628118807512</v>
      </c>
      <c r="N7814" s="17" t="s">
        <v>81</v>
      </c>
      <c r="V7814" s="18">
        <f>628118807512</f>
        <v>628118807512</v>
      </c>
    </row>
    <row r="7815" ht="15" customHeight="1" spans="1:25" x14ac:dyDescent="0.25">
      <c r="A7815" s="17" t="s">
        <v>21813</v>
      </c>
      <c r="B7815" s="17" t="s">
        <v>70</v>
      </c>
      <c r="C7815" s="17" t="s">
        <v>71</v>
      </c>
      <c r="D7815" t="s">
        <v>2947</v>
      </c>
      <c r="F7815" t="s">
        <v>21814</v>
      </c>
      <c r="K7815" s="18">
        <f>9718092385</f>
        <v>9718092385</v>
      </c>
      <c r="N7815" s="17" t="s">
        <v>81</v>
      </c>
      <c r="V7815" s="18">
        <f>9718092385</f>
        <v>9718092385</v>
      </c>
      <c r="Y7815" s="17" t="s">
        <v>250</v>
      </c>
    </row>
    <row r="7816" ht="15" customHeight="1" spans="1:22" x14ac:dyDescent="0.25">
      <c r="A7816" s="17" t="s">
        <v>21815</v>
      </c>
      <c r="B7816" s="17" t="s">
        <v>70</v>
      </c>
      <c r="C7816" s="17" t="s">
        <v>71</v>
      </c>
      <c r="D7816" t="s">
        <v>2947</v>
      </c>
      <c r="F7816" t="s">
        <v>21816</v>
      </c>
      <c r="K7816" s="18">
        <f>62816740977</f>
        <v>62816740977</v>
      </c>
      <c r="N7816" s="17" t="s">
        <v>81</v>
      </c>
      <c r="V7816" s="18">
        <f>62816740977</f>
        <v>62816740977</v>
      </c>
    </row>
    <row r="7817" ht="15" customHeight="1" spans="1:22" x14ac:dyDescent="0.25">
      <c r="A7817" s="17" t="s">
        <v>21817</v>
      </c>
      <c r="B7817" s="17" t="s">
        <v>70</v>
      </c>
      <c r="C7817" s="17" t="s">
        <v>71</v>
      </c>
      <c r="D7817" t="s">
        <v>2947</v>
      </c>
      <c r="F7817" t="s">
        <v>7941</v>
      </c>
      <c r="K7817" s="18">
        <f>8240988117</f>
        <v>8240988117</v>
      </c>
      <c r="N7817" s="17" t="s">
        <v>81</v>
      </c>
      <c r="V7817" s="18">
        <f>8240988117</f>
        <v>8240988117</v>
      </c>
    </row>
    <row r="7818" ht="15" customHeight="1" spans="1:22" x14ac:dyDescent="0.25">
      <c r="A7818" s="17" t="s">
        <v>21818</v>
      </c>
      <c r="B7818" s="17" t="s">
        <v>70</v>
      </c>
      <c r="C7818" s="17" t="s">
        <v>71</v>
      </c>
      <c r="D7818" t="s">
        <v>2947</v>
      </c>
      <c r="F7818" t="s">
        <v>7351</v>
      </c>
      <c r="K7818" s="18">
        <f>6281184011280</f>
        <v>6281184011280</v>
      </c>
      <c r="N7818" s="17" t="s">
        <v>77</v>
      </c>
      <c r="V7818" s="18">
        <f>6281184011280</f>
        <v>6281184011280</v>
      </c>
    </row>
    <row r="7819" ht="15" customHeight="1" spans="1:28" x14ac:dyDescent="0.25">
      <c r="A7819" s="17" t="s">
        <v>21819</v>
      </c>
      <c r="B7819" s="17" t="s">
        <v>70</v>
      </c>
      <c r="C7819" s="17" t="s">
        <v>71</v>
      </c>
      <c r="D7819" t="s">
        <v>21820</v>
      </c>
      <c r="F7819" t="s">
        <v>21821</v>
      </c>
      <c r="J7819" s="17" t="s">
        <v>21822</v>
      </c>
      <c r="K7819" s="18" t="s">
        <v>21823</v>
      </c>
      <c r="N7819" s="17" t="s">
        <v>77</v>
      </c>
      <c r="O7819" t="s">
        <v>261</v>
      </c>
      <c r="V7819" s="18" t="s">
        <v>21823</v>
      </c>
      <c r="Y7819" s="17" t="s">
        <v>410</v>
      </c>
      <c r="AA7819" t="s">
        <v>5299</v>
      </c>
      <c r="AB7819" t="s">
        <v>119</v>
      </c>
    </row>
    <row r="7820" ht="15" customHeight="1" spans="1:22" x14ac:dyDescent="0.25">
      <c r="A7820" s="17" t="s">
        <v>21824</v>
      </c>
      <c r="B7820" s="17" t="s">
        <v>70</v>
      </c>
      <c r="C7820" s="17" t="s">
        <v>71</v>
      </c>
      <c r="D7820" t="s">
        <v>21820</v>
      </c>
      <c r="F7820" t="s">
        <v>21825</v>
      </c>
      <c r="K7820" s="18">
        <f>6281932227970</f>
        <v>6281932227970</v>
      </c>
      <c r="N7820" s="17" t="s">
        <v>77</v>
      </c>
      <c r="V7820" s="18">
        <f>6281932227970</f>
        <v>6281932227970</v>
      </c>
    </row>
    <row r="7821" ht="15" customHeight="1" spans="1:28" x14ac:dyDescent="0.25">
      <c r="A7821" s="17" t="s">
        <v>21826</v>
      </c>
      <c r="B7821" s="17" t="s">
        <v>70</v>
      </c>
      <c r="C7821" s="17" t="s">
        <v>71</v>
      </c>
      <c r="D7821" t="s">
        <v>21827</v>
      </c>
      <c r="F7821" t="s">
        <v>21828</v>
      </c>
      <c r="J7821" s="17" t="s">
        <v>21829</v>
      </c>
      <c r="K7821" s="18" t="s">
        <v>21830</v>
      </c>
      <c r="N7821" s="17" t="s">
        <v>77</v>
      </c>
      <c r="O7821" t="s">
        <v>489</v>
      </c>
      <c r="U7821" s="17"/>
      <c r="V7821" s="18" t="s">
        <v>21830</v>
      </c>
      <c r="W7821" t="s">
        <v>21831</v>
      </c>
      <c r="Y7821" t="s">
        <v>190</v>
      </c>
      <c r="AA7821" t="s">
        <v>118</v>
      </c>
      <c r="AB7821" t="s">
        <v>119</v>
      </c>
    </row>
    <row r="7822" ht="15" customHeight="1" spans="1:28" x14ac:dyDescent="0.25">
      <c r="A7822" s="17" t="s">
        <v>21832</v>
      </c>
      <c r="B7822" s="17" t="s">
        <v>70</v>
      </c>
      <c r="C7822" s="17" t="s">
        <v>71</v>
      </c>
      <c r="D7822" t="s">
        <v>21833</v>
      </c>
      <c r="F7822" t="s">
        <v>21834</v>
      </c>
      <c r="J7822" s="17" t="s">
        <v>21835</v>
      </c>
      <c r="K7822" s="18" t="s">
        <v>21836</v>
      </c>
      <c r="N7822" s="17" t="s">
        <v>77</v>
      </c>
      <c r="O7822" t="s">
        <v>261</v>
      </c>
      <c r="U7822" s="17"/>
      <c r="V7822" s="18" t="s">
        <v>21836</v>
      </c>
      <c r="W7822" t="s">
        <v>21837</v>
      </c>
      <c r="Y7822" t="s">
        <v>217</v>
      </c>
      <c r="AA7822" s="17" t="s">
        <v>218</v>
      </c>
      <c r="AB7822" t="s">
        <v>119</v>
      </c>
    </row>
    <row r="7823" ht="15" customHeight="1" spans="1:22" x14ac:dyDescent="0.25">
      <c r="A7823" s="17" t="s">
        <v>21838</v>
      </c>
      <c r="B7823" s="17" t="s">
        <v>70</v>
      </c>
      <c r="C7823" s="17" t="s">
        <v>71</v>
      </c>
      <c r="D7823" t="s">
        <v>21839</v>
      </c>
      <c r="F7823" t="s">
        <v>21840</v>
      </c>
      <c r="K7823" s="18">
        <f>62817733328</f>
        <v>62817733328</v>
      </c>
      <c r="N7823" s="17" t="s">
        <v>81</v>
      </c>
      <c r="V7823" s="18">
        <f>62817733328</f>
        <v>62817733328</v>
      </c>
    </row>
    <row r="7824" ht="15" customHeight="1" spans="1:22" x14ac:dyDescent="0.25">
      <c r="A7824" s="17" t="s">
        <v>21841</v>
      </c>
      <c r="B7824" s="17" t="s">
        <v>70</v>
      </c>
      <c r="C7824" s="17" t="s">
        <v>71</v>
      </c>
      <c r="D7824" t="s">
        <v>21842</v>
      </c>
      <c r="F7824" t="s">
        <v>21842</v>
      </c>
      <c r="K7824" s="18">
        <f>628118881503</f>
        <v>628118881503</v>
      </c>
      <c r="N7824" s="17" t="s">
        <v>81</v>
      </c>
      <c r="V7824" s="18">
        <f>628118881503</f>
        <v>628118881503</v>
      </c>
    </row>
    <row r="7825" ht="15" customHeight="1" spans="1:23" x14ac:dyDescent="0.25">
      <c r="A7825" s="17" t="s">
        <v>21843</v>
      </c>
      <c r="B7825" s="17" t="s">
        <v>70</v>
      </c>
      <c r="C7825" s="17" t="s">
        <v>71</v>
      </c>
      <c r="D7825" t="s">
        <v>21842</v>
      </c>
      <c r="F7825" t="s">
        <v>913</v>
      </c>
      <c r="J7825" s="17" t="s">
        <v>21844</v>
      </c>
      <c r="K7825" s="18">
        <f>62811880939</f>
        <v>62811880939</v>
      </c>
      <c r="N7825" s="17" t="s">
        <v>81</v>
      </c>
      <c r="U7825" s="17"/>
      <c r="V7825" s="18">
        <f>62811880939</f>
        <v>62811880939</v>
      </c>
      <c r="W7825" t="s">
        <v>21845</v>
      </c>
    </row>
    <row r="7826" ht="15" customHeight="1" spans="1:23" x14ac:dyDescent="0.25">
      <c r="A7826" s="17" t="s">
        <v>21846</v>
      </c>
      <c r="B7826" s="17" t="s">
        <v>70</v>
      </c>
      <c r="C7826" s="17" t="s">
        <v>71</v>
      </c>
      <c r="D7826" t="s">
        <v>21847</v>
      </c>
      <c r="F7826" t="s">
        <v>21848</v>
      </c>
      <c r="K7826" s="18">
        <f>971529033228</f>
        <v>971529033228</v>
      </c>
      <c r="N7826" s="17" t="s">
        <v>77</v>
      </c>
      <c r="U7826" s="17"/>
      <c r="V7826" s="18">
        <f>971529033228</f>
        <v>971529033228</v>
      </c>
      <c r="W7826" t="s">
        <v>930</v>
      </c>
    </row>
    <row r="7827" ht="15" customHeight="1" spans="1:23" x14ac:dyDescent="0.25">
      <c r="A7827" s="17" t="s">
        <v>21849</v>
      </c>
      <c r="B7827" s="17" t="s">
        <v>70</v>
      </c>
      <c r="C7827" s="17" t="s">
        <v>71</v>
      </c>
      <c r="D7827" t="s">
        <v>21850</v>
      </c>
      <c r="F7827" t="s">
        <v>21851</v>
      </c>
      <c r="J7827" s="17" t="s">
        <v>21852</v>
      </c>
      <c r="K7827" s="18">
        <f>919810008051</f>
        <v>919810008051</v>
      </c>
      <c r="N7827" s="17" t="s">
        <v>77</v>
      </c>
      <c r="U7827" s="17"/>
      <c r="V7827" s="18">
        <f>919810008051</f>
        <v>919810008051</v>
      </c>
      <c r="W7827" t="s">
        <v>920</v>
      </c>
    </row>
    <row r="7828" ht="15" customHeight="1" spans="1:28" x14ac:dyDescent="0.25">
      <c r="A7828" s="17" t="s">
        <v>21853</v>
      </c>
      <c r="B7828" s="17" t="s">
        <v>70</v>
      </c>
      <c r="C7828" s="17" t="s">
        <v>71</v>
      </c>
      <c r="D7828" t="s">
        <v>21854</v>
      </c>
      <c r="F7828" t="s">
        <v>21855</v>
      </c>
      <c r="J7828" s="17" t="s">
        <v>21856</v>
      </c>
      <c r="K7828" s="18" t="s">
        <v>21857</v>
      </c>
      <c r="N7828" s="17" t="s">
        <v>77</v>
      </c>
      <c r="O7828" t="s">
        <v>199</v>
      </c>
      <c r="U7828" s="17"/>
      <c r="V7828" s="18" t="s">
        <v>21857</v>
      </c>
      <c r="W7828" t="s">
        <v>21858</v>
      </c>
      <c r="Y7828" t="s">
        <v>11451</v>
      </c>
      <c r="AA7828" t="s">
        <v>115</v>
      </c>
      <c r="AB7828" t="s">
        <v>119</v>
      </c>
    </row>
    <row r="7829" ht="15" customHeight="1" spans="1:28" x14ac:dyDescent="0.25">
      <c r="A7829" s="17" t="s">
        <v>21859</v>
      </c>
      <c r="B7829" s="17" t="s">
        <v>70</v>
      </c>
      <c r="C7829" s="17" t="s">
        <v>71</v>
      </c>
      <c r="D7829" t="s">
        <v>21860</v>
      </c>
      <c r="F7829" t="s">
        <v>3354</v>
      </c>
      <c r="J7829" t="s">
        <v>115</v>
      </c>
      <c r="K7829" s="18" t="s">
        <v>21861</v>
      </c>
      <c r="N7829" s="17" t="s">
        <v>81</v>
      </c>
      <c r="O7829" t="s">
        <v>117</v>
      </c>
      <c r="V7829" s="18" t="s">
        <v>21861</v>
      </c>
      <c r="Y7829" t="s">
        <v>90</v>
      </c>
      <c r="AA7829" t="s">
        <v>118</v>
      </c>
      <c r="AB7829" t="s">
        <v>119</v>
      </c>
    </row>
    <row r="7830" ht="15" customHeight="1" spans="1:23" x14ac:dyDescent="0.25">
      <c r="A7830" s="17" t="s">
        <v>21862</v>
      </c>
      <c r="B7830" s="17" t="s">
        <v>70</v>
      </c>
      <c r="C7830" s="17" t="s">
        <v>71</v>
      </c>
      <c r="D7830" t="s">
        <v>21860</v>
      </c>
      <c r="F7830" t="s">
        <v>21860</v>
      </c>
      <c r="K7830" s="18">
        <f>6281380008027</f>
        <v>6281380008027</v>
      </c>
      <c r="N7830" s="17" t="s">
        <v>77</v>
      </c>
      <c r="U7830" s="17"/>
      <c r="V7830" s="18">
        <f>6281380008027</f>
        <v>6281380008027</v>
      </c>
      <c r="W7830" t="s">
        <v>21863</v>
      </c>
    </row>
    <row r="7831" ht="15" customHeight="1" spans="1:23" x14ac:dyDescent="0.25">
      <c r="A7831" s="17" t="s">
        <v>21864</v>
      </c>
      <c r="B7831" s="17" t="s">
        <v>70</v>
      </c>
      <c r="C7831" s="17" t="s">
        <v>71</v>
      </c>
      <c r="D7831" t="s">
        <v>21860</v>
      </c>
      <c r="F7831" t="s">
        <v>7604</v>
      </c>
      <c r="J7831" s="17" t="s">
        <v>21865</v>
      </c>
      <c r="K7831" s="18">
        <f>62816980665</f>
        <v>62816980665</v>
      </c>
      <c r="N7831" s="17" t="s">
        <v>81</v>
      </c>
      <c r="U7831" s="17"/>
      <c r="V7831" s="18">
        <f>62816980665</f>
        <v>62816980665</v>
      </c>
      <c r="W7831" t="s">
        <v>21866</v>
      </c>
    </row>
    <row r="7832" ht="15" customHeight="1" spans="1:28" x14ac:dyDescent="0.25">
      <c r="A7832" s="17" t="s">
        <v>21867</v>
      </c>
      <c r="B7832" s="17" t="s">
        <v>70</v>
      </c>
      <c r="C7832" s="17" t="s">
        <v>71</v>
      </c>
      <c r="D7832" t="s">
        <v>21860</v>
      </c>
      <c r="F7832" t="s">
        <v>9023</v>
      </c>
      <c r="J7832" t="s">
        <v>115</v>
      </c>
      <c r="K7832" s="18" t="s">
        <v>21868</v>
      </c>
      <c r="N7832" s="17" t="s">
        <v>81</v>
      </c>
      <c r="O7832" t="s">
        <v>117</v>
      </c>
      <c r="U7832" s="17"/>
      <c r="V7832" s="18" t="s">
        <v>21868</v>
      </c>
      <c r="W7832" t="s">
        <v>21869</v>
      </c>
      <c r="Y7832" t="s">
        <v>90</v>
      </c>
      <c r="AA7832" t="s">
        <v>118</v>
      </c>
      <c r="AB7832" t="s">
        <v>119</v>
      </c>
    </row>
    <row r="7833" ht="15" customHeight="1" spans="1:28" x14ac:dyDescent="0.25">
      <c r="A7833" s="17" t="s">
        <v>21870</v>
      </c>
      <c r="B7833" s="17" t="s">
        <v>70</v>
      </c>
      <c r="C7833" s="17" t="s">
        <v>71</v>
      </c>
      <c r="D7833" t="s">
        <v>21860</v>
      </c>
      <c r="F7833" t="s">
        <v>21871</v>
      </c>
      <c r="J7833" t="s">
        <v>115</v>
      </c>
      <c r="K7833" s="18" t="s">
        <v>21872</v>
      </c>
      <c r="N7833" s="17" t="s">
        <v>77</v>
      </c>
      <c r="O7833" t="s">
        <v>1188</v>
      </c>
      <c r="U7833" s="17"/>
      <c r="V7833" s="18" t="s">
        <v>21872</v>
      </c>
      <c r="W7833" t="s">
        <v>21873</v>
      </c>
      <c r="Y7833" t="s">
        <v>190</v>
      </c>
      <c r="AA7833" t="s">
        <v>118</v>
      </c>
      <c r="AB7833" t="s">
        <v>119</v>
      </c>
    </row>
    <row r="7834" ht="15" customHeight="1" spans="1:22" x14ac:dyDescent="0.25">
      <c r="A7834" s="17" t="s">
        <v>21874</v>
      </c>
      <c r="B7834" s="17" t="s">
        <v>70</v>
      </c>
      <c r="C7834" s="17" t="s">
        <v>71</v>
      </c>
      <c r="D7834" t="s">
        <v>21860</v>
      </c>
      <c r="F7834" t="s">
        <v>212</v>
      </c>
      <c r="K7834" s="18">
        <f>628179930021</f>
        <v>628179930021</v>
      </c>
      <c r="N7834" s="17" t="s">
        <v>74</v>
      </c>
      <c r="V7834" s="18">
        <f>628179930021</f>
        <v>628179930021</v>
      </c>
    </row>
    <row r="7835" ht="15" customHeight="1" spans="1:22" x14ac:dyDescent="0.25">
      <c r="A7835" s="17" t="s">
        <v>21875</v>
      </c>
      <c r="B7835" s="17" t="s">
        <v>70</v>
      </c>
      <c r="C7835" s="17" t="s">
        <v>71</v>
      </c>
      <c r="D7835" t="s">
        <v>21860</v>
      </c>
      <c r="F7835" t="s">
        <v>21876</v>
      </c>
      <c r="K7835" s="18">
        <f>62811155550</f>
        <v>62811155550</v>
      </c>
      <c r="N7835" s="17" t="s">
        <v>81</v>
      </c>
      <c r="V7835" s="18">
        <f>62811155550</f>
        <v>62811155550</v>
      </c>
    </row>
    <row r="7836" ht="15" customHeight="1" spans="1:22" x14ac:dyDescent="0.25">
      <c r="A7836" s="17" t="s">
        <v>21877</v>
      </c>
      <c r="B7836" s="17" t="s">
        <v>70</v>
      </c>
      <c r="C7836" s="17" t="s">
        <v>71</v>
      </c>
      <c r="D7836" t="s">
        <v>21878</v>
      </c>
      <c r="F7836" t="s">
        <v>184</v>
      </c>
      <c r="K7836" s="18">
        <f>628118707959</f>
        <v>628118707959</v>
      </c>
      <c r="N7836" s="17" t="s">
        <v>81</v>
      </c>
      <c r="V7836" s="18">
        <f>628118707959</f>
        <v>628118707959</v>
      </c>
    </row>
    <row r="7837" ht="15" customHeight="1" spans="1:28" x14ac:dyDescent="0.25">
      <c r="A7837" s="17" t="s">
        <v>21879</v>
      </c>
      <c r="B7837" s="17" t="s">
        <v>70</v>
      </c>
      <c r="C7837" s="17" t="s">
        <v>71</v>
      </c>
      <c r="D7837" t="s">
        <v>21878</v>
      </c>
      <c r="F7837" t="s">
        <v>21880</v>
      </c>
      <c r="J7837" s="17" t="s">
        <v>21881</v>
      </c>
      <c r="K7837" s="18" t="s">
        <v>21882</v>
      </c>
      <c r="N7837" s="17" t="s">
        <v>77</v>
      </c>
      <c r="O7837" t="s">
        <v>199</v>
      </c>
      <c r="U7837" s="17"/>
      <c r="V7837" s="18" t="s">
        <v>21882</v>
      </c>
      <c r="W7837" t="s">
        <v>6818</v>
      </c>
      <c r="Y7837" t="s">
        <v>4897</v>
      </c>
      <c r="AA7837" t="s">
        <v>115</v>
      </c>
      <c r="AB7837" t="s">
        <v>119</v>
      </c>
    </row>
    <row r="7838" ht="15" customHeight="1" spans="1:22" x14ac:dyDescent="0.25">
      <c r="A7838" s="17" t="s">
        <v>21883</v>
      </c>
      <c r="B7838" s="17" t="s">
        <v>70</v>
      </c>
      <c r="C7838" s="17" t="s">
        <v>71</v>
      </c>
      <c r="D7838" t="s">
        <v>21884</v>
      </c>
      <c r="F7838" t="s">
        <v>21884</v>
      </c>
      <c r="K7838" s="18">
        <f>6281803044703</f>
        <v>6281803044703</v>
      </c>
      <c r="N7838" s="17" t="s">
        <v>77</v>
      </c>
      <c r="V7838" s="18">
        <f>6281803044703</f>
        <v>6281803044703</v>
      </c>
    </row>
    <row r="7839" ht="15" customHeight="1" spans="1:25" x14ac:dyDescent="0.25">
      <c r="A7839" s="17" t="s">
        <v>21885</v>
      </c>
      <c r="B7839" s="17" t="s">
        <v>70</v>
      </c>
      <c r="C7839" s="17" t="s">
        <v>71</v>
      </c>
      <c r="D7839" t="s">
        <v>21884</v>
      </c>
      <c r="F7839" t="s">
        <v>21886</v>
      </c>
      <c r="J7839" s="17" t="s">
        <v>21887</v>
      </c>
      <c r="K7839" s="18">
        <f>6287869771422</f>
        <v>6287869771422</v>
      </c>
      <c r="N7839" s="17" t="s">
        <v>74</v>
      </c>
      <c r="U7839" s="17"/>
      <c r="V7839" s="18">
        <f>6287869771422</f>
        <v>6287869771422</v>
      </c>
      <c r="W7839" t="s">
        <v>21888</v>
      </c>
      <c r="Y7839" s="17" t="s">
        <v>378</v>
      </c>
    </row>
    <row r="7840" ht="15" customHeight="1" spans="1:22" x14ac:dyDescent="0.25">
      <c r="A7840" s="17" t="s">
        <v>21889</v>
      </c>
      <c r="B7840" s="17" t="s">
        <v>70</v>
      </c>
      <c r="C7840" s="17" t="s">
        <v>71</v>
      </c>
      <c r="D7840" t="s">
        <v>1848</v>
      </c>
      <c r="F7840" t="s">
        <v>1848</v>
      </c>
      <c r="K7840" s="18">
        <f>6281703012887</f>
        <v>6281703012887</v>
      </c>
      <c r="N7840" s="17" t="s">
        <v>81</v>
      </c>
      <c r="V7840" s="18">
        <f>6281703012887</f>
        <v>6281703012887</v>
      </c>
    </row>
    <row r="7841" ht="15" customHeight="1" spans="1:23" x14ac:dyDescent="0.25">
      <c r="A7841" s="17" t="s">
        <v>21890</v>
      </c>
      <c r="B7841" s="17" t="s">
        <v>70</v>
      </c>
      <c r="C7841" s="17" t="s">
        <v>71</v>
      </c>
      <c r="D7841" t="s">
        <v>1848</v>
      </c>
      <c r="F7841" t="s">
        <v>1848</v>
      </c>
      <c r="K7841" s="18">
        <f>628151603009</f>
        <v>628151603009</v>
      </c>
      <c r="N7841" s="17" t="s">
        <v>77</v>
      </c>
      <c r="U7841" s="17"/>
      <c r="V7841" s="18">
        <f>628151603009</f>
        <v>628151603009</v>
      </c>
      <c r="W7841" t="s">
        <v>9772</v>
      </c>
    </row>
    <row r="7842" ht="15" customHeight="1" spans="1:28" x14ac:dyDescent="0.25">
      <c r="A7842" s="17" t="s">
        <v>21891</v>
      </c>
      <c r="B7842" s="17" t="s">
        <v>70</v>
      </c>
      <c r="C7842" s="17" t="s">
        <v>71</v>
      </c>
      <c r="D7842" t="s">
        <v>1848</v>
      </c>
      <c r="F7842" t="s">
        <v>21892</v>
      </c>
      <c r="J7842" t="s">
        <v>115</v>
      </c>
      <c r="K7842" s="18" t="s">
        <v>21893</v>
      </c>
      <c r="N7842" s="17" t="s">
        <v>77</v>
      </c>
      <c r="O7842" t="s">
        <v>145</v>
      </c>
      <c r="V7842" s="18" t="s">
        <v>21893</v>
      </c>
      <c r="Y7842" t="s">
        <v>190</v>
      </c>
      <c r="AA7842" t="s">
        <v>118</v>
      </c>
      <c r="AB7842" t="s">
        <v>119</v>
      </c>
    </row>
    <row r="7843" ht="15" customHeight="1" spans="1:23" x14ac:dyDescent="0.25">
      <c r="A7843" s="17" t="s">
        <v>21894</v>
      </c>
      <c r="B7843" s="17" t="s">
        <v>70</v>
      </c>
      <c r="C7843" s="17" t="s">
        <v>71</v>
      </c>
      <c r="D7843" t="s">
        <v>1848</v>
      </c>
      <c r="F7843" t="s">
        <v>21895</v>
      </c>
      <c r="K7843" s="18">
        <f>6287878486183</f>
        <v>6287878486183</v>
      </c>
      <c r="N7843" s="17" t="s">
        <v>81</v>
      </c>
      <c r="U7843" s="17"/>
      <c r="V7843" s="18">
        <f>6287878486183</f>
        <v>6287878486183</v>
      </c>
      <c r="W7843" t="s">
        <v>21896</v>
      </c>
    </row>
    <row r="7844" ht="15" customHeight="1" spans="1:23" x14ac:dyDescent="0.25">
      <c r="A7844" s="17" t="s">
        <v>21897</v>
      </c>
      <c r="B7844" s="17" t="s">
        <v>70</v>
      </c>
      <c r="C7844" s="17" t="s">
        <v>71</v>
      </c>
      <c r="D7844" t="s">
        <v>1848</v>
      </c>
      <c r="F7844" t="s">
        <v>21898</v>
      </c>
      <c r="J7844" s="17" t="s">
        <v>21899</v>
      </c>
      <c r="K7844" s="18">
        <f>628112995552</f>
        <v>628112995552</v>
      </c>
      <c r="N7844" s="17" t="s">
        <v>77</v>
      </c>
      <c r="U7844" s="17"/>
      <c r="V7844" s="18">
        <f>628112995552</f>
        <v>628112995552</v>
      </c>
      <c r="W7844" t="s">
        <v>21900</v>
      </c>
    </row>
    <row r="7845" ht="15" customHeight="1" spans="1:22" x14ac:dyDescent="0.25">
      <c r="A7845" s="17" t="s">
        <v>21901</v>
      </c>
      <c r="B7845" s="17" t="s">
        <v>70</v>
      </c>
      <c r="C7845" s="17" t="s">
        <v>71</v>
      </c>
      <c r="D7845" t="s">
        <v>1848</v>
      </c>
      <c r="F7845" t="s">
        <v>10033</v>
      </c>
      <c r="K7845" s="18">
        <f>628111898844</f>
        <v>628111898844</v>
      </c>
      <c r="N7845" s="17" t="s">
        <v>77</v>
      </c>
      <c r="V7845" s="18">
        <f>628111898844</f>
        <v>628111898844</v>
      </c>
    </row>
    <row r="7846" ht="15" customHeight="1" spans="1:22" x14ac:dyDescent="0.25">
      <c r="A7846" s="17" t="s">
        <v>21902</v>
      </c>
      <c r="B7846" s="17" t="s">
        <v>70</v>
      </c>
      <c r="C7846" s="17" t="s">
        <v>71</v>
      </c>
      <c r="D7846" t="s">
        <v>1848</v>
      </c>
      <c r="F7846" t="s">
        <v>21903</v>
      </c>
      <c r="K7846" s="18">
        <f>62811898844</f>
        <v>62811898844</v>
      </c>
      <c r="N7846" s="17" t="s">
        <v>81</v>
      </c>
      <c r="V7846" s="18">
        <f>62811898844</f>
        <v>62811898844</v>
      </c>
    </row>
    <row r="7847" ht="15" customHeight="1" spans="1:28" x14ac:dyDescent="0.25">
      <c r="A7847" s="17" t="s">
        <v>21904</v>
      </c>
      <c r="B7847" s="17" t="s">
        <v>70</v>
      </c>
      <c r="C7847" s="17" t="s">
        <v>71</v>
      </c>
      <c r="D7847" t="s">
        <v>1848</v>
      </c>
      <c r="F7847" t="s">
        <v>5194</v>
      </c>
      <c r="J7847" t="s">
        <v>115</v>
      </c>
      <c r="K7847" s="18" t="s">
        <v>21905</v>
      </c>
      <c r="N7847" s="17" t="s">
        <v>77</v>
      </c>
      <c r="O7847" t="s">
        <v>145</v>
      </c>
      <c r="V7847" s="18" t="s">
        <v>21905</v>
      </c>
      <c r="Y7847" t="s">
        <v>190</v>
      </c>
      <c r="AA7847" t="s">
        <v>118</v>
      </c>
      <c r="AB7847" t="s">
        <v>119</v>
      </c>
    </row>
    <row r="7848" ht="15" customHeight="1" spans="1:22" x14ac:dyDescent="0.25">
      <c r="A7848" s="17" t="s">
        <v>21906</v>
      </c>
      <c r="B7848" s="17" t="s">
        <v>70</v>
      </c>
      <c r="C7848" s="17" t="s">
        <v>71</v>
      </c>
      <c r="D7848" t="s">
        <v>1848</v>
      </c>
      <c r="F7848" t="s">
        <v>21907</v>
      </c>
      <c r="K7848" s="18">
        <f>62818818480</f>
        <v>62818818480</v>
      </c>
      <c r="N7848" s="17" t="s">
        <v>77</v>
      </c>
      <c r="V7848" s="18">
        <f>62818818480</f>
        <v>62818818480</v>
      </c>
    </row>
    <row r="7849" ht="15" customHeight="1" spans="1:28" x14ac:dyDescent="0.25">
      <c r="A7849" s="17" t="s">
        <v>21908</v>
      </c>
      <c r="B7849" s="17" t="s">
        <v>70</v>
      </c>
      <c r="C7849" s="17" t="s">
        <v>71</v>
      </c>
      <c r="D7849" t="s">
        <v>21909</v>
      </c>
      <c r="F7849" t="s">
        <v>21842</v>
      </c>
      <c r="J7849" t="s">
        <v>21910</v>
      </c>
      <c r="K7849" s="18" t="s">
        <v>21911</v>
      </c>
      <c r="N7849" s="17" t="s">
        <v>77</v>
      </c>
      <c r="O7849" t="s">
        <v>117</v>
      </c>
      <c r="U7849" s="17"/>
      <c r="V7849" s="18" t="s">
        <v>21911</v>
      </c>
      <c r="W7849" t="s">
        <v>21912</v>
      </c>
      <c r="Y7849" s="17" t="s">
        <v>500</v>
      </c>
      <c r="AA7849" t="s">
        <v>501</v>
      </c>
      <c r="AB7849" t="s">
        <v>119</v>
      </c>
    </row>
    <row r="7850" ht="15" customHeight="1" spans="1:28" x14ac:dyDescent="0.25">
      <c r="A7850" s="17" t="s">
        <v>21913</v>
      </c>
      <c r="B7850" s="17" t="s">
        <v>70</v>
      </c>
      <c r="C7850" s="17" t="s">
        <v>71</v>
      </c>
      <c r="D7850" t="s">
        <v>1848</v>
      </c>
      <c r="F7850" t="s">
        <v>1564</v>
      </c>
      <c r="J7850" t="s">
        <v>21914</v>
      </c>
      <c r="K7850" s="18" t="s">
        <v>21915</v>
      </c>
      <c r="N7850" s="17" t="s">
        <v>81</v>
      </c>
      <c r="O7850" t="s">
        <v>261</v>
      </c>
      <c r="V7850" s="18" t="s">
        <v>21915</v>
      </c>
      <c r="Y7850" t="s">
        <v>181</v>
      </c>
      <c r="AA7850" t="s">
        <v>1672</v>
      </c>
      <c r="AB7850" t="s">
        <v>119</v>
      </c>
    </row>
    <row r="7851" ht="15" customHeight="1" spans="1:28" x14ac:dyDescent="0.25">
      <c r="A7851" s="17" t="s">
        <v>21916</v>
      </c>
      <c r="B7851" s="17" t="s">
        <v>70</v>
      </c>
      <c r="C7851" s="17" t="s">
        <v>71</v>
      </c>
      <c r="D7851" t="s">
        <v>21917</v>
      </c>
      <c r="F7851" t="s">
        <v>21918</v>
      </c>
      <c r="J7851" t="s">
        <v>21919</v>
      </c>
      <c r="K7851" s="18" t="s">
        <v>21920</v>
      </c>
      <c r="N7851" s="17" t="s">
        <v>81</v>
      </c>
      <c r="O7851" t="s">
        <v>145</v>
      </c>
      <c r="U7851" s="17"/>
      <c r="V7851" s="18" t="s">
        <v>21920</v>
      </c>
      <c r="W7851" t="s">
        <v>21921</v>
      </c>
      <c r="Y7851" s="17" t="s">
        <v>90</v>
      </c>
      <c r="AA7851" t="s">
        <v>118</v>
      </c>
      <c r="AB7851" t="s">
        <v>119</v>
      </c>
    </row>
    <row r="7852" ht="15" customHeight="1" spans="1:25" x14ac:dyDescent="0.25">
      <c r="A7852" s="17" t="s">
        <v>21922</v>
      </c>
      <c r="B7852" s="17" t="s">
        <v>70</v>
      </c>
      <c r="C7852" s="17" t="s">
        <v>71</v>
      </c>
      <c r="D7852" t="s">
        <v>21923</v>
      </c>
      <c r="F7852" t="s">
        <v>21924</v>
      </c>
      <c r="K7852" s="18">
        <f>62811283937</f>
        <v>62811283937</v>
      </c>
      <c r="N7852" s="17" t="s">
        <v>77</v>
      </c>
      <c r="U7852" s="17"/>
      <c r="V7852" s="18">
        <f>62811283937</f>
        <v>62811283937</v>
      </c>
      <c r="W7852" t="s">
        <v>21925</v>
      </c>
      <c r="Y7852" s="17" t="s">
        <v>1968</v>
      </c>
    </row>
    <row r="7853" ht="15" customHeight="1" spans="1:22" x14ac:dyDescent="0.25">
      <c r="A7853" s="17" t="s">
        <v>21926</v>
      </c>
      <c r="B7853" s="17" t="s">
        <v>70</v>
      </c>
      <c r="C7853" s="17" t="s">
        <v>71</v>
      </c>
      <c r="D7853" t="s">
        <v>21927</v>
      </c>
      <c r="F7853" t="s">
        <v>21928</v>
      </c>
      <c r="J7853" s="17" t="s">
        <v>21929</v>
      </c>
      <c r="K7853" s="18">
        <f>62816702293</f>
        <v>62816702293</v>
      </c>
      <c r="N7853" s="17" t="s">
        <v>77</v>
      </c>
      <c r="V7853" s="18">
        <f>62816702293</f>
        <v>62816702293</v>
      </c>
    </row>
    <row r="7854" ht="15" customHeight="1" spans="1:22" x14ac:dyDescent="0.25">
      <c r="A7854" s="17" t="s">
        <v>21930</v>
      </c>
      <c r="B7854" s="17" t="s">
        <v>70</v>
      </c>
      <c r="C7854" s="17" t="s">
        <v>71</v>
      </c>
      <c r="D7854" t="s">
        <v>21927</v>
      </c>
      <c r="F7854" t="s">
        <v>7914</v>
      </c>
      <c r="K7854" s="18">
        <f>6281511549360</f>
        <v>6281511549360</v>
      </c>
      <c r="N7854" s="17" t="s">
        <v>74</v>
      </c>
      <c r="V7854" s="18">
        <f>6281511549360</f>
        <v>6281511549360</v>
      </c>
    </row>
    <row r="7855" ht="15" customHeight="1" spans="1:23" x14ac:dyDescent="0.25">
      <c r="A7855" s="17" t="s">
        <v>21931</v>
      </c>
      <c r="B7855" s="17" t="s">
        <v>70</v>
      </c>
      <c r="C7855" s="17" t="s">
        <v>71</v>
      </c>
      <c r="D7855" t="s">
        <v>21932</v>
      </c>
      <c r="F7855" t="s">
        <v>21933</v>
      </c>
      <c r="K7855" s="18">
        <f>62818203431</f>
        <v>62818203431</v>
      </c>
      <c r="N7855" s="17" t="s">
        <v>77</v>
      </c>
      <c r="U7855" s="17"/>
      <c r="V7855" s="18">
        <f>62818203431</f>
        <v>62818203431</v>
      </c>
      <c r="W7855" t="s">
        <v>704</v>
      </c>
    </row>
    <row r="7856" ht="15" customHeight="1" spans="1:28" x14ac:dyDescent="0.25">
      <c r="A7856" s="17" t="s">
        <v>21934</v>
      </c>
      <c r="B7856" s="17" t="s">
        <v>70</v>
      </c>
      <c r="C7856" s="17" t="s">
        <v>71</v>
      </c>
      <c r="D7856" t="s">
        <v>21932</v>
      </c>
      <c r="F7856" t="s">
        <v>3176</v>
      </c>
      <c r="J7856" s="17" t="s">
        <v>21935</v>
      </c>
      <c r="K7856" s="18" t="s">
        <v>21936</v>
      </c>
      <c r="N7856" s="17" t="s">
        <v>77</v>
      </c>
      <c r="O7856" t="s">
        <v>117</v>
      </c>
      <c r="V7856" s="18" t="s">
        <v>21936</v>
      </c>
      <c r="Y7856" t="s">
        <v>90</v>
      </c>
      <c r="AA7856" t="s">
        <v>118</v>
      </c>
      <c r="AB7856" t="s">
        <v>119</v>
      </c>
    </row>
    <row r="7857" ht="15" customHeight="1" spans="1:28" x14ac:dyDescent="0.25">
      <c r="A7857" s="17" t="s">
        <v>21937</v>
      </c>
      <c r="B7857" s="17" t="s">
        <v>70</v>
      </c>
      <c r="C7857" s="17" t="s">
        <v>71</v>
      </c>
      <c r="D7857" t="s">
        <v>21938</v>
      </c>
      <c r="F7857" t="s">
        <v>21939</v>
      </c>
      <c r="J7857" s="17" t="s">
        <v>21940</v>
      </c>
      <c r="K7857" s="18" t="s">
        <v>21941</v>
      </c>
      <c r="N7857" s="17" t="s">
        <v>77</v>
      </c>
      <c r="O7857" t="s">
        <v>199</v>
      </c>
      <c r="U7857" s="17"/>
      <c r="V7857" s="18" t="s">
        <v>21941</v>
      </c>
      <c r="W7857" t="s">
        <v>21942</v>
      </c>
      <c r="Y7857" t="s">
        <v>115</v>
      </c>
      <c r="AA7857" t="s">
        <v>115</v>
      </c>
      <c r="AB7857" t="s">
        <v>451</v>
      </c>
    </row>
    <row r="7858" ht="15" customHeight="1" spans="1:22" x14ac:dyDescent="0.25">
      <c r="A7858" s="17" t="s">
        <v>21943</v>
      </c>
      <c r="B7858" s="17" t="s">
        <v>70</v>
      </c>
      <c r="C7858" s="17" t="s">
        <v>71</v>
      </c>
      <c r="D7858" t="s">
        <v>2511</v>
      </c>
      <c r="F7858" t="s">
        <v>2511</v>
      </c>
      <c r="K7858" s="18">
        <f>6281808119999</f>
        <v>6281808119999</v>
      </c>
      <c r="N7858" s="17" t="s">
        <v>81</v>
      </c>
      <c r="V7858" s="18">
        <f>6281808119999</f>
        <v>6281808119999</v>
      </c>
    </row>
    <row r="7859" ht="15" customHeight="1" spans="1:22" x14ac:dyDescent="0.25">
      <c r="A7859" s="17" t="s">
        <v>21944</v>
      </c>
      <c r="B7859" s="17" t="s">
        <v>70</v>
      </c>
      <c r="C7859" s="17" t="s">
        <v>71</v>
      </c>
      <c r="D7859" t="s">
        <v>21945</v>
      </c>
      <c r="F7859" t="s">
        <v>21946</v>
      </c>
      <c r="K7859" s="18">
        <f>62811159377</f>
        <v>62811159377</v>
      </c>
      <c r="N7859" s="17" t="s">
        <v>77</v>
      </c>
      <c r="V7859" s="18">
        <f>62811159377</f>
        <v>62811159377</v>
      </c>
    </row>
    <row r="7860" ht="15" customHeight="1" spans="1:23" x14ac:dyDescent="0.25">
      <c r="A7860" s="17" t="s">
        <v>21947</v>
      </c>
      <c r="B7860" s="17" t="s">
        <v>70</v>
      </c>
      <c r="C7860" s="17" t="s">
        <v>71</v>
      </c>
      <c r="D7860" t="s">
        <v>21948</v>
      </c>
      <c r="F7860" t="s">
        <v>21949</v>
      </c>
      <c r="K7860" s="18">
        <f>6281318182430</f>
        <v>6281318182430</v>
      </c>
      <c r="N7860" s="17" t="s">
        <v>77</v>
      </c>
      <c r="U7860" s="17"/>
      <c r="V7860" s="18">
        <f>6281318182430</f>
        <v>6281318182430</v>
      </c>
      <c r="W7860" t="s">
        <v>21950</v>
      </c>
    </row>
    <row r="7861" ht="15" customHeight="1" spans="1:28" x14ac:dyDescent="0.25">
      <c r="A7861" s="17" t="s">
        <v>21951</v>
      </c>
      <c r="B7861" s="17" t="s">
        <v>70</v>
      </c>
      <c r="C7861" s="17" t="s">
        <v>71</v>
      </c>
      <c r="D7861" t="s">
        <v>21952</v>
      </c>
      <c r="F7861" t="s">
        <v>21953</v>
      </c>
      <c r="J7861" s="17" t="s">
        <v>21954</v>
      </c>
      <c r="K7861" s="18" t="s">
        <v>21955</v>
      </c>
      <c r="N7861" s="17" t="s">
        <v>77</v>
      </c>
      <c r="O7861" t="s">
        <v>145</v>
      </c>
      <c r="V7861" s="18" t="s">
        <v>21955</v>
      </c>
      <c r="Y7861" t="s">
        <v>96</v>
      </c>
      <c r="AA7861" t="s">
        <v>693</v>
      </c>
      <c r="AB7861" t="s">
        <v>119</v>
      </c>
    </row>
    <row r="7862" ht="15" customHeight="1" spans="1:22" x14ac:dyDescent="0.25">
      <c r="A7862" s="17" t="s">
        <v>21956</v>
      </c>
      <c r="B7862" s="17" t="s">
        <v>70</v>
      </c>
      <c r="C7862" s="17" t="s">
        <v>71</v>
      </c>
      <c r="D7862" t="s">
        <v>21957</v>
      </c>
      <c r="F7862" t="s">
        <v>21957</v>
      </c>
      <c r="K7862" s="18">
        <f>628115111327</f>
        <v>628115111327</v>
      </c>
      <c r="N7862" s="17" t="s">
        <v>77</v>
      </c>
      <c r="V7862" s="18">
        <f>628115111327</f>
        <v>628115111327</v>
      </c>
    </row>
    <row r="7863" ht="15" customHeight="1" spans="1:28" x14ac:dyDescent="0.25">
      <c r="A7863" s="17" t="s">
        <v>21958</v>
      </c>
      <c r="B7863" s="17" t="s">
        <v>70</v>
      </c>
      <c r="C7863" s="17" t="s">
        <v>71</v>
      </c>
      <c r="D7863" t="s">
        <v>21959</v>
      </c>
      <c r="F7863" t="s">
        <v>21960</v>
      </c>
      <c r="J7863" s="17" t="s">
        <v>21961</v>
      </c>
      <c r="K7863" s="18" t="s">
        <v>21962</v>
      </c>
      <c r="N7863" s="17" t="s">
        <v>77</v>
      </c>
      <c r="O7863" t="s">
        <v>199</v>
      </c>
      <c r="U7863" s="17"/>
      <c r="V7863" s="18" t="s">
        <v>21962</v>
      </c>
      <c r="W7863" t="s">
        <v>15062</v>
      </c>
      <c r="Y7863" t="s">
        <v>930</v>
      </c>
      <c r="AA7863" t="s">
        <v>115</v>
      </c>
      <c r="AB7863" t="s">
        <v>930</v>
      </c>
    </row>
    <row r="7864" ht="15" customHeight="1" spans="1:22" x14ac:dyDescent="0.25">
      <c r="A7864" s="17" t="s">
        <v>21963</v>
      </c>
      <c r="B7864" s="17" t="s">
        <v>70</v>
      </c>
      <c r="C7864" s="17" t="s">
        <v>71</v>
      </c>
      <c r="D7864" t="s">
        <v>10035</v>
      </c>
      <c r="F7864" t="s">
        <v>10035</v>
      </c>
      <c r="K7864" s="18">
        <f>62816924000</f>
        <v>62816924000</v>
      </c>
      <c r="N7864" s="17" t="s">
        <v>74</v>
      </c>
      <c r="V7864" s="18">
        <f>62816924000</f>
        <v>62816924000</v>
      </c>
    </row>
    <row r="7865" ht="15" customHeight="1" spans="1:22" x14ac:dyDescent="0.25">
      <c r="A7865" s="17" t="s">
        <v>21964</v>
      </c>
      <c r="B7865" s="17" t="s">
        <v>70</v>
      </c>
      <c r="C7865" s="17" t="s">
        <v>71</v>
      </c>
      <c r="D7865" t="s">
        <v>3121</v>
      </c>
      <c r="F7865" t="s">
        <v>3121</v>
      </c>
      <c r="K7865" s="18">
        <f>62811888885</f>
        <v>62811888885</v>
      </c>
      <c r="N7865" s="17" t="s">
        <v>77</v>
      </c>
      <c r="V7865" s="18">
        <f>62811888885</f>
        <v>62811888885</v>
      </c>
    </row>
    <row r="7866" ht="15" customHeight="1" spans="1:28" x14ac:dyDescent="0.25">
      <c r="A7866" s="17" t="s">
        <v>21965</v>
      </c>
      <c r="B7866" s="17" t="s">
        <v>70</v>
      </c>
      <c r="C7866" s="17" t="s">
        <v>71</v>
      </c>
      <c r="D7866" t="s">
        <v>3121</v>
      </c>
      <c r="F7866" t="s">
        <v>3121</v>
      </c>
      <c r="J7866" t="s">
        <v>115</v>
      </c>
      <c r="K7866" s="18" t="s">
        <v>21966</v>
      </c>
      <c r="N7866" s="17" t="s">
        <v>81</v>
      </c>
      <c r="O7866" t="s">
        <v>117</v>
      </c>
      <c r="V7866" s="18" t="s">
        <v>21966</v>
      </c>
      <c r="Y7866" t="s">
        <v>190</v>
      </c>
      <c r="AA7866" t="s">
        <v>118</v>
      </c>
      <c r="AB7866" t="s">
        <v>119</v>
      </c>
    </row>
    <row r="7867" ht="15" customHeight="1" spans="1:22" x14ac:dyDescent="0.25">
      <c r="A7867" s="17" t="s">
        <v>21967</v>
      </c>
      <c r="B7867" s="17" t="s">
        <v>70</v>
      </c>
      <c r="C7867" s="17" t="s">
        <v>71</v>
      </c>
      <c r="D7867" t="s">
        <v>3121</v>
      </c>
      <c r="F7867" t="s">
        <v>21968</v>
      </c>
      <c r="K7867" s="18">
        <f>6281294052577</f>
        <v>6281294052577</v>
      </c>
      <c r="N7867" s="17" t="s">
        <v>81</v>
      </c>
      <c r="V7867" s="18">
        <f>6281294052577</f>
        <v>6281294052577</v>
      </c>
    </row>
    <row r="7868" ht="15" customHeight="1" spans="1:23" x14ac:dyDescent="0.25">
      <c r="A7868" s="17" t="s">
        <v>21969</v>
      </c>
      <c r="B7868" s="17" t="s">
        <v>70</v>
      </c>
      <c r="C7868" s="17" t="s">
        <v>71</v>
      </c>
      <c r="D7868" t="s">
        <v>3121</v>
      </c>
      <c r="F7868" t="s">
        <v>21970</v>
      </c>
      <c r="K7868" s="18">
        <f>62807042023</f>
        <v>62807042023</v>
      </c>
      <c r="N7868" s="17" t="s">
        <v>81</v>
      </c>
      <c r="U7868" s="17"/>
      <c r="V7868" s="18">
        <f>62807042023</f>
        <v>62807042023</v>
      </c>
      <c r="W7868" t="s">
        <v>21971</v>
      </c>
    </row>
    <row r="7869" ht="15" customHeight="1" spans="1:28" x14ac:dyDescent="0.25">
      <c r="A7869" s="17" t="s">
        <v>21972</v>
      </c>
      <c r="B7869" s="17" t="s">
        <v>70</v>
      </c>
      <c r="C7869" s="17" t="s">
        <v>71</v>
      </c>
      <c r="D7869" t="s">
        <v>3121</v>
      </c>
      <c r="F7869" t="s">
        <v>13011</v>
      </c>
      <c r="J7869" s="17" t="s">
        <v>21973</v>
      </c>
      <c r="K7869" s="18" t="s">
        <v>21974</v>
      </c>
      <c r="N7869" s="17" t="s">
        <v>77</v>
      </c>
      <c r="O7869" t="s">
        <v>489</v>
      </c>
      <c r="V7869" s="18" t="s">
        <v>21974</v>
      </c>
      <c r="Y7869" s="17" t="s">
        <v>90</v>
      </c>
      <c r="AA7869" t="s">
        <v>118</v>
      </c>
      <c r="AB7869" t="s">
        <v>119</v>
      </c>
    </row>
    <row r="7870" ht="15" customHeight="1" spans="1:28" x14ac:dyDescent="0.25">
      <c r="A7870" s="17" t="s">
        <v>21975</v>
      </c>
      <c r="B7870" s="17" t="s">
        <v>70</v>
      </c>
      <c r="C7870" s="17" t="s">
        <v>71</v>
      </c>
      <c r="D7870" t="s">
        <v>3121</v>
      </c>
      <c r="F7870" t="s">
        <v>11674</v>
      </c>
      <c r="J7870" t="s">
        <v>115</v>
      </c>
      <c r="K7870" s="18" t="s">
        <v>21976</v>
      </c>
      <c r="N7870" s="17" t="s">
        <v>77</v>
      </c>
      <c r="O7870" t="s">
        <v>117</v>
      </c>
      <c r="V7870" s="18" t="s">
        <v>21976</v>
      </c>
      <c r="Y7870" t="s">
        <v>90</v>
      </c>
      <c r="AA7870" t="s">
        <v>118</v>
      </c>
      <c r="AB7870" t="s">
        <v>119</v>
      </c>
    </row>
    <row r="7871" ht="15" customHeight="1" spans="1:22" x14ac:dyDescent="0.25">
      <c r="A7871" s="17" t="s">
        <v>21977</v>
      </c>
      <c r="B7871" s="17" t="s">
        <v>70</v>
      </c>
      <c r="C7871" s="17" t="s">
        <v>71</v>
      </c>
      <c r="D7871" t="s">
        <v>3121</v>
      </c>
      <c r="F7871" t="s">
        <v>21978</v>
      </c>
      <c r="J7871" s="17" t="s">
        <v>21979</v>
      </c>
      <c r="K7871" s="18">
        <f>628125101980</f>
        <v>628125101980</v>
      </c>
      <c r="N7871" s="17" t="s">
        <v>77</v>
      </c>
      <c r="V7871" s="18">
        <f>628125101980</f>
        <v>628125101980</v>
      </c>
    </row>
    <row r="7872" ht="15" customHeight="1" spans="1:27" x14ac:dyDescent="0.25">
      <c r="A7872" s="17" t="s">
        <v>21980</v>
      </c>
      <c r="B7872" s="17" t="s">
        <v>70</v>
      </c>
      <c r="C7872" s="17" t="s">
        <v>71</v>
      </c>
      <c r="D7872" t="s">
        <v>3121</v>
      </c>
      <c r="F7872" t="s">
        <v>21981</v>
      </c>
      <c r="K7872" s="18">
        <f>6281282777200</f>
        <v>6281282777200</v>
      </c>
      <c r="N7872" s="17" t="s">
        <v>81</v>
      </c>
      <c r="U7872" s="17"/>
      <c r="V7872" s="18">
        <f>6281282777200</f>
        <v>6281282777200</v>
      </c>
      <c r="W7872" t="s">
        <v>21982</v>
      </c>
      <c r="AA7872" s="17">
        <v>13520</v>
      </c>
    </row>
    <row r="7873" ht="15" customHeight="1" spans="1:28" x14ac:dyDescent="0.25">
      <c r="A7873" s="17" t="s">
        <v>21983</v>
      </c>
      <c r="B7873" s="17" t="s">
        <v>70</v>
      </c>
      <c r="C7873" s="17" t="s">
        <v>71</v>
      </c>
      <c r="D7873" t="s">
        <v>1848</v>
      </c>
      <c r="F7873" t="s">
        <v>864</v>
      </c>
      <c r="J7873" t="s">
        <v>21984</v>
      </c>
      <c r="K7873" s="18" t="s">
        <v>21985</v>
      </c>
      <c r="N7873" s="17" t="s">
        <v>77</v>
      </c>
      <c r="O7873" t="s">
        <v>117</v>
      </c>
      <c r="U7873" s="17"/>
      <c r="V7873" s="18" t="s">
        <v>21985</v>
      </c>
      <c r="W7873" t="s">
        <v>21986</v>
      </c>
      <c r="Y7873" t="s">
        <v>190</v>
      </c>
      <c r="AA7873" t="s">
        <v>118</v>
      </c>
      <c r="AB7873" t="s">
        <v>119</v>
      </c>
    </row>
    <row r="7874" ht="15" customHeight="1" spans="1:28" x14ac:dyDescent="0.25">
      <c r="A7874" s="17" t="s">
        <v>21987</v>
      </c>
      <c r="B7874" s="17" t="s">
        <v>70</v>
      </c>
      <c r="C7874" s="17" t="s">
        <v>71</v>
      </c>
      <c r="D7874" t="s">
        <v>3121</v>
      </c>
      <c r="F7874" t="s">
        <v>2258</v>
      </c>
      <c r="J7874" t="s">
        <v>115</v>
      </c>
      <c r="K7874" s="18" t="s">
        <v>21988</v>
      </c>
      <c r="N7874" s="17" t="s">
        <v>77</v>
      </c>
      <c r="O7874" t="s">
        <v>489</v>
      </c>
      <c r="V7874" s="18" t="s">
        <v>21988</v>
      </c>
      <c r="Y7874" t="s">
        <v>190</v>
      </c>
      <c r="AA7874" t="s">
        <v>118</v>
      </c>
      <c r="AB7874" t="s">
        <v>119</v>
      </c>
    </row>
    <row r="7875" ht="15" customHeight="1" spans="1:28" x14ac:dyDescent="0.25">
      <c r="A7875" s="17" t="s">
        <v>21989</v>
      </c>
      <c r="B7875" s="17" t="s">
        <v>70</v>
      </c>
      <c r="C7875" s="17" t="s">
        <v>71</v>
      </c>
      <c r="D7875" t="s">
        <v>3121</v>
      </c>
      <c r="F7875" t="s">
        <v>21990</v>
      </c>
      <c r="J7875" t="s">
        <v>115</v>
      </c>
      <c r="K7875" s="18" t="s">
        <v>21991</v>
      </c>
      <c r="N7875" s="17" t="s">
        <v>77</v>
      </c>
      <c r="O7875" t="s">
        <v>117</v>
      </c>
      <c r="U7875" s="17"/>
      <c r="V7875" s="18" t="s">
        <v>21991</v>
      </c>
      <c r="W7875" t="s">
        <v>21992</v>
      </c>
      <c r="Y7875" s="17" t="s">
        <v>96</v>
      </c>
      <c r="AA7875" s="17" t="s">
        <v>21993</v>
      </c>
      <c r="AB7875" t="s">
        <v>119</v>
      </c>
    </row>
    <row r="7876" ht="15" customHeight="1" spans="1:28" x14ac:dyDescent="0.25">
      <c r="A7876" s="17" t="s">
        <v>21994</v>
      </c>
      <c r="B7876" s="17" t="s">
        <v>70</v>
      </c>
      <c r="C7876" s="17" t="s">
        <v>71</v>
      </c>
      <c r="D7876" t="s">
        <v>21995</v>
      </c>
      <c r="F7876" t="s">
        <v>21995</v>
      </c>
      <c r="J7876" s="17" t="s">
        <v>21996</v>
      </c>
      <c r="K7876" s="18" t="s">
        <v>21997</v>
      </c>
      <c r="N7876" s="17" t="s">
        <v>77</v>
      </c>
      <c r="O7876" t="s">
        <v>117</v>
      </c>
      <c r="U7876" s="17"/>
      <c r="V7876" s="18" t="s">
        <v>21997</v>
      </c>
      <c r="W7876" t="s">
        <v>21998</v>
      </c>
      <c r="Y7876" t="s">
        <v>115</v>
      </c>
      <c r="AA7876" t="s">
        <v>115</v>
      </c>
      <c r="AB7876" t="s">
        <v>119</v>
      </c>
    </row>
    <row r="7877" ht="15" customHeight="1" spans="1:28" x14ac:dyDescent="0.25">
      <c r="A7877" s="17" t="s">
        <v>21999</v>
      </c>
      <c r="B7877" s="17" t="s">
        <v>70</v>
      </c>
      <c r="C7877" s="17" t="s">
        <v>71</v>
      </c>
      <c r="D7877" t="s">
        <v>20142</v>
      </c>
      <c r="F7877" t="s">
        <v>212</v>
      </c>
      <c r="J7877" t="s">
        <v>115</v>
      </c>
      <c r="K7877" s="18" t="s">
        <v>22000</v>
      </c>
      <c r="N7877" s="17" t="s">
        <v>74</v>
      </c>
      <c r="O7877" t="s">
        <v>117</v>
      </c>
      <c r="V7877" s="18" t="s">
        <v>22000</v>
      </c>
      <c r="Y7877" t="s">
        <v>90</v>
      </c>
      <c r="AA7877" t="s">
        <v>118</v>
      </c>
      <c r="AB7877" t="s">
        <v>119</v>
      </c>
    </row>
    <row r="7878" ht="15" customHeight="1" spans="1:25" x14ac:dyDescent="0.25">
      <c r="A7878" s="17" t="s">
        <v>22001</v>
      </c>
      <c r="B7878" s="17" t="s">
        <v>70</v>
      </c>
      <c r="C7878" s="17" t="s">
        <v>71</v>
      </c>
      <c r="D7878" t="s">
        <v>22002</v>
      </c>
      <c r="F7878" t="s">
        <v>4869</v>
      </c>
      <c r="K7878" s="18">
        <f>62811119119</f>
        <v>62811119119</v>
      </c>
      <c r="N7878" s="17" t="s">
        <v>77</v>
      </c>
      <c r="U7878" s="17"/>
      <c r="V7878" s="18">
        <f>62811119119</f>
        <v>62811119119</v>
      </c>
      <c r="W7878" t="s">
        <v>22003</v>
      </c>
      <c r="Y7878" s="17" t="s">
        <v>217</v>
      </c>
    </row>
    <row r="7879" ht="15" customHeight="1" spans="1:22" x14ac:dyDescent="0.25">
      <c r="A7879" s="17" t="s">
        <v>22004</v>
      </c>
      <c r="B7879" s="17" t="s">
        <v>70</v>
      </c>
      <c r="C7879" s="17" t="s">
        <v>71</v>
      </c>
      <c r="D7879" t="s">
        <v>22002</v>
      </c>
      <c r="F7879" t="s">
        <v>22005</v>
      </c>
      <c r="K7879" s="18">
        <f>62818668647</f>
        <v>62818668647</v>
      </c>
      <c r="N7879" s="17" t="s">
        <v>77</v>
      </c>
      <c r="V7879" s="18">
        <f>62818668647</f>
        <v>62818668647</v>
      </c>
    </row>
    <row r="7880" ht="15" customHeight="1" spans="1:22" x14ac:dyDescent="0.25">
      <c r="A7880" s="17" t="s">
        <v>22006</v>
      </c>
      <c r="B7880" s="17" t="s">
        <v>70</v>
      </c>
      <c r="C7880" s="17" t="s">
        <v>71</v>
      </c>
      <c r="D7880" t="s">
        <v>22007</v>
      </c>
      <c r="F7880" t="s">
        <v>22008</v>
      </c>
      <c r="K7880" s="18">
        <f>62811387528</f>
        <v>62811387528</v>
      </c>
      <c r="N7880" s="17" t="s">
        <v>77</v>
      </c>
      <c r="V7880" s="18">
        <f>62811387528</f>
        <v>62811387528</v>
      </c>
    </row>
    <row r="7881" ht="15" customHeight="1" spans="1:22" x14ac:dyDescent="0.25">
      <c r="A7881" s="17" t="s">
        <v>22009</v>
      </c>
      <c r="B7881" s="17" t="s">
        <v>70</v>
      </c>
      <c r="C7881" s="17" t="s">
        <v>71</v>
      </c>
      <c r="D7881" t="s">
        <v>22010</v>
      </c>
      <c r="F7881" t="s">
        <v>22010</v>
      </c>
      <c r="K7881" s="18">
        <f>62811832609</f>
        <v>62811832609</v>
      </c>
      <c r="N7881" s="17" t="s">
        <v>77</v>
      </c>
      <c r="V7881" s="18">
        <f>62811832609</f>
        <v>62811832609</v>
      </c>
    </row>
    <row r="7882" ht="15" customHeight="1" spans="1:28" x14ac:dyDescent="0.25">
      <c r="A7882" s="17" t="s">
        <v>22011</v>
      </c>
      <c r="B7882" s="17" t="s">
        <v>70</v>
      </c>
      <c r="C7882" s="17" t="s">
        <v>71</v>
      </c>
      <c r="D7882" t="s">
        <v>21871</v>
      </c>
      <c r="F7882" t="s">
        <v>22012</v>
      </c>
      <c r="J7882" t="s">
        <v>115</v>
      </c>
      <c r="K7882" s="18" t="s">
        <v>22013</v>
      </c>
      <c r="N7882" s="17" t="s">
        <v>81</v>
      </c>
      <c r="O7882" t="s">
        <v>145</v>
      </c>
      <c r="V7882" s="18" t="s">
        <v>22013</v>
      </c>
      <c r="Y7882" t="s">
        <v>90</v>
      </c>
      <c r="AA7882" t="s">
        <v>118</v>
      </c>
      <c r="AB7882" t="s">
        <v>119</v>
      </c>
    </row>
    <row r="7883" ht="15" customHeight="1" spans="1:28" x14ac:dyDescent="0.25">
      <c r="A7883" s="17" t="s">
        <v>22014</v>
      </c>
      <c r="B7883" s="17" t="s">
        <v>70</v>
      </c>
      <c r="C7883" s="17" t="s">
        <v>71</v>
      </c>
      <c r="D7883" t="s">
        <v>21871</v>
      </c>
      <c r="F7883" t="s">
        <v>22015</v>
      </c>
      <c r="J7883" t="s">
        <v>115</v>
      </c>
      <c r="K7883" s="18" t="s">
        <v>22016</v>
      </c>
      <c r="N7883" s="17" t="s">
        <v>77</v>
      </c>
      <c r="O7883" t="s">
        <v>117</v>
      </c>
      <c r="U7883" s="17"/>
      <c r="V7883" s="18" t="s">
        <v>22016</v>
      </c>
      <c r="W7883" t="s">
        <v>22017</v>
      </c>
      <c r="Y7883" t="s">
        <v>181</v>
      </c>
      <c r="AA7883" t="s">
        <v>1672</v>
      </c>
      <c r="AB7883" t="s">
        <v>119</v>
      </c>
    </row>
    <row r="7884" ht="15" customHeight="1" spans="1:23" x14ac:dyDescent="0.25">
      <c r="A7884" s="17" t="s">
        <v>22018</v>
      </c>
      <c r="B7884" s="17" t="s">
        <v>70</v>
      </c>
      <c r="C7884" s="17" t="s">
        <v>71</v>
      </c>
      <c r="D7884" t="s">
        <v>21871</v>
      </c>
      <c r="F7884" t="s">
        <v>22019</v>
      </c>
      <c r="K7884" s="18">
        <f>628129595528</f>
        <v>628129595528</v>
      </c>
      <c r="N7884" s="17" t="s">
        <v>77</v>
      </c>
      <c r="U7884" s="17"/>
      <c r="V7884" s="18">
        <f>628129595528</f>
        <v>628129595528</v>
      </c>
      <c r="W7884" t="s">
        <v>22020</v>
      </c>
    </row>
    <row r="7885" ht="15" customHeight="1" spans="1:22" x14ac:dyDescent="0.25">
      <c r="A7885" s="17" t="s">
        <v>22021</v>
      </c>
      <c r="B7885" s="17" t="s">
        <v>70</v>
      </c>
      <c r="C7885" s="17" t="s">
        <v>71</v>
      </c>
      <c r="D7885" t="s">
        <v>21871</v>
      </c>
      <c r="F7885" t="s">
        <v>22022</v>
      </c>
      <c r="K7885" s="18">
        <f>62811903328</f>
        <v>62811903328</v>
      </c>
      <c r="N7885" s="17" t="s">
        <v>74</v>
      </c>
      <c r="V7885" s="18">
        <f>62811903328</f>
        <v>62811903328</v>
      </c>
    </row>
    <row r="7886" ht="15" customHeight="1" spans="1:23" x14ac:dyDescent="0.25">
      <c r="A7886" s="17" t="s">
        <v>22023</v>
      </c>
      <c r="B7886" s="17" t="s">
        <v>70</v>
      </c>
      <c r="C7886" s="17" t="s">
        <v>71</v>
      </c>
      <c r="D7886" t="s">
        <v>21871</v>
      </c>
      <c r="F7886" t="s">
        <v>22024</v>
      </c>
      <c r="K7886" s="18">
        <f>62811252909</f>
        <v>62811252909</v>
      </c>
      <c r="N7886" s="17" t="s">
        <v>77</v>
      </c>
      <c r="U7886" s="17"/>
      <c r="V7886" s="18">
        <f>62811252909</f>
        <v>62811252909</v>
      </c>
      <c r="W7886" t="s">
        <v>22025</v>
      </c>
    </row>
    <row r="7887" ht="15" customHeight="1" spans="1:22" x14ac:dyDescent="0.25">
      <c r="A7887" s="17" t="s">
        <v>22026</v>
      </c>
      <c r="B7887" s="17" t="s">
        <v>70</v>
      </c>
      <c r="C7887" s="17" t="s">
        <v>71</v>
      </c>
      <c r="D7887" t="s">
        <v>22027</v>
      </c>
      <c r="F7887" t="s">
        <v>3238</v>
      </c>
      <c r="K7887" s="18">
        <f>628213138898</f>
        <v>628213138898</v>
      </c>
      <c r="N7887" s="17" t="s">
        <v>77</v>
      </c>
      <c r="V7887" s="18">
        <f>628213138898</f>
        <v>628213138898</v>
      </c>
    </row>
    <row r="7888" ht="15" customHeight="1" spans="1:28" x14ac:dyDescent="0.25">
      <c r="A7888" s="17" t="s">
        <v>22028</v>
      </c>
      <c r="B7888" s="17" t="s">
        <v>70</v>
      </c>
      <c r="C7888" s="17" t="s">
        <v>71</v>
      </c>
      <c r="D7888" t="s">
        <v>22029</v>
      </c>
      <c r="F7888" t="s">
        <v>22030</v>
      </c>
      <c r="J7888" t="s">
        <v>115</v>
      </c>
      <c r="K7888" s="18" t="s">
        <v>22031</v>
      </c>
      <c r="N7888" s="17" t="s">
        <v>74</v>
      </c>
      <c r="O7888" t="s">
        <v>489</v>
      </c>
      <c r="U7888" s="17"/>
      <c r="V7888" s="18" t="s">
        <v>22031</v>
      </c>
      <c r="W7888" t="s">
        <v>22032</v>
      </c>
      <c r="Y7888" t="s">
        <v>181</v>
      </c>
      <c r="AA7888" t="s">
        <v>1672</v>
      </c>
      <c r="AB7888" t="s">
        <v>119</v>
      </c>
    </row>
    <row r="7889" ht="15" customHeight="1" spans="1:28" x14ac:dyDescent="0.25">
      <c r="A7889" s="17" t="s">
        <v>22033</v>
      </c>
      <c r="B7889" s="17" t="s">
        <v>70</v>
      </c>
      <c r="C7889" s="17" t="s">
        <v>71</v>
      </c>
      <c r="D7889" t="s">
        <v>22034</v>
      </c>
      <c r="F7889" t="s">
        <v>22035</v>
      </c>
      <c r="J7889" s="17" t="s">
        <v>22036</v>
      </c>
      <c r="K7889" s="18" t="s">
        <v>22037</v>
      </c>
      <c r="N7889" s="17" t="s">
        <v>77</v>
      </c>
      <c r="O7889" t="s">
        <v>199</v>
      </c>
      <c r="U7889" s="17"/>
      <c r="V7889" s="18" t="s">
        <v>22037</v>
      </c>
      <c r="W7889" t="s">
        <v>22038</v>
      </c>
      <c r="Y7889" s="17" t="s">
        <v>22039</v>
      </c>
      <c r="AA7889" t="s">
        <v>115</v>
      </c>
      <c r="AB7889" t="s">
        <v>2914</v>
      </c>
    </row>
    <row r="7890" ht="15" customHeight="1" spans="1:28" x14ac:dyDescent="0.25">
      <c r="A7890" s="17" t="s">
        <v>22040</v>
      </c>
      <c r="B7890" s="17" t="s">
        <v>70</v>
      </c>
      <c r="C7890" s="17" t="s">
        <v>71</v>
      </c>
      <c r="D7890" t="s">
        <v>22034</v>
      </c>
      <c r="F7890" t="s">
        <v>22041</v>
      </c>
      <c r="J7890" s="17" t="s">
        <v>22042</v>
      </c>
      <c r="K7890" s="18" t="s">
        <v>22043</v>
      </c>
      <c r="N7890" s="17" t="s">
        <v>77</v>
      </c>
      <c r="O7890" t="s">
        <v>145</v>
      </c>
      <c r="U7890" s="17"/>
      <c r="V7890" s="18" t="s">
        <v>22043</v>
      </c>
      <c r="W7890" t="s">
        <v>22044</v>
      </c>
      <c r="Y7890" t="s">
        <v>2914</v>
      </c>
      <c r="AA7890" t="s">
        <v>115</v>
      </c>
      <c r="AB7890" t="s">
        <v>119</v>
      </c>
    </row>
    <row r="7891" ht="15" customHeight="1" spans="1:22" x14ac:dyDescent="0.25">
      <c r="A7891" s="17" t="s">
        <v>22045</v>
      </c>
      <c r="B7891" s="17" t="s">
        <v>70</v>
      </c>
      <c r="C7891" s="17" t="s">
        <v>71</v>
      </c>
      <c r="D7891" t="s">
        <v>22046</v>
      </c>
      <c r="F7891" t="s">
        <v>22047</v>
      </c>
      <c r="K7891" s="18">
        <f>62817617661</f>
        <v>62817617661</v>
      </c>
      <c r="N7891" s="17" t="s">
        <v>81</v>
      </c>
      <c r="V7891" s="18">
        <f>62817617661</f>
        <v>62817617661</v>
      </c>
    </row>
    <row r="7892" ht="15" customHeight="1" spans="1:28" x14ac:dyDescent="0.25">
      <c r="A7892" s="17" t="s">
        <v>22048</v>
      </c>
      <c r="B7892" s="17" t="s">
        <v>70</v>
      </c>
      <c r="C7892" s="17" t="s">
        <v>71</v>
      </c>
      <c r="D7892" t="s">
        <v>22046</v>
      </c>
      <c r="F7892" t="s">
        <v>22049</v>
      </c>
      <c r="J7892" t="s">
        <v>115</v>
      </c>
      <c r="K7892" s="18" t="s">
        <v>22050</v>
      </c>
      <c r="N7892" s="17" t="s">
        <v>77</v>
      </c>
      <c r="O7892" t="s">
        <v>117</v>
      </c>
      <c r="V7892" s="18" t="s">
        <v>22050</v>
      </c>
      <c r="Y7892" t="s">
        <v>90</v>
      </c>
      <c r="AA7892" t="s">
        <v>118</v>
      </c>
      <c r="AB7892" t="s">
        <v>119</v>
      </c>
    </row>
    <row r="7893" ht="15" customHeight="1" spans="1:22" x14ac:dyDescent="0.25">
      <c r="A7893" s="17" t="s">
        <v>22051</v>
      </c>
      <c r="B7893" s="17" t="s">
        <v>70</v>
      </c>
      <c r="C7893" s="17" t="s">
        <v>71</v>
      </c>
      <c r="D7893" t="s">
        <v>22052</v>
      </c>
      <c r="F7893" t="s">
        <v>22052</v>
      </c>
      <c r="K7893" s="18">
        <f>6281219889558</f>
        <v>6281219889558</v>
      </c>
      <c r="N7893" s="17" t="s">
        <v>81</v>
      </c>
      <c r="V7893" s="18">
        <f>6281219889558</f>
        <v>6281219889558</v>
      </c>
    </row>
    <row r="7894" ht="15" customHeight="1" spans="1:22" x14ac:dyDescent="0.25">
      <c r="A7894" s="17" t="s">
        <v>22053</v>
      </c>
      <c r="B7894" s="17" t="s">
        <v>70</v>
      </c>
      <c r="C7894" s="17" t="s">
        <v>71</v>
      </c>
      <c r="D7894" t="s">
        <v>22052</v>
      </c>
      <c r="F7894" t="s">
        <v>22052</v>
      </c>
      <c r="K7894" s="18">
        <f>6281807777667</f>
        <v>6281807777667</v>
      </c>
      <c r="N7894" s="17" t="s">
        <v>77</v>
      </c>
      <c r="V7894" s="18">
        <f>6281807777667</f>
        <v>6281807777667</v>
      </c>
    </row>
    <row r="7895" ht="15" customHeight="1" spans="1:27" x14ac:dyDescent="0.25">
      <c r="A7895" s="17" t="s">
        <v>22054</v>
      </c>
      <c r="B7895" s="17" t="s">
        <v>70</v>
      </c>
      <c r="C7895" s="17" t="s">
        <v>71</v>
      </c>
      <c r="D7895" t="s">
        <v>22052</v>
      </c>
      <c r="F7895" t="s">
        <v>22055</v>
      </c>
      <c r="K7895" s="18">
        <f>17722913728</f>
        <v>17722913728</v>
      </c>
      <c r="N7895" s="17" t="s">
        <v>81</v>
      </c>
      <c r="U7895" s="17"/>
      <c r="V7895" s="18">
        <f>17722913728</f>
        <v>17722913728</v>
      </c>
      <c r="W7895" t="s">
        <v>22056</v>
      </c>
      <c r="Y7895" s="17" t="s">
        <v>22057</v>
      </c>
      <c r="AA7895" s="17">
        <v>34996</v>
      </c>
    </row>
    <row r="7896" ht="15" customHeight="1" spans="1:22" x14ac:dyDescent="0.25">
      <c r="A7896" s="17" t="s">
        <v>22058</v>
      </c>
      <c r="B7896" s="17" t="s">
        <v>70</v>
      </c>
      <c r="C7896" s="17" t="s">
        <v>71</v>
      </c>
      <c r="D7896" t="s">
        <v>22052</v>
      </c>
      <c r="F7896" t="s">
        <v>4479</v>
      </c>
      <c r="K7896" s="18">
        <f>6281519419901</f>
        <v>6281519419901</v>
      </c>
      <c r="N7896" s="17" t="s">
        <v>77</v>
      </c>
      <c r="V7896" s="18">
        <f>6281519419901</f>
        <v>6281519419901</v>
      </c>
    </row>
    <row r="7897" ht="15" customHeight="1" spans="1:22" x14ac:dyDescent="0.25">
      <c r="A7897" s="17" t="s">
        <v>22059</v>
      </c>
      <c r="B7897" s="17" t="s">
        <v>70</v>
      </c>
      <c r="C7897" s="17" t="s">
        <v>71</v>
      </c>
      <c r="D7897" t="s">
        <v>22052</v>
      </c>
      <c r="F7897" t="s">
        <v>3186</v>
      </c>
      <c r="K7897" s="18">
        <f>628128001122</f>
        <v>628128001122</v>
      </c>
      <c r="N7897" s="17" t="s">
        <v>77</v>
      </c>
      <c r="V7897" s="18">
        <f>628128001122</f>
        <v>628128001122</v>
      </c>
    </row>
    <row r="7898" ht="15" customHeight="1" spans="1:27" x14ac:dyDescent="0.25">
      <c r="A7898" s="17" t="s">
        <v>22060</v>
      </c>
      <c r="B7898" s="17" t="s">
        <v>70</v>
      </c>
      <c r="C7898" s="17" t="s">
        <v>71</v>
      </c>
      <c r="D7898" t="s">
        <v>22061</v>
      </c>
      <c r="F7898" t="s">
        <v>22062</v>
      </c>
      <c r="J7898" s="17" t="s">
        <v>22063</v>
      </c>
      <c r="K7898" s="18">
        <f>6282110991191</f>
        <v>6282110991191</v>
      </c>
      <c r="N7898" s="17" t="s">
        <v>77</v>
      </c>
      <c r="U7898" s="17"/>
      <c r="V7898" s="18">
        <f>6282110991191</f>
        <v>6282110991191</v>
      </c>
      <c r="W7898" t="s">
        <v>22064</v>
      </c>
      <c r="AA7898" s="17">
        <v>14350</v>
      </c>
    </row>
    <row r="7899" ht="15" customHeight="1" spans="1:27" x14ac:dyDescent="0.25">
      <c r="A7899" s="17" t="s">
        <v>22065</v>
      </c>
      <c r="B7899" s="17" t="s">
        <v>70</v>
      </c>
      <c r="C7899" s="17" t="s">
        <v>71</v>
      </c>
      <c r="D7899" t="s">
        <v>22066</v>
      </c>
      <c r="F7899" t="s">
        <v>4985</v>
      </c>
      <c r="J7899" s="17" t="s">
        <v>22067</v>
      </c>
      <c r="K7899" s="18">
        <f>628179981107</f>
        <v>628179981107</v>
      </c>
      <c r="N7899" s="17" t="s">
        <v>77</v>
      </c>
      <c r="U7899" s="17"/>
      <c r="V7899" s="18">
        <f>628179981107</f>
        <v>628179981107</v>
      </c>
      <c r="W7899" t="s">
        <v>22068</v>
      </c>
      <c r="Y7899" s="17" t="s">
        <v>1119</v>
      </c>
      <c r="AA7899" s="17">
        <v>16965</v>
      </c>
    </row>
    <row r="7900" ht="15" customHeight="1" spans="1:22" x14ac:dyDescent="0.25">
      <c r="A7900" s="17" t="s">
        <v>22069</v>
      </c>
      <c r="B7900" s="17" t="s">
        <v>70</v>
      </c>
      <c r="C7900" s="17" t="s">
        <v>71</v>
      </c>
      <c r="D7900" t="s">
        <v>22070</v>
      </c>
      <c r="F7900" t="s">
        <v>3086</v>
      </c>
      <c r="K7900" s="18">
        <f>628123821664</f>
        <v>628123821664</v>
      </c>
      <c r="N7900" s="17" t="s">
        <v>77</v>
      </c>
      <c r="V7900" s="18">
        <f>628123821664</f>
        <v>628123821664</v>
      </c>
    </row>
    <row r="7901" ht="15" customHeight="1" spans="1:28" x14ac:dyDescent="0.25">
      <c r="A7901" s="17" t="s">
        <v>22071</v>
      </c>
      <c r="B7901" s="17" t="s">
        <v>70</v>
      </c>
      <c r="C7901" s="17" t="s">
        <v>71</v>
      </c>
      <c r="D7901" t="s">
        <v>22072</v>
      </c>
      <c r="F7901" t="s">
        <v>618</v>
      </c>
      <c r="J7901" t="s">
        <v>115</v>
      </c>
      <c r="K7901" s="18" t="s">
        <v>22073</v>
      </c>
      <c r="N7901" s="17" t="s">
        <v>81</v>
      </c>
      <c r="O7901" t="s">
        <v>261</v>
      </c>
      <c r="V7901" s="18" t="s">
        <v>22073</v>
      </c>
      <c r="Y7901" t="s">
        <v>1084</v>
      </c>
      <c r="AA7901" t="s">
        <v>3146</v>
      </c>
      <c r="AB7901" t="s">
        <v>119</v>
      </c>
    </row>
    <row r="7902" ht="15" customHeight="1" spans="1:22" x14ac:dyDescent="0.25">
      <c r="A7902" s="17" t="s">
        <v>22074</v>
      </c>
      <c r="B7902" s="17" t="s">
        <v>70</v>
      </c>
      <c r="C7902" s="17" t="s">
        <v>71</v>
      </c>
      <c r="D7902" t="s">
        <v>22075</v>
      </c>
      <c r="F7902" t="s">
        <v>8999</v>
      </c>
      <c r="K7902" s="18">
        <f>6282112567760</f>
        <v>6282112567760</v>
      </c>
      <c r="N7902" s="17" t="s">
        <v>81</v>
      </c>
      <c r="V7902" s="18">
        <f>6282112567760</f>
        <v>6282112567760</v>
      </c>
    </row>
    <row r="7903" ht="15" customHeight="1" spans="1:23" x14ac:dyDescent="0.25">
      <c r="A7903" s="17" t="s">
        <v>22076</v>
      </c>
      <c r="B7903" s="17" t="s">
        <v>70</v>
      </c>
      <c r="C7903" s="17" t="s">
        <v>71</v>
      </c>
      <c r="D7903" t="s">
        <v>22075</v>
      </c>
      <c r="F7903" t="s">
        <v>11291</v>
      </c>
      <c r="J7903" s="17" t="s">
        <v>22077</v>
      </c>
      <c r="K7903" s="18">
        <f>628127114528</f>
        <v>628127114528</v>
      </c>
      <c r="N7903" s="17" t="s">
        <v>77</v>
      </c>
      <c r="U7903" s="17"/>
      <c r="V7903" s="18">
        <f>628127114528</f>
        <v>628127114528</v>
      </c>
      <c r="W7903" t="s">
        <v>22078</v>
      </c>
    </row>
    <row r="7904" ht="15" customHeight="1" spans="1:23" x14ac:dyDescent="0.25">
      <c r="A7904" s="17" t="s">
        <v>22079</v>
      </c>
      <c r="B7904" s="17" t="s">
        <v>70</v>
      </c>
      <c r="C7904" s="17" t="s">
        <v>71</v>
      </c>
      <c r="D7904" t="s">
        <v>22080</v>
      </c>
      <c r="F7904" t="s">
        <v>22081</v>
      </c>
      <c r="J7904" s="17" t="s">
        <v>22082</v>
      </c>
      <c r="K7904" s="18">
        <f>6281806851185</f>
        <v>6281806851185</v>
      </c>
      <c r="N7904" s="17" t="s">
        <v>77</v>
      </c>
      <c r="U7904" s="17"/>
      <c r="V7904" s="18">
        <f>6281806851185</f>
        <v>6281806851185</v>
      </c>
      <c r="W7904" t="s">
        <v>22083</v>
      </c>
    </row>
    <row r="7905" ht="15" customHeight="1" spans="1:28" x14ac:dyDescent="0.25">
      <c r="A7905" s="17" t="s">
        <v>22084</v>
      </c>
      <c r="B7905" s="17" t="s">
        <v>70</v>
      </c>
      <c r="C7905" s="17" t="s">
        <v>71</v>
      </c>
      <c r="D7905" t="s">
        <v>22080</v>
      </c>
      <c r="F7905" t="s">
        <v>22085</v>
      </c>
      <c r="J7905" t="s">
        <v>115</v>
      </c>
      <c r="K7905" s="18" t="s">
        <v>22086</v>
      </c>
      <c r="N7905" s="17" t="s">
        <v>77</v>
      </c>
      <c r="O7905" t="s">
        <v>145</v>
      </c>
      <c r="V7905" s="18" t="s">
        <v>22086</v>
      </c>
      <c r="Y7905" t="s">
        <v>190</v>
      </c>
      <c r="AA7905" t="s">
        <v>118</v>
      </c>
      <c r="AB7905" t="s">
        <v>119</v>
      </c>
    </row>
    <row r="7906" ht="15" customHeight="1" spans="1:28" x14ac:dyDescent="0.25">
      <c r="A7906" s="17" t="s">
        <v>22087</v>
      </c>
      <c r="B7906" s="17" t="s">
        <v>70</v>
      </c>
      <c r="C7906" s="17" t="s">
        <v>71</v>
      </c>
      <c r="D7906" t="s">
        <v>22088</v>
      </c>
      <c r="F7906" t="s">
        <v>22089</v>
      </c>
      <c r="J7906" s="17" t="s">
        <v>22090</v>
      </c>
      <c r="K7906" s="18" t="s">
        <v>22091</v>
      </c>
      <c r="N7906" s="17" t="s">
        <v>77</v>
      </c>
      <c r="O7906" t="s">
        <v>117</v>
      </c>
      <c r="U7906" s="17"/>
      <c r="V7906" s="18" t="s">
        <v>22091</v>
      </c>
      <c r="W7906" t="s">
        <v>930</v>
      </c>
      <c r="Y7906" t="s">
        <v>930</v>
      </c>
      <c r="AA7906" t="s">
        <v>115</v>
      </c>
      <c r="AB7906" t="s">
        <v>930</v>
      </c>
    </row>
    <row r="7907" ht="15" customHeight="1" spans="1:22" x14ac:dyDescent="0.25">
      <c r="A7907" s="17" t="s">
        <v>22092</v>
      </c>
      <c r="B7907" s="17" t="s">
        <v>70</v>
      </c>
      <c r="C7907" s="17" t="s">
        <v>71</v>
      </c>
      <c r="D7907" t="s">
        <v>5079</v>
      </c>
      <c r="F7907" t="s">
        <v>5079</v>
      </c>
      <c r="K7907" s="18">
        <f>628161994391</f>
        <v>628161994391</v>
      </c>
      <c r="N7907" s="17" t="s">
        <v>77</v>
      </c>
      <c r="V7907" s="18">
        <f>628161994391</f>
        <v>628161994391</v>
      </c>
    </row>
    <row r="7908" ht="15" customHeight="1" spans="1:28" x14ac:dyDescent="0.25">
      <c r="A7908" s="17" t="s">
        <v>22093</v>
      </c>
      <c r="B7908" s="17" t="s">
        <v>70</v>
      </c>
      <c r="C7908" s="17" t="s">
        <v>71</v>
      </c>
      <c r="D7908" t="s">
        <v>22094</v>
      </c>
      <c r="F7908" t="s">
        <v>22095</v>
      </c>
      <c r="J7908" s="17" t="s">
        <v>22096</v>
      </c>
      <c r="K7908" s="18" t="s">
        <v>22097</v>
      </c>
      <c r="N7908" s="17" t="s">
        <v>77</v>
      </c>
      <c r="O7908" t="s">
        <v>261</v>
      </c>
      <c r="U7908" s="17"/>
      <c r="V7908" s="18" t="s">
        <v>22097</v>
      </c>
      <c r="W7908" t="s">
        <v>906</v>
      </c>
      <c r="Y7908" t="s">
        <v>906</v>
      </c>
      <c r="AA7908" t="s">
        <v>115</v>
      </c>
      <c r="AB7908" t="s">
        <v>119</v>
      </c>
    </row>
    <row r="7909" ht="15" customHeight="1" spans="1:22" x14ac:dyDescent="0.25">
      <c r="A7909" s="17" t="s">
        <v>22098</v>
      </c>
      <c r="B7909" s="17" t="s">
        <v>70</v>
      </c>
      <c r="C7909" s="17" t="s">
        <v>71</v>
      </c>
      <c r="D7909" t="s">
        <v>22099</v>
      </c>
      <c r="F7909" t="s">
        <v>22100</v>
      </c>
      <c r="K7909" s="18">
        <f>628176415576</f>
        <v>628176415576</v>
      </c>
      <c r="N7909" s="17" t="s">
        <v>81</v>
      </c>
      <c r="V7909" s="18">
        <f>628176415576</f>
        <v>628176415576</v>
      </c>
    </row>
    <row r="7910" ht="15" customHeight="1" spans="1:22" x14ac:dyDescent="0.25">
      <c r="A7910" s="17" t="s">
        <v>22101</v>
      </c>
      <c r="B7910" s="17" t="s">
        <v>70</v>
      </c>
      <c r="C7910" s="17" t="s">
        <v>71</v>
      </c>
      <c r="D7910" t="s">
        <v>22102</v>
      </c>
      <c r="F7910" t="s">
        <v>17437</v>
      </c>
      <c r="K7910" s="18">
        <f>628121818390</f>
        <v>628121818390</v>
      </c>
      <c r="N7910" s="17" t="s">
        <v>74</v>
      </c>
      <c r="V7910" s="18">
        <f>628121818390</f>
        <v>628121818390</v>
      </c>
    </row>
    <row r="7911" ht="15" customHeight="1" spans="1:23" x14ac:dyDescent="0.25">
      <c r="A7911" s="17" t="s">
        <v>22103</v>
      </c>
      <c r="B7911" s="17" t="s">
        <v>70</v>
      </c>
      <c r="C7911" s="17" t="s">
        <v>71</v>
      </c>
      <c r="D7911" t="s">
        <v>22104</v>
      </c>
      <c r="F7911" t="s">
        <v>22105</v>
      </c>
      <c r="K7911" s="18">
        <f>62811931220</f>
        <v>62811931220</v>
      </c>
      <c r="N7911" s="17" t="s">
        <v>81</v>
      </c>
      <c r="U7911" s="17"/>
      <c r="V7911" s="18">
        <f>62811931220</f>
        <v>62811931220</v>
      </c>
      <c r="W7911" t="s">
        <v>22106</v>
      </c>
    </row>
    <row r="7912" ht="15" customHeight="1" spans="1:25" x14ac:dyDescent="0.25">
      <c r="A7912" s="17" t="s">
        <v>22107</v>
      </c>
      <c r="B7912" s="17" t="s">
        <v>70</v>
      </c>
      <c r="C7912" s="17" t="s">
        <v>71</v>
      </c>
      <c r="D7912" t="s">
        <v>22108</v>
      </c>
      <c r="F7912" t="s">
        <v>22109</v>
      </c>
      <c r="K7912" s="18">
        <f>62811943912</f>
        <v>62811943912</v>
      </c>
      <c r="N7912" s="17" t="s">
        <v>77</v>
      </c>
      <c r="U7912" s="17"/>
      <c r="V7912" s="18">
        <f>62811943912</f>
        <v>62811943912</v>
      </c>
      <c r="W7912" t="s">
        <v>22110</v>
      </c>
      <c r="Y7912" s="17" t="s">
        <v>96</v>
      </c>
    </row>
    <row r="7913" ht="15" customHeight="1" spans="1:22" x14ac:dyDescent="0.25">
      <c r="A7913" s="17" t="s">
        <v>22111</v>
      </c>
      <c r="B7913" s="17" t="s">
        <v>70</v>
      </c>
      <c r="C7913" s="17" t="s">
        <v>71</v>
      </c>
      <c r="D7913" t="s">
        <v>22112</v>
      </c>
      <c r="F7913" t="s">
        <v>150</v>
      </c>
      <c r="K7913" s="18">
        <f>6282110374990</f>
        <v>6282110374990</v>
      </c>
      <c r="N7913" s="17" t="s">
        <v>77</v>
      </c>
      <c r="V7913" s="18">
        <f>6282110374990</f>
        <v>6282110374990</v>
      </c>
    </row>
    <row r="7914" ht="15" customHeight="1" spans="1:28" x14ac:dyDescent="0.25">
      <c r="A7914" s="17" t="s">
        <v>22113</v>
      </c>
      <c r="B7914" s="17" t="s">
        <v>70</v>
      </c>
      <c r="C7914" s="17" t="s">
        <v>71</v>
      </c>
      <c r="D7914" t="s">
        <v>22114</v>
      </c>
      <c r="F7914" t="s">
        <v>16000</v>
      </c>
      <c r="J7914" t="s">
        <v>22115</v>
      </c>
      <c r="K7914" s="18" t="s">
        <v>22116</v>
      </c>
      <c r="N7914" s="17" t="s">
        <v>77</v>
      </c>
      <c r="O7914" t="s">
        <v>199</v>
      </c>
      <c r="V7914" s="18" t="s">
        <v>22116</v>
      </c>
      <c r="Y7914" t="s">
        <v>115</v>
      </c>
      <c r="AA7914" t="s">
        <v>115</v>
      </c>
      <c r="AB7914" t="s">
        <v>3140</v>
      </c>
    </row>
    <row r="7915" ht="15" customHeight="1" spans="1:28" x14ac:dyDescent="0.25">
      <c r="A7915" s="17" t="s">
        <v>22117</v>
      </c>
      <c r="B7915" s="17" t="s">
        <v>70</v>
      </c>
      <c r="C7915" s="17" t="s">
        <v>71</v>
      </c>
      <c r="D7915" t="s">
        <v>22118</v>
      </c>
      <c r="F7915" t="s">
        <v>6361</v>
      </c>
      <c r="J7915" t="s">
        <v>115</v>
      </c>
      <c r="K7915" s="18" t="s">
        <v>22119</v>
      </c>
      <c r="N7915" s="17" t="s">
        <v>77</v>
      </c>
      <c r="O7915" t="s">
        <v>199</v>
      </c>
      <c r="U7915" s="17"/>
      <c r="V7915" s="18" t="s">
        <v>22119</v>
      </c>
      <c r="W7915" t="s">
        <v>22120</v>
      </c>
      <c r="Y7915" t="s">
        <v>90</v>
      </c>
      <c r="AA7915" t="s">
        <v>118</v>
      </c>
      <c r="AB7915" t="s">
        <v>119</v>
      </c>
    </row>
    <row r="7916" ht="15" customHeight="1" spans="1:25" x14ac:dyDescent="0.25">
      <c r="A7916" s="17" t="s">
        <v>22121</v>
      </c>
      <c r="B7916" s="17" t="s">
        <v>70</v>
      </c>
      <c r="C7916" s="17" t="s">
        <v>71</v>
      </c>
      <c r="D7916" t="s">
        <v>22122</v>
      </c>
      <c r="F7916" t="s">
        <v>922</v>
      </c>
      <c r="J7916" s="17" t="s">
        <v>22123</v>
      </c>
      <c r="K7916" s="18">
        <f>919825110873</f>
        <v>919825110873</v>
      </c>
      <c r="N7916" s="17" t="s">
        <v>81</v>
      </c>
      <c r="U7916" s="17"/>
      <c r="V7916" s="18">
        <f>919825110873</f>
        <v>919825110873</v>
      </c>
      <c r="W7916" t="s">
        <v>920</v>
      </c>
      <c r="Y7916" s="17" t="s">
        <v>22124</v>
      </c>
    </row>
    <row r="7917" ht="15" customHeight="1" spans="1:23" x14ac:dyDescent="0.25">
      <c r="A7917" s="17" t="s">
        <v>22125</v>
      </c>
      <c r="B7917" s="17" t="s">
        <v>70</v>
      </c>
      <c r="C7917" s="17" t="s">
        <v>71</v>
      </c>
      <c r="D7917" t="s">
        <v>22126</v>
      </c>
      <c r="F7917" t="s">
        <v>2947</v>
      </c>
      <c r="K7917" s="18">
        <f>6281212067807</f>
        <v>6281212067807</v>
      </c>
      <c r="N7917" s="17" t="s">
        <v>81</v>
      </c>
      <c r="U7917" s="17"/>
      <c r="V7917" s="18">
        <f>6281212067807</f>
        <v>6281212067807</v>
      </c>
      <c r="W7917" t="s">
        <v>22127</v>
      </c>
    </row>
    <row r="7918" ht="15" customHeight="1" spans="1:23" x14ac:dyDescent="0.25">
      <c r="A7918" s="17" t="s">
        <v>22128</v>
      </c>
      <c r="B7918" s="17" t="s">
        <v>70</v>
      </c>
      <c r="C7918" s="17" t="s">
        <v>71</v>
      </c>
      <c r="D7918" t="s">
        <v>22129</v>
      </c>
      <c r="F7918" t="s">
        <v>3546</v>
      </c>
      <c r="K7918" s="18">
        <f>31653900780</f>
        <v>31653900780</v>
      </c>
      <c r="N7918" s="17" t="s">
        <v>77</v>
      </c>
      <c r="U7918" s="17"/>
      <c r="V7918" s="18">
        <f>31653900780</f>
        <v>31653900780</v>
      </c>
      <c r="W7918" t="s">
        <v>22130</v>
      </c>
    </row>
    <row r="7919" ht="15" customHeight="1" spans="1:23" x14ac:dyDescent="0.25">
      <c r="A7919" s="17" t="s">
        <v>22131</v>
      </c>
      <c r="B7919" s="17" t="s">
        <v>70</v>
      </c>
      <c r="C7919" s="17" t="s">
        <v>71</v>
      </c>
      <c r="D7919" t="s">
        <v>18182</v>
      </c>
      <c r="F7919" t="s">
        <v>22132</v>
      </c>
      <c r="K7919" s="18">
        <f>628111932407</f>
        <v>628111932407</v>
      </c>
      <c r="N7919" s="17" t="s">
        <v>77</v>
      </c>
      <c r="U7919" s="17"/>
      <c r="V7919" s="18">
        <f>628111932407</f>
        <v>628111932407</v>
      </c>
      <c r="W7919" t="s">
        <v>22133</v>
      </c>
    </row>
    <row r="7920" ht="15" customHeight="1" spans="1:28" x14ac:dyDescent="0.25">
      <c r="A7920" s="17" t="s">
        <v>22134</v>
      </c>
      <c r="B7920" s="17" t="s">
        <v>70</v>
      </c>
      <c r="C7920" s="17" t="s">
        <v>71</v>
      </c>
      <c r="D7920" t="s">
        <v>18182</v>
      </c>
      <c r="F7920" t="s">
        <v>22135</v>
      </c>
      <c r="J7920" t="s">
        <v>22136</v>
      </c>
      <c r="K7920" s="18" t="s">
        <v>22137</v>
      </c>
      <c r="N7920" s="17" t="s">
        <v>77</v>
      </c>
      <c r="O7920" t="s">
        <v>145</v>
      </c>
      <c r="U7920" s="17"/>
      <c r="V7920" s="18" t="s">
        <v>22137</v>
      </c>
      <c r="W7920" t="s">
        <v>22138</v>
      </c>
      <c r="Y7920" t="s">
        <v>190</v>
      </c>
      <c r="AA7920" t="s">
        <v>118</v>
      </c>
      <c r="AB7920" t="s">
        <v>119</v>
      </c>
    </row>
    <row r="7921" ht="15" customHeight="1" spans="1:23" x14ac:dyDescent="0.25">
      <c r="A7921" s="17" t="s">
        <v>22139</v>
      </c>
      <c r="B7921" s="17" t="s">
        <v>70</v>
      </c>
      <c r="C7921" s="17" t="s">
        <v>71</v>
      </c>
      <c r="D7921" t="s">
        <v>22140</v>
      </c>
      <c r="F7921" t="s">
        <v>20340</v>
      </c>
      <c r="K7921" s="18">
        <f>6281262101376</f>
        <v>6281262101376</v>
      </c>
      <c r="N7921" s="17" t="s">
        <v>81</v>
      </c>
      <c r="U7921" s="17"/>
      <c r="V7921" s="18">
        <f>6281262101376</f>
        <v>6281262101376</v>
      </c>
      <c r="W7921" t="s">
        <v>22141</v>
      </c>
    </row>
    <row r="7922" ht="15" customHeight="1" spans="1:22" x14ac:dyDescent="0.25">
      <c r="A7922" s="17" t="s">
        <v>22142</v>
      </c>
      <c r="B7922" s="17" t="s">
        <v>70</v>
      </c>
      <c r="C7922" s="17" t="s">
        <v>71</v>
      </c>
      <c r="D7922" t="s">
        <v>22143</v>
      </c>
      <c r="F7922" t="s">
        <v>1754</v>
      </c>
      <c r="K7922" s="18">
        <f>628121088303</f>
        <v>628121088303</v>
      </c>
      <c r="N7922" s="17" t="s">
        <v>77</v>
      </c>
      <c r="V7922" s="18">
        <f>628121088303</f>
        <v>628121088303</v>
      </c>
    </row>
    <row r="7923" ht="15" customHeight="1" spans="1:22" x14ac:dyDescent="0.25">
      <c r="A7923" s="17" t="s">
        <v>22144</v>
      </c>
      <c r="B7923" s="17" t="s">
        <v>70</v>
      </c>
      <c r="C7923" s="17" t="s">
        <v>71</v>
      </c>
      <c r="D7923" t="s">
        <v>22143</v>
      </c>
      <c r="F7923" t="s">
        <v>22145</v>
      </c>
      <c r="K7923" s="18">
        <f>628111001832</f>
        <v>628111001832</v>
      </c>
      <c r="N7923" s="17" t="s">
        <v>77</v>
      </c>
      <c r="V7923" s="18">
        <f>628111001832</f>
        <v>628111001832</v>
      </c>
    </row>
    <row r="7924" ht="15" customHeight="1" spans="1:22" x14ac:dyDescent="0.25">
      <c r="A7924" s="17" t="s">
        <v>22146</v>
      </c>
      <c r="B7924" s="17" t="s">
        <v>70</v>
      </c>
      <c r="C7924" s="17" t="s">
        <v>71</v>
      </c>
      <c r="D7924" t="s">
        <v>22147</v>
      </c>
      <c r="F7924" t="s">
        <v>22147</v>
      </c>
      <c r="K7924" s="18">
        <f>628128385555</f>
        <v>628128385555</v>
      </c>
      <c r="N7924" s="17" t="s">
        <v>77</v>
      </c>
      <c r="V7924" s="18">
        <f>628128385555</f>
        <v>628128385555</v>
      </c>
    </row>
    <row r="7925" ht="15" customHeight="1" spans="1:28" x14ac:dyDescent="0.25">
      <c r="A7925" s="17" t="s">
        <v>22148</v>
      </c>
      <c r="B7925" s="17" t="s">
        <v>70</v>
      </c>
      <c r="C7925" s="17" t="s">
        <v>71</v>
      </c>
      <c r="D7925" t="s">
        <v>22149</v>
      </c>
      <c r="F7925" t="s">
        <v>282</v>
      </c>
      <c r="J7925" s="17" t="s">
        <v>22150</v>
      </c>
      <c r="K7925" s="18" t="s">
        <v>22151</v>
      </c>
      <c r="N7925" s="17" t="s">
        <v>74</v>
      </c>
      <c r="O7925" t="s">
        <v>261</v>
      </c>
      <c r="U7925" s="17"/>
      <c r="V7925" s="18" t="s">
        <v>22151</v>
      </c>
      <c r="W7925" t="s">
        <v>22152</v>
      </c>
      <c r="Y7925" t="s">
        <v>190</v>
      </c>
      <c r="AA7925" t="s">
        <v>118</v>
      </c>
      <c r="AB7925" t="s">
        <v>119</v>
      </c>
    </row>
    <row r="7926" ht="15" customHeight="1" spans="1:22" x14ac:dyDescent="0.25">
      <c r="A7926" s="17" t="s">
        <v>22153</v>
      </c>
      <c r="B7926" s="17" t="s">
        <v>70</v>
      </c>
      <c r="C7926" s="17" t="s">
        <v>71</v>
      </c>
      <c r="D7926" t="s">
        <v>22154</v>
      </c>
      <c r="F7926" t="s">
        <v>22154</v>
      </c>
      <c r="K7926" s="18">
        <f>6281510306127</f>
        <v>6281510306127</v>
      </c>
      <c r="N7926" s="17" t="s">
        <v>81</v>
      </c>
      <c r="V7926" s="18">
        <f>6281510306127</f>
        <v>6281510306127</v>
      </c>
    </row>
    <row r="7927" ht="15" customHeight="1" spans="1:22" x14ac:dyDescent="0.25">
      <c r="A7927" s="17" t="s">
        <v>22155</v>
      </c>
      <c r="B7927" s="17" t="s">
        <v>70</v>
      </c>
      <c r="C7927" s="17" t="s">
        <v>71</v>
      </c>
      <c r="D7927" t="s">
        <v>22156</v>
      </c>
      <c r="F7927" t="s">
        <v>9669</v>
      </c>
      <c r="K7927" s="18">
        <f>628129941327</f>
        <v>628129941327</v>
      </c>
      <c r="N7927" s="17" t="s">
        <v>77</v>
      </c>
      <c r="V7927" s="18">
        <f>628129941327</f>
        <v>628129941327</v>
      </c>
    </row>
    <row r="7928" ht="15" customHeight="1" spans="1:22" x14ac:dyDescent="0.25">
      <c r="A7928" s="17" t="s">
        <v>22157</v>
      </c>
      <c r="B7928" s="17" t="s">
        <v>70</v>
      </c>
      <c r="C7928" s="17" t="s">
        <v>71</v>
      </c>
      <c r="D7928" t="s">
        <v>22158</v>
      </c>
      <c r="F7928" t="s">
        <v>22158</v>
      </c>
      <c r="K7928" s="18">
        <f>6281519990008</f>
        <v>6281519990008</v>
      </c>
      <c r="N7928" s="17" t="s">
        <v>77</v>
      </c>
      <c r="V7928" s="18">
        <f>6281519990008</f>
        <v>6281519990008</v>
      </c>
    </row>
    <row r="7929" ht="15" customHeight="1" spans="1:22" x14ac:dyDescent="0.25">
      <c r="A7929" s="17" t="s">
        <v>22159</v>
      </c>
      <c r="B7929" s="17" t="s">
        <v>70</v>
      </c>
      <c r="C7929" s="17" t="s">
        <v>71</v>
      </c>
      <c r="D7929" t="s">
        <v>22158</v>
      </c>
      <c r="F7929" t="s">
        <v>22158</v>
      </c>
      <c r="K7929" s="18">
        <f>6289611777856</f>
        <v>6289611777856</v>
      </c>
      <c r="N7929" s="17" t="s">
        <v>81</v>
      </c>
      <c r="V7929" s="18">
        <f>6289611777856</f>
        <v>6289611777856</v>
      </c>
    </row>
    <row r="7930" ht="15" customHeight="1" spans="1:28" x14ac:dyDescent="0.25">
      <c r="A7930" s="17" t="s">
        <v>22160</v>
      </c>
      <c r="B7930" s="17" t="s">
        <v>70</v>
      </c>
      <c r="C7930" s="17" t="s">
        <v>71</v>
      </c>
      <c r="D7930" t="s">
        <v>22158</v>
      </c>
      <c r="F7930" t="s">
        <v>5061</v>
      </c>
      <c r="J7930" t="s">
        <v>22161</v>
      </c>
      <c r="K7930" s="18" t="s">
        <v>22162</v>
      </c>
      <c r="N7930" s="17" t="s">
        <v>77</v>
      </c>
      <c r="O7930" t="s">
        <v>117</v>
      </c>
      <c r="U7930" s="17"/>
      <c r="V7930" s="18" t="s">
        <v>22162</v>
      </c>
      <c r="W7930" t="s">
        <v>22163</v>
      </c>
      <c r="Y7930" t="s">
        <v>115</v>
      </c>
      <c r="AA7930" t="s">
        <v>115</v>
      </c>
      <c r="AB7930" t="s">
        <v>119</v>
      </c>
    </row>
    <row r="7931" ht="15" customHeight="1" spans="1:22" x14ac:dyDescent="0.25">
      <c r="A7931" s="17" t="s">
        <v>22164</v>
      </c>
      <c r="B7931" s="17" t="s">
        <v>70</v>
      </c>
      <c r="C7931" s="17" t="s">
        <v>71</v>
      </c>
      <c r="D7931" t="s">
        <v>22158</v>
      </c>
      <c r="F7931" t="s">
        <v>22165</v>
      </c>
      <c r="K7931" s="18">
        <f>280720225</f>
        <v>280720225</v>
      </c>
      <c r="N7931" s="17" t="s">
        <v>77</v>
      </c>
      <c r="V7931" s="18">
        <f>280720225</f>
        <v>280720225</v>
      </c>
    </row>
    <row r="7932" ht="15" customHeight="1" spans="1:28" x14ac:dyDescent="0.25">
      <c r="A7932" s="17" t="s">
        <v>22166</v>
      </c>
      <c r="B7932" s="17" t="s">
        <v>70</v>
      </c>
      <c r="C7932" s="17" t="s">
        <v>71</v>
      </c>
      <c r="D7932" t="s">
        <v>22158</v>
      </c>
      <c r="F7932" t="s">
        <v>22167</v>
      </c>
      <c r="J7932" t="s">
        <v>115</v>
      </c>
      <c r="K7932" s="18" t="s">
        <v>22168</v>
      </c>
      <c r="N7932" s="17" t="s">
        <v>81</v>
      </c>
      <c r="O7932" t="s">
        <v>145</v>
      </c>
      <c r="U7932" s="17"/>
      <c r="V7932" s="18" t="s">
        <v>22168</v>
      </c>
      <c r="W7932" t="s">
        <v>22169</v>
      </c>
      <c r="Y7932" t="s">
        <v>190</v>
      </c>
      <c r="AA7932" t="s">
        <v>118</v>
      </c>
      <c r="AB7932" t="s">
        <v>119</v>
      </c>
    </row>
    <row r="7933" ht="15" customHeight="1" spans="1:22" x14ac:dyDescent="0.25">
      <c r="A7933" s="17" t="s">
        <v>22170</v>
      </c>
      <c r="B7933" s="17" t="s">
        <v>70</v>
      </c>
      <c r="C7933" s="17" t="s">
        <v>71</v>
      </c>
      <c r="D7933" t="s">
        <v>22158</v>
      </c>
      <c r="F7933" t="s">
        <v>7846</v>
      </c>
      <c r="J7933" s="17" t="s">
        <v>22171</v>
      </c>
      <c r="K7933" s="18">
        <v>81295817256</v>
      </c>
      <c r="N7933" s="17" t="s">
        <v>77</v>
      </c>
      <c r="V7933" s="18">
        <v>81295817256</v>
      </c>
    </row>
    <row r="7934" ht="15" customHeight="1" spans="1:23" x14ac:dyDescent="0.25">
      <c r="A7934" s="17" t="s">
        <v>22172</v>
      </c>
      <c r="B7934" s="17" t="s">
        <v>70</v>
      </c>
      <c r="C7934" s="17" t="s">
        <v>71</v>
      </c>
      <c r="D7934" t="s">
        <v>22158</v>
      </c>
      <c r="F7934" t="s">
        <v>22173</v>
      </c>
      <c r="K7934" s="18">
        <f>61422881423</f>
        <v>61422881423</v>
      </c>
      <c r="N7934" s="17" t="s">
        <v>77</v>
      </c>
      <c r="U7934" s="17"/>
      <c r="V7934" s="18">
        <f>61422881423</f>
        <v>61422881423</v>
      </c>
      <c r="W7934" t="s">
        <v>1903</v>
      </c>
    </row>
    <row r="7935" ht="15" customHeight="1" spans="1:28" x14ac:dyDescent="0.25">
      <c r="A7935" s="17" t="s">
        <v>22174</v>
      </c>
      <c r="B7935" s="17" t="s">
        <v>70</v>
      </c>
      <c r="C7935" s="17" t="s">
        <v>71</v>
      </c>
      <c r="D7935" t="s">
        <v>22158</v>
      </c>
      <c r="F7935" t="s">
        <v>18062</v>
      </c>
      <c r="J7935" t="s">
        <v>115</v>
      </c>
      <c r="K7935" s="18" t="s">
        <v>22175</v>
      </c>
      <c r="N7935" s="17" t="s">
        <v>74</v>
      </c>
      <c r="O7935" t="s">
        <v>117</v>
      </c>
      <c r="V7935" s="18" t="s">
        <v>22175</v>
      </c>
      <c r="Y7935" t="s">
        <v>90</v>
      </c>
      <c r="AA7935" t="s">
        <v>118</v>
      </c>
      <c r="AB7935" t="s">
        <v>119</v>
      </c>
    </row>
    <row r="7936" ht="15" customHeight="1" spans="1:23" x14ac:dyDescent="0.25">
      <c r="A7936" s="17" t="s">
        <v>22176</v>
      </c>
      <c r="B7936" s="17" t="s">
        <v>70</v>
      </c>
      <c r="C7936" s="17" t="s">
        <v>71</v>
      </c>
      <c r="D7936" t="s">
        <v>22158</v>
      </c>
      <c r="F7936" t="s">
        <v>22177</v>
      </c>
      <c r="K7936" s="18">
        <f>62811347359</f>
        <v>62811347359</v>
      </c>
      <c r="N7936" s="17" t="s">
        <v>81</v>
      </c>
      <c r="U7936" s="17"/>
      <c r="V7936" s="18">
        <f>62811347359</f>
        <v>62811347359</v>
      </c>
      <c r="W7936" t="s">
        <v>22178</v>
      </c>
    </row>
    <row r="7937" ht="15" customHeight="1" spans="1:28" x14ac:dyDescent="0.25">
      <c r="A7937" s="17" t="s">
        <v>22179</v>
      </c>
      <c r="B7937" s="17" t="s">
        <v>70</v>
      </c>
      <c r="C7937" s="17" t="s">
        <v>71</v>
      </c>
      <c r="D7937" t="s">
        <v>22158</v>
      </c>
      <c r="F7937" t="s">
        <v>6082</v>
      </c>
      <c r="J7937" t="s">
        <v>115</v>
      </c>
      <c r="K7937" s="18" t="s">
        <v>22180</v>
      </c>
      <c r="N7937" s="17" t="s">
        <v>77</v>
      </c>
      <c r="O7937" t="s">
        <v>117</v>
      </c>
      <c r="U7937" s="17"/>
      <c r="V7937" s="18" t="s">
        <v>22180</v>
      </c>
      <c r="W7937" t="s">
        <v>22181</v>
      </c>
      <c r="Y7937" t="s">
        <v>115</v>
      </c>
      <c r="AA7937" t="s">
        <v>115</v>
      </c>
      <c r="AB7937" t="s">
        <v>119</v>
      </c>
    </row>
    <row r="7938" ht="15" customHeight="1" spans="1:23" x14ac:dyDescent="0.25">
      <c r="A7938" s="17" t="s">
        <v>22182</v>
      </c>
      <c r="B7938" s="17" t="s">
        <v>70</v>
      </c>
      <c r="C7938" s="17" t="s">
        <v>71</v>
      </c>
      <c r="D7938" t="s">
        <v>22183</v>
      </c>
      <c r="F7938" t="s">
        <v>22183</v>
      </c>
      <c r="K7938" s="18">
        <f>6287722277341</f>
        <v>6287722277341</v>
      </c>
      <c r="N7938" s="17" t="s">
        <v>81</v>
      </c>
      <c r="U7938" s="17"/>
      <c r="V7938" s="18">
        <f>6287722277341</f>
        <v>6287722277341</v>
      </c>
      <c r="W7938" t="s">
        <v>22184</v>
      </c>
    </row>
    <row r="7939" ht="15" customHeight="1" spans="1:28" x14ac:dyDescent="0.25">
      <c r="A7939" s="17" t="s">
        <v>22185</v>
      </c>
      <c r="B7939" s="17" t="s">
        <v>70</v>
      </c>
      <c r="C7939" s="17" t="s">
        <v>71</v>
      </c>
      <c r="D7939" t="s">
        <v>22183</v>
      </c>
      <c r="F7939" t="s">
        <v>22186</v>
      </c>
      <c r="J7939" s="17" t="s">
        <v>22187</v>
      </c>
      <c r="K7939" s="18" t="s">
        <v>22188</v>
      </c>
      <c r="N7939" s="17" t="s">
        <v>77</v>
      </c>
      <c r="O7939" t="s">
        <v>199</v>
      </c>
      <c r="U7939" s="17"/>
      <c r="V7939" s="18" t="s">
        <v>22188</v>
      </c>
      <c r="W7939" t="s">
        <v>22189</v>
      </c>
      <c r="Y7939" t="s">
        <v>90</v>
      </c>
      <c r="AA7939" s="17" t="s">
        <v>118</v>
      </c>
      <c r="AB7939" t="s">
        <v>119</v>
      </c>
    </row>
    <row r="7940" ht="15" customHeight="1" spans="1:22" x14ac:dyDescent="0.25">
      <c r="A7940" s="17" t="s">
        <v>22190</v>
      </c>
      <c r="B7940" s="17" t="s">
        <v>70</v>
      </c>
      <c r="C7940" s="17" t="s">
        <v>71</v>
      </c>
      <c r="D7940" t="s">
        <v>22183</v>
      </c>
      <c r="F7940" t="s">
        <v>22191</v>
      </c>
      <c r="K7940" s="18">
        <f>6287877781199</f>
        <v>6287877781199</v>
      </c>
      <c r="N7940" s="17" t="s">
        <v>81</v>
      </c>
      <c r="V7940" s="18">
        <f>6287877781199</f>
        <v>6287877781199</v>
      </c>
    </row>
    <row r="7941" ht="15" customHeight="1" spans="1:22" x14ac:dyDescent="0.25">
      <c r="A7941" s="17" t="s">
        <v>22192</v>
      </c>
      <c r="B7941" s="17" t="s">
        <v>70</v>
      </c>
      <c r="C7941" s="17" t="s">
        <v>71</v>
      </c>
      <c r="D7941" t="s">
        <v>17228</v>
      </c>
      <c r="F7941" t="s">
        <v>17228</v>
      </c>
      <c r="K7941" s="18">
        <f>6281294982877</f>
        <v>6281294982877</v>
      </c>
      <c r="N7941" s="17" t="s">
        <v>77</v>
      </c>
      <c r="V7941" s="18">
        <f>6281294982877</f>
        <v>6281294982877</v>
      </c>
    </row>
    <row r="7942" ht="15" customHeight="1" spans="1:27" x14ac:dyDescent="0.25">
      <c r="A7942" s="17" t="s">
        <v>22193</v>
      </c>
      <c r="B7942" s="17" t="s">
        <v>70</v>
      </c>
      <c r="C7942" s="17" t="s">
        <v>71</v>
      </c>
      <c r="D7942" t="s">
        <v>17228</v>
      </c>
      <c r="F7942" t="s">
        <v>184</v>
      </c>
      <c r="J7942" s="17" t="s">
        <v>22194</v>
      </c>
      <c r="K7942" s="18">
        <f>6287852480717</f>
        <v>6287852480717</v>
      </c>
      <c r="N7942" s="17" t="s">
        <v>77</v>
      </c>
      <c r="U7942" s="17"/>
      <c r="V7942" s="18">
        <f>6287852480717</f>
        <v>6287852480717</v>
      </c>
      <c r="W7942" t="s">
        <v>22195</v>
      </c>
      <c r="Y7942" s="17" t="s">
        <v>704</v>
      </c>
      <c r="AA7942" s="17">
        <v>60119</v>
      </c>
    </row>
    <row r="7943" ht="15" customHeight="1" spans="1:22" x14ac:dyDescent="0.25">
      <c r="A7943" s="17" t="s">
        <v>22196</v>
      </c>
      <c r="B7943" s="17" t="s">
        <v>70</v>
      </c>
      <c r="C7943" s="17" t="s">
        <v>71</v>
      </c>
      <c r="D7943" t="s">
        <v>9454</v>
      </c>
      <c r="F7943" t="s">
        <v>6671</v>
      </c>
      <c r="K7943" s="18">
        <f>62811827608</f>
        <v>62811827608</v>
      </c>
      <c r="N7943" s="17" t="s">
        <v>77</v>
      </c>
      <c r="V7943" s="18">
        <f>62811827608</f>
        <v>62811827608</v>
      </c>
    </row>
    <row r="7944" ht="15" customHeight="1" spans="1:28" x14ac:dyDescent="0.25">
      <c r="A7944" s="17" t="s">
        <v>22197</v>
      </c>
      <c r="B7944" s="17" t="s">
        <v>70</v>
      </c>
      <c r="C7944" s="17" t="s">
        <v>71</v>
      </c>
      <c r="D7944" t="s">
        <v>22198</v>
      </c>
      <c r="F7944" t="s">
        <v>3920</v>
      </c>
      <c r="J7944" s="17" t="s">
        <v>22199</v>
      </c>
      <c r="K7944" s="18" t="s">
        <v>22200</v>
      </c>
      <c r="N7944" s="17" t="s">
        <v>77</v>
      </c>
      <c r="O7944" t="s">
        <v>145</v>
      </c>
      <c r="V7944" s="18" t="s">
        <v>22200</v>
      </c>
      <c r="Y7944" s="17" t="s">
        <v>1909</v>
      </c>
      <c r="AA7944" t="s">
        <v>115</v>
      </c>
      <c r="AB7944" t="s">
        <v>1909</v>
      </c>
    </row>
    <row r="7945" ht="15" customHeight="1" spans="1:22" x14ac:dyDescent="0.25">
      <c r="A7945" s="17" t="s">
        <v>22201</v>
      </c>
      <c r="B7945" s="17" t="s">
        <v>70</v>
      </c>
      <c r="C7945" s="17" t="s">
        <v>71</v>
      </c>
      <c r="D7945" t="s">
        <v>22202</v>
      </c>
      <c r="F7945" t="s">
        <v>22202</v>
      </c>
      <c r="K7945" s="18">
        <f>62811883378</f>
        <v>62811883378</v>
      </c>
      <c r="N7945" s="17" t="s">
        <v>81</v>
      </c>
      <c r="V7945" s="18">
        <f>62811883378</f>
        <v>62811883378</v>
      </c>
    </row>
    <row r="7946" ht="15" customHeight="1" spans="1:28" x14ac:dyDescent="0.25">
      <c r="A7946" s="17" t="s">
        <v>22203</v>
      </c>
      <c r="B7946" s="17" t="s">
        <v>70</v>
      </c>
      <c r="C7946" s="17" t="s">
        <v>71</v>
      </c>
      <c r="D7946" t="s">
        <v>22202</v>
      </c>
      <c r="F7946" t="s">
        <v>3962</v>
      </c>
      <c r="J7946" t="s">
        <v>115</v>
      </c>
      <c r="K7946" s="18" t="s">
        <v>22204</v>
      </c>
      <c r="N7946" s="17" t="s">
        <v>81</v>
      </c>
      <c r="O7946" t="s">
        <v>117</v>
      </c>
      <c r="V7946" s="18" t="s">
        <v>22204</v>
      </c>
      <c r="Y7946" t="s">
        <v>190</v>
      </c>
      <c r="AA7946" t="s">
        <v>118</v>
      </c>
      <c r="AB7946" t="s">
        <v>119</v>
      </c>
    </row>
    <row r="7947" ht="15" customHeight="1" spans="1:28" x14ac:dyDescent="0.25">
      <c r="A7947" s="17" t="s">
        <v>22205</v>
      </c>
      <c r="B7947" s="17" t="s">
        <v>70</v>
      </c>
      <c r="C7947" s="17" t="s">
        <v>71</v>
      </c>
      <c r="D7947" t="s">
        <v>22202</v>
      </c>
      <c r="F7947" t="s">
        <v>548</v>
      </c>
      <c r="J7947" t="s">
        <v>115</v>
      </c>
      <c r="K7947" s="18" t="s">
        <v>22206</v>
      </c>
      <c r="N7947" s="17" t="s">
        <v>74</v>
      </c>
      <c r="O7947" t="s">
        <v>117</v>
      </c>
      <c r="U7947" s="17"/>
      <c r="V7947" s="18" t="s">
        <v>22206</v>
      </c>
      <c r="W7947" t="s">
        <v>22207</v>
      </c>
      <c r="Y7947" t="s">
        <v>90</v>
      </c>
      <c r="AA7947" t="s">
        <v>118</v>
      </c>
      <c r="AB7947" t="s">
        <v>119</v>
      </c>
    </row>
    <row r="7948" ht="15" customHeight="1" spans="1:27" x14ac:dyDescent="0.25">
      <c r="A7948" s="17" t="s">
        <v>22208</v>
      </c>
      <c r="B7948" s="17" t="s">
        <v>70</v>
      </c>
      <c r="C7948" s="17" t="s">
        <v>71</v>
      </c>
      <c r="D7948" t="s">
        <v>22202</v>
      </c>
      <c r="F7948" t="s">
        <v>22209</v>
      </c>
      <c r="J7948" s="17" t="s">
        <v>22210</v>
      </c>
      <c r="K7948" s="18">
        <f>628111553111</f>
        <v>628111553111</v>
      </c>
      <c r="N7948" s="17" t="s">
        <v>77</v>
      </c>
      <c r="U7948" s="17"/>
      <c r="V7948" s="18">
        <f>628111553111</f>
        <v>628111553111</v>
      </c>
      <c r="W7948" t="s">
        <v>22211</v>
      </c>
      <c r="Y7948" s="17" t="s">
        <v>90</v>
      </c>
      <c r="AA7948" s="17">
        <v>10320</v>
      </c>
    </row>
    <row r="7949" ht="15" customHeight="1" spans="1:22" x14ac:dyDescent="0.25">
      <c r="A7949" s="17" t="s">
        <v>22212</v>
      </c>
      <c r="B7949" s="17" t="s">
        <v>70</v>
      </c>
      <c r="C7949" s="17" t="s">
        <v>71</v>
      </c>
      <c r="D7949" t="s">
        <v>22202</v>
      </c>
      <c r="F7949" t="s">
        <v>2184</v>
      </c>
      <c r="K7949" s="18">
        <f>6281212884558</f>
        <v>6281212884558</v>
      </c>
      <c r="N7949" s="17" t="s">
        <v>77</v>
      </c>
      <c r="V7949" s="18">
        <f>6281212884558</f>
        <v>6281212884558</v>
      </c>
    </row>
    <row r="7950" ht="15" customHeight="1" spans="1:22" x14ac:dyDescent="0.25">
      <c r="A7950" s="17" t="s">
        <v>22213</v>
      </c>
      <c r="B7950" s="17" t="s">
        <v>70</v>
      </c>
      <c r="C7950" s="17" t="s">
        <v>71</v>
      </c>
      <c r="D7950" t="s">
        <v>22202</v>
      </c>
      <c r="F7950" t="s">
        <v>2184</v>
      </c>
      <c r="K7950" s="18">
        <f>6282153752510</f>
        <v>6282153752510</v>
      </c>
      <c r="N7950" s="17" t="s">
        <v>81</v>
      </c>
      <c r="V7950" s="18">
        <f>6282153752510</f>
        <v>6282153752510</v>
      </c>
    </row>
    <row r="7951" ht="15" customHeight="1" spans="1:22" x14ac:dyDescent="0.25">
      <c r="A7951" s="17" t="s">
        <v>22214</v>
      </c>
      <c r="B7951" s="17" t="s">
        <v>70</v>
      </c>
      <c r="C7951" s="17" t="s">
        <v>71</v>
      </c>
      <c r="D7951" t="s">
        <v>22215</v>
      </c>
      <c r="F7951" t="s">
        <v>22215</v>
      </c>
      <c r="K7951" s="18">
        <f>628119894679</f>
        <v>628119894679</v>
      </c>
      <c r="N7951" s="17" t="s">
        <v>81</v>
      </c>
      <c r="V7951" s="18">
        <f>628119894679</f>
        <v>628119894679</v>
      </c>
    </row>
    <row r="7952" ht="15" customHeight="1" spans="1:28" x14ac:dyDescent="0.25">
      <c r="A7952" s="17" t="s">
        <v>22216</v>
      </c>
      <c r="B7952" s="17" t="s">
        <v>70</v>
      </c>
      <c r="C7952" s="17" t="s">
        <v>71</v>
      </c>
      <c r="D7952" t="s">
        <v>22217</v>
      </c>
      <c r="F7952" t="s">
        <v>22218</v>
      </c>
      <c r="J7952" t="s">
        <v>115</v>
      </c>
      <c r="K7952" s="18" t="s">
        <v>22219</v>
      </c>
      <c r="N7952" s="17" t="s">
        <v>77</v>
      </c>
      <c r="O7952" t="s">
        <v>145</v>
      </c>
      <c r="V7952" s="18" t="s">
        <v>22219</v>
      </c>
      <c r="Y7952" s="17" t="s">
        <v>14865</v>
      </c>
      <c r="AA7952" t="s">
        <v>115</v>
      </c>
      <c r="AB7952" t="s">
        <v>119</v>
      </c>
    </row>
    <row r="7953" ht="15" customHeight="1" spans="1:22" x14ac:dyDescent="0.25">
      <c r="A7953" s="17" t="s">
        <v>22220</v>
      </c>
      <c r="B7953" s="17" t="s">
        <v>70</v>
      </c>
      <c r="C7953" s="17" t="s">
        <v>71</v>
      </c>
      <c r="D7953" t="s">
        <v>22221</v>
      </c>
      <c r="F7953" t="s">
        <v>22221</v>
      </c>
      <c r="K7953" s="18">
        <f>628128500632</f>
        <v>628128500632</v>
      </c>
      <c r="N7953" s="17" t="s">
        <v>81</v>
      </c>
      <c r="V7953" s="18">
        <f>628128500632</f>
        <v>628128500632</v>
      </c>
    </row>
    <row r="7954" ht="15" customHeight="1" spans="1:28" x14ac:dyDescent="0.25">
      <c r="A7954" s="17" t="s">
        <v>22222</v>
      </c>
      <c r="B7954" s="17" t="s">
        <v>70</v>
      </c>
      <c r="C7954" s="17" t="s">
        <v>71</v>
      </c>
      <c r="D7954" t="s">
        <v>19775</v>
      </c>
      <c r="F7954" t="s">
        <v>3858</v>
      </c>
      <c r="J7954" t="s">
        <v>115</v>
      </c>
      <c r="K7954" s="18" t="s">
        <v>22223</v>
      </c>
      <c r="N7954" s="17" t="s">
        <v>77</v>
      </c>
      <c r="O7954" t="s">
        <v>117</v>
      </c>
      <c r="V7954" s="18" t="s">
        <v>22223</v>
      </c>
      <c r="Y7954" t="s">
        <v>181</v>
      </c>
      <c r="AA7954" t="s">
        <v>1672</v>
      </c>
      <c r="AB7954" t="s">
        <v>119</v>
      </c>
    </row>
    <row r="7955" ht="15" customHeight="1" spans="1:25" x14ac:dyDescent="0.25">
      <c r="A7955" s="17" t="s">
        <v>22224</v>
      </c>
      <c r="B7955" s="17" t="s">
        <v>70</v>
      </c>
      <c r="C7955" s="17" t="s">
        <v>71</v>
      </c>
      <c r="D7955" t="s">
        <v>19775</v>
      </c>
      <c r="F7955" t="s">
        <v>9888</v>
      </c>
      <c r="K7955" s="18">
        <f>6281290476561</f>
        <v>6281290476561</v>
      </c>
      <c r="N7955" s="17" t="s">
        <v>81</v>
      </c>
      <c r="U7955" s="17"/>
      <c r="V7955" s="18">
        <f>6281290476561</f>
        <v>6281290476561</v>
      </c>
      <c r="W7955" t="s">
        <v>22225</v>
      </c>
      <c r="Y7955" s="17" t="s">
        <v>96</v>
      </c>
    </row>
    <row r="7956" ht="15" customHeight="1" spans="1:23" x14ac:dyDescent="0.25">
      <c r="A7956" s="17" t="s">
        <v>22226</v>
      </c>
      <c r="B7956" s="17" t="s">
        <v>70</v>
      </c>
      <c r="C7956" s="17" t="s">
        <v>71</v>
      </c>
      <c r="D7956" t="s">
        <v>19775</v>
      </c>
      <c r="F7956" t="s">
        <v>2258</v>
      </c>
      <c r="K7956" s="18">
        <f>6285282221333</f>
        <v>6285282221333</v>
      </c>
      <c r="N7956" s="17" t="s">
        <v>77</v>
      </c>
      <c r="U7956" s="17"/>
      <c r="V7956" s="18">
        <f>6285282221333</f>
        <v>6285282221333</v>
      </c>
      <c r="W7956" t="s">
        <v>90</v>
      </c>
    </row>
    <row r="7957" ht="15" customHeight="1" spans="1:28" x14ac:dyDescent="0.25">
      <c r="A7957" s="17" t="s">
        <v>22227</v>
      </c>
      <c r="B7957" s="17" t="s">
        <v>70</v>
      </c>
      <c r="C7957" s="17" t="s">
        <v>71</v>
      </c>
      <c r="D7957" t="s">
        <v>19775</v>
      </c>
      <c r="F7957" t="s">
        <v>22228</v>
      </c>
      <c r="J7957" t="s">
        <v>115</v>
      </c>
      <c r="K7957" s="18" t="s">
        <v>22229</v>
      </c>
      <c r="N7957" s="17" t="s">
        <v>77</v>
      </c>
      <c r="O7957" t="s">
        <v>117</v>
      </c>
      <c r="V7957" s="18" t="s">
        <v>22229</v>
      </c>
      <c r="Y7957" t="s">
        <v>115</v>
      </c>
      <c r="AA7957" t="s">
        <v>115</v>
      </c>
      <c r="AB7957" t="s">
        <v>119</v>
      </c>
    </row>
    <row r="7958" ht="15" customHeight="1" spans="1:25" x14ac:dyDescent="0.25">
      <c r="A7958" s="17" t="s">
        <v>22230</v>
      </c>
      <c r="B7958" s="17" t="s">
        <v>70</v>
      </c>
      <c r="C7958" s="17" t="s">
        <v>71</v>
      </c>
      <c r="D7958" t="s">
        <v>22231</v>
      </c>
      <c r="F7958" t="s">
        <v>22232</v>
      </c>
      <c r="J7958" s="17" t="s">
        <v>22233</v>
      </c>
      <c r="K7958" s="18">
        <v>411323343</v>
      </c>
      <c r="N7958" s="17" t="s">
        <v>77</v>
      </c>
      <c r="U7958" s="17"/>
      <c r="V7958" s="18">
        <v>411323343</v>
      </c>
      <c r="W7958" t="s">
        <v>22234</v>
      </c>
      <c r="Y7958" s="17" t="s">
        <v>78</v>
      </c>
    </row>
    <row r="7959" ht="15" customHeight="1" spans="1:22" x14ac:dyDescent="0.25">
      <c r="A7959" s="17" t="s">
        <v>22235</v>
      </c>
      <c r="B7959" s="17" t="s">
        <v>70</v>
      </c>
      <c r="C7959" s="17" t="s">
        <v>71</v>
      </c>
      <c r="D7959" t="s">
        <v>22236</v>
      </c>
      <c r="F7959" t="s">
        <v>13011</v>
      </c>
      <c r="K7959" s="18">
        <f>6287784059883</f>
        <v>6287784059883</v>
      </c>
      <c r="N7959" s="17" t="s">
        <v>77</v>
      </c>
      <c r="V7959" s="18">
        <f>6287784059883</f>
        <v>6287784059883</v>
      </c>
    </row>
    <row r="7960" ht="15" customHeight="1" spans="1:22" x14ac:dyDescent="0.25">
      <c r="A7960" s="17" t="s">
        <v>22237</v>
      </c>
      <c r="B7960" s="17" t="s">
        <v>70</v>
      </c>
      <c r="C7960" s="17" t="s">
        <v>71</v>
      </c>
      <c r="D7960" t="s">
        <v>22238</v>
      </c>
      <c r="F7960" t="s">
        <v>22239</v>
      </c>
      <c r="K7960" s="18">
        <f>818069477476</f>
        <v>818069477476</v>
      </c>
      <c r="N7960" s="17" t="s">
        <v>77</v>
      </c>
      <c r="V7960" s="18">
        <f>818069477476</f>
        <v>818069477476</v>
      </c>
    </row>
    <row r="7961" ht="15" customHeight="1" spans="1:28" x14ac:dyDescent="0.25">
      <c r="A7961" s="17" t="s">
        <v>22240</v>
      </c>
      <c r="B7961" s="17" t="s">
        <v>70</v>
      </c>
      <c r="C7961" s="17" t="s">
        <v>71</v>
      </c>
      <c r="D7961" t="s">
        <v>4664</v>
      </c>
      <c r="F7961" t="s">
        <v>22241</v>
      </c>
      <c r="J7961" t="s">
        <v>22242</v>
      </c>
      <c r="K7961" s="18" t="s">
        <v>22243</v>
      </c>
      <c r="N7961" s="17" t="s">
        <v>81</v>
      </c>
      <c r="O7961" t="s">
        <v>261</v>
      </c>
      <c r="V7961" s="18" t="s">
        <v>22243</v>
      </c>
      <c r="Y7961" t="s">
        <v>3028</v>
      </c>
      <c r="AA7961" t="s">
        <v>9062</v>
      </c>
      <c r="AB7961" t="s">
        <v>119</v>
      </c>
    </row>
    <row r="7962" ht="15" customHeight="1" spans="1:28" x14ac:dyDescent="0.25">
      <c r="A7962" s="17" t="s">
        <v>22244</v>
      </c>
      <c r="B7962" s="17" t="s">
        <v>70</v>
      </c>
      <c r="C7962" s="17" t="s">
        <v>71</v>
      </c>
      <c r="D7962" t="s">
        <v>22245</v>
      </c>
      <c r="F7962" t="s">
        <v>22246</v>
      </c>
      <c r="J7962" s="17" t="s">
        <v>22247</v>
      </c>
      <c r="K7962" s="18" t="s">
        <v>22248</v>
      </c>
      <c r="N7962" s="17" t="s">
        <v>77</v>
      </c>
      <c r="O7962" t="s">
        <v>489</v>
      </c>
      <c r="U7962" s="17"/>
      <c r="V7962" s="18" t="s">
        <v>22248</v>
      </c>
      <c r="W7962" t="s">
        <v>3140</v>
      </c>
      <c r="Y7962" t="s">
        <v>115</v>
      </c>
      <c r="AA7962" t="s">
        <v>115</v>
      </c>
      <c r="AB7962" t="s">
        <v>3140</v>
      </c>
    </row>
    <row r="7963" ht="15" customHeight="1" spans="1:23" x14ac:dyDescent="0.25">
      <c r="A7963" s="17" t="s">
        <v>22249</v>
      </c>
      <c r="B7963" s="17" t="s">
        <v>70</v>
      </c>
      <c r="C7963" s="17" t="s">
        <v>71</v>
      </c>
      <c r="D7963" t="s">
        <v>22250</v>
      </c>
      <c r="F7963" t="s">
        <v>22250</v>
      </c>
      <c r="K7963" s="18">
        <f>13036198856</f>
        <v>13036198856</v>
      </c>
      <c r="N7963" s="17" t="s">
        <v>81</v>
      </c>
      <c r="U7963" s="17"/>
      <c r="V7963" s="18">
        <f>13036198856</f>
        <v>13036198856</v>
      </c>
      <c r="W7963" t="s">
        <v>22251</v>
      </c>
    </row>
    <row r="7964" ht="15" customHeight="1" spans="1:28" x14ac:dyDescent="0.25">
      <c r="A7964" s="17" t="s">
        <v>22252</v>
      </c>
      <c r="B7964" s="17" t="s">
        <v>70</v>
      </c>
      <c r="C7964" s="17" t="s">
        <v>71</v>
      </c>
      <c r="D7964" t="s">
        <v>22253</v>
      </c>
      <c r="F7964" t="s">
        <v>1070</v>
      </c>
      <c r="J7964" t="s">
        <v>22254</v>
      </c>
      <c r="K7964" s="18" t="s">
        <v>22255</v>
      </c>
      <c r="N7964" s="17" t="s">
        <v>77</v>
      </c>
      <c r="O7964" t="s">
        <v>199</v>
      </c>
      <c r="U7964" s="17"/>
      <c r="V7964" s="18" t="s">
        <v>22255</v>
      </c>
      <c r="W7964" t="s">
        <v>22256</v>
      </c>
      <c r="Y7964" s="17" t="s">
        <v>190</v>
      </c>
      <c r="AA7964" t="s">
        <v>118</v>
      </c>
      <c r="AB7964" t="s">
        <v>119</v>
      </c>
    </row>
    <row r="7965" ht="15" customHeight="1" spans="1:25" x14ac:dyDescent="0.25">
      <c r="A7965" s="17" t="s">
        <v>22257</v>
      </c>
      <c r="B7965" s="17" t="s">
        <v>70</v>
      </c>
      <c r="C7965" s="17" t="s">
        <v>71</v>
      </c>
      <c r="D7965" t="s">
        <v>22258</v>
      </c>
      <c r="F7965" t="s">
        <v>22258</v>
      </c>
      <c r="K7965" s="18">
        <f>6287888190707</f>
        <v>6287888190707</v>
      </c>
      <c r="N7965" s="17" t="s">
        <v>77</v>
      </c>
      <c r="U7965" s="17"/>
      <c r="V7965" s="18">
        <f>6287888190707</f>
        <v>6287888190707</v>
      </c>
      <c r="W7965" t="s">
        <v>22259</v>
      </c>
      <c r="Y7965" s="17" t="s">
        <v>4054</v>
      </c>
    </row>
    <row r="7966" ht="15" customHeight="1" spans="1:28" x14ac:dyDescent="0.25">
      <c r="A7966" s="17" t="s">
        <v>22260</v>
      </c>
      <c r="B7966" s="17" t="s">
        <v>70</v>
      </c>
      <c r="C7966" s="17" t="s">
        <v>71</v>
      </c>
      <c r="D7966" t="s">
        <v>1676</v>
      </c>
      <c r="F7966" t="s">
        <v>22261</v>
      </c>
      <c r="J7966" t="s">
        <v>115</v>
      </c>
      <c r="K7966" s="18" t="s">
        <v>22262</v>
      </c>
      <c r="N7966" s="17" t="s">
        <v>77</v>
      </c>
      <c r="O7966" t="s">
        <v>199</v>
      </c>
      <c r="V7966" s="18" t="s">
        <v>22262</v>
      </c>
      <c r="Y7966" t="s">
        <v>181</v>
      </c>
      <c r="AA7966" t="s">
        <v>1672</v>
      </c>
      <c r="AB7966" t="s">
        <v>2605</v>
      </c>
    </row>
    <row r="7967" ht="15" customHeight="1" spans="1:25" x14ac:dyDescent="0.25">
      <c r="A7967" s="17" t="s">
        <v>22263</v>
      </c>
      <c r="B7967" s="17" t="s">
        <v>70</v>
      </c>
      <c r="C7967" s="17" t="s">
        <v>71</v>
      </c>
      <c r="D7967" t="s">
        <v>22264</v>
      </c>
      <c r="F7967" t="s">
        <v>22265</v>
      </c>
      <c r="K7967" s="18">
        <f>6285835358989</f>
        <v>6285835358989</v>
      </c>
      <c r="N7967" s="17" t="s">
        <v>81</v>
      </c>
      <c r="U7967" s="17"/>
      <c r="V7967" s="18">
        <f>6285835358989</f>
        <v>6285835358989</v>
      </c>
      <c r="W7967" t="s">
        <v>22266</v>
      </c>
      <c r="Y7967" s="17" t="s">
        <v>1084</v>
      </c>
    </row>
    <row r="7968" ht="15" customHeight="1" spans="1:28" x14ac:dyDescent="0.25">
      <c r="A7968" s="17" t="s">
        <v>22267</v>
      </c>
      <c r="B7968" s="17" t="s">
        <v>70</v>
      </c>
      <c r="C7968" s="17" t="s">
        <v>71</v>
      </c>
      <c r="D7968" t="s">
        <v>22268</v>
      </c>
      <c r="F7968" t="s">
        <v>22268</v>
      </c>
      <c r="J7968" s="17" t="s">
        <v>22269</v>
      </c>
      <c r="K7968" s="18" t="s">
        <v>22270</v>
      </c>
      <c r="N7968" s="17" t="s">
        <v>77</v>
      </c>
      <c r="O7968" t="s">
        <v>261</v>
      </c>
      <c r="U7968" s="17"/>
      <c r="V7968" s="18" t="s">
        <v>22270</v>
      </c>
      <c r="W7968" t="s">
        <v>22271</v>
      </c>
      <c r="Y7968" s="17" t="s">
        <v>90</v>
      </c>
      <c r="AA7968" s="17" t="s">
        <v>118</v>
      </c>
      <c r="AB7968" t="s">
        <v>119</v>
      </c>
    </row>
    <row r="7969" ht="15" customHeight="1" spans="1:22" x14ac:dyDescent="0.25">
      <c r="A7969" s="17" t="s">
        <v>22272</v>
      </c>
      <c r="B7969" s="17" t="s">
        <v>70</v>
      </c>
      <c r="C7969" s="17" t="s">
        <v>71</v>
      </c>
      <c r="D7969" t="s">
        <v>22273</v>
      </c>
      <c r="F7969" t="s">
        <v>2511</v>
      </c>
      <c r="K7969" s="18">
        <f>6281322299552</f>
        <v>6281322299552</v>
      </c>
      <c r="N7969" s="17" t="s">
        <v>81</v>
      </c>
      <c r="V7969" s="18">
        <f>6281322299552</f>
        <v>6281322299552</v>
      </c>
    </row>
    <row r="7970" ht="15" customHeight="1" spans="1:28" x14ac:dyDescent="0.25">
      <c r="A7970" s="17" t="s">
        <v>22274</v>
      </c>
      <c r="B7970" s="17" t="s">
        <v>70</v>
      </c>
      <c r="C7970" s="17" t="s">
        <v>71</v>
      </c>
      <c r="D7970" t="s">
        <v>22275</v>
      </c>
      <c r="F7970" t="s">
        <v>22276</v>
      </c>
      <c r="J7970" s="17" t="s">
        <v>22277</v>
      </c>
      <c r="K7970" s="18" t="s">
        <v>22278</v>
      </c>
      <c r="N7970" s="17" t="s">
        <v>74</v>
      </c>
      <c r="O7970" t="s">
        <v>145</v>
      </c>
      <c r="U7970" s="17"/>
      <c r="V7970" s="18" t="s">
        <v>22278</v>
      </c>
      <c r="W7970" t="s">
        <v>22279</v>
      </c>
      <c r="Y7970" t="s">
        <v>397</v>
      </c>
      <c r="AA7970" t="s">
        <v>1199</v>
      </c>
      <c r="AB7970" t="s">
        <v>119</v>
      </c>
    </row>
    <row r="7971" ht="15" customHeight="1" spans="1:22" x14ac:dyDescent="0.25">
      <c r="A7971" s="17" t="s">
        <v>22280</v>
      </c>
      <c r="B7971" s="17" t="s">
        <v>70</v>
      </c>
      <c r="C7971" s="17" t="s">
        <v>71</v>
      </c>
      <c r="D7971" t="s">
        <v>22281</v>
      </c>
      <c r="F7971" t="s">
        <v>22282</v>
      </c>
      <c r="K7971" s="18">
        <f>6285792768395</f>
        <v>6285792768395</v>
      </c>
      <c r="N7971" s="17" t="s">
        <v>77</v>
      </c>
      <c r="V7971" s="18">
        <f>6285792768395</f>
        <v>6285792768395</v>
      </c>
    </row>
    <row r="7972" ht="15" customHeight="1" spans="1:22" x14ac:dyDescent="0.25">
      <c r="A7972" s="17" t="s">
        <v>22283</v>
      </c>
      <c r="B7972" s="17" t="s">
        <v>70</v>
      </c>
      <c r="C7972" s="17" t="s">
        <v>71</v>
      </c>
      <c r="D7972" t="s">
        <v>22281</v>
      </c>
      <c r="F7972" t="s">
        <v>615</v>
      </c>
      <c r="K7972" s="18">
        <f>6281193974</f>
        <v>6281193974</v>
      </c>
      <c r="N7972" s="17" t="s">
        <v>77</v>
      </c>
      <c r="V7972" s="18">
        <f>6281193974</f>
        <v>6281193974</v>
      </c>
    </row>
    <row r="7973" ht="15" customHeight="1" spans="1:22" x14ac:dyDescent="0.25">
      <c r="A7973" s="17" t="s">
        <v>22284</v>
      </c>
      <c r="B7973" s="17" t="s">
        <v>70</v>
      </c>
      <c r="C7973" s="17" t="s">
        <v>71</v>
      </c>
      <c r="D7973" t="s">
        <v>22285</v>
      </c>
      <c r="F7973" t="s">
        <v>22285</v>
      </c>
      <c r="K7973" s="18">
        <f>62818520099</f>
        <v>62818520099</v>
      </c>
      <c r="N7973" s="17" t="s">
        <v>74</v>
      </c>
      <c r="V7973" s="18">
        <f>62818520099</f>
        <v>62818520099</v>
      </c>
    </row>
    <row r="7974" ht="15" customHeight="1" spans="1:23" x14ac:dyDescent="0.25">
      <c r="A7974" s="17" t="s">
        <v>22286</v>
      </c>
      <c r="B7974" s="17" t="s">
        <v>70</v>
      </c>
      <c r="C7974" s="17" t="s">
        <v>71</v>
      </c>
      <c r="D7974" t="s">
        <v>22285</v>
      </c>
      <c r="F7974" t="s">
        <v>22285</v>
      </c>
      <c r="J7974" s="17" t="s">
        <v>22287</v>
      </c>
      <c r="K7974" s="18">
        <f>6281297376659</f>
        <v>6281297376659</v>
      </c>
      <c r="N7974" s="17" t="s">
        <v>81</v>
      </c>
      <c r="U7974" s="17"/>
      <c r="V7974" s="18">
        <f>6281297376659</f>
        <v>6281297376659</v>
      </c>
      <c r="W7974" t="s">
        <v>22288</v>
      </c>
    </row>
    <row r="7975" ht="15" customHeight="1" spans="1:28" x14ac:dyDescent="0.25">
      <c r="A7975" s="17" t="s">
        <v>22289</v>
      </c>
      <c r="B7975" s="17" t="s">
        <v>70</v>
      </c>
      <c r="C7975" s="17" t="s">
        <v>71</v>
      </c>
      <c r="D7975" t="s">
        <v>22285</v>
      </c>
      <c r="F7975" t="s">
        <v>22285</v>
      </c>
      <c r="J7975" t="s">
        <v>115</v>
      </c>
      <c r="K7975" s="18" t="s">
        <v>22290</v>
      </c>
      <c r="N7975" s="17" t="s">
        <v>77</v>
      </c>
      <c r="O7975" t="s">
        <v>117</v>
      </c>
      <c r="V7975" s="18" t="s">
        <v>22290</v>
      </c>
      <c r="Y7975" t="s">
        <v>704</v>
      </c>
      <c r="AA7975" t="s">
        <v>705</v>
      </c>
      <c r="AB7975" t="s">
        <v>119</v>
      </c>
    </row>
    <row r="7976" ht="15" customHeight="1" spans="1:22" x14ac:dyDescent="0.25">
      <c r="A7976" s="17" t="s">
        <v>22291</v>
      </c>
      <c r="B7976" s="17" t="s">
        <v>70</v>
      </c>
      <c r="C7976" s="17" t="s">
        <v>71</v>
      </c>
      <c r="D7976" t="s">
        <v>22285</v>
      </c>
      <c r="F7976" t="s">
        <v>22292</v>
      </c>
      <c r="K7976" s="18">
        <f>628111907733</f>
        <v>628111907733</v>
      </c>
      <c r="N7976" s="17" t="s">
        <v>81</v>
      </c>
      <c r="V7976" s="18">
        <f>628111907733</f>
        <v>628111907733</v>
      </c>
    </row>
    <row r="7977" ht="15" customHeight="1" spans="1:23" x14ac:dyDescent="0.25">
      <c r="A7977" s="17" t="s">
        <v>22293</v>
      </c>
      <c r="B7977" s="17" t="s">
        <v>70</v>
      </c>
      <c r="C7977" s="17" t="s">
        <v>71</v>
      </c>
      <c r="D7977" t="s">
        <v>22285</v>
      </c>
      <c r="F7977" t="s">
        <v>2875</v>
      </c>
      <c r="K7977" s="18">
        <f>628122006291</f>
        <v>628122006291</v>
      </c>
      <c r="N7977" s="17" t="s">
        <v>77</v>
      </c>
      <c r="U7977" s="17"/>
      <c r="V7977" s="18">
        <f>628122006291</f>
        <v>628122006291</v>
      </c>
      <c r="W7977" t="s">
        <v>500</v>
      </c>
    </row>
    <row r="7978" ht="15" customHeight="1" spans="1:23" x14ac:dyDescent="0.25">
      <c r="A7978" s="17" t="s">
        <v>22294</v>
      </c>
      <c r="B7978" s="17" t="s">
        <v>70</v>
      </c>
      <c r="C7978" s="17" t="s">
        <v>71</v>
      </c>
      <c r="D7978" t="s">
        <v>22285</v>
      </c>
      <c r="F7978" t="s">
        <v>2073</v>
      </c>
      <c r="K7978" s="18">
        <f>6281237365521</f>
        <v>6281237365521</v>
      </c>
      <c r="N7978" s="17" t="s">
        <v>77</v>
      </c>
      <c r="U7978" s="17"/>
      <c r="V7978" s="18">
        <f>6281237365521</f>
        <v>6281237365521</v>
      </c>
      <c r="W7978" t="s">
        <v>22295</v>
      </c>
    </row>
    <row r="7979" ht="15" customHeight="1" spans="1:28" x14ac:dyDescent="0.25">
      <c r="A7979" s="17" t="s">
        <v>22296</v>
      </c>
      <c r="B7979" s="17" t="s">
        <v>70</v>
      </c>
      <c r="C7979" s="17" t="s">
        <v>71</v>
      </c>
      <c r="D7979" t="s">
        <v>22297</v>
      </c>
      <c r="F7979" t="s">
        <v>1589</v>
      </c>
      <c r="J7979" t="s">
        <v>115</v>
      </c>
      <c r="K7979" s="18" t="s">
        <v>22298</v>
      </c>
      <c r="N7979" s="17" t="s">
        <v>77</v>
      </c>
      <c r="O7979" t="s">
        <v>199</v>
      </c>
      <c r="V7979" s="18" t="s">
        <v>22298</v>
      </c>
      <c r="Y7979" t="s">
        <v>115</v>
      </c>
      <c r="AA7979" t="s">
        <v>115</v>
      </c>
      <c r="AB7979" t="s">
        <v>119</v>
      </c>
    </row>
    <row r="7980" ht="15" customHeight="1" spans="1:28" x14ac:dyDescent="0.25">
      <c r="A7980" s="17" t="s">
        <v>22299</v>
      </c>
      <c r="B7980" s="17" t="s">
        <v>70</v>
      </c>
      <c r="C7980" s="17" t="s">
        <v>71</v>
      </c>
      <c r="D7980" t="s">
        <v>22285</v>
      </c>
      <c r="F7980" t="s">
        <v>22300</v>
      </c>
      <c r="J7980" t="s">
        <v>115</v>
      </c>
      <c r="K7980" s="18" t="s">
        <v>22301</v>
      </c>
      <c r="N7980" s="17" t="s">
        <v>77</v>
      </c>
      <c r="O7980" t="s">
        <v>117</v>
      </c>
      <c r="V7980" s="18" t="s">
        <v>22301</v>
      </c>
      <c r="Y7980" t="s">
        <v>96</v>
      </c>
      <c r="AA7980" t="s">
        <v>693</v>
      </c>
      <c r="AB7980" t="s">
        <v>119</v>
      </c>
    </row>
    <row r="7981" ht="15" customHeight="1" spans="1:28" x14ac:dyDescent="0.25">
      <c r="A7981" s="17" t="s">
        <v>22302</v>
      </c>
      <c r="B7981" s="17" t="s">
        <v>70</v>
      </c>
      <c r="C7981" s="17" t="s">
        <v>71</v>
      </c>
      <c r="D7981" t="s">
        <v>22183</v>
      </c>
      <c r="F7981" t="s">
        <v>1064</v>
      </c>
      <c r="J7981" t="s">
        <v>22303</v>
      </c>
      <c r="K7981" s="18" t="s">
        <v>22304</v>
      </c>
      <c r="N7981" s="17" t="s">
        <v>81</v>
      </c>
      <c r="O7981" t="s">
        <v>199</v>
      </c>
      <c r="V7981" s="18" t="s">
        <v>22304</v>
      </c>
      <c r="Y7981" t="s">
        <v>190</v>
      </c>
      <c r="AA7981" t="s">
        <v>118</v>
      </c>
      <c r="AB7981" t="s">
        <v>119</v>
      </c>
    </row>
    <row r="7982" ht="15" customHeight="1" spans="1:22" x14ac:dyDescent="0.25">
      <c r="A7982" s="17" t="s">
        <v>22305</v>
      </c>
      <c r="B7982" s="17" t="s">
        <v>70</v>
      </c>
      <c r="C7982" s="17" t="s">
        <v>71</v>
      </c>
      <c r="D7982" t="s">
        <v>22285</v>
      </c>
      <c r="F7982" t="s">
        <v>22306</v>
      </c>
      <c r="K7982" s="18">
        <f>6281287777700</f>
        <v>6281287777700</v>
      </c>
      <c r="N7982" s="17" t="s">
        <v>81</v>
      </c>
      <c r="V7982" s="18">
        <f>6281287777700</f>
        <v>6281287777700</v>
      </c>
    </row>
    <row r="7983" ht="15" customHeight="1" spans="1:23" x14ac:dyDescent="0.25">
      <c r="A7983" s="17" t="s">
        <v>22307</v>
      </c>
      <c r="B7983" s="17" t="s">
        <v>70</v>
      </c>
      <c r="C7983" s="17" t="s">
        <v>71</v>
      </c>
      <c r="D7983" t="s">
        <v>22285</v>
      </c>
      <c r="F7983" t="s">
        <v>22306</v>
      </c>
      <c r="K7983" s="18">
        <f>6281287777766</f>
        <v>6281287777766</v>
      </c>
      <c r="N7983" s="17" t="s">
        <v>77</v>
      </c>
      <c r="U7983" s="17"/>
      <c r="V7983" s="18">
        <f>6281287777766</f>
        <v>6281287777766</v>
      </c>
      <c r="W7983" t="s">
        <v>90</v>
      </c>
    </row>
    <row r="7984" ht="15" customHeight="1" spans="1:22" x14ac:dyDescent="0.25">
      <c r="A7984" s="17" t="s">
        <v>22308</v>
      </c>
      <c r="B7984" s="17" t="s">
        <v>70</v>
      </c>
      <c r="C7984" s="17" t="s">
        <v>71</v>
      </c>
      <c r="D7984" t="s">
        <v>22285</v>
      </c>
      <c r="F7984" t="s">
        <v>22309</v>
      </c>
      <c r="K7984" s="18">
        <f>628161994179</f>
        <v>628161994179</v>
      </c>
      <c r="N7984" s="17" t="s">
        <v>81</v>
      </c>
      <c r="V7984" s="18">
        <f>628161994179</f>
        <v>628161994179</v>
      </c>
    </row>
    <row r="7985" ht="15" customHeight="1" spans="1:22" x14ac:dyDescent="0.25">
      <c r="A7985" s="17" t="s">
        <v>22310</v>
      </c>
      <c r="B7985" s="17" t="s">
        <v>70</v>
      </c>
      <c r="C7985" s="17" t="s">
        <v>71</v>
      </c>
      <c r="D7985" t="s">
        <v>22285</v>
      </c>
      <c r="F7985" t="s">
        <v>16381</v>
      </c>
      <c r="K7985" s="18">
        <f>6287751025558</f>
        <v>6287751025558</v>
      </c>
      <c r="N7985" s="17" t="s">
        <v>81</v>
      </c>
      <c r="V7985" s="18">
        <f>6287751025558</f>
        <v>6287751025558</v>
      </c>
    </row>
    <row r="7986" ht="15" customHeight="1" spans="1:22" x14ac:dyDescent="0.25">
      <c r="A7986" s="17" t="s">
        <v>22311</v>
      </c>
      <c r="B7986" s="17" t="s">
        <v>70</v>
      </c>
      <c r="C7986" s="17" t="s">
        <v>71</v>
      </c>
      <c r="D7986" t="s">
        <v>22285</v>
      </c>
      <c r="F7986" t="s">
        <v>669</v>
      </c>
      <c r="K7986" s="18">
        <f>62818060494992</f>
        <v>62818060494992</v>
      </c>
      <c r="N7986" s="17" t="s">
        <v>81</v>
      </c>
      <c r="V7986" s="18">
        <f>62818060494992</f>
        <v>62818060494992</v>
      </c>
    </row>
    <row r="7987" ht="15" customHeight="1" spans="1:23" x14ac:dyDescent="0.25">
      <c r="A7987" s="17" t="s">
        <v>22312</v>
      </c>
      <c r="B7987" s="17" t="s">
        <v>70</v>
      </c>
      <c r="C7987" s="17" t="s">
        <v>71</v>
      </c>
      <c r="D7987" t="s">
        <v>22285</v>
      </c>
      <c r="F7987" t="s">
        <v>669</v>
      </c>
      <c r="K7987" s="18">
        <f>6281264575253</f>
        <v>6281264575253</v>
      </c>
      <c r="N7987" s="17" t="s">
        <v>77</v>
      </c>
      <c r="U7987" s="17"/>
      <c r="V7987" s="18">
        <f>6281264575253</f>
        <v>6281264575253</v>
      </c>
      <c r="W7987" t="s">
        <v>90</v>
      </c>
    </row>
    <row r="7988" ht="15" customHeight="1" spans="1:28" x14ac:dyDescent="0.25">
      <c r="A7988" s="17" t="s">
        <v>22313</v>
      </c>
      <c r="B7988" s="17" t="s">
        <v>70</v>
      </c>
      <c r="C7988" s="17" t="s">
        <v>71</v>
      </c>
      <c r="D7988" t="s">
        <v>22285</v>
      </c>
      <c r="F7988" t="s">
        <v>4185</v>
      </c>
      <c r="J7988" t="s">
        <v>115</v>
      </c>
      <c r="K7988" s="18" t="s">
        <v>22314</v>
      </c>
      <c r="N7988" s="17" t="s">
        <v>77</v>
      </c>
      <c r="O7988" t="s">
        <v>117</v>
      </c>
      <c r="U7988" s="17"/>
      <c r="V7988" s="18" t="s">
        <v>22314</v>
      </c>
      <c r="W7988" t="s">
        <v>22315</v>
      </c>
      <c r="Y7988" t="s">
        <v>90</v>
      </c>
      <c r="AA7988" t="s">
        <v>118</v>
      </c>
      <c r="AB7988" t="s">
        <v>119</v>
      </c>
    </row>
    <row r="7989" ht="15" customHeight="1" spans="1:25" x14ac:dyDescent="0.25">
      <c r="A7989" s="17" t="s">
        <v>22316</v>
      </c>
      <c r="B7989" s="17" t="s">
        <v>70</v>
      </c>
      <c r="C7989" s="17" t="s">
        <v>71</v>
      </c>
      <c r="D7989" t="s">
        <v>22285</v>
      </c>
      <c r="F7989" t="s">
        <v>22317</v>
      </c>
      <c r="J7989" s="17" t="s">
        <v>22318</v>
      </c>
      <c r="K7989" s="18">
        <f>6281113204048</f>
        <v>6281113204048</v>
      </c>
      <c r="N7989" s="17" t="s">
        <v>77</v>
      </c>
      <c r="U7989" s="17"/>
      <c r="V7989" s="18">
        <f>6281113204048</f>
        <v>6281113204048</v>
      </c>
      <c r="W7989" t="s">
        <v>22319</v>
      </c>
      <c r="Y7989" s="17" t="s">
        <v>217</v>
      </c>
    </row>
    <row r="7990" ht="15" customHeight="1" spans="1:22" x14ac:dyDescent="0.25">
      <c r="A7990" s="17" t="s">
        <v>22320</v>
      </c>
      <c r="B7990" s="17" t="s">
        <v>70</v>
      </c>
      <c r="C7990" s="17" t="s">
        <v>71</v>
      </c>
      <c r="D7990" t="s">
        <v>22285</v>
      </c>
      <c r="F7990" t="s">
        <v>3585</v>
      </c>
      <c r="K7990" s="18">
        <f>6281908080893</f>
        <v>6281908080893</v>
      </c>
      <c r="N7990" s="17" t="s">
        <v>77</v>
      </c>
      <c r="V7990" s="18">
        <f>6281908080893</f>
        <v>6281908080893</v>
      </c>
    </row>
    <row r="7991" ht="15" customHeight="1" spans="1:28" x14ac:dyDescent="0.25">
      <c r="A7991" s="17" t="s">
        <v>22321</v>
      </c>
      <c r="B7991" s="17" t="s">
        <v>70</v>
      </c>
      <c r="C7991" s="17" t="s">
        <v>71</v>
      </c>
      <c r="D7991" t="s">
        <v>22322</v>
      </c>
      <c r="F7991" t="s">
        <v>22323</v>
      </c>
      <c r="J7991" t="s">
        <v>115</v>
      </c>
      <c r="K7991" s="18" t="s">
        <v>22324</v>
      </c>
      <c r="N7991" s="17" t="s">
        <v>81</v>
      </c>
      <c r="O7991" t="s">
        <v>117</v>
      </c>
      <c r="U7991" s="17"/>
      <c r="V7991" s="18" t="s">
        <v>22324</v>
      </c>
      <c r="W7991" t="s">
        <v>22325</v>
      </c>
      <c r="Y7991" s="17" t="s">
        <v>217</v>
      </c>
      <c r="AA7991" s="17" t="s">
        <v>218</v>
      </c>
      <c r="AB7991" t="s">
        <v>119</v>
      </c>
    </row>
    <row r="7992" ht="15" customHeight="1" spans="1:22" x14ac:dyDescent="0.25">
      <c r="A7992" s="17" t="s">
        <v>22326</v>
      </c>
      <c r="B7992" s="17" t="s">
        <v>70</v>
      </c>
      <c r="C7992" s="17" t="s">
        <v>71</v>
      </c>
      <c r="D7992" t="s">
        <v>22285</v>
      </c>
      <c r="F7992" t="s">
        <v>22327</v>
      </c>
      <c r="J7992" s="17" t="s">
        <v>22328</v>
      </c>
      <c r="K7992" s="18">
        <f>6287889417668</f>
        <v>6287889417668</v>
      </c>
      <c r="N7992" s="17" t="s">
        <v>81</v>
      </c>
      <c r="V7992" s="18">
        <f>6287889417668</f>
        <v>6287889417668</v>
      </c>
    </row>
    <row r="7993" ht="15" customHeight="1" spans="1:22" x14ac:dyDescent="0.25">
      <c r="A7993" s="17" t="s">
        <v>22329</v>
      </c>
      <c r="B7993" s="17" t="s">
        <v>70</v>
      </c>
      <c r="C7993" s="17" t="s">
        <v>71</v>
      </c>
      <c r="D7993" t="s">
        <v>22285</v>
      </c>
      <c r="F7993" t="s">
        <v>22330</v>
      </c>
      <c r="J7993" s="17" t="s">
        <v>22331</v>
      </c>
      <c r="K7993" s="18">
        <f>6281703000619</f>
        <v>6281703000619</v>
      </c>
      <c r="N7993" s="17" t="s">
        <v>77</v>
      </c>
      <c r="V7993" s="18">
        <f>6281703000619</f>
        <v>6281703000619</v>
      </c>
    </row>
    <row r="7994" ht="15" customHeight="1" spans="1:22" x14ac:dyDescent="0.25">
      <c r="A7994" s="17" t="s">
        <v>22332</v>
      </c>
      <c r="B7994" s="17" t="s">
        <v>70</v>
      </c>
      <c r="C7994" s="17" t="s">
        <v>71</v>
      </c>
      <c r="D7994" t="s">
        <v>22333</v>
      </c>
      <c r="F7994" t="s">
        <v>22333</v>
      </c>
      <c r="K7994" s="18">
        <f>85260938186</f>
        <v>85260938186</v>
      </c>
      <c r="N7994" s="17" t="s">
        <v>77</v>
      </c>
      <c r="V7994" s="18">
        <f>85260938186</f>
        <v>85260938186</v>
      </c>
    </row>
    <row r="7995" ht="15" customHeight="1" spans="1:22" x14ac:dyDescent="0.25">
      <c r="A7995" s="17" t="s">
        <v>22334</v>
      </c>
      <c r="B7995" s="17" t="s">
        <v>70</v>
      </c>
      <c r="C7995" s="17" t="s">
        <v>71</v>
      </c>
      <c r="D7995" t="s">
        <v>22335</v>
      </c>
      <c r="F7995" t="s">
        <v>22336</v>
      </c>
      <c r="K7995" s="18">
        <f>6281281927272</f>
        <v>6281281927272</v>
      </c>
      <c r="N7995" s="17" t="s">
        <v>77</v>
      </c>
      <c r="V7995" s="18">
        <f>6281281927272</f>
        <v>6281281927272</v>
      </c>
    </row>
    <row r="7996" ht="15" customHeight="1" spans="1:22" x14ac:dyDescent="0.25">
      <c r="A7996" s="17" t="s">
        <v>22337</v>
      </c>
      <c r="B7996" s="17" t="s">
        <v>70</v>
      </c>
      <c r="C7996" s="17" t="s">
        <v>71</v>
      </c>
      <c r="D7996" t="s">
        <v>22338</v>
      </c>
      <c r="F7996" t="s">
        <v>22338</v>
      </c>
      <c r="K7996" s="18">
        <f>6281807966165</f>
        <v>6281807966165</v>
      </c>
      <c r="N7996" s="17" t="s">
        <v>81</v>
      </c>
      <c r="V7996" s="18">
        <f>6281807966165</f>
        <v>6281807966165</v>
      </c>
    </row>
    <row r="7997" ht="15" customHeight="1" spans="1:22" x14ac:dyDescent="0.25">
      <c r="A7997" s="17" t="s">
        <v>22339</v>
      </c>
      <c r="B7997" s="17" t="s">
        <v>70</v>
      </c>
      <c r="C7997" s="17" t="s">
        <v>71</v>
      </c>
      <c r="D7997" t="s">
        <v>22340</v>
      </c>
      <c r="F7997" t="s">
        <v>22340</v>
      </c>
      <c r="K7997" s="18">
        <f>6281295557717</f>
        <v>6281295557717</v>
      </c>
      <c r="N7997" s="17" t="s">
        <v>81</v>
      </c>
      <c r="V7997" s="18">
        <f>6281295557717</f>
        <v>6281295557717</v>
      </c>
    </row>
    <row r="7998" ht="15" customHeight="1" spans="1:22" x14ac:dyDescent="0.25">
      <c r="A7998" s="17" t="s">
        <v>22341</v>
      </c>
      <c r="B7998" s="17" t="s">
        <v>70</v>
      </c>
      <c r="C7998" s="17" t="s">
        <v>71</v>
      </c>
      <c r="D7998" t="s">
        <v>22340</v>
      </c>
      <c r="F7998" t="s">
        <v>4607</v>
      </c>
      <c r="K7998" s="18">
        <f>628121058543</f>
        <v>628121058543</v>
      </c>
      <c r="N7998" s="17" t="s">
        <v>77</v>
      </c>
      <c r="V7998" s="18">
        <f>628121058543</f>
        <v>628121058543</v>
      </c>
    </row>
    <row r="7999" ht="15" customHeight="1" spans="1:28" x14ac:dyDescent="0.25">
      <c r="A7999" s="17" t="s">
        <v>22342</v>
      </c>
      <c r="B7999" s="17" t="s">
        <v>70</v>
      </c>
      <c r="C7999" s="17" t="s">
        <v>71</v>
      </c>
      <c r="D7999" t="s">
        <v>22343</v>
      </c>
      <c r="F7999" t="s">
        <v>22344</v>
      </c>
      <c r="J7999" t="s">
        <v>115</v>
      </c>
      <c r="K7999" s="18" t="s">
        <v>22345</v>
      </c>
      <c r="N7999" s="17" t="s">
        <v>77</v>
      </c>
      <c r="O7999" t="s">
        <v>117</v>
      </c>
      <c r="V7999" s="18" t="s">
        <v>22345</v>
      </c>
      <c r="Y7999" t="s">
        <v>190</v>
      </c>
      <c r="AA7999" t="s">
        <v>118</v>
      </c>
      <c r="AB7999" t="s">
        <v>119</v>
      </c>
    </row>
    <row r="8000" ht="15" customHeight="1" spans="1:22" x14ac:dyDescent="0.25">
      <c r="A8000" s="17" t="s">
        <v>22346</v>
      </c>
      <c r="B8000" s="17" t="s">
        <v>70</v>
      </c>
      <c r="C8000" s="17" t="s">
        <v>71</v>
      </c>
      <c r="D8000" t="s">
        <v>22340</v>
      </c>
      <c r="F8000" t="s">
        <v>22347</v>
      </c>
      <c r="K8000" s="18">
        <f>6281239736710</f>
        <v>6281239736710</v>
      </c>
      <c r="N8000" s="17" t="s">
        <v>81</v>
      </c>
      <c r="V8000" s="18">
        <f>6281239736710</f>
        <v>6281239736710</v>
      </c>
    </row>
    <row r="8001" ht="15" customHeight="1" spans="1:28" x14ac:dyDescent="0.25">
      <c r="A8001" s="17" t="s">
        <v>22348</v>
      </c>
      <c r="B8001" s="17" t="s">
        <v>70</v>
      </c>
      <c r="C8001" s="17" t="s">
        <v>71</v>
      </c>
      <c r="D8001" t="s">
        <v>22340</v>
      </c>
      <c r="F8001" t="s">
        <v>22349</v>
      </c>
      <c r="J8001" t="s">
        <v>115</v>
      </c>
      <c r="K8001" s="18" t="s">
        <v>22350</v>
      </c>
      <c r="N8001" s="17" t="s">
        <v>77</v>
      </c>
      <c r="O8001" t="s">
        <v>1188</v>
      </c>
      <c r="U8001" s="17"/>
      <c r="V8001" s="18" t="s">
        <v>22350</v>
      </c>
      <c r="W8001" t="s">
        <v>22351</v>
      </c>
      <c r="Y8001" t="s">
        <v>190</v>
      </c>
      <c r="AA8001" t="s">
        <v>118</v>
      </c>
      <c r="AB8001" t="s">
        <v>119</v>
      </c>
    </row>
    <row r="8002" ht="15" customHeight="1" spans="1:22" x14ac:dyDescent="0.25">
      <c r="A8002" s="17" t="s">
        <v>22352</v>
      </c>
      <c r="B8002" s="17" t="s">
        <v>70</v>
      </c>
      <c r="C8002" s="17" t="s">
        <v>71</v>
      </c>
      <c r="D8002" t="s">
        <v>22353</v>
      </c>
      <c r="F8002" t="s">
        <v>20950</v>
      </c>
      <c r="K8002" s="18">
        <f>62811978076</f>
        <v>62811978076</v>
      </c>
      <c r="N8002" s="17" t="s">
        <v>77</v>
      </c>
      <c r="V8002" s="18">
        <f>62811978076</f>
        <v>62811978076</v>
      </c>
    </row>
    <row r="8003" ht="15" customHeight="1" spans="1:28" x14ac:dyDescent="0.25">
      <c r="A8003" s="17" t="s">
        <v>22354</v>
      </c>
      <c r="B8003" s="17" t="s">
        <v>70</v>
      </c>
      <c r="C8003" s="17" t="s">
        <v>71</v>
      </c>
      <c r="D8003" t="s">
        <v>22355</v>
      </c>
      <c r="F8003" t="s">
        <v>22356</v>
      </c>
      <c r="J8003" t="s">
        <v>115</v>
      </c>
      <c r="K8003" s="18" t="s">
        <v>22357</v>
      </c>
      <c r="N8003" s="17" t="s">
        <v>77</v>
      </c>
      <c r="O8003" t="s">
        <v>261</v>
      </c>
      <c r="U8003" s="17"/>
      <c r="V8003" s="18" t="s">
        <v>22357</v>
      </c>
      <c r="W8003" t="s">
        <v>22358</v>
      </c>
      <c r="Y8003" t="s">
        <v>90</v>
      </c>
      <c r="AA8003" t="s">
        <v>118</v>
      </c>
      <c r="AB8003" t="s">
        <v>119</v>
      </c>
    </row>
    <row r="8004" ht="15" customHeight="1" spans="1:22" x14ac:dyDescent="0.25">
      <c r="A8004" s="17" t="s">
        <v>22359</v>
      </c>
      <c r="B8004" s="17" t="s">
        <v>70</v>
      </c>
      <c r="C8004" s="17" t="s">
        <v>71</v>
      </c>
      <c r="D8004" t="s">
        <v>22360</v>
      </c>
      <c r="F8004" t="s">
        <v>22360</v>
      </c>
      <c r="K8004" s="18">
        <f>62811586602</f>
        <v>62811586602</v>
      </c>
      <c r="N8004" s="17" t="s">
        <v>77</v>
      </c>
      <c r="V8004" s="18">
        <f>62811586602</f>
        <v>62811586602</v>
      </c>
    </row>
    <row r="8005" ht="15" customHeight="1" spans="1:25" x14ac:dyDescent="0.25">
      <c r="A8005" s="17" t="s">
        <v>22361</v>
      </c>
      <c r="B8005" s="17" t="s">
        <v>70</v>
      </c>
      <c r="C8005" s="17" t="s">
        <v>71</v>
      </c>
      <c r="D8005" t="s">
        <v>22362</v>
      </c>
      <c r="F8005" t="s">
        <v>22363</v>
      </c>
      <c r="K8005" s="18">
        <f>628161846947</f>
        <v>628161846947</v>
      </c>
      <c r="N8005" s="17" t="s">
        <v>77</v>
      </c>
      <c r="V8005" s="18">
        <f>628161846947</f>
        <v>628161846947</v>
      </c>
      <c r="Y8005" s="17" t="s">
        <v>96</v>
      </c>
    </row>
    <row r="8006" ht="15" customHeight="1" spans="1:22" x14ac:dyDescent="0.25">
      <c r="A8006" s="17" t="s">
        <v>22364</v>
      </c>
      <c r="B8006" s="17" t="s">
        <v>70</v>
      </c>
      <c r="C8006" s="17" t="s">
        <v>71</v>
      </c>
      <c r="D8006" t="s">
        <v>22362</v>
      </c>
      <c r="F8006" t="s">
        <v>22365</v>
      </c>
      <c r="K8006" s="18">
        <f>6287771111707</f>
        <v>6287771111707</v>
      </c>
      <c r="N8006" s="17" t="s">
        <v>81</v>
      </c>
      <c r="V8006" s="18">
        <f>6287771111707</f>
        <v>6287771111707</v>
      </c>
    </row>
    <row r="8007" ht="15" customHeight="1" spans="1:28" x14ac:dyDescent="0.25">
      <c r="A8007" s="17" t="s">
        <v>22366</v>
      </c>
      <c r="B8007" s="17" t="s">
        <v>70</v>
      </c>
      <c r="C8007" s="17" t="s">
        <v>71</v>
      </c>
      <c r="D8007" t="s">
        <v>22367</v>
      </c>
      <c r="F8007" t="s">
        <v>4704</v>
      </c>
      <c r="J8007" t="s">
        <v>115</v>
      </c>
      <c r="K8007" s="18" t="s">
        <v>22368</v>
      </c>
      <c r="N8007" s="17" t="s">
        <v>77</v>
      </c>
      <c r="O8007" t="s">
        <v>199</v>
      </c>
      <c r="U8007" s="17"/>
      <c r="V8007" s="18" t="s">
        <v>22368</v>
      </c>
      <c r="W8007" t="s">
        <v>22369</v>
      </c>
      <c r="Y8007" s="17" t="s">
        <v>22370</v>
      </c>
      <c r="AA8007" t="s">
        <v>115</v>
      </c>
      <c r="AB8007" t="s">
        <v>22371</v>
      </c>
    </row>
    <row r="8008" ht="15" customHeight="1" spans="1:22" x14ac:dyDescent="0.25">
      <c r="A8008" s="17" t="s">
        <v>22372</v>
      </c>
      <c r="B8008" s="17" t="s">
        <v>70</v>
      </c>
      <c r="C8008" s="17" t="s">
        <v>71</v>
      </c>
      <c r="D8008" t="s">
        <v>22373</v>
      </c>
      <c r="F8008" t="s">
        <v>22373</v>
      </c>
      <c r="K8008" s="18">
        <f>628111093883</f>
        <v>628111093883</v>
      </c>
      <c r="N8008" s="17" t="s">
        <v>77</v>
      </c>
      <c r="V8008" s="18">
        <f>628111093883</f>
        <v>628111093883</v>
      </c>
    </row>
    <row r="8009" ht="15" customHeight="1" spans="1:28" x14ac:dyDescent="0.25">
      <c r="A8009" s="17" t="s">
        <v>22374</v>
      </c>
      <c r="B8009" s="17" t="s">
        <v>70</v>
      </c>
      <c r="C8009" s="17" t="s">
        <v>71</v>
      </c>
      <c r="D8009" t="s">
        <v>22375</v>
      </c>
      <c r="F8009" t="s">
        <v>22376</v>
      </c>
      <c r="J8009" t="s">
        <v>115</v>
      </c>
      <c r="K8009" s="18" t="s">
        <v>22377</v>
      </c>
      <c r="N8009" s="17" t="s">
        <v>77</v>
      </c>
      <c r="O8009" t="s">
        <v>199</v>
      </c>
      <c r="V8009" s="18" t="s">
        <v>22377</v>
      </c>
      <c r="Y8009" t="s">
        <v>115</v>
      </c>
      <c r="AA8009" t="s">
        <v>115</v>
      </c>
      <c r="AB8009" t="s">
        <v>251</v>
      </c>
    </row>
    <row r="8010" ht="15" customHeight="1" spans="1:28" x14ac:dyDescent="0.25">
      <c r="A8010" s="17" t="s">
        <v>22378</v>
      </c>
      <c r="B8010" s="17" t="s">
        <v>70</v>
      </c>
      <c r="C8010" s="17" t="s">
        <v>71</v>
      </c>
      <c r="D8010" t="s">
        <v>22379</v>
      </c>
      <c r="F8010" t="s">
        <v>22380</v>
      </c>
      <c r="J8010" t="s">
        <v>115</v>
      </c>
      <c r="K8010" s="18" t="s">
        <v>22381</v>
      </c>
      <c r="N8010" s="17" t="s">
        <v>77</v>
      </c>
      <c r="O8010" t="s">
        <v>199</v>
      </c>
      <c r="V8010" s="18" t="s">
        <v>22381</v>
      </c>
      <c r="Y8010" t="s">
        <v>251</v>
      </c>
      <c r="AA8010" t="s">
        <v>115</v>
      </c>
      <c r="AB8010" t="s">
        <v>251</v>
      </c>
    </row>
    <row r="8011" ht="15" customHeight="1" spans="1:22" x14ac:dyDescent="0.25">
      <c r="A8011" s="17" t="s">
        <v>22382</v>
      </c>
      <c r="B8011" s="17" t="s">
        <v>70</v>
      </c>
      <c r="C8011" s="17" t="s">
        <v>71</v>
      </c>
      <c r="D8011" t="s">
        <v>22383</v>
      </c>
      <c r="F8011" t="s">
        <v>22383</v>
      </c>
      <c r="J8011" s="17" t="s">
        <v>22384</v>
      </c>
      <c r="K8011" s="18">
        <v>97156222373</v>
      </c>
      <c r="N8011" s="17" t="s">
        <v>77</v>
      </c>
      <c r="V8011" s="18">
        <v>97156222373</v>
      </c>
    </row>
    <row r="8012" ht="15" customHeight="1" spans="1:22" x14ac:dyDescent="0.25">
      <c r="A8012" s="17" t="s">
        <v>22385</v>
      </c>
      <c r="B8012" s="17" t="s">
        <v>70</v>
      </c>
      <c r="C8012" s="17" t="s">
        <v>71</v>
      </c>
      <c r="D8012" t="s">
        <v>22386</v>
      </c>
      <c r="F8012" t="s">
        <v>22387</v>
      </c>
      <c r="K8012" s="18">
        <f>628119400099</f>
        <v>628119400099</v>
      </c>
      <c r="N8012" s="17" t="s">
        <v>81</v>
      </c>
      <c r="V8012" s="18">
        <f>628119400099</f>
        <v>628119400099</v>
      </c>
    </row>
    <row r="8013" ht="15" customHeight="1" spans="1:27" x14ac:dyDescent="0.25">
      <c r="A8013" s="17" t="s">
        <v>22388</v>
      </c>
      <c r="B8013" s="17" t="s">
        <v>70</v>
      </c>
      <c r="C8013" s="17" t="s">
        <v>71</v>
      </c>
      <c r="D8013" t="s">
        <v>22386</v>
      </c>
      <c r="F8013" t="s">
        <v>22389</v>
      </c>
      <c r="J8013" s="17" t="s">
        <v>22390</v>
      </c>
      <c r="K8013" s="18">
        <f>966505608831</f>
        <v>966505608831</v>
      </c>
      <c r="N8013" s="17" t="s">
        <v>77</v>
      </c>
      <c r="U8013" s="17"/>
      <c r="V8013" s="18">
        <f>966505608831</f>
        <v>966505608831</v>
      </c>
      <c r="W8013" t="s">
        <v>22391</v>
      </c>
      <c r="Y8013" s="17" t="s">
        <v>22392</v>
      </c>
      <c r="AA8013" s="17" t="s">
        <v>22393</v>
      </c>
    </row>
    <row r="8014" ht="15" customHeight="1" spans="1:23" x14ac:dyDescent="0.25">
      <c r="A8014" s="17" t="s">
        <v>22394</v>
      </c>
      <c r="B8014" s="17" t="s">
        <v>70</v>
      </c>
      <c r="C8014" s="17" t="s">
        <v>71</v>
      </c>
      <c r="D8014" t="s">
        <v>22386</v>
      </c>
      <c r="F8014" t="s">
        <v>22395</v>
      </c>
      <c r="K8014" s="18">
        <f>97455507504</f>
        <v>97455507504</v>
      </c>
      <c r="N8014" s="17" t="s">
        <v>77</v>
      </c>
      <c r="U8014" s="17"/>
      <c r="V8014" s="18">
        <f>97455507504</f>
        <v>97455507504</v>
      </c>
      <c r="W8014" t="s">
        <v>22396</v>
      </c>
    </row>
    <row r="8015" ht="15" customHeight="1" spans="1:22" x14ac:dyDescent="0.25">
      <c r="A8015" s="17" t="s">
        <v>22397</v>
      </c>
      <c r="B8015" s="17" t="s">
        <v>70</v>
      </c>
      <c r="C8015" s="17" t="s">
        <v>71</v>
      </c>
      <c r="D8015" t="s">
        <v>22386</v>
      </c>
      <c r="F8015" t="s">
        <v>22398</v>
      </c>
      <c r="K8015" s="18">
        <f>6281318909099</f>
        <v>6281318909099</v>
      </c>
      <c r="N8015" s="17" t="s">
        <v>81</v>
      </c>
      <c r="V8015" s="18">
        <f>6281318909099</f>
        <v>6281318909099</v>
      </c>
    </row>
    <row r="8016" ht="15" customHeight="1" spans="1:23" x14ac:dyDescent="0.25">
      <c r="A8016" s="17" t="s">
        <v>22399</v>
      </c>
      <c r="B8016" s="17" t="s">
        <v>70</v>
      </c>
      <c r="C8016" s="17" t="s">
        <v>71</v>
      </c>
      <c r="D8016" t="s">
        <v>22400</v>
      </c>
      <c r="F8016" t="s">
        <v>22401</v>
      </c>
      <c r="K8016" s="18">
        <f>33677104969</f>
        <v>33677104969</v>
      </c>
      <c r="N8016" s="17" t="s">
        <v>81</v>
      </c>
      <c r="U8016" s="17"/>
      <c r="V8016" s="18">
        <f>33677104969</f>
        <v>33677104969</v>
      </c>
      <c r="W8016" t="s">
        <v>22402</v>
      </c>
    </row>
    <row r="8017" ht="15" customHeight="1" spans="1:28" x14ac:dyDescent="0.25">
      <c r="A8017" s="17" t="s">
        <v>22403</v>
      </c>
      <c r="B8017" s="17" t="s">
        <v>70</v>
      </c>
      <c r="C8017" s="17" t="s">
        <v>71</v>
      </c>
      <c r="D8017" t="s">
        <v>22404</v>
      </c>
      <c r="F8017" t="s">
        <v>22405</v>
      </c>
      <c r="J8017" t="s">
        <v>115</v>
      </c>
      <c r="K8017" s="18" t="s">
        <v>22406</v>
      </c>
      <c r="N8017" s="17" t="s">
        <v>77</v>
      </c>
      <c r="O8017" t="s">
        <v>145</v>
      </c>
      <c r="V8017" s="18" t="s">
        <v>22406</v>
      </c>
      <c r="Y8017" t="s">
        <v>115</v>
      </c>
      <c r="AA8017" t="s">
        <v>115</v>
      </c>
      <c r="AB8017" t="s">
        <v>119</v>
      </c>
    </row>
    <row r="8018" ht="15" customHeight="1" spans="1:28" x14ac:dyDescent="0.25">
      <c r="A8018" s="17" t="s">
        <v>22407</v>
      </c>
      <c r="B8018" s="17" t="s">
        <v>70</v>
      </c>
      <c r="C8018" s="17" t="s">
        <v>71</v>
      </c>
      <c r="D8018" t="s">
        <v>22408</v>
      </c>
      <c r="F8018" t="s">
        <v>22409</v>
      </c>
      <c r="J8018" s="17" t="s">
        <v>22410</v>
      </c>
      <c r="K8018" s="18" t="s">
        <v>22411</v>
      </c>
      <c r="N8018" s="17" t="s">
        <v>77</v>
      </c>
      <c r="O8018" t="s">
        <v>261</v>
      </c>
      <c r="U8018" s="17"/>
      <c r="V8018" s="18" t="s">
        <v>22411</v>
      </c>
      <c r="W8018" t="s">
        <v>1903</v>
      </c>
      <c r="Y8018" t="s">
        <v>1903</v>
      </c>
      <c r="AA8018" t="s">
        <v>115</v>
      </c>
      <c r="AB8018" t="s">
        <v>1903</v>
      </c>
    </row>
    <row r="8019" ht="15" customHeight="1" spans="1:22" x14ac:dyDescent="0.25">
      <c r="A8019" s="17" t="s">
        <v>22412</v>
      </c>
      <c r="B8019" s="17" t="s">
        <v>70</v>
      </c>
      <c r="C8019" s="17" t="s">
        <v>71</v>
      </c>
      <c r="D8019" t="s">
        <v>22413</v>
      </c>
      <c r="F8019" t="s">
        <v>22414</v>
      </c>
      <c r="K8019" s="18">
        <f>6287780417333</f>
        <v>6287780417333</v>
      </c>
      <c r="N8019" s="17" t="s">
        <v>81</v>
      </c>
      <c r="V8019" s="18">
        <f>6287780417333</f>
        <v>6287780417333</v>
      </c>
    </row>
    <row r="8020" ht="15" customHeight="1" spans="1:23" x14ac:dyDescent="0.25">
      <c r="A8020" s="17" t="s">
        <v>22415</v>
      </c>
      <c r="B8020" s="17" t="s">
        <v>70</v>
      </c>
      <c r="C8020" s="17" t="s">
        <v>71</v>
      </c>
      <c r="D8020" t="s">
        <v>22416</v>
      </c>
      <c r="F8020" t="s">
        <v>22417</v>
      </c>
      <c r="K8020" s="18">
        <f>66818425252</f>
        <v>66818425252</v>
      </c>
      <c r="N8020" s="17" t="s">
        <v>77</v>
      </c>
      <c r="U8020" s="17"/>
      <c r="V8020" s="18">
        <f>66818425252</f>
        <v>66818425252</v>
      </c>
      <c r="W8020" t="s">
        <v>4036</v>
      </c>
    </row>
    <row r="8021" ht="15" customHeight="1" spans="1:23" x14ac:dyDescent="0.25">
      <c r="A8021" s="17" t="s">
        <v>22418</v>
      </c>
      <c r="B8021" s="17" t="s">
        <v>70</v>
      </c>
      <c r="C8021" s="17" t="s">
        <v>71</v>
      </c>
      <c r="D8021" t="s">
        <v>22419</v>
      </c>
      <c r="F8021" t="s">
        <v>22420</v>
      </c>
      <c r="J8021" s="17" t="s">
        <v>22421</v>
      </c>
      <c r="K8021" s="18">
        <f>6281294404126</f>
        <v>6281294404126</v>
      </c>
      <c r="N8021" s="17" t="s">
        <v>77</v>
      </c>
      <c r="U8021" s="17"/>
      <c r="V8021" s="18">
        <f>6281294404126</f>
        <v>6281294404126</v>
      </c>
      <c r="W8021" t="s">
        <v>22422</v>
      </c>
    </row>
    <row r="8022" ht="15" customHeight="1" spans="1:22" x14ac:dyDescent="0.25">
      <c r="A8022" s="17" t="s">
        <v>22423</v>
      </c>
      <c r="B8022" s="17" t="s">
        <v>70</v>
      </c>
      <c r="C8022" s="17" t="s">
        <v>71</v>
      </c>
      <c r="D8022" t="s">
        <v>3334</v>
      </c>
      <c r="F8022" t="s">
        <v>3489</v>
      </c>
      <c r="K8022" s="18">
        <f>6282221212187</f>
        <v>6282221212187</v>
      </c>
      <c r="N8022" s="17" t="s">
        <v>81</v>
      </c>
      <c r="V8022" s="18">
        <f>6282221212187</f>
        <v>6282221212187</v>
      </c>
    </row>
    <row r="8023" ht="15" customHeight="1" spans="1:28" x14ac:dyDescent="0.25">
      <c r="A8023" s="17" t="s">
        <v>22424</v>
      </c>
      <c r="B8023" s="17" t="s">
        <v>70</v>
      </c>
      <c r="C8023" s="17" t="s">
        <v>71</v>
      </c>
      <c r="D8023" t="s">
        <v>3334</v>
      </c>
      <c r="F8023" t="s">
        <v>22425</v>
      </c>
      <c r="J8023" t="s">
        <v>115</v>
      </c>
      <c r="K8023" s="18" t="s">
        <v>22426</v>
      </c>
      <c r="N8023" s="17" t="s">
        <v>74</v>
      </c>
      <c r="O8023" t="s">
        <v>117</v>
      </c>
      <c r="V8023" s="18" t="s">
        <v>22426</v>
      </c>
      <c r="Y8023" t="s">
        <v>90</v>
      </c>
      <c r="AA8023" t="s">
        <v>118</v>
      </c>
      <c r="AB8023" t="s">
        <v>119</v>
      </c>
    </row>
    <row r="8024" ht="15" customHeight="1" spans="1:25" x14ac:dyDescent="0.25">
      <c r="A8024" s="17" t="s">
        <v>22427</v>
      </c>
      <c r="B8024" s="17" t="s">
        <v>70</v>
      </c>
      <c r="C8024" s="17" t="s">
        <v>71</v>
      </c>
      <c r="D8024" t="s">
        <v>3334</v>
      </c>
      <c r="F8024" t="s">
        <v>22425</v>
      </c>
      <c r="K8024" s="18">
        <f>6285310018008</f>
        <v>6285310018008</v>
      </c>
      <c r="N8024" s="17" t="s">
        <v>74</v>
      </c>
      <c r="U8024" s="17"/>
      <c r="V8024" s="18">
        <f>6285310018008</f>
        <v>6285310018008</v>
      </c>
      <c r="W8024" t="s">
        <v>22428</v>
      </c>
      <c r="Y8024" s="17" t="s">
        <v>96</v>
      </c>
    </row>
    <row r="8025" ht="15" customHeight="1" spans="1:22" x14ac:dyDescent="0.25">
      <c r="A8025" s="17" t="s">
        <v>22429</v>
      </c>
      <c r="B8025" s="17" t="s">
        <v>70</v>
      </c>
      <c r="C8025" s="17" t="s">
        <v>71</v>
      </c>
      <c r="D8025" t="s">
        <v>3334</v>
      </c>
      <c r="F8025" t="s">
        <v>22430</v>
      </c>
      <c r="K8025" s="18">
        <f>6287889527727</f>
        <v>6287889527727</v>
      </c>
      <c r="N8025" s="17" t="s">
        <v>81</v>
      </c>
      <c r="V8025" s="18">
        <f>6287889527727</f>
        <v>6287889527727</v>
      </c>
    </row>
    <row r="8026" ht="15" customHeight="1" spans="1:27" x14ac:dyDescent="0.25">
      <c r="A8026" s="17" t="s">
        <v>22431</v>
      </c>
      <c r="B8026" s="17" t="s">
        <v>70</v>
      </c>
      <c r="C8026" s="17" t="s">
        <v>71</v>
      </c>
      <c r="D8026" t="s">
        <v>22432</v>
      </c>
      <c r="F8026" t="s">
        <v>3585</v>
      </c>
      <c r="K8026" s="18">
        <f>62816882464</f>
        <v>62816882464</v>
      </c>
      <c r="N8026" s="17" t="s">
        <v>81</v>
      </c>
      <c r="U8026" s="17"/>
      <c r="V8026" s="18">
        <f>62816882464</f>
        <v>62816882464</v>
      </c>
      <c r="W8026" t="s">
        <v>22433</v>
      </c>
      <c r="AA8026" s="17">
        <v>11470</v>
      </c>
    </row>
    <row r="8027" ht="15" customHeight="1" spans="1:23" x14ac:dyDescent="0.25">
      <c r="A8027" s="17" t="s">
        <v>22434</v>
      </c>
      <c r="B8027" s="17" t="s">
        <v>70</v>
      </c>
      <c r="C8027" s="17" t="s">
        <v>71</v>
      </c>
      <c r="D8027" t="s">
        <v>22435</v>
      </c>
      <c r="F8027" t="s">
        <v>8308</v>
      </c>
      <c r="J8027" s="17" t="s">
        <v>22436</v>
      </c>
      <c r="K8027" s="18">
        <f>61415625799</f>
        <v>61415625799</v>
      </c>
      <c r="N8027" s="17" t="s">
        <v>77</v>
      </c>
      <c r="U8027" s="17"/>
      <c r="V8027" s="18">
        <f>61415625799</f>
        <v>61415625799</v>
      </c>
      <c r="W8027" t="s">
        <v>1903</v>
      </c>
    </row>
    <row r="8028" ht="15" customHeight="1" spans="1:23" x14ac:dyDescent="0.25">
      <c r="A8028" s="17" t="s">
        <v>22437</v>
      </c>
      <c r="B8028" s="17" t="s">
        <v>70</v>
      </c>
      <c r="C8028" s="17" t="s">
        <v>71</v>
      </c>
      <c r="D8028" t="s">
        <v>22438</v>
      </c>
      <c r="F8028" t="s">
        <v>22439</v>
      </c>
      <c r="K8028" s="18">
        <f>31639858936</f>
        <v>31639858936</v>
      </c>
      <c r="N8028" s="17" t="s">
        <v>81</v>
      </c>
      <c r="U8028" s="17"/>
      <c r="V8028" s="18">
        <f>31639858936</f>
        <v>31639858936</v>
      </c>
      <c r="W8028" t="s">
        <v>22440</v>
      </c>
    </row>
    <row r="8029" ht="15" customHeight="1" spans="1:28" x14ac:dyDescent="0.25">
      <c r="A8029" s="17" t="s">
        <v>22441</v>
      </c>
      <c r="B8029" s="17" t="s">
        <v>70</v>
      </c>
      <c r="C8029" s="17" t="s">
        <v>71</v>
      </c>
      <c r="D8029" t="s">
        <v>22442</v>
      </c>
      <c r="F8029" t="s">
        <v>22443</v>
      </c>
      <c r="J8029" s="17" t="s">
        <v>22444</v>
      </c>
      <c r="K8029" s="18" t="s">
        <v>22445</v>
      </c>
      <c r="N8029" s="17" t="s">
        <v>77</v>
      </c>
      <c r="O8029" t="s">
        <v>145</v>
      </c>
      <c r="U8029" s="17"/>
      <c r="V8029" s="18" t="s">
        <v>22445</v>
      </c>
      <c r="W8029" t="s">
        <v>22446</v>
      </c>
      <c r="Y8029" t="s">
        <v>4897</v>
      </c>
      <c r="AA8029" t="s">
        <v>115</v>
      </c>
      <c r="AB8029" t="s">
        <v>119</v>
      </c>
    </row>
    <row r="8030" ht="15" customHeight="1" spans="1:22" x14ac:dyDescent="0.25">
      <c r="A8030" s="17" t="s">
        <v>22447</v>
      </c>
      <c r="B8030" s="17" t="s">
        <v>70</v>
      </c>
      <c r="C8030" s="17" t="s">
        <v>71</v>
      </c>
      <c r="D8030" t="s">
        <v>6870</v>
      </c>
      <c r="F8030" t="s">
        <v>22448</v>
      </c>
      <c r="K8030" s="18">
        <f>62816856817</f>
        <v>62816856817</v>
      </c>
      <c r="N8030" s="17" t="s">
        <v>81</v>
      </c>
      <c r="V8030" s="18">
        <f>62816856817</f>
        <v>62816856817</v>
      </c>
    </row>
    <row r="8031" ht="15" customHeight="1" spans="1:23" x14ac:dyDescent="0.25">
      <c r="A8031" s="17" t="s">
        <v>22449</v>
      </c>
      <c r="B8031" s="17" t="s">
        <v>70</v>
      </c>
      <c r="C8031" s="17" t="s">
        <v>71</v>
      </c>
      <c r="D8031" t="s">
        <v>6870</v>
      </c>
      <c r="F8031" t="s">
        <v>22450</v>
      </c>
      <c r="K8031" s="18">
        <f>6287883408731</f>
        <v>6287883408731</v>
      </c>
      <c r="N8031" s="17" t="s">
        <v>81</v>
      </c>
      <c r="U8031" s="17"/>
      <c r="V8031" s="18">
        <f>6287883408731</f>
        <v>6287883408731</v>
      </c>
      <c r="W8031" t="s">
        <v>22451</v>
      </c>
    </row>
    <row r="8032" ht="15" customHeight="1" spans="1:22" x14ac:dyDescent="0.25">
      <c r="A8032" s="17" t="s">
        <v>22452</v>
      </c>
      <c r="B8032" s="17" t="s">
        <v>70</v>
      </c>
      <c r="C8032" s="17" t="s">
        <v>71</v>
      </c>
      <c r="D8032" t="s">
        <v>6870</v>
      </c>
      <c r="F8032" t="s">
        <v>4059</v>
      </c>
      <c r="K8032" s="18">
        <f>62811987088</f>
        <v>62811987088</v>
      </c>
      <c r="N8032" s="17" t="s">
        <v>81</v>
      </c>
      <c r="V8032" s="18">
        <f>62811987088</f>
        <v>62811987088</v>
      </c>
    </row>
    <row r="8033" ht="15" customHeight="1" spans="1:28" x14ac:dyDescent="0.25">
      <c r="A8033" s="17" t="s">
        <v>22453</v>
      </c>
      <c r="B8033" s="17" t="s">
        <v>70</v>
      </c>
      <c r="C8033" s="17" t="s">
        <v>71</v>
      </c>
      <c r="D8033" t="s">
        <v>22454</v>
      </c>
      <c r="F8033" t="s">
        <v>22455</v>
      </c>
      <c r="J8033" s="17" t="s">
        <v>22456</v>
      </c>
      <c r="K8033" s="18" t="s">
        <v>22457</v>
      </c>
      <c r="N8033" s="17" t="s">
        <v>77</v>
      </c>
      <c r="O8033" t="s">
        <v>117</v>
      </c>
      <c r="U8033" s="17"/>
      <c r="V8033" s="18" t="s">
        <v>22457</v>
      </c>
      <c r="W8033" t="s">
        <v>22458</v>
      </c>
      <c r="Y8033" t="s">
        <v>596</v>
      </c>
      <c r="AA8033" t="s">
        <v>597</v>
      </c>
      <c r="AB8033" t="s">
        <v>119</v>
      </c>
    </row>
    <row r="8034" ht="15" customHeight="1" spans="1:28" x14ac:dyDescent="0.25">
      <c r="A8034" s="17" t="s">
        <v>22459</v>
      </c>
      <c r="B8034" s="17" t="s">
        <v>70</v>
      </c>
      <c r="C8034" s="17" t="s">
        <v>71</v>
      </c>
      <c r="D8034" t="s">
        <v>22460</v>
      </c>
      <c r="F8034" t="s">
        <v>22461</v>
      </c>
      <c r="J8034" t="s">
        <v>115</v>
      </c>
      <c r="K8034" s="18" t="s">
        <v>22462</v>
      </c>
      <c r="N8034" s="17" t="s">
        <v>77</v>
      </c>
      <c r="O8034" t="s">
        <v>261</v>
      </c>
      <c r="U8034" s="17"/>
      <c r="V8034" s="18" t="s">
        <v>22462</v>
      </c>
      <c r="W8034" t="s">
        <v>22463</v>
      </c>
      <c r="Y8034" s="17" t="s">
        <v>626</v>
      </c>
      <c r="AA8034" t="s">
        <v>3090</v>
      </c>
      <c r="AB8034" t="s">
        <v>119</v>
      </c>
    </row>
    <row r="8035" ht="15" customHeight="1" spans="1:28" x14ac:dyDescent="0.25">
      <c r="A8035" s="17" t="s">
        <v>22464</v>
      </c>
      <c r="B8035" s="17" t="s">
        <v>70</v>
      </c>
      <c r="C8035" s="17" t="s">
        <v>71</v>
      </c>
      <c r="D8035" t="s">
        <v>22465</v>
      </c>
      <c r="F8035" t="s">
        <v>22465</v>
      </c>
      <c r="J8035" t="s">
        <v>115</v>
      </c>
      <c r="K8035" s="18" t="s">
        <v>22466</v>
      </c>
      <c r="N8035" s="17" t="s">
        <v>77</v>
      </c>
      <c r="O8035" t="s">
        <v>199</v>
      </c>
      <c r="U8035" s="17"/>
      <c r="V8035" s="18" t="s">
        <v>22466</v>
      </c>
      <c r="W8035" t="s">
        <v>1119</v>
      </c>
      <c r="Y8035" t="s">
        <v>190</v>
      </c>
      <c r="AA8035" t="s">
        <v>118</v>
      </c>
      <c r="AB8035" t="s">
        <v>119</v>
      </c>
    </row>
    <row r="8036" ht="15" customHeight="1" spans="1:27" x14ac:dyDescent="0.25">
      <c r="A8036" s="17" t="s">
        <v>22467</v>
      </c>
      <c r="B8036" s="17" t="s">
        <v>70</v>
      </c>
      <c r="C8036" s="17" t="s">
        <v>71</v>
      </c>
      <c r="D8036" t="s">
        <v>22468</v>
      </c>
      <c r="F8036" t="s">
        <v>4778</v>
      </c>
      <c r="K8036" s="18">
        <f>79122515148</f>
        <v>79122515148</v>
      </c>
      <c r="N8036" s="17" t="s">
        <v>77</v>
      </c>
      <c r="U8036" s="17"/>
      <c r="V8036" s="18">
        <f>79122515148</f>
        <v>79122515148</v>
      </c>
      <c r="W8036" t="s">
        <v>1908</v>
      </c>
      <c r="AA8036" s="17">
        <v>766124411</v>
      </c>
    </row>
    <row r="8037" ht="15" customHeight="1" spans="1:23" x14ac:dyDescent="0.25">
      <c r="A8037" s="17" t="s">
        <v>22469</v>
      </c>
      <c r="B8037" s="17" t="s">
        <v>70</v>
      </c>
      <c r="C8037" s="17" t="s">
        <v>71</v>
      </c>
      <c r="D8037" t="s">
        <v>22470</v>
      </c>
      <c r="F8037" t="s">
        <v>8387</v>
      </c>
      <c r="K8037" s="18">
        <f>61498966888</f>
        <v>61498966888</v>
      </c>
      <c r="N8037" s="17" t="s">
        <v>77</v>
      </c>
      <c r="U8037" s="17"/>
      <c r="V8037" s="18">
        <f>61498966888</f>
        <v>61498966888</v>
      </c>
      <c r="W8037" t="s">
        <v>7229</v>
      </c>
    </row>
    <row r="8038" ht="15" customHeight="1" spans="1:22" x14ac:dyDescent="0.25">
      <c r="A8038" s="17" t="s">
        <v>22471</v>
      </c>
      <c r="B8038" s="17" t="s">
        <v>70</v>
      </c>
      <c r="C8038" s="17" t="s">
        <v>71</v>
      </c>
      <c r="D8038" t="s">
        <v>22472</v>
      </c>
      <c r="F8038" t="s">
        <v>7341</v>
      </c>
      <c r="K8038" s="18">
        <f>628161855680</f>
        <v>628161855680</v>
      </c>
      <c r="N8038" s="17" t="s">
        <v>81</v>
      </c>
      <c r="V8038" s="18">
        <f>628161855680</f>
        <v>628161855680</v>
      </c>
    </row>
    <row r="8039" ht="15" customHeight="1" spans="1:22" x14ac:dyDescent="0.25">
      <c r="A8039" s="17" t="s">
        <v>22473</v>
      </c>
      <c r="B8039" s="17" t="s">
        <v>70</v>
      </c>
      <c r="C8039" s="17" t="s">
        <v>71</v>
      </c>
      <c r="D8039" t="s">
        <v>22474</v>
      </c>
      <c r="F8039" t="s">
        <v>855</v>
      </c>
      <c r="K8039" s="18">
        <f>628111636999</f>
        <v>628111636999</v>
      </c>
      <c r="N8039" s="17" t="s">
        <v>81</v>
      </c>
      <c r="V8039" s="18">
        <f>628111636999</f>
        <v>628111636999</v>
      </c>
    </row>
    <row r="8040" ht="15" customHeight="1" spans="1:22" x14ac:dyDescent="0.25">
      <c r="A8040" s="17" t="s">
        <v>22475</v>
      </c>
      <c r="B8040" s="17" t="s">
        <v>70</v>
      </c>
      <c r="C8040" s="17" t="s">
        <v>71</v>
      </c>
      <c r="D8040" t="s">
        <v>22476</v>
      </c>
      <c r="F8040" t="s">
        <v>22477</v>
      </c>
      <c r="K8040" s="18">
        <f>628161375477</f>
        <v>628161375477</v>
      </c>
      <c r="N8040" s="17" t="s">
        <v>77</v>
      </c>
      <c r="V8040" s="18">
        <f>628161375477</f>
        <v>628161375477</v>
      </c>
    </row>
    <row r="8041" ht="15" customHeight="1" spans="1:25" x14ac:dyDescent="0.25">
      <c r="A8041" s="17" t="s">
        <v>22478</v>
      </c>
      <c r="B8041" s="17" t="s">
        <v>70</v>
      </c>
      <c r="C8041" s="17" t="s">
        <v>71</v>
      </c>
      <c r="D8041" t="s">
        <v>17558</v>
      </c>
      <c r="F8041" t="s">
        <v>19729</v>
      </c>
      <c r="K8041" s="18">
        <f>62818980198</f>
        <v>62818980198</v>
      </c>
      <c r="N8041" s="17" t="s">
        <v>77</v>
      </c>
      <c r="U8041" s="17"/>
      <c r="V8041" s="18">
        <f>62818980198</f>
        <v>62818980198</v>
      </c>
      <c r="W8041" t="s">
        <v>22479</v>
      </c>
      <c r="Y8041" s="17" t="s">
        <v>626</v>
      </c>
    </row>
    <row r="8042" ht="15" customHeight="1" spans="1:28" x14ac:dyDescent="0.25">
      <c r="A8042" s="17" t="s">
        <v>22480</v>
      </c>
      <c r="B8042" s="17" t="s">
        <v>70</v>
      </c>
      <c r="C8042" s="17" t="s">
        <v>71</v>
      </c>
      <c r="D8042" t="s">
        <v>22481</v>
      </c>
      <c r="F8042" t="s">
        <v>22482</v>
      </c>
      <c r="J8042" s="17" t="s">
        <v>22483</v>
      </c>
      <c r="K8042" s="18" t="s">
        <v>22484</v>
      </c>
      <c r="N8042" s="17" t="s">
        <v>77</v>
      </c>
      <c r="O8042" t="s">
        <v>117</v>
      </c>
      <c r="V8042" s="18" t="s">
        <v>22484</v>
      </c>
      <c r="Y8042" t="s">
        <v>190</v>
      </c>
      <c r="AA8042" t="s">
        <v>118</v>
      </c>
      <c r="AB8042" t="s">
        <v>119</v>
      </c>
    </row>
    <row r="8043" ht="15" customHeight="1" spans="1:25" x14ac:dyDescent="0.25">
      <c r="A8043" s="17" t="s">
        <v>22485</v>
      </c>
      <c r="B8043" s="17" t="s">
        <v>70</v>
      </c>
      <c r="C8043" s="17" t="s">
        <v>71</v>
      </c>
      <c r="D8043" t="s">
        <v>22486</v>
      </c>
      <c r="F8043" t="s">
        <v>22486</v>
      </c>
      <c r="K8043" s="18">
        <f>628139176696</f>
        <v>628139176696</v>
      </c>
      <c r="N8043" s="17" t="s">
        <v>77</v>
      </c>
      <c r="V8043" s="18">
        <f>628139176696</f>
        <v>628139176696</v>
      </c>
      <c r="Y8043" s="17" t="s">
        <v>90</v>
      </c>
    </row>
    <row r="8044" ht="15" customHeight="1" spans="1:28" x14ac:dyDescent="0.25">
      <c r="A8044" s="17" t="s">
        <v>22487</v>
      </c>
      <c r="B8044" s="17" t="s">
        <v>70</v>
      </c>
      <c r="C8044" s="17" t="s">
        <v>71</v>
      </c>
      <c r="D8044" t="s">
        <v>22486</v>
      </c>
      <c r="F8044" t="s">
        <v>22488</v>
      </c>
      <c r="J8044" t="s">
        <v>115</v>
      </c>
      <c r="K8044" s="18" t="s">
        <v>22489</v>
      </c>
      <c r="N8044" s="17" t="s">
        <v>77</v>
      </c>
      <c r="O8044" t="s">
        <v>199</v>
      </c>
      <c r="V8044" s="18" t="s">
        <v>22489</v>
      </c>
      <c r="Y8044" t="s">
        <v>90</v>
      </c>
      <c r="AA8044" t="s">
        <v>118</v>
      </c>
      <c r="AB8044" t="s">
        <v>119</v>
      </c>
    </row>
    <row r="8045" ht="15" customHeight="1" spans="1:28" x14ac:dyDescent="0.25">
      <c r="A8045" s="17" t="s">
        <v>22490</v>
      </c>
      <c r="B8045" s="17" t="s">
        <v>70</v>
      </c>
      <c r="C8045" s="17" t="s">
        <v>71</v>
      </c>
      <c r="D8045" t="s">
        <v>22491</v>
      </c>
      <c r="F8045" t="s">
        <v>22492</v>
      </c>
      <c r="J8045" t="s">
        <v>22493</v>
      </c>
      <c r="K8045" s="18" t="s">
        <v>22494</v>
      </c>
      <c r="N8045" s="17" t="s">
        <v>77</v>
      </c>
      <c r="O8045" t="s">
        <v>199</v>
      </c>
      <c r="V8045" s="18" t="s">
        <v>22494</v>
      </c>
      <c r="Y8045" t="s">
        <v>190</v>
      </c>
      <c r="AA8045" t="s">
        <v>118</v>
      </c>
      <c r="AB8045" t="s">
        <v>2500</v>
      </c>
    </row>
    <row r="8046" ht="15" customHeight="1" spans="1:22" x14ac:dyDescent="0.25">
      <c r="A8046" s="17" t="s">
        <v>22495</v>
      </c>
      <c r="B8046" s="17" t="s">
        <v>70</v>
      </c>
      <c r="C8046" s="17" t="s">
        <v>71</v>
      </c>
      <c r="D8046" t="s">
        <v>22496</v>
      </c>
      <c r="F8046" t="s">
        <v>22497</v>
      </c>
      <c r="K8046" s="18">
        <f>6289671595105</f>
        <v>6289671595105</v>
      </c>
      <c r="N8046" s="17" t="s">
        <v>77</v>
      </c>
      <c r="V8046" s="18">
        <f>6289671595105</f>
        <v>6289671595105</v>
      </c>
    </row>
    <row r="8047" ht="15" customHeight="1" spans="1:23" x14ac:dyDescent="0.25">
      <c r="A8047" s="17" t="s">
        <v>22498</v>
      </c>
      <c r="B8047" s="17" t="s">
        <v>70</v>
      </c>
      <c r="C8047" s="17" t="s">
        <v>71</v>
      </c>
      <c r="D8047" t="s">
        <v>22499</v>
      </c>
      <c r="F8047" t="s">
        <v>22500</v>
      </c>
      <c r="K8047" s="18">
        <f>6281113004177</f>
        <v>6281113004177</v>
      </c>
      <c r="N8047" s="17" t="s">
        <v>77</v>
      </c>
      <c r="U8047" s="17"/>
      <c r="V8047" s="18">
        <f>6281113004177</f>
        <v>6281113004177</v>
      </c>
      <c r="W8047" t="s">
        <v>22501</v>
      </c>
    </row>
    <row r="8048" ht="15" customHeight="1" spans="1:22" x14ac:dyDescent="0.25">
      <c r="A8048" s="17" t="s">
        <v>22502</v>
      </c>
      <c r="B8048" s="17" t="s">
        <v>70</v>
      </c>
      <c r="C8048" s="17" t="s">
        <v>71</v>
      </c>
      <c r="D8048" t="s">
        <v>22503</v>
      </c>
      <c r="F8048" t="s">
        <v>19116</v>
      </c>
      <c r="K8048" s="18">
        <f>628117232203</f>
        <v>628117232203</v>
      </c>
      <c r="N8048" s="17" t="s">
        <v>81</v>
      </c>
      <c r="V8048" s="18">
        <f>628117232203</f>
        <v>628117232203</v>
      </c>
    </row>
    <row r="8049" ht="15" customHeight="1" spans="1:22" x14ac:dyDescent="0.25">
      <c r="A8049" s="17" t="s">
        <v>22504</v>
      </c>
      <c r="B8049" s="17" t="s">
        <v>70</v>
      </c>
      <c r="C8049" s="17" t="s">
        <v>71</v>
      </c>
      <c r="D8049" t="s">
        <v>22505</v>
      </c>
      <c r="F8049" t="s">
        <v>22505</v>
      </c>
      <c r="K8049" s="18">
        <f>62816823866</f>
        <v>62816823866</v>
      </c>
      <c r="N8049" s="17" t="s">
        <v>77</v>
      </c>
      <c r="V8049" s="18">
        <f>62816823866</f>
        <v>62816823866</v>
      </c>
    </row>
    <row r="8050" ht="15" customHeight="1" spans="1:25" x14ac:dyDescent="0.25">
      <c r="A8050" s="17" t="s">
        <v>22506</v>
      </c>
      <c r="B8050" s="17" t="s">
        <v>70</v>
      </c>
      <c r="C8050" s="17" t="s">
        <v>71</v>
      </c>
      <c r="D8050" t="s">
        <v>22505</v>
      </c>
      <c r="F8050" t="s">
        <v>18906</v>
      </c>
      <c r="K8050" s="18">
        <f>628129362575</f>
        <v>628129362575</v>
      </c>
      <c r="N8050" s="17" t="s">
        <v>77</v>
      </c>
      <c r="U8050" s="17"/>
      <c r="V8050" s="18">
        <f>628129362575</f>
        <v>628129362575</v>
      </c>
      <c r="W8050" t="s">
        <v>22507</v>
      </c>
      <c r="Y8050" s="17" t="s">
        <v>22508</v>
      </c>
    </row>
    <row r="8051" ht="15" customHeight="1" spans="1:22" x14ac:dyDescent="0.25">
      <c r="A8051" s="17" t="s">
        <v>22509</v>
      </c>
      <c r="B8051" s="17" t="s">
        <v>70</v>
      </c>
      <c r="C8051" s="17" t="s">
        <v>71</v>
      </c>
      <c r="D8051" t="s">
        <v>22505</v>
      </c>
      <c r="F8051" t="s">
        <v>6967</v>
      </c>
      <c r="K8051" s="18">
        <f>6287770970919</f>
        <v>6287770970919</v>
      </c>
      <c r="N8051" s="17" t="s">
        <v>81</v>
      </c>
      <c r="V8051" s="18">
        <f>6287770970919</f>
        <v>6287770970919</v>
      </c>
    </row>
    <row r="8052" ht="15" customHeight="1" spans="1:25" x14ac:dyDescent="0.25">
      <c r="A8052" s="17" t="s">
        <v>22510</v>
      </c>
      <c r="B8052" s="17" t="s">
        <v>70</v>
      </c>
      <c r="C8052" s="17" t="s">
        <v>71</v>
      </c>
      <c r="D8052" t="s">
        <v>22505</v>
      </c>
      <c r="F8052" t="s">
        <v>22511</v>
      </c>
      <c r="K8052" s="18">
        <f>628119410884</f>
        <v>628119410884</v>
      </c>
      <c r="N8052" s="17" t="s">
        <v>81</v>
      </c>
      <c r="U8052" s="17"/>
      <c r="V8052" s="18">
        <f>628119410884</f>
        <v>628119410884</v>
      </c>
      <c r="W8052" t="s">
        <v>22512</v>
      </c>
      <c r="Y8052" s="17" t="s">
        <v>96</v>
      </c>
    </row>
    <row r="8053" ht="15" customHeight="1" spans="1:22" x14ac:dyDescent="0.25">
      <c r="A8053" s="17" t="s">
        <v>22513</v>
      </c>
      <c r="B8053" s="17" t="s">
        <v>70</v>
      </c>
      <c r="C8053" s="17" t="s">
        <v>71</v>
      </c>
      <c r="D8053" t="s">
        <v>22505</v>
      </c>
      <c r="F8053" t="s">
        <v>2517</v>
      </c>
      <c r="K8053" s="18">
        <f>628382874858</f>
        <v>628382874858</v>
      </c>
      <c r="N8053" s="17" t="s">
        <v>81</v>
      </c>
      <c r="V8053" s="18">
        <f>628382874858</f>
        <v>628382874858</v>
      </c>
    </row>
    <row r="8054" ht="15" customHeight="1" spans="1:22" x14ac:dyDescent="0.25">
      <c r="A8054" s="17" t="s">
        <v>22514</v>
      </c>
      <c r="B8054" s="17" t="s">
        <v>70</v>
      </c>
      <c r="C8054" s="17" t="s">
        <v>71</v>
      </c>
      <c r="D8054" t="s">
        <v>22505</v>
      </c>
      <c r="F8054" t="s">
        <v>22505</v>
      </c>
      <c r="K8054" s="18">
        <f>6282284983237</f>
        <v>6282284983237</v>
      </c>
      <c r="N8054" s="17" t="s">
        <v>77</v>
      </c>
      <c r="V8054" s="18">
        <f>6282284983237</f>
        <v>6282284983237</v>
      </c>
    </row>
    <row r="8055" ht="15" customHeight="1" spans="1:22" x14ac:dyDescent="0.25">
      <c r="A8055" s="17" t="s">
        <v>22515</v>
      </c>
      <c r="B8055" s="17" t="s">
        <v>70</v>
      </c>
      <c r="C8055" s="17" t="s">
        <v>71</v>
      </c>
      <c r="D8055" t="s">
        <v>22505</v>
      </c>
      <c r="F8055" t="s">
        <v>4708</v>
      </c>
      <c r="K8055" s="18">
        <f>6281298692323</f>
        <v>6281298692323</v>
      </c>
      <c r="N8055" s="17" t="s">
        <v>77</v>
      </c>
      <c r="V8055" s="18">
        <f>6281298692323</f>
        <v>6281298692323</v>
      </c>
    </row>
    <row r="8056" ht="15" customHeight="1" spans="1:22" x14ac:dyDescent="0.25">
      <c r="A8056" s="17" t="s">
        <v>22516</v>
      </c>
      <c r="B8056" s="17" t="s">
        <v>70</v>
      </c>
      <c r="C8056" s="17" t="s">
        <v>71</v>
      </c>
      <c r="D8056" t="s">
        <v>22505</v>
      </c>
      <c r="F8056" t="s">
        <v>20610</v>
      </c>
      <c r="K8056" s="18">
        <f>6282225155555</f>
        <v>6282225155555</v>
      </c>
      <c r="N8056" s="17" t="s">
        <v>77</v>
      </c>
      <c r="V8056" s="18">
        <f>6282225155555</f>
        <v>6282225155555</v>
      </c>
    </row>
    <row r="8057" ht="15" customHeight="1" spans="1:28" x14ac:dyDescent="0.25">
      <c r="A8057" s="17" t="s">
        <v>22517</v>
      </c>
      <c r="B8057" s="17" t="s">
        <v>70</v>
      </c>
      <c r="C8057" s="17" t="s">
        <v>71</v>
      </c>
      <c r="D8057" t="s">
        <v>22505</v>
      </c>
      <c r="F8057" t="s">
        <v>22518</v>
      </c>
      <c r="J8057" t="s">
        <v>115</v>
      </c>
      <c r="K8057" s="18" t="s">
        <v>22519</v>
      </c>
      <c r="N8057" s="17" t="s">
        <v>77</v>
      </c>
      <c r="O8057" t="s">
        <v>145</v>
      </c>
      <c r="U8057" s="17"/>
      <c r="V8057" s="18" t="s">
        <v>22519</v>
      </c>
      <c r="W8057" t="s">
        <v>22520</v>
      </c>
      <c r="Y8057" t="s">
        <v>190</v>
      </c>
      <c r="AA8057" t="s">
        <v>118</v>
      </c>
      <c r="AB8057" t="s">
        <v>119</v>
      </c>
    </row>
    <row r="8058" ht="15" customHeight="1" spans="1:22" x14ac:dyDescent="0.25">
      <c r="A8058" s="17" t="s">
        <v>22521</v>
      </c>
      <c r="B8058" s="17" t="s">
        <v>70</v>
      </c>
      <c r="C8058" s="17" t="s">
        <v>71</v>
      </c>
      <c r="D8058" t="s">
        <v>22522</v>
      </c>
      <c r="F8058" t="s">
        <v>22522</v>
      </c>
      <c r="K8058" s="18">
        <f>6282219002494</f>
        <v>6282219002494</v>
      </c>
      <c r="N8058" s="17" t="s">
        <v>81</v>
      </c>
      <c r="V8058" s="18">
        <f>6282219002494</f>
        <v>6282219002494</v>
      </c>
    </row>
    <row r="8059" ht="15" customHeight="1" spans="1:22" x14ac:dyDescent="0.25">
      <c r="A8059" s="17" t="s">
        <v>22523</v>
      </c>
      <c r="B8059" s="17" t="s">
        <v>70</v>
      </c>
      <c r="C8059" s="17" t="s">
        <v>71</v>
      </c>
      <c r="D8059" t="s">
        <v>3869</v>
      </c>
      <c r="F8059" t="s">
        <v>3869</v>
      </c>
      <c r="K8059" s="18">
        <f>628161813605</f>
        <v>628161813605</v>
      </c>
      <c r="N8059" s="17" t="s">
        <v>77</v>
      </c>
      <c r="V8059" s="18">
        <f>628161813605</f>
        <v>628161813605</v>
      </c>
    </row>
    <row r="8060" ht="15" customHeight="1" spans="1:22" x14ac:dyDescent="0.25">
      <c r="A8060" s="17" t="s">
        <v>22524</v>
      </c>
      <c r="B8060" s="17" t="s">
        <v>70</v>
      </c>
      <c r="C8060" s="17" t="s">
        <v>71</v>
      </c>
      <c r="D8060" t="s">
        <v>3869</v>
      </c>
      <c r="F8060" t="s">
        <v>3869</v>
      </c>
      <c r="K8060" s="18">
        <f>628161399009</f>
        <v>628161399009</v>
      </c>
      <c r="N8060" s="17" t="s">
        <v>81</v>
      </c>
      <c r="V8060" s="18">
        <f>628161399009</f>
        <v>628161399009</v>
      </c>
    </row>
    <row r="8061" ht="15" customHeight="1" spans="1:22" x14ac:dyDescent="0.25">
      <c r="A8061" s="17" t="s">
        <v>22525</v>
      </c>
      <c r="B8061" s="17" t="s">
        <v>70</v>
      </c>
      <c r="C8061" s="17" t="s">
        <v>71</v>
      </c>
      <c r="D8061" t="s">
        <v>3869</v>
      </c>
      <c r="F8061" t="s">
        <v>3869</v>
      </c>
      <c r="K8061" s="18">
        <f>628115824472</f>
        <v>628115824472</v>
      </c>
      <c r="N8061" s="17" t="s">
        <v>77</v>
      </c>
      <c r="V8061" s="18">
        <f>628115824472</f>
        <v>628115824472</v>
      </c>
    </row>
    <row r="8062" ht="15" customHeight="1" spans="1:25" x14ac:dyDescent="0.25">
      <c r="A8062" s="17" t="s">
        <v>22526</v>
      </c>
      <c r="B8062" s="17" t="s">
        <v>70</v>
      </c>
      <c r="C8062" s="17" t="s">
        <v>71</v>
      </c>
      <c r="D8062" t="s">
        <v>3869</v>
      </c>
      <c r="F8062" t="s">
        <v>3869</v>
      </c>
      <c r="J8062" s="17" t="s">
        <v>22527</v>
      </c>
      <c r="K8062" s="18">
        <f>6281213833344</f>
        <v>6281213833344</v>
      </c>
      <c r="N8062" s="17" t="s">
        <v>74</v>
      </c>
      <c r="U8062" s="17"/>
      <c r="V8062" s="18">
        <f>6281213833344</f>
        <v>6281213833344</v>
      </c>
      <c r="W8062" t="s">
        <v>22528</v>
      </c>
      <c r="Y8062" s="17" t="s">
        <v>96</v>
      </c>
    </row>
    <row r="8063" ht="15" customHeight="1" spans="1:22" x14ac:dyDescent="0.25">
      <c r="A8063" s="17" t="s">
        <v>22529</v>
      </c>
      <c r="B8063" s="17" t="s">
        <v>70</v>
      </c>
      <c r="C8063" s="17" t="s">
        <v>71</v>
      </c>
      <c r="D8063" t="s">
        <v>3869</v>
      </c>
      <c r="F8063" t="s">
        <v>3869</v>
      </c>
      <c r="K8063" s="18">
        <f>6281298887797</f>
        <v>6281298887797</v>
      </c>
      <c r="N8063" s="17" t="s">
        <v>81</v>
      </c>
      <c r="V8063" s="18">
        <f>6281298887797</f>
        <v>6281298887797</v>
      </c>
    </row>
    <row r="8064" ht="15" customHeight="1" spans="1:22" x14ac:dyDescent="0.25">
      <c r="A8064" s="17" t="s">
        <v>22530</v>
      </c>
      <c r="B8064" s="17" t="s">
        <v>70</v>
      </c>
      <c r="C8064" s="17" t="s">
        <v>71</v>
      </c>
      <c r="D8064" t="s">
        <v>3869</v>
      </c>
      <c r="F8064" t="s">
        <v>3869</v>
      </c>
      <c r="K8064" s="18">
        <f>6281218080000</f>
        <v>6281218080000</v>
      </c>
      <c r="N8064" s="17" t="s">
        <v>77</v>
      </c>
      <c r="V8064" s="18">
        <f>6281218080000</f>
        <v>6281218080000</v>
      </c>
    </row>
    <row r="8065" ht="15" customHeight="1" spans="1:28" x14ac:dyDescent="0.25">
      <c r="A8065" s="17" t="s">
        <v>22531</v>
      </c>
      <c r="B8065" s="17" t="s">
        <v>70</v>
      </c>
      <c r="C8065" s="17" t="s">
        <v>71</v>
      </c>
      <c r="D8065" t="s">
        <v>3869</v>
      </c>
      <c r="F8065" t="s">
        <v>22532</v>
      </c>
      <c r="J8065" s="17" t="s">
        <v>22533</v>
      </c>
      <c r="K8065" s="18" t="s">
        <v>22534</v>
      </c>
      <c r="N8065" s="17" t="s">
        <v>77</v>
      </c>
      <c r="O8065" t="s">
        <v>199</v>
      </c>
      <c r="U8065" s="17"/>
      <c r="V8065" s="18" t="s">
        <v>22534</v>
      </c>
      <c r="W8065" t="s">
        <v>7007</v>
      </c>
      <c r="Y8065" t="s">
        <v>7939</v>
      </c>
      <c r="AA8065" t="s">
        <v>115</v>
      </c>
      <c r="AB8065" t="s">
        <v>119</v>
      </c>
    </row>
    <row r="8066" ht="15" customHeight="1" spans="1:22" x14ac:dyDescent="0.25">
      <c r="A8066" s="17" t="s">
        <v>22535</v>
      </c>
      <c r="B8066" s="17" t="s">
        <v>70</v>
      </c>
      <c r="C8066" s="17" t="s">
        <v>71</v>
      </c>
      <c r="D8066" t="s">
        <v>3869</v>
      </c>
      <c r="F8066" t="s">
        <v>22536</v>
      </c>
      <c r="K8066" s="18">
        <f>821059300630</f>
        <v>821059300630</v>
      </c>
      <c r="N8066" s="17" t="s">
        <v>81</v>
      </c>
      <c r="V8066" s="18">
        <f>821059300630</f>
        <v>821059300630</v>
      </c>
    </row>
    <row r="8067" ht="15" customHeight="1" spans="1:22" x14ac:dyDescent="0.25">
      <c r="A8067" s="17" t="s">
        <v>22537</v>
      </c>
      <c r="B8067" s="17" t="s">
        <v>70</v>
      </c>
      <c r="C8067" s="17" t="s">
        <v>71</v>
      </c>
      <c r="D8067" t="s">
        <v>3869</v>
      </c>
      <c r="F8067" t="s">
        <v>22538</v>
      </c>
      <c r="K8067" s="18">
        <f>6281259393123</f>
        <v>6281259393123</v>
      </c>
      <c r="N8067" s="17" t="s">
        <v>77</v>
      </c>
      <c r="V8067" s="18">
        <f>6281259393123</f>
        <v>6281259393123</v>
      </c>
    </row>
    <row r="8068" ht="15" customHeight="1" spans="1:28" x14ac:dyDescent="0.25">
      <c r="A8068" s="17" t="s">
        <v>22539</v>
      </c>
      <c r="B8068" s="17" t="s">
        <v>70</v>
      </c>
      <c r="C8068" s="17" t="s">
        <v>71</v>
      </c>
      <c r="D8068" t="s">
        <v>3869</v>
      </c>
      <c r="F8068" t="s">
        <v>22540</v>
      </c>
      <c r="J8068" t="s">
        <v>115</v>
      </c>
      <c r="K8068" s="18" t="s">
        <v>22541</v>
      </c>
      <c r="N8068" s="17" t="s">
        <v>77</v>
      </c>
      <c r="O8068" t="s">
        <v>117</v>
      </c>
      <c r="V8068" s="18" t="s">
        <v>22541</v>
      </c>
      <c r="Y8068" t="s">
        <v>7007</v>
      </c>
      <c r="AA8068" t="s">
        <v>115</v>
      </c>
      <c r="AB8068" t="s">
        <v>119</v>
      </c>
    </row>
    <row r="8069" ht="15" customHeight="1" spans="1:28" x14ac:dyDescent="0.25">
      <c r="A8069" s="17" t="s">
        <v>22542</v>
      </c>
      <c r="B8069" s="17" t="s">
        <v>70</v>
      </c>
      <c r="C8069" s="17" t="s">
        <v>71</v>
      </c>
      <c r="D8069" t="s">
        <v>22543</v>
      </c>
      <c r="F8069" t="s">
        <v>22544</v>
      </c>
      <c r="J8069" s="17" t="s">
        <v>22545</v>
      </c>
      <c r="K8069" s="18" t="s">
        <v>22546</v>
      </c>
      <c r="N8069" s="17" t="s">
        <v>77</v>
      </c>
      <c r="O8069" t="s">
        <v>145</v>
      </c>
      <c r="V8069" s="18" t="s">
        <v>22546</v>
      </c>
      <c r="Y8069" t="s">
        <v>115</v>
      </c>
      <c r="AA8069" t="s">
        <v>115</v>
      </c>
      <c r="AB8069" t="s">
        <v>16695</v>
      </c>
    </row>
    <row r="8070" ht="15" customHeight="1" spans="1:22" x14ac:dyDescent="0.25">
      <c r="A8070" s="17" t="s">
        <v>22547</v>
      </c>
      <c r="B8070" s="17" t="s">
        <v>70</v>
      </c>
      <c r="C8070" s="17" t="s">
        <v>71</v>
      </c>
      <c r="D8070" t="s">
        <v>3869</v>
      </c>
      <c r="F8070" t="s">
        <v>1533</v>
      </c>
      <c r="K8070" s="18">
        <f>6281219743125</f>
        <v>6281219743125</v>
      </c>
      <c r="N8070" s="17" t="s">
        <v>77</v>
      </c>
      <c r="V8070" s="18">
        <f>6281219743125</f>
        <v>6281219743125</v>
      </c>
    </row>
    <row r="8071" ht="15" customHeight="1" spans="1:22" x14ac:dyDescent="0.25">
      <c r="A8071" s="17" t="s">
        <v>22548</v>
      </c>
      <c r="B8071" s="17" t="s">
        <v>70</v>
      </c>
      <c r="C8071" s="17" t="s">
        <v>71</v>
      </c>
      <c r="D8071" t="s">
        <v>3869</v>
      </c>
      <c r="F8071" t="s">
        <v>22549</v>
      </c>
      <c r="K8071" s="18">
        <f>821063848765</f>
        <v>821063848765</v>
      </c>
      <c r="N8071" s="17" t="s">
        <v>81</v>
      </c>
      <c r="V8071" s="18">
        <f>821063848765</f>
        <v>821063848765</v>
      </c>
    </row>
    <row r="8072" ht="15" customHeight="1" spans="1:22" x14ac:dyDescent="0.25">
      <c r="A8072" s="17" t="s">
        <v>22550</v>
      </c>
      <c r="B8072" s="17" t="s">
        <v>70</v>
      </c>
      <c r="C8072" s="17" t="s">
        <v>71</v>
      </c>
      <c r="D8072" t="s">
        <v>3869</v>
      </c>
      <c r="F8072" t="s">
        <v>22551</v>
      </c>
      <c r="J8072" s="17" t="s">
        <v>22552</v>
      </c>
      <c r="K8072" s="18">
        <f>628112621001</f>
        <v>628112621001</v>
      </c>
      <c r="N8072" s="17" t="s">
        <v>77</v>
      </c>
      <c r="V8072" s="18">
        <f>628112621001</f>
        <v>628112621001</v>
      </c>
    </row>
    <row r="8073" ht="15" customHeight="1" spans="1:23" x14ac:dyDescent="0.25">
      <c r="A8073" s="17" t="s">
        <v>22553</v>
      </c>
      <c r="B8073" s="17" t="s">
        <v>70</v>
      </c>
      <c r="C8073" s="17" t="s">
        <v>71</v>
      </c>
      <c r="D8073" t="s">
        <v>3869</v>
      </c>
      <c r="F8073" t="s">
        <v>22554</v>
      </c>
      <c r="J8073" s="17" t="s">
        <v>22555</v>
      </c>
      <c r="K8073" s="18">
        <f>6281318327727</f>
        <v>6281318327727</v>
      </c>
      <c r="N8073" s="17" t="s">
        <v>81</v>
      </c>
      <c r="U8073" s="17"/>
      <c r="V8073" s="18">
        <f>6281318327727</f>
        <v>6281318327727</v>
      </c>
      <c r="W8073" t="s">
        <v>22556</v>
      </c>
    </row>
    <row r="8074" ht="15" customHeight="1" spans="1:22" x14ac:dyDescent="0.25">
      <c r="A8074" s="17" t="s">
        <v>22557</v>
      </c>
      <c r="B8074" s="17" t="s">
        <v>70</v>
      </c>
      <c r="C8074" s="17" t="s">
        <v>71</v>
      </c>
      <c r="D8074" t="s">
        <v>3869</v>
      </c>
      <c r="F8074" t="s">
        <v>22558</v>
      </c>
      <c r="K8074" s="18">
        <f>6281322638135</f>
        <v>6281322638135</v>
      </c>
      <c r="N8074" s="17" t="s">
        <v>81</v>
      </c>
      <c r="V8074" s="18">
        <f>6281322638135</f>
        <v>6281322638135</v>
      </c>
    </row>
    <row r="8075" ht="15" customHeight="1" spans="1:27" x14ac:dyDescent="0.25">
      <c r="A8075" s="17" t="s">
        <v>22559</v>
      </c>
      <c r="B8075" s="17" t="s">
        <v>70</v>
      </c>
      <c r="C8075" s="17" t="s">
        <v>71</v>
      </c>
      <c r="D8075" t="s">
        <v>3869</v>
      </c>
      <c r="F8075" t="s">
        <v>2073</v>
      </c>
      <c r="J8075" s="17" t="s">
        <v>22560</v>
      </c>
      <c r="K8075" s="18">
        <f>821083055544</f>
        <v>821083055544</v>
      </c>
      <c r="N8075" s="17" t="s">
        <v>81</v>
      </c>
      <c r="U8075" s="17"/>
      <c r="V8075" s="18">
        <f>821083055544</f>
        <v>821083055544</v>
      </c>
      <c r="W8075" t="s">
        <v>7614</v>
      </c>
      <c r="AA8075" s="17">
        <v>80362</v>
      </c>
    </row>
    <row r="8076" ht="15" customHeight="1" spans="1:22" x14ac:dyDescent="0.25">
      <c r="A8076" s="17" t="s">
        <v>22561</v>
      </c>
      <c r="B8076" s="17" t="s">
        <v>70</v>
      </c>
      <c r="C8076" s="17" t="s">
        <v>71</v>
      </c>
      <c r="D8076" t="s">
        <v>3869</v>
      </c>
      <c r="F8076" t="s">
        <v>7934</v>
      </c>
      <c r="K8076" s="18">
        <f>62811518344</f>
        <v>62811518344</v>
      </c>
      <c r="N8076" s="17" t="s">
        <v>77</v>
      </c>
      <c r="V8076" s="18">
        <f>62811518344</f>
        <v>62811518344</v>
      </c>
    </row>
    <row r="8077" ht="15" customHeight="1" spans="1:28" x14ac:dyDescent="0.25">
      <c r="A8077" s="17" t="s">
        <v>22562</v>
      </c>
      <c r="B8077" s="17" t="s">
        <v>70</v>
      </c>
      <c r="C8077" s="17" t="s">
        <v>71</v>
      </c>
      <c r="D8077" t="s">
        <v>3869</v>
      </c>
      <c r="F8077" t="s">
        <v>22563</v>
      </c>
      <c r="J8077" s="17" t="s">
        <v>22564</v>
      </c>
      <c r="K8077" s="18" t="s">
        <v>22565</v>
      </c>
      <c r="N8077" s="17" t="s">
        <v>77</v>
      </c>
      <c r="O8077" t="s">
        <v>199</v>
      </c>
      <c r="V8077" s="18" t="s">
        <v>22565</v>
      </c>
      <c r="Y8077" t="s">
        <v>115</v>
      </c>
      <c r="AA8077" t="s">
        <v>115</v>
      </c>
      <c r="AB8077" t="s">
        <v>1306</v>
      </c>
    </row>
    <row r="8078" ht="15" customHeight="1" spans="1:22" x14ac:dyDescent="0.25">
      <c r="A8078" s="17" t="s">
        <v>22566</v>
      </c>
      <c r="B8078" s="17" t="s">
        <v>70</v>
      </c>
      <c r="C8078" s="17" t="s">
        <v>71</v>
      </c>
      <c r="D8078" t="s">
        <v>3869</v>
      </c>
      <c r="F8078" t="s">
        <v>22567</v>
      </c>
      <c r="K8078" s="18">
        <f>628118253983</f>
        <v>628118253983</v>
      </c>
      <c r="N8078" s="17" t="s">
        <v>81</v>
      </c>
      <c r="V8078" s="18">
        <f>628118253983</f>
        <v>628118253983</v>
      </c>
    </row>
    <row r="8079" ht="15" customHeight="1" spans="1:28" x14ac:dyDescent="0.25">
      <c r="A8079" s="17" t="s">
        <v>22568</v>
      </c>
      <c r="B8079" s="17" t="s">
        <v>70</v>
      </c>
      <c r="C8079" s="17" t="s">
        <v>71</v>
      </c>
      <c r="D8079" t="s">
        <v>3869</v>
      </c>
      <c r="F8079" t="s">
        <v>16698</v>
      </c>
      <c r="J8079" t="s">
        <v>115</v>
      </c>
      <c r="K8079" s="18" t="s">
        <v>22569</v>
      </c>
      <c r="N8079" s="17" t="s">
        <v>77</v>
      </c>
      <c r="O8079" t="s">
        <v>117</v>
      </c>
      <c r="V8079" s="18" t="s">
        <v>22569</v>
      </c>
      <c r="Y8079" t="s">
        <v>96</v>
      </c>
      <c r="AA8079" t="s">
        <v>693</v>
      </c>
      <c r="AB8079" t="s">
        <v>119</v>
      </c>
    </row>
    <row r="8080" ht="15" customHeight="1" spans="1:22" x14ac:dyDescent="0.25">
      <c r="A8080" s="17" t="s">
        <v>22570</v>
      </c>
      <c r="B8080" s="17" t="s">
        <v>70</v>
      </c>
      <c r="C8080" s="17" t="s">
        <v>71</v>
      </c>
      <c r="D8080" t="s">
        <v>3869</v>
      </c>
      <c r="F8080" t="s">
        <v>22571</v>
      </c>
      <c r="K8080" s="18">
        <f>628111117768</f>
        <v>628111117768</v>
      </c>
      <c r="N8080" s="17" t="s">
        <v>81</v>
      </c>
      <c r="V8080" s="18">
        <f>628111117768</f>
        <v>628111117768</v>
      </c>
    </row>
    <row r="8081" ht="15" customHeight="1" spans="1:25" x14ac:dyDescent="0.25">
      <c r="A8081" s="17" t="s">
        <v>22572</v>
      </c>
      <c r="B8081" s="17" t="s">
        <v>70</v>
      </c>
      <c r="C8081" s="17" t="s">
        <v>71</v>
      </c>
      <c r="D8081" t="s">
        <v>3869</v>
      </c>
      <c r="F8081" t="s">
        <v>22573</v>
      </c>
      <c r="K8081" s="18">
        <f>6281281795321</f>
        <v>6281281795321</v>
      </c>
      <c r="N8081" s="17" t="s">
        <v>77</v>
      </c>
      <c r="U8081" s="17"/>
      <c r="V8081" s="18">
        <f>6281281795321</f>
        <v>6281281795321</v>
      </c>
      <c r="W8081" t="s">
        <v>22574</v>
      </c>
      <c r="Y8081" s="17" t="s">
        <v>6412</v>
      </c>
    </row>
    <row r="8082" ht="15" customHeight="1" spans="1:28" x14ac:dyDescent="0.25">
      <c r="A8082" s="17" t="s">
        <v>22575</v>
      </c>
      <c r="B8082" s="17" t="s">
        <v>70</v>
      </c>
      <c r="C8082" s="17" t="s">
        <v>71</v>
      </c>
      <c r="D8082" t="s">
        <v>3869</v>
      </c>
      <c r="F8082" t="s">
        <v>22576</v>
      </c>
      <c r="J8082" s="17" t="s">
        <v>22577</v>
      </c>
      <c r="K8082" s="18" t="s">
        <v>22578</v>
      </c>
      <c r="N8082" s="17" t="s">
        <v>77</v>
      </c>
      <c r="O8082" t="s">
        <v>145</v>
      </c>
      <c r="U8082" s="17"/>
      <c r="V8082" s="18" t="s">
        <v>22578</v>
      </c>
      <c r="W8082" t="s">
        <v>7007</v>
      </c>
      <c r="Y8082" t="s">
        <v>7939</v>
      </c>
      <c r="AA8082" t="s">
        <v>115</v>
      </c>
      <c r="AB8082" t="s">
        <v>119</v>
      </c>
    </row>
    <row r="8083" ht="15" customHeight="1" spans="1:22" x14ac:dyDescent="0.25">
      <c r="A8083" s="17" t="s">
        <v>22579</v>
      </c>
      <c r="B8083" s="17" t="s">
        <v>70</v>
      </c>
      <c r="C8083" s="17" t="s">
        <v>71</v>
      </c>
      <c r="D8083" t="s">
        <v>3869</v>
      </c>
      <c r="F8083" t="s">
        <v>1499</v>
      </c>
      <c r="K8083" s="18">
        <v>1076437003</v>
      </c>
      <c r="N8083" s="17" t="s">
        <v>77</v>
      </c>
      <c r="V8083" s="18">
        <v>1076437003</v>
      </c>
    </row>
    <row r="8084" ht="15" customHeight="1" spans="1:28" x14ac:dyDescent="0.25">
      <c r="A8084" s="17" t="s">
        <v>22580</v>
      </c>
      <c r="B8084" s="17" t="s">
        <v>70</v>
      </c>
      <c r="C8084" s="17" t="s">
        <v>71</v>
      </c>
      <c r="D8084" t="s">
        <v>3869</v>
      </c>
      <c r="F8084" t="s">
        <v>22581</v>
      </c>
      <c r="J8084" t="s">
        <v>115</v>
      </c>
      <c r="K8084" s="18" t="s">
        <v>22582</v>
      </c>
      <c r="N8084" s="17" t="s">
        <v>77</v>
      </c>
      <c r="O8084" t="s">
        <v>117</v>
      </c>
      <c r="V8084" s="18" t="s">
        <v>22582</v>
      </c>
      <c r="Y8084" t="s">
        <v>90</v>
      </c>
      <c r="AA8084" t="s">
        <v>118</v>
      </c>
      <c r="AB8084" t="s">
        <v>119</v>
      </c>
    </row>
    <row r="8085" ht="15" customHeight="1" spans="1:28" x14ac:dyDescent="0.25">
      <c r="A8085" s="17" t="s">
        <v>22583</v>
      </c>
      <c r="B8085" s="17" t="s">
        <v>70</v>
      </c>
      <c r="C8085" s="17" t="s">
        <v>71</v>
      </c>
      <c r="D8085" t="s">
        <v>3869</v>
      </c>
      <c r="F8085" t="s">
        <v>22584</v>
      </c>
      <c r="J8085" t="s">
        <v>115</v>
      </c>
      <c r="K8085" s="18" t="s">
        <v>22585</v>
      </c>
      <c r="N8085" s="17" t="s">
        <v>77</v>
      </c>
      <c r="O8085" t="s">
        <v>117</v>
      </c>
      <c r="V8085" s="18" t="s">
        <v>22585</v>
      </c>
      <c r="Y8085" t="s">
        <v>90</v>
      </c>
      <c r="AA8085" t="s">
        <v>118</v>
      </c>
      <c r="AB8085" t="s">
        <v>119</v>
      </c>
    </row>
    <row r="8086" ht="15" customHeight="1" spans="1:28" x14ac:dyDescent="0.25">
      <c r="A8086" s="17" t="s">
        <v>22586</v>
      </c>
      <c r="B8086" s="17" t="s">
        <v>70</v>
      </c>
      <c r="C8086" s="17" t="s">
        <v>71</v>
      </c>
      <c r="D8086" t="s">
        <v>22587</v>
      </c>
      <c r="F8086" t="s">
        <v>22588</v>
      </c>
      <c r="J8086" s="17" t="s">
        <v>22589</v>
      </c>
      <c r="K8086" s="18" t="s">
        <v>22590</v>
      </c>
      <c r="N8086" s="17" t="s">
        <v>77</v>
      </c>
      <c r="O8086" t="s">
        <v>145</v>
      </c>
      <c r="U8086" s="17"/>
      <c r="V8086" s="18" t="s">
        <v>22590</v>
      </c>
      <c r="W8086" t="s">
        <v>22591</v>
      </c>
      <c r="Y8086" t="s">
        <v>115</v>
      </c>
      <c r="AA8086" t="s">
        <v>115</v>
      </c>
      <c r="AB8086" t="s">
        <v>119</v>
      </c>
    </row>
    <row r="8087" ht="15" customHeight="1" spans="1:22" x14ac:dyDescent="0.25">
      <c r="A8087" s="17" t="s">
        <v>22592</v>
      </c>
      <c r="B8087" s="17" t="s">
        <v>70</v>
      </c>
      <c r="C8087" s="17" t="s">
        <v>71</v>
      </c>
      <c r="D8087" t="s">
        <v>3869</v>
      </c>
      <c r="F8087" t="s">
        <v>22593</v>
      </c>
      <c r="K8087" s="18">
        <f>628129677156</f>
        <v>628129677156</v>
      </c>
      <c r="N8087" s="17" t="s">
        <v>81</v>
      </c>
      <c r="V8087" s="18">
        <f>628129677156</f>
        <v>628129677156</v>
      </c>
    </row>
    <row r="8088" ht="15" customHeight="1" spans="1:22" x14ac:dyDescent="0.25">
      <c r="A8088" s="17" t="s">
        <v>22594</v>
      </c>
      <c r="B8088" s="17" t="s">
        <v>70</v>
      </c>
      <c r="C8088" s="17" t="s">
        <v>71</v>
      </c>
      <c r="D8088" t="s">
        <v>3869</v>
      </c>
      <c r="F8088" t="s">
        <v>22595</v>
      </c>
      <c r="K8088" s="18">
        <f>6281210531300</f>
        <v>6281210531300</v>
      </c>
      <c r="N8088" s="17" t="s">
        <v>77</v>
      </c>
      <c r="V8088" s="18">
        <f>6281210531300</f>
        <v>6281210531300</v>
      </c>
    </row>
    <row r="8089" ht="15" customHeight="1" spans="1:22" x14ac:dyDescent="0.25">
      <c r="A8089" s="17" t="s">
        <v>22596</v>
      </c>
      <c r="B8089" s="17" t="s">
        <v>70</v>
      </c>
      <c r="C8089" s="17" t="s">
        <v>71</v>
      </c>
      <c r="D8089" t="s">
        <v>3869</v>
      </c>
      <c r="F8089" t="s">
        <v>22597</v>
      </c>
      <c r="K8089" s="18">
        <f>628118897227</f>
        <v>628118897227</v>
      </c>
      <c r="N8089" s="17" t="s">
        <v>81</v>
      </c>
      <c r="V8089" s="18">
        <f>628118897227</f>
        <v>628118897227</v>
      </c>
    </row>
    <row r="8090" ht="15" customHeight="1" spans="1:28" x14ac:dyDescent="0.25">
      <c r="A8090" s="17" t="s">
        <v>22598</v>
      </c>
      <c r="B8090" s="17" t="s">
        <v>70</v>
      </c>
      <c r="C8090" s="17" t="s">
        <v>71</v>
      </c>
      <c r="D8090" t="s">
        <v>2195</v>
      </c>
      <c r="F8090" t="s">
        <v>3869</v>
      </c>
      <c r="J8090" s="17" t="s">
        <v>22599</v>
      </c>
      <c r="K8090" s="18" t="s">
        <v>22600</v>
      </c>
      <c r="N8090" s="17" t="s">
        <v>77</v>
      </c>
      <c r="O8090" t="s">
        <v>117</v>
      </c>
      <c r="U8090" s="17"/>
      <c r="V8090" s="18" t="s">
        <v>22600</v>
      </c>
      <c r="W8090" t="s">
        <v>22601</v>
      </c>
      <c r="Y8090" t="s">
        <v>3048</v>
      </c>
      <c r="AA8090" t="s">
        <v>115</v>
      </c>
      <c r="AB8090" t="s">
        <v>119</v>
      </c>
    </row>
    <row r="8091" ht="15" customHeight="1" spans="1:22" x14ac:dyDescent="0.25">
      <c r="A8091" s="17" t="s">
        <v>22602</v>
      </c>
      <c r="B8091" s="17" t="s">
        <v>70</v>
      </c>
      <c r="C8091" s="17" t="s">
        <v>71</v>
      </c>
      <c r="D8091" t="s">
        <v>3869</v>
      </c>
      <c r="F8091" t="s">
        <v>3111</v>
      </c>
      <c r="K8091" s="18">
        <f>6281519020258</f>
        <v>6281519020258</v>
      </c>
      <c r="N8091" s="17" t="s">
        <v>77</v>
      </c>
      <c r="V8091" s="18">
        <f>6281519020258</f>
        <v>6281519020258</v>
      </c>
    </row>
    <row r="8092" ht="15" customHeight="1" spans="1:23" x14ac:dyDescent="0.25">
      <c r="A8092" s="17" t="s">
        <v>22603</v>
      </c>
      <c r="B8092" s="17" t="s">
        <v>70</v>
      </c>
      <c r="C8092" s="17" t="s">
        <v>71</v>
      </c>
      <c r="D8092" t="s">
        <v>3869</v>
      </c>
      <c r="F8092" t="s">
        <v>7941</v>
      </c>
      <c r="K8092" s="18">
        <f>21050646464</f>
        <v>21050646464</v>
      </c>
      <c r="N8092" s="17" t="s">
        <v>77</v>
      </c>
      <c r="U8092" s="17"/>
      <c r="V8092" s="18">
        <f>21050646464</f>
        <v>21050646464</v>
      </c>
      <c r="W8092" t="s">
        <v>7007</v>
      </c>
    </row>
    <row r="8093" ht="15" customHeight="1" spans="1:22" x14ac:dyDescent="0.25">
      <c r="A8093" s="17" t="s">
        <v>22604</v>
      </c>
      <c r="B8093" s="17" t="s">
        <v>70</v>
      </c>
      <c r="C8093" s="17" t="s">
        <v>71</v>
      </c>
      <c r="D8093" t="s">
        <v>3869</v>
      </c>
      <c r="F8093" t="s">
        <v>3092</v>
      </c>
      <c r="K8093" s="18">
        <f>628118401029</f>
        <v>628118401029</v>
      </c>
      <c r="N8093" s="17" t="s">
        <v>81</v>
      </c>
      <c r="V8093" s="18">
        <f>628118401029</f>
        <v>628118401029</v>
      </c>
    </row>
    <row r="8094" ht="15" customHeight="1" spans="1:22" x14ac:dyDescent="0.25">
      <c r="A8094" s="17" t="s">
        <v>22605</v>
      </c>
      <c r="B8094" s="17" t="s">
        <v>70</v>
      </c>
      <c r="C8094" s="17" t="s">
        <v>71</v>
      </c>
      <c r="D8094" t="s">
        <v>3869</v>
      </c>
      <c r="F8094" t="s">
        <v>22606</v>
      </c>
      <c r="K8094" s="18">
        <f>628118401021</f>
        <v>628118401021</v>
      </c>
      <c r="N8094" s="17" t="s">
        <v>74</v>
      </c>
      <c r="V8094" s="18">
        <f>628118401021</f>
        <v>628118401021</v>
      </c>
    </row>
    <row r="8095" ht="15" customHeight="1" spans="1:28" x14ac:dyDescent="0.25">
      <c r="A8095" s="17" t="s">
        <v>22607</v>
      </c>
      <c r="B8095" s="17" t="s">
        <v>70</v>
      </c>
      <c r="C8095" s="17" t="s">
        <v>71</v>
      </c>
      <c r="D8095" t="s">
        <v>22608</v>
      </c>
      <c r="F8095" t="s">
        <v>21093</v>
      </c>
      <c r="J8095" t="s">
        <v>115</v>
      </c>
      <c r="K8095" s="18" t="s">
        <v>22609</v>
      </c>
      <c r="N8095" s="17" t="s">
        <v>81</v>
      </c>
      <c r="O8095" t="s">
        <v>117</v>
      </c>
      <c r="V8095" s="18" t="s">
        <v>22609</v>
      </c>
      <c r="Y8095" t="s">
        <v>90</v>
      </c>
      <c r="AA8095" t="s">
        <v>118</v>
      </c>
      <c r="AB8095" t="s">
        <v>119</v>
      </c>
    </row>
    <row r="8096" ht="15" customHeight="1" spans="1:22" x14ac:dyDescent="0.25">
      <c r="A8096" s="17" t="s">
        <v>22610</v>
      </c>
      <c r="B8096" s="17" t="s">
        <v>70</v>
      </c>
      <c r="C8096" s="17" t="s">
        <v>71</v>
      </c>
      <c r="D8096" t="s">
        <v>3869</v>
      </c>
      <c r="F8096" t="s">
        <v>22611</v>
      </c>
      <c r="K8096" s="18">
        <f>821041001000</f>
        <v>821041001000</v>
      </c>
      <c r="N8096" s="17" t="s">
        <v>77</v>
      </c>
      <c r="V8096" s="18">
        <f>821041001000</f>
        <v>821041001000</v>
      </c>
    </row>
    <row r="8097" ht="15" customHeight="1" spans="1:22" x14ac:dyDescent="0.25">
      <c r="A8097" s="17" t="s">
        <v>22612</v>
      </c>
      <c r="B8097" s="17" t="s">
        <v>70</v>
      </c>
      <c r="C8097" s="17" t="s">
        <v>71</v>
      </c>
      <c r="D8097" t="s">
        <v>3869</v>
      </c>
      <c r="F8097" t="s">
        <v>7641</v>
      </c>
      <c r="K8097" s="18">
        <f>62811886068</f>
        <v>62811886068</v>
      </c>
      <c r="N8097" s="17" t="s">
        <v>74</v>
      </c>
      <c r="V8097" s="18">
        <f>62811886068</f>
        <v>62811886068</v>
      </c>
    </row>
    <row r="8098" ht="15" customHeight="1" spans="1:23" x14ac:dyDescent="0.25">
      <c r="A8098" s="17" t="s">
        <v>22613</v>
      </c>
      <c r="B8098" s="17" t="s">
        <v>70</v>
      </c>
      <c r="C8098" s="17" t="s">
        <v>71</v>
      </c>
      <c r="D8098" t="s">
        <v>3869</v>
      </c>
      <c r="F8098" t="s">
        <v>22614</v>
      </c>
      <c r="K8098" s="18">
        <f>628116142134</f>
        <v>628116142134</v>
      </c>
      <c r="N8098" s="17" t="s">
        <v>77</v>
      </c>
      <c r="U8098" s="17"/>
      <c r="V8098" s="18">
        <f>628116142134</f>
        <v>628116142134</v>
      </c>
      <c r="W8098" t="s">
        <v>22615</v>
      </c>
    </row>
    <row r="8099" ht="15" customHeight="1" spans="1:22" x14ac:dyDescent="0.25">
      <c r="A8099" s="17" t="s">
        <v>22616</v>
      </c>
      <c r="B8099" s="17" t="s">
        <v>70</v>
      </c>
      <c r="C8099" s="17" t="s">
        <v>71</v>
      </c>
      <c r="D8099" t="s">
        <v>3869</v>
      </c>
      <c r="F8099" t="s">
        <v>2108</v>
      </c>
      <c r="K8099" s="18">
        <f>628161027273</f>
        <v>628161027273</v>
      </c>
      <c r="N8099" s="17" t="s">
        <v>77</v>
      </c>
      <c r="V8099" s="18">
        <f>628161027273</f>
        <v>628161027273</v>
      </c>
    </row>
    <row r="8100" ht="15" customHeight="1" spans="1:23" x14ac:dyDescent="0.25">
      <c r="A8100" s="17" t="s">
        <v>22617</v>
      </c>
      <c r="B8100" s="17" t="s">
        <v>70</v>
      </c>
      <c r="C8100" s="17" t="s">
        <v>71</v>
      </c>
      <c r="D8100" t="s">
        <v>3869</v>
      </c>
      <c r="F8100" t="s">
        <v>2108</v>
      </c>
      <c r="K8100" s="18">
        <f>628161827273</f>
        <v>628161827273</v>
      </c>
      <c r="N8100" s="17" t="s">
        <v>77</v>
      </c>
      <c r="U8100" s="17"/>
      <c r="V8100" s="18">
        <f>628161827273</f>
        <v>628161827273</v>
      </c>
      <c r="W8100" t="s">
        <v>22618</v>
      </c>
    </row>
    <row r="8101" ht="15" customHeight="1" spans="1:22" x14ac:dyDescent="0.25">
      <c r="A8101" s="17" t="s">
        <v>22619</v>
      </c>
      <c r="B8101" s="17" t="s">
        <v>70</v>
      </c>
      <c r="C8101" s="17" t="s">
        <v>71</v>
      </c>
      <c r="D8101" t="s">
        <v>3869</v>
      </c>
      <c r="F8101" t="s">
        <v>1533</v>
      </c>
      <c r="K8101" s="18">
        <f>628111149650</f>
        <v>628111149650</v>
      </c>
      <c r="N8101" s="17" t="s">
        <v>81</v>
      </c>
      <c r="V8101" s="18">
        <f>628111149650</f>
        <v>628111149650</v>
      </c>
    </row>
    <row r="8102" ht="15" customHeight="1" spans="1:22" x14ac:dyDescent="0.25">
      <c r="A8102" s="17" t="s">
        <v>22620</v>
      </c>
      <c r="B8102" s="17" t="s">
        <v>70</v>
      </c>
      <c r="C8102" s="17" t="s">
        <v>71</v>
      </c>
      <c r="D8102" t="s">
        <v>3869</v>
      </c>
      <c r="F8102" t="s">
        <v>22621</v>
      </c>
      <c r="K8102" s="18">
        <f>628121072486</f>
        <v>628121072486</v>
      </c>
      <c r="N8102" s="17" t="s">
        <v>77</v>
      </c>
      <c r="V8102" s="18">
        <f>628121072486</f>
        <v>628121072486</v>
      </c>
    </row>
    <row r="8103" ht="15" customHeight="1" spans="1:22" x14ac:dyDescent="0.25">
      <c r="A8103" s="17" t="s">
        <v>22622</v>
      </c>
      <c r="B8103" s="17" t="s">
        <v>70</v>
      </c>
      <c r="C8103" s="17" t="s">
        <v>71</v>
      </c>
      <c r="D8103" t="s">
        <v>3869</v>
      </c>
      <c r="F8103" t="s">
        <v>3692</v>
      </c>
      <c r="K8103" s="18">
        <f>62826042023</f>
        <v>62826042023</v>
      </c>
      <c r="N8103" s="17" t="s">
        <v>81</v>
      </c>
      <c r="V8103" s="18">
        <f>62826042023</f>
        <v>62826042023</v>
      </c>
    </row>
    <row r="8104" ht="15" customHeight="1" spans="1:22" x14ac:dyDescent="0.25">
      <c r="A8104" s="17" t="s">
        <v>22623</v>
      </c>
      <c r="B8104" s="17" t="s">
        <v>70</v>
      </c>
      <c r="C8104" s="17" t="s">
        <v>71</v>
      </c>
      <c r="D8104" t="s">
        <v>3869</v>
      </c>
      <c r="F8104" t="s">
        <v>17108</v>
      </c>
      <c r="K8104" s="18">
        <f>62811108821</f>
        <v>62811108821</v>
      </c>
      <c r="N8104" s="17" t="s">
        <v>77</v>
      </c>
      <c r="V8104" s="18">
        <f>62811108821</f>
        <v>62811108821</v>
      </c>
    </row>
    <row r="8105" ht="15" customHeight="1" spans="1:28" x14ac:dyDescent="0.25">
      <c r="A8105" s="17" t="s">
        <v>22624</v>
      </c>
      <c r="B8105" s="17" t="s">
        <v>70</v>
      </c>
      <c r="C8105" s="17" t="s">
        <v>71</v>
      </c>
      <c r="D8105" t="s">
        <v>3869</v>
      </c>
      <c r="F8105" t="s">
        <v>22625</v>
      </c>
      <c r="J8105" t="s">
        <v>115</v>
      </c>
      <c r="K8105" s="18" t="s">
        <v>22626</v>
      </c>
      <c r="N8105" s="17" t="s">
        <v>81</v>
      </c>
      <c r="O8105" t="s">
        <v>489</v>
      </c>
      <c r="U8105" s="17"/>
      <c r="V8105" s="18" t="s">
        <v>22626</v>
      </c>
      <c r="W8105" t="s">
        <v>22627</v>
      </c>
      <c r="Y8105" s="17" t="s">
        <v>96</v>
      </c>
      <c r="AA8105" t="s">
        <v>693</v>
      </c>
      <c r="AB8105" t="s">
        <v>119</v>
      </c>
    </row>
    <row r="8106" ht="15" customHeight="1" spans="1:23" x14ac:dyDescent="0.25">
      <c r="A8106" s="17" t="s">
        <v>22628</v>
      </c>
      <c r="B8106" s="17" t="s">
        <v>70</v>
      </c>
      <c r="C8106" s="17" t="s">
        <v>71</v>
      </c>
      <c r="D8106" t="s">
        <v>3869</v>
      </c>
      <c r="F8106" t="s">
        <v>12743</v>
      </c>
      <c r="K8106" s="18">
        <f>6281932322280</f>
        <v>6281932322280</v>
      </c>
      <c r="N8106" s="17" t="s">
        <v>77</v>
      </c>
      <c r="U8106" s="17"/>
      <c r="V8106" s="18">
        <f>6281932322280</f>
        <v>6281932322280</v>
      </c>
      <c r="W8106" t="s">
        <v>6008</v>
      </c>
    </row>
    <row r="8107" ht="15" customHeight="1" spans="1:28" x14ac:dyDescent="0.25">
      <c r="A8107" s="17" t="s">
        <v>22629</v>
      </c>
      <c r="B8107" s="17" t="s">
        <v>70</v>
      </c>
      <c r="C8107" s="17" t="s">
        <v>71</v>
      </c>
      <c r="D8107" t="s">
        <v>3869</v>
      </c>
      <c r="F8107" t="s">
        <v>22630</v>
      </c>
      <c r="J8107" t="s">
        <v>115</v>
      </c>
      <c r="K8107" s="18" t="s">
        <v>22631</v>
      </c>
      <c r="N8107" s="17" t="s">
        <v>81</v>
      </c>
      <c r="O8107" t="s">
        <v>489</v>
      </c>
      <c r="V8107" s="18" t="s">
        <v>22631</v>
      </c>
      <c r="Y8107" t="s">
        <v>217</v>
      </c>
      <c r="AA8107" t="s">
        <v>218</v>
      </c>
      <c r="AB8107" t="s">
        <v>119</v>
      </c>
    </row>
    <row r="8108" ht="15" customHeight="1" spans="1:23" x14ac:dyDescent="0.25">
      <c r="A8108" s="17" t="s">
        <v>22632</v>
      </c>
      <c r="B8108" s="17" t="s">
        <v>70</v>
      </c>
      <c r="C8108" s="17" t="s">
        <v>71</v>
      </c>
      <c r="D8108" t="s">
        <v>3869</v>
      </c>
      <c r="F8108" t="s">
        <v>22633</v>
      </c>
      <c r="K8108" s="18">
        <f>821096860325</f>
        <v>821096860325</v>
      </c>
      <c r="N8108" s="17" t="s">
        <v>77</v>
      </c>
      <c r="U8108" s="17"/>
      <c r="V8108" s="18">
        <f>821096860325</f>
        <v>821096860325</v>
      </c>
      <c r="W8108" t="s">
        <v>7007</v>
      </c>
    </row>
    <row r="8109" ht="15" customHeight="1" spans="1:28" x14ac:dyDescent="0.25">
      <c r="A8109" s="17" t="s">
        <v>22634</v>
      </c>
      <c r="B8109" s="17" t="s">
        <v>70</v>
      </c>
      <c r="C8109" s="17" t="s">
        <v>71</v>
      </c>
      <c r="D8109" t="s">
        <v>22635</v>
      </c>
      <c r="F8109" t="s">
        <v>17798</v>
      </c>
      <c r="J8109" t="s">
        <v>115</v>
      </c>
      <c r="K8109" s="18" t="s">
        <v>22636</v>
      </c>
      <c r="N8109" s="17" t="s">
        <v>81</v>
      </c>
      <c r="O8109" t="s">
        <v>117</v>
      </c>
      <c r="V8109" s="18" t="s">
        <v>22636</v>
      </c>
      <c r="Y8109" t="s">
        <v>115</v>
      </c>
      <c r="AA8109" t="s">
        <v>115</v>
      </c>
      <c r="AB8109" t="s">
        <v>119</v>
      </c>
    </row>
    <row r="8110" ht="15" customHeight="1" spans="1:22" x14ac:dyDescent="0.25">
      <c r="A8110" s="17" t="s">
        <v>22637</v>
      </c>
      <c r="B8110" s="17" t="s">
        <v>70</v>
      </c>
      <c r="C8110" s="17" t="s">
        <v>71</v>
      </c>
      <c r="D8110" t="s">
        <v>3869</v>
      </c>
      <c r="F8110" t="s">
        <v>22638</v>
      </c>
      <c r="K8110" s="18">
        <f>62818937840</f>
        <v>62818937840</v>
      </c>
      <c r="N8110" s="17" t="s">
        <v>77</v>
      </c>
      <c r="V8110" s="18">
        <f>62818937840</f>
        <v>62818937840</v>
      </c>
    </row>
    <row r="8111" ht="15" customHeight="1" spans="1:27" x14ac:dyDescent="0.25">
      <c r="A8111" s="17" t="s">
        <v>22639</v>
      </c>
      <c r="B8111" s="17" t="s">
        <v>70</v>
      </c>
      <c r="C8111" s="17" t="s">
        <v>71</v>
      </c>
      <c r="D8111" t="s">
        <v>3869</v>
      </c>
      <c r="F8111" t="s">
        <v>22640</v>
      </c>
      <c r="K8111" s="18">
        <f>62217198277</f>
        <v>62217198277</v>
      </c>
      <c r="N8111" s="17" t="s">
        <v>77</v>
      </c>
      <c r="U8111" s="17"/>
      <c r="V8111" s="18">
        <f>62217198277</f>
        <v>62217198277</v>
      </c>
      <c r="W8111" t="s">
        <v>22641</v>
      </c>
      <c r="Y8111" s="17" t="s">
        <v>96</v>
      </c>
      <c r="AA8111" s="17">
        <v>12110</v>
      </c>
    </row>
    <row r="8112" ht="15" customHeight="1" spans="1:22" x14ac:dyDescent="0.25">
      <c r="A8112" s="17" t="s">
        <v>22642</v>
      </c>
      <c r="B8112" s="17" t="s">
        <v>70</v>
      </c>
      <c r="C8112" s="17" t="s">
        <v>71</v>
      </c>
      <c r="D8112" t="s">
        <v>3869</v>
      </c>
      <c r="F8112" t="s">
        <v>17836</v>
      </c>
      <c r="K8112" s="18">
        <f>628118700463</f>
        <v>628118700463</v>
      </c>
      <c r="N8112" s="17" t="s">
        <v>81</v>
      </c>
      <c r="V8112" s="18">
        <f>628118700463</f>
        <v>628118700463</v>
      </c>
    </row>
    <row r="8113" ht="15" customHeight="1" spans="1:25" x14ac:dyDescent="0.25">
      <c r="A8113" s="17" t="s">
        <v>22643</v>
      </c>
      <c r="B8113" s="17" t="s">
        <v>70</v>
      </c>
      <c r="C8113" s="17" t="s">
        <v>71</v>
      </c>
      <c r="D8113" t="s">
        <v>3869</v>
      </c>
      <c r="F8113" t="s">
        <v>22644</v>
      </c>
      <c r="J8113" s="17" t="s">
        <v>22645</v>
      </c>
      <c r="K8113" s="18">
        <f>62811543943</f>
        <v>62811543943</v>
      </c>
      <c r="N8113" s="17" t="s">
        <v>77</v>
      </c>
      <c r="U8113" s="17"/>
      <c r="V8113" s="18">
        <f>62811543943</f>
        <v>62811543943</v>
      </c>
      <c r="W8113" t="s">
        <v>22646</v>
      </c>
      <c r="Y8113" s="17" t="s">
        <v>96</v>
      </c>
    </row>
    <row r="8114" ht="15" customHeight="1" spans="1:22" x14ac:dyDescent="0.25">
      <c r="A8114" s="17" t="s">
        <v>22647</v>
      </c>
      <c r="B8114" s="17" t="s">
        <v>70</v>
      </c>
      <c r="C8114" s="17" t="s">
        <v>71</v>
      </c>
      <c r="D8114" t="s">
        <v>3869</v>
      </c>
      <c r="F8114" t="s">
        <v>22648</v>
      </c>
      <c r="K8114" s="18">
        <f>821027138803</f>
        <v>821027138803</v>
      </c>
      <c r="N8114" s="17" t="s">
        <v>77</v>
      </c>
      <c r="V8114" s="18">
        <f>821027138803</f>
        <v>821027138803</v>
      </c>
    </row>
    <row r="8115" ht="15" customHeight="1" spans="1:28" x14ac:dyDescent="0.25">
      <c r="A8115" s="17" t="s">
        <v>22649</v>
      </c>
      <c r="B8115" s="17" t="s">
        <v>70</v>
      </c>
      <c r="C8115" s="17" t="s">
        <v>71</v>
      </c>
      <c r="D8115" t="s">
        <v>3869</v>
      </c>
      <c r="F8115" t="s">
        <v>22650</v>
      </c>
      <c r="J8115" s="17" t="s">
        <v>22651</v>
      </c>
      <c r="K8115" s="18" t="s">
        <v>22652</v>
      </c>
      <c r="N8115" s="17" t="s">
        <v>77</v>
      </c>
      <c r="O8115" t="s">
        <v>117</v>
      </c>
      <c r="V8115" s="18" t="s">
        <v>22652</v>
      </c>
      <c r="Y8115" t="s">
        <v>90</v>
      </c>
      <c r="AA8115" t="s">
        <v>118</v>
      </c>
      <c r="AB8115" t="s">
        <v>119</v>
      </c>
    </row>
    <row r="8116" ht="15" customHeight="1" spans="1:28" x14ac:dyDescent="0.25">
      <c r="A8116" s="17" t="s">
        <v>22653</v>
      </c>
      <c r="B8116" s="17" t="s">
        <v>70</v>
      </c>
      <c r="C8116" s="17" t="s">
        <v>71</v>
      </c>
      <c r="D8116" t="s">
        <v>3869</v>
      </c>
      <c r="F8116" t="s">
        <v>22654</v>
      </c>
      <c r="J8116" t="s">
        <v>115</v>
      </c>
      <c r="K8116" s="18" t="s">
        <v>22655</v>
      </c>
      <c r="N8116" s="17" t="s">
        <v>77</v>
      </c>
      <c r="O8116" t="s">
        <v>117</v>
      </c>
      <c r="V8116" s="18" t="s">
        <v>22655</v>
      </c>
      <c r="Y8116" t="s">
        <v>190</v>
      </c>
      <c r="AA8116" t="s">
        <v>118</v>
      </c>
      <c r="AB8116" t="s">
        <v>119</v>
      </c>
    </row>
    <row r="8117" ht="15" customHeight="1" spans="1:28" x14ac:dyDescent="0.25">
      <c r="A8117" s="17" t="s">
        <v>22656</v>
      </c>
      <c r="B8117" s="17" t="s">
        <v>70</v>
      </c>
      <c r="C8117" s="17" t="s">
        <v>71</v>
      </c>
      <c r="D8117" t="s">
        <v>22657</v>
      </c>
      <c r="F8117" t="s">
        <v>22658</v>
      </c>
      <c r="J8117" t="s">
        <v>115</v>
      </c>
      <c r="K8117" s="18" t="s">
        <v>22659</v>
      </c>
      <c r="N8117" s="17" t="s">
        <v>77</v>
      </c>
      <c r="O8117" t="s">
        <v>117</v>
      </c>
      <c r="V8117" s="18" t="s">
        <v>22659</v>
      </c>
      <c r="Y8117" t="s">
        <v>90</v>
      </c>
      <c r="AA8117" t="s">
        <v>118</v>
      </c>
      <c r="AB8117" t="s">
        <v>119</v>
      </c>
    </row>
    <row r="8118" ht="15" customHeight="1" spans="1:22" x14ac:dyDescent="0.25">
      <c r="A8118" s="17" t="s">
        <v>22660</v>
      </c>
      <c r="B8118" s="17" t="s">
        <v>70</v>
      </c>
      <c r="C8118" s="17" t="s">
        <v>71</v>
      </c>
      <c r="D8118" t="s">
        <v>3869</v>
      </c>
      <c r="F8118" t="s">
        <v>22661</v>
      </c>
      <c r="K8118" s="18">
        <f>62811825947</f>
        <v>62811825947</v>
      </c>
      <c r="N8118" s="17" t="s">
        <v>77</v>
      </c>
      <c r="V8118" s="18">
        <f>62811825947</f>
        <v>62811825947</v>
      </c>
    </row>
    <row r="8119" ht="15" customHeight="1" spans="1:22" x14ac:dyDescent="0.25">
      <c r="A8119" s="17" t="s">
        <v>22662</v>
      </c>
      <c r="B8119" s="17" t="s">
        <v>70</v>
      </c>
      <c r="C8119" s="17" t="s">
        <v>71</v>
      </c>
      <c r="D8119" t="s">
        <v>3869</v>
      </c>
      <c r="F8119" t="s">
        <v>22663</v>
      </c>
      <c r="J8119" s="17" t="s">
        <v>22664</v>
      </c>
      <c r="K8119" s="18">
        <f>6282114728176</f>
        <v>6282114728176</v>
      </c>
      <c r="N8119" s="17" t="s">
        <v>77</v>
      </c>
      <c r="V8119" s="18">
        <f>6282114728176</f>
        <v>6282114728176</v>
      </c>
    </row>
    <row r="8120" ht="15" customHeight="1" spans="1:22" x14ac:dyDescent="0.25">
      <c r="A8120" s="17" t="s">
        <v>22665</v>
      </c>
      <c r="B8120" s="17" t="s">
        <v>70</v>
      </c>
      <c r="C8120" s="17" t="s">
        <v>71</v>
      </c>
      <c r="D8120" t="s">
        <v>3869</v>
      </c>
      <c r="F8120" t="s">
        <v>18083</v>
      </c>
      <c r="K8120" s="18">
        <f>62816938211</f>
        <v>62816938211</v>
      </c>
      <c r="N8120" s="17" t="s">
        <v>77</v>
      </c>
      <c r="V8120" s="18">
        <f>62816938211</f>
        <v>62816938211</v>
      </c>
    </row>
    <row r="8121" ht="15" customHeight="1" spans="1:22" x14ac:dyDescent="0.25">
      <c r="A8121" s="17" t="s">
        <v>22666</v>
      </c>
      <c r="B8121" s="17" t="s">
        <v>70</v>
      </c>
      <c r="C8121" s="17" t="s">
        <v>71</v>
      </c>
      <c r="D8121" t="s">
        <v>3869</v>
      </c>
      <c r="F8121" t="s">
        <v>17108</v>
      </c>
      <c r="K8121" s="18">
        <f>628112285117</f>
        <v>628112285117</v>
      </c>
      <c r="N8121" s="17" t="s">
        <v>77</v>
      </c>
      <c r="V8121" s="18">
        <f>628112285117</f>
        <v>628112285117</v>
      </c>
    </row>
    <row r="8122" ht="15" customHeight="1" spans="1:22" x14ac:dyDescent="0.25">
      <c r="A8122" s="17" t="s">
        <v>22667</v>
      </c>
      <c r="B8122" s="17" t="s">
        <v>70</v>
      </c>
      <c r="C8122" s="17" t="s">
        <v>71</v>
      </c>
      <c r="D8122" t="s">
        <v>3869</v>
      </c>
      <c r="F8122" t="s">
        <v>17108</v>
      </c>
      <c r="K8122" s="18">
        <f>62818113062</f>
        <v>62818113062</v>
      </c>
      <c r="N8122" s="17" t="s">
        <v>77</v>
      </c>
      <c r="V8122" s="18">
        <f>62818113062</f>
        <v>62818113062</v>
      </c>
    </row>
    <row r="8123" ht="15" customHeight="1" spans="1:22" x14ac:dyDescent="0.25">
      <c r="A8123" s="17" t="s">
        <v>22668</v>
      </c>
      <c r="B8123" s="17" t="s">
        <v>70</v>
      </c>
      <c r="C8123" s="17" t="s">
        <v>71</v>
      </c>
      <c r="D8123" t="s">
        <v>22543</v>
      </c>
      <c r="F8123" t="s">
        <v>7289</v>
      </c>
      <c r="K8123" s="18">
        <f>6281319782000</f>
        <v>6281319782000</v>
      </c>
      <c r="N8123" s="17" t="s">
        <v>81</v>
      </c>
      <c r="V8123" s="18">
        <f>6281319782000</f>
        <v>6281319782000</v>
      </c>
    </row>
    <row r="8124" ht="15" customHeight="1" spans="1:23" x14ac:dyDescent="0.25">
      <c r="A8124" s="17" t="s">
        <v>22669</v>
      </c>
      <c r="B8124" s="17" t="s">
        <v>70</v>
      </c>
      <c r="C8124" s="17" t="s">
        <v>71</v>
      </c>
      <c r="D8124" t="s">
        <v>22670</v>
      </c>
      <c r="F8124" t="s">
        <v>22671</v>
      </c>
      <c r="K8124" s="18">
        <f>628111231692</f>
        <v>628111231692</v>
      </c>
      <c r="N8124" s="17" t="s">
        <v>77</v>
      </c>
      <c r="U8124" s="17"/>
      <c r="V8124" s="18">
        <f>628111231692</f>
        <v>628111231692</v>
      </c>
      <c r="W8124" t="s">
        <v>22672</v>
      </c>
    </row>
    <row r="8125" ht="15" customHeight="1" spans="1:22" x14ac:dyDescent="0.25">
      <c r="A8125" s="17" t="s">
        <v>22673</v>
      </c>
      <c r="B8125" s="17" t="s">
        <v>70</v>
      </c>
      <c r="C8125" s="17" t="s">
        <v>71</v>
      </c>
      <c r="D8125" t="s">
        <v>22670</v>
      </c>
      <c r="F8125" t="s">
        <v>22674</v>
      </c>
      <c r="K8125" s="18">
        <f>6287880152050</f>
        <v>6287880152050</v>
      </c>
      <c r="N8125" s="17" t="s">
        <v>81</v>
      </c>
      <c r="V8125" s="18">
        <f>6287880152050</f>
        <v>6287880152050</v>
      </c>
    </row>
    <row r="8126" ht="15" customHeight="1" spans="1:25" x14ac:dyDescent="0.25">
      <c r="A8126" s="17" t="s">
        <v>22675</v>
      </c>
      <c r="B8126" s="17" t="s">
        <v>70</v>
      </c>
      <c r="C8126" s="17" t="s">
        <v>71</v>
      </c>
      <c r="D8126" t="s">
        <v>22676</v>
      </c>
      <c r="F8126" t="s">
        <v>2178</v>
      </c>
      <c r="K8126" s="18">
        <f>628151813225</f>
        <v>628151813225</v>
      </c>
      <c r="N8126" s="17" t="s">
        <v>77</v>
      </c>
      <c r="U8126" s="17"/>
      <c r="V8126" s="18">
        <f>628151813225</f>
        <v>628151813225</v>
      </c>
      <c r="W8126" t="s">
        <v>3410</v>
      </c>
      <c r="Y8126" s="17" t="s">
        <v>397</v>
      </c>
    </row>
    <row r="8127" ht="15" customHeight="1" spans="1:28" x14ac:dyDescent="0.25">
      <c r="A8127" s="17" t="s">
        <v>22677</v>
      </c>
      <c r="B8127" s="17" t="s">
        <v>70</v>
      </c>
      <c r="C8127" s="17" t="s">
        <v>71</v>
      </c>
      <c r="D8127" t="s">
        <v>22202</v>
      </c>
      <c r="F8127" t="s">
        <v>7846</v>
      </c>
      <c r="J8127" s="17" t="s">
        <v>22678</v>
      </c>
      <c r="K8127" s="18" t="s">
        <v>22679</v>
      </c>
      <c r="N8127" s="17" t="s">
        <v>81</v>
      </c>
      <c r="O8127" t="s">
        <v>117</v>
      </c>
      <c r="V8127" s="18" t="s">
        <v>22679</v>
      </c>
      <c r="Y8127" t="s">
        <v>3140</v>
      </c>
      <c r="AA8127" t="s">
        <v>115</v>
      </c>
      <c r="AB8127" t="s">
        <v>3140</v>
      </c>
    </row>
    <row r="8128" ht="15" customHeight="1" spans="1:28" x14ac:dyDescent="0.25">
      <c r="A8128" s="17" t="s">
        <v>22680</v>
      </c>
      <c r="B8128" s="17" t="s">
        <v>70</v>
      </c>
      <c r="C8128" s="17" t="s">
        <v>71</v>
      </c>
      <c r="D8128" t="s">
        <v>22681</v>
      </c>
      <c r="F8128" t="s">
        <v>22682</v>
      </c>
      <c r="J8128" s="17" t="s">
        <v>22683</v>
      </c>
      <c r="K8128" s="18" t="s">
        <v>22684</v>
      </c>
      <c r="N8128" s="17" t="s">
        <v>77</v>
      </c>
      <c r="O8128" t="s">
        <v>199</v>
      </c>
      <c r="U8128" s="17"/>
      <c r="V8128" s="18" t="s">
        <v>22684</v>
      </c>
      <c r="W8128" t="s">
        <v>22685</v>
      </c>
      <c r="Y8128" t="s">
        <v>90</v>
      </c>
      <c r="AA8128" t="s">
        <v>118</v>
      </c>
      <c r="AB8128" t="s">
        <v>119</v>
      </c>
    </row>
    <row r="8129" ht="15" customHeight="1" spans="1:22" x14ac:dyDescent="0.25">
      <c r="A8129" s="17" t="s">
        <v>22686</v>
      </c>
      <c r="B8129" s="17" t="s">
        <v>70</v>
      </c>
      <c r="C8129" s="17" t="s">
        <v>71</v>
      </c>
      <c r="D8129" t="s">
        <v>22687</v>
      </c>
      <c r="F8129" t="s">
        <v>22688</v>
      </c>
      <c r="K8129" s="18">
        <f>6281280008099</f>
        <v>6281280008099</v>
      </c>
      <c r="N8129" s="17" t="s">
        <v>81</v>
      </c>
      <c r="V8129" s="18">
        <f>6281280008099</f>
        <v>6281280008099</v>
      </c>
    </row>
    <row r="8130" ht="15" customHeight="1" spans="1:28" x14ac:dyDescent="0.25">
      <c r="A8130" s="17" t="s">
        <v>22689</v>
      </c>
      <c r="B8130" s="17" t="s">
        <v>70</v>
      </c>
      <c r="C8130" s="17" t="s">
        <v>71</v>
      </c>
      <c r="D8130" t="s">
        <v>22690</v>
      </c>
      <c r="F8130" t="s">
        <v>1208</v>
      </c>
      <c r="J8130" s="17" t="s">
        <v>22691</v>
      </c>
      <c r="K8130" s="18" t="s">
        <v>22692</v>
      </c>
      <c r="N8130" s="17" t="s">
        <v>77</v>
      </c>
      <c r="O8130" t="s">
        <v>489</v>
      </c>
      <c r="U8130" s="17"/>
      <c r="V8130" s="18" t="s">
        <v>22692</v>
      </c>
      <c r="W8130" t="s">
        <v>22693</v>
      </c>
      <c r="Y8130" t="s">
        <v>190</v>
      </c>
      <c r="AA8130" t="s">
        <v>118</v>
      </c>
      <c r="AB8130" t="s">
        <v>119</v>
      </c>
    </row>
    <row r="8131" ht="15" customHeight="1" spans="1:22" x14ac:dyDescent="0.25">
      <c r="A8131" s="17" t="s">
        <v>22694</v>
      </c>
      <c r="B8131" s="17" t="s">
        <v>70</v>
      </c>
      <c r="C8131" s="17" t="s">
        <v>71</v>
      </c>
      <c r="D8131" t="s">
        <v>22695</v>
      </c>
      <c r="F8131" t="s">
        <v>22696</v>
      </c>
      <c r="K8131" s="18">
        <f>62818993000</f>
        <v>62818993000</v>
      </c>
      <c r="N8131" s="17" t="s">
        <v>74</v>
      </c>
      <c r="V8131" s="18">
        <f>62818993000</f>
        <v>62818993000</v>
      </c>
    </row>
    <row r="8132" ht="15" customHeight="1" spans="1:23" x14ac:dyDescent="0.25">
      <c r="A8132" s="17" t="s">
        <v>22697</v>
      </c>
      <c r="B8132" s="17" t="s">
        <v>70</v>
      </c>
      <c r="C8132" s="17" t="s">
        <v>71</v>
      </c>
      <c r="D8132" t="s">
        <v>3471</v>
      </c>
      <c r="F8132" t="s">
        <v>3471</v>
      </c>
      <c r="K8132" s="18">
        <f>6281222658012</f>
        <v>6281222658012</v>
      </c>
      <c r="N8132" s="17" t="s">
        <v>77</v>
      </c>
      <c r="U8132" s="17"/>
      <c r="V8132" s="18">
        <f>6281222658012</f>
        <v>6281222658012</v>
      </c>
      <c r="W8132" t="s">
        <v>22698</v>
      </c>
    </row>
    <row r="8133" ht="15" customHeight="1" spans="1:28" x14ac:dyDescent="0.25">
      <c r="A8133" s="17" t="s">
        <v>22699</v>
      </c>
      <c r="B8133" s="17" t="s">
        <v>70</v>
      </c>
      <c r="C8133" s="17" t="s">
        <v>71</v>
      </c>
      <c r="D8133" t="s">
        <v>3471</v>
      </c>
      <c r="F8133" t="s">
        <v>22700</v>
      </c>
      <c r="J8133" t="s">
        <v>115</v>
      </c>
      <c r="K8133" s="18" t="s">
        <v>22701</v>
      </c>
      <c r="N8133" s="17" t="s">
        <v>81</v>
      </c>
      <c r="O8133" t="s">
        <v>489</v>
      </c>
      <c r="U8133" s="17"/>
      <c r="V8133" s="18" t="s">
        <v>22701</v>
      </c>
      <c r="W8133" t="s">
        <v>22702</v>
      </c>
      <c r="Y8133" t="s">
        <v>90</v>
      </c>
      <c r="AA8133" t="s">
        <v>118</v>
      </c>
      <c r="AB8133" t="s">
        <v>119</v>
      </c>
    </row>
    <row r="8134" ht="15" customHeight="1" spans="1:28" x14ac:dyDescent="0.25">
      <c r="A8134" s="17" t="s">
        <v>22703</v>
      </c>
      <c r="B8134" s="17" t="s">
        <v>70</v>
      </c>
      <c r="C8134" s="17" t="s">
        <v>71</v>
      </c>
      <c r="D8134" t="s">
        <v>3471</v>
      </c>
      <c r="F8134" t="s">
        <v>22704</v>
      </c>
      <c r="J8134" t="s">
        <v>115</v>
      </c>
      <c r="K8134" s="18" t="s">
        <v>22705</v>
      </c>
      <c r="N8134" s="17" t="s">
        <v>81</v>
      </c>
      <c r="O8134" t="s">
        <v>117</v>
      </c>
      <c r="V8134" s="18" t="s">
        <v>22705</v>
      </c>
      <c r="Y8134" t="s">
        <v>190</v>
      </c>
      <c r="AA8134" t="s">
        <v>118</v>
      </c>
      <c r="AB8134" t="s">
        <v>119</v>
      </c>
    </row>
    <row r="8135" ht="15" customHeight="1" spans="1:23" x14ac:dyDescent="0.25">
      <c r="A8135" s="17" t="s">
        <v>22706</v>
      </c>
      <c r="B8135" s="17" t="s">
        <v>70</v>
      </c>
      <c r="C8135" s="17" t="s">
        <v>71</v>
      </c>
      <c r="D8135" t="s">
        <v>22707</v>
      </c>
      <c r="F8135" t="s">
        <v>1738</v>
      </c>
      <c r="K8135" s="18">
        <f>79139826372</f>
        <v>79139826372</v>
      </c>
      <c r="N8135" s="17" t="s">
        <v>77</v>
      </c>
      <c r="U8135" s="17"/>
      <c r="V8135" s="18">
        <f>79139826372</f>
        <v>79139826372</v>
      </c>
      <c r="W8135" t="s">
        <v>1909</v>
      </c>
    </row>
    <row r="8136" ht="15" customHeight="1" spans="1:23" x14ac:dyDescent="0.25">
      <c r="A8136" s="17" t="s">
        <v>22708</v>
      </c>
      <c r="B8136" s="17" t="s">
        <v>70</v>
      </c>
      <c r="C8136" s="17" t="s">
        <v>71</v>
      </c>
      <c r="D8136" t="s">
        <v>22709</v>
      </c>
      <c r="F8136" t="s">
        <v>22710</v>
      </c>
      <c r="K8136" s="18">
        <f>6281338230480</f>
        <v>6281338230480</v>
      </c>
      <c r="N8136" s="17" t="s">
        <v>81</v>
      </c>
      <c r="U8136" s="17"/>
      <c r="V8136" s="18">
        <f>6281338230480</f>
        <v>6281338230480</v>
      </c>
      <c r="W8136" t="s">
        <v>22711</v>
      </c>
    </row>
    <row r="8137" ht="15" customHeight="1" spans="1:27" x14ac:dyDescent="0.25">
      <c r="A8137" s="17" t="s">
        <v>22712</v>
      </c>
      <c r="B8137" s="17" t="s">
        <v>70</v>
      </c>
      <c r="C8137" s="17" t="s">
        <v>71</v>
      </c>
      <c r="D8137" t="s">
        <v>22713</v>
      </c>
      <c r="F8137" t="s">
        <v>7674</v>
      </c>
      <c r="K8137" s="18">
        <f>628170796030</f>
        <v>628170796030</v>
      </c>
      <c r="N8137" s="17" t="s">
        <v>74</v>
      </c>
      <c r="U8137" s="17"/>
      <c r="V8137" s="18">
        <f>628170796030</f>
        <v>628170796030</v>
      </c>
      <c r="W8137" t="s">
        <v>22714</v>
      </c>
      <c r="Y8137" s="17" t="s">
        <v>96</v>
      </c>
      <c r="AA8137" s="17" t="s">
        <v>7019</v>
      </c>
    </row>
    <row r="8138" ht="15" customHeight="1" spans="1:28" x14ac:dyDescent="0.25">
      <c r="A8138" s="17" t="s">
        <v>22715</v>
      </c>
      <c r="B8138" s="17" t="s">
        <v>70</v>
      </c>
      <c r="C8138" s="17" t="s">
        <v>71</v>
      </c>
      <c r="D8138" t="s">
        <v>8745</v>
      </c>
      <c r="F8138" t="s">
        <v>8741</v>
      </c>
      <c r="J8138" s="17" t="s">
        <v>22716</v>
      </c>
      <c r="K8138" s="18" t="s">
        <v>22717</v>
      </c>
      <c r="N8138" s="17" t="s">
        <v>77</v>
      </c>
      <c r="O8138" t="s">
        <v>489</v>
      </c>
      <c r="U8138" s="17"/>
      <c r="V8138" s="18" t="s">
        <v>22717</v>
      </c>
      <c r="W8138" t="s">
        <v>1909</v>
      </c>
      <c r="Y8138" t="s">
        <v>181</v>
      </c>
      <c r="AA8138" t="s">
        <v>1672</v>
      </c>
      <c r="AB8138" t="s">
        <v>119</v>
      </c>
    </row>
    <row r="8139" ht="15" customHeight="1" spans="1:23" x14ac:dyDescent="0.25">
      <c r="A8139" s="17" t="s">
        <v>22718</v>
      </c>
      <c r="B8139" s="17" t="s">
        <v>70</v>
      </c>
      <c r="C8139" s="17" t="s">
        <v>71</v>
      </c>
      <c r="D8139" t="s">
        <v>22719</v>
      </c>
      <c r="F8139" t="s">
        <v>22720</v>
      </c>
      <c r="K8139" s="18">
        <f>62813988819661</f>
        <v>62813988819661</v>
      </c>
      <c r="N8139" s="17" t="s">
        <v>77</v>
      </c>
      <c r="U8139" s="17"/>
      <c r="V8139" s="18">
        <f>62813988819661</f>
        <v>62813988819661</v>
      </c>
      <c r="W8139" t="s">
        <v>22721</v>
      </c>
    </row>
    <row r="8140" ht="15" customHeight="1" spans="1:23" x14ac:dyDescent="0.25">
      <c r="A8140" s="17" t="s">
        <v>22722</v>
      </c>
      <c r="B8140" s="17" t="s">
        <v>70</v>
      </c>
      <c r="C8140" s="17" t="s">
        <v>71</v>
      </c>
      <c r="D8140" t="s">
        <v>22723</v>
      </c>
      <c r="F8140" t="s">
        <v>22724</v>
      </c>
      <c r="J8140" s="17" t="s">
        <v>22725</v>
      </c>
      <c r="K8140" s="18">
        <f>819066508626</f>
        <v>819066508626</v>
      </c>
      <c r="N8140" s="17" t="s">
        <v>77</v>
      </c>
      <c r="U8140" s="17"/>
      <c r="V8140" s="18">
        <f>819066508626</f>
        <v>819066508626</v>
      </c>
      <c r="W8140" t="s">
        <v>2500</v>
      </c>
    </row>
    <row r="8141" ht="15" customHeight="1" spans="1:23" x14ac:dyDescent="0.25">
      <c r="A8141" s="17" t="s">
        <v>22726</v>
      </c>
      <c r="B8141" s="17" t="s">
        <v>70</v>
      </c>
      <c r="C8141" s="17" t="s">
        <v>71</v>
      </c>
      <c r="D8141" t="s">
        <v>22727</v>
      </c>
      <c r="F8141" t="s">
        <v>22728</v>
      </c>
      <c r="J8141" s="17" t="s">
        <v>22729</v>
      </c>
      <c r="K8141" s="18">
        <f>8551289889</f>
        <v>8551289889</v>
      </c>
      <c r="N8141" s="17" t="s">
        <v>77</v>
      </c>
      <c r="U8141" s="17"/>
      <c r="V8141" s="18">
        <f>8551289889</f>
        <v>8551289889</v>
      </c>
      <c r="W8141" t="s">
        <v>22730</v>
      </c>
    </row>
    <row r="8142" ht="15" customHeight="1" spans="1:28" x14ac:dyDescent="0.25">
      <c r="A8142" s="17" t="s">
        <v>22731</v>
      </c>
      <c r="B8142" s="17" t="s">
        <v>70</v>
      </c>
      <c r="C8142" s="17" t="s">
        <v>71</v>
      </c>
      <c r="D8142" t="s">
        <v>22732</v>
      </c>
      <c r="F8142" t="s">
        <v>22732</v>
      </c>
      <c r="J8142" t="s">
        <v>115</v>
      </c>
      <c r="K8142" s="18" t="s">
        <v>22733</v>
      </c>
      <c r="N8142" s="17" t="s">
        <v>77</v>
      </c>
      <c r="O8142" t="s">
        <v>199</v>
      </c>
      <c r="V8142" s="18" t="s">
        <v>22733</v>
      </c>
      <c r="Y8142" t="s">
        <v>90</v>
      </c>
      <c r="AA8142" t="s">
        <v>118</v>
      </c>
      <c r="AB8142" t="s">
        <v>119</v>
      </c>
    </row>
    <row r="8143" ht="15" customHeight="1" spans="1:22" x14ac:dyDescent="0.25">
      <c r="A8143" s="17" t="s">
        <v>22734</v>
      </c>
      <c r="B8143" s="17" t="s">
        <v>70</v>
      </c>
      <c r="C8143" s="17" t="s">
        <v>71</v>
      </c>
      <c r="D8143" t="s">
        <v>22735</v>
      </c>
      <c r="F8143" t="s">
        <v>18606</v>
      </c>
      <c r="K8143" s="18">
        <f>6281367272582</f>
        <v>6281367272582</v>
      </c>
      <c r="N8143" s="17" t="s">
        <v>81</v>
      </c>
      <c r="V8143" s="18">
        <f>6281367272582</f>
        <v>6281367272582</v>
      </c>
    </row>
    <row r="8144" ht="15" customHeight="1" spans="1:23" x14ac:dyDescent="0.25">
      <c r="A8144" s="17" t="s">
        <v>22736</v>
      </c>
      <c r="B8144" s="17" t="s">
        <v>70</v>
      </c>
      <c r="C8144" s="17" t="s">
        <v>71</v>
      </c>
      <c r="D8144" t="s">
        <v>22737</v>
      </c>
      <c r="F8144" t="s">
        <v>22738</v>
      </c>
      <c r="K8144" s="18">
        <f>79091575347</f>
        <v>79091575347</v>
      </c>
      <c r="N8144" s="17" t="s">
        <v>77</v>
      </c>
      <c r="U8144" s="17"/>
      <c r="V8144" s="18">
        <f>79091575347</f>
        <v>79091575347</v>
      </c>
      <c r="W8144" t="s">
        <v>22739</v>
      </c>
    </row>
    <row r="8145" ht="15" customHeight="1" spans="1:28" x14ac:dyDescent="0.25">
      <c r="A8145" s="17" t="s">
        <v>22740</v>
      </c>
      <c r="B8145" s="17" t="s">
        <v>70</v>
      </c>
      <c r="C8145" s="17" t="s">
        <v>71</v>
      </c>
      <c r="D8145" t="s">
        <v>6491</v>
      </c>
      <c r="F8145" t="s">
        <v>22741</v>
      </c>
      <c r="J8145" t="s">
        <v>115</v>
      </c>
      <c r="K8145" s="18" t="s">
        <v>22742</v>
      </c>
      <c r="N8145" s="17" t="s">
        <v>77</v>
      </c>
      <c r="O8145" t="s">
        <v>199</v>
      </c>
      <c r="U8145" s="17"/>
      <c r="V8145" s="18" t="s">
        <v>22742</v>
      </c>
      <c r="W8145" t="s">
        <v>1909</v>
      </c>
      <c r="Y8145" t="s">
        <v>1909</v>
      </c>
      <c r="AA8145" t="s">
        <v>115</v>
      </c>
      <c r="AB8145" t="s">
        <v>1909</v>
      </c>
    </row>
    <row r="8146" ht="15" customHeight="1" spans="1:28" x14ac:dyDescent="0.25">
      <c r="A8146" s="17" t="s">
        <v>22743</v>
      </c>
      <c r="B8146" s="17" t="s">
        <v>70</v>
      </c>
      <c r="C8146" s="17" t="s">
        <v>71</v>
      </c>
      <c r="D8146" t="s">
        <v>22744</v>
      </c>
      <c r="F8146" t="s">
        <v>22745</v>
      </c>
      <c r="J8146" s="17" t="s">
        <v>22746</v>
      </c>
      <c r="K8146" s="18" t="s">
        <v>22747</v>
      </c>
      <c r="N8146" s="17" t="s">
        <v>77</v>
      </c>
      <c r="O8146" t="s">
        <v>145</v>
      </c>
      <c r="U8146" s="17"/>
      <c r="V8146" s="18" t="s">
        <v>22747</v>
      </c>
      <c r="W8146" t="s">
        <v>2914</v>
      </c>
      <c r="Y8146" t="s">
        <v>2914</v>
      </c>
      <c r="AA8146" t="s">
        <v>115</v>
      </c>
      <c r="AB8146" t="s">
        <v>119</v>
      </c>
    </row>
    <row r="8147" ht="15" customHeight="1" spans="1:22" x14ac:dyDescent="0.25">
      <c r="A8147" s="17" t="s">
        <v>22748</v>
      </c>
      <c r="B8147" s="17" t="s">
        <v>70</v>
      </c>
      <c r="C8147" s="17" t="s">
        <v>71</v>
      </c>
      <c r="D8147" t="s">
        <v>22749</v>
      </c>
      <c r="F8147" t="s">
        <v>22750</v>
      </c>
      <c r="K8147" s="18">
        <f>13602594944</f>
        <v>13602594944</v>
      </c>
      <c r="N8147" s="17" t="s">
        <v>81</v>
      </c>
      <c r="V8147" s="18">
        <f>13602594944</f>
        <v>13602594944</v>
      </c>
    </row>
    <row r="8148" ht="15" customHeight="1" spans="1:22" x14ac:dyDescent="0.25">
      <c r="A8148" s="17" t="s">
        <v>22751</v>
      </c>
      <c r="B8148" s="17" t="s">
        <v>70</v>
      </c>
      <c r="C8148" s="17" t="s">
        <v>71</v>
      </c>
      <c r="D8148" t="s">
        <v>22752</v>
      </c>
      <c r="F8148" t="s">
        <v>22752</v>
      </c>
      <c r="K8148" s="18">
        <f>628118602348</f>
        <v>628118602348</v>
      </c>
      <c r="N8148" s="17" t="s">
        <v>77</v>
      </c>
      <c r="V8148" s="18">
        <f>628118602348</f>
        <v>628118602348</v>
      </c>
    </row>
    <row r="8149" ht="15" customHeight="1" spans="1:28" x14ac:dyDescent="0.25">
      <c r="A8149" s="17" t="s">
        <v>22753</v>
      </c>
      <c r="B8149" s="17" t="s">
        <v>70</v>
      </c>
      <c r="C8149" s="17" t="s">
        <v>71</v>
      </c>
      <c r="D8149" t="s">
        <v>22754</v>
      </c>
      <c r="F8149" t="s">
        <v>14579</v>
      </c>
      <c r="J8149" s="17" t="s">
        <v>22755</v>
      </c>
      <c r="K8149" s="18" t="s">
        <v>22756</v>
      </c>
      <c r="N8149" s="17" t="s">
        <v>77</v>
      </c>
      <c r="O8149" t="s">
        <v>145</v>
      </c>
      <c r="U8149" s="17"/>
      <c r="V8149" s="18" t="s">
        <v>22756</v>
      </c>
      <c r="W8149" t="s">
        <v>22757</v>
      </c>
      <c r="Y8149" t="s">
        <v>115</v>
      </c>
      <c r="AA8149" t="s">
        <v>115</v>
      </c>
      <c r="AB8149" t="s">
        <v>22757</v>
      </c>
    </row>
    <row r="8150" ht="15" customHeight="1" spans="1:22" x14ac:dyDescent="0.25">
      <c r="A8150" s="17" t="s">
        <v>22758</v>
      </c>
      <c r="B8150" s="17" t="s">
        <v>70</v>
      </c>
      <c r="C8150" s="17" t="s">
        <v>71</v>
      </c>
      <c r="D8150" t="s">
        <v>22759</v>
      </c>
      <c r="F8150" t="s">
        <v>14291</v>
      </c>
      <c r="K8150" s="18">
        <f>6281371660333</f>
        <v>6281371660333</v>
      </c>
      <c r="N8150" s="17" t="s">
        <v>77</v>
      </c>
      <c r="V8150" s="18">
        <f>6281371660333</f>
        <v>6281371660333</v>
      </c>
    </row>
    <row r="8151" ht="15" customHeight="1" spans="1:28" x14ac:dyDescent="0.25">
      <c r="A8151" s="17" t="s">
        <v>22760</v>
      </c>
      <c r="B8151" s="17" t="s">
        <v>70</v>
      </c>
      <c r="C8151" s="17" t="s">
        <v>71</v>
      </c>
      <c r="D8151" t="s">
        <v>7198</v>
      </c>
      <c r="F8151" t="s">
        <v>22761</v>
      </c>
      <c r="J8151" t="s">
        <v>22762</v>
      </c>
      <c r="K8151" s="18" t="s">
        <v>22763</v>
      </c>
      <c r="N8151" s="17" t="s">
        <v>77</v>
      </c>
      <c r="O8151" t="s">
        <v>1188</v>
      </c>
      <c r="U8151" s="17"/>
      <c r="V8151" s="18" t="s">
        <v>22763</v>
      </c>
      <c r="W8151" t="s">
        <v>15062</v>
      </c>
      <c r="Y8151" t="s">
        <v>930</v>
      </c>
      <c r="AA8151" t="s">
        <v>115</v>
      </c>
      <c r="AB8151" t="s">
        <v>930</v>
      </c>
    </row>
    <row r="8152" ht="15" customHeight="1" spans="1:23" x14ac:dyDescent="0.25">
      <c r="A8152" s="17" t="s">
        <v>22764</v>
      </c>
      <c r="B8152" s="17" t="s">
        <v>70</v>
      </c>
      <c r="C8152" s="17" t="s">
        <v>71</v>
      </c>
      <c r="D8152" t="s">
        <v>22765</v>
      </c>
      <c r="F8152" t="s">
        <v>22766</v>
      </c>
      <c r="J8152" s="17" t="s">
        <v>22767</v>
      </c>
      <c r="K8152" s="18">
        <f>6593872815</f>
        <v>6593872815</v>
      </c>
      <c r="N8152" s="17" t="s">
        <v>77</v>
      </c>
      <c r="U8152" s="17"/>
      <c r="V8152" s="18">
        <f>6593872815</f>
        <v>6593872815</v>
      </c>
      <c r="W8152" t="s">
        <v>2356</v>
      </c>
    </row>
    <row r="8153" ht="15" customHeight="1" spans="1:22" x14ac:dyDescent="0.25">
      <c r="A8153" s="17" t="s">
        <v>22768</v>
      </c>
      <c r="B8153" s="17" t="s">
        <v>70</v>
      </c>
      <c r="C8153" s="17" t="s">
        <v>71</v>
      </c>
      <c r="D8153" t="s">
        <v>22769</v>
      </c>
      <c r="F8153" t="s">
        <v>22770</v>
      </c>
      <c r="K8153" s="18">
        <f>6282122000351</f>
        <v>6282122000351</v>
      </c>
      <c r="N8153" s="17" t="s">
        <v>77</v>
      </c>
      <c r="V8153" s="18">
        <f>6282122000351</f>
        <v>6282122000351</v>
      </c>
    </row>
    <row r="8154" ht="15" customHeight="1" spans="1:23" x14ac:dyDescent="0.25">
      <c r="A8154" s="17" t="s">
        <v>22771</v>
      </c>
      <c r="B8154" s="17" t="s">
        <v>70</v>
      </c>
      <c r="C8154" s="17" t="s">
        <v>71</v>
      </c>
      <c r="D8154" t="s">
        <v>22772</v>
      </c>
      <c r="F8154" t="s">
        <v>22773</v>
      </c>
      <c r="K8154" s="18">
        <f>628179111351</f>
        <v>628179111351</v>
      </c>
      <c r="N8154" s="17" t="s">
        <v>77</v>
      </c>
      <c r="U8154" s="17"/>
      <c r="V8154" s="18">
        <f>628179111351</f>
        <v>628179111351</v>
      </c>
      <c r="W8154" t="s">
        <v>22774</v>
      </c>
    </row>
    <row r="8155" ht="15" customHeight="1" spans="1:22" x14ac:dyDescent="0.25">
      <c r="A8155" s="17" t="s">
        <v>22775</v>
      </c>
      <c r="B8155" s="17" t="s">
        <v>70</v>
      </c>
      <c r="C8155" s="17" t="s">
        <v>71</v>
      </c>
      <c r="D8155" t="s">
        <v>22776</v>
      </c>
      <c r="F8155" t="s">
        <v>22777</v>
      </c>
      <c r="K8155" s="18">
        <f>628161868701</f>
        <v>628161868701</v>
      </c>
      <c r="N8155" s="17" t="s">
        <v>77</v>
      </c>
      <c r="V8155" s="18">
        <f>628161868701</f>
        <v>628161868701</v>
      </c>
    </row>
    <row r="8156" ht="15" customHeight="1" spans="1:28" x14ac:dyDescent="0.25">
      <c r="A8156" s="17" t="s">
        <v>22778</v>
      </c>
      <c r="B8156" s="17" t="s">
        <v>70</v>
      </c>
      <c r="C8156" s="17" t="s">
        <v>71</v>
      </c>
      <c r="D8156" t="s">
        <v>22779</v>
      </c>
      <c r="F8156" t="s">
        <v>22780</v>
      </c>
      <c r="J8156" t="s">
        <v>115</v>
      </c>
      <c r="K8156" s="18" t="s">
        <v>22781</v>
      </c>
      <c r="N8156" s="17" t="s">
        <v>77</v>
      </c>
      <c r="O8156" t="s">
        <v>117</v>
      </c>
      <c r="V8156" s="18" t="s">
        <v>22781</v>
      </c>
      <c r="Y8156" t="s">
        <v>90</v>
      </c>
      <c r="AA8156" t="s">
        <v>118</v>
      </c>
      <c r="AB8156" t="s">
        <v>119</v>
      </c>
    </row>
    <row r="8157" ht="15" customHeight="1" spans="1:28" x14ac:dyDescent="0.25">
      <c r="A8157" s="17" t="s">
        <v>22782</v>
      </c>
      <c r="B8157" s="17" t="s">
        <v>70</v>
      </c>
      <c r="C8157" s="17" t="s">
        <v>71</v>
      </c>
      <c r="D8157" t="s">
        <v>2912</v>
      </c>
      <c r="F8157" t="s">
        <v>22783</v>
      </c>
      <c r="J8157" s="17" t="s">
        <v>22784</v>
      </c>
      <c r="K8157" s="18" t="s">
        <v>22785</v>
      </c>
      <c r="N8157" s="17" t="s">
        <v>77</v>
      </c>
      <c r="O8157" t="s">
        <v>489</v>
      </c>
      <c r="U8157" s="17"/>
      <c r="V8157" s="18" t="s">
        <v>22785</v>
      </c>
      <c r="W8157" t="s">
        <v>930</v>
      </c>
      <c r="Y8157" t="s">
        <v>115</v>
      </c>
      <c r="AA8157" t="s">
        <v>115</v>
      </c>
      <c r="AB8157" t="s">
        <v>119</v>
      </c>
    </row>
    <row r="8158" ht="15" customHeight="1" spans="1:22" x14ac:dyDescent="0.25">
      <c r="A8158" s="17" t="s">
        <v>22786</v>
      </c>
      <c r="B8158" s="17" t="s">
        <v>70</v>
      </c>
      <c r="C8158" s="17" t="s">
        <v>71</v>
      </c>
      <c r="D8158" t="s">
        <v>22787</v>
      </c>
      <c r="F8158" t="s">
        <v>22788</v>
      </c>
      <c r="K8158" s="18">
        <f>6596632491</f>
        <v>6596632491</v>
      </c>
      <c r="N8158" s="17" t="s">
        <v>81</v>
      </c>
      <c r="V8158" s="18">
        <f>6596632491</f>
        <v>6596632491</v>
      </c>
    </row>
    <row r="8159" ht="15" customHeight="1" spans="1:22" x14ac:dyDescent="0.25">
      <c r="A8159" s="17" t="s">
        <v>22789</v>
      </c>
      <c r="B8159" s="17" t="s">
        <v>70</v>
      </c>
      <c r="C8159" s="17" t="s">
        <v>71</v>
      </c>
      <c r="D8159" t="s">
        <v>22790</v>
      </c>
      <c r="F8159" t="s">
        <v>22790</v>
      </c>
      <c r="K8159" s="18">
        <f>6281310236060</f>
        <v>6281310236060</v>
      </c>
      <c r="N8159" s="17" t="s">
        <v>81</v>
      </c>
      <c r="V8159" s="18">
        <f>6281310236060</f>
        <v>6281310236060</v>
      </c>
    </row>
    <row r="8160" ht="15" customHeight="1" spans="1:22" x14ac:dyDescent="0.25">
      <c r="A8160" s="17" t="s">
        <v>22791</v>
      </c>
      <c r="B8160" s="17" t="s">
        <v>70</v>
      </c>
      <c r="C8160" s="17" t="s">
        <v>71</v>
      </c>
      <c r="D8160" t="s">
        <v>22792</v>
      </c>
      <c r="F8160" t="s">
        <v>22793</v>
      </c>
      <c r="K8160" s="18">
        <f>6281333557011</f>
        <v>6281333557011</v>
      </c>
      <c r="N8160" s="17" t="s">
        <v>77</v>
      </c>
      <c r="V8160" s="18">
        <f>6281333557011</f>
        <v>6281333557011</v>
      </c>
    </row>
    <row r="8161" ht="15" customHeight="1" spans="1:22" x14ac:dyDescent="0.25">
      <c r="A8161" s="17" t="s">
        <v>22794</v>
      </c>
      <c r="B8161" s="17" t="s">
        <v>70</v>
      </c>
      <c r="C8161" s="17" t="s">
        <v>71</v>
      </c>
      <c r="D8161" t="s">
        <v>22795</v>
      </c>
      <c r="F8161" t="s">
        <v>22796</v>
      </c>
      <c r="K8161" s="18">
        <f>64223975103</f>
        <v>64223975103</v>
      </c>
      <c r="N8161" s="17" t="s">
        <v>81</v>
      </c>
      <c r="V8161" s="18">
        <f>64223975103</f>
        <v>64223975103</v>
      </c>
    </row>
    <row r="8162" ht="15" customHeight="1" spans="1:28" x14ac:dyDescent="0.25">
      <c r="A8162" s="17" t="s">
        <v>22797</v>
      </c>
      <c r="B8162" s="17" t="s">
        <v>70</v>
      </c>
      <c r="C8162" s="17" t="s">
        <v>71</v>
      </c>
      <c r="D8162" t="s">
        <v>22798</v>
      </c>
      <c r="F8162" t="s">
        <v>22795</v>
      </c>
      <c r="J8162" s="17" t="s">
        <v>22799</v>
      </c>
      <c r="K8162" s="18" t="s">
        <v>22800</v>
      </c>
      <c r="N8162" s="17" t="s">
        <v>77</v>
      </c>
      <c r="O8162" t="s">
        <v>145</v>
      </c>
      <c r="U8162" s="17"/>
      <c r="V8162" s="18" t="s">
        <v>22800</v>
      </c>
      <c r="W8162" t="s">
        <v>22801</v>
      </c>
      <c r="Y8162" t="s">
        <v>930</v>
      </c>
      <c r="AA8162" t="s">
        <v>115</v>
      </c>
      <c r="AB8162" t="s">
        <v>930</v>
      </c>
    </row>
    <row r="8163" ht="15" customHeight="1" spans="1:28" x14ac:dyDescent="0.25">
      <c r="A8163" s="17" t="s">
        <v>22802</v>
      </c>
      <c r="B8163" s="17" t="s">
        <v>70</v>
      </c>
      <c r="C8163" s="17" t="s">
        <v>71</v>
      </c>
      <c r="D8163" t="s">
        <v>22803</v>
      </c>
      <c r="F8163" t="s">
        <v>20148</v>
      </c>
      <c r="J8163" t="s">
        <v>115</v>
      </c>
      <c r="K8163" s="18" t="s">
        <v>22804</v>
      </c>
      <c r="N8163" s="17" t="s">
        <v>77</v>
      </c>
      <c r="O8163" t="s">
        <v>489</v>
      </c>
      <c r="U8163" s="17"/>
      <c r="V8163" s="18" t="s">
        <v>22804</v>
      </c>
      <c r="W8163" t="s">
        <v>22805</v>
      </c>
      <c r="Y8163" t="s">
        <v>190</v>
      </c>
      <c r="AA8163" t="s">
        <v>118</v>
      </c>
      <c r="AB8163" t="s">
        <v>119</v>
      </c>
    </row>
    <row r="8164" ht="15" customHeight="1" spans="1:27" x14ac:dyDescent="0.25">
      <c r="A8164" s="17" t="s">
        <v>22806</v>
      </c>
      <c r="B8164" s="17" t="s">
        <v>70</v>
      </c>
      <c r="C8164" s="17" t="s">
        <v>71</v>
      </c>
      <c r="D8164" t="s">
        <v>22807</v>
      </c>
      <c r="F8164" t="s">
        <v>22808</v>
      </c>
      <c r="K8164" s="18">
        <f>6281511243698</f>
        <v>6281511243698</v>
      </c>
      <c r="N8164" s="17" t="s">
        <v>77</v>
      </c>
      <c r="U8164" s="17"/>
      <c r="V8164" s="18">
        <f>6281511243698</f>
        <v>6281511243698</v>
      </c>
      <c r="W8164" t="s">
        <v>22809</v>
      </c>
      <c r="Y8164" s="17" t="s">
        <v>96</v>
      </c>
      <c r="AA8164" s="17" t="s">
        <v>22810</v>
      </c>
    </row>
    <row r="8165" ht="15" customHeight="1" spans="1:28" x14ac:dyDescent="0.25">
      <c r="A8165" s="17" t="s">
        <v>22811</v>
      </c>
      <c r="B8165" s="17" t="s">
        <v>70</v>
      </c>
      <c r="C8165" s="17" t="s">
        <v>71</v>
      </c>
      <c r="D8165" t="s">
        <v>22812</v>
      </c>
      <c r="F8165" t="s">
        <v>22813</v>
      </c>
      <c r="J8165" s="17" t="s">
        <v>22814</v>
      </c>
      <c r="K8165" s="18" t="s">
        <v>22815</v>
      </c>
      <c r="N8165" s="17" t="s">
        <v>77</v>
      </c>
      <c r="O8165" t="s">
        <v>145</v>
      </c>
      <c r="U8165" s="17"/>
      <c r="V8165" s="18" t="s">
        <v>22815</v>
      </c>
      <c r="W8165" t="s">
        <v>2500</v>
      </c>
      <c r="Y8165" t="s">
        <v>2500</v>
      </c>
      <c r="AA8165" t="s">
        <v>115</v>
      </c>
      <c r="AB8165" t="s">
        <v>2500</v>
      </c>
    </row>
    <row r="8166" ht="15" customHeight="1" spans="1:27" x14ac:dyDescent="0.25">
      <c r="A8166" s="17" t="s">
        <v>22816</v>
      </c>
      <c r="B8166" s="17" t="s">
        <v>70</v>
      </c>
      <c r="C8166" s="17" t="s">
        <v>71</v>
      </c>
      <c r="D8166" t="s">
        <v>22817</v>
      </c>
      <c r="F8166" t="s">
        <v>22818</v>
      </c>
      <c r="K8166" s="18">
        <f>6281459832034</f>
        <v>6281459832034</v>
      </c>
      <c r="N8166" s="17" t="s">
        <v>77</v>
      </c>
      <c r="U8166" s="17"/>
      <c r="V8166" s="18">
        <f>6281459832034</f>
        <v>6281459832034</v>
      </c>
      <c r="W8166" t="s">
        <v>22819</v>
      </c>
      <c r="AA8166" s="17">
        <v>2210018</v>
      </c>
    </row>
    <row r="8167" ht="15" customHeight="1" spans="1:23" x14ac:dyDescent="0.25">
      <c r="A8167" s="17" t="s">
        <v>22820</v>
      </c>
      <c r="B8167" s="17" t="s">
        <v>70</v>
      </c>
      <c r="C8167" s="17" t="s">
        <v>71</v>
      </c>
      <c r="D8167" t="s">
        <v>22817</v>
      </c>
      <c r="F8167" t="s">
        <v>22821</v>
      </c>
      <c r="K8167" s="18">
        <f>6281197206244</f>
        <v>6281197206244</v>
      </c>
      <c r="N8167" s="17" t="s">
        <v>77</v>
      </c>
      <c r="U8167" s="17"/>
      <c r="V8167" s="18">
        <f>6281197206244</f>
        <v>6281197206244</v>
      </c>
      <c r="W8167" t="s">
        <v>22822</v>
      </c>
    </row>
    <row r="8168" ht="15" customHeight="1" spans="1:22" x14ac:dyDescent="0.25">
      <c r="A8168" s="17" t="s">
        <v>22823</v>
      </c>
      <c r="B8168" s="17" t="s">
        <v>70</v>
      </c>
      <c r="C8168" s="17" t="s">
        <v>71</v>
      </c>
      <c r="D8168" t="s">
        <v>22824</v>
      </c>
      <c r="F8168" t="s">
        <v>22825</v>
      </c>
      <c r="K8168" s="18">
        <f>6281285495731</f>
        <v>6281285495731</v>
      </c>
      <c r="N8168" s="17" t="s">
        <v>77</v>
      </c>
      <c r="V8168" s="18">
        <f>6281285495731</f>
        <v>6281285495731</v>
      </c>
    </row>
    <row r="8169" ht="15" customHeight="1" spans="1:28" x14ac:dyDescent="0.25">
      <c r="A8169" s="17" t="s">
        <v>22826</v>
      </c>
      <c r="B8169" s="17" t="s">
        <v>70</v>
      </c>
      <c r="C8169" s="17" t="s">
        <v>71</v>
      </c>
      <c r="D8169" t="s">
        <v>22827</v>
      </c>
      <c r="F8169" t="s">
        <v>6832</v>
      </c>
      <c r="J8169" s="17" t="s">
        <v>22828</v>
      </c>
      <c r="K8169" s="18" t="s">
        <v>22829</v>
      </c>
      <c r="N8169" s="17" t="s">
        <v>77</v>
      </c>
      <c r="O8169" t="s">
        <v>145</v>
      </c>
      <c r="V8169" s="18" t="s">
        <v>22829</v>
      </c>
      <c r="Y8169" t="s">
        <v>22830</v>
      </c>
      <c r="AA8169" t="s">
        <v>115</v>
      </c>
      <c r="AB8169" t="s">
        <v>119</v>
      </c>
    </row>
    <row r="8170" ht="15" customHeight="1" spans="1:23" x14ac:dyDescent="0.25">
      <c r="A8170" s="17" t="s">
        <v>22831</v>
      </c>
      <c r="B8170" s="17" t="s">
        <v>70</v>
      </c>
      <c r="C8170" s="17" t="s">
        <v>71</v>
      </c>
      <c r="D8170" t="s">
        <v>22832</v>
      </c>
      <c r="F8170" t="s">
        <v>2602</v>
      </c>
      <c r="K8170" s="18">
        <f>79247182076</f>
        <v>79247182076</v>
      </c>
      <c r="N8170" s="17" t="s">
        <v>77</v>
      </c>
      <c r="U8170" s="17"/>
      <c r="V8170" s="18">
        <f>79247182076</f>
        <v>79247182076</v>
      </c>
      <c r="W8170" t="s">
        <v>1908</v>
      </c>
    </row>
    <row r="8171" ht="15" customHeight="1" spans="1:22" x14ac:dyDescent="0.25">
      <c r="A8171" s="17" t="s">
        <v>22833</v>
      </c>
      <c r="B8171" s="17" t="s">
        <v>70</v>
      </c>
      <c r="C8171" s="17" t="s">
        <v>71</v>
      </c>
      <c r="D8171" t="s">
        <v>22834</v>
      </c>
      <c r="F8171" t="s">
        <v>1169</v>
      </c>
      <c r="K8171" s="18">
        <f>62816970135</f>
        <v>62816970135</v>
      </c>
      <c r="N8171" s="17" t="s">
        <v>77</v>
      </c>
      <c r="V8171" s="18">
        <f>62816970135</f>
        <v>62816970135</v>
      </c>
    </row>
    <row r="8172" ht="15" customHeight="1" spans="1:25" x14ac:dyDescent="0.25">
      <c r="A8172" s="17" t="s">
        <v>22835</v>
      </c>
      <c r="B8172" s="17" t="s">
        <v>70</v>
      </c>
      <c r="C8172" s="17" t="s">
        <v>71</v>
      </c>
      <c r="D8172" t="s">
        <v>22836</v>
      </c>
      <c r="F8172" t="s">
        <v>22836</v>
      </c>
      <c r="K8172" s="18">
        <f>6281807102720</f>
        <v>6281807102720</v>
      </c>
      <c r="N8172" s="17" t="s">
        <v>77</v>
      </c>
      <c r="U8172" s="17"/>
      <c r="V8172" s="18">
        <f>6281807102720</f>
        <v>6281807102720</v>
      </c>
      <c r="W8172" t="s">
        <v>22837</v>
      </c>
      <c r="Y8172" s="17" t="s">
        <v>181</v>
      </c>
    </row>
    <row r="8173" ht="15" customHeight="1" spans="1:28" x14ac:dyDescent="0.25">
      <c r="A8173" s="17" t="s">
        <v>22838</v>
      </c>
      <c r="B8173" s="17" t="s">
        <v>70</v>
      </c>
      <c r="C8173" s="17" t="s">
        <v>71</v>
      </c>
      <c r="D8173" t="s">
        <v>22836</v>
      </c>
      <c r="F8173" t="s">
        <v>22839</v>
      </c>
      <c r="J8173" t="s">
        <v>115</v>
      </c>
      <c r="K8173" s="18" t="s">
        <v>22840</v>
      </c>
      <c r="N8173" s="17" t="s">
        <v>77</v>
      </c>
      <c r="O8173" t="s">
        <v>199</v>
      </c>
      <c r="U8173" s="17"/>
      <c r="V8173" s="18" t="s">
        <v>22840</v>
      </c>
      <c r="W8173" t="s">
        <v>119</v>
      </c>
      <c r="Y8173" t="s">
        <v>181</v>
      </c>
      <c r="AA8173" t="s">
        <v>1672</v>
      </c>
      <c r="AB8173" t="s">
        <v>119</v>
      </c>
    </row>
    <row r="8174" ht="15" customHeight="1" spans="1:22" x14ac:dyDescent="0.25">
      <c r="A8174" s="17" t="s">
        <v>22841</v>
      </c>
      <c r="B8174" s="17" t="s">
        <v>70</v>
      </c>
      <c r="C8174" s="17" t="s">
        <v>71</v>
      </c>
      <c r="D8174" t="s">
        <v>19854</v>
      </c>
      <c r="F8174" t="s">
        <v>19854</v>
      </c>
      <c r="K8174" s="18">
        <f>6287878516712</f>
        <v>6287878516712</v>
      </c>
      <c r="N8174" s="17" t="s">
        <v>81</v>
      </c>
      <c r="V8174" s="18">
        <f>6287878516712</f>
        <v>6287878516712</v>
      </c>
    </row>
    <row r="8175" ht="15" customHeight="1" spans="1:25" x14ac:dyDescent="0.25">
      <c r="A8175" s="17" t="s">
        <v>22842</v>
      </c>
      <c r="B8175" s="17" t="s">
        <v>70</v>
      </c>
      <c r="C8175" s="17" t="s">
        <v>71</v>
      </c>
      <c r="D8175" t="s">
        <v>19290</v>
      </c>
      <c r="F8175" t="s">
        <v>13728</v>
      </c>
      <c r="K8175" s="18">
        <f>6281295361536</f>
        <v>6281295361536</v>
      </c>
      <c r="N8175" s="17" t="s">
        <v>81</v>
      </c>
      <c r="U8175" s="17"/>
      <c r="V8175" s="18">
        <f>6281295361536</f>
        <v>6281295361536</v>
      </c>
      <c r="W8175" t="s">
        <v>22843</v>
      </c>
      <c r="Y8175" s="17" t="s">
        <v>90</v>
      </c>
    </row>
    <row r="8176" ht="15" customHeight="1" spans="1:28" x14ac:dyDescent="0.25">
      <c r="A8176" s="17" t="s">
        <v>22844</v>
      </c>
      <c r="B8176" s="17" t="s">
        <v>70</v>
      </c>
      <c r="C8176" s="17" t="s">
        <v>71</v>
      </c>
      <c r="D8176" t="s">
        <v>22845</v>
      </c>
      <c r="F8176" t="s">
        <v>22846</v>
      </c>
      <c r="J8176" s="17" t="s">
        <v>22847</v>
      </c>
      <c r="K8176" s="18" t="s">
        <v>22848</v>
      </c>
      <c r="N8176" s="17" t="s">
        <v>77</v>
      </c>
      <c r="O8176" t="s">
        <v>145</v>
      </c>
      <c r="V8176" s="18" t="s">
        <v>22848</v>
      </c>
      <c r="Y8176" t="s">
        <v>115</v>
      </c>
      <c r="AA8176" t="s">
        <v>115</v>
      </c>
      <c r="AB8176" t="s">
        <v>2500</v>
      </c>
    </row>
    <row r="8177" ht="15" customHeight="1" spans="1:22" x14ac:dyDescent="0.25">
      <c r="A8177" s="17" t="s">
        <v>22849</v>
      </c>
      <c r="B8177" s="17" t="s">
        <v>70</v>
      </c>
      <c r="C8177" s="17" t="s">
        <v>71</v>
      </c>
      <c r="D8177" t="s">
        <v>7499</v>
      </c>
      <c r="F8177" t="s">
        <v>22850</v>
      </c>
      <c r="K8177" s="18">
        <f>6582287261</f>
        <v>6582287261</v>
      </c>
      <c r="N8177" s="17" t="s">
        <v>81</v>
      </c>
      <c r="V8177" s="18">
        <f>6582287261</f>
        <v>6582287261</v>
      </c>
    </row>
    <row r="8178" ht="15" customHeight="1" spans="1:22" x14ac:dyDescent="0.25">
      <c r="A8178" s="17" t="s">
        <v>22851</v>
      </c>
      <c r="B8178" s="17" t="s">
        <v>70</v>
      </c>
      <c r="C8178" s="17" t="s">
        <v>71</v>
      </c>
      <c r="D8178" t="s">
        <v>7499</v>
      </c>
      <c r="F8178" t="s">
        <v>13878</v>
      </c>
      <c r="K8178" s="18">
        <v>13825134828</v>
      </c>
      <c r="N8178" s="17" t="s">
        <v>77</v>
      </c>
      <c r="V8178" s="18">
        <v>13825134828</v>
      </c>
    </row>
    <row r="8179" ht="15" customHeight="1" spans="1:28" x14ac:dyDescent="0.25">
      <c r="A8179" s="17" t="s">
        <v>22852</v>
      </c>
      <c r="B8179" s="17" t="s">
        <v>70</v>
      </c>
      <c r="C8179" s="17" t="s">
        <v>71</v>
      </c>
      <c r="D8179" t="s">
        <v>21687</v>
      </c>
      <c r="F8179" t="s">
        <v>22853</v>
      </c>
      <c r="J8179" s="17" t="s">
        <v>22854</v>
      </c>
      <c r="K8179" s="18" t="s">
        <v>22855</v>
      </c>
      <c r="N8179" s="17" t="s">
        <v>77</v>
      </c>
      <c r="O8179" t="s">
        <v>145</v>
      </c>
      <c r="V8179" s="18" t="s">
        <v>22855</v>
      </c>
      <c r="Y8179" t="s">
        <v>115</v>
      </c>
      <c r="AA8179" t="s">
        <v>115</v>
      </c>
      <c r="AB8179" t="s">
        <v>7229</v>
      </c>
    </row>
    <row r="8180" ht="15" customHeight="1" spans="1:22" x14ac:dyDescent="0.25">
      <c r="A8180" s="17" t="s">
        <v>22856</v>
      </c>
      <c r="B8180" s="17" t="s">
        <v>70</v>
      </c>
      <c r="C8180" s="17" t="s">
        <v>71</v>
      </c>
      <c r="D8180" t="s">
        <v>7499</v>
      </c>
      <c r="F8180" t="s">
        <v>2178</v>
      </c>
      <c r="K8180" s="18">
        <f>622197422486</f>
        <v>622197422486</v>
      </c>
      <c r="N8180" s="17" t="s">
        <v>77</v>
      </c>
      <c r="V8180" s="18">
        <f>622197422486</f>
        <v>622197422486</v>
      </c>
    </row>
    <row r="8181" ht="15" customHeight="1" spans="1:23" x14ac:dyDescent="0.25">
      <c r="A8181" s="17" t="s">
        <v>22857</v>
      </c>
      <c r="B8181" s="17" t="s">
        <v>70</v>
      </c>
      <c r="C8181" s="17" t="s">
        <v>71</v>
      </c>
      <c r="D8181" t="s">
        <v>7499</v>
      </c>
      <c r="F8181" t="s">
        <v>6693</v>
      </c>
      <c r="K8181" s="18">
        <f>88786096</f>
        <v>88786096</v>
      </c>
      <c r="N8181" s="17" t="s">
        <v>77</v>
      </c>
      <c r="U8181" s="17"/>
      <c r="V8181" s="18">
        <f>88786096</f>
        <v>88786096</v>
      </c>
      <c r="W8181" t="s">
        <v>3140</v>
      </c>
    </row>
    <row r="8182" ht="15" customHeight="1" spans="1:28" x14ac:dyDescent="0.25">
      <c r="A8182" s="17" t="s">
        <v>22858</v>
      </c>
      <c r="B8182" s="17" t="s">
        <v>70</v>
      </c>
      <c r="C8182" s="17" t="s">
        <v>71</v>
      </c>
      <c r="D8182" t="s">
        <v>7499</v>
      </c>
      <c r="F8182" t="s">
        <v>22859</v>
      </c>
      <c r="J8182" s="17" t="s">
        <v>22860</v>
      </c>
      <c r="K8182" s="18" t="s">
        <v>22861</v>
      </c>
      <c r="N8182" s="17" t="s">
        <v>77</v>
      </c>
      <c r="O8182" t="s">
        <v>117</v>
      </c>
      <c r="U8182" s="17"/>
      <c r="V8182" s="18" t="s">
        <v>22861</v>
      </c>
      <c r="W8182" t="s">
        <v>3140</v>
      </c>
      <c r="Y8182" t="s">
        <v>115</v>
      </c>
      <c r="AA8182" t="s">
        <v>115</v>
      </c>
      <c r="AB8182" t="s">
        <v>119</v>
      </c>
    </row>
    <row r="8183" ht="15" customHeight="1" spans="1:22" x14ac:dyDescent="0.25">
      <c r="A8183" s="17" t="s">
        <v>22862</v>
      </c>
      <c r="B8183" s="17" t="s">
        <v>70</v>
      </c>
      <c r="C8183" s="17" t="s">
        <v>71</v>
      </c>
      <c r="D8183" t="s">
        <v>15717</v>
      </c>
      <c r="F8183" t="s">
        <v>15717</v>
      </c>
      <c r="K8183" s="18">
        <f>79096634114</f>
        <v>79096634114</v>
      </c>
      <c r="N8183" s="17" t="s">
        <v>81</v>
      </c>
      <c r="V8183" s="18">
        <f>79096634114</f>
        <v>79096634114</v>
      </c>
    </row>
    <row r="8184" ht="15" customHeight="1" spans="1:28" x14ac:dyDescent="0.25">
      <c r="A8184" s="17" t="s">
        <v>22863</v>
      </c>
      <c r="B8184" s="17" t="s">
        <v>70</v>
      </c>
      <c r="C8184" s="17" t="s">
        <v>71</v>
      </c>
      <c r="D8184" t="s">
        <v>15717</v>
      </c>
      <c r="F8184" t="s">
        <v>22864</v>
      </c>
      <c r="J8184" s="17" t="s">
        <v>22865</v>
      </c>
      <c r="K8184" s="18" t="s">
        <v>22866</v>
      </c>
      <c r="N8184" s="17" t="s">
        <v>74</v>
      </c>
      <c r="O8184" t="s">
        <v>199</v>
      </c>
      <c r="V8184" s="18" t="s">
        <v>22866</v>
      </c>
      <c r="Y8184" t="s">
        <v>181</v>
      </c>
      <c r="AA8184" t="s">
        <v>1672</v>
      </c>
      <c r="AB8184" t="s">
        <v>119</v>
      </c>
    </row>
    <row r="8185" ht="15" customHeight="1" spans="1:28" x14ac:dyDescent="0.25">
      <c r="A8185" s="17" t="s">
        <v>22867</v>
      </c>
      <c r="B8185" s="17" t="s">
        <v>70</v>
      </c>
      <c r="C8185" s="17" t="s">
        <v>71</v>
      </c>
      <c r="D8185" t="s">
        <v>22868</v>
      </c>
      <c r="F8185" t="s">
        <v>22869</v>
      </c>
      <c r="J8185" t="s">
        <v>115</v>
      </c>
      <c r="K8185" s="18" t="s">
        <v>22870</v>
      </c>
      <c r="N8185" s="17" t="s">
        <v>77</v>
      </c>
      <c r="O8185" t="s">
        <v>145</v>
      </c>
      <c r="V8185" s="18" t="s">
        <v>22870</v>
      </c>
      <c r="Y8185" t="s">
        <v>90</v>
      </c>
      <c r="AA8185" t="s">
        <v>118</v>
      </c>
      <c r="AB8185" t="s">
        <v>119</v>
      </c>
    </row>
    <row r="8186" ht="15" customHeight="1" spans="1:28" x14ac:dyDescent="0.25">
      <c r="A8186" s="17" t="s">
        <v>22871</v>
      </c>
      <c r="B8186" s="17" t="s">
        <v>70</v>
      </c>
      <c r="C8186" s="17" t="s">
        <v>71</v>
      </c>
      <c r="D8186" t="s">
        <v>22872</v>
      </c>
      <c r="F8186" t="s">
        <v>22873</v>
      </c>
      <c r="J8186" s="17" t="s">
        <v>22874</v>
      </c>
      <c r="K8186" s="18" t="s">
        <v>22875</v>
      </c>
      <c r="N8186" s="17" t="s">
        <v>77</v>
      </c>
      <c r="O8186" t="s">
        <v>199</v>
      </c>
      <c r="V8186" s="18" t="s">
        <v>22875</v>
      </c>
      <c r="Y8186" t="s">
        <v>190</v>
      </c>
      <c r="AA8186" t="s">
        <v>118</v>
      </c>
      <c r="AB8186" t="s">
        <v>4036</v>
      </c>
    </row>
    <row r="8187" ht="15" customHeight="1" spans="1:23" x14ac:dyDescent="0.25">
      <c r="A8187" s="17" t="s">
        <v>22876</v>
      </c>
      <c r="B8187" s="17" t="s">
        <v>70</v>
      </c>
      <c r="C8187" s="17" t="s">
        <v>71</v>
      </c>
      <c r="D8187" t="s">
        <v>22877</v>
      </c>
      <c r="F8187" t="s">
        <v>22878</v>
      </c>
      <c r="K8187" s="18">
        <f>61422415462</f>
        <v>61422415462</v>
      </c>
      <c r="N8187" s="17" t="s">
        <v>77</v>
      </c>
      <c r="U8187" s="17"/>
      <c r="V8187" s="18">
        <f>61422415462</f>
        <v>61422415462</v>
      </c>
      <c r="W8187" t="s">
        <v>1903</v>
      </c>
    </row>
    <row r="8188" ht="15" customHeight="1" spans="1:28" x14ac:dyDescent="0.25">
      <c r="A8188" s="17" t="s">
        <v>22879</v>
      </c>
      <c r="B8188" s="17" t="s">
        <v>70</v>
      </c>
      <c r="C8188" s="17" t="s">
        <v>71</v>
      </c>
      <c r="D8188" t="s">
        <v>22880</v>
      </c>
      <c r="F8188" t="s">
        <v>22881</v>
      </c>
      <c r="J8188" s="17" t="s">
        <v>22882</v>
      </c>
      <c r="K8188" s="18" t="s">
        <v>22883</v>
      </c>
      <c r="N8188" s="17" t="s">
        <v>77</v>
      </c>
      <c r="O8188" t="s">
        <v>199</v>
      </c>
      <c r="U8188" s="17"/>
      <c r="V8188" s="18" t="s">
        <v>22883</v>
      </c>
      <c r="W8188" t="s">
        <v>17567</v>
      </c>
      <c r="Y8188" t="s">
        <v>115</v>
      </c>
      <c r="AA8188" t="s">
        <v>115</v>
      </c>
      <c r="AB8188" t="s">
        <v>1306</v>
      </c>
    </row>
    <row r="8189" ht="15" customHeight="1" spans="1:22" x14ac:dyDescent="0.25">
      <c r="A8189" s="17" t="s">
        <v>22884</v>
      </c>
      <c r="B8189" s="17" t="s">
        <v>70</v>
      </c>
      <c r="C8189" s="17" t="s">
        <v>71</v>
      </c>
      <c r="D8189" t="s">
        <v>22885</v>
      </c>
      <c r="F8189" t="s">
        <v>22886</v>
      </c>
      <c r="K8189" s="18">
        <f>62818888290</f>
        <v>62818888290</v>
      </c>
      <c r="N8189" s="17" t="s">
        <v>74</v>
      </c>
      <c r="V8189" s="18">
        <f>62818888290</f>
        <v>62818888290</v>
      </c>
    </row>
    <row r="8190" ht="15" customHeight="1" spans="1:25" x14ac:dyDescent="0.25">
      <c r="A8190" s="17" t="s">
        <v>22887</v>
      </c>
      <c r="B8190" s="17" t="s">
        <v>70</v>
      </c>
      <c r="C8190" s="17" t="s">
        <v>71</v>
      </c>
      <c r="D8190" t="s">
        <v>22888</v>
      </c>
      <c r="F8190" t="s">
        <v>12125</v>
      </c>
      <c r="K8190" s="18">
        <f>628118771924</f>
        <v>628118771924</v>
      </c>
      <c r="N8190" s="17" t="s">
        <v>77</v>
      </c>
      <c r="U8190" s="17"/>
      <c r="V8190" s="18">
        <f>628118771924</f>
        <v>628118771924</v>
      </c>
      <c r="W8190" t="s">
        <v>22889</v>
      </c>
      <c r="Y8190" s="17" t="s">
        <v>515</v>
      </c>
    </row>
    <row r="8191" ht="15" customHeight="1" spans="1:23" x14ac:dyDescent="0.25">
      <c r="A8191" s="17" t="s">
        <v>22890</v>
      </c>
      <c r="B8191" s="17" t="s">
        <v>70</v>
      </c>
      <c r="C8191" s="17" t="s">
        <v>71</v>
      </c>
      <c r="D8191" t="s">
        <v>22891</v>
      </c>
      <c r="F8191" t="s">
        <v>4941</v>
      </c>
      <c r="K8191" s="18">
        <f>628111871785</f>
        <v>628111871785</v>
      </c>
      <c r="N8191" s="17" t="s">
        <v>77</v>
      </c>
      <c r="U8191" s="17"/>
      <c r="V8191" s="18">
        <f>628111871785</f>
        <v>628111871785</v>
      </c>
      <c r="W8191" t="s">
        <v>22892</v>
      </c>
    </row>
    <row r="8192" ht="15" customHeight="1" spans="1:28" x14ac:dyDescent="0.25">
      <c r="A8192" s="17" t="s">
        <v>22893</v>
      </c>
      <c r="B8192" s="17" t="s">
        <v>70</v>
      </c>
      <c r="C8192" s="17" t="s">
        <v>71</v>
      </c>
      <c r="D8192" t="s">
        <v>22894</v>
      </c>
      <c r="F8192" t="s">
        <v>22895</v>
      </c>
      <c r="J8192" s="17" t="s">
        <v>22896</v>
      </c>
      <c r="K8192" s="18" t="s">
        <v>22897</v>
      </c>
      <c r="N8192" s="17" t="s">
        <v>77</v>
      </c>
      <c r="O8192" t="s">
        <v>145</v>
      </c>
      <c r="V8192" s="18" t="s">
        <v>22897</v>
      </c>
      <c r="Y8192" t="s">
        <v>115</v>
      </c>
      <c r="AA8192" t="s">
        <v>115</v>
      </c>
      <c r="AB8192" t="s">
        <v>2605</v>
      </c>
    </row>
    <row r="8193" ht="15" customHeight="1" spans="1:22" x14ac:dyDescent="0.25">
      <c r="A8193" s="17" t="s">
        <v>22898</v>
      </c>
      <c r="B8193" s="17" t="s">
        <v>70</v>
      </c>
      <c r="C8193" s="17" t="s">
        <v>71</v>
      </c>
      <c r="D8193" t="s">
        <v>22899</v>
      </c>
      <c r="F8193" t="s">
        <v>22899</v>
      </c>
      <c r="K8193" s="18">
        <f>628111907035</f>
        <v>628111907035</v>
      </c>
      <c r="N8193" s="17" t="s">
        <v>77</v>
      </c>
      <c r="V8193" s="18">
        <f>628111907035</f>
        <v>628111907035</v>
      </c>
    </row>
    <row r="8194" ht="15" customHeight="1" spans="1:22" x14ac:dyDescent="0.25">
      <c r="A8194" s="17" t="s">
        <v>22900</v>
      </c>
      <c r="B8194" s="17" t="s">
        <v>70</v>
      </c>
      <c r="C8194" s="17" t="s">
        <v>71</v>
      </c>
      <c r="D8194" t="s">
        <v>22899</v>
      </c>
      <c r="F8194" t="s">
        <v>22901</v>
      </c>
      <c r="K8194" s="18">
        <f>6281297950951</f>
        <v>6281297950951</v>
      </c>
      <c r="N8194" s="17" t="s">
        <v>81</v>
      </c>
      <c r="V8194" s="18">
        <f>6281297950951</f>
        <v>6281297950951</v>
      </c>
    </row>
    <row r="8195" ht="15" customHeight="1" spans="1:28" x14ac:dyDescent="0.25">
      <c r="A8195" s="17" t="s">
        <v>22902</v>
      </c>
      <c r="B8195" s="17" t="s">
        <v>70</v>
      </c>
      <c r="C8195" s="17" t="s">
        <v>71</v>
      </c>
      <c r="D8195" t="s">
        <v>22903</v>
      </c>
      <c r="F8195" t="s">
        <v>22904</v>
      </c>
      <c r="J8195" s="17" t="s">
        <v>22905</v>
      </c>
      <c r="K8195" s="18" t="s">
        <v>22906</v>
      </c>
      <c r="N8195" s="17" t="s">
        <v>77</v>
      </c>
      <c r="O8195" t="s">
        <v>199</v>
      </c>
      <c r="V8195" s="18" t="s">
        <v>22906</v>
      </c>
      <c r="Y8195" t="s">
        <v>2914</v>
      </c>
      <c r="AA8195" t="s">
        <v>115</v>
      </c>
      <c r="AB8195" t="s">
        <v>119</v>
      </c>
    </row>
    <row r="8196" ht="15" customHeight="1" spans="1:28" x14ac:dyDescent="0.25">
      <c r="A8196" s="17" t="s">
        <v>22907</v>
      </c>
      <c r="B8196" s="17" t="s">
        <v>70</v>
      </c>
      <c r="C8196" s="17" t="s">
        <v>71</v>
      </c>
      <c r="D8196" t="s">
        <v>22908</v>
      </c>
      <c r="F8196" t="s">
        <v>22909</v>
      </c>
      <c r="J8196" s="17" t="s">
        <v>22910</v>
      </c>
      <c r="K8196" s="18" t="s">
        <v>22911</v>
      </c>
      <c r="N8196" s="17" t="s">
        <v>77</v>
      </c>
      <c r="O8196" t="s">
        <v>489</v>
      </c>
      <c r="U8196" s="17"/>
      <c r="V8196" s="18" t="s">
        <v>22911</v>
      </c>
      <c r="W8196" t="s">
        <v>1908</v>
      </c>
      <c r="Y8196" s="17" t="s">
        <v>1909</v>
      </c>
      <c r="AA8196" t="s">
        <v>115</v>
      </c>
      <c r="AB8196" t="s">
        <v>1909</v>
      </c>
    </row>
    <row r="8197" ht="15" customHeight="1" spans="1:22" x14ac:dyDescent="0.25">
      <c r="A8197" s="17" t="s">
        <v>22912</v>
      </c>
      <c r="B8197" s="17" t="s">
        <v>70</v>
      </c>
      <c r="C8197" s="17" t="s">
        <v>71</v>
      </c>
      <c r="D8197" t="s">
        <v>22913</v>
      </c>
      <c r="F8197" t="s">
        <v>22913</v>
      </c>
      <c r="K8197" s="18">
        <f>62811828033</f>
        <v>62811828033</v>
      </c>
      <c r="N8197" s="17" t="s">
        <v>81</v>
      </c>
      <c r="V8197" s="18">
        <f>62811828033</f>
        <v>62811828033</v>
      </c>
    </row>
    <row r="8198" ht="15" customHeight="1" spans="1:23" x14ac:dyDescent="0.25">
      <c r="A8198" s="17" t="s">
        <v>22914</v>
      </c>
      <c r="B8198" s="17" t="s">
        <v>70</v>
      </c>
      <c r="C8198" s="17" t="s">
        <v>71</v>
      </c>
      <c r="D8198" t="s">
        <v>22915</v>
      </c>
      <c r="F8198" t="s">
        <v>6491</v>
      </c>
      <c r="K8198" s="18">
        <f>79163819499</f>
        <v>79163819499</v>
      </c>
      <c r="N8198" s="17" t="s">
        <v>77</v>
      </c>
      <c r="U8198" s="17"/>
      <c r="V8198" s="18">
        <f>79163819499</f>
        <v>79163819499</v>
      </c>
      <c r="W8198" t="s">
        <v>1908</v>
      </c>
    </row>
    <row r="8199" ht="15" customHeight="1" spans="1:23" x14ac:dyDescent="0.25">
      <c r="A8199" s="17" t="s">
        <v>22916</v>
      </c>
      <c r="B8199" s="17" t="s">
        <v>70</v>
      </c>
      <c r="C8199" s="17" t="s">
        <v>71</v>
      </c>
      <c r="D8199" t="s">
        <v>22917</v>
      </c>
      <c r="F8199" t="s">
        <v>22918</v>
      </c>
      <c r="K8199" s="18">
        <f>79146611989</f>
        <v>79146611989</v>
      </c>
      <c r="N8199" s="17" t="s">
        <v>77</v>
      </c>
      <c r="U8199" s="17"/>
      <c r="V8199" s="18">
        <f>79146611989</f>
        <v>79146611989</v>
      </c>
      <c r="W8199" t="s">
        <v>1909</v>
      </c>
    </row>
    <row r="8200" ht="15" customHeight="1" spans="1:22" x14ac:dyDescent="0.25">
      <c r="A8200" s="17" t="s">
        <v>22919</v>
      </c>
      <c r="B8200" s="17" t="s">
        <v>70</v>
      </c>
      <c r="C8200" s="17" t="s">
        <v>71</v>
      </c>
      <c r="D8200" t="s">
        <v>22920</v>
      </c>
      <c r="F8200" t="s">
        <v>22920</v>
      </c>
      <c r="K8200" s="18">
        <f>6281294275966</f>
        <v>6281294275966</v>
      </c>
      <c r="N8200" s="17" t="s">
        <v>81</v>
      </c>
      <c r="V8200" s="18">
        <f>6281294275966</f>
        <v>6281294275966</v>
      </c>
    </row>
    <row r="8201" ht="15" customHeight="1" spans="1:28" x14ac:dyDescent="0.25">
      <c r="A8201" s="17" t="s">
        <v>22921</v>
      </c>
      <c r="B8201" s="17" t="s">
        <v>70</v>
      </c>
      <c r="C8201" s="17" t="s">
        <v>71</v>
      </c>
      <c r="D8201" t="s">
        <v>22922</v>
      </c>
      <c r="F8201" t="s">
        <v>2983</v>
      </c>
      <c r="J8201" t="s">
        <v>115</v>
      </c>
      <c r="K8201" s="18" t="s">
        <v>22923</v>
      </c>
      <c r="N8201" s="17" t="s">
        <v>77</v>
      </c>
      <c r="O8201" t="s">
        <v>117</v>
      </c>
      <c r="V8201" s="18" t="s">
        <v>22923</v>
      </c>
      <c r="Y8201" t="s">
        <v>115</v>
      </c>
      <c r="AA8201" t="s">
        <v>115</v>
      </c>
      <c r="AB8201" t="s">
        <v>119</v>
      </c>
    </row>
    <row r="8202" ht="15" customHeight="1" spans="1:28" x14ac:dyDescent="0.25">
      <c r="A8202" s="17" t="s">
        <v>22924</v>
      </c>
      <c r="B8202" s="17" t="s">
        <v>70</v>
      </c>
      <c r="C8202" s="17" t="s">
        <v>71</v>
      </c>
      <c r="D8202" t="s">
        <v>22922</v>
      </c>
      <c r="F8202" t="s">
        <v>20752</v>
      </c>
      <c r="J8202" t="s">
        <v>115</v>
      </c>
      <c r="K8202" s="18" t="s">
        <v>22925</v>
      </c>
      <c r="N8202" s="17" t="s">
        <v>81</v>
      </c>
      <c r="O8202" t="s">
        <v>261</v>
      </c>
      <c r="U8202" s="17"/>
      <c r="V8202" s="18" t="s">
        <v>22925</v>
      </c>
      <c r="W8202" t="s">
        <v>22926</v>
      </c>
      <c r="Y8202" t="s">
        <v>90</v>
      </c>
      <c r="AA8202" t="s">
        <v>118</v>
      </c>
      <c r="AB8202" t="s">
        <v>119</v>
      </c>
    </row>
    <row r="8203" ht="15" customHeight="1" spans="1:28" x14ac:dyDescent="0.25">
      <c r="A8203" s="17" t="s">
        <v>22927</v>
      </c>
      <c r="B8203" s="17" t="s">
        <v>70</v>
      </c>
      <c r="C8203" s="17" t="s">
        <v>71</v>
      </c>
      <c r="D8203" t="s">
        <v>22928</v>
      </c>
      <c r="F8203" t="s">
        <v>7824</v>
      </c>
      <c r="J8203" s="17" t="s">
        <v>22929</v>
      </c>
      <c r="K8203" s="18" t="s">
        <v>22930</v>
      </c>
      <c r="N8203" s="17" t="s">
        <v>77</v>
      </c>
      <c r="O8203" t="s">
        <v>145</v>
      </c>
      <c r="V8203" s="18" t="s">
        <v>22930</v>
      </c>
      <c r="Y8203" t="s">
        <v>90</v>
      </c>
      <c r="AA8203" t="s">
        <v>118</v>
      </c>
      <c r="AB8203" t="s">
        <v>119</v>
      </c>
    </row>
    <row r="8204" ht="15" customHeight="1" spans="1:28" x14ac:dyDescent="0.25">
      <c r="A8204" s="17" t="s">
        <v>22931</v>
      </c>
      <c r="B8204" s="17" t="s">
        <v>70</v>
      </c>
      <c r="C8204" s="17" t="s">
        <v>71</v>
      </c>
      <c r="D8204" t="s">
        <v>22928</v>
      </c>
      <c r="F8204" t="s">
        <v>22932</v>
      </c>
      <c r="J8204" t="s">
        <v>115</v>
      </c>
      <c r="K8204" s="18" t="s">
        <v>22933</v>
      </c>
      <c r="N8204" s="17" t="s">
        <v>77</v>
      </c>
      <c r="O8204" t="s">
        <v>145</v>
      </c>
      <c r="V8204" s="18" t="s">
        <v>22933</v>
      </c>
      <c r="Y8204" t="s">
        <v>90</v>
      </c>
      <c r="AA8204" t="s">
        <v>118</v>
      </c>
      <c r="AB8204" t="s">
        <v>119</v>
      </c>
    </row>
    <row r="8205" ht="15" customHeight="1" spans="1:23" x14ac:dyDescent="0.25">
      <c r="A8205" s="17" t="s">
        <v>22934</v>
      </c>
      <c r="B8205" s="17" t="s">
        <v>70</v>
      </c>
      <c r="C8205" s="17" t="s">
        <v>71</v>
      </c>
      <c r="D8205" t="s">
        <v>22935</v>
      </c>
      <c r="F8205" t="s">
        <v>10978</v>
      </c>
      <c r="J8205" s="17" t="s">
        <v>22936</v>
      </c>
      <c r="K8205" s="18">
        <f>79663199016</f>
        <v>79663199016</v>
      </c>
      <c r="N8205" s="17" t="s">
        <v>77</v>
      </c>
      <c r="U8205" s="17"/>
      <c r="V8205" s="18">
        <f>79663199016</f>
        <v>79663199016</v>
      </c>
      <c r="W8205" t="s">
        <v>1908</v>
      </c>
    </row>
    <row r="8206" ht="15" customHeight="1" spans="1:22" x14ac:dyDescent="0.25">
      <c r="A8206" s="17" t="s">
        <v>22937</v>
      </c>
      <c r="B8206" s="17" t="s">
        <v>70</v>
      </c>
      <c r="C8206" s="17" t="s">
        <v>71</v>
      </c>
      <c r="D8206" t="s">
        <v>22938</v>
      </c>
      <c r="F8206" t="s">
        <v>22938</v>
      </c>
      <c r="K8206" s="18">
        <f>6281221757575</f>
        <v>6281221757575</v>
      </c>
      <c r="N8206" s="17" t="s">
        <v>77</v>
      </c>
      <c r="V8206" s="18">
        <f>6281221757575</f>
        <v>6281221757575</v>
      </c>
    </row>
    <row r="8207" ht="15" customHeight="1" spans="1:23" x14ac:dyDescent="0.25">
      <c r="A8207" s="17" t="s">
        <v>22939</v>
      </c>
      <c r="B8207" s="17" t="s">
        <v>70</v>
      </c>
      <c r="C8207" s="17" t="s">
        <v>71</v>
      </c>
      <c r="D8207" t="s">
        <v>22940</v>
      </c>
      <c r="F8207" t="s">
        <v>22941</v>
      </c>
      <c r="J8207" s="17" t="s">
        <v>22942</v>
      </c>
      <c r="K8207" s="18">
        <f>628111992998</f>
        <v>628111992998</v>
      </c>
      <c r="N8207" s="17" t="s">
        <v>77</v>
      </c>
      <c r="U8207" s="17"/>
      <c r="V8207" s="18">
        <f>628111992998</f>
        <v>628111992998</v>
      </c>
      <c r="W8207" t="s">
        <v>22943</v>
      </c>
    </row>
    <row r="8208" ht="15" customHeight="1" spans="1:28" x14ac:dyDescent="0.25">
      <c r="A8208" s="17" t="s">
        <v>22944</v>
      </c>
      <c r="B8208" s="17" t="s">
        <v>70</v>
      </c>
      <c r="C8208" s="17" t="s">
        <v>71</v>
      </c>
      <c r="D8208" t="s">
        <v>22945</v>
      </c>
      <c r="F8208" t="s">
        <v>22946</v>
      </c>
      <c r="J8208" t="s">
        <v>115</v>
      </c>
      <c r="K8208" s="18" t="s">
        <v>22947</v>
      </c>
      <c r="N8208" s="17" t="s">
        <v>77</v>
      </c>
      <c r="O8208" t="s">
        <v>145</v>
      </c>
      <c r="V8208" s="18" t="s">
        <v>22947</v>
      </c>
      <c r="Y8208" s="17" t="s">
        <v>90</v>
      </c>
      <c r="AA8208" t="s">
        <v>118</v>
      </c>
      <c r="AB8208" t="s">
        <v>119</v>
      </c>
    </row>
    <row r="8209" ht="15" customHeight="1" spans="1:22" x14ac:dyDescent="0.25">
      <c r="A8209" s="17" t="s">
        <v>22948</v>
      </c>
      <c r="B8209" s="17" t="s">
        <v>70</v>
      </c>
      <c r="C8209" s="17" t="s">
        <v>71</v>
      </c>
      <c r="D8209" t="s">
        <v>22949</v>
      </c>
      <c r="F8209" t="s">
        <v>22950</v>
      </c>
      <c r="K8209" s="18">
        <f>62811301003</f>
        <v>62811301003</v>
      </c>
      <c r="N8209" s="17" t="s">
        <v>81</v>
      </c>
      <c r="V8209" s="18">
        <f>62811301003</f>
        <v>62811301003</v>
      </c>
    </row>
    <row r="8210" ht="15" customHeight="1" spans="1:23" x14ac:dyDescent="0.25">
      <c r="A8210" s="17" t="s">
        <v>22951</v>
      </c>
      <c r="B8210" s="17" t="s">
        <v>70</v>
      </c>
      <c r="C8210" s="17" t="s">
        <v>71</v>
      </c>
      <c r="D8210" t="s">
        <v>22952</v>
      </c>
      <c r="F8210" t="s">
        <v>22953</v>
      </c>
      <c r="K8210" s="18">
        <f>628119885505</f>
        <v>628119885505</v>
      </c>
      <c r="N8210" s="17" t="s">
        <v>81</v>
      </c>
      <c r="U8210" s="17"/>
      <c r="V8210" s="18">
        <f>628119885505</f>
        <v>628119885505</v>
      </c>
      <c r="W8210" t="s">
        <v>22954</v>
      </c>
    </row>
    <row r="8211" ht="15" customHeight="1" spans="1:28" x14ac:dyDescent="0.25">
      <c r="A8211" s="17" t="s">
        <v>22955</v>
      </c>
      <c r="B8211" s="17" t="s">
        <v>70</v>
      </c>
      <c r="C8211" s="17" t="s">
        <v>71</v>
      </c>
      <c r="D8211" t="s">
        <v>22956</v>
      </c>
      <c r="F8211" t="s">
        <v>301</v>
      </c>
      <c r="J8211" t="s">
        <v>115</v>
      </c>
      <c r="K8211" s="18" t="s">
        <v>22957</v>
      </c>
      <c r="N8211" s="17" t="s">
        <v>74</v>
      </c>
      <c r="O8211" t="s">
        <v>261</v>
      </c>
      <c r="U8211" s="17"/>
      <c r="V8211" s="18" t="s">
        <v>22957</v>
      </c>
      <c r="W8211" t="s">
        <v>22958</v>
      </c>
      <c r="Y8211" t="s">
        <v>115</v>
      </c>
      <c r="AA8211" t="s">
        <v>115</v>
      </c>
      <c r="AB8211" t="s">
        <v>119</v>
      </c>
    </row>
    <row r="8212" ht="15" customHeight="1" spans="1:27" x14ac:dyDescent="0.25">
      <c r="A8212" s="17" t="s">
        <v>22959</v>
      </c>
      <c r="B8212" s="17" t="s">
        <v>70</v>
      </c>
      <c r="C8212" s="17" t="s">
        <v>71</v>
      </c>
      <c r="D8212" t="s">
        <v>22960</v>
      </c>
      <c r="F8212" t="s">
        <v>22961</v>
      </c>
      <c r="K8212" s="18">
        <f>628111909632</f>
        <v>628111909632</v>
      </c>
      <c r="N8212" s="17" t="s">
        <v>77</v>
      </c>
      <c r="U8212" s="17"/>
      <c r="V8212" s="18">
        <f>628111909632</f>
        <v>628111909632</v>
      </c>
      <c r="W8212" t="s">
        <v>22962</v>
      </c>
      <c r="Y8212" s="17" t="s">
        <v>90</v>
      </c>
      <c r="AA8212" s="17" t="s">
        <v>22963</v>
      </c>
    </row>
    <row r="8213" ht="15" customHeight="1" spans="1:28" x14ac:dyDescent="0.25">
      <c r="A8213" s="17" t="s">
        <v>22964</v>
      </c>
      <c r="B8213" s="17" t="s">
        <v>70</v>
      </c>
      <c r="C8213" s="17" t="s">
        <v>71</v>
      </c>
      <c r="D8213" t="s">
        <v>22960</v>
      </c>
      <c r="F8213" t="s">
        <v>4269</v>
      </c>
      <c r="J8213" s="17" t="s">
        <v>22965</v>
      </c>
      <c r="K8213" s="18" t="s">
        <v>22966</v>
      </c>
      <c r="N8213" s="17" t="s">
        <v>77</v>
      </c>
      <c r="O8213" t="s">
        <v>117</v>
      </c>
      <c r="U8213" s="17"/>
      <c r="V8213" s="18" t="s">
        <v>22966</v>
      </c>
      <c r="W8213" t="s">
        <v>22967</v>
      </c>
      <c r="Y8213" t="s">
        <v>500</v>
      </c>
      <c r="AA8213" t="s">
        <v>501</v>
      </c>
      <c r="AB8213" t="s">
        <v>119</v>
      </c>
    </row>
    <row r="8214" ht="15" customHeight="1" spans="1:22" x14ac:dyDescent="0.25">
      <c r="A8214" s="17" t="s">
        <v>22968</v>
      </c>
      <c r="B8214" s="17" t="s">
        <v>70</v>
      </c>
      <c r="C8214" s="17" t="s">
        <v>71</v>
      </c>
      <c r="D8214" t="s">
        <v>22960</v>
      </c>
      <c r="F8214" t="s">
        <v>22969</v>
      </c>
      <c r="K8214" s="18">
        <f>628112100880</f>
        <v>628112100880</v>
      </c>
      <c r="N8214" s="17" t="s">
        <v>81</v>
      </c>
      <c r="V8214" s="18">
        <f>628112100880</f>
        <v>628112100880</v>
      </c>
    </row>
    <row r="8215" ht="15" customHeight="1" spans="1:28" x14ac:dyDescent="0.25">
      <c r="A8215" s="17" t="s">
        <v>22970</v>
      </c>
      <c r="B8215" s="17" t="s">
        <v>70</v>
      </c>
      <c r="C8215" s="17" t="s">
        <v>71</v>
      </c>
      <c r="D8215" t="s">
        <v>1003</v>
      </c>
      <c r="F8215" t="s">
        <v>1003</v>
      </c>
      <c r="J8215" s="17" t="s">
        <v>22971</v>
      </c>
      <c r="K8215" s="18" t="s">
        <v>22972</v>
      </c>
      <c r="N8215" s="17" t="s">
        <v>77</v>
      </c>
      <c r="O8215" t="s">
        <v>199</v>
      </c>
      <c r="U8215" s="17"/>
      <c r="V8215" s="18" t="s">
        <v>22972</v>
      </c>
      <c r="W8215" t="s">
        <v>22973</v>
      </c>
      <c r="Y8215" t="s">
        <v>2914</v>
      </c>
      <c r="AA8215" t="s">
        <v>115</v>
      </c>
      <c r="AB8215" t="s">
        <v>119</v>
      </c>
    </row>
    <row r="8216" ht="15" customHeight="1" spans="1:28" x14ac:dyDescent="0.25">
      <c r="A8216" s="17" t="s">
        <v>22974</v>
      </c>
      <c r="B8216" s="17" t="s">
        <v>70</v>
      </c>
      <c r="C8216" s="17" t="s">
        <v>71</v>
      </c>
      <c r="D8216" t="s">
        <v>1003</v>
      </c>
      <c r="F8216" t="s">
        <v>22975</v>
      </c>
      <c r="J8216" t="s">
        <v>115</v>
      </c>
      <c r="K8216" s="18" t="s">
        <v>22976</v>
      </c>
      <c r="N8216" s="17" t="s">
        <v>77</v>
      </c>
      <c r="O8216" t="s">
        <v>145</v>
      </c>
      <c r="U8216" s="17"/>
      <c r="V8216" s="18" t="s">
        <v>22976</v>
      </c>
      <c r="W8216" t="s">
        <v>22977</v>
      </c>
      <c r="Y8216" t="s">
        <v>190</v>
      </c>
      <c r="AA8216" t="s">
        <v>118</v>
      </c>
      <c r="AB8216" t="s">
        <v>119</v>
      </c>
    </row>
    <row r="8217" ht="15" customHeight="1" spans="1:23" x14ac:dyDescent="0.25">
      <c r="A8217" s="17" t="s">
        <v>22978</v>
      </c>
      <c r="B8217" s="17" t="s">
        <v>70</v>
      </c>
      <c r="C8217" s="17" t="s">
        <v>71</v>
      </c>
      <c r="D8217" t="s">
        <v>1003</v>
      </c>
      <c r="F8217" t="s">
        <v>1093</v>
      </c>
      <c r="K8217" s="18">
        <f>62817897211</f>
        <v>62817897211</v>
      </c>
      <c r="N8217" s="17" t="s">
        <v>77</v>
      </c>
      <c r="U8217" s="17"/>
      <c r="V8217" s="18">
        <f>62817897211</f>
        <v>62817897211</v>
      </c>
      <c r="W8217" t="s">
        <v>22979</v>
      </c>
    </row>
    <row r="8218" ht="15" customHeight="1" spans="1:28" x14ac:dyDescent="0.25">
      <c r="A8218" s="17" t="s">
        <v>22980</v>
      </c>
      <c r="B8218" s="17" t="s">
        <v>70</v>
      </c>
      <c r="C8218" s="17" t="s">
        <v>71</v>
      </c>
      <c r="D8218" t="s">
        <v>1003</v>
      </c>
      <c r="F8218" t="s">
        <v>11674</v>
      </c>
      <c r="J8218" s="17" t="s">
        <v>22981</v>
      </c>
      <c r="K8218" s="18" t="s">
        <v>22982</v>
      </c>
      <c r="N8218" s="17" t="s">
        <v>77</v>
      </c>
      <c r="O8218" t="s">
        <v>145</v>
      </c>
      <c r="U8218" s="17"/>
      <c r="V8218" s="18" t="s">
        <v>22982</v>
      </c>
      <c r="W8218" t="s">
        <v>22983</v>
      </c>
      <c r="Y8218" t="s">
        <v>190</v>
      </c>
      <c r="AA8218" t="s">
        <v>118</v>
      </c>
      <c r="AB8218" t="s">
        <v>119</v>
      </c>
    </row>
    <row r="8219" ht="15" customHeight="1" spans="1:23" x14ac:dyDescent="0.25">
      <c r="A8219" s="17" t="s">
        <v>22984</v>
      </c>
      <c r="B8219" s="17" t="s">
        <v>70</v>
      </c>
      <c r="C8219" s="17" t="s">
        <v>71</v>
      </c>
      <c r="D8219" t="s">
        <v>1003</v>
      </c>
      <c r="F8219" t="s">
        <v>22985</v>
      </c>
      <c r="K8219" s="18">
        <f>79963255815</f>
        <v>79963255815</v>
      </c>
      <c r="N8219" s="17" t="s">
        <v>77</v>
      </c>
      <c r="U8219" s="17"/>
      <c r="V8219" s="18">
        <f>79963255815</f>
        <v>79963255815</v>
      </c>
      <c r="W8219" t="s">
        <v>22986</v>
      </c>
    </row>
    <row r="8220" ht="15" customHeight="1" spans="1:28" x14ac:dyDescent="0.25">
      <c r="A8220" s="17" t="s">
        <v>22987</v>
      </c>
      <c r="B8220" s="17" t="s">
        <v>70</v>
      </c>
      <c r="C8220" s="17" t="s">
        <v>71</v>
      </c>
      <c r="D8220" t="s">
        <v>1003</v>
      </c>
      <c r="F8220" t="s">
        <v>12219</v>
      </c>
      <c r="J8220" t="s">
        <v>115</v>
      </c>
      <c r="K8220" s="18" t="s">
        <v>22988</v>
      </c>
      <c r="N8220" s="17" t="s">
        <v>77</v>
      </c>
      <c r="O8220" t="s">
        <v>199</v>
      </c>
      <c r="V8220" s="18" t="s">
        <v>22988</v>
      </c>
      <c r="Y8220" t="s">
        <v>190</v>
      </c>
      <c r="AA8220" t="s">
        <v>118</v>
      </c>
      <c r="AB8220" t="s">
        <v>119</v>
      </c>
    </row>
    <row r="8221" ht="15" customHeight="1" spans="1:28" x14ac:dyDescent="0.25">
      <c r="A8221" s="17" t="s">
        <v>22989</v>
      </c>
      <c r="B8221" s="17" t="s">
        <v>70</v>
      </c>
      <c r="C8221" s="17" t="s">
        <v>71</v>
      </c>
      <c r="D8221" t="s">
        <v>22990</v>
      </c>
      <c r="F8221" t="s">
        <v>22991</v>
      </c>
      <c r="J8221" t="s">
        <v>115</v>
      </c>
      <c r="K8221" s="18" t="s">
        <v>22992</v>
      </c>
      <c r="N8221" s="17" t="s">
        <v>77</v>
      </c>
      <c r="O8221" t="s">
        <v>145</v>
      </c>
      <c r="V8221" s="18" t="s">
        <v>22992</v>
      </c>
      <c r="Y8221" t="s">
        <v>190</v>
      </c>
      <c r="AA8221" t="s">
        <v>118</v>
      </c>
      <c r="AB8221" t="s">
        <v>119</v>
      </c>
    </row>
    <row r="8222" ht="15" customHeight="1" spans="1:22" x14ac:dyDescent="0.25">
      <c r="A8222" s="17" t="s">
        <v>22993</v>
      </c>
      <c r="B8222" s="17" t="s">
        <v>70</v>
      </c>
      <c r="C8222" s="17" t="s">
        <v>71</v>
      </c>
      <c r="D8222" t="s">
        <v>22990</v>
      </c>
      <c r="F8222" t="s">
        <v>22991</v>
      </c>
      <c r="K8222" s="18">
        <f>62818902399</f>
        <v>62818902399</v>
      </c>
      <c r="N8222" s="17" t="s">
        <v>77</v>
      </c>
      <c r="V8222" s="18">
        <f>62818902399</f>
        <v>62818902399</v>
      </c>
    </row>
    <row r="8223" ht="15" customHeight="1" spans="1:23" x14ac:dyDescent="0.25">
      <c r="A8223" s="17" t="s">
        <v>22994</v>
      </c>
      <c r="B8223" s="17" t="s">
        <v>70</v>
      </c>
      <c r="C8223" s="17" t="s">
        <v>71</v>
      </c>
      <c r="D8223" t="s">
        <v>22990</v>
      </c>
      <c r="F8223" t="s">
        <v>22991</v>
      </c>
      <c r="J8223" s="17" t="s">
        <v>22995</v>
      </c>
      <c r="K8223" s="18">
        <f>628121059890</f>
        <v>628121059890</v>
      </c>
      <c r="N8223" s="17" t="s">
        <v>77</v>
      </c>
      <c r="U8223" s="17"/>
      <c r="V8223" s="18">
        <f>628121059890</f>
        <v>628121059890</v>
      </c>
      <c r="W8223" t="s">
        <v>22996</v>
      </c>
    </row>
    <row r="8224" ht="15" customHeight="1" spans="1:22" x14ac:dyDescent="0.25">
      <c r="A8224" s="17" t="s">
        <v>22997</v>
      </c>
      <c r="B8224" s="17" t="s">
        <v>70</v>
      </c>
      <c r="C8224" s="17" t="s">
        <v>71</v>
      </c>
      <c r="D8224" t="s">
        <v>22998</v>
      </c>
      <c r="F8224" t="s">
        <v>3605</v>
      </c>
      <c r="K8224" s="18">
        <f>62816901160</f>
        <v>62816901160</v>
      </c>
      <c r="N8224" s="17" t="s">
        <v>77</v>
      </c>
      <c r="V8224" s="18">
        <f>62816901160</f>
        <v>62816901160</v>
      </c>
    </row>
    <row r="8225" ht="15" customHeight="1" spans="1:22" x14ac:dyDescent="0.25">
      <c r="A8225" s="17" t="s">
        <v>22999</v>
      </c>
      <c r="B8225" s="17" t="s">
        <v>70</v>
      </c>
      <c r="C8225" s="17" t="s">
        <v>71</v>
      </c>
      <c r="D8225" t="s">
        <v>23000</v>
      </c>
      <c r="F8225" t="s">
        <v>23000</v>
      </c>
      <c r="K8225" s="18">
        <f>6281380000071</f>
        <v>6281380000071</v>
      </c>
      <c r="N8225" s="17" t="s">
        <v>77</v>
      </c>
      <c r="V8225" s="18">
        <f>6281380000071</f>
        <v>6281380000071</v>
      </c>
    </row>
    <row r="8226" ht="15" customHeight="1" spans="1:23" x14ac:dyDescent="0.25">
      <c r="A8226" s="17" t="s">
        <v>23001</v>
      </c>
      <c r="B8226" s="17" t="s">
        <v>70</v>
      </c>
      <c r="C8226" s="17" t="s">
        <v>71</v>
      </c>
      <c r="D8226" t="s">
        <v>23002</v>
      </c>
      <c r="F8226" t="s">
        <v>23003</v>
      </c>
      <c r="K8226" s="18">
        <f>37069828975</f>
        <v>37069828975</v>
      </c>
      <c r="N8226" s="17" t="s">
        <v>77</v>
      </c>
      <c r="U8226" s="17"/>
      <c r="V8226" s="18">
        <f>37069828975</f>
        <v>37069828975</v>
      </c>
      <c r="W8226" t="s">
        <v>23004</v>
      </c>
    </row>
    <row r="8227" ht="15" customHeight="1" spans="1:28" x14ac:dyDescent="0.25">
      <c r="A8227" s="17" t="s">
        <v>23005</v>
      </c>
      <c r="B8227" s="17" t="s">
        <v>70</v>
      </c>
      <c r="C8227" s="17" t="s">
        <v>71</v>
      </c>
      <c r="D8227" t="s">
        <v>23006</v>
      </c>
      <c r="F8227" t="s">
        <v>23007</v>
      </c>
      <c r="J8227" t="s">
        <v>115</v>
      </c>
      <c r="K8227" s="18" t="s">
        <v>23008</v>
      </c>
      <c r="N8227" s="17" t="s">
        <v>77</v>
      </c>
      <c r="O8227" t="s">
        <v>117</v>
      </c>
      <c r="V8227" s="18" t="s">
        <v>23008</v>
      </c>
      <c r="Y8227" t="s">
        <v>115</v>
      </c>
      <c r="AA8227" t="s">
        <v>115</v>
      </c>
      <c r="AB8227" t="s">
        <v>119</v>
      </c>
    </row>
    <row r="8228" ht="15" customHeight="1" spans="1:22" x14ac:dyDescent="0.25">
      <c r="A8228" s="17" t="s">
        <v>23009</v>
      </c>
      <c r="B8228" s="17" t="s">
        <v>70</v>
      </c>
      <c r="C8228" s="17" t="s">
        <v>71</v>
      </c>
      <c r="D8228" t="s">
        <v>20206</v>
      </c>
      <c r="F8228" t="s">
        <v>23010</v>
      </c>
      <c r="K8228" s="18">
        <f>628118893531</f>
        <v>628118893531</v>
      </c>
      <c r="N8228" s="17" t="s">
        <v>77</v>
      </c>
      <c r="V8228" s="18">
        <f>628118893531</f>
        <v>628118893531</v>
      </c>
    </row>
    <row r="8229" ht="15" customHeight="1" spans="1:28" x14ac:dyDescent="0.25">
      <c r="A8229" s="17" t="s">
        <v>23011</v>
      </c>
      <c r="B8229" s="17" t="s">
        <v>70</v>
      </c>
      <c r="C8229" s="17" t="s">
        <v>71</v>
      </c>
      <c r="D8229" t="s">
        <v>23012</v>
      </c>
      <c r="F8229" t="s">
        <v>3866</v>
      </c>
      <c r="J8229" s="17" t="s">
        <v>23013</v>
      </c>
      <c r="K8229" s="18" t="s">
        <v>23014</v>
      </c>
      <c r="N8229" s="17" t="s">
        <v>77</v>
      </c>
      <c r="O8229" t="s">
        <v>145</v>
      </c>
      <c r="V8229" s="18" t="s">
        <v>23014</v>
      </c>
      <c r="Y8229" t="s">
        <v>115</v>
      </c>
      <c r="AA8229" t="s">
        <v>115</v>
      </c>
      <c r="AB8229" t="s">
        <v>7412</v>
      </c>
    </row>
    <row r="8230" ht="15" customHeight="1" spans="1:23" x14ac:dyDescent="0.25">
      <c r="A8230" s="17" t="s">
        <v>23015</v>
      </c>
      <c r="B8230" s="17" t="s">
        <v>70</v>
      </c>
      <c r="C8230" s="17" t="s">
        <v>71</v>
      </c>
      <c r="D8230" t="s">
        <v>23016</v>
      </c>
      <c r="F8230" t="s">
        <v>23017</v>
      </c>
      <c r="J8230" s="17" t="s">
        <v>23018</v>
      </c>
      <c r="K8230" s="18">
        <f>8613517486888</f>
        <v>8613517486888</v>
      </c>
      <c r="N8230" s="17" t="s">
        <v>77</v>
      </c>
      <c r="U8230" s="17"/>
      <c r="V8230" s="18">
        <f>8613517486888</f>
        <v>8613517486888</v>
      </c>
      <c r="W8230" t="s">
        <v>3140</v>
      </c>
    </row>
    <row r="8231" ht="15" customHeight="1" spans="1:28" x14ac:dyDescent="0.25">
      <c r="A8231" s="17" t="s">
        <v>23019</v>
      </c>
      <c r="B8231" s="17" t="s">
        <v>70</v>
      </c>
      <c r="C8231" s="17" t="s">
        <v>71</v>
      </c>
      <c r="D8231" t="s">
        <v>23020</v>
      </c>
      <c r="F8231" t="s">
        <v>3920</v>
      </c>
      <c r="J8231" t="s">
        <v>115</v>
      </c>
      <c r="K8231" s="18" t="s">
        <v>23021</v>
      </c>
      <c r="N8231" s="17" t="s">
        <v>77</v>
      </c>
      <c r="O8231" t="s">
        <v>199</v>
      </c>
      <c r="V8231" s="18" t="s">
        <v>23021</v>
      </c>
      <c r="Y8231" t="s">
        <v>1909</v>
      </c>
      <c r="AA8231" t="s">
        <v>115</v>
      </c>
      <c r="AB8231" t="s">
        <v>1909</v>
      </c>
    </row>
    <row r="8232" ht="15" customHeight="1" spans="1:25" x14ac:dyDescent="0.25">
      <c r="A8232" s="17" t="s">
        <v>23022</v>
      </c>
      <c r="B8232" s="17" t="s">
        <v>70</v>
      </c>
      <c r="C8232" s="17" t="s">
        <v>71</v>
      </c>
      <c r="D8232" t="s">
        <v>12359</v>
      </c>
      <c r="F8232" t="s">
        <v>1064</v>
      </c>
      <c r="K8232" s="18">
        <f>6281275666317</f>
        <v>6281275666317</v>
      </c>
      <c r="N8232" s="17" t="s">
        <v>81</v>
      </c>
      <c r="U8232" s="17"/>
      <c r="V8232" s="18">
        <f>6281275666317</f>
        <v>6281275666317</v>
      </c>
      <c r="W8232" t="s">
        <v>23023</v>
      </c>
      <c r="Y8232" s="17" t="s">
        <v>6840</v>
      </c>
    </row>
    <row r="8233" ht="15" customHeight="1" spans="1:28" x14ac:dyDescent="0.25">
      <c r="A8233" s="17" t="s">
        <v>23024</v>
      </c>
      <c r="B8233" s="17" t="s">
        <v>70</v>
      </c>
      <c r="C8233" s="17" t="s">
        <v>71</v>
      </c>
      <c r="D8233" t="s">
        <v>23025</v>
      </c>
      <c r="F8233" t="s">
        <v>23026</v>
      </c>
      <c r="J8233" t="s">
        <v>115</v>
      </c>
      <c r="K8233" s="18" t="s">
        <v>23027</v>
      </c>
      <c r="N8233" s="17" t="s">
        <v>77</v>
      </c>
      <c r="O8233" t="s">
        <v>145</v>
      </c>
      <c r="U8233" s="17"/>
      <c r="V8233" s="18" t="s">
        <v>23027</v>
      </c>
      <c r="W8233" t="s">
        <v>451</v>
      </c>
      <c r="Y8233" s="17" t="s">
        <v>930</v>
      </c>
      <c r="AA8233" t="s">
        <v>115</v>
      </c>
      <c r="AB8233" t="s">
        <v>930</v>
      </c>
    </row>
    <row r="8234" ht="15" customHeight="1" spans="1:28" x14ac:dyDescent="0.25">
      <c r="A8234" s="17" t="s">
        <v>23028</v>
      </c>
      <c r="B8234" s="17" t="s">
        <v>70</v>
      </c>
      <c r="C8234" s="17" t="s">
        <v>71</v>
      </c>
      <c r="D8234" t="s">
        <v>3176</v>
      </c>
      <c r="F8234" t="s">
        <v>23029</v>
      </c>
      <c r="J8234" s="17" t="s">
        <v>23030</v>
      </c>
      <c r="K8234" s="18" t="s">
        <v>23031</v>
      </c>
      <c r="N8234" s="17" t="s">
        <v>77</v>
      </c>
      <c r="O8234" t="s">
        <v>489</v>
      </c>
      <c r="U8234" s="17"/>
      <c r="V8234" s="18" t="s">
        <v>23031</v>
      </c>
      <c r="W8234" t="s">
        <v>1909</v>
      </c>
      <c r="Y8234" t="s">
        <v>1909</v>
      </c>
      <c r="AA8234" t="s">
        <v>115</v>
      </c>
      <c r="AB8234" t="s">
        <v>1909</v>
      </c>
    </row>
    <row r="8235" ht="15" customHeight="1" spans="1:22" x14ac:dyDescent="0.25">
      <c r="A8235" s="17" t="s">
        <v>23032</v>
      </c>
      <c r="B8235" s="17" t="s">
        <v>70</v>
      </c>
      <c r="C8235" s="17" t="s">
        <v>71</v>
      </c>
      <c r="D8235" t="s">
        <v>9600</v>
      </c>
      <c r="F8235" t="s">
        <v>2706</v>
      </c>
      <c r="K8235" s="18">
        <f>62811850938</f>
        <v>62811850938</v>
      </c>
      <c r="N8235" s="17" t="s">
        <v>77</v>
      </c>
      <c r="V8235" s="18">
        <f>62811850938</f>
        <v>62811850938</v>
      </c>
    </row>
    <row r="8236" ht="15" customHeight="1" spans="1:28" x14ac:dyDescent="0.25">
      <c r="A8236" s="17" t="s">
        <v>23033</v>
      </c>
      <c r="B8236" s="17" t="s">
        <v>70</v>
      </c>
      <c r="C8236" s="17" t="s">
        <v>71</v>
      </c>
      <c r="D8236" t="s">
        <v>23034</v>
      </c>
      <c r="F8236" t="s">
        <v>23035</v>
      </c>
      <c r="J8236" s="17" t="s">
        <v>23036</v>
      </c>
      <c r="K8236" s="18" t="s">
        <v>23037</v>
      </c>
      <c r="N8236" s="17" t="s">
        <v>77</v>
      </c>
      <c r="O8236" t="s">
        <v>145</v>
      </c>
      <c r="V8236" s="18" t="s">
        <v>23037</v>
      </c>
      <c r="Y8236" t="s">
        <v>410</v>
      </c>
      <c r="AA8236" t="s">
        <v>5299</v>
      </c>
      <c r="AB8236" t="s">
        <v>119</v>
      </c>
    </row>
    <row r="8237" ht="15" customHeight="1" spans="1:27" x14ac:dyDescent="0.25">
      <c r="A8237" s="17" t="s">
        <v>23038</v>
      </c>
      <c r="B8237" s="17" t="s">
        <v>70</v>
      </c>
      <c r="C8237" s="17" t="s">
        <v>71</v>
      </c>
      <c r="D8237" t="s">
        <v>9600</v>
      </c>
      <c r="F8237" t="s">
        <v>11065</v>
      </c>
      <c r="J8237" s="17" t="s">
        <v>23039</v>
      </c>
      <c r="K8237" s="18">
        <f>6287887172498</f>
        <v>6287887172498</v>
      </c>
      <c r="N8237" s="17" t="s">
        <v>74</v>
      </c>
      <c r="U8237" s="17"/>
      <c r="V8237" s="18">
        <f>6287887172498</f>
        <v>6287887172498</v>
      </c>
      <c r="W8237" t="s">
        <v>23040</v>
      </c>
      <c r="Y8237" s="17" t="s">
        <v>622</v>
      </c>
      <c r="AA8237" s="17">
        <v>16155</v>
      </c>
    </row>
    <row r="8238" ht="15" customHeight="1" spans="1:22" x14ac:dyDescent="0.25">
      <c r="A8238" s="17" t="s">
        <v>23041</v>
      </c>
      <c r="B8238" s="17" t="s">
        <v>70</v>
      </c>
      <c r="C8238" s="17" t="s">
        <v>71</v>
      </c>
      <c r="D8238" t="s">
        <v>23042</v>
      </c>
      <c r="F8238" t="s">
        <v>23043</v>
      </c>
      <c r="K8238" s="18">
        <f>628161101545</f>
        <v>628161101545</v>
      </c>
      <c r="N8238" s="17" t="s">
        <v>77</v>
      </c>
      <c r="V8238" s="18">
        <f>628161101545</f>
        <v>628161101545</v>
      </c>
    </row>
    <row r="8239" ht="15" customHeight="1" spans="1:22" x14ac:dyDescent="0.25">
      <c r="A8239" s="17" t="s">
        <v>23044</v>
      </c>
      <c r="B8239" s="17" t="s">
        <v>70</v>
      </c>
      <c r="C8239" s="17" t="s">
        <v>71</v>
      </c>
      <c r="D8239" t="s">
        <v>23045</v>
      </c>
      <c r="F8239" t="s">
        <v>23046</v>
      </c>
      <c r="K8239" s="18">
        <f>6281290926735</f>
        <v>6281290926735</v>
      </c>
      <c r="N8239" s="17" t="s">
        <v>81</v>
      </c>
      <c r="V8239" s="18">
        <f>6281290926735</f>
        <v>6281290926735</v>
      </c>
    </row>
    <row r="8240" ht="15" customHeight="1" spans="1:22" x14ac:dyDescent="0.25">
      <c r="A8240" s="17" t="s">
        <v>23047</v>
      </c>
      <c r="B8240" s="17" t="s">
        <v>70</v>
      </c>
      <c r="C8240" s="17" t="s">
        <v>71</v>
      </c>
      <c r="D8240" t="s">
        <v>23048</v>
      </c>
      <c r="F8240" t="s">
        <v>2004</v>
      </c>
      <c r="K8240" s="18">
        <f>628112005947</f>
        <v>628112005947</v>
      </c>
      <c r="N8240" s="17" t="s">
        <v>77</v>
      </c>
      <c r="V8240" s="18">
        <f>628112005947</f>
        <v>628112005947</v>
      </c>
    </row>
    <row r="8241" ht="15" customHeight="1" spans="1:28" x14ac:dyDescent="0.25">
      <c r="A8241" s="17" t="s">
        <v>23049</v>
      </c>
      <c r="B8241" s="17" t="s">
        <v>70</v>
      </c>
      <c r="C8241" s="17" t="s">
        <v>71</v>
      </c>
      <c r="D8241" t="s">
        <v>18788</v>
      </c>
      <c r="F8241" t="s">
        <v>23050</v>
      </c>
      <c r="J8241" s="17" t="s">
        <v>23051</v>
      </c>
      <c r="K8241" s="18" t="s">
        <v>23052</v>
      </c>
      <c r="N8241" s="17" t="s">
        <v>77</v>
      </c>
      <c r="O8241" t="s">
        <v>261</v>
      </c>
      <c r="U8241" s="17"/>
      <c r="V8241" s="18" t="s">
        <v>23052</v>
      </c>
      <c r="W8241" t="s">
        <v>1909</v>
      </c>
      <c r="Y8241" t="s">
        <v>1909</v>
      </c>
      <c r="AA8241" t="s">
        <v>115</v>
      </c>
      <c r="AB8241" t="s">
        <v>1909</v>
      </c>
    </row>
    <row r="8242" ht="15" customHeight="1" spans="1:28" x14ac:dyDescent="0.25">
      <c r="A8242" s="17" t="s">
        <v>23053</v>
      </c>
      <c r="B8242" s="17" t="s">
        <v>70</v>
      </c>
      <c r="C8242" s="17" t="s">
        <v>71</v>
      </c>
      <c r="D8242" t="s">
        <v>23054</v>
      </c>
      <c r="F8242" t="s">
        <v>23055</v>
      </c>
      <c r="J8242" s="17" t="s">
        <v>23056</v>
      </c>
      <c r="K8242" s="18" t="s">
        <v>23057</v>
      </c>
      <c r="N8242" s="17" t="s">
        <v>77</v>
      </c>
      <c r="O8242" t="s">
        <v>199</v>
      </c>
      <c r="V8242" s="18" t="s">
        <v>23057</v>
      </c>
      <c r="Y8242" s="17" t="s">
        <v>5451</v>
      </c>
      <c r="AA8242" t="s">
        <v>115</v>
      </c>
      <c r="AB8242" t="s">
        <v>119</v>
      </c>
    </row>
    <row r="8243" ht="15" customHeight="1" spans="1:25" x14ac:dyDescent="0.25">
      <c r="A8243" s="17" t="s">
        <v>23058</v>
      </c>
      <c r="B8243" s="17" t="s">
        <v>70</v>
      </c>
      <c r="C8243" s="17" t="s">
        <v>71</v>
      </c>
      <c r="D8243" t="s">
        <v>18814</v>
      </c>
      <c r="F8243" t="s">
        <v>23059</v>
      </c>
      <c r="K8243" s="18">
        <f>62816956815</f>
        <v>62816956815</v>
      </c>
      <c r="N8243" s="17" t="s">
        <v>77</v>
      </c>
      <c r="U8243" s="17"/>
      <c r="V8243" s="18">
        <f>62816956815</f>
        <v>62816956815</v>
      </c>
      <c r="W8243" t="s">
        <v>23060</v>
      </c>
      <c r="Y8243" s="17" t="s">
        <v>96</v>
      </c>
    </row>
    <row r="8244" ht="15" customHeight="1" spans="1:22" x14ac:dyDescent="0.25">
      <c r="A8244" s="17" t="s">
        <v>23061</v>
      </c>
      <c r="B8244" s="17" t="s">
        <v>70</v>
      </c>
      <c r="C8244" s="17" t="s">
        <v>71</v>
      </c>
      <c r="D8244" t="s">
        <v>18814</v>
      </c>
      <c r="F8244" t="s">
        <v>23062</v>
      </c>
      <c r="K8244" s="18">
        <f>62816925568</f>
        <v>62816925568</v>
      </c>
      <c r="N8244" s="17" t="s">
        <v>81</v>
      </c>
      <c r="V8244" s="18">
        <f>62816925568</f>
        <v>62816925568</v>
      </c>
    </row>
    <row r="8245" ht="15" customHeight="1" spans="1:22" x14ac:dyDescent="0.25">
      <c r="A8245" s="17" t="s">
        <v>23063</v>
      </c>
      <c r="B8245" s="17" t="s">
        <v>70</v>
      </c>
      <c r="C8245" s="17" t="s">
        <v>71</v>
      </c>
      <c r="D8245" t="s">
        <v>1064</v>
      </c>
      <c r="F8245" t="s">
        <v>23064</v>
      </c>
      <c r="K8245" s="18">
        <f>62817722111</f>
        <v>62817722111</v>
      </c>
      <c r="N8245" s="17" t="s">
        <v>77</v>
      </c>
      <c r="V8245" s="18">
        <f>62817722111</f>
        <v>62817722111</v>
      </c>
    </row>
    <row r="8246" ht="15" customHeight="1" spans="1:27" x14ac:dyDescent="0.25">
      <c r="A8246" s="17" t="s">
        <v>23065</v>
      </c>
      <c r="B8246" s="17" t="s">
        <v>70</v>
      </c>
      <c r="C8246" s="17" t="s">
        <v>71</v>
      </c>
      <c r="D8246" t="s">
        <v>1186</v>
      </c>
      <c r="F8246" t="s">
        <v>1186</v>
      </c>
      <c r="K8246" s="18">
        <f>62818836122</f>
        <v>62818836122</v>
      </c>
      <c r="N8246" s="17" t="s">
        <v>77</v>
      </c>
      <c r="U8246" s="17"/>
      <c r="V8246" s="18">
        <f>62818836122</f>
        <v>62818836122</v>
      </c>
      <c r="W8246" t="s">
        <v>23066</v>
      </c>
      <c r="Y8246" s="17" t="s">
        <v>1084</v>
      </c>
      <c r="AA8246" s="17" t="s">
        <v>20149</v>
      </c>
    </row>
    <row r="8247" ht="15" customHeight="1" spans="1:22" x14ac:dyDescent="0.25">
      <c r="A8247" s="17" t="s">
        <v>23067</v>
      </c>
      <c r="B8247" s="17" t="s">
        <v>70</v>
      </c>
      <c r="C8247" s="17" t="s">
        <v>71</v>
      </c>
      <c r="D8247" t="s">
        <v>10957</v>
      </c>
      <c r="F8247" t="s">
        <v>23068</v>
      </c>
      <c r="K8247" s="18">
        <f>628111665567</f>
        <v>628111665567</v>
      </c>
      <c r="N8247" s="17" t="s">
        <v>77</v>
      </c>
      <c r="V8247" s="18">
        <f>628111665567</f>
        <v>628111665567</v>
      </c>
    </row>
    <row r="8248" ht="15" customHeight="1" spans="1:28" x14ac:dyDescent="0.25">
      <c r="A8248" s="17" t="s">
        <v>23069</v>
      </c>
      <c r="B8248" s="17" t="s">
        <v>70</v>
      </c>
      <c r="C8248" s="17" t="s">
        <v>71</v>
      </c>
      <c r="D8248" t="s">
        <v>23070</v>
      </c>
      <c r="F8248" t="s">
        <v>23071</v>
      </c>
      <c r="J8248" t="s">
        <v>115</v>
      </c>
      <c r="K8248" s="18" t="s">
        <v>23072</v>
      </c>
      <c r="N8248" s="17" t="s">
        <v>77</v>
      </c>
      <c r="O8248" t="s">
        <v>117</v>
      </c>
      <c r="U8248" s="17"/>
      <c r="V8248" s="18" t="s">
        <v>23072</v>
      </c>
      <c r="W8248" t="s">
        <v>2356</v>
      </c>
      <c r="Y8248" t="s">
        <v>115</v>
      </c>
      <c r="AA8248" t="s">
        <v>115</v>
      </c>
      <c r="AB8248" t="s">
        <v>5542</v>
      </c>
    </row>
    <row r="8249" ht="15" customHeight="1" spans="1:22" x14ac:dyDescent="0.25">
      <c r="A8249" s="17" t="s">
        <v>23073</v>
      </c>
      <c r="B8249" s="17" t="s">
        <v>70</v>
      </c>
      <c r="C8249" s="17" t="s">
        <v>71</v>
      </c>
      <c r="D8249" t="s">
        <v>23074</v>
      </c>
      <c r="F8249" t="s">
        <v>23075</v>
      </c>
      <c r="K8249" s="18">
        <f>6289643449903</f>
        <v>6289643449903</v>
      </c>
      <c r="N8249" s="17" t="s">
        <v>77</v>
      </c>
      <c r="V8249" s="18">
        <f>6289643449903</f>
        <v>6289643449903</v>
      </c>
    </row>
    <row r="8250" ht="15" customHeight="1" spans="1:22" x14ac:dyDescent="0.25">
      <c r="A8250" s="17" t="s">
        <v>23076</v>
      </c>
      <c r="B8250" s="17" t="s">
        <v>70</v>
      </c>
      <c r="C8250" s="17" t="s">
        <v>71</v>
      </c>
      <c r="D8250" t="s">
        <v>23077</v>
      </c>
      <c r="F8250" t="s">
        <v>23077</v>
      </c>
      <c r="K8250" s="18">
        <f>6281383297298</f>
        <v>6281383297298</v>
      </c>
      <c r="N8250" s="17" t="s">
        <v>81</v>
      </c>
      <c r="V8250" s="18">
        <f>6281383297298</f>
        <v>6281383297298</v>
      </c>
    </row>
    <row r="8251" ht="15" customHeight="1" spans="1:22" x14ac:dyDescent="0.25">
      <c r="A8251" s="17" t="s">
        <v>23078</v>
      </c>
      <c r="B8251" s="17" t="s">
        <v>70</v>
      </c>
      <c r="C8251" s="17" t="s">
        <v>71</v>
      </c>
      <c r="D8251" t="s">
        <v>23079</v>
      </c>
      <c r="F8251" t="s">
        <v>23079</v>
      </c>
      <c r="K8251" s="18">
        <f>6281352204000</f>
        <v>6281352204000</v>
      </c>
      <c r="N8251" s="17" t="s">
        <v>81</v>
      </c>
      <c r="V8251" s="18">
        <f>6281352204000</f>
        <v>6281352204000</v>
      </c>
    </row>
    <row r="8252" ht="15" customHeight="1" spans="1:22" x14ac:dyDescent="0.25">
      <c r="A8252" s="17" t="s">
        <v>23080</v>
      </c>
      <c r="B8252" s="17" t="s">
        <v>70</v>
      </c>
      <c r="C8252" s="17" t="s">
        <v>71</v>
      </c>
      <c r="D8252" t="s">
        <v>23081</v>
      </c>
      <c r="F8252" t="s">
        <v>23082</v>
      </c>
      <c r="K8252" s="18">
        <f>62818880976</f>
        <v>62818880976</v>
      </c>
      <c r="N8252" s="17" t="s">
        <v>77</v>
      </c>
      <c r="V8252" s="18">
        <f>62818880976</f>
        <v>62818880976</v>
      </c>
    </row>
    <row r="8253" ht="15" customHeight="1" spans="1:28" x14ac:dyDescent="0.25">
      <c r="A8253" s="17" t="s">
        <v>23083</v>
      </c>
      <c r="B8253" s="17" t="s">
        <v>70</v>
      </c>
      <c r="C8253" s="17" t="s">
        <v>71</v>
      </c>
      <c r="D8253" t="s">
        <v>11651</v>
      </c>
      <c r="F8253" t="s">
        <v>23084</v>
      </c>
      <c r="J8253" s="17" t="s">
        <v>23085</v>
      </c>
      <c r="K8253" s="18" t="s">
        <v>23086</v>
      </c>
      <c r="N8253" s="17" t="s">
        <v>77</v>
      </c>
      <c r="O8253" t="s">
        <v>489</v>
      </c>
      <c r="U8253" s="17"/>
      <c r="V8253" s="18" t="s">
        <v>23086</v>
      </c>
      <c r="W8253" t="s">
        <v>1908</v>
      </c>
      <c r="Y8253" t="s">
        <v>115</v>
      </c>
      <c r="AA8253" t="s">
        <v>115</v>
      </c>
      <c r="AB8253" t="s">
        <v>2605</v>
      </c>
    </row>
    <row r="8254" ht="15" customHeight="1" spans="1:28" x14ac:dyDescent="0.25">
      <c r="A8254" s="17" t="s">
        <v>23087</v>
      </c>
      <c r="B8254" s="17" t="s">
        <v>70</v>
      </c>
      <c r="C8254" s="17" t="s">
        <v>71</v>
      </c>
      <c r="D8254" t="s">
        <v>629</v>
      </c>
      <c r="F8254" t="s">
        <v>2288</v>
      </c>
      <c r="J8254" t="s">
        <v>115</v>
      </c>
      <c r="K8254" s="18" t="s">
        <v>23088</v>
      </c>
      <c r="N8254" s="17" t="s">
        <v>77</v>
      </c>
      <c r="O8254" t="s">
        <v>117</v>
      </c>
      <c r="V8254" s="18" t="s">
        <v>23088</v>
      </c>
      <c r="Y8254" t="s">
        <v>190</v>
      </c>
      <c r="AA8254" t="s">
        <v>118</v>
      </c>
      <c r="AB8254" t="s">
        <v>119</v>
      </c>
    </row>
    <row r="8255" ht="15" customHeight="1" spans="1:28" x14ac:dyDescent="0.25">
      <c r="A8255" s="17" t="s">
        <v>23089</v>
      </c>
      <c r="B8255" s="17" t="s">
        <v>70</v>
      </c>
      <c r="C8255" s="17" t="s">
        <v>71</v>
      </c>
      <c r="D8255" t="s">
        <v>5202</v>
      </c>
      <c r="F8255" t="s">
        <v>5202</v>
      </c>
      <c r="J8255" t="s">
        <v>115</v>
      </c>
      <c r="K8255" s="18" t="s">
        <v>23090</v>
      </c>
      <c r="N8255" s="17" t="s">
        <v>74</v>
      </c>
      <c r="O8255" t="s">
        <v>261</v>
      </c>
      <c r="U8255" s="17"/>
      <c r="V8255" s="18" t="s">
        <v>23090</v>
      </c>
      <c r="W8255" t="s">
        <v>23091</v>
      </c>
      <c r="Y8255" s="17" t="s">
        <v>217</v>
      </c>
      <c r="AA8255" t="s">
        <v>218</v>
      </c>
      <c r="AB8255" t="s">
        <v>119</v>
      </c>
    </row>
    <row r="8256" ht="15" customHeight="1" spans="1:22" x14ac:dyDescent="0.25">
      <c r="A8256" s="17" t="s">
        <v>23092</v>
      </c>
      <c r="B8256" s="17" t="s">
        <v>70</v>
      </c>
      <c r="C8256" s="17" t="s">
        <v>71</v>
      </c>
      <c r="D8256" t="s">
        <v>23093</v>
      </c>
      <c r="F8256" t="s">
        <v>2188</v>
      </c>
      <c r="K8256" s="18">
        <f>628122188777</f>
        <v>628122188777</v>
      </c>
      <c r="N8256" s="17" t="s">
        <v>81</v>
      </c>
      <c r="V8256" s="18">
        <f>628122188777</f>
        <v>628122188777</v>
      </c>
    </row>
    <row r="8257" ht="15" customHeight="1" spans="1:22" x14ac:dyDescent="0.25">
      <c r="A8257" s="17" t="s">
        <v>23094</v>
      </c>
      <c r="B8257" s="17" t="s">
        <v>70</v>
      </c>
      <c r="C8257" s="17" t="s">
        <v>71</v>
      </c>
      <c r="D8257" t="s">
        <v>23095</v>
      </c>
      <c r="F8257" t="s">
        <v>23095</v>
      </c>
      <c r="K8257" s="18">
        <f>6287880961976</f>
        <v>6287880961976</v>
      </c>
      <c r="N8257" s="17" t="s">
        <v>81</v>
      </c>
      <c r="V8257" s="18">
        <f>6287880961976</f>
        <v>6287880961976</v>
      </c>
    </row>
    <row r="8258" ht="15" customHeight="1" spans="1:23" x14ac:dyDescent="0.25">
      <c r="A8258" s="17" t="s">
        <v>23096</v>
      </c>
      <c r="B8258" s="17" t="s">
        <v>70</v>
      </c>
      <c r="C8258" s="17" t="s">
        <v>71</v>
      </c>
      <c r="D8258" t="s">
        <v>23097</v>
      </c>
      <c r="F8258" t="s">
        <v>8741</v>
      </c>
      <c r="J8258" s="17" t="s">
        <v>23098</v>
      </c>
      <c r="K8258" s="18">
        <f>79254207197</f>
        <v>79254207197</v>
      </c>
      <c r="N8258" s="17" t="s">
        <v>77</v>
      </c>
      <c r="U8258" s="17"/>
      <c r="V8258" s="18">
        <f>79254207197</f>
        <v>79254207197</v>
      </c>
      <c r="W8258" t="s">
        <v>1908</v>
      </c>
    </row>
    <row r="8259" ht="15" customHeight="1" spans="1:27" x14ac:dyDescent="0.25">
      <c r="A8259" s="17" t="s">
        <v>23099</v>
      </c>
      <c r="B8259" s="17" t="s">
        <v>70</v>
      </c>
      <c r="C8259" s="17" t="s">
        <v>71</v>
      </c>
      <c r="D8259" t="s">
        <v>23100</v>
      </c>
      <c r="F8259" t="s">
        <v>11439</v>
      </c>
      <c r="K8259" s="18">
        <f>79226115333</f>
        <v>79226115333</v>
      </c>
      <c r="N8259" s="17" t="s">
        <v>77</v>
      </c>
      <c r="U8259" s="17"/>
      <c r="V8259" s="18">
        <f>79226115333</f>
        <v>79226115333</v>
      </c>
      <c r="W8259" t="s">
        <v>1908</v>
      </c>
      <c r="AA8259" s="17">
        <v>760692162</v>
      </c>
    </row>
    <row r="8260" ht="15" customHeight="1" spans="1:22" x14ac:dyDescent="0.25">
      <c r="A8260" s="17" t="s">
        <v>23101</v>
      </c>
      <c r="B8260" s="17" t="s">
        <v>70</v>
      </c>
      <c r="C8260" s="17" t="s">
        <v>71</v>
      </c>
      <c r="D8260" t="s">
        <v>23102</v>
      </c>
      <c r="F8260" t="s">
        <v>1321</v>
      </c>
      <c r="K8260" s="18">
        <f>6281119801962</f>
        <v>6281119801962</v>
      </c>
      <c r="N8260" s="17" t="s">
        <v>77</v>
      </c>
      <c r="V8260" s="18">
        <f>6281119801962</f>
        <v>6281119801962</v>
      </c>
    </row>
    <row r="8261" ht="15" customHeight="1" spans="1:23" x14ac:dyDescent="0.25">
      <c r="A8261" s="17" t="s">
        <v>23103</v>
      </c>
      <c r="B8261" s="17" t="s">
        <v>70</v>
      </c>
      <c r="C8261" s="17" t="s">
        <v>71</v>
      </c>
      <c r="D8261" t="s">
        <v>23104</v>
      </c>
      <c r="F8261" t="s">
        <v>7002</v>
      </c>
      <c r="K8261" s="18">
        <f>6281283081119</f>
        <v>6281283081119</v>
      </c>
      <c r="N8261" s="17" t="s">
        <v>77</v>
      </c>
      <c r="U8261" s="17"/>
      <c r="V8261" s="18">
        <f>6281283081119</f>
        <v>6281283081119</v>
      </c>
      <c r="W8261" t="s">
        <v>23105</v>
      </c>
    </row>
    <row r="8262" ht="15" customHeight="1" spans="1:22" x14ac:dyDescent="0.25">
      <c r="A8262" s="17" t="s">
        <v>23106</v>
      </c>
      <c r="B8262" s="17" t="s">
        <v>70</v>
      </c>
      <c r="C8262" s="17" t="s">
        <v>71</v>
      </c>
      <c r="D8262" t="s">
        <v>23104</v>
      </c>
      <c r="F8262" t="s">
        <v>23107</v>
      </c>
      <c r="K8262" s="18">
        <f>6221754200769</f>
        <v>6221754200769</v>
      </c>
      <c r="N8262" s="17" t="s">
        <v>81</v>
      </c>
      <c r="V8262" s="18">
        <f>6221754200769</f>
        <v>6221754200769</v>
      </c>
    </row>
    <row r="8263" ht="15" customHeight="1" spans="1:28" x14ac:dyDescent="0.25">
      <c r="A8263" s="17" t="s">
        <v>23108</v>
      </c>
      <c r="B8263" s="17" t="s">
        <v>70</v>
      </c>
      <c r="C8263" s="17" t="s">
        <v>71</v>
      </c>
      <c r="D8263" t="s">
        <v>14563</v>
      </c>
      <c r="F8263" t="s">
        <v>14563</v>
      </c>
      <c r="J8263" t="s">
        <v>115</v>
      </c>
      <c r="K8263" s="18" t="s">
        <v>23109</v>
      </c>
      <c r="N8263" s="17" t="s">
        <v>74</v>
      </c>
      <c r="O8263" t="s">
        <v>117</v>
      </c>
      <c r="V8263" s="18" t="s">
        <v>23109</v>
      </c>
      <c r="Y8263" t="s">
        <v>90</v>
      </c>
      <c r="AA8263" t="s">
        <v>118</v>
      </c>
      <c r="AB8263" t="s">
        <v>119</v>
      </c>
    </row>
    <row r="8264" ht="15" customHeight="1" spans="1:23" x14ac:dyDescent="0.25">
      <c r="A8264" s="17" t="s">
        <v>23110</v>
      </c>
      <c r="B8264" s="17" t="s">
        <v>70</v>
      </c>
      <c r="C8264" s="17" t="s">
        <v>71</v>
      </c>
      <c r="D8264" t="s">
        <v>14563</v>
      </c>
      <c r="F8264" t="s">
        <v>23111</v>
      </c>
      <c r="K8264" s="18">
        <f>85262905543</f>
        <v>85262905543</v>
      </c>
      <c r="N8264" s="17" t="s">
        <v>77</v>
      </c>
      <c r="U8264" s="17"/>
      <c r="V8264" s="18">
        <f>85262905543</f>
        <v>85262905543</v>
      </c>
      <c r="W8264" t="s">
        <v>3140</v>
      </c>
    </row>
    <row r="8265" ht="15" customHeight="1" spans="1:23" x14ac:dyDescent="0.25">
      <c r="A8265" s="17" t="s">
        <v>23112</v>
      </c>
      <c r="B8265" s="17" t="s">
        <v>70</v>
      </c>
      <c r="C8265" s="17" t="s">
        <v>71</v>
      </c>
      <c r="D8265" t="s">
        <v>23113</v>
      </c>
      <c r="F8265" t="s">
        <v>8345</v>
      </c>
      <c r="J8265" s="17" t="s">
        <v>23114</v>
      </c>
      <c r="K8265" s="18">
        <f>31651520525</f>
        <v>31651520525</v>
      </c>
      <c r="N8265" s="17" t="s">
        <v>77</v>
      </c>
      <c r="U8265" s="17"/>
      <c r="V8265" s="18">
        <f>31651520525</f>
        <v>31651520525</v>
      </c>
      <c r="W8265" t="s">
        <v>23115</v>
      </c>
    </row>
    <row r="8266" ht="15" customHeight="1" spans="1:23" x14ac:dyDescent="0.25">
      <c r="A8266" s="17" t="s">
        <v>23116</v>
      </c>
      <c r="B8266" s="17" t="s">
        <v>70</v>
      </c>
      <c r="C8266" s="17" t="s">
        <v>71</v>
      </c>
      <c r="D8266" t="s">
        <v>23117</v>
      </c>
      <c r="F8266" t="s">
        <v>23118</v>
      </c>
      <c r="K8266" s="18">
        <f>628158350144</f>
        <v>628158350144</v>
      </c>
      <c r="N8266" s="17" t="s">
        <v>77</v>
      </c>
      <c r="U8266" s="17"/>
      <c r="V8266" s="18">
        <f>628158350144</f>
        <v>628158350144</v>
      </c>
      <c r="W8266" t="s">
        <v>23119</v>
      </c>
    </row>
    <row r="8267" ht="15" customHeight="1" spans="1:22" x14ac:dyDescent="0.25">
      <c r="A8267" s="17" t="s">
        <v>23120</v>
      </c>
      <c r="B8267" s="17" t="s">
        <v>70</v>
      </c>
      <c r="C8267" s="17" t="s">
        <v>71</v>
      </c>
      <c r="D8267" t="s">
        <v>22500</v>
      </c>
      <c r="F8267" t="s">
        <v>12913</v>
      </c>
      <c r="K8267" s="18">
        <f>6287873100079</f>
        <v>6287873100079</v>
      </c>
      <c r="N8267" s="17" t="s">
        <v>77</v>
      </c>
      <c r="V8267" s="18">
        <f>6287873100079</f>
        <v>6287873100079</v>
      </c>
    </row>
    <row r="8268" ht="15" customHeight="1" spans="1:28" x14ac:dyDescent="0.25">
      <c r="A8268" s="17" t="s">
        <v>23121</v>
      </c>
      <c r="B8268" s="17" t="s">
        <v>70</v>
      </c>
      <c r="C8268" s="17" t="s">
        <v>71</v>
      </c>
      <c r="D8268" t="s">
        <v>22500</v>
      </c>
      <c r="F8268" t="s">
        <v>22500</v>
      </c>
      <c r="J8268" t="s">
        <v>115</v>
      </c>
      <c r="K8268" s="18" t="s">
        <v>23122</v>
      </c>
      <c r="N8268" s="17" t="s">
        <v>77</v>
      </c>
      <c r="O8268" t="s">
        <v>199</v>
      </c>
      <c r="V8268" s="18" t="s">
        <v>23122</v>
      </c>
      <c r="Y8268" t="s">
        <v>115</v>
      </c>
      <c r="AA8268" t="s">
        <v>115</v>
      </c>
      <c r="AB8268" t="s">
        <v>119</v>
      </c>
    </row>
    <row r="8269" ht="15" customHeight="1" spans="1:23" x14ac:dyDescent="0.25">
      <c r="A8269" s="17" t="s">
        <v>23123</v>
      </c>
      <c r="B8269" s="17" t="s">
        <v>70</v>
      </c>
      <c r="C8269" s="17" t="s">
        <v>71</v>
      </c>
      <c r="D8269" t="s">
        <v>23124</v>
      </c>
      <c r="F8269" t="s">
        <v>8308</v>
      </c>
      <c r="K8269" s="18">
        <f>6281219193878</f>
        <v>6281219193878</v>
      </c>
      <c r="N8269" s="17" t="s">
        <v>77</v>
      </c>
      <c r="U8269" s="17"/>
      <c r="V8269" s="18">
        <f>6281219193878</f>
        <v>6281219193878</v>
      </c>
      <c r="W8269" t="s">
        <v>90</v>
      </c>
    </row>
    <row r="8270" ht="15" customHeight="1" spans="1:22" x14ac:dyDescent="0.25">
      <c r="A8270" s="17" t="s">
        <v>23125</v>
      </c>
      <c r="B8270" s="17" t="s">
        <v>70</v>
      </c>
      <c r="C8270" s="17" t="s">
        <v>71</v>
      </c>
      <c r="D8270" t="s">
        <v>23126</v>
      </c>
      <c r="F8270" t="s">
        <v>3846</v>
      </c>
      <c r="K8270" s="18">
        <f>62813110002327</f>
        <v>62813110002327</v>
      </c>
      <c r="N8270" s="17" t="s">
        <v>77</v>
      </c>
      <c r="V8270" s="18">
        <f>62813110002327</f>
        <v>62813110002327</v>
      </c>
    </row>
    <row r="8271" ht="15" customHeight="1" spans="1:27" x14ac:dyDescent="0.25">
      <c r="A8271" s="17" t="s">
        <v>23127</v>
      </c>
      <c r="B8271" s="17" t="s">
        <v>70</v>
      </c>
      <c r="C8271" s="17" t="s">
        <v>71</v>
      </c>
      <c r="D8271" t="s">
        <v>23128</v>
      </c>
      <c r="F8271" t="s">
        <v>7337</v>
      </c>
      <c r="K8271" s="18">
        <f>6281510598400</f>
        <v>6281510598400</v>
      </c>
      <c r="N8271" s="17" t="s">
        <v>77</v>
      </c>
      <c r="U8271" s="17"/>
      <c r="V8271" s="18">
        <f>6281510598400</f>
        <v>6281510598400</v>
      </c>
      <c r="W8271" t="s">
        <v>23129</v>
      </c>
      <c r="Y8271" s="17" t="s">
        <v>96</v>
      </c>
      <c r="AA8271" s="17" t="s">
        <v>23130</v>
      </c>
    </row>
    <row r="8272" ht="15" customHeight="1" spans="1:28" x14ac:dyDescent="0.25">
      <c r="A8272" s="17" t="s">
        <v>23131</v>
      </c>
      <c r="B8272" s="17" t="s">
        <v>70</v>
      </c>
      <c r="C8272" s="17" t="s">
        <v>71</v>
      </c>
      <c r="D8272" t="s">
        <v>23132</v>
      </c>
      <c r="F8272" t="s">
        <v>7914</v>
      </c>
      <c r="J8272" s="17" t="s">
        <v>23133</v>
      </c>
      <c r="K8272" s="18" t="s">
        <v>23134</v>
      </c>
      <c r="N8272" s="17" t="s">
        <v>77</v>
      </c>
      <c r="O8272" t="s">
        <v>261</v>
      </c>
      <c r="U8272" s="17"/>
      <c r="V8272" s="18" t="s">
        <v>23134</v>
      </c>
      <c r="W8272" t="s">
        <v>23135</v>
      </c>
      <c r="Y8272" t="s">
        <v>90</v>
      </c>
      <c r="AA8272" t="s">
        <v>118</v>
      </c>
      <c r="AB8272" t="s">
        <v>119</v>
      </c>
    </row>
    <row r="8273" ht="15" customHeight="1" spans="1:22" x14ac:dyDescent="0.25">
      <c r="A8273" s="17" t="s">
        <v>23136</v>
      </c>
      <c r="B8273" s="17" t="s">
        <v>70</v>
      </c>
      <c r="C8273" s="17" t="s">
        <v>71</v>
      </c>
      <c r="D8273" t="s">
        <v>23128</v>
      </c>
      <c r="F8273" t="s">
        <v>1754</v>
      </c>
      <c r="K8273" s="18">
        <f>8118406623</f>
        <v>8118406623</v>
      </c>
      <c r="N8273" s="17" t="s">
        <v>81</v>
      </c>
      <c r="V8273" s="18">
        <f>8118406623</f>
        <v>8118406623</v>
      </c>
    </row>
    <row r="8274" ht="15" customHeight="1" spans="1:23" x14ac:dyDescent="0.25">
      <c r="A8274" s="17" t="s">
        <v>23137</v>
      </c>
      <c r="B8274" s="17" t="s">
        <v>70</v>
      </c>
      <c r="C8274" s="17" t="s">
        <v>71</v>
      </c>
      <c r="D8274" t="s">
        <v>23128</v>
      </c>
      <c r="F8274" t="s">
        <v>23138</v>
      </c>
      <c r="K8274" s="18">
        <f>62811386948</f>
        <v>62811386948</v>
      </c>
      <c r="N8274" s="17" t="s">
        <v>77</v>
      </c>
      <c r="U8274" s="17"/>
      <c r="V8274" s="18">
        <f>62811386948</f>
        <v>62811386948</v>
      </c>
      <c r="W8274" t="s">
        <v>181</v>
      </c>
    </row>
    <row r="8275" ht="15" customHeight="1" spans="1:25" x14ac:dyDescent="0.25">
      <c r="A8275" s="17" t="s">
        <v>23139</v>
      </c>
      <c r="B8275" s="17" t="s">
        <v>70</v>
      </c>
      <c r="C8275" s="17" t="s">
        <v>71</v>
      </c>
      <c r="D8275" t="s">
        <v>23140</v>
      </c>
      <c r="F8275" t="s">
        <v>3869</v>
      </c>
      <c r="J8275" s="17" t="s">
        <v>23141</v>
      </c>
      <c r="K8275" s="18">
        <f>628118118800</f>
        <v>628118118800</v>
      </c>
      <c r="N8275" s="17" t="s">
        <v>77</v>
      </c>
      <c r="U8275" s="17"/>
      <c r="V8275" s="18">
        <f>628118118800</f>
        <v>628118118800</v>
      </c>
      <c r="W8275" t="s">
        <v>23142</v>
      </c>
      <c r="Y8275" s="17" t="s">
        <v>96</v>
      </c>
    </row>
    <row r="8276" ht="15" customHeight="1" spans="1:22" x14ac:dyDescent="0.25">
      <c r="A8276" s="17" t="s">
        <v>23143</v>
      </c>
      <c r="B8276" s="17" t="s">
        <v>70</v>
      </c>
      <c r="C8276" s="17" t="s">
        <v>71</v>
      </c>
      <c r="D8276" t="s">
        <v>23144</v>
      </c>
      <c r="F8276" t="s">
        <v>7922</v>
      </c>
      <c r="K8276" s="18">
        <f>628151606510</f>
        <v>628151606510</v>
      </c>
      <c r="N8276" s="17" t="s">
        <v>77</v>
      </c>
      <c r="V8276" s="18">
        <f>628151606510</f>
        <v>628151606510</v>
      </c>
    </row>
    <row r="8277" ht="15" customHeight="1" spans="1:27" x14ac:dyDescent="0.25">
      <c r="A8277" s="17" t="s">
        <v>23145</v>
      </c>
      <c r="B8277" s="17" t="s">
        <v>70</v>
      </c>
      <c r="C8277" s="17" t="s">
        <v>71</v>
      </c>
      <c r="D8277" t="s">
        <v>23146</v>
      </c>
      <c r="F8277" t="s">
        <v>23147</v>
      </c>
      <c r="K8277" s="18">
        <f>6285219217777</f>
        <v>6285219217777</v>
      </c>
      <c r="N8277" s="17" t="s">
        <v>77</v>
      </c>
      <c r="U8277" s="17"/>
      <c r="V8277" s="18">
        <f>6285219217777</f>
        <v>6285219217777</v>
      </c>
      <c r="W8277" t="s">
        <v>23148</v>
      </c>
      <c r="Y8277" s="17" t="s">
        <v>1084</v>
      </c>
      <c r="AA8277" s="17" t="s">
        <v>23149</v>
      </c>
    </row>
    <row r="8278" ht="15" customHeight="1" spans="1:23" x14ac:dyDescent="0.25">
      <c r="A8278" s="17" t="s">
        <v>23150</v>
      </c>
      <c r="B8278" s="17" t="s">
        <v>70</v>
      </c>
      <c r="C8278" s="17" t="s">
        <v>71</v>
      </c>
      <c r="D8278" t="s">
        <v>23151</v>
      </c>
      <c r="F8278" t="s">
        <v>3618</v>
      </c>
      <c r="K8278" s="18">
        <f>639399331807</f>
        <v>639399331807</v>
      </c>
      <c r="N8278" s="17" t="s">
        <v>77</v>
      </c>
      <c r="U8278" s="17"/>
      <c r="V8278" s="18">
        <f>639399331807</f>
        <v>639399331807</v>
      </c>
      <c r="W8278" t="s">
        <v>1349</v>
      </c>
    </row>
    <row r="8279" ht="15" customHeight="1" spans="1:28" x14ac:dyDescent="0.25">
      <c r="A8279" s="17" t="s">
        <v>23152</v>
      </c>
      <c r="B8279" s="17" t="s">
        <v>70</v>
      </c>
      <c r="C8279" s="17" t="s">
        <v>71</v>
      </c>
      <c r="D8279" t="s">
        <v>23153</v>
      </c>
      <c r="F8279" t="s">
        <v>23154</v>
      </c>
      <c r="J8279" t="s">
        <v>115</v>
      </c>
      <c r="K8279" s="18" t="s">
        <v>23155</v>
      </c>
      <c r="N8279" s="17" t="s">
        <v>77</v>
      </c>
      <c r="O8279" t="s">
        <v>489</v>
      </c>
      <c r="U8279" s="17"/>
      <c r="V8279" s="18" t="s">
        <v>23155</v>
      </c>
      <c r="W8279" t="s">
        <v>23156</v>
      </c>
      <c r="Y8279" s="17" t="s">
        <v>1091</v>
      </c>
      <c r="AA8279" t="s">
        <v>115</v>
      </c>
      <c r="AB8279" t="s">
        <v>119</v>
      </c>
    </row>
    <row r="8280" ht="15" customHeight="1" spans="1:28" x14ac:dyDescent="0.25">
      <c r="A8280" s="17" t="s">
        <v>23157</v>
      </c>
      <c r="B8280" s="17" t="s">
        <v>70</v>
      </c>
      <c r="C8280" s="17" t="s">
        <v>71</v>
      </c>
      <c r="D8280" t="s">
        <v>23158</v>
      </c>
      <c r="F8280" t="s">
        <v>9304</v>
      </c>
      <c r="J8280" s="17" t="s">
        <v>23159</v>
      </c>
      <c r="K8280" s="18" t="s">
        <v>23160</v>
      </c>
      <c r="N8280" s="17" t="s">
        <v>77</v>
      </c>
      <c r="O8280" t="s">
        <v>145</v>
      </c>
      <c r="U8280" s="17"/>
      <c r="V8280" s="18" t="s">
        <v>23160</v>
      </c>
      <c r="W8280" t="s">
        <v>1908</v>
      </c>
      <c r="Y8280" t="s">
        <v>1909</v>
      </c>
      <c r="AA8280" t="s">
        <v>115</v>
      </c>
      <c r="AB8280" t="s">
        <v>1909</v>
      </c>
    </row>
    <row r="8281" ht="15" customHeight="1" spans="1:25" x14ac:dyDescent="0.25">
      <c r="A8281" s="17" t="s">
        <v>23161</v>
      </c>
      <c r="B8281" s="17" t="s">
        <v>70</v>
      </c>
      <c r="C8281" s="17" t="s">
        <v>71</v>
      </c>
      <c r="D8281" t="s">
        <v>23162</v>
      </c>
      <c r="F8281" t="s">
        <v>23163</v>
      </c>
      <c r="K8281" s="18">
        <f>62216458679</f>
        <v>62216458679</v>
      </c>
      <c r="N8281" s="17" t="s">
        <v>77</v>
      </c>
      <c r="U8281" s="17"/>
      <c r="V8281" s="18">
        <f>62216458679</f>
        <v>62216458679</v>
      </c>
      <c r="W8281" t="s">
        <v>23164</v>
      </c>
      <c r="Y8281" s="17" t="s">
        <v>90</v>
      </c>
    </row>
    <row r="8282" ht="15" customHeight="1" spans="1:22" x14ac:dyDescent="0.25">
      <c r="A8282" s="17" t="s">
        <v>23165</v>
      </c>
      <c r="B8282" s="17" t="s">
        <v>70</v>
      </c>
      <c r="C8282" s="17" t="s">
        <v>71</v>
      </c>
      <c r="D8282" t="s">
        <v>23166</v>
      </c>
      <c r="F8282" t="s">
        <v>779</v>
      </c>
      <c r="K8282" s="18">
        <f>6281254666666</f>
        <v>6281254666666</v>
      </c>
      <c r="N8282" s="17" t="s">
        <v>77</v>
      </c>
      <c r="V8282" s="18">
        <f>6281254666666</f>
        <v>6281254666666</v>
      </c>
    </row>
    <row r="8283" ht="15" customHeight="1" spans="1:23" x14ac:dyDescent="0.25">
      <c r="A8283" s="17" t="s">
        <v>23167</v>
      </c>
      <c r="B8283" s="17" t="s">
        <v>70</v>
      </c>
      <c r="C8283" s="17" t="s">
        <v>71</v>
      </c>
      <c r="D8283" t="s">
        <v>23168</v>
      </c>
      <c r="F8283" t="s">
        <v>23169</v>
      </c>
      <c r="K8283" s="18">
        <f>639084074909</f>
        <v>639084074909</v>
      </c>
      <c r="N8283" s="17" t="s">
        <v>77</v>
      </c>
      <c r="U8283" s="17"/>
      <c r="V8283" s="18">
        <f>639084074909</f>
        <v>639084074909</v>
      </c>
      <c r="W8283" t="s">
        <v>1349</v>
      </c>
    </row>
    <row r="8284" ht="15" customHeight="1" spans="1:22" x14ac:dyDescent="0.25">
      <c r="A8284" s="17" t="s">
        <v>23170</v>
      </c>
      <c r="B8284" s="17" t="s">
        <v>70</v>
      </c>
      <c r="C8284" s="17" t="s">
        <v>71</v>
      </c>
      <c r="D8284" t="s">
        <v>10875</v>
      </c>
      <c r="F8284" t="s">
        <v>5942</v>
      </c>
      <c r="K8284" s="18">
        <f>6281281891616</f>
        <v>6281281891616</v>
      </c>
      <c r="N8284" s="17" t="s">
        <v>77</v>
      </c>
      <c r="V8284" s="18">
        <f>6281281891616</f>
        <v>6281281891616</v>
      </c>
    </row>
    <row r="8285" ht="15" customHeight="1" spans="1:23" x14ac:dyDescent="0.25">
      <c r="A8285" s="17" t="s">
        <v>23171</v>
      </c>
      <c r="B8285" s="17" t="s">
        <v>70</v>
      </c>
      <c r="C8285" s="17" t="s">
        <v>71</v>
      </c>
      <c r="D8285" t="s">
        <v>10875</v>
      </c>
      <c r="F8285" t="s">
        <v>23172</v>
      </c>
      <c r="K8285" s="18">
        <f>62811164555</f>
        <v>62811164555</v>
      </c>
      <c r="N8285" s="17" t="s">
        <v>77</v>
      </c>
      <c r="U8285" s="17"/>
      <c r="V8285" s="18">
        <f>62811164555</f>
        <v>62811164555</v>
      </c>
      <c r="W8285" t="s">
        <v>23173</v>
      </c>
    </row>
    <row r="8286" ht="15" customHeight="1" spans="1:22" x14ac:dyDescent="0.25">
      <c r="A8286" s="17" t="s">
        <v>23174</v>
      </c>
      <c r="B8286" s="17" t="s">
        <v>70</v>
      </c>
      <c r="C8286" s="17" t="s">
        <v>71</v>
      </c>
      <c r="D8286" t="s">
        <v>23175</v>
      </c>
      <c r="F8286" t="s">
        <v>23176</v>
      </c>
      <c r="K8286" s="18">
        <f>6285780707134</f>
        <v>6285780707134</v>
      </c>
      <c r="N8286" s="17" t="s">
        <v>77</v>
      </c>
      <c r="V8286" s="18">
        <f>6285780707134</f>
        <v>6285780707134</v>
      </c>
    </row>
    <row r="8287" ht="15" customHeight="1" spans="1:22" x14ac:dyDescent="0.25">
      <c r="A8287" s="17" t="s">
        <v>23177</v>
      </c>
      <c r="B8287" s="17" t="s">
        <v>70</v>
      </c>
      <c r="C8287" s="17" t="s">
        <v>71</v>
      </c>
      <c r="D8287" t="s">
        <v>23178</v>
      </c>
      <c r="F8287" t="s">
        <v>23179</v>
      </c>
      <c r="K8287" s="18">
        <f>6281311317879</f>
        <v>6281311317879</v>
      </c>
      <c r="N8287" s="17" t="s">
        <v>77</v>
      </c>
      <c r="V8287" s="18">
        <f>6281311317879</f>
        <v>6281311317879</v>
      </c>
    </row>
    <row r="8288" ht="15" customHeight="1" spans="1:22" x14ac:dyDescent="0.25">
      <c r="A8288" s="17" t="s">
        <v>23180</v>
      </c>
      <c r="B8288" s="17" t="s">
        <v>70</v>
      </c>
      <c r="C8288" s="17" t="s">
        <v>71</v>
      </c>
      <c r="D8288" t="s">
        <v>23181</v>
      </c>
      <c r="F8288" t="s">
        <v>23182</v>
      </c>
      <c r="K8288" s="18">
        <f>62811165783</f>
        <v>62811165783</v>
      </c>
      <c r="N8288" s="17" t="s">
        <v>81</v>
      </c>
      <c r="V8288" s="18">
        <f>62811165783</f>
        <v>62811165783</v>
      </c>
    </row>
    <row r="8289" ht="15" customHeight="1" spans="1:27" x14ac:dyDescent="0.25">
      <c r="A8289" s="17" t="s">
        <v>23183</v>
      </c>
      <c r="B8289" s="17" t="s">
        <v>70</v>
      </c>
      <c r="C8289" s="17" t="s">
        <v>71</v>
      </c>
      <c r="D8289" t="s">
        <v>23184</v>
      </c>
      <c r="F8289" t="s">
        <v>23184</v>
      </c>
      <c r="K8289" s="18">
        <f>6281373707777</f>
        <v>6281373707777</v>
      </c>
      <c r="N8289" s="17" t="s">
        <v>77</v>
      </c>
      <c r="U8289" s="17"/>
      <c r="V8289" s="18">
        <f>6281373707777</f>
        <v>6281373707777</v>
      </c>
      <c r="W8289" t="s">
        <v>23185</v>
      </c>
      <c r="Y8289" s="17" t="s">
        <v>96</v>
      </c>
      <c r="AA8289" s="17" t="s">
        <v>23186</v>
      </c>
    </row>
    <row r="8290" ht="15" customHeight="1" spans="1:28" x14ac:dyDescent="0.25">
      <c r="A8290" s="17" t="s">
        <v>23187</v>
      </c>
      <c r="B8290" s="17" t="s">
        <v>70</v>
      </c>
      <c r="C8290" s="17" t="s">
        <v>71</v>
      </c>
      <c r="D8290" t="s">
        <v>23188</v>
      </c>
      <c r="F8290" t="s">
        <v>23189</v>
      </c>
      <c r="J8290" t="s">
        <v>23190</v>
      </c>
      <c r="K8290" s="18" t="s">
        <v>23191</v>
      </c>
      <c r="N8290" s="17" t="s">
        <v>77</v>
      </c>
      <c r="O8290" t="s">
        <v>117</v>
      </c>
      <c r="U8290" s="17"/>
      <c r="V8290" s="18" t="s">
        <v>23191</v>
      </c>
      <c r="W8290" t="s">
        <v>23192</v>
      </c>
      <c r="Y8290" t="s">
        <v>90</v>
      </c>
      <c r="AA8290" t="s">
        <v>118</v>
      </c>
      <c r="AB8290" t="s">
        <v>119</v>
      </c>
    </row>
    <row r="8291" ht="15" customHeight="1" spans="1:22" x14ac:dyDescent="0.25">
      <c r="A8291" s="17" t="s">
        <v>23193</v>
      </c>
      <c r="B8291" s="17" t="s">
        <v>70</v>
      </c>
      <c r="C8291" s="17" t="s">
        <v>71</v>
      </c>
      <c r="D8291" t="s">
        <v>23188</v>
      </c>
      <c r="F8291" t="s">
        <v>8534</v>
      </c>
      <c r="K8291" s="18">
        <f>628161908611</f>
        <v>628161908611</v>
      </c>
      <c r="N8291" s="17" t="s">
        <v>77</v>
      </c>
      <c r="V8291" s="18">
        <f>628161908611</f>
        <v>628161908611</v>
      </c>
    </row>
    <row r="8292" ht="15" customHeight="1" spans="1:22" x14ac:dyDescent="0.25">
      <c r="A8292" s="17" t="s">
        <v>23194</v>
      </c>
      <c r="B8292" s="17" t="s">
        <v>70</v>
      </c>
      <c r="C8292" s="17" t="s">
        <v>71</v>
      </c>
      <c r="D8292" t="s">
        <v>23195</v>
      </c>
      <c r="F8292" t="s">
        <v>23195</v>
      </c>
      <c r="K8292" s="18">
        <f>6281311518585</f>
        <v>6281311518585</v>
      </c>
      <c r="N8292" s="17" t="s">
        <v>81</v>
      </c>
      <c r="V8292" s="18">
        <f>6281311518585</f>
        <v>6281311518585</v>
      </c>
    </row>
    <row r="8293" ht="15" customHeight="1" spans="1:25" x14ac:dyDescent="0.25">
      <c r="A8293" s="17" t="s">
        <v>23196</v>
      </c>
      <c r="B8293" s="17" t="s">
        <v>70</v>
      </c>
      <c r="C8293" s="17" t="s">
        <v>71</v>
      </c>
      <c r="D8293" t="s">
        <v>23195</v>
      </c>
      <c r="F8293" t="s">
        <v>1226</v>
      </c>
      <c r="K8293" s="18">
        <f>62811162903</f>
        <v>62811162903</v>
      </c>
      <c r="N8293" s="17" t="s">
        <v>77</v>
      </c>
      <c r="U8293" s="17"/>
      <c r="V8293" s="18">
        <f>62811162903</f>
        <v>62811162903</v>
      </c>
      <c r="W8293" t="s">
        <v>23197</v>
      </c>
      <c r="Y8293" s="17" t="s">
        <v>96</v>
      </c>
    </row>
    <row r="8294" ht="15" customHeight="1" spans="1:28" x14ac:dyDescent="0.25">
      <c r="A8294" s="17" t="s">
        <v>23198</v>
      </c>
      <c r="B8294" s="17" t="s">
        <v>70</v>
      </c>
      <c r="C8294" s="17" t="s">
        <v>71</v>
      </c>
      <c r="D8294" t="s">
        <v>23199</v>
      </c>
      <c r="F8294" t="s">
        <v>4228</v>
      </c>
      <c r="J8294" s="17" t="s">
        <v>23200</v>
      </c>
      <c r="K8294" s="18" t="s">
        <v>23201</v>
      </c>
      <c r="N8294" s="17" t="s">
        <v>77</v>
      </c>
      <c r="O8294" t="s">
        <v>261</v>
      </c>
      <c r="U8294" s="17"/>
      <c r="V8294" s="18" t="s">
        <v>23201</v>
      </c>
      <c r="W8294" t="s">
        <v>23202</v>
      </c>
      <c r="Y8294" t="s">
        <v>181</v>
      </c>
      <c r="AA8294" t="s">
        <v>1672</v>
      </c>
      <c r="AB8294" t="s">
        <v>119</v>
      </c>
    </row>
    <row r="8295" ht="15" customHeight="1" spans="1:25" x14ac:dyDescent="0.25">
      <c r="A8295" s="17" t="s">
        <v>23203</v>
      </c>
      <c r="B8295" s="17" t="s">
        <v>70</v>
      </c>
      <c r="C8295" s="17" t="s">
        <v>71</v>
      </c>
      <c r="D8295" t="s">
        <v>23204</v>
      </c>
      <c r="F8295" t="s">
        <v>23205</v>
      </c>
      <c r="J8295" s="17" t="s">
        <v>23206</v>
      </c>
      <c r="K8295" s="18">
        <f>62811108880</f>
        <v>62811108880</v>
      </c>
      <c r="N8295" s="17" t="s">
        <v>77</v>
      </c>
      <c r="U8295" s="17"/>
      <c r="V8295" s="18">
        <f>62811108880</f>
        <v>62811108880</v>
      </c>
      <c r="W8295" t="s">
        <v>23207</v>
      </c>
      <c r="Y8295" s="17" t="s">
        <v>90</v>
      </c>
    </row>
    <row r="8296" ht="15" customHeight="1" spans="1:22" x14ac:dyDescent="0.25">
      <c r="A8296" s="17" t="s">
        <v>23208</v>
      </c>
      <c r="B8296" s="17" t="s">
        <v>70</v>
      </c>
      <c r="C8296" s="17" t="s">
        <v>71</v>
      </c>
      <c r="D8296" t="s">
        <v>23209</v>
      </c>
      <c r="F8296" t="s">
        <v>23210</v>
      </c>
      <c r="K8296" s="18">
        <f>628342822225</f>
        <v>628342822225</v>
      </c>
      <c r="N8296" s="17" t="s">
        <v>81</v>
      </c>
      <c r="V8296" s="18">
        <f>628342822225</f>
        <v>628342822225</v>
      </c>
    </row>
    <row r="8297" ht="15" customHeight="1" spans="1:23" x14ac:dyDescent="0.25">
      <c r="A8297" s="17" t="s">
        <v>23211</v>
      </c>
      <c r="B8297" s="17" t="s">
        <v>70</v>
      </c>
      <c r="C8297" s="17" t="s">
        <v>71</v>
      </c>
      <c r="D8297" t="s">
        <v>23212</v>
      </c>
      <c r="F8297" t="s">
        <v>13405</v>
      </c>
      <c r="K8297" s="18">
        <f>610401638382</f>
        <v>610401638382</v>
      </c>
      <c r="N8297" s="17" t="s">
        <v>77</v>
      </c>
      <c r="U8297" s="17"/>
      <c r="V8297" s="18">
        <f>610401638382</f>
        <v>610401638382</v>
      </c>
      <c r="W8297" t="s">
        <v>1903</v>
      </c>
    </row>
    <row r="8298" ht="15" customHeight="1" spans="1:23" x14ac:dyDescent="0.25">
      <c r="A8298" s="17" t="s">
        <v>23213</v>
      </c>
      <c r="B8298" s="17" t="s">
        <v>70</v>
      </c>
      <c r="C8298" s="17" t="s">
        <v>71</v>
      </c>
      <c r="D8298" t="s">
        <v>23214</v>
      </c>
      <c r="F8298" t="s">
        <v>23215</v>
      </c>
      <c r="K8298" s="18">
        <f>966505239802</f>
        <v>966505239802</v>
      </c>
      <c r="N8298" s="17" t="s">
        <v>77</v>
      </c>
      <c r="U8298" s="17"/>
      <c r="V8298" s="18">
        <f>966505239802</f>
        <v>966505239802</v>
      </c>
      <c r="W8298" t="s">
        <v>23216</v>
      </c>
    </row>
    <row r="8299" ht="15" customHeight="1" spans="1:22" x14ac:dyDescent="0.25">
      <c r="A8299" s="17" t="s">
        <v>23217</v>
      </c>
      <c r="B8299" s="17" t="s">
        <v>70</v>
      </c>
      <c r="C8299" s="17" t="s">
        <v>71</v>
      </c>
      <c r="D8299" t="s">
        <v>23218</v>
      </c>
      <c r="F8299" t="s">
        <v>21284</v>
      </c>
      <c r="K8299" s="18">
        <f>6281319112202</f>
        <v>6281319112202</v>
      </c>
      <c r="N8299" s="17" t="s">
        <v>81</v>
      </c>
      <c r="V8299" s="18">
        <f>6281319112202</f>
        <v>6281319112202</v>
      </c>
    </row>
    <row r="8300" ht="15" customHeight="1" spans="1:25" x14ac:dyDescent="0.25">
      <c r="A8300" s="17" t="s">
        <v>23219</v>
      </c>
      <c r="B8300" s="17" t="s">
        <v>70</v>
      </c>
      <c r="C8300" s="17" t="s">
        <v>71</v>
      </c>
      <c r="D8300" t="s">
        <v>23220</v>
      </c>
      <c r="F8300" t="s">
        <v>3962</v>
      </c>
      <c r="K8300" s="18">
        <f>8618521700636</f>
        <v>8618521700636</v>
      </c>
      <c r="N8300" s="17" t="s">
        <v>77</v>
      </c>
      <c r="V8300" s="18">
        <f>8618521700636</f>
        <v>8618521700636</v>
      </c>
      <c r="Y8300" s="17" t="s">
        <v>6980</v>
      </c>
    </row>
    <row r="8301" ht="15" customHeight="1" spans="1:22" x14ac:dyDescent="0.25">
      <c r="A8301" s="17" t="s">
        <v>23221</v>
      </c>
      <c r="B8301" s="17" t="s">
        <v>70</v>
      </c>
      <c r="C8301" s="17" t="s">
        <v>71</v>
      </c>
      <c r="D8301" t="s">
        <v>23222</v>
      </c>
      <c r="F8301" t="s">
        <v>23222</v>
      </c>
      <c r="K8301" s="18">
        <f>62811113636</f>
        <v>62811113636</v>
      </c>
      <c r="N8301" s="17" t="s">
        <v>81</v>
      </c>
      <c r="V8301" s="18">
        <f>62811113636</f>
        <v>62811113636</v>
      </c>
    </row>
    <row r="8302" ht="15" customHeight="1" spans="1:28" x14ac:dyDescent="0.25">
      <c r="A8302" s="17" t="s">
        <v>23223</v>
      </c>
      <c r="B8302" s="17" t="s">
        <v>70</v>
      </c>
      <c r="C8302" s="17" t="s">
        <v>71</v>
      </c>
      <c r="D8302" t="s">
        <v>23222</v>
      </c>
      <c r="F8302" t="s">
        <v>23224</v>
      </c>
      <c r="J8302" t="s">
        <v>115</v>
      </c>
      <c r="K8302" s="18" t="s">
        <v>23225</v>
      </c>
      <c r="N8302" s="17" t="s">
        <v>77</v>
      </c>
      <c r="O8302" t="s">
        <v>199</v>
      </c>
      <c r="U8302" s="17"/>
      <c r="V8302" s="18" t="s">
        <v>23225</v>
      </c>
      <c r="W8302" t="s">
        <v>23226</v>
      </c>
      <c r="Y8302" s="17" t="s">
        <v>181</v>
      </c>
      <c r="AA8302" t="s">
        <v>1672</v>
      </c>
      <c r="AB8302" t="s">
        <v>119</v>
      </c>
    </row>
    <row r="8303" ht="15" customHeight="1" spans="1:28" x14ac:dyDescent="0.25">
      <c r="A8303" s="17" t="s">
        <v>23227</v>
      </c>
      <c r="B8303" s="17" t="s">
        <v>70</v>
      </c>
      <c r="C8303" s="17" t="s">
        <v>71</v>
      </c>
      <c r="D8303" t="s">
        <v>23222</v>
      </c>
      <c r="F8303" t="s">
        <v>23228</v>
      </c>
      <c r="J8303" t="s">
        <v>115</v>
      </c>
      <c r="K8303" s="18" t="s">
        <v>23229</v>
      </c>
      <c r="N8303" s="17" t="s">
        <v>81</v>
      </c>
      <c r="O8303" t="s">
        <v>261</v>
      </c>
      <c r="V8303" s="18" t="s">
        <v>23229</v>
      </c>
      <c r="Y8303" t="s">
        <v>181</v>
      </c>
      <c r="AA8303" t="s">
        <v>1672</v>
      </c>
      <c r="AB8303" t="s">
        <v>119</v>
      </c>
    </row>
    <row r="8304" ht="15" customHeight="1" spans="1:28" x14ac:dyDescent="0.25">
      <c r="A8304" s="17" t="s">
        <v>23230</v>
      </c>
      <c r="B8304" s="17" t="s">
        <v>70</v>
      </c>
      <c r="C8304" s="17" t="s">
        <v>71</v>
      </c>
      <c r="D8304" t="s">
        <v>23222</v>
      </c>
      <c r="F8304" t="s">
        <v>10871</v>
      </c>
      <c r="J8304" t="s">
        <v>115</v>
      </c>
      <c r="K8304" s="18" t="s">
        <v>23231</v>
      </c>
      <c r="N8304" s="17" t="s">
        <v>74</v>
      </c>
      <c r="O8304" t="s">
        <v>489</v>
      </c>
      <c r="V8304" s="18" t="s">
        <v>23231</v>
      </c>
      <c r="Y8304" t="s">
        <v>190</v>
      </c>
      <c r="AA8304" t="s">
        <v>118</v>
      </c>
      <c r="AB8304" t="s">
        <v>119</v>
      </c>
    </row>
    <row r="8305" ht="15" customHeight="1" spans="1:28" x14ac:dyDescent="0.25">
      <c r="A8305" s="17" t="s">
        <v>23232</v>
      </c>
      <c r="B8305" s="17" t="s">
        <v>70</v>
      </c>
      <c r="C8305" s="17" t="s">
        <v>71</v>
      </c>
      <c r="D8305" t="s">
        <v>23222</v>
      </c>
      <c r="F8305" t="s">
        <v>23233</v>
      </c>
      <c r="J8305" s="17" t="s">
        <v>23234</v>
      </c>
      <c r="K8305" s="18" t="s">
        <v>23235</v>
      </c>
      <c r="N8305" s="17" t="s">
        <v>81</v>
      </c>
      <c r="O8305" t="s">
        <v>261</v>
      </c>
      <c r="V8305" s="18" t="s">
        <v>23235</v>
      </c>
      <c r="Y8305" t="s">
        <v>181</v>
      </c>
      <c r="AA8305" t="s">
        <v>1672</v>
      </c>
      <c r="AB8305" t="s">
        <v>119</v>
      </c>
    </row>
    <row r="8306" ht="15" customHeight="1" spans="1:22" x14ac:dyDescent="0.25">
      <c r="A8306" s="17" t="s">
        <v>23236</v>
      </c>
      <c r="B8306" s="17" t="s">
        <v>70</v>
      </c>
      <c r="C8306" s="17" t="s">
        <v>71</v>
      </c>
      <c r="D8306" t="s">
        <v>23237</v>
      </c>
      <c r="F8306" t="s">
        <v>2730</v>
      </c>
      <c r="K8306" s="18">
        <f>6281216999777</f>
        <v>6281216999777</v>
      </c>
      <c r="N8306" s="17" t="s">
        <v>77</v>
      </c>
      <c r="V8306" s="18">
        <f>6281216999777</f>
        <v>6281216999777</v>
      </c>
    </row>
    <row r="8307" ht="15" customHeight="1" spans="1:22" x14ac:dyDescent="0.25">
      <c r="A8307" s="17" t="s">
        <v>23238</v>
      </c>
      <c r="B8307" s="17" t="s">
        <v>70</v>
      </c>
      <c r="C8307" s="17" t="s">
        <v>71</v>
      </c>
      <c r="D8307" t="s">
        <v>23239</v>
      </c>
      <c r="F8307" t="s">
        <v>23239</v>
      </c>
      <c r="K8307" s="18">
        <f>62816817488</f>
        <v>62816817488</v>
      </c>
      <c r="N8307" s="17" t="s">
        <v>77</v>
      </c>
      <c r="V8307" s="18">
        <f>62816817488</f>
        <v>62816817488</v>
      </c>
    </row>
    <row r="8308" ht="15" customHeight="1" spans="1:25" x14ac:dyDescent="0.25">
      <c r="A8308" s="17" t="s">
        <v>23240</v>
      </c>
      <c r="B8308" s="17" t="s">
        <v>70</v>
      </c>
      <c r="C8308" s="17" t="s">
        <v>71</v>
      </c>
      <c r="D8308" t="s">
        <v>23239</v>
      </c>
      <c r="F8308" t="s">
        <v>23241</v>
      </c>
      <c r="K8308" s="18">
        <f>6281511111130</f>
        <v>6281511111130</v>
      </c>
      <c r="N8308" s="17" t="s">
        <v>77</v>
      </c>
      <c r="U8308" s="17"/>
      <c r="V8308" s="18">
        <f>6281511111130</f>
        <v>6281511111130</v>
      </c>
      <c r="W8308" t="s">
        <v>23242</v>
      </c>
      <c r="Y8308" s="17" t="s">
        <v>96</v>
      </c>
    </row>
    <row r="8309" ht="15" customHeight="1" spans="1:28" x14ac:dyDescent="0.25">
      <c r="A8309" s="17" t="s">
        <v>23243</v>
      </c>
      <c r="B8309" s="17" t="s">
        <v>70</v>
      </c>
      <c r="C8309" s="17" t="s">
        <v>71</v>
      </c>
      <c r="D8309" t="s">
        <v>23244</v>
      </c>
      <c r="F8309" t="s">
        <v>23245</v>
      </c>
      <c r="J8309" s="17" t="s">
        <v>23246</v>
      </c>
      <c r="K8309" s="18" t="s">
        <v>23247</v>
      </c>
      <c r="N8309" s="17" t="s">
        <v>77</v>
      </c>
      <c r="O8309" t="s">
        <v>145</v>
      </c>
      <c r="U8309" s="17"/>
      <c r="V8309" s="18" t="s">
        <v>23247</v>
      </c>
      <c r="W8309" t="s">
        <v>1046</v>
      </c>
      <c r="Y8309" t="s">
        <v>1046</v>
      </c>
      <c r="AA8309" t="s">
        <v>115</v>
      </c>
      <c r="AB8309" t="s">
        <v>1046</v>
      </c>
    </row>
    <row r="8310" ht="15" customHeight="1" spans="1:28" x14ac:dyDescent="0.25">
      <c r="A8310" s="17" t="s">
        <v>23248</v>
      </c>
      <c r="B8310" s="17" t="s">
        <v>70</v>
      </c>
      <c r="C8310" s="17" t="s">
        <v>71</v>
      </c>
      <c r="D8310" t="s">
        <v>23249</v>
      </c>
      <c r="F8310" t="s">
        <v>23250</v>
      </c>
      <c r="J8310" t="s">
        <v>115</v>
      </c>
      <c r="K8310" s="18" t="s">
        <v>23251</v>
      </c>
      <c r="N8310" s="17" t="s">
        <v>77</v>
      </c>
      <c r="O8310" t="s">
        <v>199</v>
      </c>
      <c r="V8310" s="18" t="s">
        <v>23251</v>
      </c>
      <c r="Y8310" t="s">
        <v>190</v>
      </c>
      <c r="AA8310" t="s">
        <v>118</v>
      </c>
      <c r="AB8310" t="s">
        <v>119</v>
      </c>
    </row>
    <row r="8311" ht="15" customHeight="1" spans="1:22" x14ac:dyDescent="0.25">
      <c r="A8311" s="17" t="s">
        <v>23252</v>
      </c>
      <c r="B8311" s="17" t="s">
        <v>70</v>
      </c>
      <c r="C8311" s="17" t="s">
        <v>71</v>
      </c>
      <c r="D8311" t="s">
        <v>23253</v>
      </c>
      <c r="F8311" t="s">
        <v>10444</v>
      </c>
      <c r="K8311" s="18">
        <f>62818119543</f>
        <v>62818119543</v>
      </c>
      <c r="N8311" s="17" t="s">
        <v>77</v>
      </c>
      <c r="V8311" s="18">
        <f>62818119543</f>
        <v>62818119543</v>
      </c>
    </row>
    <row r="8312" ht="15" customHeight="1" spans="1:28" x14ac:dyDescent="0.25">
      <c r="A8312" s="17" t="s">
        <v>23254</v>
      </c>
      <c r="B8312" s="17" t="s">
        <v>70</v>
      </c>
      <c r="C8312" s="17" t="s">
        <v>71</v>
      </c>
      <c r="D8312" t="s">
        <v>23255</v>
      </c>
      <c r="F8312" t="s">
        <v>913</v>
      </c>
      <c r="J8312" t="s">
        <v>115</v>
      </c>
      <c r="K8312" s="18" t="s">
        <v>23256</v>
      </c>
      <c r="N8312" s="17" t="s">
        <v>77</v>
      </c>
      <c r="O8312" t="s">
        <v>489</v>
      </c>
      <c r="V8312" s="18" t="s">
        <v>23256</v>
      </c>
      <c r="Y8312" t="s">
        <v>190</v>
      </c>
      <c r="AA8312" t="s">
        <v>118</v>
      </c>
      <c r="AB8312" t="s">
        <v>119</v>
      </c>
    </row>
    <row r="8313" ht="15" customHeight="1" spans="1:22" x14ac:dyDescent="0.25">
      <c r="A8313" s="17" t="s">
        <v>23257</v>
      </c>
      <c r="B8313" s="17" t="s">
        <v>70</v>
      </c>
      <c r="C8313" s="17" t="s">
        <v>71</v>
      </c>
      <c r="D8313" t="s">
        <v>23258</v>
      </c>
      <c r="F8313" t="s">
        <v>23258</v>
      </c>
      <c r="K8313" s="18">
        <f>62816975550</f>
        <v>62816975550</v>
      </c>
      <c r="N8313" s="17" t="s">
        <v>77</v>
      </c>
      <c r="V8313" s="18">
        <f>62816975550</f>
        <v>62816975550</v>
      </c>
    </row>
    <row r="8314" ht="15" customHeight="1" spans="1:22" x14ac:dyDescent="0.25">
      <c r="A8314" s="17" t="s">
        <v>23259</v>
      </c>
      <c r="B8314" s="17" t="s">
        <v>70</v>
      </c>
      <c r="C8314" s="17" t="s">
        <v>71</v>
      </c>
      <c r="D8314" t="s">
        <v>23258</v>
      </c>
      <c r="F8314" t="s">
        <v>23258</v>
      </c>
      <c r="K8314" s="18">
        <f>628161891510</f>
        <v>628161891510</v>
      </c>
      <c r="N8314" s="17" t="s">
        <v>81</v>
      </c>
      <c r="V8314" s="18">
        <f>628161891510</f>
        <v>628161891510</v>
      </c>
    </row>
    <row r="8315" ht="15" customHeight="1" spans="1:22" x14ac:dyDescent="0.25">
      <c r="A8315" s="17" t="s">
        <v>23260</v>
      </c>
      <c r="B8315" s="17" t="s">
        <v>70</v>
      </c>
      <c r="C8315" s="17" t="s">
        <v>71</v>
      </c>
      <c r="D8315" t="s">
        <v>23258</v>
      </c>
      <c r="F8315" t="s">
        <v>23258</v>
      </c>
      <c r="K8315" s="18">
        <f>62811985564</f>
        <v>62811985564</v>
      </c>
      <c r="N8315" s="17" t="s">
        <v>81</v>
      </c>
      <c r="V8315" s="18">
        <f>62811985564</f>
        <v>62811985564</v>
      </c>
    </row>
    <row r="8316" ht="15" customHeight="1" spans="1:22" x14ac:dyDescent="0.25">
      <c r="A8316" s="17" t="s">
        <v>23261</v>
      </c>
      <c r="B8316" s="17" t="s">
        <v>70</v>
      </c>
      <c r="C8316" s="17" t="s">
        <v>71</v>
      </c>
      <c r="D8316" t="s">
        <v>23258</v>
      </c>
      <c r="F8316" t="s">
        <v>22265</v>
      </c>
      <c r="K8316" s="18">
        <f>628129988819</f>
        <v>628129988819</v>
      </c>
      <c r="N8316" s="17" t="s">
        <v>81</v>
      </c>
      <c r="V8316" s="18">
        <f>628129988819</f>
        <v>628129988819</v>
      </c>
    </row>
    <row r="8317" ht="15" customHeight="1" spans="1:22" x14ac:dyDescent="0.25">
      <c r="A8317" s="17" t="s">
        <v>23262</v>
      </c>
      <c r="B8317" s="17" t="s">
        <v>70</v>
      </c>
      <c r="C8317" s="17" t="s">
        <v>71</v>
      </c>
      <c r="D8317" t="s">
        <v>23258</v>
      </c>
      <c r="F8317" t="s">
        <v>2293</v>
      </c>
      <c r="K8317" s="18">
        <f>628170077878</f>
        <v>628170077878</v>
      </c>
      <c r="N8317" s="17" t="s">
        <v>74</v>
      </c>
      <c r="V8317" s="18">
        <f>628170077878</f>
        <v>628170077878</v>
      </c>
    </row>
    <row r="8318" ht="15" customHeight="1" spans="1:28" x14ac:dyDescent="0.25">
      <c r="A8318" s="17" t="s">
        <v>23263</v>
      </c>
      <c r="B8318" s="17" t="s">
        <v>70</v>
      </c>
      <c r="C8318" s="17" t="s">
        <v>71</v>
      </c>
      <c r="D8318" t="s">
        <v>23258</v>
      </c>
      <c r="F8318" t="s">
        <v>7046</v>
      </c>
      <c r="J8318" t="s">
        <v>115</v>
      </c>
      <c r="K8318" s="18" t="s">
        <v>23264</v>
      </c>
      <c r="N8318" s="17" t="s">
        <v>77</v>
      </c>
      <c r="O8318" t="s">
        <v>117</v>
      </c>
      <c r="V8318" s="18" t="s">
        <v>23264</v>
      </c>
      <c r="Y8318" t="s">
        <v>190</v>
      </c>
      <c r="AA8318" t="s">
        <v>118</v>
      </c>
      <c r="AB8318" t="s">
        <v>119</v>
      </c>
    </row>
    <row r="8319" ht="15" customHeight="1" spans="1:28" x14ac:dyDescent="0.25">
      <c r="A8319" s="17" t="s">
        <v>23265</v>
      </c>
      <c r="B8319" s="17" t="s">
        <v>70</v>
      </c>
      <c r="C8319" s="17" t="s">
        <v>71</v>
      </c>
      <c r="D8319" t="s">
        <v>23258</v>
      </c>
      <c r="F8319" t="s">
        <v>23266</v>
      </c>
      <c r="J8319" t="s">
        <v>115</v>
      </c>
      <c r="K8319" s="18" t="s">
        <v>23267</v>
      </c>
      <c r="N8319" s="17" t="s">
        <v>74</v>
      </c>
      <c r="O8319" t="s">
        <v>489</v>
      </c>
      <c r="U8319" s="17"/>
      <c r="V8319" s="18" t="s">
        <v>23267</v>
      </c>
      <c r="W8319" t="s">
        <v>23268</v>
      </c>
      <c r="Y8319" s="17" t="s">
        <v>378</v>
      </c>
      <c r="AA8319" s="17" t="s">
        <v>118</v>
      </c>
      <c r="AB8319" t="s">
        <v>119</v>
      </c>
    </row>
    <row r="8320" ht="15" customHeight="1" spans="1:28" x14ac:dyDescent="0.25">
      <c r="A8320" s="17" t="s">
        <v>23269</v>
      </c>
      <c r="B8320" s="17" t="s">
        <v>70</v>
      </c>
      <c r="C8320" s="17" t="s">
        <v>71</v>
      </c>
      <c r="D8320" t="s">
        <v>23258</v>
      </c>
      <c r="F8320" t="s">
        <v>23270</v>
      </c>
      <c r="J8320" t="s">
        <v>23271</v>
      </c>
      <c r="K8320" s="18" t="s">
        <v>23272</v>
      </c>
      <c r="N8320" s="17" t="s">
        <v>81</v>
      </c>
      <c r="O8320" t="s">
        <v>261</v>
      </c>
      <c r="V8320" s="18" t="s">
        <v>23272</v>
      </c>
      <c r="Y8320" t="s">
        <v>115</v>
      </c>
      <c r="AA8320" t="s">
        <v>115</v>
      </c>
      <c r="AB8320" t="s">
        <v>119</v>
      </c>
    </row>
    <row r="8321" ht="15" customHeight="1" spans="1:22" x14ac:dyDescent="0.25">
      <c r="A8321" s="17" t="s">
        <v>23273</v>
      </c>
      <c r="B8321" s="17" t="s">
        <v>70</v>
      </c>
      <c r="C8321" s="17" t="s">
        <v>71</v>
      </c>
      <c r="D8321" t="s">
        <v>23258</v>
      </c>
      <c r="F8321" t="s">
        <v>23270</v>
      </c>
      <c r="K8321" s="18">
        <f>628188085106</f>
        <v>628188085106</v>
      </c>
      <c r="N8321" s="17" t="s">
        <v>77</v>
      </c>
      <c r="V8321" s="18">
        <f>628188085106</f>
        <v>628188085106</v>
      </c>
    </row>
    <row r="8322" ht="15" customHeight="1" spans="1:23" x14ac:dyDescent="0.25">
      <c r="A8322" s="17" t="s">
        <v>23274</v>
      </c>
      <c r="B8322" s="17" t="s">
        <v>70</v>
      </c>
      <c r="C8322" s="17" t="s">
        <v>71</v>
      </c>
      <c r="D8322" t="s">
        <v>23258</v>
      </c>
      <c r="F8322" t="s">
        <v>23275</v>
      </c>
      <c r="K8322" s="18">
        <f>62818977890</f>
        <v>62818977890</v>
      </c>
      <c r="N8322" s="17" t="s">
        <v>77</v>
      </c>
      <c r="U8322" s="17"/>
      <c r="V8322" s="18">
        <f>62818977890</f>
        <v>62818977890</v>
      </c>
      <c r="W8322" t="s">
        <v>23276</v>
      </c>
    </row>
    <row r="8323" ht="15" customHeight="1" spans="1:22" x14ac:dyDescent="0.25">
      <c r="A8323" s="17" t="s">
        <v>23277</v>
      </c>
      <c r="B8323" s="17" t="s">
        <v>70</v>
      </c>
      <c r="C8323" s="17" t="s">
        <v>71</v>
      </c>
      <c r="D8323" t="s">
        <v>23278</v>
      </c>
      <c r="F8323" t="s">
        <v>9600</v>
      </c>
      <c r="K8323" s="18">
        <f>62811183337</f>
        <v>62811183337</v>
      </c>
      <c r="N8323" s="17" t="s">
        <v>77</v>
      </c>
      <c r="V8323" s="18">
        <f>62811183337</f>
        <v>62811183337</v>
      </c>
    </row>
    <row r="8324" ht="15" customHeight="1" spans="1:28" x14ac:dyDescent="0.25">
      <c r="A8324" s="17" t="s">
        <v>23279</v>
      </c>
      <c r="B8324" s="17" t="s">
        <v>70</v>
      </c>
      <c r="C8324" s="17" t="s">
        <v>71</v>
      </c>
      <c r="D8324" t="s">
        <v>23258</v>
      </c>
      <c r="F8324" t="s">
        <v>23280</v>
      </c>
      <c r="J8324" t="s">
        <v>115</v>
      </c>
      <c r="K8324" s="18" t="s">
        <v>23281</v>
      </c>
      <c r="N8324" s="17" t="s">
        <v>77</v>
      </c>
      <c r="O8324" t="s">
        <v>489</v>
      </c>
      <c r="U8324" s="17"/>
      <c r="V8324" s="18" t="s">
        <v>23281</v>
      </c>
      <c r="W8324" t="s">
        <v>23282</v>
      </c>
      <c r="Y8324" t="s">
        <v>217</v>
      </c>
      <c r="AA8324" t="s">
        <v>218</v>
      </c>
      <c r="AB8324" t="s">
        <v>119</v>
      </c>
    </row>
    <row r="8325" ht="15" customHeight="1" spans="1:22" x14ac:dyDescent="0.25">
      <c r="A8325" s="17" t="s">
        <v>23283</v>
      </c>
      <c r="B8325" s="17" t="s">
        <v>70</v>
      </c>
      <c r="C8325" s="17" t="s">
        <v>71</v>
      </c>
      <c r="D8325" t="s">
        <v>23258</v>
      </c>
      <c r="F8325" t="s">
        <v>23284</v>
      </c>
      <c r="K8325" s="18">
        <f>62818926331</f>
        <v>62818926331</v>
      </c>
      <c r="N8325" s="17" t="s">
        <v>77</v>
      </c>
      <c r="V8325" s="18">
        <f>62818926331</f>
        <v>62818926331</v>
      </c>
    </row>
    <row r="8326" ht="15" customHeight="1" spans="1:22" x14ac:dyDescent="0.25">
      <c r="A8326" s="17" t="s">
        <v>23285</v>
      </c>
      <c r="B8326" s="17" t="s">
        <v>70</v>
      </c>
      <c r="C8326" s="17" t="s">
        <v>71</v>
      </c>
      <c r="D8326" t="s">
        <v>23258</v>
      </c>
      <c r="F8326" t="s">
        <v>1869</v>
      </c>
      <c r="K8326" s="18">
        <f>628125882345</f>
        <v>628125882345</v>
      </c>
      <c r="N8326" s="17" t="s">
        <v>77</v>
      </c>
      <c r="V8326" s="18">
        <f>628125882345</f>
        <v>628125882345</v>
      </c>
    </row>
    <row r="8327" ht="15" customHeight="1" spans="1:22" x14ac:dyDescent="0.25">
      <c r="A8327" s="17" t="s">
        <v>23286</v>
      </c>
      <c r="B8327" s="17" t="s">
        <v>70</v>
      </c>
      <c r="C8327" s="17" t="s">
        <v>71</v>
      </c>
      <c r="D8327" t="s">
        <v>23287</v>
      </c>
      <c r="F8327" t="s">
        <v>23287</v>
      </c>
      <c r="K8327" s="18">
        <f>628161989030</f>
        <v>628161989030</v>
      </c>
      <c r="N8327" s="17" t="s">
        <v>81</v>
      </c>
      <c r="V8327" s="18">
        <f>628161989030</f>
        <v>628161989030</v>
      </c>
    </row>
    <row r="8328" ht="15" customHeight="1" spans="1:28" x14ac:dyDescent="0.25">
      <c r="A8328" s="17" t="s">
        <v>23288</v>
      </c>
      <c r="B8328" s="17" t="s">
        <v>70</v>
      </c>
      <c r="C8328" s="17" t="s">
        <v>71</v>
      </c>
      <c r="D8328" t="s">
        <v>23287</v>
      </c>
      <c r="F8328" t="s">
        <v>11291</v>
      </c>
      <c r="J8328" s="17" t="s">
        <v>23289</v>
      </c>
      <c r="K8328" s="18" t="s">
        <v>23290</v>
      </c>
      <c r="N8328" s="17" t="s">
        <v>77</v>
      </c>
      <c r="O8328" t="s">
        <v>199</v>
      </c>
      <c r="V8328" s="18" t="s">
        <v>23290</v>
      </c>
      <c r="Y8328" t="s">
        <v>190</v>
      </c>
      <c r="AA8328" t="s">
        <v>118</v>
      </c>
      <c r="AB8328" t="s">
        <v>119</v>
      </c>
    </row>
    <row r="8329" ht="15" customHeight="1" spans="1:28" x14ac:dyDescent="0.25">
      <c r="A8329" s="17" t="s">
        <v>23291</v>
      </c>
      <c r="B8329" s="17" t="s">
        <v>70</v>
      </c>
      <c r="C8329" s="17" t="s">
        <v>71</v>
      </c>
      <c r="D8329" t="s">
        <v>23287</v>
      </c>
      <c r="F8329" t="s">
        <v>23292</v>
      </c>
      <c r="J8329" t="s">
        <v>115</v>
      </c>
      <c r="K8329" s="18" t="s">
        <v>23293</v>
      </c>
      <c r="N8329" s="17" t="s">
        <v>74</v>
      </c>
      <c r="O8329" t="s">
        <v>117</v>
      </c>
      <c r="V8329" s="18" t="s">
        <v>23293</v>
      </c>
      <c r="Y8329" t="s">
        <v>90</v>
      </c>
      <c r="AA8329" t="s">
        <v>118</v>
      </c>
      <c r="AB8329" t="s">
        <v>119</v>
      </c>
    </row>
    <row r="8330" ht="15" customHeight="1" spans="1:22" x14ac:dyDescent="0.25">
      <c r="A8330" s="17" t="s">
        <v>23294</v>
      </c>
      <c r="B8330" s="17" t="s">
        <v>70</v>
      </c>
      <c r="C8330" s="17" t="s">
        <v>71</v>
      </c>
      <c r="D8330" t="s">
        <v>8785</v>
      </c>
      <c r="F8330" t="s">
        <v>23295</v>
      </c>
      <c r="K8330" s="18">
        <f>62811901580</f>
        <v>62811901580</v>
      </c>
      <c r="N8330" s="17" t="s">
        <v>77</v>
      </c>
      <c r="V8330" s="18">
        <f>62811901580</f>
        <v>62811901580</v>
      </c>
    </row>
    <row r="8331" ht="15" customHeight="1" spans="1:23" x14ac:dyDescent="0.25">
      <c r="A8331" s="17" t="s">
        <v>23296</v>
      </c>
      <c r="B8331" s="17" t="s">
        <v>70</v>
      </c>
      <c r="C8331" s="17" t="s">
        <v>71</v>
      </c>
      <c r="D8331" t="s">
        <v>8785</v>
      </c>
      <c r="F8331" t="s">
        <v>23297</v>
      </c>
      <c r="K8331" s="18">
        <f>6285310100152</f>
        <v>6285310100152</v>
      </c>
      <c r="N8331" s="17" t="s">
        <v>81</v>
      </c>
      <c r="U8331" s="17"/>
      <c r="V8331" s="18">
        <f>6285310100152</f>
        <v>6285310100152</v>
      </c>
      <c r="W8331" t="s">
        <v>23298</v>
      </c>
    </row>
    <row r="8332" ht="15" customHeight="1" spans="1:22" x14ac:dyDescent="0.25">
      <c r="A8332" s="17" t="s">
        <v>23299</v>
      </c>
      <c r="B8332" s="17" t="s">
        <v>70</v>
      </c>
      <c r="C8332" s="17" t="s">
        <v>71</v>
      </c>
      <c r="D8332" t="s">
        <v>4804</v>
      </c>
      <c r="F8332" t="s">
        <v>4804</v>
      </c>
      <c r="K8332" s="18">
        <f>62816996928</f>
        <v>62816996928</v>
      </c>
      <c r="N8332" s="17" t="s">
        <v>77</v>
      </c>
      <c r="V8332" s="18">
        <f>62816996928</f>
        <v>62816996928</v>
      </c>
    </row>
    <row r="8333" ht="15" customHeight="1" spans="1:27" x14ac:dyDescent="0.25">
      <c r="A8333" s="17" t="s">
        <v>23300</v>
      </c>
      <c r="B8333" s="17" t="s">
        <v>70</v>
      </c>
      <c r="C8333" s="17" t="s">
        <v>71</v>
      </c>
      <c r="D8333" t="s">
        <v>23301</v>
      </c>
      <c r="F8333" t="s">
        <v>23302</v>
      </c>
      <c r="K8333" s="18">
        <f>62811974306</f>
        <v>62811974306</v>
      </c>
      <c r="N8333" s="17" t="s">
        <v>77</v>
      </c>
      <c r="U8333" s="17"/>
      <c r="V8333" s="18">
        <f>62811974306</f>
        <v>62811974306</v>
      </c>
      <c r="W8333" t="s">
        <v>23303</v>
      </c>
      <c r="Y8333" s="17" t="s">
        <v>12721</v>
      </c>
      <c r="AA8333" s="17" t="s">
        <v>23304</v>
      </c>
    </row>
    <row r="8334" ht="15" customHeight="1" spans="1:22" x14ac:dyDescent="0.25">
      <c r="A8334" s="17" t="s">
        <v>23305</v>
      </c>
      <c r="B8334" s="17" t="s">
        <v>70</v>
      </c>
      <c r="C8334" s="17" t="s">
        <v>71</v>
      </c>
      <c r="D8334" t="s">
        <v>23301</v>
      </c>
      <c r="F8334" t="s">
        <v>23306</v>
      </c>
      <c r="K8334" s="18">
        <f>6583100755</f>
        <v>6583100755</v>
      </c>
      <c r="N8334" s="17" t="s">
        <v>81</v>
      </c>
      <c r="V8334" s="18">
        <f>6583100755</f>
        <v>6583100755</v>
      </c>
    </row>
    <row r="8335" ht="15" customHeight="1" spans="1:22" x14ac:dyDescent="0.25">
      <c r="A8335" s="17" t="s">
        <v>23307</v>
      </c>
      <c r="B8335" s="17" t="s">
        <v>70</v>
      </c>
      <c r="C8335" s="17" t="s">
        <v>71</v>
      </c>
      <c r="D8335" t="s">
        <v>23301</v>
      </c>
      <c r="F8335" t="s">
        <v>1499</v>
      </c>
      <c r="K8335" s="18">
        <f>62818362525</f>
        <v>62818362525</v>
      </c>
      <c r="N8335" s="17" t="s">
        <v>77</v>
      </c>
      <c r="V8335" s="18">
        <f>62818362525</f>
        <v>62818362525</v>
      </c>
    </row>
    <row r="8336" ht="15" customHeight="1" spans="1:22" x14ac:dyDescent="0.25">
      <c r="A8336" s="17" t="s">
        <v>23308</v>
      </c>
      <c r="B8336" s="17" t="s">
        <v>70</v>
      </c>
      <c r="C8336" s="17" t="s">
        <v>71</v>
      </c>
      <c r="D8336" t="s">
        <v>23301</v>
      </c>
      <c r="F8336" t="s">
        <v>1169</v>
      </c>
      <c r="K8336" s="18">
        <f>628111011383</f>
        <v>628111011383</v>
      </c>
      <c r="N8336" s="17" t="s">
        <v>77</v>
      </c>
      <c r="V8336" s="18">
        <f>628111011383</f>
        <v>628111011383</v>
      </c>
    </row>
    <row r="8337" ht="15" customHeight="1" spans="1:22" x14ac:dyDescent="0.25">
      <c r="A8337" s="17" t="s">
        <v>23309</v>
      </c>
      <c r="B8337" s="17" t="s">
        <v>70</v>
      </c>
      <c r="C8337" s="17" t="s">
        <v>71</v>
      </c>
      <c r="D8337" t="s">
        <v>23310</v>
      </c>
      <c r="F8337" t="s">
        <v>4566</v>
      </c>
      <c r="K8337" s="18">
        <f>628121254580</f>
        <v>628121254580</v>
      </c>
      <c r="N8337" s="17" t="s">
        <v>81</v>
      </c>
      <c r="V8337" s="18">
        <f>628121254580</f>
        <v>628121254580</v>
      </c>
    </row>
    <row r="8338" ht="15" customHeight="1" spans="1:22" x14ac:dyDescent="0.25">
      <c r="A8338" s="17" t="s">
        <v>23311</v>
      </c>
      <c r="B8338" s="17" t="s">
        <v>70</v>
      </c>
      <c r="C8338" s="17" t="s">
        <v>71</v>
      </c>
      <c r="D8338" t="s">
        <v>23312</v>
      </c>
      <c r="F8338" t="s">
        <v>15884</v>
      </c>
      <c r="K8338" s="18">
        <f>6282217697755</f>
        <v>6282217697755</v>
      </c>
      <c r="N8338" s="17" t="s">
        <v>77</v>
      </c>
      <c r="V8338" s="18">
        <f>6282217697755</f>
        <v>6282217697755</v>
      </c>
    </row>
    <row r="8339" ht="15" customHeight="1" spans="1:22" x14ac:dyDescent="0.25">
      <c r="A8339" s="17" t="s">
        <v>23313</v>
      </c>
      <c r="B8339" s="17" t="s">
        <v>70</v>
      </c>
      <c r="C8339" s="17" t="s">
        <v>71</v>
      </c>
      <c r="D8339" t="s">
        <v>23314</v>
      </c>
      <c r="F8339" t="s">
        <v>23315</v>
      </c>
      <c r="K8339" s="18">
        <f>6281349130968</f>
        <v>6281349130968</v>
      </c>
      <c r="N8339" s="17" t="s">
        <v>77</v>
      </c>
      <c r="V8339" s="18">
        <f>6281349130968</f>
        <v>6281349130968</v>
      </c>
    </row>
    <row r="8340" ht="15" customHeight="1" spans="1:22" x14ac:dyDescent="0.25">
      <c r="A8340" s="17" t="s">
        <v>23316</v>
      </c>
      <c r="B8340" s="17" t="s">
        <v>70</v>
      </c>
      <c r="C8340" s="17" t="s">
        <v>71</v>
      </c>
      <c r="D8340" t="s">
        <v>23317</v>
      </c>
      <c r="F8340" t="s">
        <v>23317</v>
      </c>
      <c r="K8340" s="18">
        <f>62816940479</f>
        <v>62816940479</v>
      </c>
      <c r="N8340" s="17" t="s">
        <v>77</v>
      </c>
      <c r="V8340" s="18">
        <f>62816940479</f>
        <v>62816940479</v>
      </c>
    </row>
    <row r="8341" ht="15" customHeight="1" spans="1:22" x14ac:dyDescent="0.25">
      <c r="A8341" s="17" t="s">
        <v>23318</v>
      </c>
      <c r="B8341" s="17" t="s">
        <v>70</v>
      </c>
      <c r="C8341" s="17" t="s">
        <v>71</v>
      </c>
      <c r="D8341" t="s">
        <v>23319</v>
      </c>
      <c r="F8341" t="s">
        <v>23320</v>
      </c>
      <c r="K8341" s="18">
        <f>95433066335</f>
        <v>95433066335</v>
      </c>
      <c r="N8341" s="17" t="s">
        <v>77</v>
      </c>
      <c r="V8341" s="18">
        <f>95433066335</f>
        <v>95433066335</v>
      </c>
    </row>
    <row r="8342" ht="15" customHeight="1" spans="1:28" x14ac:dyDescent="0.25">
      <c r="A8342" s="17" t="s">
        <v>23321</v>
      </c>
      <c r="B8342" s="17" t="s">
        <v>70</v>
      </c>
      <c r="C8342" s="17" t="s">
        <v>71</v>
      </c>
      <c r="D8342" t="s">
        <v>23322</v>
      </c>
      <c r="F8342" t="s">
        <v>1996</v>
      </c>
      <c r="J8342" s="17" t="s">
        <v>23323</v>
      </c>
      <c r="K8342" s="18" t="s">
        <v>23324</v>
      </c>
      <c r="N8342" s="17" t="s">
        <v>77</v>
      </c>
      <c r="O8342" t="s">
        <v>145</v>
      </c>
      <c r="V8342" s="18" t="s">
        <v>23324</v>
      </c>
      <c r="Y8342" t="s">
        <v>115</v>
      </c>
      <c r="AA8342" t="s">
        <v>115</v>
      </c>
      <c r="AB8342" t="s">
        <v>119</v>
      </c>
    </row>
    <row r="8343" ht="15" customHeight="1" spans="1:27" x14ac:dyDescent="0.25">
      <c r="A8343" s="17" t="s">
        <v>23325</v>
      </c>
      <c r="B8343" s="17" t="s">
        <v>70</v>
      </c>
      <c r="C8343" s="17" t="s">
        <v>71</v>
      </c>
      <c r="D8343" t="s">
        <v>23326</v>
      </c>
      <c r="F8343" t="s">
        <v>17803</v>
      </c>
      <c r="K8343" s="18">
        <f>62811188099</f>
        <v>62811188099</v>
      </c>
      <c r="N8343" s="17" t="s">
        <v>77</v>
      </c>
      <c r="U8343" s="17"/>
      <c r="V8343" s="18">
        <f>62811188099</f>
        <v>62811188099</v>
      </c>
      <c r="W8343" t="s">
        <v>23327</v>
      </c>
      <c r="Y8343" s="17" t="s">
        <v>96</v>
      </c>
      <c r="AA8343" s="17" t="s">
        <v>97</v>
      </c>
    </row>
    <row r="8344" ht="15" customHeight="1" spans="1:23" x14ac:dyDescent="0.25">
      <c r="A8344" s="17" t="s">
        <v>23328</v>
      </c>
      <c r="B8344" s="17" t="s">
        <v>70</v>
      </c>
      <c r="C8344" s="17" t="s">
        <v>71</v>
      </c>
      <c r="D8344" t="s">
        <v>23326</v>
      </c>
      <c r="F8344" t="s">
        <v>7227</v>
      </c>
      <c r="K8344" s="18">
        <f>6593203580</f>
        <v>6593203580</v>
      </c>
      <c r="N8344" s="17" t="s">
        <v>77</v>
      </c>
      <c r="U8344" s="17"/>
      <c r="V8344" s="18">
        <f>6593203580</f>
        <v>6593203580</v>
      </c>
      <c r="W8344" t="s">
        <v>7229</v>
      </c>
    </row>
    <row r="8345" ht="15" customHeight="1" spans="1:22" x14ac:dyDescent="0.25">
      <c r="A8345" s="17" t="s">
        <v>23329</v>
      </c>
      <c r="B8345" s="17" t="s">
        <v>70</v>
      </c>
      <c r="C8345" s="17" t="s">
        <v>71</v>
      </c>
      <c r="D8345" t="s">
        <v>23330</v>
      </c>
      <c r="F8345" t="s">
        <v>23330</v>
      </c>
      <c r="K8345" s="18">
        <f>628118000631</f>
        <v>628118000631</v>
      </c>
      <c r="N8345" s="17" t="s">
        <v>77</v>
      </c>
      <c r="V8345" s="18">
        <f>628118000631</f>
        <v>628118000631</v>
      </c>
    </row>
    <row r="8346" ht="15" customHeight="1" spans="1:28" x14ac:dyDescent="0.25">
      <c r="A8346" s="17" t="s">
        <v>23331</v>
      </c>
      <c r="B8346" s="17" t="s">
        <v>70</v>
      </c>
      <c r="C8346" s="17" t="s">
        <v>71</v>
      </c>
      <c r="D8346" t="s">
        <v>23330</v>
      </c>
      <c r="F8346" t="s">
        <v>23332</v>
      </c>
      <c r="J8346" t="s">
        <v>23333</v>
      </c>
      <c r="K8346" s="18" t="s">
        <v>23334</v>
      </c>
      <c r="N8346" s="17" t="s">
        <v>77</v>
      </c>
      <c r="O8346" t="s">
        <v>489</v>
      </c>
      <c r="U8346" s="17"/>
      <c r="V8346" s="18" t="s">
        <v>23334</v>
      </c>
      <c r="W8346" t="s">
        <v>23335</v>
      </c>
      <c r="Y8346" t="s">
        <v>190</v>
      </c>
      <c r="AA8346" t="s">
        <v>118</v>
      </c>
      <c r="AB8346" t="s">
        <v>119</v>
      </c>
    </row>
    <row r="8347" ht="15" customHeight="1" spans="1:23" x14ac:dyDescent="0.25">
      <c r="A8347" s="17" t="s">
        <v>23336</v>
      </c>
      <c r="B8347" s="17" t="s">
        <v>70</v>
      </c>
      <c r="C8347" s="17" t="s">
        <v>71</v>
      </c>
      <c r="D8347" t="s">
        <v>23330</v>
      </c>
      <c r="F8347" t="s">
        <v>23337</v>
      </c>
      <c r="K8347" s="18">
        <f>628128281983</f>
        <v>628128281983</v>
      </c>
      <c r="N8347" s="17" t="s">
        <v>77</v>
      </c>
      <c r="U8347" s="17"/>
      <c r="V8347" s="18">
        <f>628128281983</f>
        <v>628128281983</v>
      </c>
      <c r="W8347" t="s">
        <v>23338</v>
      </c>
    </row>
    <row r="8348" ht="15" customHeight="1" spans="1:22" x14ac:dyDescent="0.25">
      <c r="A8348" s="17" t="s">
        <v>23339</v>
      </c>
      <c r="B8348" s="17" t="s">
        <v>70</v>
      </c>
      <c r="C8348" s="17" t="s">
        <v>71</v>
      </c>
      <c r="D8348" t="s">
        <v>23330</v>
      </c>
      <c r="F8348" t="s">
        <v>10978</v>
      </c>
      <c r="K8348" s="18">
        <f>6281219199050</f>
        <v>6281219199050</v>
      </c>
      <c r="N8348" s="17" t="s">
        <v>77</v>
      </c>
      <c r="V8348" s="18">
        <f>6281219199050</f>
        <v>6281219199050</v>
      </c>
    </row>
    <row r="8349" ht="15" customHeight="1" spans="1:22" x14ac:dyDescent="0.25">
      <c r="A8349" s="17" t="s">
        <v>23340</v>
      </c>
      <c r="B8349" s="17" t="s">
        <v>70</v>
      </c>
      <c r="C8349" s="17" t="s">
        <v>71</v>
      </c>
      <c r="D8349" t="s">
        <v>23330</v>
      </c>
      <c r="F8349" t="s">
        <v>1169</v>
      </c>
      <c r="K8349" s="18">
        <f>628121000642</f>
        <v>628121000642</v>
      </c>
      <c r="N8349" s="17" t="s">
        <v>77</v>
      </c>
      <c r="V8349" s="18">
        <f>628121000642</f>
        <v>628121000642</v>
      </c>
    </row>
    <row r="8350" ht="15" customHeight="1" spans="1:22" x14ac:dyDescent="0.25">
      <c r="A8350" s="17" t="s">
        <v>23341</v>
      </c>
      <c r="B8350" s="17" t="s">
        <v>70</v>
      </c>
      <c r="C8350" s="17" t="s">
        <v>71</v>
      </c>
      <c r="D8350" t="s">
        <v>23330</v>
      </c>
      <c r="F8350" t="s">
        <v>672</v>
      </c>
      <c r="K8350" s="18">
        <f>628126065286</f>
        <v>628126065286</v>
      </c>
      <c r="N8350" s="17" t="s">
        <v>77</v>
      </c>
      <c r="V8350" s="18">
        <f>628126065286</f>
        <v>628126065286</v>
      </c>
    </row>
    <row r="8351" ht="15" customHeight="1" spans="1:22" x14ac:dyDescent="0.25">
      <c r="A8351" s="17" t="s">
        <v>23342</v>
      </c>
      <c r="B8351" s="17" t="s">
        <v>70</v>
      </c>
      <c r="C8351" s="17" t="s">
        <v>71</v>
      </c>
      <c r="D8351" t="s">
        <v>23343</v>
      </c>
      <c r="F8351" t="s">
        <v>23344</v>
      </c>
      <c r="K8351" s="18">
        <f>62813138668</f>
        <v>62813138668</v>
      </c>
      <c r="N8351" s="17" t="s">
        <v>77</v>
      </c>
      <c r="V8351" s="18">
        <f>62813138668</f>
        <v>62813138668</v>
      </c>
    </row>
    <row r="8352" ht="15" customHeight="1" spans="1:28" x14ac:dyDescent="0.25">
      <c r="A8352" s="17" t="s">
        <v>23345</v>
      </c>
      <c r="B8352" s="17" t="s">
        <v>70</v>
      </c>
      <c r="C8352" s="17" t="s">
        <v>71</v>
      </c>
      <c r="D8352" t="s">
        <v>23346</v>
      </c>
      <c r="F8352" t="s">
        <v>23347</v>
      </c>
      <c r="J8352" t="s">
        <v>115</v>
      </c>
      <c r="K8352" s="18" t="s">
        <v>23348</v>
      </c>
      <c r="N8352" s="17" t="s">
        <v>77</v>
      </c>
      <c r="O8352" t="s">
        <v>117</v>
      </c>
      <c r="V8352" s="18" t="s">
        <v>23348</v>
      </c>
      <c r="Y8352" t="s">
        <v>90</v>
      </c>
      <c r="AA8352" t="s">
        <v>118</v>
      </c>
      <c r="AB8352" t="s">
        <v>119</v>
      </c>
    </row>
    <row r="8353" ht="15" customHeight="1" spans="1:28" x14ac:dyDescent="0.25">
      <c r="A8353" s="17" t="s">
        <v>23349</v>
      </c>
      <c r="B8353" s="17" t="s">
        <v>70</v>
      </c>
      <c r="C8353" s="17" t="s">
        <v>71</v>
      </c>
      <c r="D8353" t="s">
        <v>23350</v>
      </c>
      <c r="F8353" t="s">
        <v>3991</v>
      </c>
      <c r="J8353" t="s">
        <v>23351</v>
      </c>
      <c r="K8353" s="18" t="s">
        <v>23352</v>
      </c>
      <c r="N8353" s="17" t="s">
        <v>81</v>
      </c>
      <c r="O8353" t="s">
        <v>261</v>
      </c>
      <c r="U8353" s="17"/>
      <c r="V8353" s="18" t="s">
        <v>23352</v>
      </c>
      <c r="W8353" t="s">
        <v>23353</v>
      </c>
      <c r="Y8353" t="s">
        <v>90</v>
      </c>
      <c r="AA8353" t="s">
        <v>118</v>
      </c>
      <c r="AB8353" t="s">
        <v>119</v>
      </c>
    </row>
    <row r="8354" ht="15" customHeight="1" spans="1:22" x14ac:dyDescent="0.25">
      <c r="A8354" s="17" t="s">
        <v>23354</v>
      </c>
      <c r="B8354" s="17" t="s">
        <v>70</v>
      </c>
      <c r="C8354" s="17" t="s">
        <v>71</v>
      </c>
      <c r="D8354" t="s">
        <v>23355</v>
      </c>
      <c r="F8354" t="s">
        <v>23355</v>
      </c>
      <c r="K8354" s="18">
        <f>6281932787667</f>
        <v>6281932787667</v>
      </c>
      <c r="N8354" s="17" t="s">
        <v>77</v>
      </c>
      <c r="V8354" s="18">
        <f>6281932787667</f>
        <v>6281932787667</v>
      </c>
    </row>
    <row r="8355" ht="15" customHeight="1" spans="1:28" x14ac:dyDescent="0.25">
      <c r="A8355" s="17" t="s">
        <v>23356</v>
      </c>
      <c r="B8355" s="17" t="s">
        <v>70</v>
      </c>
      <c r="C8355" s="17" t="s">
        <v>71</v>
      </c>
      <c r="D8355" t="s">
        <v>23355</v>
      </c>
      <c r="F8355" t="s">
        <v>23357</v>
      </c>
      <c r="J8355" t="s">
        <v>23358</v>
      </c>
      <c r="K8355" s="18" t="s">
        <v>23359</v>
      </c>
      <c r="N8355" s="17" t="s">
        <v>81</v>
      </c>
      <c r="O8355" t="s">
        <v>117</v>
      </c>
      <c r="U8355" s="17"/>
      <c r="V8355" s="18" t="s">
        <v>23359</v>
      </c>
      <c r="W8355" t="s">
        <v>23360</v>
      </c>
      <c r="Y8355" t="s">
        <v>190</v>
      </c>
      <c r="AA8355" t="s">
        <v>118</v>
      </c>
      <c r="AB8355" t="s">
        <v>119</v>
      </c>
    </row>
    <row r="8356" ht="15" customHeight="1" spans="1:25" x14ac:dyDescent="0.25">
      <c r="A8356" s="17" t="s">
        <v>23361</v>
      </c>
      <c r="B8356" s="17" t="s">
        <v>70</v>
      </c>
      <c r="C8356" s="17" t="s">
        <v>71</v>
      </c>
      <c r="D8356" t="s">
        <v>23362</v>
      </c>
      <c r="F8356" t="s">
        <v>618</v>
      </c>
      <c r="J8356" s="17" t="s">
        <v>23363</v>
      </c>
      <c r="K8356" s="18">
        <f>62811879351</f>
        <v>62811879351</v>
      </c>
      <c r="N8356" s="17" t="s">
        <v>74</v>
      </c>
      <c r="U8356" s="17"/>
      <c r="V8356" s="18">
        <f>62811879351</f>
        <v>62811879351</v>
      </c>
      <c r="W8356" t="s">
        <v>23364</v>
      </c>
      <c r="Y8356" s="17" t="s">
        <v>96</v>
      </c>
    </row>
    <row r="8357" ht="15" customHeight="1" spans="1:22" x14ac:dyDescent="0.25">
      <c r="A8357" s="17" t="s">
        <v>23365</v>
      </c>
      <c r="B8357" s="17" t="s">
        <v>70</v>
      </c>
      <c r="C8357" s="17" t="s">
        <v>71</v>
      </c>
      <c r="D8357" t="s">
        <v>23366</v>
      </c>
      <c r="F8357" t="s">
        <v>2195</v>
      </c>
      <c r="K8357" s="18">
        <f>6282338948282</f>
        <v>6282338948282</v>
      </c>
      <c r="N8357" s="17" t="s">
        <v>77</v>
      </c>
      <c r="V8357" s="18">
        <f>6282338948282</f>
        <v>6282338948282</v>
      </c>
    </row>
    <row r="8358" ht="15" customHeight="1" spans="1:22" x14ac:dyDescent="0.25">
      <c r="A8358" s="17" t="s">
        <v>23367</v>
      </c>
      <c r="B8358" s="17" t="s">
        <v>70</v>
      </c>
      <c r="C8358" s="17" t="s">
        <v>71</v>
      </c>
      <c r="D8358" t="s">
        <v>23368</v>
      </c>
      <c r="F8358" t="s">
        <v>23369</v>
      </c>
      <c r="K8358" s="18">
        <f>628122385317</f>
        <v>628122385317</v>
      </c>
      <c r="N8358" s="17" t="s">
        <v>77</v>
      </c>
      <c r="V8358" s="18">
        <f>628122385317</f>
        <v>628122385317</v>
      </c>
    </row>
    <row r="8359" ht="15" customHeight="1" spans="1:28" x14ac:dyDescent="0.25">
      <c r="A8359" s="17" t="s">
        <v>23370</v>
      </c>
      <c r="B8359" s="17" t="s">
        <v>70</v>
      </c>
      <c r="C8359" s="17" t="s">
        <v>71</v>
      </c>
      <c r="D8359" t="s">
        <v>23371</v>
      </c>
      <c r="F8359" t="s">
        <v>23372</v>
      </c>
      <c r="J8359" s="17" t="s">
        <v>23373</v>
      </c>
      <c r="K8359" s="18" t="s">
        <v>23374</v>
      </c>
      <c r="N8359" s="17" t="s">
        <v>77</v>
      </c>
      <c r="O8359" t="s">
        <v>117</v>
      </c>
      <c r="V8359" s="18" t="s">
        <v>23374</v>
      </c>
      <c r="Y8359" t="s">
        <v>190</v>
      </c>
      <c r="AA8359" t="s">
        <v>118</v>
      </c>
      <c r="AB8359" t="s">
        <v>119</v>
      </c>
    </row>
    <row r="8360" ht="15" customHeight="1" spans="1:28" x14ac:dyDescent="0.25">
      <c r="A8360" s="17" t="s">
        <v>23375</v>
      </c>
      <c r="B8360" s="17" t="s">
        <v>70</v>
      </c>
      <c r="C8360" s="17" t="s">
        <v>71</v>
      </c>
      <c r="D8360" t="s">
        <v>23376</v>
      </c>
      <c r="F8360" t="s">
        <v>3252</v>
      </c>
      <c r="J8360" t="s">
        <v>115</v>
      </c>
      <c r="K8360" s="18" t="s">
        <v>23377</v>
      </c>
      <c r="N8360" s="17" t="s">
        <v>77</v>
      </c>
      <c r="O8360" t="s">
        <v>145</v>
      </c>
      <c r="V8360" s="18" t="s">
        <v>23377</v>
      </c>
      <c r="Y8360" t="s">
        <v>490</v>
      </c>
      <c r="AA8360" t="s">
        <v>115</v>
      </c>
      <c r="AB8360" t="s">
        <v>119</v>
      </c>
    </row>
    <row r="8361" ht="15" customHeight="1" spans="1:22" x14ac:dyDescent="0.25">
      <c r="A8361" s="17" t="s">
        <v>23378</v>
      </c>
      <c r="B8361" s="17" t="s">
        <v>70</v>
      </c>
      <c r="C8361" s="17" t="s">
        <v>71</v>
      </c>
      <c r="D8361" t="s">
        <v>23376</v>
      </c>
      <c r="F8361" t="s">
        <v>23379</v>
      </c>
      <c r="K8361" s="18">
        <f>6282118946411</f>
        <v>6282118946411</v>
      </c>
      <c r="N8361" s="17" t="s">
        <v>77</v>
      </c>
      <c r="V8361" s="18">
        <f>6282118946411</f>
        <v>6282118946411</v>
      </c>
    </row>
    <row r="8362" ht="15" customHeight="1" spans="1:22" x14ac:dyDescent="0.25">
      <c r="A8362" s="17" t="s">
        <v>23380</v>
      </c>
      <c r="B8362" s="17" t="s">
        <v>70</v>
      </c>
      <c r="C8362" s="17" t="s">
        <v>71</v>
      </c>
      <c r="D8362" t="s">
        <v>23381</v>
      </c>
      <c r="F8362" t="s">
        <v>23381</v>
      </c>
      <c r="K8362" s="18">
        <f>639628841288</f>
        <v>639628841288</v>
      </c>
      <c r="N8362" s="17" t="s">
        <v>77</v>
      </c>
      <c r="V8362" s="18">
        <f>639628841288</f>
        <v>639628841288</v>
      </c>
    </row>
    <row r="8363" ht="15" customHeight="1" spans="1:28" x14ac:dyDescent="0.25">
      <c r="A8363" s="17" t="s">
        <v>23382</v>
      </c>
      <c r="B8363" s="17" t="s">
        <v>70</v>
      </c>
      <c r="C8363" s="17" t="s">
        <v>71</v>
      </c>
      <c r="D8363" t="s">
        <v>23383</v>
      </c>
      <c r="F8363" t="s">
        <v>23384</v>
      </c>
      <c r="J8363" t="s">
        <v>115</v>
      </c>
      <c r="K8363" s="18" t="s">
        <v>23385</v>
      </c>
      <c r="N8363" s="17" t="s">
        <v>77</v>
      </c>
      <c r="O8363" t="s">
        <v>199</v>
      </c>
      <c r="V8363" s="18" t="s">
        <v>23385</v>
      </c>
      <c r="Y8363" s="17" t="s">
        <v>90</v>
      </c>
      <c r="AA8363" t="s">
        <v>118</v>
      </c>
      <c r="AB8363" t="s">
        <v>119</v>
      </c>
    </row>
    <row r="8364" ht="15" customHeight="1" spans="1:22" x14ac:dyDescent="0.25">
      <c r="A8364" s="17" t="s">
        <v>23386</v>
      </c>
      <c r="B8364" s="17" t="s">
        <v>70</v>
      </c>
      <c r="C8364" s="17" t="s">
        <v>71</v>
      </c>
      <c r="D8364" t="s">
        <v>23387</v>
      </c>
      <c r="F8364" t="s">
        <v>23388</v>
      </c>
      <c r="K8364" s="18">
        <f>62818835777</f>
        <v>62818835777</v>
      </c>
      <c r="N8364" s="17" t="s">
        <v>77</v>
      </c>
      <c r="V8364" s="18">
        <f>62818835777</f>
        <v>62818835777</v>
      </c>
    </row>
    <row r="8365" ht="15" customHeight="1" spans="1:23" x14ac:dyDescent="0.25">
      <c r="A8365" s="17" t="s">
        <v>23389</v>
      </c>
      <c r="B8365" s="17" t="s">
        <v>70</v>
      </c>
      <c r="C8365" s="17" t="s">
        <v>71</v>
      </c>
      <c r="D8365" t="s">
        <v>23387</v>
      </c>
      <c r="F8365" t="s">
        <v>23390</v>
      </c>
      <c r="K8365" s="18">
        <f>97553683597</f>
        <v>97553683597</v>
      </c>
      <c r="N8365" s="17" t="s">
        <v>77</v>
      </c>
      <c r="U8365" s="17"/>
      <c r="V8365" s="18">
        <f>97553683597</f>
        <v>97553683597</v>
      </c>
      <c r="W8365" t="s">
        <v>920</v>
      </c>
    </row>
    <row r="8366" ht="15" customHeight="1" spans="1:23" x14ac:dyDescent="0.25">
      <c r="A8366" s="17" t="s">
        <v>23391</v>
      </c>
      <c r="B8366" s="17" t="s">
        <v>70</v>
      </c>
      <c r="C8366" s="17" t="s">
        <v>71</v>
      </c>
      <c r="D8366" t="s">
        <v>23387</v>
      </c>
      <c r="F8366" t="s">
        <v>23392</v>
      </c>
      <c r="K8366" s="18">
        <f>62817189088</f>
        <v>62817189088</v>
      </c>
      <c r="N8366" s="17" t="s">
        <v>81</v>
      </c>
      <c r="U8366" s="17"/>
      <c r="V8366" s="18">
        <f>62817189088</f>
        <v>62817189088</v>
      </c>
      <c r="W8366" t="s">
        <v>23393</v>
      </c>
    </row>
    <row r="8367" ht="15" customHeight="1" spans="1:28" x14ac:dyDescent="0.25">
      <c r="A8367" s="17" t="s">
        <v>23394</v>
      </c>
      <c r="B8367" s="17" t="s">
        <v>70</v>
      </c>
      <c r="C8367" s="17" t="s">
        <v>71</v>
      </c>
      <c r="D8367" t="s">
        <v>23395</v>
      </c>
      <c r="F8367" t="s">
        <v>23396</v>
      </c>
      <c r="J8367" t="s">
        <v>115</v>
      </c>
      <c r="K8367" s="18" t="s">
        <v>23397</v>
      </c>
      <c r="N8367" s="17" t="s">
        <v>77</v>
      </c>
      <c r="O8367" t="s">
        <v>117</v>
      </c>
      <c r="U8367" s="17"/>
      <c r="V8367" s="18" t="s">
        <v>23397</v>
      </c>
      <c r="W8367" t="s">
        <v>23398</v>
      </c>
      <c r="Y8367" t="s">
        <v>378</v>
      </c>
      <c r="AA8367" s="17" t="s">
        <v>118</v>
      </c>
      <c r="AB8367" t="s">
        <v>119</v>
      </c>
    </row>
    <row r="8368" ht="15" customHeight="1" spans="1:25" x14ac:dyDescent="0.25">
      <c r="A8368" s="17" t="s">
        <v>23399</v>
      </c>
      <c r="B8368" s="17" t="s">
        <v>70</v>
      </c>
      <c r="C8368" s="17" t="s">
        <v>71</v>
      </c>
      <c r="D8368" t="s">
        <v>23395</v>
      </c>
      <c r="F8368" t="s">
        <v>548</v>
      </c>
      <c r="J8368" s="17" t="s">
        <v>23400</v>
      </c>
      <c r="K8368" s="18">
        <f>6281333529999</f>
        <v>6281333529999</v>
      </c>
      <c r="N8368" s="17" t="s">
        <v>77</v>
      </c>
      <c r="U8368" s="17"/>
      <c r="V8368" s="18">
        <f>6281333529999</f>
        <v>6281333529999</v>
      </c>
      <c r="W8368" t="s">
        <v>23401</v>
      </c>
      <c r="Y8368" s="17" t="s">
        <v>704</v>
      </c>
    </row>
    <row r="8369" ht="15" customHeight="1" spans="1:22" x14ac:dyDescent="0.25">
      <c r="A8369" s="17" t="s">
        <v>23402</v>
      </c>
      <c r="B8369" s="17" t="s">
        <v>70</v>
      </c>
      <c r="C8369" s="17" t="s">
        <v>71</v>
      </c>
      <c r="D8369" t="s">
        <v>23395</v>
      </c>
      <c r="F8369" t="s">
        <v>23344</v>
      </c>
      <c r="K8369" s="18">
        <f>6281313138668</f>
        <v>6281313138668</v>
      </c>
      <c r="N8369" s="17" t="s">
        <v>77</v>
      </c>
      <c r="V8369" s="18">
        <f>6281313138668</f>
        <v>6281313138668</v>
      </c>
    </row>
    <row r="8370" ht="15" customHeight="1" spans="1:23" x14ac:dyDescent="0.25">
      <c r="A8370" s="17" t="s">
        <v>23403</v>
      </c>
      <c r="B8370" s="17" t="s">
        <v>70</v>
      </c>
      <c r="C8370" s="17" t="s">
        <v>71</v>
      </c>
      <c r="D8370" t="s">
        <v>23404</v>
      </c>
      <c r="F8370" t="s">
        <v>23405</v>
      </c>
      <c r="K8370" s="18">
        <f>919949006952</f>
        <v>919949006952</v>
      </c>
      <c r="N8370" s="17" t="s">
        <v>77</v>
      </c>
      <c r="U8370" s="17"/>
      <c r="V8370" s="18">
        <f>919949006952</f>
        <v>919949006952</v>
      </c>
      <c r="W8370" t="s">
        <v>920</v>
      </c>
    </row>
    <row r="8371" ht="15" customHeight="1" spans="1:22" x14ac:dyDescent="0.25">
      <c r="A8371" s="17" t="s">
        <v>23406</v>
      </c>
      <c r="B8371" s="17" t="s">
        <v>70</v>
      </c>
      <c r="C8371" s="17" t="s">
        <v>71</v>
      </c>
      <c r="D8371" t="s">
        <v>18683</v>
      </c>
      <c r="F8371" t="s">
        <v>1064</v>
      </c>
      <c r="K8371" s="18">
        <f>6285966611980</f>
        <v>6285966611980</v>
      </c>
      <c r="N8371" s="17" t="s">
        <v>77</v>
      </c>
      <c r="V8371" s="18">
        <f>6285966611980</f>
        <v>6285966611980</v>
      </c>
    </row>
    <row r="8372" ht="15" customHeight="1" spans="1:22" x14ac:dyDescent="0.25">
      <c r="A8372" s="17" t="s">
        <v>23407</v>
      </c>
      <c r="B8372" s="17" t="s">
        <v>70</v>
      </c>
      <c r="C8372" s="17" t="s">
        <v>71</v>
      </c>
      <c r="D8372" t="s">
        <v>18683</v>
      </c>
      <c r="F8372" t="s">
        <v>2073</v>
      </c>
      <c r="K8372" s="18">
        <f>62816979185</f>
        <v>62816979185</v>
      </c>
      <c r="N8372" s="17" t="s">
        <v>81</v>
      </c>
      <c r="V8372" s="18">
        <f>62816979185</f>
        <v>62816979185</v>
      </c>
    </row>
    <row r="8373" ht="15" customHeight="1" spans="1:22" x14ac:dyDescent="0.25">
      <c r="A8373" s="17" t="s">
        <v>23408</v>
      </c>
      <c r="B8373" s="17" t="s">
        <v>70</v>
      </c>
      <c r="C8373" s="17" t="s">
        <v>71</v>
      </c>
      <c r="D8373" t="s">
        <v>23409</v>
      </c>
      <c r="F8373" t="s">
        <v>23409</v>
      </c>
      <c r="K8373" s="18">
        <f>62818890443</f>
        <v>62818890443</v>
      </c>
      <c r="N8373" s="17" t="s">
        <v>81</v>
      </c>
      <c r="V8373" s="18">
        <f>62818890443</f>
        <v>62818890443</v>
      </c>
    </row>
    <row r="8374" ht="15" customHeight="1" spans="1:28" x14ac:dyDescent="0.25">
      <c r="A8374" s="17" t="s">
        <v>23410</v>
      </c>
      <c r="B8374" s="17" t="s">
        <v>70</v>
      </c>
      <c r="C8374" s="17" t="s">
        <v>71</v>
      </c>
      <c r="D8374" t="s">
        <v>23411</v>
      </c>
      <c r="F8374" t="s">
        <v>23412</v>
      </c>
      <c r="J8374" s="17" t="s">
        <v>23413</v>
      </c>
      <c r="K8374" s="18" t="s">
        <v>23414</v>
      </c>
      <c r="N8374" s="17" t="s">
        <v>77</v>
      </c>
      <c r="O8374" t="s">
        <v>145</v>
      </c>
      <c r="V8374" s="18" t="s">
        <v>23414</v>
      </c>
      <c r="Y8374" s="17" t="s">
        <v>1908</v>
      </c>
      <c r="AA8374" t="s">
        <v>115</v>
      </c>
      <c r="AB8374" t="s">
        <v>2605</v>
      </c>
    </row>
    <row r="8375" ht="15" customHeight="1" spans="1:23" x14ac:dyDescent="0.25">
      <c r="A8375" s="17" t="s">
        <v>23415</v>
      </c>
      <c r="B8375" s="17" t="s">
        <v>70</v>
      </c>
      <c r="C8375" s="17" t="s">
        <v>71</v>
      </c>
      <c r="D8375" t="s">
        <v>23416</v>
      </c>
      <c r="F8375" t="s">
        <v>17892</v>
      </c>
      <c r="K8375" s="18">
        <f>971553819014</f>
        <v>971553819014</v>
      </c>
      <c r="N8375" s="17" t="s">
        <v>77</v>
      </c>
      <c r="U8375" s="17"/>
      <c r="V8375" s="18">
        <f>971553819014</f>
        <v>971553819014</v>
      </c>
      <c r="W8375" t="s">
        <v>1908</v>
      </c>
    </row>
    <row r="8376" ht="15" customHeight="1" spans="1:23" x14ac:dyDescent="0.25">
      <c r="A8376" s="17" t="s">
        <v>23417</v>
      </c>
      <c r="B8376" s="17" t="s">
        <v>70</v>
      </c>
      <c r="C8376" s="17" t="s">
        <v>71</v>
      </c>
      <c r="D8376" t="s">
        <v>23418</v>
      </c>
      <c r="F8376" t="s">
        <v>23419</v>
      </c>
      <c r="J8376" s="17" t="s">
        <v>23420</v>
      </c>
      <c r="K8376" s="18">
        <f>8618502558088</f>
        <v>8618502558088</v>
      </c>
      <c r="N8376" s="17" t="s">
        <v>77</v>
      </c>
      <c r="U8376" s="17"/>
      <c r="V8376" s="18">
        <f>8618502558088</f>
        <v>8618502558088</v>
      </c>
      <c r="W8376" t="s">
        <v>3140</v>
      </c>
    </row>
    <row r="8377" ht="15" customHeight="1" spans="1:28" x14ac:dyDescent="0.25">
      <c r="A8377" s="17" t="s">
        <v>23421</v>
      </c>
      <c r="B8377" s="17" t="s">
        <v>70</v>
      </c>
      <c r="C8377" s="17" t="s">
        <v>71</v>
      </c>
      <c r="D8377" t="s">
        <v>23422</v>
      </c>
      <c r="F8377" t="s">
        <v>23423</v>
      </c>
      <c r="J8377" t="s">
        <v>115</v>
      </c>
      <c r="K8377" s="18" t="s">
        <v>23424</v>
      </c>
      <c r="N8377" s="17" t="s">
        <v>77</v>
      </c>
      <c r="O8377" t="s">
        <v>117</v>
      </c>
      <c r="V8377" s="18" t="s">
        <v>23424</v>
      </c>
      <c r="Y8377" t="s">
        <v>115</v>
      </c>
      <c r="AA8377" t="s">
        <v>115</v>
      </c>
      <c r="AB8377" t="s">
        <v>119</v>
      </c>
    </row>
    <row r="8378" ht="15" customHeight="1" spans="1:28" x14ac:dyDescent="0.25">
      <c r="A8378" s="17" t="s">
        <v>23425</v>
      </c>
      <c r="B8378" s="17" t="s">
        <v>70</v>
      </c>
      <c r="C8378" s="17" t="s">
        <v>71</v>
      </c>
      <c r="D8378" t="s">
        <v>23422</v>
      </c>
      <c r="F8378" t="s">
        <v>548</v>
      </c>
      <c r="J8378" t="s">
        <v>115</v>
      </c>
      <c r="K8378" s="18" t="s">
        <v>23426</v>
      </c>
      <c r="N8378" s="17" t="s">
        <v>77</v>
      </c>
      <c r="O8378" t="s">
        <v>145</v>
      </c>
      <c r="U8378" s="17"/>
      <c r="V8378" s="18" t="s">
        <v>23426</v>
      </c>
      <c r="W8378" t="s">
        <v>23427</v>
      </c>
      <c r="Y8378" s="17" t="s">
        <v>90</v>
      </c>
      <c r="AA8378" s="17" t="s">
        <v>118</v>
      </c>
      <c r="AB8378" t="s">
        <v>119</v>
      </c>
    </row>
    <row r="8379" ht="15" customHeight="1" spans="1:28" x14ac:dyDescent="0.25">
      <c r="A8379" s="17" t="s">
        <v>23428</v>
      </c>
      <c r="B8379" s="17" t="s">
        <v>70</v>
      </c>
      <c r="C8379" s="17" t="s">
        <v>71</v>
      </c>
      <c r="D8379" t="s">
        <v>23429</v>
      </c>
      <c r="F8379" t="s">
        <v>23422</v>
      </c>
      <c r="J8379" s="17" t="s">
        <v>23430</v>
      </c>
      <c r="K8379" s="18" t="s">
        <v>23431</v>
      </c>
      <c r="N8379" s="17" t="s">
        <v>77</v>
      </c>
      <c r="O8379" t="s">
        <v>199</v>
      </c>
      <c r="U8379" s="17"/>
      <c r="V8379" s="18" t="s">
        <v>23431</v>
      </c>
      <c r="W8379" t="s">
        <v>1903</v>
      </c>
      <c r="Y8379" t="s">
        <v>1903</v>
      </c>
      <c r="AA8379" t="s">
        <v>115</v>
      </c>
      <c r="AB8379" t="s">
        <v>1903</v>
      </c>
    </row>
    <row r="8380" ht="15" customHeight="1" spans="1:22" x14ac:dyDescent="0.25">
      <c r="A8380" s="17" t="s">
        <v>23432</v>
      </c>
      <c r="B8380" s="17" t="s">
        <v>70</v>
      </c>
      <c r="C8380" s="17" t="s">
        <v>71</v>
      </c>
      <c r="D8380" t="s">
        <v>23433</v>
      </c>
      <c r="F8380" t="s">
        <v>23433</v>
      </c>
      <c r="K8380" s="18">
        <f>628121092072</f>
        <v>628121092072</v>
      </c>
      <c r="N8380" s="17" t="s">
        <v>74</v>
      </c>
      <c r="V8380" s="18">
        <f>628121092072</f>
        <v>628121092072</v>
      </c>
    </row>
    <row r="8381" ht="15" customHeight="1" spans="1:28" x14ac:dyDescent="0.25">
      <c r="A8381" s="17" t="s">
        <v>23434</v>
      </c>
      <c r="B8381" s="17" t="s">
        <v>70</v>
      </c>
      <c r="C8381" s="17" t="s">
        <v>71</v>
      </c>
      <c r="D8381" t="s">
        <v>23435</v>
      </c>
      <c r="F8381" t="s">
        <v>23436</v>
      </c>
      <c r="J8381" t="s">
        <v>115</v>
      </c>
      <c r="K8381" s="18" t="s">
        <v>23437</v>
      </c>
      <c r="N8381" s="17" t="s">
        <v>74</v>
      </c>
      <c r="O8381" t="s">
        <v>117</v>
      </c>
      <c r="V8381" s="18" t="s">
        <v>23437</v>
      </c>
      <c r="Y8381" t="s">
        <v>90</v>
      </c>
      <c r="AA8381" t="s">
        <v>118</v>
      </c>
      <c r="AB8381" t="s">
        <v>119</v>
      </c>
    </row>
    <row r="8382" ht="15" customHeight="1" spans="1:27" x14ac:dyDescent="0.25">
      <c r="A8382" s="17" t="s">
        <v>23438</v>
      </c>
      <c r="B8382" s="17" t="s">
        <v>70</v>
      </c>
      <c r="C8382" s="17" t="s">
        <v>71</v>
      </c>
      <c r="D8382" t="s">
        <v>1754</v>
      </c>
      <c r="F8382" t="s">
        <v>1754</v>
      </c>
      <c r="K8382" s="18">
        <v>54200769</v>
      </c>
      <c r="N8382" s="17" t="s">
        <v>74</v>
      </c>
      <c r="U8382" s="17"/>
      <c r="V8382" s="18">
        <v>54200769</v>
      </c>
      <c r="W8382" t="s">
        <v>23439</v>
      </c>
      <c r="Y8382" s="17" t="s">
        <v>217</v>
      </c>
      <c r="AA8382" s="17" t="s">
        <v>8658</v>
      </c>
    </row>
    <row r="8383" ht="15" customHeight="1" spans="1:28" x14ac:dyDescent="0.25">
      <c r="A8383" s="17" t="s">
        <v>23440</v>
      </c>
      <c r="B8383" s="17" t="s">
        <v>70</v>
      </c>
      <c r="C8383" s="17" t="s">
        <v>71</v>
      </c>
      <c r="D8383" t="s">
        <v>1754</v>
      </c>
      <c r="F8383" t="s">
        <v>23441</v>
      </c>
      <c r="J8383" t="s">
        <v>115</v>
      </c>
      <c r="K8383" s="18" t="s">
        <v>23442</v>
      </c>
      <c r="N8383" s="17" t="s">
        <v>77</v>
      </c>
      <c r="O8383" t="s">
        <v>117</v>
      </c>
      <c r="V8383" s="18" t="s">
        <v>23442</v>
      </c>
      <c r="Y8383" t="s">
        <v>90</v>
      </c>
      <c r="AA8383" t="s">
        <v>118</v>
      </c>
      <c r="AB8383" t="s">
        <v>119</v>
      </c>
    </row>
    <row r="8384" ht="15" customHeight="1" spans="1:22" x14ac:dyDescent="0.25">
      <c r="A8384" s="17" t="s">
        <v>23443</v>
      </c>
      <c r="B8384" s="17" t="s">
        <v>70</v>
      </c>
      <c r="C8384" s="17" t="s">
        <v>71</v>
      </c>
      <c r="D8384" t="s">
        <v>1754</v>
      </c>
      <c r="F8384" t="s">
        <v>1754</v>
      </c>
      <c r="K8384" s="18">
        <f>628111996011</f>
        <v>628111996011</v>
      </c>
      <c r="N8384" s="17" t="s">
        <v>77</v>
      </c>
      <c r="V8384" s="18">
        <f>628111996011</f>
        <v>628111996011</v>
      </c>
    </row>
    <row r="8385" ht="15" customHeight="1" spans="1:28" x14ac:dyDescent="0.25">
      <c r="A8385" s="17" t="s">
        <v>23444</v>
      </c>
      <c r="B8385" s="17" t="s">
        <v>70</v>
      </c>
      <c r="C8385" s="17" t="s">
        <v>71</v>
      </c>
      <c r="D8385" t="s">
        <v>1754</v>
      </c>
      <c r="F8385" t="s">
        <v>1754</v>
      </c>
      <c r="J8385" t="s">
        <v>115</v>
      </c>
      <c r="K8385" s="18" t="s">
        <v>23445</v>
      </c>
      <c r="N8385" s="17" t="s">
        <v>77</v>
      </c>
      <c r="O8385" t="s">
        <v>117</v>
      </c>
      <c r="V8385" s="18" t="s">
        <v>23445</v>
      </c>
      <c r="Y8385" t="s">
        <v>90</v>
      </c>
      <c r="AA8385" t="s">
        <v>118</v>
      </c>
      <c r="AB8385" t="s">
        <v>119</v>
      </c>
    </row>
    <row r="8386" ht="15" customHeight="1" spans="1:22" x14ac:dyDescent="0.25">
      <c r="A8386" s="17" t="s">
        <v>23446</v>
      </c>
      <c r="B8386" s="17" t="s">
        <v>70</v>
      </c>
      <c r="C8386" s="17" t="s">
        <v>71</v>
      </c>
      <c r="D8386" t="s">
        <v>1754</v>
      </c>
      <c r="F8386" t="s">
        <v>1754</v>
      </c>
      <c r="K8386" s="18">
        <f>628111507820</f>
        <v>628111507820</v>
      </c>
      <c r="N8386" s="17" t="s">
        <v>77</v>
      </c>
      <c r="V8386" s="18">
        <f>628111507820</f>
        <v>628111507820</v>
      </c>
    </row>
    <row r="8387" ht="15" customHeight="1" spans="1:23" x14ac:dyDescent="0.25">
      <c r="A8387" s="17" t="s">
        <v>23447</v>
      </c>
      <c r="B8387" s="17" t="s">
        <v>70</v>
      </c>
      <c r="C8387" s="17" t="s">
        <v>71</v>
      </c>
      <c r="D8387" t="s">
        <v>1754</v>
      </c>
      <c r="F8387" t="s">
        <v>23448</v>
      </c>
      <c r="K8387" s="18">
        <f>6586612581</f>
        <v>6586612581</v>
      </c>
      <c r="N8387" s="17" t="s">
        <v>77</v>
      </c>
      <c r="U8387" s="17"/>
      <c r="V8387" s="18">
        <f>6586612581</f>
        <v>6586612581</v>
      </c>
      <c r="W8387" t="s">
        <v>2356</v>
      </c>
    </row>
    <row r="8388" ht="15" customHeight="1" spans="1:22" x14ac:dyDescent="0.25">
      <c r="A8388" s="17" t="s">
        <v>23449</v>
      </c>
      <c r="B8388" s="17" t="s">
        <v>70</v>
      </c>
      <c r="C8388" s="17" t="s">
        <v>71</v>
      </c>
      <c r="D8388" t="s">
        <v>1754</v>
      </c>
      <c r="F8388" t="s">
        <v>23450</v>
      </c>
      <c r="K8388" s="18">
        <f>62811977622</f>
        <v>62811977622</v>
      </c>
      <c r="N8388" s="17" t="s">
        <v>77</v>
      </c>
      <c r="V8388" s="18">
        <f>62811977622</f>
        <v>62811977622</v>
      </c>
    </row>
    <row r="8389" ht="15" customHeight="1" spans="1:28" x14ac:dyDescent="0.25">
      <c r="A8389" s="17" t="s">
        <v>23451</v>
      </c>
      <c r="B8389" s="17" t="s">
        <v>70</v>
      </c>
      <c r="C8389" s="17" t="s">
        <v>71</v>
      </c>
      <c r="D8389" t="s">
        <v>23452</v>
      </c>
      <c r="F8389" t="s">
        <v>23453</v>
      </c>
      <c r="J8389" s="17" t="s">
        <v>23454</v>
      </c>
      <c r="K8389" s="18" t="s">
        <v>23455</v>
      </c>
      <c r="N8389" s="17" t="s">
        <v>77</v>
      </c>
      <c r="O8389" t="s">
        <v>145</v>
      </c>
      <c r="U8389" s="17"/>
      <c r="V8389" s="18" t="s">
        <v>23455</v>
      </c>
      <c r="W8389" t="s">
        <v>23456</v>
      </c>
      <c r="Y8389" t="s">
        <v>190</v>
      </c>
      <c r="AA8389" t="s">
        <v>118</v>
      </c>
      <c r="AB8389" t="s">
        <v>1306</v>
      </c>
    </row>
    <row r="8390" ht="15" customHeight="1" spans="1:22" x14ac:dyDescent="0.25">
      <c r="A8390" s="17" t="s">
        <v>23457</v>
      </c>
      <c r="B8390" s="17" t="s">
        <v>70</v>
      </c>
      <c r="C8390" s="17" t="s">
        <v>71</v>
      </c>
      <c r="D8390" t="s">
        <v>1754</v>
      </c>
      <c r="F8390" t="s">
        <v>23458</v>
      </c>
      <c r="K8390" s="18">
        <f>6281318232333</f>
        <v>6281318232333</v>
      </c>
      <c r="N8390" s="17" t="s">
        <v>77</v>
      </c>
      <c r="V8390" s="18">
        <f>6281318232333</f>
        <v>6281318232333</v>
      </c>
    </row>
    <row r="8391" ht="15" customHeight="1" spans="1:28" x14ac:dyDescent="0.25">
      <c r="A8391" s="17" t="s">
        <v>23459</v>
      </c>
      <c r="B8391" s="17" t="s">
        <v>70</v>
      </c>
      <c r="C8391" s="17" t="s">
        <v>71</v>
      </c>
      <c r="D8391" t="s">
        <v>1754</v>
      </c>
      <c r="F8391" t="s">
        <v>23460</v>
      </c>
      <c r="J8391" s="17" t="s">
        <v>23461</v>
      </c>
      <c r="K8391" s="18" t="s">
        <v>23462</v>
      </c>
      <c r="N8391" s="17" t="s">
        <v>77</v>
      </c>
      <c r="O8391" t="s">
        <v>145</v>
      </c>
      <c r="V8391" s="18" t="s">
        <v>23462</v>
      </c>
      <c r="Y8391" t="s">
        <v>115</v>
      </c>
      <c r="AA8391" t="s">
        <v>115</v>
      </c>
      <c r="AB8391" t="s">
        <v>2500</v>
      </c>
    </row>
    <row r="8392" ht="15" customHeight="1" spans="1:27" x14ac:dyDescent="0.25">
      <c r="A8392" s="17" t="s">
        <v>23463</v>
      </c>
      <c r="B8392" s="17" t="s">
        <v>70</v>
      </c>
      <c r="C8392" s="17" t="s">
        <v>71</v>
      </c>
      <c r="D8392" t="s">
        <v>1754</v>
      </c>
      <c r="F8392" t="s">
        <v>23464</v>
      </c>
      <c r="K8392" s="18">
        <f>61412519400</f>
        <v>61412519400</v>
      </c>
      <c r="N8392" s="17" t="s">
        <v>81</v>
      </c>
      <c r="U8392" s="17"/>
      <c r="V8392" s="18">
        <f>61412519400</f>
        <v>61412519400</v>
      </c>
      <c r="W8392" t="s">
        <v>23465</v>
      </c>
      <c r="Y8392" s="17" t="s">
        <v>23466</v>
      </c>
      <c r="AA8392" s="17">
        <v>2300</v>
      </c>
    </row>
    <row r="8393" ht="15" customHeight="1" spans="1:25" x14ac:dyDescent="0.25">
      <c r="A8393" s="17" t="s">
        <v>23467</v>
      </c>
      <c r="B8393" s="17" t="s">
        <v>70</v>
      </c>
      <c r="C8393" s="17" t="s">
        <v>71</v>
      </c>
      <c r="D8393" t="s">
        <v>1754</v>
      </c>
      <c r="F8393" t="s">
        <v>23468</v>
      </c>
      <c r="K8393" s="18">
        <f>628122995790</f>
        <v>628122995790</v>
      </c>
      <c r="N8393" s="17" t="s">
        <v>77</v>
      </c>
      <c r="U8393" s="17"/>
      <c r="V8393" s="18">
        <f>628122995790</f>
        <v>628122995790</v>
      </c>
      <c r="W8393" t="s">
        <v>23469</v>
      </c>
      <c r="Y8393" s="17" t="s">
        <v>1084</v>
      </c>
    </row>
    <row r="8394" ht="15" customHeight="1" spans="1:22" x14ac:dyDescent="0.25">
      <c r="A8394" s="17" t="s">
        <v>23470</v>
      </c>
      <c r="B8394" s="17" t="s">
        <v>70</v>
      </c>
      <c r="C8394" s="17" t="s">
        <v>71</v>
      </c>
      <c r="D8394" t="s">
        <v>1754</v>
      </c>
      <c r="F8394" t="s">
        <v>23471</v>
      </c>
      <c r="K8394" s="18">
        <f>62811929869</f>
        <v>62811929869</v>
      </c>
      <c r="N8394" s="17" t="s">
        <v>77</v>
      </c>
      <c r="V8394" s="18">
        <f>62811929869</f>
        <v>62811929869</v>
      </c>
    </row>
    <row r="8395" ht="15" customHeight="1" spans="1:28" x14ac:dyDescent="0.25">
      <c r="A8395" s="17" t="s">
        <v>23472</v>
      </c>
      <c r="B8395" s="17" t="s">
        <v>70</v>
      </c>
      <c r="C8395" s="17" t="s">
        <v>71</v>
      </c>
      <c r="D8395" t="s">
        <v>1754</v>
      </c>
      <c r="F8395" t="s">
        <v>23473</v>
      </c>
      <c r="J8395" s="17" t="s">
        <v>23474</v>
      </c>
      <c r="K8395" s="18" t="s">
        <v>23475</v>
      </c>
      <c r="N8395" s="17" t="s">
        <v>77</v>
      </c>
      <c r="O8395" t="s">
        <v>145</v>
      </c>
      <c r="U8395" s="17"/>
      <c r="V8395" s="18" t="s">
        <v>23475</v>
      </c>
      <c r="W8395" t="s">
        <v>7614</v>
      </c>
      <c r="Y8395" s="17" t="s">
        <v>23476</v>
      </c>
      <c r="AA8395" t="s">
        <v>115</v>
      </c>
      <c r="AB8395" t="s">
        <v>1306</v>
      </c>
    </row>
    <row r="8396" ht="15" customHeight="1" spans="1:28" x14ac:dyDescent="0.25">
      <c r="A8396" s="17" t="s">
        <v>23477</v>
      </c>
      <c r="B8396" s="17" t="s">
        <v>70</v>
      </c>
      <c r="C8396" s="17" t="s">
        <v>71</v>
      </c>
      <c r="D8396" t="s">
        <v>1754</v>
      </c>
      <c r="F8396" t="s">
        <v>23478</v>
      </c>
      <c r="J8396" t="s">
        <v>115</v>
      </c>
      <c r="K8396" s="18" t="s">
        <v>23479</v>
      </c>
      <c r="N8396" s="17" t="s">
        <v>77</v>
      </c>
      <c r="O8396" t="s">
        <v>117</v>
      </c>
      <c r="V8396" s="18" t="s">
        <v>23479</v>
      </c>
      <c r="Y8396" t="s">
        <v>90</v>
      </c>
      <c r="AA8396" t="s">
        <v>118</v>
      </c>
      <c r="AB8396" t="s">
        <v>119</v>
      </c>
    </row>
    <row r="8397" ht="15" customHeight="1" spans="1:23" x14ac:dyDescent="0.25">
      <c r="A8397" s="17" t="s">
        <v>23480</v>
      </c>
      <c r="B8397" s="17" t="s">
        <v>70</v>
      </c>
      <c r="C8397" s="17" t="s">
        <v>71</v>
      </c>
      <c r="D8397" t="s">
        <v>1754</v>
      </c>
      <c r="F8397" t="s">
        <v>22595</v>
      </c>
      <c r="K8397" s="18">
        <f>821075579148</f>
        <v>821075579148</v>
      </c>
      <c r="N8397" s="17" t="s">
        <v>77</v>
      </c>
      <c r="U8397" s="17"/>
      <c r="V8397" s="18">
        <f>821075579148</f>
        <v>821075579148</v>
      </c>
      <c r="W8397" t="s">
        <v>17567</v>
      </c>
    </row>
    <row r="8398" ht="15" customHeight="1" spans="1:23" x14ac:dyDescent="0.25">
      <c r="A8398" s="17" t="s">
        <v>23481</v>
      </c>
      <c r="B8398" s="17" t="s">
        <v>70</v>
      </c>
      <c r="C8398" s="17" t="s">
        <v>71</v>
      </c>
      <c r="D8398" t="s">
        <v>1754</v>
      </c>
      <c r="F8398" t="s">
        <v>17108</v>
      </c>
      <c r="K8398" s="18">
        <f>62811801230</f>
        <v>62811801230</v>
      </c>
      <c r="N8398" s="17" t="s">
        <v>77</v>
      </c>
      <c r="U8398" s="17"/>
      <c r="V8398" s="18">
        <f>62811801230</f>
        <v>62811801230</v>
      </c>
      <c r="W8398" t="s">
        <v>23482</v>
      </c>
    </row>
    <row r="8399" ht="15" customHeight="1" spans="1:27" x14ac:dyDescent="0.25">
      <c r="A8399" s="17" t="s">
        <v>23483</v>
      </c>
      <c r="B8399" s="17" t="s">
        <v>70</v>
      </c>
      <c r="C8399" s="17" t="s">
        <v>71</v>
      </c>
      <c r="D8399" t="s">
        <v>1754</v>
      </c>
      <c r="F8399" t="s">
        <v>23484</v>
      </c>
      <c r="J8399" s="17" t="s">
        <v>23485</v>
      </c>
      <c r="K8399" s="18">
        <v>27505283</v>
      </c>
      <c r="N8399" s="17" t="s">
        <v>74</v>
      </c>
      <c r="U8399" s="17"/>
      <c r="V8399" s="18">
        <v>27505283</v>
      </c>
      <c r="W8399" t="s">
        <v>23486</v>
      </c>
      <c r="Y8399" s="17" t="s">
        <v>96</v>
      </c>
      <c r="AA8399" s="17" t="s">
        <v>7091</v>
      </c>
    </row>
    <row r="8400" ht="15" customHeight="1" spans="1:22" x14ac:dyDescent="0.25">
      <c r="A8400" s="17" t="s">
        <v>23487</v>
      </c>
      <c r="B8400" s="17" t="s">
        <v>70</v>
      </c>
      <c r="C8400" s="17" t="s">
        <v>71</v>
      </c>
      <c r="D8400" t="s">
        <v>1754</v>
      </c>
      <c r="F8400" t="s">
        <v>2108</v>
      </c>
      <c r="K8400" s="18">
        <f>628129077700</f>
        <v>628129077700</v>
      </c>
      <c r="N8400" s="17" t="s">
        <v>77</v>
      </c>
      <c r="V8400" s="18">
        <f>628129077700</f>
        <v>628129077700</v>
      </c>
    </row>
    <row r="8401" ht="15" customHeight="1" spans="1:23" x14ac:dyDescent="0.25">
      <c r="A8401" s="17" t="s">
        <v>23488</v>
      </c>
      <c r="B8401" s="17" t="s">
        <v>70</v>
      </c>
      <c r="C8401" s="17" t="s">
        <v>71</v>
      </c>
      <c r="D8401" t="s">
        <v>1754</v>
      </c>
      <c r="F8401" t="s">
        <v>23489</v>
      </c>
      <c r="K8401" s="18">
        <f>6281337228887</f>
        <v>6281337228887</v>
      </c>
      <c r="N8401" s="17" t="s">
        <v>77</v>
      </c>
      <c r="U8401" s="17"/>
      <c r="V8401" s="18">
        <f>6281337228887</f>
        <v>6281337228887</v>
      </c>
      <c r="W8401" t="s">
        <v>7614</v>
      </c>
    </row>
    <row r="8402" ht="15" customHeight="1" spans="1:28" x14ac:dyDescent="0.25">
      <c r="A8402" s="17" t="s">
        <v>23490</v>
      </c>
      <c r="B8402" s="17" t="s">
        <v>70</v>
      </c>
      <c r="C8402" s="17" t="s">
        <v>71</v>
      </c>
      <c r="D8402" t="s">
        <v>1754</v>
      </c>
      <c r="F8402" t="s">
        <v>23491</v>
      </c>
      <c r="J8402" t="s">
        <v>115</v>
      </c>
      <c r="K8402" s="18" t="s">
        <v>23492</v>
      </c>
      <c r="N8402" s="17" t="s">
        <v>77</v>
      </c>
      <c r="O8402" t="s">
        <v>261</v>
      </c>
      <c r="V8402" s="18" t="s">
        <v>23492</v>
      </c>
      <c r="Y8402" t="s">
        <v>190</v>
      </c>
      <c r="AA8402" t="s">
        <v>118</v>
      </c>
      <c r="AB8402" t="s">
        <v>16695</v>
      </c>
    </row>
    <row r="8403" ht="15" customHeight="1" spans="1:22" x14ac:dyDescent="0.25">
      <c r="A8403" s="17" t="s">
        <v>23493</v>
      </c>
      <c r="B8403" s="17" t="s">
        <v>70</v>
      </c>
      <c r="C8403" s="17" t="s">
        <v>71</v>
      </c>
      <c r="D8403" t="s">
        <v>1754</v>
      </c>
      <c r="F8403" t="s">
        <v>18083</v>
      </c>
      <c r="K8403" s="18">
        <f>628121052499</f>
        <v>628121052499</v>
      </c>
      <c r="N8403" s="17" t="s">
        <v>77</v>
      </c>
      <c r="V8403" s="18">
        <f>628121052499</f>
        <v>628121052499</v>
      </c>
    </row>
    <row r="8404" ht="15" customHeight="1" spans="1:22" x14ac:dyDescent="0.25">
      <c r="A8404" s="17" t="s">
        <v>23494</v>
      </c>
      <c r="B8404" s="17" t="s">
        <v>70</v>
      </c>
      <c r="C8404" s="17" t="s">
        <v>71</v>
      </c>
      <c r="D8404" t="s">
        <v>1754</v>
      </c>
      <c r="F8404" t="s">
        <v>23495</v>
      </c>
      <c r="J8404" s="17" t="s">
        <v>23496</v>
      </c>
      <c r="K8404" s="18">
        <f>6281219983093</f>
        <v>6281219983093</v>
      </c>
      <c r="N8404" s="17" t="s">
        <v>74</v>
      </c>
      <c r="V8404" s="18">
        <f>6281219983093</f>
        <v>6281219983093</v>
      </c>
    </row>
    <row r="8405" ht="15" customHeight="1" spans="1:28" x14ac:dyDescent="0.25">
      <c r="A8405" s="17" t="s">
        <v>23497</v>
      </c>
      <c r="B8405" s="17" t="s">
        <v>70</v>
      </c>
      <c r="C8405" s="17" t="s">
        <v>71</v>
      </c>
      <c r="D8405" t="s">
        <v>1754</v>
      </c>
      <c r="F8405" t="s">
        <v>23498</v>
      </c>
      <c r="J8405" t="s">
        <v>115</v>
      </c>
      <c r="K8405" s="18" t="s">
        <v>23499</v>
      </c>
      <c r="N8405" s="17" t="s">
        <v>81</v>
      </c>
      <c r="O8405" t="s">
        <v>199</v>
      </c>
      <c r="V8405" s="18" t="s">
        <v>23499</v>
      </c>
      <c r="Y8405" t="s">
        <v>115</v>
      </c>
      <c r="AA8405" t="s">
        <v>115</v>
      </c>
      <c r="AB8405" t="s">
        <v>119</v>
      </c>
    </row>
    <row r="8406" ht="15" customHeight="1" spans="1:28" x14ac:dyDescent="0.25">
      <c r="A8406" s="17" t="s">
        <v>23500</v>
      </c>
      <c r="B8406" s="17" t="s">
        <v>70</v>
      </c>
      <c r="C8406" s="17" t="s">
        <v>71</v>
      </c>
      <c r="D8406" t="s">
        <v>1754</v>
      </c>
      <c r="F8406" t="s">
        <v>23501</v>
      </c>
      <c r="J8406" s="17" t="s">
        <v>23502</v>
      </c>
      <c r="K8406" s="18" t="s">
        <v>23503</v>
      </c>
      <c r="N8406" s="17" t="s">
        <v>77</v>
      </c>
      <c r="O8406" t="s">
        <v>199</v>
      </c>
      <c r="U8406" s="17"/>
      <c r="V8406" s="18" t="s">
        <v>23503</v>
      </c>
      <c r="W8406" t="s">
        <v>7614</v>
      </c>
      <c r="Y8406" t="s">
        <v>7939</v>
      </c>
      <c r="AA8406" t="s">
        <v>115</v>
      </c>
      <c r="AB8406" t="s">
        <v>119</v>
      </c>
    </row>
    <row r="8407" ht="15" customHeight="1" spans="1:22" x14ac:dyDescent="0.25">
      <c r="A8407" s="17" t="s">
        <v>23504</v>
      </c>
      <c r="B8407" s="17" t="s">
        <v>70</v>
      </c>
      <c r="C8407" s="17" t="s">
        <v>71</v>
      </c>
      <c r="D8407" t="s">
        <v>1754</v>
      </c>
      <c r="F8407" t="s">
        <v>23505</v>
      </c>
      <c r="K8407" s="18">
        <f>821092907190</f>
        <v>821092907190</v>
      </c>
      <c r="N8407" s="17" t="s">
        <v>77</v>
      </c>
      <c r="V8407" s="18">
        <f>821092907190</f>
        <v>821092907190</v>
      </c>
    </row>
    <row r="8408" ht="15" customHeight="1" spans="1:22" x14ac:dyDescent="0.25">
      <c r="A8408" s="17" t="s">
        <v>23506</v>
      </c>
      <c r="B8408" s="17" t="s">
        <v>70</v>
      </c>
      <c r="C8408" s="17" t="s">
        <v>71</v>
      </c>
      <c r="D8408" t="s">
        <v>1754</v>
      </c>
      <c r="F8408" t="s">
        <v>15580</v>
      </c>
      <c r="K8408" s="18">
        <f>6281213143513</f>
        <v>6281213143513</v>
      </c>
      <c r="N8408" s="17" t="s">
        <v>77</v>
      </c>
      <c r="V8408" s="18">
        <f>6281213143513</f>
        <v>6281213143513</v>
      </c>
    </row>
    <row r="8409" ht="15" customHeight="1" spans="1:28" x14ac:dyDescent="0.25">
      <c r="A8409" s="17" t="s">
        <v>23507</v>
      </c>
      <c r="B8409" s="17" t="s">
        <v>70</v>
      </c>
      <c r="C8409" s="17" t="s">
        <v>71</v>
      </c>
      <c r="D8409" t="s">
        <v>23508</v>
      </c>
      <c r="F8409" t="s">
        <v>3142</v>
      </c>
      <c r="J8409" s="17" t="s">
        <v>23509</v>
      </c>
      <c r="K8409" s="18" t="s">
        <v>23510</v>
      </c>
      <c r="N8409" s="17" t="s">
        <v>74</v>
      </c>
      <c r="O8409" t="s">
        <v>261</v>
      </c>
      <c r="U8409" s="17"/>
      <c r="V8409" s="18" t="s">
        <v>23510</v>
      </c>
      <c r="W8409" t="s">
        <v>23511</v>
      </c>
      <c r="Y8409" t="s">
        <v>96</v>
      </c>
      <c r="AA8409" s="17" t="s">
        <v>693</v>
      </c>
      <c r="AB8409" t="s">
        <v>119</v>
      </c>
    </row>
    <row r="8410" ht="15" customHeight="1" spans="1:22" x14ac:dyDescent="0.25">
      <c r="A8410" s="17" t="s">
        <v>23512</v>
      </c>
      <c r="B8410" s="17" t="s">
        <v>70</v>
      </c>
      <c r="C8410" s="17" t="s">
        <v>71</v>
      </c>
      <c r="D8410" t="s">
        <v>1754</v>
      </c>
      <c r="F8410" t="s">
        <v>12902</v>
      </c>
      <c r="K8410" s="18">
        <f>628121053814</f>
        <v>628121053814</v>
      </c>
      <c r="N8410" s="17" t="s">
        <v>77</v>
      </c>
      <c r="V8410" s="18">
        <f>628121053814</f>
        <v>628121053814</v>
      </c>
    </row>
    <row r="8411" ht="15" customHeight="1" spans="1:22" x14ac:dyDescent="0.25">
      <c r="A8411" s="17" t="s">
        <v>23513</v>
      </c>
      <c r="B8411" s="17" t="s">
        <v>70</v>
      </c>
      <c r="C8411" s="17" t="s">
        <v>71</v>
      </c>
      <c r="D8411" t="s">
        <v>1754</v>
      </c>
      <c r="F8411" t="s">
        <v>7747</v>
      </c>
      <c r="K8411" s="18">
        <f>62811111449</f>
        <v>62811111449</v>
      </c>
      <c r="N8411" s="17" t="s">
        <v>81</v>
      </c>
      <c r="V8411" s="18">
        <f>62811111449</f>
        <v>62811111449</v>
      </c>
    </row>
    <row r="8412" ht="15" customHeight="1" spans="1:25" x14ac:dyDescent="0.25">
      <c r="A8412" s="17" t="s">
        <v>23514</v>
      </c>
      <c r="B8412" s="17" t="s">
        <v>70</v>
      </c>
      <c r="C8412" s="17" t="s">
        <v>71</v>
      </c>
      <c r="D8412" t="s">
        <v>1754</v>
      </c>
      <c r="F8412" t="s">
        <v>17836</v>
      </c>
      <c r="K8412" s="18">
        <f>62816882971</f>
        <v>62816882971</v>
      </c>
      <c r="N8412" s="17" t="s">
        <v>77</v>
      </c>
      <c r="U8412" s="17"/>
      <c r="V8412" s="18">
        <f>62816882971</f>
        <v>62816882971</v>
      </c>
      <c r="W8412" t="s">
        <v>23515</v>
      </c>
      <c r="Y8412" s="17" t="s">
        <v>96</v>
      </c>
    </row>
    <row r="8413" ht="15" customHeight="1" spans="1:22" x14ac:dyDescent="0.25">
      <c r="A8413" s="17" t="s">
        <v>23516</v>
      </c>
      <c r="B8413" s="17" t="s">
        <v>70</v>
      </c>
      <c r="C8413" s="17" t="s">
        <v>71</v>
      </c>
      <c r="D8413" t="s">
        <v>1754</v>
      </c>
      <c r="F8413" t="s">
        <v>1533</v>
      </c>
      <c r="K8413" s="18">
        <f>6281586408663</f>
        <v>6281586408663</v>
      </c>
      <c r="N8413" s="17" t="s">
        <v>77</v>
      </c>
      <c r="V8413" s="18">
        <f>6281586408663</f>
        <v>6281586408663</v>
      </c>
    </row>
    <row r="8414" ht="15" customHeight="1" spans="1:23" x14ac:dyDescent="0.25">
      <c r="A8414" s="17" t="s">
        <v>23517</v>
      </c>
      <c r="B8414" s="17" t="s">
        <v>70</v>
      </c>
      <c r="C8414" s="17" t="s">
        <v>71</v>
      </c>
      <c r="D8414" t="s">
        <v>1754</v>
      </c>
      <c r="F8414" t="s">
        <v>23518</v>
      </c>
      <c r="K8414" s="18">
        <f>821083804191</f>
        <v>821083804191</v>
      </c>
      <c r="N8414" s="17" t="s">
        <v>77</v>
      </c>
      <c r="U8414" s="17"/>
      <c r="V8414" s="18">
        <f>821083804191</f>
        <v>821083804191</v>
      </c>
      <c r="W8414" t="s">
        <v>7007</v>
      </c>
    </row>
    <row r="8415" ht="15" customHeight="1" spans="1:22" x14ac:dyDescent="0.25">
      <c r="A8415" s="17" t="s">
        <v>23519</v>
      </c>
      <c r="B8415" s="17" t="s">
        <v>70</v>
      </c>
      <c r="C8415" s="17" t="s">
        <v>71</v>
      </c>
      <c r="D8415" t="s">
        <v>1754</v>
      </c>
      <c r="F8415" t="s">
        <v>12902</v>
      </c>
      <c r="K8415" s="18">
        <f>6281115017820</f>
        <v>6281115017820</v>
      </c>
      <c r="N8415" s="17" t="s">
        <v>81</v>
      </c>
      <c r="V8415" s="18">
        <f>6281115017820</f>
        <v>6281115017820</v>
      </c>
    </row>
    <row r="8416" ht="15" customHeight="1" spans="1:28" x14ac:dyDescent="0.25">
      <c r="A8416" s="17" t="s">
        <v>23520</v>
      </c>
      <c r="B8416" s="17" t="s">
        <v>70</v>
      </c>
      <c r="C8416" s="17" t="s">
        <v>71</v>
      </c>
      <c r="D8416" t="s">
        <v>23521</v>
      </c>
      <c r="F8416" t="s">
        <v>11341</v>
      </c>
      <c r="J8416" t="s">
        <v>115</v>
      </c>
      <c r="K8416" s="18" t="s">
        <v>23522</v>
      </c>
      <c r="N8416" s="17" t="s">
        <v>77</v>
      </c>
      <c r="O8416" t="s">
        <v>145</v>
      </c>
      <c r="U8416" s="17"/>
      <c r="V8416" s="18" t="s">
        <v>23522</v>
      </c>
      <c r="W8416" t="s">
        <v>23523</v>
      </c>
      <c r="Y8416" t="s">
        <v>930</v>
      </c>
      <c r="AA8416" t="s">
        <v>115</v>
      </c>
      <c r="AB8416" t="s">
        <v>930</v>
      </c>
    </row>
    <row r="8417" ht="15" customHeight="1" spans="1:23" x14ac:dyDescent="0.25">
      <c r="A8417" s="17" t="s">
        <v>23524</v>
      </c>
      <c r="B8417" s="17" t="s">
        <v>70</v>
      </c>
      <c r="C8417" s="17" t="s">
        <v>71</v>
      </c>
      <c r="D8417" t="s">
        <v>1754</v>
      </c>
      <c r="F8417" t="s">
        <v>23525</v>
      </c>
      <c r="K8417" s="18">
        <f>62816960352</f>
        <v>62816960352</v>
      </c>
      <c r="N8417" s="17" t="s">
        <v>77</v>
      </c>
      <c r="U8417" s="17"/>
      <c r="V8417" s="18">
        <f>62816960352</f>
        <v>62816960352</v>
      </c>
      <c r="W8417" t="s">
        <v>23526</v>
      </c>
    </row>
    <row r="8418" ht="15" customHeight="1" spans="1:25" x14ac:dyDescent="0.25">
      <c r="A8418" s="17" t="s">
        <v>23527</v>
      </c>
      <c r="B8418" s="17" t="s">
        <v>70</v>
      </c>
      <c r="C8418" s="17" t="s">
        <v>71</v>
      </c>
      <c r="D8418" t="s">
        <v>1754</v>
      </c>
      <c r="F8418" t="s">
        <v>23528</v>
      </c>
      <c r="K8418" s="18">
        <f>628159256136</f>
        <v>628159256136</v>
      </c>
      <c r="N8418" s="17" t="s">
        <v>74</v>
      </c>
      <c r="U8418" s="17"/>
      <c r="V8418" s="18">
        <f>628159256136</f>
        <v>628159256136</v>
      </c>
      <c r="W8418" t="s">
        <v>23529</v>
      </c>
      <c r="Y8418" s="17" t="s">
        <v>622</v>
      </c>
    </row>
    <row r="8419" ht="15" customHeight="1" spans="1:28" x14ac:dyDescent="0.25">
      <c r="A8419" s="17" t="s">
        <v>23530</v>
      </c>
      <c r="B8419" s="17" t="s">
        <v>70</v>
      </c>
      <c r="C8419" s="17" t="s">
        <v>71</v>
      </c>
      <c r="D8419" t="s">
        <v>1754</v>
      </c>
      <c r="F8419" t="s">
        <v>23531</v>
      </c>
      <c r="J8419" s="17" t="s">
        <v>23532</v>
      </c>
      <c r="K8419" s="18" t="s">
        <v>23533</v>
      </c>
      <c r="N8419" s="17" t="s">
        <v>77</v>
      </c>
      <c r="O8419" t="s">
        <v>145</v>
      </c>
      <c r="V8419" s="18" t="s">
        <v>23533</v>
      </c>
      <c r="Y8419" t="s">
        <v>115</v>
      </c>
      <c r="AA8419" t="s">
        <v>115</v>
      </c>
      <c r="AB8419" t="s">
        <v>1306</v>
      </c>
    </row>
    <row r="8420" ht="15" customHeight="1" spans="1:22" x14ac:dyDescent="0.25">
      <c r="A8420" s="17" t="s">
        <v>23534</v>
      </c>
      <c r="B8420" s="17" t="s">
        <v>70</v>
      </c>
      <c r="C8420" s="17" t="s">
        <v>71</v>
      </c>
      <c r="D8420" t="s">
        <v>1754</v>
      </c>
      <c r="F8420" t="s">
        <v>17836</v>
      </c>
      <c r="K8420" s="18">
        <f>628118411510</f>
        <v>628118411510</v>
      </c>
      <c r="N8420" s="17" t="s">
        <v>77</v>
      </c>
      <c r="V8420" s="18">
        <f>628118411510</f>
        <v>628118411510</v>
      </c>
    </row>
    <row r="8421" ht="15" customHeight="1" spans="1:22" x14ac:dyDescent="0.25">
      <c r="A8421" s="17" t="s">
        <v>23535</v>
      </c>
      <c r="B8421" s="17" t="s">
        <v>70</v>
      </c>
      <c r="C8421" s="17" t="s">
        <v>71</v>
      </c>
      <c r="D8421" t="s">
        <v>1754</v>
      </c>
      <c r="F8421" t="s">
        <v>17836</v>
      </c>
      <c r="K8421" s="18">
        <f>628111633280</f>
        <v>628111633280</v>
      </c>
      <c r="N8421" s="17" t="s">
        <v>81</v>
      </c>
      <c r="V8421" s="18">
        <f>628111633280</f>
        <v>628111633280</v>
      </c>
    </row>
    <row r="8422" ht="15" customHeight="1" spans="1:22" x14ac:dyDescent="0.25">
      <c r="A8422" s="17" t="s">
        <v>23536</v>
      </c>
      <c r="B8422" s="17" t="s">
        <v>70</v>
      </c>
      <c r="C8422" s="17" t="s">
        <v>71</v>
      </c>
      <c r="D8422" t="s">
        <v>1754</v>
      </c>
      <c r="F8422" t="s">
        <v>7934</v>
      </c>
      <c r="K8422" s="18">
        <f>62217942054</f>
        <v>62217942054</v>
      </c>
      <c r="N8422" s="17" t="s">
        <v>77</v>
      </c>
      <c r="V8422" s="18">
        <f>62217942054</f>
        <v>62217942054</v>
      </c>
    </row>
    <row r="8423" ht="15" customHeight="1" spans="1:22" x14ac:dyDescent="0.25">
      <c r="A8423" s="17" t="s">
        <v>23537</v>
      </c>
      <c r="B8423" s="17" t="s">
        <v>70</v>
      </c>
      <c r="C8423" s="17" t="s">
        <v>71</v>
      </c>
      <c r="D8423" t="s">
        <v>1754</v>
      </c>
      <c r="F8423" t="s">
        <v>23538</v>
      </c>
      <c r="K8423" s="18">
        <f>6281257647639</f>
        <v>6281257647639</v>
      </c>
      <c r="N8423" s="17" t="s">
        <v>77</v>
      </c>
      <c r="V8423" s="18">
        <f>6281257647639</f>
        <v>6281257647639</v>
      </c>
    </row>
    <row r="8424" ht="15" customHeight="1" spans="1:23" x14ac:dyDescent="0.25">
      <c r="A8424" s="17" t="s">
        <v>23539</v>
      </c>
      <c r="B8424" s="17" t="s">
        <v>70</v>
      </c>
      <c r="C8424" s="17" t="s">
        <v>71</v>
      </c>
      <c r="D8424" t="s">
        <v>1754</v>
      </c>
      <c r="F8424" t="s">
        <v>23540</v>
      </c>
      <c r="K8424" s="18">
        <f>628119712053</f>
        <v>628119712053</v>
      </c>
      <c r="N8424" s="17" t="s">
        <v>81</v>
      </c>
      <c r="U8424" s="17"/>
      <c r="V8424" s="18">
        <f>628119712053</f>
        <v>628119712053</v>
      </c>
      <c r="W8424" t="s">
        <v>23541</v>
      </c>
    </row>
    <row r="8425" ht="15" customHeight="1" spans="1:28" x14ac:dyDescent="0.25">
      <c r="A8425" s="17" t="s">
        <v>23542</v>
      </c>
      <c r="B8425" s="17" t="s">
        <v>70</v>
      </c>
      <c r="C8425" s="17" t="s">
        <v>71</v>
      </c>
      <c r="D8425" t="s">
        <v>1754</v>
      </c>
      <c r="F8425" t="s">
        <v>23543</v>
      </c>
      <c r="J8425" s="17" t="s">
        <v>23544</v>
      </c>
      <c r="K8425" s="18" t="s">
        <v>23545</v>
      </c>
      <c r="N8425" s="17" t="s">
        <v>77</v>
      </c>
      <c r="O8425" t="s">
        <v>261</v>
      </c>
      <c r="U8425" s="17"/>
      <c r="V8425" s="18" t="s">
        <v>23545</v>
      </c>
      <c r="W8425" t="s">
        <v>7007</v>
      </c>
      <c r="Y8425" t="s">
        <v>7007</v>
      </c>
      <c r="AA8425" t="s">
        <v>115</v>
      </c>
      <c r="AB8425" t="s">
        <v>119</v>
      </c>
    </row>
    <row r="8426" ht="15" customHeight="1" spans="1:28" x14ac:dyDescent="0.25">
      <c r="A8426" s="17" t="s">
        <v>23546</v>
      </c>
      <c r="B8426" s="17" t="s">
        <v>70</v>
      </c>
      <c r="C8426" s="17" t="s">
        <v>71</v>
      </c>
      <c r="D8426" t="s">
        <v>23547</v>
      </c>
      <c r="F8426" t="s">
        <v>23548</v>
      </c>
      <c r="J8426" s="17" t="s">
        <v>23549</v>
      </c>
      <c r="K8426" s="18" t="s">
        <v>23550</v>
      </c>
      <c r="N8426" s="17" t="s">
        <v>77</v>
      </c>
      <c r="O8426" t="s">
        <v>117</v>
      </c>
      <c r="U8426" s="17"/>
      <c r="V8426" s="18" t="s">
        <v>23550</v>
      </c>
      <c r="W8426" t="s">
        <v>7107</v>
      </c>
      <c r="Y8426" t="s">
        <v>115</v>
      </c>
      <c r="AA8426" t="s">
        <v>115</v>
      </c>
      <c r="AB8426" t="s">
        <v>7412</v>
      </c>
    </row>
    <row r="8427" ht="15" customHeight="1" spans="1:22" x14ac:dyDescent="0.25">
      <c r="A8427" s="17" t="s">
        <v>23551</v>
      </c>
      <c r="B8427" s="17" t="s">
        <v>70</v>
      </c>
      <c r="C8427" s="17" t="s">
        <v>71</v>
      </c>
      <c r="D8427" t="s">
        <v>23552</v>
      </c>
      <c r="F8427" t="s">
        <v>23553</v>
      </c>
      <c r="K8427" s="18">
        <f>62816780305</f>
        <v>62816780305</v>
      </c>
      <c r="N8427" s="17" t="s">
        <v>77</v>
      </c>
      <c r="V8427" s="18">
        <f>62816780305</f>
        <v>62816780305</v>
      </c>
    </row>
    <row r="8428" ht="15" customHeight="1" spans="1:22" x14ac:dyDescent="0.25">
      <c r="A8428" s="17" t="s">
        <v>23554</v>
      </c>
      <c r="B8428" s="17" t="s">
        <v>70</v>
      </c>
      <c r="C8428" s="17" t="s">
        <v>71</v>
      </c>
      <c r="D8428" t="s">
        <v>23555</v>
      </c>
      <c r="F8428" t="s">
        <v>23555</v>
      </c>
      <c r="K8428" s="18">
        <f>6281586088888</f>
        <v>6281586088888</v>
      </c>
      <c r="N8428" s="17" t="s">
        <v>74</v>
      </c>
      <c r="V8428" s="18">
        <f>6281586088888</f>
        <v>6281586088888</v>
      </c>
    </row>
    <row r="8429" ht="15" customHeight="1" spans="1:28" x14ac:dyDescent="0.25">
      <c r="A8429" s="17" t="s">
        <v>23556</v>
      </c>
      <c r="B8429" s="17" t="s">
        <v>70</v>
      </c>
      <c r="C8429" s="17" t="s">
        <v>71</v>
      </c>
      <c r="D8429" t="s">
        <v>23557</v>
      </c>
      <c r="F8429" t="s">
        <v>16645</v>
      </c>
      <c r="J8429" s="17" t="s">
        <v>23558</v>
      </c>
      <c r="K8429" s="18" t="s">
        <v>23559</v>
      </c>
      <c r="N8429" s="17" t="s">
        <v>77</v>
      </c>
      <c r="O8429" t="s">
        <v>145</v>
      </c>
      <c r="V8429" s="18" t="s">
        <v>23559</v>
      </c>
      <c r="Y8429" t="s">
        <v>3140</v>
      </c>
      <c r="AA8429" t="s">
        <v>115</v>
      </c>
      <c r="AB8429" t="s">
        <v>3140</v>
      </c>
    </row>
    <row r="8430" ht="15" customHeight="1" spans="1:23" x14ac:dyDescent="0.25">
      <c r="A8430" s="17" t="s">
        <v>23560</v>
      </c>
      <c r="B8430" s="17" t="s">
        <v>70</v>
      </c>
      <c r="C8430" s="17" t="s">
        <v>71</v>
      </c>
      <c r="D8430" t="s">
        <v>7299</v>
      </c>
      <c r="F8430" t="s">
        <v>7299</v>
      </c>
      <c r="J8430" s="17" t="s">
        <v>23561</v>
      </c>
      <c r="K8430" s="18">
        <v>18600809122</v>
      </c>
      <c r="N8430" s="17" t="s">
        <v>77</v>
      </c>
      <c r="U8430" s="17"/>
      <c r="V8430" s="18">
        <v>18600809122</v>
      </c>
      <c r="W8430" t="s">
        <v>5998</v>
      </c>
    </row>
    <row r="8431" ht="15" customHeight="1" spans="1:22" x14ac:dyDescent="0.25">
      <c r="A8431" s="17" t="s">
        <v>23562</v>
      </c>
      <c r="B8431" s="17" t="s">
        <v>70</v>
      </c>
      <c r="C8431" s="17" t="s">
        <v>71</v>
      </c>
      <c r="D8431" t="s">
        <v>7299</v>
      </c>
      <c r="F8431" t="s">
        <v>7315</v>
      </c>
      <c r="K8431" s="18">
        <f>6281211382133</f>
        <v>6281211382133</v>
      </c>
      <c r="N8431" s="17" t="s">
        <v>81</v>
      </c>
      <c r="V8431" s="18">
        <f>6281211382133</f>
        <v>6281211382133</v>
      </c>
    </row>
    <row r="8432" ht="15" customHeight="1" spans="1:22" x14ac:dyDescent="0.25">
      <c r="A8432" s="17" t="s">
        <v>23563</v>
      </c>
      <c r="B8432" s="17" t="s">
        <v>70</v>
      </c>
      <c r="C8432" s="17" t="s">
        <v>71</v>
      </c>
      <c r="D8432" t="s">
        <v>23564</v>
      </c>
      <c r="F8432" t="s">
        <v>23565</v>
      </c>
      <c r="K8432" s="18">
        <f>6281398868885</f>
        <v>6281398868885</v>
      </c>
      <c r="N8432" s="17" t="s">
        <v>77</v>
      </c>
      <c r="V8432" s="18">
        <f>6281398868885</f>
        <v>6281398868885</v>
      </c>
    </row>
    <row r="8433" ht="15" customHeight="1" spans="1:22" x14ac:dyDescent="0.25">
      <c r="A8433" s="17" t="s">
        <v>23566</v>
      </c>
      <c r="B8433" s="17" t="s">
        <v>70</v>
      </c>
      <c r="C8433" s="17" t="s">
        <v>71</v>
      </c>
      <c r="D8433" t="s">
        <v>23567</v>
      </c>
      <c r="F8433" t="s">
        <v>23568</v>
      </c>
      <c r="K8433" s="18">
        <f>6281807883332</f>
        <v>6281807883332</v>
      </c>
      <c r="N8433" s="17" t="s">
        <v>74</v>
      </c>
      <c r="V8433" s="18">
        <f>6281807883332</f>
        <v>6281807883332</v>
      </c>
    </row>
    <row r="8434" ht="15" customHeight="1" spans="1:22" x14ac:dyDescent="0.25">
      <c r="A8434" s="17" t="s">
        <v>23569</v>
      </c>
      <c r="B8434" s="17" t="s">
        <v>70</v>
      </c>
      <c r="C8434" s="17" t="s">
        <v>71</v>
      </c>
      <c r="D8434" t="s">
        <v>23567</v>
      </c>
      <c r="F8434" t="s">
        <v>23570</v>
      </c>
      <c r="K8434" s="18">
        <f>6281807101018</f>
        <v>6281807101018</v>
      </c>
      <c r="N8434" s="17" t="s">
        <v>77</v>
      </c>
      <c r="V8434" s="18">
        <f>6281807101018</f>
        <v>6281807101018</v>
      </c>
    </row>
    <row r="8435" ht="15" customHeight="1" spans="1:28" x14ac:dyDescent="0.25">
      <c r="A8435" s="17" t="s">
        <v>23571</v>
      </c>
      <c r="B8435" s="17" t="s">
        <v>70</v>
      </c>
      <c r="C8435" s="17" t="s">
        <v>71</v>
      </c>
      <c r="D8435" t="s">
        <v>23567</v>
      </c>
      <c r="F8435" t="s">
        <v>23572</v>
      </c>
      <c r="J8435" s="17" t="s">
        <v>23573</v>
      </c>
      <c r="K8435" s="18" t="s">
        <v>23574</v>
      </c>
      <c r="N8435" s="17" t="s">
        <v>77</v>
      </c>
      <c r="O8435" t="s">
        <v>145</v>
      </c>
      <c r="V8435" s="18" t="s">
        <v>23574</v>
      </c>
      <c r="Y8435" s="17" t="s">
        <v>1909</v>
      </c>
      <c r="AA8435" t="s">
        <v>115</v>
      </c>
      <c r="AB8435" t="s">
        <v>1909</v>
      </c>
    </row>
    <row r="8436" ht="15" customHeight="1" spans="1:28" x14ac:dyDescent="0.25">
      <c r="A8436" s="17" t="s">
        <v>23575</v>
      </c>
      <c r="B8436" s="17" t="s">
        <v>70</v>
      </c>
      <c r="C8436" s="17" t="s">
        <v>71</v>
      </c>
      <c r="D8436" t="s">
        <v>23567</v>
      </c>
      <c r="F8436" t="s">
        <v>23567</v>
      </c>
      <c r="J8436" t="s">
        <v>115</v>
      </c>
      <c r="K8436" s="18" t="s">
        <v>23576</v>
      </c>
      <c r="N8436" s="17" t="s">
        <v>77</v>
      </c>
      <c r="O8436" t="s">
        <v>199</v>
      </c>
      <c r="U8436" s="17"/>
      <c r="V8436" s="18" t="s">
        <v>23576</v>
      </c>
      <c r="W8436" t="s">
        <v>3140</v>
      </c>
      <c r="Y8436" t="s">
        <v>115</v>
      </c>
      <c r="AA8436" t="s">
        <v>115</v>
      </c>
      <c r="AB8436" t="s">
        <v>119</v>
      </c>
    </row>
    <row r="8437" ht="15" customHeight="1" spans="1:28" x14ac:dyDescent="0.25">
      <c r="A8437" s="17" t="s">
        <v>23577</v>
      </c>
      <c r="B8437" s="17" t="s">
        <v>70</v>
      </c>
      <c r="C8437" s="17" t="s">
        <v>71</v>
      </c>
      <c r="D8437" t="s">
        <v>23567</v>
      </c>
      <c r="F8437" t="s">
        <v>23578</v>
      </c>
      <c r="J8437" t="s">
        <v>115</v>
      </c>
      <c r="K8437" s="18" t="s">
        <v>23579</v>
      </c>
      <c r="N8437" s="17" t="s">
        <v>77</v>
      </c>
      <c r="O8437" t="s">
        <v>145</v>
      </c>
      <c r="U8437" s="17"/>
      <c r="V8437" s="18" t="s">
        <v>23579</v>
      </c>
      <c r="W8437" t="s">
        <v>1909</v>
      </c>
      <c r="Y8437" t="s">
        <v>115</v>
      </c>
      <c r="AA8437" t="s">
        <v>115</v>
      </c>
      <c r="AB8437" t="s">
        <v>2605</v>
      </c>
    </row>
    <row r="8438" ht="15" customHeight="1" spans="1:25" x14ac:dyDescent="0.25">
      <c r="A8438" s="17" t="s">
        <v>23580</v>
      </c>
      <c r="B8438" s="17" t="s">
        <v>70</v>
      </c>
      <c r="C8438" s="17" t="s">
        <v>71</v>
      </c>
      <c r="D8438" t="s">
        <v>23567</v>
      </c>
      <c r="F8438" t="s">
        <v>913</v>
      </c>
      <c r="K8438" s="18">
        <f>62811743153</f>
        <v>62811743153</v>
      </c>
      <c r="N8438" s="17" t="s">
        <v>77</v>
      </c>
      <c r="U8438" s="17"/>
      <c r="V8438" s="18">
        <f>62811743153</f>
        <v>62811743153</v>
      </c>
      <c r="W8438" t="s">
        <v>23581</v>
      </c>
      <c r="Y8438" s="17" t="s">
        <v>3100</v>
      </c>
    </row>
    <row r="8439" ht="15" customHeight="1" spans="1:22" x14ac:dyDescent="0.25">
      <c r="A8439" s="17" t="s">
        <v>23582</v>
      </c>
      <c r="B8439" s="17" t="s">
        <v>70</v>
      </c>
      <c r="C8439" s="17" t="s">
        <v>71</v>
      </c>
      <c r="D8439" t="s">
        <v>23567</v>
      </c>
      <c r="F8439" t="s">
        <v>23583</v>
      </c>
      <c r="K8439" s="18">
        <f>6281283754888</f>
        <v>6281283754888</v>
      </c>
      <c r="N8439" s="17" t="s">
        <v>77</v>
      </c>
      <c r="V8439" s="18">
        <f>6281283754888</f>
        <v>6281283754888</v>
      </c>
    </row>
    <row r="8440" ht="15" customHeight="1" spans="1:25" x14ac:dyDescent="0.25">
      <c r="A8440" s="17" t="s">
        <v>23584</v>
      </c>
      <c r="B8440" s="17" t="s">
        <v>70</v>
      </c>
      <c r="C8440" s="17" t="s">
        <v>71</v>
      </c>
      <c r="D8440" t="s">
        <v>23585</v>
      </c>
      <c r="F8440" t="s">
        <v>23586</v>
      </c>
      <c r="K8440" s="18">
        <f>628118787567</f>
        <v>628118787567</v>
      </c>
      <c r="N8440" s="17" t="s">
        <v>81</v>
      </c>
      <c r="U8440" s="17"/>
      <c r="V8440" s="18">
        <f>628118787567</f>
        <v>628118787567</v>
      </c>
      <c r="W8440" t="s">
        <v>23587</v>
      </c>
      <c r="Y8440" s="17" t="s">
        <v>515</v>
      </c>
    </row>
    <row r="8441" ht="15" customHeight="1" spans="1:28" x14ac:dyDescent="0.25">
      <c r="A8441" s="17" t="s">
        <v>23588</v>
      </c>
      <c r="B8441" s="17" t="s">
        <v>70</v>
      </c>
      <c r="C8441" s="17" t="s">
        <v>71</v>
      </c>
      <c r="D8441" t="s">
        <v>23589</v>
      </c>
      <c r="F8441" t="s">
        <v>2445</v>
      </c>
      <c r="J8441" t="s">
        <v>115</v>
      </c>
      <c r="K8441" s="18" t="s">
        <v>23590</v>
      </c>
      <c r="N8441" s="17" t="s">
        <v>77</v>
      </c>
      <c r="O8441" t="s">
        <v>117</v>
      </c>
      <c r="V8441" s="18" t="s">
        <v>23590</v>
      </c>
      <c r="Y8441" t="s">
        <v>500</v>
      </c>
      <c r="AA8441" t="s">
        <v>501</v>
      </c>
      <c r="AB8441" t="s">
        <v>119</v>
      </c>
    </row>
    <row r="8442" ht="15" customHeight="1" spans="1:22" x14ac:dyDescent="0.25">
      <c r="A8442" s="17" t="s">
        <v>23591</v>
      </c>
      <c r="B8442" s="17" t="s">
        <v>70</v>
      </c>
      <c r="C8442" s="17" t="s">
        <v>71</v>
      </c>
      <c r="D8442" t="s">
        <v>23592</v>
      </c>
      <c r="F8442" t="s">
        <v>23593</v>
      </c>
      <c r="K8442" s="18" t="s">
        <v>23594</v>
      </c>
      <c r="N8442" s="17" t="s">
        <v>81</v>
      </c>
      <c r="V8442" s="18" t="s">
        <v>23594</v>
      </c>
    </row>
    <row r="8443" ht="15" customHeight="1" spans="1:22" x14ac:dyDescent="0.25">
      <c r="A8443" s="17" t="s">
        <v>23595</v>
      </c>
      <c r="B8443" s="17" t="s">
        <v>70</v>
      </c>
      <c r="C8443" s="17" t="s">
        <v>71</v>
      </c>
      <c r="D8443" t="s">
        <v>23596</v>
      </c>
      <c r="F8443" t="s">
        <v>23596</v>
      </c>
      <c r="K8443" s="18">
        <f>6281806815466</f>
        <v>6281806815466</v>
      </c>
      <c r="N8443" s="17" t="s">
        <v>81</v>
      </c>
      <c r="V8443" s="18">
        <f>6281806815466</f>
        <v>6281806815466</v>
      </c>
    </row>
    <row r="8444" ht="15" customHeight="1" spans="1:22" x14ac:dyDescent="0.25">
      <c r="A8444" s="17" t="s">
        <v>23597</v>
      </c>
      <c r="B8444" s="17" t="s">
        <v>70</v>
      </c>
      <c r="C8444" s="17" t="s">
        <v>71</v>
      </c>
      <c r="D8444" t="s">
        <v>23596</v>
      </c>
      <c r="F8444" t="s">
        <v>6652</v>
      </c>
      <c r="K8444" s="18">
        <f>628122338003</f>
        <v>628122338003</v>
      </c>
      <c r="N8444" s="17" t="s">
        <v>81</v>
      </c>
      <c r="V8444" s="18">
        <f>628122338003</f>
        <v>628122338003</v>
      </c>
    </row>
    <row r="8445" ht="15" customHeight="1" spans="1:22" x14ac:dyDescent="0.25">
      <c r="A8445" s="17" t="s">
        <v>23598</v>
      </c>
      <c r="B8445" s="17" t="s">
        <v>70</v>
      </c>
      <c r="C8445" s="17" t="s">
        <v>71</v>
      </c>
      <c r="D8445" t="s">
        <v>6378</v>
      </c>
      <c r="F8445" t="s">
        <v>6378</v>
      </c>
      <c r="K8445" s="18">
        <f>6281806815966</f>
        <v>6281806815966</v>
      </c>
      <c r="N8445" s="17" t="s">
        <v>74</v>
      </c>
      <c r="V8445" s="18">
        <f>6281806815966</f>
        <v>6281806815966</v>
      </c>
    </row>
    <row r="8446" ht="15" customHeight="1" spans="1:22" x14ac:dyDescent="0.25">
      <c r="A8446" s="17" t="s">
        <v>23599</v>
      </c>
      <c r="B8446" s="17" t="s">
        <v>70</v>
      </c>
      <c r="C8446" s="17" t="s">
        <v>71</v>
      </c>
      <c r="D8446" t="s">
        <v>6378</v>
      </c>
      <c r="F8446" t="s">
        <v>6378</v>
      </c>
      <c r="K8446" s="18">
        <f>6287780855065</f>
        <v>6287780855065</v>
      </c>
      <c r="N8446" s="17" t="s">
        <v>77</v>
      </c>
      <c r="V8446" s="18">
        <f>6287780855065</f>
        <v>6287780855065</v>
      </c>
    </row>
    <row r="8447" ht="15" customHeight="1" spans="1:28" x14ac:dyDescent="0.25">
      <c r="A8447" s="17" t="s">
        <v>23600</v>
      </c>
      <c r="B8447" s="17" t="s">
        <v>70</v>
      </c>
      <c r="C8447" s="17" t="s">
        <v>71</v>
      </c>
      <c r="D8447" t="s">
        <v>6378</v>
      </c>
      <c r="F8447" t="s">
        <v>2159</v>
      </c>
      <c r="J8447" t="s">
        <v>115</v>
      </c>
      <c r="K8447" s="18" t="s">
        <v>23601</v>
      </c>
      <c r="N8447" s="17" t="s">
        <v>81</v>
      </c>
      <c r="O8447" t="s">
        <v>145</v>
      </c>
      <c r="V8447" s="18" t="s">
        <v>23601</v>
      </c>
      <c r="Y8447" t="s">
        <v>190</v>
      </c>
      <c r="AA8447" t="s">
        <v>118</v>
      </c>
      <c r="AB8447" t="s">
        <v>119</v>
      </c>
    </row>
    <row r="8448" ht="15" customHeight="1" spans="1:22" x14ac:dyDescent="0.25">
      <c r="A8448" s="17" t="s">
        <v>23602</v>
      </c>
      <c r="B8448" s="17" t="s">
        <v>70</v>
      </c>
      <c r="C8448" s="17" t="s">
        <v>71</v>
      </c>
      <c r="D8448" t="s">
        <v>6378</v>
      </c>
      <c r="F8448" t="s">
        <v>23603</v>
      </c>
      <c r="K8448" s="18">
        <f>628111896615</f>
        <v>628111896615</v>
      </c>
      <c r="N8448" s="17" t="s">
        <v>77</v>
      </c>
      <c r="V8448" s="18">
        <f>628111896615</f>
        <v>628111896615</v>
      </c>
    </row>
    <row r="8449" ht="15" customHeight="1" spans="1:23" x14ac:dyDescent="0.25">
      <c r="A8449" s="17" t="s">
        <v>23604</v>
      </c>
      <c r="B8449" s="17" t="s">
        <v>70</v>
      </c>
      <c r="C8449" s="17" t="s">
        <v>71</v>
      </c>
      <c r="D8449" t="s">
        <v>6378</v>
      </c>
      <c r="F8449" t="s">
        <v>23605</v>
      </c>
      <c r="K8449" s="18">
        <f>628111108342</f>
        <v>628111108342</v>
      </c>
      <c r="N8449" s="17" t="s">
        <v>74</v>
      </c>
      <c r="U8449" s="17"/>
      <c r="V8449" s="18">
        <f>628111108342</f>
        <v>628111108342</v>
      </c>
      <c r="W8449" t="s">
        <v>23606</v>
      </c>
    </row>
    <row r="8450" ht="15" customHeight="1" spans="1:27" x14ac:dyDescent="0.25">
      <c r="A8450" s="17" t="s">
        <v>23607</v>
      </c>
      <c r="B8450" s="17" t="s">
        <v>70</v>
      </c>
      <c r="C8450" s="17" t="s">
        <v>71</v>
      </c>
      <c r="D8450" t="s">
        <v>6378</v>
      </c>
      <c r="F8450" t="s">
        <v>3176</v>
      </c>
      <c r="K8450" s="18">
        <f>62218448654</f>
        <v>62218448654</v>
      </c>
      <c r="N8450" s="17" t="s">
        <v>77</v>
      </c>
      <c r="U8450" s="17"/>
      <c r="V8450" s="18">
        <f>62218448654</f>
        <v>62218448654</v>
      </c>
      <c r="W8450" t="s">
        <v>23608</v>
      </c>
      <c r="AA8450" s="17" t="s">
        <v>1119</v>
      </c>
    </row>
    <row r="8451" ht="15" customHeight="1" spans="1:23" x14ac:dyDescent="0.25">
      <c r="A8451" s="17" t="s">
        <v>23609</v>
      </c>
      <c r="B8451" s="17" t="s">
        <v>70</v>
      </c>
      <c r="C8451" s="17" t="s">
        <v>71</v>
      </c>
      <c r="D8451" t="s">
        <v>6378</v>
      </c>
      <c r="F8451" t="s">
        <v>3176</v>
      </c>
      <c r="K8451" s="18">
        <f>6281210146060</f>
        <v>6281210146060</v>
      </c>
      <c r="N8451" s="17" t="s">
        <v>74</v>
      </c>
      <c r="U8451" s="17"/>
      <c r="V8451" s="18">
        <f>6281210146060</f>
        <v>6281210146060</v>
      </c>
      <c r="W8451" t="s">
        <v>23610</v>
      </c>
    </row>
    <row r="8452" ht="15" customHeight="1" spans="1:22" x14ac:dyDescent="0.25">
      <c r="A8452" s="17" t="s">
        <v>23611</v>
      </c>
      <c r="B8452" s="17" t="s">
        <v>70</v>
      </c>
      <c r="C8452" s="17" t="s">
        <v>71</v>
      </c>
      <c r="D8452" t="s">
        <v>23612</v>
      </c>
      <c r="F8452" t="s">
        <v>23612</v>
      </c>
      <c r="K8452" s="18">
        <f>628118707061</f>
        <v>628118707061</v>
      </c>
      <c r="N8452" s="17" t="s">
        <v>81</v>
      </c>
      <c r="V8452" s="18">
        <f>628118707061</f>
        <v>628118707061</v>
      </c>
    </row>
    <row r="8453" ht="15" customHeight="1" spans="1:22" x14ac:dyDescent="0.25">
      <c r="A8453" s="17" t="s">
        <v>23613</v>
      </c>
      <c r="B8453" s="17" t="s">
        <v>70</v>
      </c>
      <c r="C8453" s="17" t="s">
        <v>71</v>
      </c>
      <c r="D8453" t="s">
        <v>23612</v>
      </c>
      <c r="F8453" t="s">
        <v>23612</v>
      </c>
      <c r="K8453" s="18">
        <f>628166958480</f>
        <v>628166958480</v>
      </c>
      <c r="N8453" s="17" t="s">
        <v>77</v>
      </c>
      <c r="V8453" s="18">
        <f>628166958480</f>
        <v>628166958480</v>
      </c>
    </row>
    <row r="8454" ht="15" customHeight="1" spans="1:22" x14ac:dyDescent="0.25">
      <c r="A8454" s="17" t="s">
        <v>23614</v>
      </c>
      <c r="B8454" s="17" t="s">
        <v>70</v>
      </c>
      <c r="C8454" s="17" t="s">
        <v>71</v>
      </c>
      <c r="D8454" t="s">
        <v>23612</v>
      </c>
      <c r="F8454" t="s">
        <v>6235</v>
      </c>
      <c r="K8454" s="18">
        <f>628551122130</f>
        <v>628551122130</v>
      </c>
      <c r="N8454" s="17" t="s">
        <v>77</v>
      </c>
      <c r="V8454" s="18">
        <f>628551122130</f>
        <v>628551122130</v>
      </c>
    </row>
    <row r="8455" ht="15" customHeight="1" spans="1:28" x14ac:dyDescent="0.25">
      <c r="A8455" s="17" t="s">
        <v>23615</v>
      </c>
      <c r="B8455" s="17" t="s">
        <v>70</v>
      </c>
      <c r="C8455" s="17" t="s">
        <v>71</v>
      </c>
      <c r="D8455" t="s">
        <v>23612</v>
      </c>
      <c r="F8455" t="s">
        <v>618</v>
      </c>
      <c r="J8455" t="s">
        <v>115</v>
      </c>
      <c r="K8455" s="18" t="s">
        <v>23616</v>
      </c>
      <c r="N8455" s="17" t="s">
        <v>77</v>
      </c>
      <c r="O8455" t="s">
        <v>199</v>
      </c>
      <c r="V8455" s="18" t="s">
        <v>23616</v>
      </c>
      <c r="Y8455" t="s">
        <v>90</v>
      </c>
      <c r="AA8455" t="s">
        <v>118</v>
      </c>
      <c r="AB8455" t="s">
        <v>119</v>
      </c>
    </row>
    <row r="8456" ht="15" customHeight="1" spans="1:23" x14ac:dyDescent="0.25">
      <c r="A8456" s="17" t="s">
        <v>23617</v>
      </c>
      <c r="B8456" s="17" t="s">
        <v>70</v>
      </c>
      <c r="C8456" s="17" t="s">
        <v>71</v>
      </c>
      <c r="D8456" t="s">
        <v>23612</v>
      </c>
      <c r="F8456" t="s">
        <v>23618</v>
      </c>
      <c r="J8456" s="17" t="s">
        <v>23619</v>
      </c>
      <c r="K8456" s="18">
        <f>628192568688</f>
        <v>628192568688</v>
      </c>
      <c r="N8456" s="17" t="s">
        <v>81</v>
      </c>
      <c r="U8456" s="17"/>
      <c r="V8456" s="18">
        <f>628192568688</f>
        <v>628192568688</v>
      </c>
      <c r="W8456" t="s">
        <v>23620</v>
      </c>
    </row>
    <row r="8457" ht="15" customHeight="1" spans="1:28" x14ac:dyDescent="0.25">
      <c r="A8457" s="17" t="s">
        <v>23621</v>
      </c>
      <c r="B8457" s="17" t="s">
        <v>70</v>
      </c>
      <c r="C8457" s="17" t="s">
        <v>71</v>
      </c>
      <c r="D8457" t="s">
        <v>23612</v>
      </c>
      <c r="F8457" t="s">
        <v>2184</v>
      </c>
      <c r="J8457" t="s">
        <v>115</v>
      </c>
      <c r="K8457" s="18" t="s">
        <v>23622</v>
      </c>
      <c r="N8457" s="17" t="s">
        <v>77</v>
      </c>
      <c r="O8457" t="s">
        <v>117</v>
      </c>
      <c r="U8457" s="17"/>
      <c r="V8457" s="18" t="s">
        <v>23622</v>
      </c>
      <c r="W8457" t="s">
        <v>23623</v>
      </c>
      <c r="Y8457" t="s">
        <v>115</v>
      </c>
      <c r="AA8457" t="s">
        <v>115</v>
      </c>
      <c r="AB8457" t="s">
        <v>119</v>
      </c>
    </row>
    <row r="8458" ht="15" customHeight="1" spans="1:28" x14ac:dyDescent="0.25">
      <c r="A8458" s="17" t="s">
        <v>23624</v>
      </c>
      <c r="B8458" s="17" t="s">
        <v>70</v>
      </c>
      <c r="C8458" s="17" t="s">
        <v>71</v>
      </c>
      <c r="D8458" t="s">
        <v>23612</v>
      </c>
      <c r="F8458" t="s">
        <v>23625</v>
      </c>
      <c r="J8458" t="s">
        <v>115</v>
      </c>
      <c r="K8458" s="18" t="s">
        <v>23626</v>
      </c>
      <c r="N8458" s="17" t="s">
        <v>81</v>
      </c>
      <c r="O8458" t="s">
        <v>261</v>
      </c>
      <c r="V8458" s="18" t="s">
        <v>23626</v>
      </c>
      <c r="Y8458" t="s">
        <v>90</v>
      </c>
      <c r="AA8458" t="s">
        <v>118</v>
      </c>
      <c r="AB8458" t="s">
        <v>119</v>
      </c>
    </row>
    <row r="8459" ht="15" customHeight="1" spans="1:23" x14ac:dyDescent="0.25">
      <c r="A8459" s="17" t="s">
        <v>23627</v>
      </c>
      <c r="B8459" s="17" t="s">
        <v>70</v>
      </c>
      <c r="C8459" s="17" t="s">
        <v>71</v>
      </c>
      <c r="D8459" t="s">
        <v>23612</v>
      </c>
      <c r="F8459" t="s">
        <v>23628</v>
      </c>
      <c r="J8459" s="17" t="s">
        <v>23629</v>
      </c>
      <c r="K8459" s="18">
        <f>6285777778677</f>
        <v>6285777778677</v>
      </c>
      <c r="N8459" s="17" t="s">
        <v>81</v>
      </c>
      <c r="U8459" s="17"/>
      <c r="V8459" s="18">
        <f>6285777778677</f>
        <v>6285777778677</v>
      </c>
      <c r="W8459" t="s">
        <v>23630</v>
      </c>
    </row>
    <row r="8460" ht="15" customHeight="1" spans="1:22" x14ac:dyDescent="0.25">
      <c r="A8460" s="17" t="s">
        <v>23631</v>
      </c>
      <c r="B8460" s="17" t="s">
        <v>70</v>
      </c>
      <c r="C8460" s="17" t="s">
        <v>71</v>
      </c>
      <c r="D8460" t="s">
        <v>23632</v>
      </c>
      <c r="F8460" t="s">
        <v>23632</v>
      </c>
      <c r="K8460" s="18">
        <f>628129049462</f>
        <v>628129049462</v>
      </c>
      <c r="N8460" s="17" t="s">
        <v>81</v>
      </c>
      <c r="V8460" s="18">
        <f>628129049462</f>
        <v>628129049462</v>
      </c>
    </row>
    <row r="8461" ht="15" customHeight="1" spans="1:28" x14ac:dyDescent="0.25">
      <c r="A8461" s="17" t="s">
        <v>23633</v>
      </c>
      <c r="B8461" s="17" t="s">
        <v>70</v>
      </c>
      <c r="C8461" s="17" t="s">
        <v>71</v>
      </c>
      <c r="D8461" t="s">
        <v>23632</v>
      </c>
      <c r="F8461" t="s">
        <v>23632</v>
      </c>
      <c r="J8461" t="s">
        <v>115</v>
      </c>
      <c r="K8461" s="18" t="s">
        <v>23634</v>
      </c>
      <c r="N8461" s="17" t="s">
        <v>74</v>
      </c>
      <c r="O8461" t="s">
        <v>117</v>
      </c>
      <c r="U8461" s="17"/>
      <c r="V8461" s="18" t="s">
        <v>23634</v>
      </c>
      <c r="W8461" t="s">
        <v>23635</v>
      </c>
      <c r="Y8461" t="s">
        <v>96</v>
      </c>
      <c r="AA8461" t="s">
        <v>693</v>
      </c>
      <c r="AB8461" t="s">
        <v>119</v>
      </c>
    </row>
    <row r="8462" ht="15" customHeight="1" spans="1:25" x14ac:dyDescent="0.25">
      <c r="A8462" s="17" t="s">
        <v>23636</v>
      </c>
      <c r="B8462" s="17" t="s">
        <v>70</v>
      </c>
      <c r="C8462" s="17" t="s">
        <v>71</v>
      </c>
      <c r="D8462" t="s">
        <v>23637</v>
      </c>
      <c r="F8462" t="s">
        <v>23638</v>
      </c>
      <c r="K8462" s="18">
        <f>628158788925</f>
        <v>628158788925</v>
      </c>
      <c r="N8462" s="17" t="s">
        <v>77</v>
      </c>
      <c r="U8462" s="17"/>
      <c r="V8462" s="18">
        <f>628158788925</f>
        <v>628158788925</v>
      </c>
      <c r="W8462" t="s">
        <v>23639</v>
      </c>
      <c r="Y8462" s="17" t="s">
        <v>397</v>
      </c>
    </row>
    <row r="8463" ht="15" customHeight="1" spans="1:22" x14ac:dyDescent="0.25">
      <c r="A8463" s="17" t="s">
        <v>23640</v>
      </c>
      <c r="B8463" s="17" t="s">
        <v>70</v>
      </c>
      <c r="C8463" s="17" t="s">
        <v>71</v>
      </c>
      <c r="D8463" t="s">
        <v>23641</v>
      </c>
      <c r="F8463" t="s">
        <v>23642</v>
      </c>
      <c r="K8463" s="18">
        <f>628119870168</f>
        <v>628119870168</v>
      </c>
      <c r="N8463" s="17" t="s">
        <v>81</v>
      </c>
      <c r="V8463" s="18">
        <f>628119870168</f>
        <v>628119870168</v>
      </c>
    </row>
    <row r="8464" ht="15" customHeight="1" spans="1:22" x14ac:dyDescent="0.25">
      <c r="A8464" s="17" t="s">
        <v>23643</v>
      </c>
      <c r="B8464" s="17" t="s">
        <v>70</v>
      </c>
      <c r="C8464" s="17" t="s">
        <v>71</v>
      </c>
      <c r="D8464" t="s">
        <v>23644</v>
      </c>
      <c r="F8464" t="s">
        <v>509</v>
      </c>
      <c r="K8464" s="18">
        <f>628111094481</f>
        <v>628111094481</v>
      </c>
      <c r="N8464" s="17" t="s">
        <v>77</v>
      </c>
      <c r="V8464" s="18">
        <f>628111094481</f>
        <v>628111094481</v>
      </c>
    </row>
    <row r="8465" ht="15" customHeight="1" spans="1:28" x14ac:dyDescent="0.25">
      <c r="A8465" s="17" t="s">
        <v>23645</v>
      </c>
      <c r="B8465" s="17" t="s">
        <v>70</v>
      </c>
      <c r="C8465" s="17" t="s">
        <v>71</v>
      </c>
      <c r="D8465" t="s">
        <v>23644</v>
      </c>
      <c r="F8465" t="s">
        <v>509</v>
      </c>
      <c r="J8465" t="s">
        <v>115</v>
      </c>
      <c r="K8465" s="18" t="s">
        <v>23646</v>
      </c>
      <c r="N8465" s="17" t="s">
        <v>77</v>
      </c>
      <c r="O8465" t="s">
        <v>117</v>
      </c>
      <c r="U8465" s="17"/>
      <c r="V8465" s="18" t="s">
        <v>23646</v>
      </c>
      <c r="W8465" t="s">
        <v>23647</v>
      </c>
      <c r="Y8465" t="s">
        <v>190</v>
      </c>
      <c r="AA8465" t="s">
        <v>118</v>
      </c>
      <c r="AB8465" t="s">
        <v>119</v>
      </c>
    </row>
    <row r="8466" ht="15" customHeight="1" spans="1:22" x14ac:dyDescent="0.25">
      <c r="A8466" s="17" t="s">
        <v>23648</v>
      </c>
      <c r="B8466" s="17" t="s">
        <v>70</v>
      </c>
      <c r="C8466" s="17" t="s">
        <v>71</v>
      </c>
      <c r="D8466" t="s">
        <v>23649</v>
      </c>
      <c r="F8466" t="s">
        <v>23650</v>
      </c>
      <c r="K8466" s="18">
        <f>628999985332</f>
        <v>628999985332</v>
      </c>
      <c r="N8466" s="17" t="s">
        <v>81</v>
      </c>
      <c r="V8466" s="18">
        <f>628999985332</f>
        <v>628999985332</v>
      </c>
    </row>
    <row r="8467" ht="15" customHeight="1" spans="1:28" x14ac:dyDescent="0.25">
      <c r="A8467" s="17" t="s">
        <v>23651</v>
      </c>
      <c r="B8467" s="17" t="s">
        <v>70</v>
      </c>
      <c r="C8467" s="17" t="s">
        <v>71</v>
      </c>
      <c r="D8467" t="s">
        <v>23649</v>
      </c>
      <c r="F8467" t="s">
        <v>3678</v>
      </c>
      <c r="J8467" t="s">
        <v>115</v>
      </c>
      <c r="K8467" s="18" t="s">
        <v>23652</v>
      </c>
      <c r="N8467" s="17" t="s">
        <v>77</v>
      </c>
      <c r="O8467" t="s">
        <v>199</v>
      </c>
      <c r="U8467" s="17"/>
      <c r="V8467" s="18" t="s">
        <v>23652</v>
      </c>
      <c r="W8467" t="s">
        <v>23653</v>
      </c>
      <c r="Y8467" t="s">
        <v>190</v>
      </c>
      <c r="AA8467" t="s">
        <v>118</v>
      </c>
      <c r="AB8467" t="s">
        <v>119</v>
      </c>
    </row>
    <row r="8468" ht="15" customHeight="1" spans="1:28" x14ac:dyDescent="0.25">
      <c r="A8468" s="17" t="s">
        <v>23654</v>
      </c>
      <c r="B8468" s="17" t="s">
        <v>70</v>
      </c>
      <c r="C8468" s="17" t="s">
        <v>71</v>
      </c>
      <c r="D8468" t="s">
        <v>23655</v>
      </c>
      <c r="F8468" t="s">
        <v>23655</v>
      </c>
      <c r="J8468" t="s">
        <v>115</v>
      </c>
      <c r="K8468" s="18" t="s">
        <v>23656</v>
      </c>
      <c r="N8468" s="17" t="s">
        <v>81</v>
      </c>
      <c r="O8468" t="s">
        <v>117</v>
      </c>
      <c r="V8468" s="18" t="s">
        <v>23656</v>
      </c>
      <c r="Y8468" t="s">
        <v>190</v>
      </c>
      <c r="AA8468" t="s">
        <v>118</v>
      </c>
      <c r="AB8468" t="s">
        <v>119</v>
      </c>
    </row>
    <row r="8469" ht="15" customHeight="1" spans="1:22" x14ac:dyDescent="0.25">
      <c r="A8469" s="17" t="s">
        <v>23657</v>
      </c>
      <c r="B8469" s="17" t="s">
        <v>70</v>
      </c>
      <c r="C8469" s="17" t="s">
        <v>71</v>
      </c>
      <c r="D8469" t="s">
        <v>23655</v>
      </c>
      <c r="F8469" t="s">
        <v>4416</v>
      </c>
      <c r="K8469" s="18">
        <f>628121222333</f>
        <v>628121222333</v>
      </c>
      <c r="N8469" s="17" t="s">
        <v>77</v>
      </c>
      <c r="V8469" s="18">
        <f>628121222333</f>
        <v>628121222333</v>
      </c>
    </row>
    <row r="8470" ht="15" customHeight="1" spans="1:28" x14ac:dyDescent="0.25">
      <c r="A8470" s="17" t="s">
        <v>23658</v>
      </c>
      <c r="B8470" s="17" t="s">
        <v>70</v>
      </c>
      <c r="C8470" s="17" t="s">
        <v>71</v>
      </c>
      <c r="D8470" t="s">
        <v>19775</v>
      </c>
      <c r="F8470" t="s">
        <v>2159</v>
      </c>
      <c r="J8470" s="17" t="s">
        <v>23659</v>
      </c>
      <c r="K8470" s="18" t="s">
        <v>23660</v>
      </c>
      <c r="N8470" s="17" t="s">
        <v>81</v>
      </c>
      <c r="O8470" t="s">
        <v>117</v>
      </c>
      <c r="V8470" s="18" t="s">
        <v>23660</v>
      </c>
      <c r="Y8470" t="s">
        <v>90</v>
      </c>
      <c r="AA8470" t="s">
        <v>118</v>
      </c>
      <c r="AB8470" t="s">
        <v>119</v>
      </c>
    </row>
    <row r="8471" ht="15" customHeight="1" spans="1:28" x14ac:dyDescent="0.25">
      <c r="A8471" s="17" t="s">
        <v>23661</v>
      </c>
      <c r="B8471" s="17" t="s">
        <v>70</v>
      </c>
      <c r="C8471" s="17" t="s">
        <v>71</v>
      </c>
      <c r="D8471" t="s">
        <v>23662</v>
      </c>
      <c r="F8471" t="s">
        <v>15898</v>
      </c>
      <c r="J8471" t="s">
        <v>115</v>
      </c>
      <c r="K8471" s="18" t="s">
        <v>23663</v>
      </c>
      <c r="N8471" s="17" t="s">
        <v>81</v>
      </c>
      <c r="O8471" t="s">
        <v>117</v>
      </c>
      <c r="V8471" s="18" t="s">
        <v>23663</v>
      </c>
      <c r="Y8471" t="s">
        <v>90</v>
      </c>
      <c r="AA8471" t="s">
        <v>118</v>
      </c>
      <c r="AB8471" t="s">
        <v>119</v>
      </c>
    </row>
    <row r="8472" ht="15" customHeight="1" spans="1:23" x14ac:dyDescent="0.25">
      <c r="A8472" s="17" t="s">
        <v>23664</v>
      </c>
      <c r="B8472" s="17" t="s">
        <v>70</v>
      </c>
      <c r="C8472" s="17" t="s">
        <v>71</v>
      </c>
      <c r="D8472" t="s">
        <v>23655</v>
      </c>
      <c r="F8472" t="s">
        <v>23665</v>
      </c>
      <c r="K8472" s="18">
        <f>6287840704448</f>
        <v>6287840704448</v>
      </c>
      <c r="N8472" s="17" t="s">
        <v>77</v>
      </c>
      <c r="U8472" s="17"/>
      <c r="V8472" s="18">
        <f>6287840704448</f>
        <v>6287840704448</v>
      </c>
      <c r="W8472" t="s">
        <v>23666</v>
      </c>
    </row>
    <row r="8473" ht="15" customHeight="1" spans="1:23" x14ac:dyDescent="0.25">
      <c r="A8473" s="17" t="s">
        <v>23667</v>
      </c>
      <c r="B8473" s="17" t="s">
        <v>70</v>
      </c>
      <c r="C8473" s="17" t="s">
        <v>71</v>
      </c>
      <c r="D8473" t="s">
        <v>23655</v>
      </c>
      <c r="F8473" t="s">
        <v>23668</v>
      </c>
      <c r="K8473" s="18">
        <f>6282267897878</f>
        <v>6282267897878</v>
      </c>
      <c r="N8473" s="17" t="s">
        <v>74</v>
      </c>
      <c r="U8473" s="17"/>
      <c r="V8473" s="18">
        <f>6282267897878</f>
        <v>6282267897878</v>
      </c>
      <c r="W8473" t="s">
        <v>23669</v>
      </c>
    </row>
    <row r="8474" ht="15" customHeight="1" spans="1:22" x14ac:dyDescent="0.25">
      <c r="A8474" s="17" t="s">
        <v>23670</v>
      </c>
      <c r="B8474" s="17" t="s">
        <v>70</v>
      </c>
      <c r="C8474" s="17" t="s">
        <v>71</v>
      </c>
      <c r="D8474" t="s">
        <v>23655</v>
      </c>
      <c r="F8474" t="s">
        <v>5736</v>
      </c>
      <c r="K8474" s="18">
        <f>6281236196999</f>
        <v>6281236196999</v>
      </c>
      <c r="N8474" s="17" t="s">
        <v>77</v>
      </c>
      <c r="V8474" s="18">
        <f>6281236196999</f>
        <v>6281236196999</v>
      </c>
    </row>
    <row r="8475" ht="15" customHeight="1" spans="1:28" x14ac:dyDescent="0.25">
      <c r="A8475" s="17" t="s">
        <v>23671</v>
      </c>
      <c r="B8475" s="17" t="s">
        <v>70</v>
      </c>
      <c r="C8475" s="17" t="s">
        <v>71</v>
      </c>
      <c r="D8475" t="s">
        <v>23655</v>
      </c>
      <c r="F8475" t="s">
        <v>23672</v>
      </c>
      <c r="J8475" t="s">
        <v>115</v>
      </c>
      <c r="K8475" s="18" t="s">
        <v>23673</v>
      </c>
      <c r="N8475" s="17" t="s">
        <v>81</v>
      </c>
      <c r="O8475" t="s">
        <v>117</v>
      </c>
      <c r="U8475" s="17"/>
      <c r="V8475" s="18" t="s">
        <v>23673</v>
      </c>
      <c r="W8475" t="s">
        <v>23674</v>
      </c>
      <c r="Y8475" s="17" t="s">
        <v>190</v>
      </c>
      <c r="AA8475" s="17" t="s">
        <v>118</v>
      </c>
      <c r="AB8475" t="s">
        <v>119</v>
      </c>
    </row>
    <row r="8476" ht="15" customHeight="1" spans="1:23" x14ac:dyDescent="0.25">
      <c r="A8476" s="17" t="s">
        <v>23675</v>
      </c>
      <c r="B8476" s="17" t="s">
        <v>70</v>
      </c>
      <c r="C8476" s="17" t="s">
        <v>71</v>
      </c>
      <c r="D8476" t="s">
        <v>23655</v>
      </c>
      <c r="F8476" t="s">
        <v>153</v>
      </c>
      <c r="J8476" s="17" t="s">
        <v>23676</v>
      </c>
      <c r="K8476" s="18">
        <f>628115820888</f>
        <v>628115820888</v>
      </c>
      <c r="N8476" s="17" t="s">
        <v>77</v>
      </c>
      <c r="U8476" s="17"/>
      <c r="V8476" s="18">
        <f>628115820888</f>
        <v>628115820888</v>
      </c>
      <c r="W8476" t="s">
        <v>23677</v>
      </c>
    </row>
    <row r="8477" ht="15" customHeight="1" spans="1:22" x14ac:dyDescent="0.25">
      <c r="A8477" s="17" t="s">
        <v>23678</v>
      </c>
      <c r="B8477" s="17" t="s">
        <v>70</v>
      </c>
      <c r="C8477" s="17" t="s">
        <v>71</v>
      </c>
      <c r="D8477" t="s">
        <v>23655</v>
      </c>
      <c r="F8477" t="s">
        <v>153</v>
      </c>
      <c r="K8477" s="18">
        <f>6287880366338</f>
        <v>6287880366338</v>
      </c>
      <c r="N8477" s="17" t="s">
        <v>77</v>
      </c>
      <c r="V8477" s="18">
        <f>6287880366338</f>
        <v>6287880366338</v>
      </c>
    </row>
    <row r="8478" ht="15" customHeight="1" spans="1:28" x14ac:dyDescent="0.25">
      <c r="A8478" s="17" t="s">
        <v>23679</v>
      </c>
      <c r="B8478" s="17" t="s">
        <v>70</v>
      </c>
      <c r="C8478" s="17" t="s">
        <v>71</v>
      </c>
      <c r="D8478" t="s">
        <v>23655</v>
      </c>
      <c r="F8478" t="s">
        <v>23680</v>
      </c>
      <c r="J8478" s="17" t="s">
        <v>23681</v>
      </c>
      <c r="K8478" s="18" t="s">
        <v>23682</v>
      </c>
      <c r="N8478" s="17" t="s">
        <v>77</v>
      </c>
      <c r="O8478" t="s">
        <v>199</v>
      </c>
      <c r="V8478" s="18" t="s">
        <v>23682</v>
      </c>
      <c r="Y8478" t="s">
        <v>190</v>
      </c>
      <c r="AA8478" t="s">
        <v>118</v>
      </c>
      <c r="AB8478" t="s">
        <v>119</v>
      </c>
    </row>
    <row r="8479" ht="15" customHeight="1" spans="1:28" x14ac:dyDescent="0.25">
      <c r="A8479" s="17" t="s">
        <v>23683</v>
      </c>
      <c r="B8479" s="17" t="s">
        <v>70</v>
      </c>
      <c r="C8479" s="17" t="s">
        <v>71</v>
      </c>
      <c r="D8479" t="s">
        <v>23655</v>
      </c>
      <c r="F8479" t="s">
        <v>23684</v>
      </c>
      <c r="J8479" t="s">
        <v>115</v>
      </c>
      <c r="K8479" s="18" t="s">
        <v>23685</v>
      </c>
      <c r="N8479" s="17" t="s">
        <v>77</v>
      </c>
      <c r="O8479" t="s">
        <v>145</v>
      </c>
      <c r="U8479" s="17"/>
      <c r="V8479" s="18" t="s">
        <v>23685</v>
      </c>
      <c r="W8479" t="s">
        <v>23686</v>
      </c>
      <c r="Y8479" s="17" t="s">
        <v>90</v>
      </c>
      <c r="AA8479" s="17" t="s">
        <v>118</v>
      </c>
      <c r="AB8479" t="s">
        <v>119</v>
      </c>
    </row>
    <row r="8480" ht="15" customHeight="1" spans="1:25" x14ac:dyDescent="0.25">
      <c r="A8480" s="17" t="s">
        <v>23687</v>
      </c>
      <c r="B8480" s="17" t="s">
        <v>70</v>
      </c>
      <c r="C8480" s="17" t="s">
        <v>71</v>
      </c>
      <c r="D8480" t="s">
        <v>23688</v>
      </c>
      <c r="F8480" t="s">
        <v>16735</v>
      </c>
      <c r="K8480" s="18">
        <f>6287812088889</f>
        <v>6287812088889</v>
      </c>
      <c r="N8480" s="17" t="s">
        <v>81</v>
      </c>
      <c r="U8480" s="17"/>
      <c r="V8480" s="18">
        <f>6287812088889</f>
        <v>6287812088889</v>
      </c>
      <c r="W8480" t="s">
        <v>23689</v>
      </c>
      <c r="Y8480" s="17" t="s">
        <v>90</v>
      </c>
    </row>
    <row r="8481" ht="15" customHeight="1" spans="1:28" x14ac:dyDescent="0.25">
      <c r="A8481" s="17" t="s">
        <v>23690</v>
      </c>
      <c r="B8481" s="17" t="s">
        <v>70</v>
      </c>
      <c r="C8481" s="17" t="s">
        <v>71</v>
      </c>
      <c r="D8481" t="s">
        <v>23691</v>
      </c>
      <c r="F8481" t="s">
        <v>23692</v>
      </c>
      <c r="J8481" t="s">
        <v>115</v>
      </c>
      <c r="K8481" s="18" t="s">
        <v>23693</v>
      </c>
      <c r="N8481" s="17" t="s">
        <v>77</v>
      </c>
      <c r="O8481" t="s">
        <v>117</v>
      </c>
      <c r="U8481" s="17"/>
      <c r="V8481" s="18" t="s">
        <v>23693</v>
      </c>
      <c r="W8481" t="s">
        <v>23694</v>
      </c>
      <c r="Y8481" s="17" t="s">
        <v>190</v>
      </c>
      <c r="AA8481" t="s">
        <v>118</v>
      </c>
      <c r="AB8481" t="s">
        <v>119</v>
      </c>
    </row>
    <row r="8482" ht="15" customHeight="1" spans="1:22" x14ac:dyDescent="0.25">
      <c r="A8482" s="17" t="s">
        <v>23695</v>
      </c>
      <c r="B8482" s="17" t="s">
        <v>70</v>
      </c>
      <c r="C8482" s="17" t="s">
        <v>71</v>
      </c>
      <c r="D8482" t="s">
        <v>23691</v>
      </c>
      <c r="F8482" t="s">
        <v>23696</v>
      </c>
      <c r="K8482" s="18">
        <f>62818199922</f>
        <v>62818199922</v>
      </c>
      <c r="N8482" s="17" t="s">
        <v>74</v>
      </c>
      <c r="V8482" s="18">
        <f>62818199922</f>
        <v>62818199922</v>
      </c>
    </row>
    <row r="8483" ht="15" customHeight="1" spans="1:23" x14ac:dyDescent="0.25">
      <c r="A8483" s="17" t="s">
        <v>23697</v>
      </c>
      <c r="B8483" s="17" t="s">
        <v>70</v>
      </c>
      <c r="C8483" s="17" t="s">
        <v>71</v>
      </c>
      <c r="D8483" t="s">
        <v>23691</v>
      </c>
      <c r="F8483" t="s">
        <v>618</v>
      </c>
      <c r="K8483" s="18">
        <f>62811197255</f>
        <v>62811197255</v>
      </c>
      <c r="N8483" s="17" t="s">
        <v>81</v>
      </c>
      <c r="U8483" s="17"/>
      <c r="V8483" s="18">
        <f>62811197255</f>
        <v>62811197255</v>
      </c>
      <c r="W8483" t="s">
        <v>23698</v>
      </c>
    </row>
    <row r="8484" ht="15" customHeight="1" spans="1:23" x14ac:dyDescent="0.25">
      <c r="A8484" s="17" t="s">
        <v>23699</v>
      </c>
      <c r="B8484" s="17" t="s">
        <v>70</v>
      </c>
      <c r="C8484" s="17" t="s">
        <v>71</v>
      </c>
      <c r="D8484" t="s">
        <v>23691</v>
      </c>
      <c r="F8484" t="s">
        <v>15348</v>
      </c>
      <c r="K8484" s="18">
        <f>62816800086</f>
        <v>62816800086</v>
      </c>
      <c r="N8484" s="17" t="s">
        <v>77</v>
      </c>
      <c r="U8484" s="17"/>
      <c r="V8484" s="18">
        <f>62816800086</f>
        <v>62816800086</v>
      </c>
      <c r="W8484" t="s">
        <v>23700</v>
      </c>
    </row>
    <row r="8485" ht="15" customHeight="1" spans="1:22" x14ac:dyDescent="0.25">
      <c r="A8485" s="17" t="s">
        <v>23701</v>
      </c>
      <c r="B8485" s="17" t="s">
        <v>70</v>
      </c>
      <c r="C8485" s="17" t="s">
        <v>71</v>
      </c>
      <c r="D8485" t="s">
        <v>23691</v>
      </c>
      <c r="F8485" t="s">
        <v>330</v>
      </c>
      <c r="K8485" s="18">
        <f>62811980518</f>
        <v>62811980518</v>
      </c>
      <c r="N8485" s="17" t="s">
        <v>74</v>
      </c>
      <c r="V8485" s="18">
        <f>62811980518</f>
        <v>62811980518</v>
      </c>
    </row>
    <row r="8486" ht="15" customHeight="1" spans="1:23" x14ac:dyDescent="0.25">
      <c r="A8486" s="17" t="s">
        <v>23702</v>
      </c>
      <c r="B8486" s="17" t="s">
        <v>70</v>
      </c>
      <c r="C8486" s="17" t="s">
        <v>71</v>
      </c>
      <c r="D8486" t="s">
        <v>6872</v>
      </c>
      <c r="F8486" t="s">
        <v>6872</v>
      </c>
      <c r="K8486" s="18">
        <f>62817116219</f>
        <v>62817116219</v>
      </c>
      <c r="N8486" s="17" t="s">
        <v>81</v>
      </c>
      <c r="U8486" s="17"/>
      <c r="V8486" s="18">
        <f>62817116219</f>
        <v>62817116219</v>
      </c>
      <c r="W8486" t="s">
        <v>23703</v>
      </c>
    </row>
    <row r="8487" ht="15" customHeight="1" spans="1:28" x14ac:dyDescent="0.25">
      <c r="A8487" s="17" t="s">
        <v>23704</v>
      </c>
      <c r="B8487" s="17" t="s">
        <v>70</v>
      </c>
      <c r="C8487" s="17" t="s">
        <v>71</v>
      </c>
      <c r="D8487" t="s">
        <v>6872</v>
      </c>
      <c r="F8487" t="s">
        <v>1230</v>
      </c>
      <c r="J8487" s="17" t="s">
        <v>23705</v>
      </c>
      <c r="K8487" s="18" t="s">
        <v>23706</v>
      </c>
      <c r="N8487" s="17" t="s">
        <v>81</v>
      </c>
      <c r="O8487" t="s">
        <v>145</v>
      </c>
      <c r="U8487" s="17"/>
      <c r="V8487" s="18" t="s">
        <v>23706</v>
      </c>
      <c r="W8487" t="s">
        <v>23707</v>
      </c>
      <c r="Y8487" t="s">
        <v>217</v>
      </c>
      <c r="AA8487" s="17" t="s">
        <v>218</v>
      </c>
      <c r="AB8487" t="s">
        <v>119</v>
      </c>
    </row>
    <row r="8488" ht="15" customHeight="1" spans="1:22" x14ac:dyDescent="0.25">
      <c r="A8488" s="17" t="s">
        <v>23708</v>
      </c>
      <c r="B8488" s="17" t="s">
        <v>70</v>
      </c>
      <c r="C8488" s="17" t="s">
        <v>71</v>
      </c>
      <c r="D8488" t="s">
        <v>6872</v>
      </c>
      <c r="F8488" t="s">
        <v>23709</v>
      </c>
      <c r="K8488" s="18">
        <f>62816716262</f>
        <v>62816716262</v>
      </c>
      <c r="N8488" s="17" t="s">
        <v>81</v>
      </c>
      <c r="V8488" s="18">
        <f>62816716262</f>
        <v>62816716262</v>
      </c>
    </row>
    <row r="8489" ht="15" customHeight="1" spans="1:28" x14ac:dyDescent="0.25">
      <c r="A8489" s="17" t="s">
        <v>23710</v>
      </c>
      <c r="B8489" s="17" t="s">
        <v>70</v>
      </c>
      <c r="C8489" s="17" t="s">
        <v>71</v>
      </c>
      <c r="D8489" t="s">
        <v>6872</v>
      </c>
      <c r="F8489" t="s">
        <v>167</v>
      </c>
      <c r="J8489" t="s">
        <v>115</v>
      </c>
      <c r="K8489" s="18" t="s">
        <v>23711</v>
      </c>
      <c r="N8489" s="17" t="s">
        <v>77</v>
      </c>
      <c r="O8489" t="s">
        <v>145</v>
      </c>
      <c r="V8489" s="18" t="s">
        <v>23711</v>
      </c>
      <c r="Y8489" t="s">
        <v>115</v>
      </c>
      <c r="AA8489" t="s">
        <v>115</v>
      </c>
      <c r="AB8489" t="s">
        <v>119</v>
      </c>
    </row>
    <row r="8490" ht="15" customHeight="1" spans="1:23" x14ac:dyDescent="0.25">
      <c r="A8490" s="17" t="s">
        <v>23712</v>
      </c>
      <c r="B8490" s="17" t="s">
        <v>70</v>
      </c>
      <c r="C8490" s="17" t="s">
        <v>71</v>
      </c>
      <c r="D8490" t="s">
        <v>6872</v>
      </c>
      <c r="F8490" t="s">
        <v>3661</v>
      </c>
      <c r="K8490" s="18">
        <f>6281311217913</f>
        <v>6281311217913</v>
      </c>
      <c r="N8490" s="17" t="s">
        <v>81</v>
      </c>
      <c r="U8490" s="17"/>
      <c r="V8490" s="18">
        <f>6281311217913</f>
        <v>6281311217913</v>
      </c>
      <c r="W8490" t="s">
        <v>23713</v>
      </c>
    </row>
    <row r="8491" ht="15" customHeight="1" spans="1:22" x14ac:dyDescent="0.25">
      <c r="A8491" s="17" t="s">
        <v>23714</v>
      </c>
      <c r="B8491" s="17" t="s">
        <v>70</v>
      </c>
      <c r="C8491" s="17" t="s">
        <v>71</v>
      </c>
      <c r="D8491" t="s">
        <v>6872</v>
      </c>
      <c r="F8491" t="s">
        <v>5545</v>
      </c>
      <c r="K8491" s="18">
        <f>62811841788</f>
        <v>62811841788</v>
      </c>
      <c r="N8491" s="17" t="s">
        <v>74</v>
      </c>
      <c r="V8491" s="18">
        <f>62811841788</f>
        <v>62811841788</v>
      </c>
    </row>
    <row r="8492" ht="15" customHeight="1" spans="1:22" x14ac:dyDescent="0.25">
      <c r="A8492" s="17" t="s">
        <v>23715</v>
      </c>
      <c r="B8492" s="17" t="s">
        <v>70</v>
      </c>
      <c r="C8492" s="17" t="s">
        <v>71</v>
      </c>
      <c r="D8492" t="s">
        <v>23716</v>
      </c>
      <c r="F8492" t="s">
        <v>23716</v>
      </c>
      <c r="J8492" s="17" t="s">
        <v>23717</v>
      </c>
      <c r="K8492" s="18">
        <v>18868318311</v>
      </c>
      <c r="N8492" s="17" t="s">
        <v>77</v>
      </c>
      <c r="V8492" s="18">
        <v>18868318311</v>
      </c>
    </row>
    <row r="8493" ht="15" customHeight="1" spans="1:22" x14ac:dyDescent="0.25">
      <c r="A8493" s="17" t="s">
        <v>23718</v>
      </c>
      <c r="B8493" s="17" t="s">
        <v>70</v>
      </c>
      <c r="C8493" s="17" t="s">
        <v>71</v>
      </c>
      <c r="D8493" t="s">
        <v>23719</v>
      </c>
      <c r="F8493" t="s">
        <v>4458</v>
      </c>
      <c r="K8493" s="18">
        <f>62816715745</f>
        <v>62816715745</v>
      </c>
      <c r="N8493" s="17" t="s">
        <v>81</v>
      </c>
      <c r="V8493" s="18">
        <f>62816715745</f>
        <v>62816715745</v>
      </c>
    </row>
    <row r="8494" ht="15" customHeight="1" spans="1:22" x14ac:dyDescent="0.25">
      <c r="A8494" s="17" t="s">
        <v>23720</v>
      </c>
      <c r="B8494" s="17" t="s">
        <v>70</v>
      </c>
      <c r="C8494" s="17" t="s">
        <v>71</v>
      </c>
      <c r="D8494" t="s">
        <v>23721</v>
      </c>
      <c r="F8494" t="s">
        <v>23721</v>
      </c>
      <c r="K8494" s="18">
        <f>6281294393055</f>
        <v>6281294393055</v>
      </c>
      <c r="N8494" s="17" t="s">
        <v>77</v>
      </c>
      <c r="V8494" s="18">
        <f>6281294393055</f>
        <v>6281294393055</v>
      </c>
    </row>
    <row r="8495" ht="15" customHeight="1" spans="1:22" x14ac:dyDescent="0.25">
      <c r="A8495" s="17" t="s">
        <v>23722</v>
      </c>
      <c r="B8495" s="17" t="s">
        <v>70</v>
      </c>
      <c r="C8495" s="17" t="s">
        <v>71</v>
      </c>
      <c r="D8495" t="s">
        <v>23721</v>
      </c>
      <c r="F8495" t="s">
        <v>11388</v>
      </c>
      <c r="K8495" s="18">
        <f>628111681686</f>
        <v>628111681686</v>
      </c>
      <c r="N8495" s="17" t="s">
        <v>81</v>
      </c>
      <c r="V8495" s="18">
        <f>628111681686</f>
        <v>628111681686</v>
      </c>
    </row>
    <row r="8496" ht="15" customHeight="1" spans="1:22" x14ac:dyDescent="0.25">
      <c r="A8496" s="17" t="s">
        <v>23723</v>
      </c>
      <c r="B8496" s="17" t="s">
        <v>70</v>
      </c>
      <c r="C8496" s="17" t="s">
        <v>71</v>
      </c>
      <c r="D8496" t="s">
        <v>23724</v>
      </c>
      <c r="F8496" t="s">
        <v>23725</v>
      </c>
      <c r="K8496" s="18">
        <f>628121007165</f>
        <v>628121007165</v>
      </c>
      <c r="N8496" s="17" t="s">
        <v>77</v>
      </c>
      <c r="V8496" s="18">
        <f>628121007165</f>
        <v>628121007165</v>
      </c>
    </row>
    <row r="8497" ht="15" customHeight="1" spans="1:27" x14ac:dyDescent="0.25">
      <c r="A8497" s="17" t="s">
        <v>23726</v>
      </c>
      <c r="B8497" s="17" t="s">
        <v>70</v>
      </c>
      <c r="C8497" s="17" t="s">
        <v>71</v>
      </c>
      <c r="D8497" t="s">
        <v>23727</v>
      </c>
      <c r="F8497" t="s">
        <v>23728</v>
      </c>
      <c r="K8497" s="18">
        <f>6281310956789</f>
        <v>6281310956789</v>
      </c>
      <c r="N8497" s="17" t="s">
        <v>77</v>
      </c>
      <c r="U8497" s="17"/>
      <c r="V8497" s="18">
        <f>6281310956789</f>
        <v>6281310956789</v>
      </c>
      <c r="W8497" t="s">
        <v>23729</v>
      </c>
      <c r="Y8497" s="17" t="s">
        <v>626</v>
      </c>
      <c r="AA8497" s="17" t="s">
        <v>23730</v>
      </c>
    </row>
    <row r="8498" ht="15" customHeight="1" spans="1:23" x14ac:dyDescent="0.25">
      <c r="A8498" s="17" t="s">
        <v>23731</v>
      </c>
      <c r="B8498" s="17" t="s">
        <v>70</v>
      </c>
      <c r="C8498" s="17" t="s">
        <v>71</v>
      </c>
      <c r="D8498" t="s">
        <v>1694</v>
      </c>
      <c r="F8498" t="s">
        <v>2730</v>
      </c>
      <c r="K8498" s="18">
        <f>6281357570888</f>
        <v>6281357570888</v>
      </c>
      <c r="N8498" s="17" t="s">
        <v>77</v>
      </c>
      <c r="U8498" s="17"/>
      <c r="V8498" s="18">
        <f>6281357570888</f>
        <v>6281357570888</v>
      </c>
      <c r="W8498" t="s">
        <v>23732</v>
      </c>
    </row>
    <row r="8499" ht="15" customHeight="1" spans="1:22" x14ac:dyDescent="0.25">
      <c r="A8499" s="17" t="s">
        <v>23733</v>
      </c>
      <c r="B8499" s="17" t="s">
        <v>70</v>
      </c>
      <c r="C8499" s="17" t="s">
        <v>71</v>
      </c>
      <c r="D8499" t="s">
        <v>1694</v>
      </c>
      <c r="F8499" t="s">
        <v>23734</v>
      </c>
      <c r="J8499" s="17" t="s">
        <v>23735</v>
      </c>
      <c r="K8499" s="18">
        <f>62818817773</f>
        <v>62818817773</v>
      </c>
      <c r="N8499" s="17" t="s">
        <v>77</v>
      </c>
      <c r="V8499" s="18">
        <f>62818817773</f>
        <v>62818817773</v>
      </c>
    </row>
    <row r="8500" ht="15" customHeight="1" spans="1:27" x14ac:dyDescent="0.25">
      <c r="A8500" s="17" t="s">
        <v>23736</v>
      </c>
      <c r="B8500" s="17" t="s">
        <v>70</v>
      </c>
      <c r="C8500" s="17" t="s">
        <v>71</v>
      </c>
      <c r="D8500" t="s">
        <v>23737</v>
      </c>
      <c r="F8500" t="s">
        <v>3190</v>
      </c>
      <c r="J8500" s="17" t="s">
        <v>23738</v>
      </c>
      <c r="K8500" s="18">
        <f>62818129494</f>
        <v>62818129494</v>
      </c>
      <c r="N8500" s="17" t="s">
        <v>81</v>
      </c>
      <c r="V8500" s="18">
        <f>62818129494</f>
        <v>62818129494</v>
      </c>
      <c r="AA8500" s="17">
        <v>11470</v>
      </c>
    </row>
    <row r="8501" ht="15" customHeight="1" spans="1:22" x14ac:dyDescent="0.25">
      <c r="A8501" s="17" t="s">
        <v>23739</v>
      </c>
      <c r="B8501" s="17" t="s">
        <v>70</v>
      </c>
      <c r="C8501" s="17" t="s">
        <v>71</v>
      </c>
      <c r="D8501" t="s">
        <v>23737</v>
      </c>
      <c r="F8501" t="s">
        <v>23740</v>
      </c>
      <c r="K8501" s="18">
        <f>628129089807</f>
        <v>628129089807</v>
      </c>
      <c r="N8501" s="17" t="s">
        <v>77</v>
      </c>
      <c r="V8501" s="18">
        <f>628129089807</f>
        <v>628129089807</v>
      </c>
    </row>
    <row r="8502" ht="15" customHeight="1" spans="1:22" x14ac:dyDescent="0.25">
      <c r="A8502" s="17" t="s">
        <v>23741</v>
      </c>
      <c r="B8502" s="17" t="s">
        <v>70</v>
      </c>
      <c r="C8502" s="17" t="s">
        <v>71</v>
      </c>
      <c r="D8502" t="s">
        <v>23742</v>
      </c>
      <c r="F8502" t="s">
        <v>23743</v>
      </c>
      <c r="K8502" s="18">
        <f>62816908600</f>
        <v>62816908600</v>
      </c>
      <c r="N8502" s="17" t="s">
        <v>77</v>
      </c>
      <c r="V8502" s="18">
        <f>62816908600</f>
        <v>62816908600</v>
      </c>
    </row>
    <row r="8503" ht="15" customHeight="1" spans="1:27" x14ac:dyDescent="0.25">
      <c r="A8503" s="17" t="s">
        <v>23744</v>
      </c>
      <c r="B8503" s="17" t="s">
        <v>70</v>
      </c>
      <c r="C8503" s="17" t="s">
        <v>71</v>
      </c>
      <c r="D8503" t="s">
        <v>12971</v>
      </c>
      <c r="F8503" t="s">
        <v>23745</v>
      </c>
      <c r="K8503" s="18">
        <f>62811349943</f>
        <v>62811349943</v>
      </c>
      <c r="N8503" s="17" t="s">
        <v>74</v>
      </c>
      <c r="U8503" s="17"/>
      <c r="V8503" s="18">
        <f>62811349943</f>
        <v>62811349943</v>
      </c>
      <c r="W8503" t="s">
        <v>23746</v>
      </c>
      <c r="Y8503" s="17" t="s">
        <v>378</v>
      </c>
      <c r="AA8503" s="17">
        <v>12190</v>
      </c>
    </row>
    <row r="8504" ht="15" customHeight="1" spans="1:22" x14ac:dyDescent="0.25">
      <c r="A8504" s="17" t="s">
        <v>23747</v>
      </c>
      <c r="B8504" s="17" t="s">
        <v>70</v>
      </c>
      <c r="C8504" s="17" t="s">
        <v>71</v>
      </c>
      <c r="D8504" t="s">
        <v>12971</v>
      </c>
      <c r="F8504" t="s">
        <v>509</v>
      </c>
      <c r="K8504" s="18">
        <f>6282213399956</f>
        <v>6282213399956</v>
      </c>
      <c r="N8504" s="17" t="s">
        <v>81</v>
      </c>
      <c r="V8504" s="18">
        <f>6282213399956</f>
        <v>6282213399956</v>
      </c>
    </row>
    <row r="8505" ht="15" customHeight="1" spans="1:27" x14ac:dyDescent="0.25">
      <c r="A8505" s="17" t="s">
        <v>23748</v>
      </c>
      <c r="B8505" s="17" t="s">
        <v>70</v>
      </c>
      <c r="C8505" s="17" t="s">
        <v>71</v>
      </c>
      <c r="D8505" t="s">
        <v>23749</v>
      </c>
      <c r="F8505" t="s">
        <v>23749</v>
      </c>
      <c r="K8505" s="18">
        <f>6281932727855</f>
        <v>6281932727855</v>
      </c>
      <c r="N8505" s="17" t="s">
        <v>77</v>
      </c>
      <c r="U8505" s="17"/>
      <c r="V8505" s="18">
        <f>6281932727855</f>
        <v>6281932727855</v>
      </c>
      <c r="W8505" t="s">
        <v>23750</v>
      </c>
      <c r="Y8505" s="17" t="s">
        <v>2436</v>
      </c>
      <c r="AA8505" s="17" t="s">
        <v>23751</v>
      </c>
    </row>
    <row r="8506" ht="15" customHeight="1" spans="1:23" x14ac:dyDescent="0.25">
      <c r="A8506" s="17" t="s">
        <v>23752</v>
      </c>
      <c r="B8506" s="17" t="s">
        <v>70</v>
      </c>
      <c r="C8506" s="17" t="s">
        <v>71</v>
      </c>
      <c r="D8506" t="s">
        <v>23753</v>
      </c>
      <c r="F8506" t="s">
        <v>23753</v>
      </c>
      <c r="K8506" s="18">
        <f>7647000222</f>
        <v>7647000222</v>
      </c>
      <c r="N8506" s="17" t="s">
        <v>77</v>
      </c>
      <c r="U8506" s="17"/>
      <c r="V8506" s="18">
        <f>7647000222</f>
        <v>7647000222</v>
      </c>
      <c r="W8506" t="s">
        <v>1908</v>
      </c>
    </row>
    <row r="8507" ht="15" customHeight="1" spans="1:28" x14ac:dyDescent="0.25">
      <c r="A8507" s="17" t="s">
        <v>23754</v>
      </c>
      <c r="B8507" s="17" t="s">
        <v>70</v>
      </c>
      <c r="C8507" s="17" t="s">
        <v>71</v>
      </c>
      <c r="D8507" t="s">
        <v>864</v>
      </c>
      <c r="F8507" t="s">
        <v>23755</v>
      </c>
      <c r="J8507" s="17" t="s">
        <v>23756</v>
      </c>
      <c r="K8507" s="18" t="s">
        <v>23757</v>
      </c>
      <c r="N8507" s="17" t="s">
        <v>77</v>
      </c>
      <c r="O8507" t="s">
        <v>145</v>
      </c>
      <c r="U8507" s="17"/>
      <c r="V8507" s="18" t="s">
        <v>23757</v>
      </c>
      <c r="W8507" t="s">
        <v>3028</v>
      </c>
      <c r="Y8507" t="s">
        <v>16054</v>
      </c>
      <c r="AA8507" t="s">
        <v>115</v>
      </c>
      <c r="AB8507" t="s">
        <v>119</v>
      </c>
    </row>
    <row r="8508" ht="15" customHeight="1" spans="1:25" x14ac:dyDescent="0.25">
      <c r="A8508" s="17" t="s">
        <v>23758</v>
      </c>
      <c r="B8508" s="17" t="s">
        <v>70</v>
      </c>
      <c r="C8508" s="17" t="s">
        <v>71</v>
      </c>
      <c r="D8508" t="s">
        <v>864</v>
      </c>
      <c r="F8508" t="s">
        <v>17057</v>
      </c>
      <c r="K8508" s="18">
        <f>628164821854</f>
        <v>628164821854</v>
      </c>
      <c r="N8508" s="17" t="s">
        <v>77</v>
      </c>
      <c r="U8508" s="17"/>
      <c r="V8508" s="18">
        <f>628164821854</f>
        <v>628164821854</v>
      </c>
      <c r="W8508" t="s">
        <v>23759</v>
      </c>
      <c r="Y8508" s="17" t="s">
        <v>626</v>
      </c>
    </row>
    <row r="8509" ht="15" customHeight="1" spans="1:23" x14ac:dyDescent="0.25">
      <c r="A8509" s="17" t="s">
        <v>23760</v>
      </c>
      <c r="B8509" s="17" t="s">
        <v>70</v>
      </c>
      <c r="C8509" s="17" t="s">
        <v>71</v>
      </c>
      <c r="D8509" t="s">
        <v>23761</v>
      </c>
      <c r="F8509" t="s">
        <v>23762</v>
      </c>
      <c r="K8509" s="18">
        <f>62811632334</f>
        <v>62811632334</v>
      </c>
      <c r="N8509" s="17" t="s">
        <v>77</v>
      </c>
      <c r="U8509" s="17"/>
      <c r="V8509" s="18">
        <f>62811632334</f>
        <v>62811632334</v>
      </c>
      <c r="W8509" t="s">
        <v>23763</v>
      </c>
    </row>
    <row r="8510" ht="15" customHeight="1" spans="1:22" x14ac:dyDescent="0.25">
      <c r="A8510" s="17" t="s">
        <v>23764</v>
      </c>
      <c r="B8510" s="17" t="s">
        <v>70</v>
      </c>
      <c r="C8510" s="17" t="s">
        <v>71</v>
      </c>
      <c r="D8510" t="s">
        <v>23765</v>
      </c>
      <c r="F8510" t="s">
        <v>23765</v>
      </c>
      <c r="K8510" s="18">
        <f>628000000000</f>
        <v>628000000000</v>
      </c>
      <c r="N8510" s="17" t="s">
        <v>81</v>
      </c>
      <c r="V8510" s="18">
        <f>628000000000</f>
        <v>628000000000</v>
      </c>
    </row>
    <row r="8511" ht="15" customHeight="1" spans="1:22" x14ac:dyDescent="0.25">
      <c r="A8511" s="17" t="s">
        <v>23766</v>
      </c>
      <c r="B8511" s="17" t="s">
        <v>70</v>
      </c>
      <c r="C8511" s="17" t="s">
        <v>71</v>
      </c>
      <c r="D8511" t="s">
        <v>23765</v>
      </c>
      <c r="F8511" t="s">
        <v>15661</v>
      </c>
      <c r="K8511" s="18">
        <f>628119513111</f>
        <v>628119513111</v>
      </c>
      <c r="N8511" s="17" t="s">
        <v>77</v>
      </c>
      <c r="V8511" s="18">
        <f>628119513111</f>
        <v>628119513111</v>
      </c>
    </row>
    <row r="8512" ht="15" customHeight="1" spans="1:22" x14ac:dyDescent="0.25">
      <c r="A8512" s="17" t="s">
        <v>23767</v>
      </c>
      <c r="B8512" s="17" t="s">
        <v>70</v>
      </c>
      <c r="C8512" s="17" t="s">
        <v>71</v>
      </c>
      <c r="D8512" t="s">
        <v>23765</v>
      </c>
      <c r="F8512" t="s">
        <v>23768</v>
      </c>
      <c r="K8512" s="18">
        <f>6282293443863</f>
        <v>6282293443863</v>
      </c>
      <c r="N8512" s="17" t="s">
        <v>77</v>
      </c>
      <c r="V8512" s="18">
        <f>6282293443863</f>
        <v>6282293443863</v>
      </c>
    </row>
    <row r="8513" ht="15" customHeight="1" spans="1:28" x14ac:dyDescent="0.25">
      <c r="A8513" s="17" t="s">
        <v>23769</v>
      </c>
      <c r="B8513" s="17" t="s">
        <v>70</v>
      </c>
      <c r="C8513" s="17" t="s">
        <v>71</v>
      </c>
      <c r="D8513" t="s">
        <v>23770</v>
      </c>
      <c r="F8513" t="s">
        <v>23770</v>
      </c>
      <c r="J8513" t="s">
        <v>115</v>
      </c>
      <c r="K8513" s="18" t="s">
        <v>23771</v>
      </c>
      <c r="N8513" s="17" t="s">
        <v>77</v>
      </c>
      <c r="O8513" t="s">
        <v>117</v>
      </c>
      <c r="V8513" s="18" t="s">
        <v>23771</v>
      </c>
      <c r="Y8513" t="s">
        <v>90</v>
      </c>
      <c r="AA8513" t="s">
        <v>118</v>
      </c>
      <c r="AB8513" t="s">
        <v>119</v>
      </c>
    </row>
    <row r="8514" ht="15" customHeight="1" spans="1:23" x14ac:dyDescent="0.25">
      <c r="A8514" s="17" t="s">
        <v>23772</v>
      </c>
      <c r="B8514" s="17" t="s">
        <v>70</v>
      </c>
      <c r="C8514" s="17" t="s">
        <v>71</v>
      </c>
      <c r="D8514" t="s">
        <v>23773</v>
      </c>
      <c r="F8514" t="s">
        <v>23774</v>
      </c>
      <c r="J8514" s="17" t="s">
        <v>23775</v>
      </c>
      <c r="K8514" s="18">
        <f>6581126596</f>
        <v>6581126596</v>
      </c>
      <c r="N8514" s="17" t="s">
        <v>77</v>
      </c>
      <c r="U8514" s="17"/>
      <c r="V8514" s="18">
        <f>6581126596</f>
        <v>6581126596</v>
      </c>
      <c r="W8514" t="s">
        <v>2356</v>
      </c>
    </row>
    <row r="8515" ht="15" customHeight="1" spans="1:23" x14ac:dyDescent="0.25">
      <c r="A8515" s="17" t="s">
        <v>23776</v>
      </c>
      <c r="B8515" s="17" t="s">
        <v>70</v>
      </c>
      <c r="C8515" s="17" t="s">
        <v>71</v>
      </c>
      <c r="D8515" t="s">
        <v>23777</v>
      </c>
      <c r="F8515" t="s">
        <v>23778</v>
      </c>
      <c r="K8515" s="18">
        <f>971585915333</f>
        <v>971585915333</v>
      </c>
      <c r="N8515" s="17" t="s">
        <v>77</v>
      </c>
      <c r="U8515" s="17"/>
      <c r="V8515" s="18">
        <f>971585915333</f>
        <v>971585915333</v>
      </c>
      <c r="W8515" t="s">
        <v>1908</v>
      </c>
    </row>
    <row r="8516" ht="15" customHeight="1" spans="1:23" x14ac:dyDescent="0.25">
      <c r="A8516" s="17" t="s">
        <v>23779</v>
      </c>
      <c r="B8516" s="17" t="s">
        <v>70</v>
      </c>
      <c r="C8516" s="17" t="s">
        <v>71</v>
      </c>
      <c r="D8516" t="s">
        <v>23780</v>
      </c>
      <c r="F8516" t="s">
        <v>23781</v>
      </c>
      <c r="K8516" s="18">
        <f>628121099899</f>
        <v>628121099899</v>
      </c>
      <c r="N8516" s="17" t="s">
        <v>77</v>
      </c>
      <c r="U8516" s="17"/>
      <c r="V8516" s="18">
        <f>628121099899</f>
        <v>628121099899</v>
      </c>
      <c r="W8516" t="s">
        <v>23782</v>
      </c>
    </row>
    <row r="8517" ht="15" customHeight="1" spans="1:27" x14ac:dyDescent="0.25">
      <c r="A8517" s="17" t="s">
        <v>23783</v>
      </c>
      <c r="B8517" s="17" t="s">
        <v>70</v>
      </c>
      <c r="C8517" s="17" t="s">
        <v>71</v>
      </c>
      <c r="D8517" t="s">
        <v>23780</v>
      </c>
      <c r="F8517" t="s">
        <v>1064</v>
      </c>
      <c r="K8517" s="18">
        <f>6281280100000</f>
        <v>6281280100000</v>
      </c>
      <c r="N8517" s="17" t="s">
        <v>77</v>
      </c>
      <c r="U8517" s="17"/>
      <c r="V8517" s="18">
        <f>6281280100000</f>
        <v>6281280100000</v>
      </c>
      <c r="W8517" t="s">
        <v>23784</v>
      </c>
      <c r="Y8517" s="17" t="s">
        <v>410</v>
      </c>
      <c r="AA8517" s="17">
        <v>50274</v>
      </c>
    </row>
    <row r="8518" ht="15" customHeight="1" spans="1:22" x14ac:dyDescent="0.25">
      <c r="A8518" s="17" t="s">
        <v>23785</v>
      </c>
      <c r="B8518" s="17" t="s">
        <v>70</v>
      </c>
      <c r="C8518" s="17" t="s">
        <v>71</v>
      </c>
      <c r="D8518" t="s">
        <v>23780</v>
      </c>
      <c r="F8518" t="s">
        <v>23786</v>
      </c>
      <c r="K8518" s="18">
        <f>6287885855144</f>
        <v>6287885855144</v>
      </c>
      <c r="N8518" s="17" t="s">
        <v>77</v>
      </c>
      <c r="V8518" s="18">
        <f>6287885855144</f>
        <v>6287885855144</v>
      </c>
    </row>
    <row r="8519" ht="15" customHeight="1" spans="1:28" x14ac:dyDescent="0.25">
      <c r="A8519" s="17" t="s">
        <v>23787</v>
      </c>
      <c r="B8519" s="17" t="s">
        <v>70</v>
      </c>
      <c r="C8519" s="17" t="s">
        <v>71</v>
      </c>
      <c r="D8519" t="s">
        <v>23780</v>
      </c>
      <c r="F8519" t="s">
        <v>23788</v>
      </c>
      <c r="J8519" s="17" t="s">
        <v>23789</v>
      </c>
      <c r="K8519" s="18" t="s">
        <v>23790</v>
      </c>
      <c r="N8519" s="17" t="s">
        <v>77</v>
      </c>
      <c r="O8519" t="s">
        <v>199</v>
      </c>
      <c r="U8519" s="17"/>
      <c r="V8519" s="18" t="s">
        <v>23790</v>
      </c>
      <c r="W8519" t="s">
        <v>23791</v>
      </c>
      <c r="Y8519" t="s">
        <v>115</v>
      </c>
      <c r="AA8519" t="s">
        <v>115</v>
      </c>
      <c r="AB8519" t="s">
        <v>119</v>
      </c>
    </row>
    <row r="8520" ht="15" customHeight="1" spans="1:22" x14ac:dyDescent="0.25">
      <c r="A8520" s="17" t="s">
        <v>23792</v>
      </c>
      <c r="B8520" s="17" t="s">
        <v>70</v>
      </c>
      <c r="C8520" s="17" t="s">
        <v>71</v>
      </c>
      <c r="D8520" t="s">
        <v>23780</v>
      </c>
      <c r="F8520" t="s">
        <v>4259</v>
      </c>
      <c r="K8520" s="18">
        <f>628179920000</f>
        <v>628179920000</v>
      </c>
      <c r="N8520" s="17" t="s">
        <v>81</v>
      </c>
      <c r="V8520" s="18">
        <f>628179920000</f>
        <v>628179920000</v>
      </c>
    </row>
    <row r="8521" ht="15" customHeight="1" spans="1:23" x14ac:dyDescent="0.25">
      <c r="A8521" s="17" t="s">
        <v>23793</v>
      </c>
      <c r="B8521" s="17" t="s">
        <v>70</v>
      </c>
      <c r="C8521" s="17" t="s">
        <v>71</v>
      </c>
      <c r="D8521" t="s">
        <v>23794</v>
      </c>
      <c r="F8521" t="s">
        <v>23795</v>
      </c>
      <c r="K8521" s="18">
        <f>971585783690</f>
        <v>971585783690</v>
      </c>
      <c r="N8521" s="17" t="s">
        <v>77</v>
      </c>
      <c r="U8521" s="17"/>
      <c r="V8521" s="18">
        <f>971585783690</f>
        <v>971585783690</v>
      </c>
      <c r="W8521" t="s">
        <v>1908</v>
      </c>
    </row>
    <row r="8522" ht="15" customHeight="1" spans="1:22" x14ac:dyDescent="0.25">
      <c r="A8522" s="17" t="s">
        <v>23796</v>
      </c>
      <c r="B8522" s="17" t="s">
        <v>70</v>
      </c>
      <c r="C8522" s="17" t="s">
        <v>71</v>
      </c>
      <c r="D8522" t="s">
        <v>23797</v>
      </c>
      <c r="F8522" t="s">
        <v>23797</v>
      </c>
      <c r="K8522" s="18">
        <f>6281909999395</f>
        <v>6281909999395</v>
      </c>
      <c r="N8522" s="17" t="s">
        <v>81</v>
      </c>
      <c r="V8522" s="18">
        <f>6281909999395</f>
        <v>6281909999395</v>
      </c>
    </row>
    <row r="8523" ht="15" customHeight="1" spans="1:23" x14ac:dyDescent="0.25">
      <c r="A8523" s="17" t="s">
        <v>23798</v>
      </c>
      <c r="B8523" s="17" t="s">
        <v>70</v>
      </c>
      <c r="C8523" s="17" t="s">
        <v>71</v>
      </c>
      <c r="D8523" t="s">
        <v>23799</v>
      </c>
      <c r="F8523" t="s">
        <v>2258</v>
      </c>
      <c r="K8523" s="18">
        <f>628111080189</f>
        <v>628111080189</v>
      </c>
      <c r="N8523" s="17" t="s">
        <v>81</v>
      </c>
      <c r="U8523" s="17"/>
      <c r="V8523" s="18">
        <f>628111080189</f>
        <v>628111080189</v>
      </c>
      <c r="W8523" t="s">
        <v>23800</v>
      </c>
    </row>
    <row r="8524" ht="15" customHeight="1" spans="1:22" x14ac:dyDescent="0.25">
      <c r="A8524" s="17" t="s">
        <v>23801</v>
      </c>
      <c r="B8524" s="17" t="s">
        <v>70</v>
      </c>
      <c r="C8524" s="17" t="s">
        <v>71</v>
      </c>
      <c r="D8524" t="s">
        <v>23799</v>
      </c>
      <c r="F8524" t="s">
        <v>23802</v>
      </c>
      <c r="K8524" s="18">
        <f>6287785400949</f>
        <v>6287785400949</v>
      </c>
      <c r="N8524" s="17" t="s">
        <v>81</v>
      </c>
      <c r="V8524" s="18">
        <f>6287785400949</f>
        <v>6287785400949</v>
      </c>
    </row>
    <row r="8525" ht="15" customHeight="1" spans="1:28" x14ac:dyDescent="0.25">
      <c r="A8525" s="17" t="s">
        <v>23803</v>
      </c>
      <c r="B8525" s="17" t="s">
        <v>70</v>
      </c>
      <c r="C8525" s="17" t="s">
        <v>71</v>
      </c>
      <c r="D8525" t="s">
        <v>23804</v>
      </c>
      <c r="F8525" t="s">
        <v>23804</v>
      </c>
      <c r="J8525" t="s">
        <v>115</v>
      </c>
      <c r="K8525" s="18" t="s">
        <v>23805</v>
      </c>
      <c r="N8525" s="17" t="s">
        <v>77</v>
      </c>
      <c r="O8525" t="s">
        <v>117</v>
      </c>
      <c r="V8525" s="18" t="s">
        <v>23805</v>
      </c>
      <c r="Y8525" t="s">
        <v>190</v>
      </c>
      <c r="AA8525" t="s">
        <v>118</v>
      </c>
      <c r="AB8525" t="s">
        <v>119</v>
      </c>
    </row>
    <row r="8526" ht="15" customHeight="1" spans="1:22" x14ac:dyDescent="0.25">
      <c r="A8526" s="17" t="s">
        <v>23806</v>
      </c>
      <c r="B8526" s="17" t="s">
        <v>70</v>
      </c>
      <c r="C8526" s="17" t="s">
        <v>71</v>
      </c>
      <c r="D8526" t="s">
        <v>23807</v>
      </c>
      <c r="F8526" t="s">
        <v>7671</v>
      </c>
      <c r="K8526" s="18">
        <f>18575077699</f>
        <v>18575077699</v>
      </c>
      <c r="N8526" s="17" t="s">
        <v>81</v>
      </c>
      <c r="V8526" s="18">
        <f>18575077699</f>
        <v>18575077699</v>
      </c>
    </row>
    <row r="8527" ht="15" customHeight="1" spans="1:23" x14ac:dyDescent="0.25">
      <c r="A8527" s="17" t="s">
        <v>23808</v>
      </c>
      <c r="B8527" s="17" t="s">
        <v>70</v>
      </c>
      <c r="C8527" s="17" t="s">
        <v>71</v>
      </c>
      <c r="D8527" t="s">
        <v>23809</v>
      </c>
      <c r="F8527" t="s">
        <v>23810</v>
      </c>
      <c r="K8527" s="18">
        <f>60143548565</f>
        <v>60143548565</v>
      </c>
      <c r="N8527" s="17" t="s">
        <v>77</v>
      </c>
      <c r="U8527" s="17"/>
      <c r="V8527" s="18">
        <f>60143548565</f>
        <v>60143548565</v>
      </c>
      <c r="W8527" t="s">
        <v>7229</v>
      </c>
    </row>
    <row r="8528" ht="15" customHeight="1" spans="1:25" x14ac:dyDescent="0.25">
      <c r="A8528" s="17" t="s">
        <v>23811</v>
      </c>
      <c r="B8528" s="17" t="s">
        <v>70</v>
      </c>
      <c r="C8528" s="17" t="s">
        <v>71</v>
      </c>
      <c r="D8528" t="s">
        <v>23812</v>
      </c>
      <c r="F8528" t="s">
        <v>23812</v>
      </c>
      <c r="K8528" s="18">
        <v>816703056</v>
      </c>
      <c r="N8528" s="17" t="s">
        <v>81</v>
      </c>
      <c r="U8528" s="17"/>
      <c r="V8528" s="18">
        <v>816703056</v>
      </c>
      <c r="W8528" t="s">
        <v>23813</v>
      </c>
      <c r="Y8528" s="17" t="s">
        <v>567</v>
      </c>
    </row>
    <row r="8529" ht="15" customHeight="1" spans="1:22" x14ac:dyDescent="0.25">
      <c r="A8529" s="17" t="s">
        <v>23814</v>
      </c>
      <c r="B8529" s="17" t="s">
        <v>70</v>
      </c>
      <c r="C8529" s="17" t="s">
        <v>71</v>
      </c>
      <c r="D8529" t="s">
        <v>7944</v>
      </c>
      <c r="F8529" t="s">
        <v>7944</v>
      </c>
      <c r="K8529" s="18">
        <f>62811860062</f>
        <v>62811860062</v>
      </c>
      <c r="N8529" s="17" t="s">
        <v>81</v>
      </c>
      <c r="V8529" s="18">
        <f>62811860062</f>
        <v>62811860062</v>
      </c>
    </row>
    <row r="8530" ht="15" customHeight="1" spans="1:28" x14ac:dyDescent="0.25">
      <c r="A8530" s="17" t="s">
        <v>23815</v>
      </c>
      <c r="B8530" s="17" t="s">
        <v>70</v>
      </c>
      <c r="C8530" s="17" t="s">
        <v>71</v>
      </c>
      <c r="D8530" t="s">
        <v>7944</v>
      </c>
      <c r="F8530" t="s">
        <v>23816</v>
      </c>
      <c r="J8530" t="s">
        <v>115</v>
      </c>
      <c r="K8530" s="18" t="s">
        <v>23817</v>
      </c>
      <c r="N8530" s="17" t="s">
        <v>77</v>
      </c>
      <c r="O8530" t="s">
        <v>145</v>
      </c>
      <c r="V8530" s="18" t="s">
        <v>23817</v>
      </c>
      <c r="Y8530" t="s">
        <v>190</v>
      </c>
      <c r="AA8530" t="s">
        <v>118</v>
      </c>
      <c r="AB8530" t="s">
        <v>119</v>
      </c>
    </row>
    <row r="8531" ht="15" customHeight="1" spans="1:22" x14ac:dyDescent="0.25">
      <c r="A8531" s="17" t="s">
        <v>23818</v>
      </c>
      <c r="B8531" s="17" t="s">
        <v>70</v>
      </c>
      <c r="C8531" s="17" t="s">
        <v>71</v>
      </c>
      <c r="D8531" t="s">
        <v>7944</v>
      </c>
      <c r="F8531" t="s">
        <v>23819</v>
      </c>
      <c r="K8531" s="18">
        <f>8613626104979</f>
        <v>8613626104979</v>
      </c>
      <c r="N8531" s="17" t="s">
        <v>77</v>
      </c>
      <c r="V8531" s="18">
        <f>8613626104979</f>
        <v>8613626104979</v>
      </c>
    </row>
    <row r="8532" ht="15" customHeight="1" spans="1:22" x14ac:dyDescent="0.25">
      <c r="A8532" s="17" t="s">
        <v>23820</v>
      </c>
      <c r="B8532" s="17" t="s">
        <v>70</v>
      </c>
      <c r="C8532" s="17" t="s">
        <v>71</v>
      </c>
      <c r="D8532" t="s">
        <v>7944</v>
      </c>
      <c r="F8532" t="s">
        <v>23821</v>
      </c>
      <c r="K8532" s="18">
        <f>6287889628666</f>
        <v>6287889628666</v>
      </c>
      <c r="N8532" s="17" t="s">
        <v>74</v>
      </c>
      <c r="V8532" s="18">
        <f>6287889628666</f>
        <v>6287889628666</v>
      </c>
    </row>
    <row r="8533" ht="15" customHeight="1" spans="1:22" x14ac:dyDescent="0.25">
      <c r="A8533" s="17" t="s">
        <v>23822</v>
      </c>
      <c r="B8533" s="17" t="s">
        <v>70</v>
      </c>
      <c r="C8533" s="17" t="s">
        <v>71</v>
      </c>
      <c r="D8533" t="s">
        <v>7944</v>
      </c>
      <c r="F8533" t="s">
        <v>10795</v>
      </c>
      <c r="K8533" s="18">
        <v>341328253</v>
      </c>
      <c r="N8533" s="17" t="s">
        <v>81</v>
      </c>
      <c r="V8533" s="18">
        <v>341328253</v>
      </c>
    </row>
    <row r="8534" ht="15" customHeight="1" spans="1:28" x14ac:dyDescent="0.25">
      <c r="A8534" s="17" t="s">
        <v>23823</v>
      </c>
      <c r="B8534" s="17" t="s">
        <v>70</v>
      </c>
      <c r="C8534" s="17" t="s">
        <v>71</v>
      </c>
      <c r="D8534" t="s">
        <v>23824</v>
      </c>
      <c r="F8534" t="s">
        <v>2159</v>
      </c>
      <c r="J8534" t="s">
        <v>115</v>
      </c>
      <c r="K8534" s="18" t="s">
        <v>23825</v>
      </c>
      <c r="N8534" s="17" t="s">
        <v>81</v>
      </c>
      <c r="O8534" t="s">
        <v>261</v>
      </c>
      <c r="V8534" s="18" t="s">
        <v>23825</v>
      </c>
      <c r="Y8534" t="s">
        <v>90</v>
      </c>
      <c r="AA8534" t="s">
        <v>118</v>
      </c>
      <c r="AB8534" t="s">
        <v>119</v>
      </c>
    </row>
    <row r="8535" ht="15" customHeight="1" spans="1:23" x14ac:dyDescent="0.25">
      <c r="A8535" s="17" t="s">
        <v>23826</v>
      </c>
      <c r="B8535" s="17" t="s">
        <v>70</v>
      </c>
      <c r="C8535" s="17" t="s">
        <v>71</v>
      </c>
      <c r="D8535" t="s">
        <v>23827</v>
      </c>
      <c r="F8535" t="s">
        <v>23828</v>
      </c>
      <c r="J8535" s="17" t="s">
        <v>23829</v>
      </c>
      <c r="K8535" s="18">
        <v>18135189088</v>
      </c>
      <c r="N8535" s="17" t="s">
        <v>77</v>
      </c>
      <c r="U8535" s="17"/>
      <c r="V8535" s="18">
        <v>18135189088</v>
      </c>
      <c r="W8535" t="s">
        <v>23830</v>
      </c>
    </row>
    <row r="8536" ht="15" customHeight="1" spans="1:22" x14ac:dyDescent="0.25">
      <c r="A8536" s="17" t="s">
        <v>23831</v>
      </c>
      <c r="B8536" s="17" t="s">
        <v>70</v>
      </c>
      <c r="C8536" s="17" t="s">
        <v>71</v>
      </c>
      <c r="D8536" t="s">
        <v>7944</v>
      </c>
      <c r="F8536" t="s">
        <v>23832</v>
      </c>
      <c r="K8536" s="18">
        <f>628876387391</f>
        <v>628876387391</v>
      </c>
      <c r="N8536" s="17" t="s">
        <v>77</v>
      </c>
      <c r="V8536" s="18">
        <f>628876387391</f>
        <v>628876387391</v>
      </c>
    </row>
    <row r="8537" ht="15" customHeight="1" spans="1:22" x14ac:dyDescent="0.25">
      <c r="A8537" s="17" t="s">
        <v>23833</v>
      </c>
      <c r="B8537" s="17" t="s">
        <v>70</v>
      </c>
      <c r="C8537" s="17" t="s">
        <v>71</v>
      </c>
      <c r="D8537" t="s">
        <v>7944</v>
      </c>
      <c r="F8537" t="s">
        <v>7345</v>
      </c>
      <c r="K8537" s="18">
        <f>6285216975566</f>
        <v>6285216975566</v>
      </c>
      <c r="N8537" s="17" t="s">
        <v>77</v>
      </c>
      <c r="V8537" s="18">
        <f>6285216975566</f>
        <v>6285216975566</v>
      </c>
    </row>
    <row r="8538" ht="15" customHeight="1" spans="1:22" x14ac:dyDescent="0.25">
      <c r="A8538" s="17" t="s">
        <v>23834</v>
      </c>
      <c r="B8538" s="17" t="s">
        <v>70</v>
      </c>
      <c r="C8538" s="17" t="s">
        <v>71</v>
      </c>
      <c r="D8538" t="s">
        <v>7944</v>
      </c>
      <c r="F8538" t="s">
        <v>8308</v>
      </c>
      <c r="K8538" s="18">
        <f>628115824688</f>
        <v>628115824688</v>
      </c>
      <c r="N8538" s="17" t="s">
        <v>74</v>
      </c>
      <c r="V8538" s="18">
        <f>628115824688</f>
        <v>628115824688</v>
      </c>
    </row>
    <row r="8539" ht="15" customHeight="1" spans="1:27" x14ac:dyDescent="0.25">
      <c r="A8539" s="17" t="s">
        <v>23835</v>
      </c>
      <c r="B8539" s="17" t="s">
        <v>70</v>
      </c>
      <c r="C8539" s="17" t="s">
        <v>71</v>
      </c>
      <c r="D8539" t="s">
        <v>7944</v>
      </c>
      <c r="F8539" t="s">
        <v>23836</v>
      </c>
      <c r="J8539" s="17" t="s">
        <v>23837</v>
      </c>
      <c r="K8539" s="18">
        <f>628613641077633</f>
        <v>628613641077633</v>
      </c>
      <c r="N8539" s="17" t="s">
        <v>77</v>
      </c>
      <c r="U8539" s="17"/>
      <c r="V8539" s="18">
        <f>628613641077633</f>
        <v>628613641077633</v>
      </c>
      <c r="W8539" t="s">
        <v>23838</v>
      </c>
      <c r="Y8539" s="17" t="s">
        <v>10804</v>
      </c>
      <c r="AA8539" s="17">
        <v>100055</v>
      </c>
    </row>
    <row r="8540" ht="15" customHeight="1" spans="1:28" x14ac:dyDescent="0.25">
      <c r="A8540" s="17" t="s">
        <v>23839</v>
      </c>
      <c r="B8540" s="17" t="s">
        <v>70</v>
      </c>
      <c r="C8540" s="17" t="s">
        <v>71</v>
      </c>
      <c r="D8540" t="s">
        <v>7944</v>
      </c>
      <c r="F8540" t="s">
        <v>23840</v>
      </c>
      <c r="J8540" t="s">
        <v>115</v>
      </c>
      <c r="K8540" s="18" t="s">
        <v>23841</v>
      </c>
      <c r="N8540" s="17" t="s">
        <v>77</v>
      </c>
      <c r="O8540" t="s">
        <v>145</v>
      </c>
      <c r="U8540" s="17"/>
      <c r="V8540" s="18" t="s">
        <v>23841</v>
      </c>
      <c r="W8540" t="s">
        <v>3140</v>
      </c>
      <c r="Y8540" t="s">
        <v>115</v>
      </c>
      <c r="AA8540" t="s">
        <v>115</v>
      </c>
      <c r="AB8540" t="s">
        <v>3140</v>
      </c>
    </row>
    <row r="8541" ht="15" customHeight="1" spans="1:28" x14ac:dyDescent="0.25">
      <c r="A8541" s="17" t="s">
        <v>23842</v>
      </c>
      <c r="B8541" s="17" t="s">
        <v>70</v>
      </c>
      <c r="C8541" s="17" t="s">
        <v>71</v>
      </c>
      <c r="D8541" t="s">
        <v>23843</v>
      </c>
      <c r="F8541" t="s">
        <v>8400</v>
      </c>
      <c r="J8541" t="s">
        <v>115</v>
      </c>
      <c r="K8541" s="18" t="s">
        <v>23844</v>
      </c>
      <c r="N8541" s="17" t="s">
        <v>77</v>
      </c>
      <c r="O8541" t="s">
        <v>145</v>
      </c>
      <c r="V8541" s="18" t="s">
        <v>23844</v>
      </c>
      <c r="Y8541" t="s">
        <v>90</v>
      </c>
      <c r="AA8541" t="s">
        <v>118</v>
      </c>
      <c r="AB8541" t="s">
        <v>119</v>
      </c>
    </row>
    <row r="8542" ht="15" customHeight="1" spans="1:28" x14ac:dyDescent="0.25">
      <c r="A8542" s="17" t="s">
        <v>23845</v>
      </c>
      <c r="B8542" s="17" t="s">
        <v>70</v>
      </c>
      <c r="C8542" s="17" t="s">
        <v>71</v>
      </c>
      <c r="D8542" t="s">
        <v>23846</v>
      </c>
      <c r="F8542" t="s">
        <v>7944</v>
      </c>
      <c r="J8542" t="s">
        <v>115</v>
      </c>
      <c r="K8542" s="18" t="s">
        <v>23847</v>
      </c>
      <c r="N8542" s="17" t="s">
        <v>77</v>
      </c>
      <c r="O8542" t="s">
        <v>199</v>
      </c>
      <c r="U8542" s="17"/>
      <c r="V8542" s="18" t="s">
        <v>23847</v>
      </c>
      <c r="W8542" t="s">
        <v>23848</v>
      </c>
      <c r="Y8542" t="s">
        <v>3140</v>
      </c>
      <c r="AA8542" t="s">
        <v>115</v>
      </c>
      <c r="AB8542" t="s">
        <v>3140</v>
      </c>
    </row>
    <row r="8543" ht="15" customHeight="1" spans="1:28" x14ac:dyDescent="0.25">
      <c r="A8543" s="17" t="s">
        <v>23849</v>
      </c>
      <c r="B8543" s="17" t="s">
        <v>70</v>
      </c>
      <c r="C8543" s="17" t="s">
        <v>71</v>
      </c>
      <c r="D8543" t="s">
        <v>7944</v>
      </c>
      <c r="F8543" t="s">
        <v>23850</v>
      </c>
      <c r="J8543" t="s">
        <v>115</v>
      </c>
      <c r="K8543" s="18" t="s">
        <v>23851</v>
      </c>
      <c r="N8543" s="17" t="s">
        <v>77</v>
      </c>
      <c r="O8543" t="s">
        <v>489</v>
      </c>
      <c r="U8543" s="17"/>
      <c r="V8543" s="18" t="s">
        <v>23851</v>
      </c>
      <c r="W8543" t="s">
        <v>6666</v>
      </c>
      <c r="Y8543" t="s">
        <v>115</v>
      </c>
      <c r="AA8543" t="s">
        <v>115</v>
      </c>
      <c r="AB8543" t="s">
        <v>3140</v>
      </c>
    </row>
    <row r="8544" ht="15" customHeight="1" spans="1:22" x14ac:dyDescent="0.25">
      <c r="A8544" s="17" t="s">
        <v>23852</v>
      </c>
      <c r="B8544" s="17" t="s">
        <v>70</v>
      </c>
      <c r="C8544" s="17" t="s">
        <v>71</v>
      </c>
      <c r="D8544" t="s">
        <v>7944</v>
      </c>
      <c r="F8544" t="s">
        <v>23853</v>
      </c>
      <c r="K8544" s="18">
        <f>62816109010</f>
        <v>62816109010</v>
      </c>
      <c r="N8544" s="17" t="s">
        <v>81</v>
      </c>
      <c r="V8544" s="18">
        <f>62816109010</f>
        <v>62816109010</v>
      </c>
    </row>
    <row r="8545" ht="15" customHeight="1" spans="1:22" x14ac:dyDescent="0.25">
      <c r="A8545" s="17" t="s">
        <v>23854</v>
      </c>
      <c r="B8545" s="17" t="s">
        <v>70</v>
      </c>
      <c r="C8545" s="17" t="s">
        <v>71</v>
      </c>
      <c r="D8545" t="s">
        <v>7944</v>
      </c>
      <c r="F8545" t="s">
        <v>23855</v>
      </c>
      <c r="K8545" s="18">
        <v>23082023</v>
      </c>
      <c r="N8545" s="17" t="s">
        <v>77</v>
      </c>
      <c r="V8545" s="18">
        <v>23082023</v>
      </c>
    </row>
    <row r="8546" ht="15" customHeight="1" spans="1:23" x14ac:dyDescent="0.25">
      <c r="A8546" s="17" t="s">
        <v>23856</v>
      </c>
      <c r="B8546" s="17" t="s">
        <v>70</v>
      </c>
      <c r="C8546" s="17" t="s">
        <v>71</v>
      </c>
      <c r="D8546" t="s">
        <v>7944</v>
      </c>
      <c r="F8546" t="s">
        <v>23857</v>
      </c>
      <c r="K8546" s="18">
        <f>8617611241028</f>
        <v>8617611241028</v>
      </c>
      <c r="N8546" s="17" t="s">
        <v>77</v>
      </c>
      <c r="U8546" s="17"/>
      <c r="V8546" s="18">
        <f>8617611241028</f>
        <v>8617611241028</v>
      </c>
      <c r="W8546" t="s">
        <v>23858</v>
      </c>
    </row>
    <row r="8547" ht="15" customHeight="1" spans="1:23" x14ac:dyDescent="0.25">
      <c r="A8547" s="17" t="s">
        <v>23859</v>
      </c>
      <c r="B8547" s="17" t="s">
        <v>70</v>
      </c>
      <c r="C8547" s="17" t="s">
        <v>71</v>
      </c>
      <c r="D8547" t="s">
        <v>7944</v>
      </c>
      <c r="F8547" t="s">
        <v>3585</v>
      </c>
      <c r="K8547" s="18">
        <f>62818773355</f>
        <v>62818773355</v>
      </c>
      <c r="N8547" s="17" t="s">
        <v>77</v>
      </c>
      <c r="U8547" s="17"/>
      <c r="V8547" s="18">
        <f>62818773355</f>
        <v>62818773355</v>
      </c>
      <c r="W8547" t="s">
        <v>23860</v>
      </c>
    </row>
    <row r="8548" ht="15" customHeight="1" spans="1:23" x14ac:dyDescent="0.25">
      <c r="A8548" s="17" t="s">
        <v>23861</v>
      </c>
      <c r="B8548" s="17" t="s">
        <v>70</v>
      </c>
      <c r="C8548" s="17" t="s">
        <v>71</v>
      </c>
      <c r="D8548" t="s">
        <v>7944</v>
      </c>
      <c r="F8548" t="s">
        <v>23862</v>
      </c>
      <c r="K8548" s="18">
        <f>8618616338111</f>
        <v>8618616338111</v>
      </c>
      <c r="N8548" s="17" t="s">
        <v>77</v>
      </c>
      <c r="U8548" s="17"/>
      <c r="V8548" s="18">
        <f>8618616338111</f>
        <v>8618616338111</v>
      </c>
      <c r="W8548" t="s">
        <v>3140</v>
      </c>
    </row>
    <row r="8549" ht="15" customHeight="1" spans="1:28" x14ac:dyDescent="0.25">
      <c r="A8549" s="17" t="s">
        <v>23863</v>
      </c>
      <c r="B8549" s="17" t="s">
        <v>70</v>
      </c>
      <c r="C8549" s="17" t="s">
        <v>71</v>
      </c>
      <c r="D8549" t="s">
        <v>7944</v>
      </c>
      <c r="F8549" t="s">
        <v>23864</v>
      </c>
      <c r="J8549" t="s">
        <v>115</v>
      </c>
      <c r="K8549" s="18" t="s">
        <v>23865</v>
      </c>
      <c r="N8549" s="17" t="s">
        <v>77</v>
      </c>
      <c r="O8549" t="s">
        <v>145</v>
      </c>
      <c r="U8549" s="17"/>
      <c r="V8549" s="18" t="s">
        <v>23865</v>
      </c>
      <c r="W8549" t="s">
        <v>3140</v>
      </c>
      <c r="Y8549" t="s">
        <v>3140</v>
      </c>
      <c r="AA8549" t="s">
        <v>115</v>
      </c>
      <c r="AB8549" t="s">
        <v>3140</v>
      </c>
    </row>
    <row r="8550" ht="15" customHeight="1" spans="1:22" x14ac:dyDescent="0.25">
      <c r="A8550" s="17" t="s">
        <v>23866</v>
      </c>
      <c r="B8550" s="17" t="s">
        <v>70</v>
      </c>
      <c r="C8550" s="17" t="s">
        <v>71</v>
      </c>
      <c r="D8550" t="s">
        <v>7944</v>
      </c>
      <c r="F8550" t="s">
        <v>23867</v>
      </c>
      <c r="K8550" s="18">
        <f>6281808887273</f>
        <v>6281808887273</v>
      </c>
      <c r="N8550" s="17" t="s">
        <v>77</v>
      </c>
      <c r="V8550" s="18">
        <f>6281808887273</f>
        <v>6281808887273</v>
      </c>
    </row>
    <row r="8551" ht="15" customHeight="1" spans="1:22" x14ac:dyDescent="0.25">
      <c r="A8551" s="17" t="s">
        <v>23868</v>
      </c>
      <c r="B8551" s="17" t="s">
        <v>70</v>
      </c>
      <c r="C8551" s="17" t="s">
        <v>71</v>
      </c>
      <c r="D8551" t="s">
        <v>7944</v>
      </c>
      <c r="F8551" t="s">
        <v>23869</v>
      </c>
      <c r="K8551" s="18">
        <f>6281297657726</f>
        <v>6281297657726</v>
      </c>
      <c r="N8551" s="17" t="s">
        <v>81</v>
      </c>
      <c r="V8551" s="18">
        <f>6281297657726</f>
        <v>6281297657726</v>
      </c>
    </row>
    <row r="8552" ht="15" customHeight="1" spans="1:22" x14ac:dyDescent="0.25">
      <c r="A8552" s="17" t="s">
        <v>23870</v>
      </c>
      <c r="B8552" s="17" t="s">
        <v>70</v>
      </c>
      <c r="C8552" s="17" t="s">
        <v>71</v>
      </c>
      <c r="D8552" t="s">
        <v>7944</v>
      </c>
      <c r="F8552" t="s">
        <v>7421</v>
      </c>
      <c r="K8552" s="18">
        <f>6281252787777</f>
        <v>6281252787777</v>
      </c>
      <c r="N8552" s="17" t="s">
        <v>77</v>
      </c>
      <c r="V8552" s="18">
        <f>6281252787777</f>
        <v>6281252787777</v>
      </c>
    </row>
    <row r="8553" ht="15" customHeight="1" spans="1:22" x14ac:dyDescent="0.25">
      <c r="A8553" s="17" t="s">
        <v>23871</v>
      </c>
      <c r="B8553" s="17" t="s">
        <v>70</v>
      </c>
      <c r="C8553" s="17" t="s">
        <v>71</v>
      </c>
      <c r="D8553" t="s">
        <v>7944</v>
      </c>
      <c r="F8553" t="s">
        <v>23872</v>
      </c>
      <c r="J8553" s="17" t="s">
        <v>23873</v>
      </c>
      <c r="K8553" s="18">
        <v>8613871117792</v>
      </c>
      <c r="N8553" s="17" t="s">
        <v>77</v>
      </c>
      <c r="V8553" s="18">
        <v>8613871117792</v>
      </c>
    </row>
    <row r="8554" ht="15" customHeight="1" spans="1:22" x14ac:dyDescent="0.25">
      <c r="A8554" s="17" t="s">
        <v>23874</v>
      </c>
      <c r="B8554" s="17" t="s">
        <v>70</v>
      </c>
      <c r="C8554" s="17" t="s">
        <v>71</v>
      </c>
      <c r="D8554" t="s">
        <v>7944</v>
      </c>
      <c r="F8554" t="s">
        <v>23875</v>
      </c>
      <c r="J8554" s="17" t="s">
        <v>23876</v>
      </c>
      <c r="K8554" s="18">
        <f>6281281392515</f>
        <v>6281281392515</v>
      </c>
      <c r="N8554" s="17" t="s">
        <v>77</v>
      </c>
      <c r="V8554" s="18">
        <f>6281281392515</f>
        <v>6281281392515</v>
      </c>
    </row>
    <row r="8555" ht="15" customHeight="1" spans="1:23" x14ac:dyDescent="0.25">
      <c r="A8555" s="17" t="s">
        <v>23877</v>
      </c>
      <c r="B8555" s="17" t="s">
        <v>70</v>
      </c>
      <c r="C8555" s="17" t="s">
        <v>71</v>
      </c>
      <c r="D8555" t="s">
        <v>7944</v>
      </c>
      <c r="F8555" t="s">
        <v>23878</v>
      </c>
      <c r="K8555" s="18">
        <f>6582656426</f>
        <v>6582656426</v>
      </c>
      <c r="N8555" s="17" t="s">
        <v>77</v>
      </c>
      <c r="U8555" s="17"/>
      <c r="V8555" s="18">
        <f>6582656426</f>
        <v>6582656426</v>
      </c>
      <c r="W8555" t="s">
        <v>3140</v>
      </c>
    </row>
    <row r="8556" ht="15" customHeight="1" spans="1:28" x14ac:dyDescent="0.25">
      <c r="A8556" s="17" t="s">
        <v>23879</v>
      </c>
      <c r="B8556" s="17" t="s">
        <v>70</v>
      </c>
      <c r="C8556" s="17" t="s">
        <v>71</v>
      </c>
      <c r="D8556" t="s">
        <v>23880</v>
      </c>
      <c r="F8556" t="s">
        <v>23881</v>
      </c>
      <c r="J8556" s="17" t="s">
        <v>23882</v>
      </c>
      <c r="K8556" s="18" t="s">
        <v>23883</v>
      </c>
      <c r="N8556" s="17" t="s">
        <v>77</v>
      </c>
      <c r="O8556" t="s">
        <v>145</v>
      </c>
      <c r="V8556" s="18" t="s">
        <v>23883</v>
      </c>
      <c r="Y8556" t="s">
        <v>190</v>
      </c>
      <c r="AA8556" t="s">
        <v>118</v>
      </c>
      <c r="AB8556" t="s">
        <v>3140</v>
      </c>
    </row>
    <row r="8557" ht="15" customHeight="1" spans="1:22" x14ac:dyDescent="0.25">
      <c r="A8557" s="17" t="s">
        <v>23884</v>
      </c>
      <c r="B8557" s="17" t="s">
        <v>70</v>
      </c>
      <c r="C8557" s="17" t="s">
        <v>71</v>
      </c>
      <c r="D8557" t="s">
        <v>7944</v>
      </c>
      <c r="F8557" t="s">
        <v>17718</v>
      </c>
      <c r="K8557" s="18">
        <f>62812169666668</f>
        <v>62812169666668</v>
      </c>
      <c r="N8557" s="17" t="s">
        <v>77</v>
      </c>
      <c r="V8557" s="18">
        <f>62812169666668</f>
        <v>62812169666668</v>
      </c>
    </row>
    <row r="8558" ht="15" customHeight="1" spans="1:22" x14ac:dyDescent="0.25">
      <c r="A8558" s="17" t="s">
        <v>23885</v>
      </c>
      <c r="B8558" s="17" t="s">
        <v>70</v>
      </c>
      <c r="C8558" s="17" t="s">
        <v>71</v>
      </c>
      <c r="D8558" t="s">
        <v>7944</v>
      </c>
      <c r="F8558" t="s">
        <v>17718</v>
      </c>
      <c r="K8558" s="18">
        <f>6282169666668</f>
        <v>6282169666668</v>
      </c>
      <c r="N8558" s="17" t="s">
        <v>81</v>
      </c>
      <c r="V8558" s="18">
        <f>6282169666668</f>
        <v>6282169666668</v>
      </c>
    </row>
    <row r="8559" ht="15" customHeight="1" spans="1:22" x14ac:dyDescent="0.25">
      <c r="A8559" s="17" t="s">
        <v>23886</v>
      </c>
      <c r="B8559" s="17" t="s">
        <v>70</v>
      </c>
      <c r="C8559" s="17" t="s">
        <v>71</v>
      </c>
      <c r="D8559" t="s">
        <v>7944</v>
      </c>
      <c r="F8559" t="s">
        <v>23887</v>
      </c>
      <c r="K8559" s="18">
        <f>62803022024</f>
        <v>62803022024</v>
      </c>
      <c r="N8559" s="17" t="s">
        <v>81</v>
      </c>
      <c r="V8559" s="18">
        <f>62803022024</f>
        <v>62803022024</v>
      </c>
    </row>
    <row r="8560" ht="15" customHeight="1" spans="1:23" x14ac:dyDescent="0.25">
      <c r="A8560" s="17" t="s">
        <v>23888</v>
      </c>
      <c r="B8560" s="17" t="s">
        <v>70</v>
      </c>
      <c r="C8560" s="17" t="s">
        <v>71</v>
      </c>
      <c r="D8560" t="s">
        <v>7944</v>
      </c>
      <c r="F8560" t="s">
        <v>23889</v>
      </c>
      <c r="K8560" s="18">
        <f>8615800728605</f>
        <v>8615800728605</v>
      </c>
      <c r="N8560" s="17" t="s">
        <v>77</v>
      </c>
      <c r="U8560" s="17"/>
      <c r="V8560" s="18">
        <f>8615800728605</f>
        <v>8615800728605</v>
      </c>
      <c r="W8560" t="s">
        <v>3140</v>
      </c>
    </row>
    <row r="8561" ht="15" customHeight="1" spans="1:22" x14ac:dyDescent="0.25">
      <c r="A8561" s="17" t="s">
        <v>23890</v>
      </c>
      <c r="B8561" s="17" t="s">
        <v>70</v>
      </c>
      <c r="C8561" s="17" t="s">
        <v>71</v>
      </c>
      <c r="D8561" t="s">
        <v>23891</v>
      </c>
      <c r="F8561" t="s">
        <v>23892</v>
      </c>
      <c r="J8561" s="17" t="s">
        <v>23893</v>
      </c>
      <c r="K8561" s="18">
        <f>8618310302063</f>
        <v>8618310302063</v>
      </c>
      <c r="N8561" s="17" t="s">
        <v>77</v>
      </c>
      <c r="V8561" s="18">
        <f>8618310302063</f>
        <v>8618310302063</v>
      </c>
    </row>
    <row r="8562" ht="15" customHeight="1" spans="1:28" x14ac:dyDescent="0.25">
      <c r="A8562" s="17" t="s">
        <v>23894</v>
      </c>
      <c r="B8562" s="17" t="s">
        <v>70</v>
      </c>
      <c r="C8562" s="17" t="s">
        <v>71</v>
      </c>
      <c r="D8562" t="s">
        <v>7944</v>
      </c>
      <c r="F8562" t="s">
        <v>23895</v>
      </c>
      <c r="J8562" s="17" t="s">
        <v>23896</v>
      </c>
      <c r="K8562" s="18" t="s">
        <v>23897</v>
      </c>
      <c r="N8562" s="17" t="s">
        <v>77</v>
      </c>
      <c r="O8562" t="s">
        <v>117</v>
      </c>
      <c r="U8562" s="17"/>
      <c r="V8562" s="18" t="s">
        <v>23897</v>
      </c>
      <c r="W8562" t="s">
        <v>23898</v>
      </c>
      <c r="Y8562" t="s">
        <v>3140</v>
      </c>
      <c r="AA8562" t="s">
        <v>115</v>
      </c>
      <c r="AB8562" t="s">
        <v>3140</v>
      </c>
    </row>
    <row r="8563" ht="15" customHeight="1" spans="1:22" x14ac:dyDescent="0.25">
      <c r="A8563" s="17" t="s">
        <v>23899</v>
      </c>
      <c r="B8563" s="17" t="s">
        <v>70</v>
      </c>
      <c r="C8563" s="17" t="s">
        <v>71</v>
      </c>
      <c r="D8563" t="s">
        <v>23891</v>
      </c>
      <c r="F8563" t="s">
        <v>20511</v>
      </c>
      <c r="J8563" s="17" t="s">
        <v>23900</v>
      </c>
      <c r="K8563" s="18">
        <f>8613904043384</f>
        <v>8613904043384</v>
      </c>
      <c r="N8563" s="17" t="s">
        <v>77</v>
      </c>
      <c r="V8563" s="18">
        <f>8613904043384</f>
        <v>8613904043384</v>
      </c>
    </row>
    <row r="8564" ht="15" customHeight="1" spans="1:28" x14ac:dyDescent="0.25">
      <c r="A8564" s="17" t="s">
        <v>23901</v>
      </c>
      <c r="B8564" s="17" t="s">
        <v>70</v>
      </c>
      <c r="C8564" s="17" t="s">
        <v>71</v>
      </c>
      <c r="D8564" t="s">
        <v>7944</v>
      </c>
      <c r="F8564" t="s">
        <v>23902</v>
      </c>
      <c r="J8564" s="17" t="s">
        <v>23903</v>
      </c>
      <c r="K8564" s="18" t="s">
        <v>23904</v>
      </c>
      <c r="N8564" s="17" t="s">
        <v>77</v>
      </c>
      <c r="O8564" t="s">
        <v>117</v>
      </c>
      <c r="U8564" s="17"/>
      <c r="V8564" s="18" t="s">
        <v>23904</v>
      </c>
      <c r="W8564" t="s">
        <v>6980</v>
      </c>
      <c r="Y8564" s="17" t="s">
        <v>3140</v>
      </c>
      <c r="AA8564" t="s">
        <v>115</v>
      </c>
      <c r="AB8564" t="s">
        <v>3140</v>
      </c>
    </row>
    <row r="8565" ht="15" customHeight="1" spans="1:23" x14ac:dyDescent="0.25">
      <c r="A8565" s="17" t="s">
        <v>23905</v>
      </c>
      <c r="B8565" s="17" t="s">
        <v>70</v>
      </c>
      <c r="C8565" s="17" t="s">
        <v>71</v>
      </c>
      <c r="D8565" t="s">
        <v>23891</v>
      </c>
      <c r="F8565" t="s">
        <v>8419</v>
      </c>
      <c r="J8565" s="17" t="s">
        <v>23906</v>
      </c>
      <c r="K8565" s="18">
        <f>8613501261677</f>
        <v>8613501261677</v>
      </c>
      <c r="N8565" s="17" t="s">
        <v>77</v>
      </c>
      <c r="U8565" s="17"/>
      <c r="V8565" s="18">
        <f>8613501261677</f>
        <v>8613501261677</v>
      </c>
      <c r="W8565" t="s">
        <v>3140</v>
      </c>
    </row>
    <row r="8566" ht="15" customHeight="1" spans="1:23" x14ac:dyDescent="0.25">
      <c r="A8566" s="17" t="s">
        <v>23907</v>
      </c>
      <c r="B8566" s="17" t="s">
        <v>70</v>
      </c>
      <c r="C8566" s="17" t="s">
        <v>71</v>
      </c>
      <c r="D8566" t="s">
        <v>23891</v>
      </c>
      <c r="F8566" t="s">
        <v>8387</v>
      </c>
      <c r="K8566" s="18">
        <f>8618699911165</f>
        <v>8618699911165</v>
      </c>
      <c r="N8566" s="17" t="s">
        <v>77</v>
      </c>
      <c r="U8566" s="17"/>
      <c r="V8566" s="18">
        <f>8618699911165</f>
        <v>8618699911165</v>
      </c>
      <c r="W8566" t="s">
        <v>3140</v>
      </c>
    </row>
    <row r="8567" ht="15" customHeight="1" spans="1:23" x14ac:dyDescent="0.25">
      <c r="A8567" s="17" t="s">
        <v>23908</v>
      </c>
      <c r="B8567" s="17" t="s">
        <v>70</v>
      </c>
      <c r="C8567" s="17" t="s">
        <v>71</v>
      </c>
      <c r="D8567" t="s">
        <v>23891</v>
      </c>
      <c r="F8567" t="s">
        <v>23909</v>
      </c>
      <c r="J8567" s="17" t="s">
        <v>23910</v>
      </c>
      <c r="K8567" s="18">
        <f>8613911555696</f>
        <v>8613911555696</v>
      </c>
      <c r="N8567" s="17" t="s">
        <v>77</v>
      </c>
      <c r="U8567" s="17"/>
      <c r="V8567" s="18">
        <f>8613911555696</f>
        <v>8613911555696</v>
      </c>
      <c r="W8567" t="s">
        <v>3140</v>
      </c>
    </row>
    <row r="8568" ht="15" customHeight="1" spans="1:23" x14ac:dyDescent="0.25">
      <c r="A8568" s="17" t="s">
        <v>23911</v>
      </c>
      <c r="B8568" s="17" t="s">
        <v>70</v>
      </c>
      <c r="C8568" s="17" t="s">
        <v>71</v>
      </c>
      <c r="D8568" t="s">
        <v>23891</v>
      </c>
      <c r="F8568" t="s">
        <v>23912</v>
      </c>
      <c r="J8568" s="17" t="s">
        <v>23913</v>
      </c>
      <c r="K8568" s="18">
        <f>971555988256</f>
        <v>971555988256</v>
      </c>
      <c r="N8568" s="17" t="s">
        <v>77</v>
      </c>
      <c r="U8568" s="17"/>
      <c r="V8568" s="18">
        <f>971555988256</f>
        <v>971555988256</v>
      </c>
      <c r="W8568" t="s">
        <v>3140</v>
      </c>
    </row>
    <row r="8569" ht="15" customHeight="1" spans="1:23" x14ac:dyDescent="0.25">
      <c r="A8569" s="17" t="s">
        <v>23914</v>
      </c>
      <c r="B8569" s="17" t="s">
        <v>70</v>
      </c>
      <c r="C8569" s="17" t="s">
        <v>71</v>
      </c>
      <c r="D8569" t="s">
        <v>23891</v>
      </c>
      <c r="F8569" t="s">
        <v>23915</v>
      </c>
      <c r="K8569" s="18" t="s">
        <v>23916</v>
      </c>
      <c r="N8569" s="17" t="s">
        <v>77</v>
      </c>
      <c r="U8569" s="17"/>
      <c r="V8569" s="18" t="s">
        <v>23916</v>
      </c>
      <c r="W8569" t="s">
        <v>3140</v>
      </c>
    </row>
    <row r="8570" ht="15" customHeight="1" spans="1:28" x14ac:dyDescent="0.25">
      <c r="A8570" s="17" t="s">
        <v>23917</v>
      </c>
      <c r="B8570" s="17" t="s">
        <v>70</v>
      </c>
      <c r="C8570" s="17" t="s">
        <v>71</v>
      </c>
      <c r="D8570" t="s">
        <v>7944</v>
      </c>
      <c r="F8570" t="s">
        <v>7124</v>
      </c>
      <c r="J8570" s="17" t="s">
        <v>23918</v>
      </c>
      <c r="K8570" s="18" t="s">
        <v>23919</v>
      </c>
      <c r="N8570" s="17" t="s">
        <v>77</v>
      </c>
      <c r="O8570" t="s">
        <v>117</v>
      </c>
      <c r="U8570" s="17"/>
      <c r="V8570" s="18" t="s">
        <v>23919</v>
      </c>
      <c r="W8570" t="s">
        <v>3140</v>
      </c>
      <c r="Y8570" t="s">
        <v>3140</v>
      </c>
      <c r="AA8570" t="s">
        <v>115</v>
      </c>
      <c r="AB8570" t="s">
        <v>3140</v>
      </c>
    </row>
    <row r="8571" ht="15" customHeight="1" spans="1:28" x14ac:dyDescent="0.25">
      <c r="A8571" s="17" t="s">
        <v>23920</v>
      </c>
      <c r="B8571" s="17" t="s">
        <v>70</v>
      </c>
      <c r="C8571" s="17" t="s">
        <v>71</v>
      </c>
      <c r="D8571" t="s">
        <v>7944</v>
      </c>
      <c r="F8571" t="s">
        <v>2406</v>
      </c>
      <c r="J8571" s="17" t="s">
        <v>23921</v>
      </c>
      <c r="K8571" s="18" t="s">
        <v>23922</v>
      </c>
      <c r="N8571" s="17" t="s">
        <v>77</v>
      </c>
      <c r="O8571" t="s">
        <v>117</v>
      </c>
      <c r="U8571" s="17"/>
      <c r="V8571" s="18" t="s">
        <v>23922</v>
      </c>
      <c r="W8571" t="s">
        <v>3140</v>
      </c>
      <c r="Y8571" t="s">
        <v>115</v>
      </c>
      <c r="AA8571" t="s">
        <v>115</v>
      </c>
      <c r="AB8571" t="s">
        <v>3140</v>
      </c>
    </row>
    <row r="8572" ht="15" customHeight="1" spans="1:23" x14ac:dyDescent="0.25">
      <c r="A8572" s="17" t="s">
        <v>23923</v>
      </c>
      <c r="B8572" s="17" t="s">
        <v>70</v>
      </c>
      <c r="C8572" s="17" t="s">
        <v>71</v>
      </c>
      <c r="D8572" t="s">
        <v>23891</v>
      </c>
      <c r="F8572" t="s">
        <v>23924</v>
      </c>
      <c r="J8572" s="17" t="s">
        <v>23925</v>
      </c>
      <c r="K8572" s="18">
        <f>8613911924950</f>
        <v>8613911924950</v>
      </c>
      <c r="N8572" s="17" t="s">
        <v>77</v>
      </c>
      <c r="U8572" s="17"/>
      <c r="V8572" s="18">
        <f>8613911924950</f>
        <v>8613911924950</v>
      </c>
      <c r="W8572" t="s">
        <v>3140</v>
      </c>
    </row>
    <row r="8573" ht="15" customHeight="1" spans="1:23" x14ac:dyDescent="0.25">
      <c r="A8573" s="17" t="s">
        <v>23926</v>
      </c>
      <c r="B8573" s="17" t="s">
        <v>70</v>
      </c>
      <c r="C8573" s="17" t="s">
        <v>71</v>
      </c>
      <c r="D8573" t="s">
        <v>23891</v>
      </c>
      <c r="F8573" t="s">
        <v>23927</v>
      </c>
      <c r="J8573" s="17" t="s">
        <v>23928</v>
      </c>
      <c r="K8573" s="18">
        <f>8615183756666</f>
        <v>8615183756666</v>
      </c>
      <c r="N8573" s="17" t="s">
        <v>77</v>
      </c>
      <c r="U8573" s="17"/>
      <c r="V8573" s="18">
        <f>8615183756666</f>
        <v>8615183756666</v>
      </c>
      <c r="W8573" t="s">
        <v>3140</v>
      </c>
    </row>
    <row r="8574" ht="15" customHeight="1" spans="1:28" x14ac:dyDescent="0.25">
      <c r="A8574" s="17" t="s">
        <v>23929</v>
      </c>
      <c r="B8574" s="17" t="s">
        <v>70</v>
      </c>
      <c r="C8574" s="17" t="s">
        <v>71</v>
      </c>
      <c r="D8574" t="s">
        <v>7944</v>
      </c>
      <c r="F8574" t="s">
        <v>23930</v>
      </c>
      <c r="J8574" s="17" t="s">
        <v>23931</v>
      </c>
      <c r="K8574" s="18" t="s">
        <v>23932</v>
      </c>
      <c r="N8574" s="17" t="s">
        <v>77</v>
      </c>
      <c r="O8574" t="s">
        <v>117</v>
      </c>
      <c r="V8574" s="18" t="s">
        <v>23932</v>
      </c>
      <c r="Y8574" s="17" t="s">
        <v>3140</v>
      </c>
      <c r="AA8574" t="s">
        <v>115</v>
      </c>
      <c r="AB8574" t="s">
        <v>3140</v>
      </c>
    </row>
    <row r="8575" ht="15" customHeight="1" spans="1:23" x14ac:dyDescent="0.25">
      <c r="A8575" s="17" t="s">
        <v>23933</v>
      </c>
      <c r="B8575" s="17" t="s">
        <v>70</v>
      </c>
      <c r="C8575" s="17" t="s">
        <v>71</v>
      </c>
      <c r="D8575" t="s">
        <v>23891</v>
      </c>
      <c r="F8575" t="s">
        <v>23934</v>
      </c>
      <c r="K8575" s="18">
        <f>8618859672713</f>
        <v>8618859672713</v>
      </c>
      <c r="N8575" s="17" t="s">
        <v>77</v>
      </c>
      <c r="U8575" s="17"/>
      <c r="V8575" s="18">
        <f>8618859672713</f>
        <v>8618859672713</v>
      </c>
      <c r="W8575" t="s">
        <v>7376</v>
      </c>
    </row>
    <row r="8576" ht="15" customHeight="1" spans="1:25" x14ac:dyDescent="0.25">
      <c r="A8576" s="17" t="s">
        <v>23935</v>
      </c>
      <c r="B8576" s="17" t="s">
        <v>70</v>
      </c>
      <c r="C8576" s="17" t="s">
        <v>71</v>
      </c>
      <c r="D8576" t="s">
        <v>23891</v>
      </c>
      <c r="F8576" t="s">
        <v>23936</v>
      </c>
      <c r="J8576" s="17" t="s">
        <v>23937</v>
      </c>
      <c r="K8576" s="18">
        <f>8615618705997</f>
        <v>8615618705997</v>
      </c>
      <c r="N8576" s="17" t="s">
        <v>77</v>
      </c>
      <c r="V8576" s="18">
        <f>8615618705997</f>
        <v>8615618705997</v>
      </c>
      <c r="Y8576" s="17" t="s">
        <v>3140</v>
      </c>
    </row>
    <row r="8577" ht="15" customHeight="1" spans="1:23" x14ac:dyDescent="0.25">
      <c r="A8577" s="17" t="s">
        <v>23938</v>
      </c>
      <c r="B8577" s="17" t="s">
        <v>70</v>
      </c>
      <c r="C8577" s="17" t="s">
        <v>71</v>
      </c>
      <c r="D8577" t="s">
        <v>23891</v>
      </c>
      <c r="F8577" t="s">
        <v>23939</v>
      </c>
      <c r="J8577" s="17" t="s">
        <v>23940</v>
      </c>
      <c r="K8577" s="18">
        <f>8613548792888</f>
        <v>8613548792888</v>
      </c>
      <c r="N8577" s="17" t="s">
        <v>77</v>
      </c>
      <c r="U8577" s="17"/>
      <c r="V8577" s="18">
        <f>8613548792888</f>
        <v>8613548792888</v>
      </c>
      <c r="W8577" t="s">
        <v>3140</v>
      </c>
    </row>
    <row r="8578" ht="15" customHeight="1" spans="1:28" x14ac:dyDescent="0.25">
      <c r="A8578" s="17" t="s">
        <v>23941</v>
      </c>
      <c r="B8578" s="17" t="s">
        <v>70</v>
      </c>
      <c r="C8578" s="17" t="s">
        <v>71</v>
      </c>
      <c r="D8578" t="s">
        <v>7944</v>
      </c>
      <c r="F8578" t="s">
        <v>7400</v>
      </c>
      <c r="J8578" s="17" t="s">
        <v>23942</v>
      </c>
      <c r="K8578" s="18" t="s">
        <v>23943</v>
      </c>
      <c r="N8578" s="17" t="s">
        <v>77</v>
      </c>
      <c r="O8578" t="s">
        <v>117</v>
      </c>
      <c r="U8578" s="17"/>
      <c r="V8578" s="18" t="s">
        <v>23943</v>
      </c>
      <c r="W8578" t="s">
        <v>23944</v>
      </c>
      <c r="Y8578" t="s">
        <v>3140</v>
      </c>
      <c r="AA8578" t="s">
        <v>115</v>
      </c>
      <c r="AB8578" t="s">
        <v>3140</v>
      </c>
    </row>
    <row r="8579" ht="15" customHeight="1" spans="1:22" x14ac:dyDescent="0.25">
      <c r="A8579" s="17" t="s">
        <v>23945</v>
      </c>
      <c r="B8579" s="17" t="s">
        <v>70</v>
      </c>
      <c r="C8579" s="17" t="s">
        <v>71</v>
      </c>
      <c r="D8579" t="s">
        <v>7944</v>
      </c>
      <c r="F8579" t="s">
        <v>23864</v>
      </c>
      <c r="K8579" s="18">
        <f>6281320201188</f>
        <v>6281320201188</v>
      </c>
      <c r="N8579" s="17" t="s">
        <v>81</v>
      </c>
      <c r="V8579" s="18">
        <f>6281320201188</f>
        <v>6281320201188</v>
      </c>
    </row>
    <row r="8580" ht="15" customHeight="1" spans="1:28" x14ac:dyDescent="0.25">
      <c r="A8580" s="17" t="s">
        <v>23946</v>
      </c>
      <c r="B8580" s="17" t="s">
        <v>70</v>
      </c>
      <c r="C8580" s="17" t="s">
        <v>71</v>
      </c>
      <c r="D8580" t="s">
        <v>7944</v>
      </c>
      <c r="F8580" t="s">
        <v>23947</v>
      </c>
      <c r="J8580" t="s">
        <v>115</v>
      </c>
      <c r="K8580" s="18" t="s">
        <v>23948</v>
      </c>
      <c r="N8580" s="17" t="s">
        <v>77</v>
      </c>
      <c r="O8580" t="s">
        <v>117</v>
      </c>
      <c r="U8580" s="17"/>
      <c r="V8580" s="18" t="s">
        <v>23948</v>
      </c>
      <c r="W8580" t="s">
        <v>3140</v>
      </c>
      <c r="Y8580" t="s">
        <v>3140</v>
      </c>
      <c r="AA8580" t="s">
        <v>115</v>
      </c>
      <c r="AB8580" t="s">
        <v>3140</v>
      </c>
    </row>
    <row r="8581" ht="15" customHeight="1" spans="1:28" x14ac:dyDescent="0.25">
      <c r="A8581" s="17" t="s">
        <v>23949</v>
      </c>
      <c r="B8581" s="17" t="s">
        <v>70</v>
      </c>
      <c r="C8581" s="17" t="s">
        <v>71</v>
      </c>
      <c r="D8581" t="s">
        <v>7944</v>
      </c>
      <c r="F8581" t="s">
        <v>7289</v>
      </c>
      <c r="J8581" s="17" t="s">
        <v>23950</v>
      </c>
      <c r="K8581" s="18" t="s">
        <v>23951</v>
      </c>
      <c r="N8581" s="17" t="s">
        <v>77</v>
      </c>
      <c r="O8581" t="s">
        <v>117</v>
      </c>
      <c r="U8581" s="17"/>
      <c r="V8581" s="18" t="s">
        <v>23951</v>
      </c>
      <c r="W8581" t="s">
        <v>3140</v>
      </c>
      <c r="Y8581" t="s">
        <v>3140</v>
      </c>
      <c r="AA8581" t="s">
        <v>115</v>
      </c>
      <c r="AB8581" t="s">
        <v>3140</v>
      </c>
    </row>
    <row r="8582" ht="15" customHeight="1" spans="1:23" x14ac:dyDescent="0.25">
      <c r="A8582" s="17" t="s">
        <v>23952</v>
      </c>
      <c r="B8582" s="17" t="s">
        <v>70</v>
      </c>
      <c r="C8582" s="17" t="s">
        <v>71</v>
      </c>
      <c r="D8582" t="s">
        <v>23891</v>
      </c>
      <c r="F8582" t="s">
        <v>8400</v>
      </c>
      <c r="K8582" s="18">
        <f>8613926139488</f>
        <v>8613926139488</v>
      </c>
      <c r="N8582" s="17" t="s">
        <v>77</v>
      </c>
      <c r="U8582" s="17"/>
      <c r="V8582" s="18">
        <f>8613926139488</f>
        <v>8613926139488</v>
      </c>
      <c r="W8582" t="s">
        <v>3140</v>
      </c>
    </row>
    <row r="8583" ht="15" customHeight="1" spans="1:28" x14ac:dyDescent="0.25">
      <c r="A8583" s="17" t="s">
        <v>23953</v>
      </c>
      <c r="B8583" s="17" t="s">
        <v>70</v>
      </c>
      <c r="C8583" s="17" t="s">
        <v>71</v>
      </c>
      <c r="D8583" t="s">
        <v>7944</v>
      </c>
      <c r="F8583" t="s">
        <v>23954</v>
      </c>
      <c r="J8583" s="17" t="s">
        <v>23955</v>
      </c>
      <c r="K8583" s="18" t="s">
        <v>23956</v>
      </c>
      <c r="N8583" s="17" t="s">
        <v>77</v>
      </c>
      <c r="O8583" t="s">
        <v>117</v>
      </c>
      <c r="U8583" s="17"/>
      <c r="V8583" s="18" t="s">
        <v>23956</v>
      </c>
      <c r="W8583" t="s">
        <v>3140</v>
      </c>
      <c r="Y8583" t="s">
        <v>115</v>
      </c>
      <c r="AA8583" t="s">
        <v>115</v>
      </c>
      <c r="AB8583" t="s">
        <v>3140</v>
      </c>
    </row>
    <row r="8584" ht="15" customHeight="1" spans="1:28" x14ac:dyDescent="0.25">
      <c r="A8584" s="17" t="s">
        <v>23957</v>
      </c>
      <c r="B8584" s="17" t="s">
        <v>70</v>
      </c>
      <c r="C8584" s="17" t="s">
        <v>71</v>
      </c>
      <c r="D8584" t="s">
        <v>7944</v>
      </c>
      <c r="F8584" t="s">
        <v>23958</v>
      </c>
      <c r="J8584" s="17" t="s">
        <v>23959</v>
      </c>
      <c r="K8584" s="18" t="s">
        <v>23960</v>
      </c>
      <c r="N8584" s="17" t="s">
        <v>77</v>
      </c>
      <c r="O8584" t="s">
        <v>117</v>
      </c>
      <c r="U8584" s="17"/>
      <c r="V8584" s="18" t="s">
        <v>23960</v>
      </c>
      <c r="W8584" t="s">
        <v>3140</v>
      </c>
      <c r="Y8584" t="s">
        <v>3140</v>
      </c>
      <c r="AA8584" t="s">
        <v>115</v>
      </c>
      <c r="AB8584" t="s">
        <v>3140</v>
      </c>
    </row>
    <row r="8585" ht="15" customHeight="1" spans="1:28" x14ac:dyDescent="0.25">
      <c r="A8585" s="17" t="s">
        <v>23961</v>
      </c>
      <c r="B8585" s="17" t="s">
        <v>70</v>
      </c>
      <c r="C8585" s="17" t="s">
        <v>71</v>
      </c>
      <c r="D8585" t="s">
        <v>7944</v>
      </c>
      <c r="F8585" t="s">
        <v>23962</v>
      </c>
      <c r="J8585" s="17" t="s">
        <v>23963</v>
      </c>
      <c r="K8585" s="18" t="s">
        <v>23964</v>
      </c>
      <c r="N8585" s="17" t="s">
        <v>77</v>
      </c>
      <c r="O8585" t="s">
        <v>117</v>
      </c>
      <c r="U8585" s="17"/>
      <c r="V8585" s="18" t="s">
        <v>23964</v>
      </c>
      <c r="W8585" t="s">
        <v>3140</v>
      </c>
      <c r="Y8585" t="s">
        <v>115</v>
      </c>
      <c r="AA8585" t="s">
        <v>115</v>
      </c>
      <c r="AB8585" t="s">
        <v>3140</v>
      </c>
    </row>
    <row r="8586" ht="15" customHeight="1" spans="1:22" x14ac:dyDescent="0.25">
      <c r="A8586" s="17" t="s">
        <v>23965</v>
      </c>
      <c r="B8586" s="17" t="s">
        <v>70</v>
      </c>
      <c r="C8586" s="17" t="s">
        <v>71</v>
      </c>
      <c r="D8586" t="s">
        <v>23966</v>
      </c>
      <c r="F8586" t="s">
        <v>23966</v>
      </c>
      <c r="K8586" s="18">
        <f>6586976154</f>
        <v>6586976154</v>
      </c>
      <c r="N8586" s="17" t="s">
        <v>81</v>
      </c>
      <c r="V8586" s="18">
        <f>6586976154</f>
        <v>6586976154</v>
      </c>
    </row>
    <row r="8587" ht="15" customHeight="1" spans="1:23" x14ac:dyDescent="0.25">
      <c r="A8587" s="17" t="s">
        <v>23967</v>
      </c>
      <c r="B8587" s="17" t="s">
        <v>70</v>
      </c>
      <c r="C8587" s="17" t="s">
        <v>71</v>
      </c>
      <c r="D8587" t="s">
        <v>23968</v>
      </c>
      <c r="F8587" t="s">
        <v>23968</v>
      </c>
      <c r="J8587" s="17" t="s">
        <v>23969</v>
      </c>
      <c r="K8587" s="18">
        <f>628125888807</f>
        <v>628125888807</v>
      </c>
      <c r="N8587" s="17" t="s">
        <v>81</v>
      </c>
      <c r="U8587" s="17"/>
      <c r="V8587" s="18">
        <f>628125888807</f>
        <v>628125888807</v>
      </c>
      <c r="W8587" t="s">
        <v>23970</v>
      </c>
    </row>
    <row r="8588" ht="15" customHeight="1" spans="1:23" x14ac:dyDescent="0.25">
      <c r="A8588" s="17" t="s">
        <v>23971</v>
      </c>
      <c r="B8588" s="17" t="s">
        <v>70</v>
      </c>
      <c r="C8588" s="17" t="s">
        <v>71</v>
      </c>
      <c r="D8588" t="s">
        <v>23968</v>
      </c>
      <c r="F8588" t="s">
        <v>23968</v>
      </c>
      <c r="K8588" s="18">
        <f>628121294251</f>
        <v>628121294251</v>
      </c>
      <c r="N8588" s="17" t="s">
        <v>74</v>
      </c>
      <c r="U8588" s="17"/>
      <c r="V8588" s="18">
        <f>628121294251</f>
        <v>628121294251</v>
      </c>
      <c r="W8588" t="s">
        <v>23972</v>
      </c>
    </row>
    <row r="8589" ht="15" customHeight="1" spans="1:22" x14ac:dyDescent="0.25">
      <c r="A8589" s="17" t="s">
        <v>23973</v>
      </c>
      <c r="B8589" s="17" t="s">
        <v>70</v>
      </c>
      <c r="C8589" s="17" t="s">
        <v>71</v>
      </c>
      <c r="D8589" t="s">
        <v>23968</v>
      </c>
      <c r="F8589" t="s">
        <v>23968</v>
      </c>
      <c r="K8589" s="18">
        <f>62811105182</f>
        <v>62811105182</v>
      </c>
      <c r="N8589" s="17" t="s">
        <v>77</v>
      </c>
      <c r="V8589" s="18">
        <f>62811105182</f>
        <v>62811105182</v>
      </c>
    </row>
    <row r="8590" ht="15" customHeight="1" spans="1:22" x14ac:dyDescent="0.25">
      <c r="A8590" s="17" t="s">
        <v>23974</v>
      </c>
      <c r="B8590" s="17" t="s">
        <v>70</v>
      </c>
      <c r="C8590" s="17" t="s">
        <v>71</v>
      </c>
      <c r="D8590" t="s">
        <v>23968</v>
      </c>
      <c r="F8590" t="s">
        <v>23975</v>
      </c>
      <c r="K8590" s="18">
        <f>628121103358</f>
        <v>628121103358</v>
      </c>
      <c r="N8590" s="17" t="s">
        <v>77</v>
      </c>
      <c r="V8590" s="18">
        <f>628121103358</f>
        <v>628121103358</v>
      </c>
    </row>
    <row r="8591" ht="15" customHeight="1" spans="1:28" x14ac:dyDescent="0.25">
      <c r="A8591" s="17" t="s">
        <v>23976</v>
      </c>
      <c r="B8591" s="17" t="s">
        <v>70</v>
      </c>
      <c r="C8591" s="17" t="s">
        <v>71</v>
      </c>
      <c r="D8591" t="s">
        <v>23968</v>
      </c>
      <c r="F8591" t="s">
        <v>23977</v>
      </c>
      <c r="J8591" t="s">
        <v>115</v>
      </c>
      <c r="K8591" s="18" t="s">
        <v>23978</v>
      </c>
      <c r="N8591" s="17" t="s">
        <v>77</v>
      </c>
      <c r="O8591" t="s">
        <v>199</v>
      </c>
      <c r="V8591" s="18" t="s">
        <v>23978</v>
      </c>
      <c r="Y8591" t="s">
        <v>1091</v>
      </c>
      <c r="AA8591" t="s">
        <v>115</v>
      </c>
      <c r="AB8591" t="s">
        <v>119</v>
      </c>
    </row>
    <row r="8592" ht="15" customHeight="1" spans="1:22" x14ac:dyDescent="0.25">
      <c r="A8592" s="17" t="s">
        <v>23979</v>
      </c>
      <c r="B8592" s="17" t="s">
        <v>70</v>
      </c>
      <c r="C8592" s="17" t="s">
        <v>71</v>
      </c>
      <c r="D8592" t="s">
        <v>23968</v>
      </c>
      <c r="F8592" t="s">
        <v>23980</v>
      </c>
      <c r="K8592" s="18">
        <f>628111681332</f>
        <v>628111681332</v>
      </c>
      <c r="N8592" s="17" t="s">
        <v>77</v>
      </c>
      <c r="V8592" s="18">
        <f>628111681332</f>
        <v>628111681332</v>
      </c>
    </row>
    <row r="8593" ht="15" customHeight="1" spans="1:22" x14ac:dyDescent="0.25">
      <c r="A8593" s="17" t="s">
        <v>23981</v>
      </c>
      <c r="B8593" s="17" t="s">
        <v>70</v>
      </c>
      <c r="C8593" s="17" t="s">
        <v>71</v>
      </c>
      <c r="D8593" t="s">
        <v>23968</v>
      </c>
      <c r="F8593" t="s">
        <v>23982</v>
      </c>
      <c r="K8593" s="18">
        <f>628161465392</f>
        <v>628161465392</v>
      </c>
      <c r="N8593" s="17" t="s">
        <v>77</v>
      </c>
      <c r="V8593" s="18">
        <f>628161465392</f>
        <v>628161465392</v>
      </c>
    </row>
    <row r="8594" ht="15" customHeight="1" spans="1:22" x14ac:dyDescent="0.25">
      <c r="A8594" s="17" t="s">
        <v>23983</v>
      </c>
      <c r="B8594" s="17" t="s">
        <v>70</v>
      </c>
      <c r="C8594" s="17" t="s">
        <v>71</v>
      </c>
      <c r="D8594" t="s">
        <v>23968</v>
      </c>
      <c r="F8594" t="s">
        <v>23984</v>
      </c>
      <c r="K8594" s="18">
        <f>62816657695</f>
        <v>62816657695</v>
      </c>
      <c r="N8594" s="17" t="s">
        <v>81</v>
      </c>
      <c r="V8594" s="18">
        <f>62816657695</f>
        <v>62816657695</v>
      </c>
    </row>
    <row r="8595" ht="15" customHeight="1" spans="1:22" x14ac:dyDescent="0.25">
      <c r="A8595" s="17" t="s">
        <v>23985</v>
      </c>
      <c r="B8595" s="17" t="s">
        <v>70</v>
      </c>
      <c r="C8595" s="17" t="s">
        <v>71</v>
      </c>
      <c r="D8595" t="s">
        <v>23968</v>
      </c>
      <c r="F8595" t="s">
        <v>23986</v>
      </c>
      <c r="K8595" s="18">
        <f>628158112345</f>
        <v>628158112345</v>
      </c>
      <c r="N8595" s="17" t="s">
        <v>77</v>
      </c>
      <c r="V8595" s="18">
        <f>628158112345</f>
        <v>628158112345</v>
      </c>
    </row>
    <row r="8596" ht="15" customHeight="1" spans="1:22" x14ac:dyDescent="0.25">
      <c r="A8596" s="17" t="s">
        <v>23987</v>
      </c>
      <c r="B8596" s="17" t="s">
        <v>70</v>
      </c>
      <c r="C8596" s="17" t="s">
        <v>71</v>
      </c>
      <c r="D8596" t="s">
        <v>23968</v>
      </c>
      <c r="F8596" t="s">
        <v>23988</v>
      </c>
      <c r="K8596" s="18">
        <f>62811340149</f>
        <v>62811340149</v>
      </c>
      <c r="N8596" s="17" t="s">
        <v>77</v>
      </c>
      <c r="V8596" s="18">
        <f>62811340149</f>
        <v>62811340149</v>
      </c>
    </row>
    <row r="8597" ht="15" customHeight="1" spans="1:27" x14ac:dyDescent="0.25">
      <c r="A8597" s="17" t="s">
        <v>23989</v>
      </c>
      <c r="B8597" s="17" t="s">
        <v>70</v>
      </c>
      <c r="C8597" s="17" t="s">
        <v>71</v>
      </c>
      <c r="D8597" t="s">
        <v>23968</v>
      </c>
      <c r="F8597" t="s">
        <v>9958</v>
      </c>
      <c r="K8597" s="18">
        <f>62816994251</f>
        <v>62816994251</v>
      </c>
      <c r="N8597" s="17" t="s">
        <v>77</v>
      </c>
      <c r="U8597" s="17"/>
      <c r="V8597" s="18">
        <f>62816994251</f>
        <v>62816994251</v>
      </c>
      <c r="W8597" t="s">
        <v>23990</v>
      </c>
      <c r="AA8597" s="17">
        <v>112520</v>
      </c>
    </row>
    <row r="8598" ht="15" customHeight="1" spans="1:25" x14ac:dyDescent="0.25">
      <c r="A8598" s="17" t="s">
        <v>23991</v>
      </c>
      <c r="B8598" s="17" t="s">
        <v>70</v>
      </c>
      <c r="C8598" s="17" t="s">
        <v>71</v>
      </c>
      <c r="D8598" t="s">
        <v>23968</v>
      </c>
      <c r="F8598" t="s">
        <v>23992</v>
      </c>
      <c r="K8598" s="18">
        <f>62816968673</f>
        <v>62816968673</v>
      </c>
      <c r="N8598" s="17" t="s">
        <v>77</v>
      </c>
      <c r="U8598" s="17"/>
      <c r="V8598" s="18">
        <f>62816968673</f>
        <v>62816968673</v>
      </c>
      <c r="W8598" t="s">
        <v>23993</v>
      </c>
      <c r="Y8598" s="17" t="s">
        <v>90</v>
      </c>
    </row>
    <row r="8599" ht="15" customHeight="1" spans="1:22" x14ac:dyDescent="0.25">
      <c r="A8599" s="17" t="s">
        <v>23994</v>
      </c>
      <c r="B8599" s="17" t="s">
        <v>70</v>
      </c>
      <c r="C8599" s="17" t="s">
        <v>71</v>
      </c>
      <c r="D8599" t="s">
        <v>23968</v>
      </c>
      <c r="F8599" t="s">
        <v>16159</v>
      </c>
      <c r="K8599" s="18">
        <f>628174958741</f>
        <v>628174958741</v>
      </c>
      <c r="N8599" s="17" t="s">
        <v>81</v>
      </c>
      <c r="V8599" s="18">
        <f>628174958741</f>
        <v>628174958741</v>
      </c>
    </row>
    <row r="8600" ht="15" customHeight="1" spans="1:28" x14ac:dyDescent="0.25">
      <c r="A8600" s="17" t="s">
        <v>23995</v>
      </c>
      <c r="B8600" s="17" t="s">
        <v>70</v>
      </c>
      <c r="C8600" s="17" t="s">
        <v>71</v>
      </c>
      <c r="D8600" t="s">
        <v>23968</v>
      </c>
      <c r="F8600" t="s">
        <v>23996</v>
      </c>
      <c r="J8600" t="s">
        <v>23997</v>
      </c>
      <c r="K8600" s="18" t="s">
        <v>23998</v>
      </c>
      <c r="N8600" s="17" t="s">
        <v>77</v>
      </c>
      <c r="O8600" t="s">
        <v>117</v>
      </c>
      <c r="V8600" s="18" t="s">
        <v>23998</v>
      </c>
      <c r="Y8600" t="s">
        <v>378</v>
      </c>
      <c r="AA8600" t="s">
        <v>118</v>
      </c>
      <c r="AB8600" t="s">
        <v>119</v>
      </c>
    </row>
    <row r="8601" ht="15" customHeight="1" spans="1:22" x14ac:dyDescent="0.25">
      <c r="A8601" s="17" t="s">
        <v>23999</v>
      </c>
      <c r="B8601" s="17" t="s">
        <v>70</v>
      </c>
      <c r="C8601" s="17" t="s">
        <v>71</v>
      </c>
      <c r="D8601" t="s">
        <v>23968</v>
      </c>
      <c r="F8601" t="s">
        <v>24000</v>
      </c>
      <c r="K8601" s="18">
        <f>6281220642720</f>
        <v>6281220642720</v>
      </c>
      <c r="N8601" s="17" t="s">
        <v>81</v>
      </c>
      <c r="V8601" s="18">
        <f>6281220642720</f>
        <v>6281220642720</v>
      </c>
    </row>
    <row r="8602" ht="15" customHeight="1" spans="1:27" x14ac:dyDescent="0.25">
      <c r="A8602" s="17" t="s">
        <v>24001</v>
      </c>
      <c r="B8602" s="17" t="s">
        <v>70</v>
      </c>
      <c r="C8602" s="17" t="s">
        <v>71</v>
      </c>
      <c r="D8602" t="s">
        <v>23968</v>
      </c>
      <c r="F8602" t="s">
        <v>1138</v>
      </c>
      <c r="K8602" s="18">
        <f>62811152453</f>
        <v>62811152453</v>
      </c>
      <c r="N8602" s="17" t="s">
        <v>77</v>
      </c>
      <c r="V8602" s="18">
        <f>62811152453</f>
        <v>62811152453</v>
      </c>
      <c r="AA8602" s="17" t="s">
        <v>4376</v>
      </c>
    </row>
    <row r="8603" ht="15" customHeight="1" spans="1:27" x14ac:dyDescent="0.25">
      <c r="A8603" s="17" t="s">
        <v>24002</v>
      </c>
      <c r="B8603" s="17" t="s">
        <v>70</v>
      </c>
      <c r="C8603" s="17" t="s">
        <v>71</v>
      </c>
      <c r="D8603" t="s">
        <v>24003</v>
      </c>
      <c r="F8603" t="s">
        <v>24004</v>
      </c>
      <c r="J8603" s="17" t="s">
        <v>24005</v>
      </c>
      <c r="K8603" s="18">
        <f>6281219991667</f>
        <v>6281219991667</v>
      </c>
      <c r="N8603" s="17" t="s">
        <v>77</v>
      </c>
      <c r="U8603" s="17"/>
      <c r="V8603" s="18">
        <f>6281219991667</f>
        <v>6281219991667</v>
      </c>
      <c r="W8603" t="s">
        <v>24006</v>
      </c>
      <c r="Y8603" s="17" t="s">
        <v>5700</v>
      </c>
      <c r="AA8603" s="17">
        <v>11430</v>
      </c>
    </row>
    <row r="8604" ht="15" customHeight="1" spans="1:23" x14ac:dyDescent="0.25">
      <c r="A8604" s="17" t="s">
        <v>24007</v>
      </c>
      <c r="B8604" s="17" t="s">
        <v>70</v>
      </c>
      <c r="C8604" s="17" t="s">
        <v>71</v>
      </c>
      <c r="D8604" t="s">
        <v>17493</v>
      </c>
      <c r="F8604" t="s">
        <v>17493</v>
      </c>
      <c r="K8604" s="18">
        <f>628557577777</f>
        <v>628557577777</v>
      </c>
      <c r="N8604" s="17" t="s">
        <v>81</v>
      </c>
      <c r="U8604" s="17"/>
      <c r="V8604" s="18">
        <f>628557577777</f>
        <v>628557577777</v>
      </c>
      <c r="W8604" t="s">
        <v>24008</v>
      </c>
    </row>
    <row r="8605" ht="15" customHeight="1" spans="1:22" x14ac:dyDescent="0.25">
      <c r="A8605" s="17" t="s">
        <v>24009</v>
      </c>
      <c r="B8605" s="17" t="s">
        <v>70</v>
      </c>
      <c r="C8605" s="17" t="s">
        <v>71</v>
      </c>
      <c r="D8605" t="s">
        <v>17493</v>
      </c>
      <c r="F8605" t="s">
        <v>212</v>
      </c>
      <c r="K8605" s="18">
        <f>6282111800153</f>
        <v>6282111800153</v>
      </c>
      <c r="N8605" s="17" t="s">
        <v>77</v>
      </c>
      <c r="V8605" s="18">
        <f>6282111800153</f>
        <v>6282111800153</v>
      </c>
    </row>
    <row r="8606" ht="15" customHeight="1" spans="1:28" x14ac:dyDescent="0.25">
      <c r="A8606" s="17" t="s">
        <v>24010</v>
      </c>
      <c r="B8606" s="17" t="s">
        <v>70</v>
      </c>
      <c r="C8606" s="17" t="s">
        <v>71</v>
      </c>
      <c r="D8606" t="s">
        <v>17493</v>
      </c>
      <c r="F8606" t="s">
        <v>24011</v>
      </c>
      <c r="J8606" t="s">
        <v>24012</v>
      </c>
      <c r="K8606" s="18" t="s">
        <v>24013</v>
      </c>
      <c r="N8606" s="17" t="s">
        <v>77</v>
      </c>
      <c r="O8606" t="s">
        <v>489</v>
      </c>
      <c r="U8606" s="17"/>
      <c r="V8606" s="18" t="s">
        <v>24013</v>
      </c>
      <c r="W8606" t="s">
        <v>24014</v>
      </c>
      <c r="Y8606" s="17" t="s">
        <v>181</v>
      </c>
      <c r="AA8606" t="s">
        <v>1672</v>
      </c>
      <c r="AB8606" t="s">
        <v>119</v>
      </c>
    </row>
    <row r="8607" ht="15" customHeight="1" spans="1:23" x14ac:dyDescent="0.25">
      <c r="A8607" s="17" t="s">
        <v>24015</v>
      </c>
      <c r="B8607" s="17" t="s">
        <v>70</v>
      </c>
      <c r="C8607" s="17" t="s">
        <v>71</v>
      </c>
      <c r="D8607" t="s">
        <v>17493</v>
      </c>
      <c r="F8607" t="s">
        <v>24016</v>
      </c>
      <c r="K8607" s="18">
        <f>6281237500077</f>
        <v>6281237500077</v>
      </c>
      <c r="N8607" s="17" t="s">
        <v>81</v>
      </c>
      <c r="U8607" s="17"/>
      <c r="V8607" s="18">
        <f>6281237500077</f>
        <v>6281237500077</v>
      </c>
      <c r="W8607" t="s">
        <v>24017</v>
      </c>
    </row>
    <row r="8608" ht="15" customHeight="1" spans="1:22" x14ac:dyDescent="0.25">
      <c r="A8608" s="17" t="s">
        <v>24018</v>
      </c>
      <c r="B8608" s="17" t="s">
        <v>70</v>
      </c>
      <c r="C8608" s="17" t="s">
        <v>71</v>
      </c>
      <c r="D8608" t="s">
        <v>17493</v>
      </c>
      <c r="F8608" t="s">
        <v>24019</v>
      </c>
      <c r="K8608" s="18">
        <f>6281908208989</f>
        <v>6281908208989</v>
      </c>
      <c r="N8608" s="17" t="s">
        <v>77</v>
      </c>
      <c r="V8608" s="18">
        <f>6281908208989</f>
        <v>6281908208989</v>
      </c>
    </row>
    <row r="8609" ht="15" customHeight="1" spans="1:27" x14ac:dyDescent="0.25">
      <c r="A8609" s="17" t="s">
        <v>24020</v>
      </c>
      <c r="B8609" s="17" t="s">
        <v>70</v>
      </c>
      <c r="C8609" s="17" t="s">
        <v>71</v>
      </c>
      <c r="D8609" t="s">
        <v>17493</v>
      </c>
      <c r="F8609" t="s">
        <v>282</v>
      </c>
      <c r="J8609" s="17" t="s">
        <v>24021</v>
      </c>
      <c r="K8609" s="18">
        <f>6281315091509</f>
        <v>6281315091509</v>
      </c>
      <c r="N8609" s="17" t="s">
        <v>74</v>
      </c>
      <c r="U8609" s="17"/>
      <c r="V8609" s="18">
        <f>6281315091509</f>
        <v>6281315091509</v>
      </c>
      <c r="W8609" t="s">
        <v>24022</v>
      </c>
      <c r="AA8609" s="17">
        <v>11520</v>
      </c>
    </row>
    <row r="8610" ht="15" customHeight="1" spans="1:23" x14ac:dyDescent="0.25">
      <c r="A8610" s="17" t="s">
        <v>24023</v>
      </c>
      <c r="B8610" s="17" t="s">
        <v>70</v>
      </c>
      <c r="C8610" s="17" t="s">
        <v>71</v>
      </c>
      <c r="D8610" t="s">
        <v>17493</v>
      </c>
      <c r="F8610" t="s">
        <v>1016</v>
      </c>
      <c r="K8610" s="18">
        <f>6282120222297</f>
        <v>6282120222297</v>
      </c>
      <c r="N8610" s="17" t="s">
        <v>81</v>
      </c>
      <c r="U8610" s="17"/>
      <c r="V8610" s="18">
        <f>6282120222297</f>
        <v>6282120222297</v>
      </c>
      <c r="W8610" t="s">
        <v>24024</v>
      </c>
    </row>
    <row r="8611" ht="15" customHeight="1" spans="1:28" x14ac:dyDescent="0.25">
      <c r="A8611" s="17" t="s">
        <v>24025</v>
      </c>
      <c r="B8611" s="17" t="s">
        <v>70</v>
      </c>
      <c r="C8611" s="17" t="s">
        <v>71</v>
      </c>
      <c r="D8611" t="s">
        <v>17493</v>
      </c>
      <c r="F8611" t="s">
        <v>308</v>
      </c>
      <c r="J8611" s="17" t="s">
        <v>24026</v>
      </c>
      <c r="K8611" s="18" t="s">
        <v>24027</v>
      </c>
      <c r="N8611" s="17" t="s">
        <v>77</v>
      </c>
      <c r="O8611" t="s">
        <v>117</v>
      </c>
      <c r="U8611" s="17"/>
      <c r="V8611" s="18" t="s">
        <v>24027</v>
      </c>
      <c r="W8611" t="s">
        <v>24028</v>
      </c>
      <c r="Y8611" t="s">
        <v>190</v>
      </c>
      <c r="AA8611" t="s">
        <v>118</v>
      </c>
      <c r="AB8611" t="s">
        <v>119</v>
      </c>
    </row>
    <row r="8612" ht="15" customHeight="1" spans="1:22" x14ac:dyDescent="0.25">
      <c r="A8612" s="17" t="s">
        <v>24029</v>
      </c>
      <c r="B8612" s="17" t="s">
        <v>70</v>
      </c>
      <c r="C8612" s="17" t="s">
        <v>71</v>
      </c>
      <c r="D8612" t="s">
        <v>17493</v>
      </c>
      <c r="F8612" t="s">
        <v>672</v>
      </c>
      <c r="J8612" s="17" t="s">
        <v>24030</v>
      </c>
      <c r="K8612" s="18">
        <f>62811128883</f>
        <v>62811128883</v>
      </c>
      <c r="N8612" s="17" t="s">
        <v>77</v>
      </c>
      <c r="V8612" s="18">
        <f>62811128883</f>
        <v>62811128883</v>
      </c>
    </row>
    <row r="8613" ht="15" customHeight="1" spans="1:23" x14ac:dyDescent="0.25">
      <c r="A8613" s="17" t="s">
        <v>24031</v>
      </c>
      <c r="B8613" s="17" t="s">
        <v>70</v>
      </c>
      <c r="C8613" s="17" t="s">
        <v>71</v>
      </c>
      <c r="D8613" t="s">
        <v>8387</v>
      </c>
      <c r="F8613" t="s">
        <v>19897</v>
      </c>
      <c r="K8613" s="18">
        <v>8613957821615</v>
      </c>
      <c r="N8613" s="17" t="s">
        <v>77</v>
      </c>
      <c r="U8613" s="17"/>
      <c r="V8613" s="18">
        <v>8613957821615</v>
      </c>
      <c r="W8613" t="s">
        <v>3140</v>
      </c>
    </row>
    <row r="8614" ht="15" customHeight="1" spans="1:22" x14ac:dyDescent="0.25">
      <c r="A8614" s="17" t="s">
        <v>24032</v>
      </c>
      <c r="B8614" s="17" t="s">
        <v>70</v>
      </c>
      <c r="C8614" s="17" t="s">
        <v>71</v>
      </c>
      <c r="D8614" t="s">
        <v>8387</v>
      </c>
      <c r="F8614" t="s">
        <v>2406</v>
      </c>
      <c r="K8614" s="18">
        <f>6281212975561</f>
        <v>6281212975561</v>
      </c>
      <c r="N8614" s="17" t="s">
        <v>81</v>
      </c>
      <c r="V8614" s="18">
        <f>6281212975561</f>
        <v>6281212975561</v>
      </c>
    </row>
    <row r="8615" ht="15" customHeight="1" spans="1:22" x14ac:dyDescent="0.25">
      <c r="A8615" s="17" t="s">
        <v>24033</v>
      </c>
      <c r="B8615" s="17" t="s">
        <v>70</v>
      </c>
      <c r="C8615" s="17" t="s">
        <v>71</v>
      </c>
      <c r="D8615" t="s">
        <v>8387</v>
      </c>
      <c r="F8615" t="s">
        <v>20677</v>
      </c>
      <c r="K8615" s="18">
        <f>6282122584409</f>
        <v>6282122584409</v>
      </c>
      <c r="N8615" s="17" t="s">
        <v>81</v>
      </c>
      <c r="V8615" s="18">
        <f>6282122584409</f>
        <v>6282122584409</v>
      </c>
    </row>
    <row r="8616" ht="15" customHeight="1" spans="1:22" x14ac:dyDescent="0.25">
      <c r="A8616" s="17" t="s">
        <v>24034</v>
      </c>
      <c r="B8616" s="17" t="s">
        <v>70</v>
      </c>
      <c r="C8616" s="17" t="s">
        <v>71</v>
      </c>
      <c r="D8616" t="s">
        <v>8387</v>
      </c>
      <c r="F8616" t="s">
        <v>23887</v>
      </c>
      <c r="K8616" s="18">
        <f>62821012024</f>
        <v>62821012024</v>
      </c>
      <c r="N8616" s="17" t="s">
        <v>81</v>
      </c>
      <c r="V8616" s="18">
        <f>62821012024</f>
        <v>62821012024</v>
      </c>
    </row>
    <row r="8617" ht="15" customHeight="1" spans="1:23" x14ac:dyDescent="0.25">
      <c r="A8617" s="17" t="s">
        <v>24035</v>
      </c>
      <c r="B8617" s="17" t="s">
        <v>70</v>
      </c>
      <c r="C8617" s="17" t="s">
        <v>71</v>
      </c>
      <c r="D8617" t="s">
        <v>24036</v>
      </c>
      <c r="F8617" t="s">
        <v>24037</v>
      </c>
      <c r="K8617" s="18">
        <f>886937255517</f>
        <v>886937255517</v>
      </c>
      <c r="N8617" s="17" t="s">
        <v>77</v>
      </c>
      <c r="U8617" s="17"/>
      <c r="V8617" s="18">
        <f>886937255517</f>
        <v>886937255517</v>
      </c>
      <c r="W8617" t="s">
        <v>3140</v>
      </c>
    </row>
    <row r="8618" ht="15" customHeight="1" spans="1:23" x14ac:dyDescent="0.25">
      <c r="A8618" s="17" t="s">
        <v>24038</v>
      </c>
      <c r="B8618" s="17" t="s">
        <v>70</v>
      </c>
      <c r="C8618" s="17" t="s">
        <v>71</v>
      </c>
      <c r="D8618" t="s">
        <v>24036</v>
      </c>
      <c r="F8618" t="s">
        <v>24039</v>
      </c>
      <c r="J8618" s="17" t="s">
        <v>24040</v>
      </c>
      <c r="K8618" s="18">
        <f>8615900000176</f>
        <v>8615900000176</v>
      </c>
      <c r="N8618" s="17" t="s">
        <v>77</v>
      </c>
      <c r="U8618" s="17"/>
      <c r="V8618" s="18">
        <f>8615900000176</f>
        <v>8615900000176</v>
      </c>
      <c r="W8618" t="s">
        <v>3140</v>
      </c>
    </row>
    <row r="8619" ht="15" customHeight="1" spans="1:23" x14ac:dyDescent="0.25">
      <c r="A8619" s="17" t="s">
        <v>24041</v>
      </c>
      <c r="B8619" s="17" t="s">
        <v>70</v>
      </c>
      <c r="C8619" s="17" t="s">
        <v>71</v>
      </c>
      <c r="D8619" t="s">
        <v>24036</v>
      </c>
      <c r="F8619" t="s">
        <v>24042</v>
      </c>
      <c r="J8619" s="17" t="s">
        <v>24043</v>
      </c>
      <c r="K8619" s="18">
        <f>8613928823322</f>
        <v>8613928823322</v>
      </c>
      <c r="N8619" s="17" t="s">
        <v>77</v>
      </c>
      <c r="U8619" s="17"/>
      <c r="V8619" s="18">
        <f>8613928823322</f>
        <v>8613928823322</v>
      </c>
      <c r="W8619" t="s">
        <v>3140</v>
      </c>
    </row>
    <row r="8620" ht="15" customHeight="1" spans="1:28" x14ac:dyDescent="0.25">
      <c r="A8620" s="17" t="s">
        <v>24044</v>
      </c>
      <c r="B8620" s="17" t="s">
        <v>70</v>
      </c>
      <c r="C8620" s="17" t="s">
        <v>71</v>
      </c>
      <c r="D8620" t="s">
        <v>15691</v>
      </c>
      <c r="F8620" t="s">
        <v>6082</v>
      </c>
      <c r="J8620" s="17" t="s">
        <v>24045</v>
      </c>
      <c r="K8620" s="18" t="s">
        <v>24046</v>
      </c>
      <c r="N8620" s="17" t="s">
        <v>77</v>
      </c>
      <c r="O8620" t="s">
        <v>145</v>
      </c>
      <c r="U8620" s="17"/>
      <c r="V8620" s="18" t="s">
        <v>24046</v>
      </c>
      <c r="W8620" t="s">
        <v>3140</v>
      </c>
      <c r="Y8620" s="17" t="s">
        <v>3140</v>
      </c>
      <c r="AA8620" t="s">
        <v>115</v>
      </c>
      <c r="AB8620" t="s">
        <v>4036</v>
      </c>
    </row>
    <row r="8621" ht="15" customHeight="1" spans="1:22" x14ac:dyDescent="0.25">
      <c r="A8621" s="17" t="s">
        <v>24047</v>
      </c>
      <c r="B8621" s="17" t="s">
        <v>70</v>
      </c>
      <c r="C8621" s="17" t="s">
        <v>71</v>
      </c>
      <c r="D8621" t="s">
        <v>24048</v>
      </c>
      <c r="F8621" t="s">
        <v>24048</v>
      </c>
      <c r="K8621" s="18">
        <f>6281210103100</f>
        <v>6281210103100</v>
      </c>
      <c r="N8621" s="17" t="s">
        <v>74</v>
      </c>
      <c r="V8621" s="18">
        <f>6281210103100</f>
        <v>6281210103100</v>
      </c>
    </row>
    <row r="8622" ht="15" customHeight="1" spans="1:28" x14ac:dyDescent="0.25">
      <c r="A8622" s="17" t="s">
        <v>24049</v>
      </c>
      <c r="B8622" s="17" t="s">
        <v>70</v>
      </c>
      <c r="C8622" s="17" t="s">
        <v>71</v>
      </c>
      <c r="D8622" t="s">
        <v>24048</v>
      </c>
      <c r="F8622" t="s">
        <v>1608</v>
      </c>
      <c r="J8622" t="s">
        <v>115</v>
      </c>
      <c r="K8622" s="18" t="s">
        <v>24050</v>
      </c>
      <c r="N8622" s="17" t="s">
        <v>81</v>
      </c>
      <c r="O8622" t="s">
        <v>117</v>
      </c>
      <c r="U8622" s="17"/>
      <c r="V8622" s="18" t="s">
        <v>24050</v>
      </c>
      <c r="W8622" t="s">
        <v>24051</v>
      </c>
      <c r="Y8622" t="s">
        <v>90</v>
      </c>
      <c r="AA8622" t="s">
        <v>118</v>
      </c>
      <c r="AB8622" t="s">
        <v>119</v>
      </c>
    </row>
    <row r="8623" ht="15" customHeight="1" spans="1:28" x14ac:dyDescent="0.25">
      <c r="A8623" s="17" t="s">
        <v>24052</v>
      </c>
      <c r="B8623" s="17" t="s">
        <v>70</v>
      </c>
      <c r="C8623" s="17" t="s">
        <v>71</v>
      </c>
      <c r="D8623" t="s">
        <v>24053</v>
      </c>
      <c r="F8623" t="s">
        <v>1169</v>
      </c>
      <c r="J8623" t="s">
        <v>115</v>
      </c>
      <c r="K8623" s="18" t="s">
        <v>24054</v>
      </c>
      <c r="N8623" s="17" t="s">
        <v>77</v>
      </c>
      <c r="O8623" t="s">
        <v>489</v>
      </c>
      <c r="V8623" s="18" t="s">
        <v>24054</v>
      </c>
      <c r="Y8623" t="s">
        <v>90</v>
      </c>
      <c r="AA8623" t="s">
        <v>118</v>
      </c>
      <c r="AB8623" t="s">
        <v>119</v>
      </c>
    </row>
    <row r="8624" ht="15" customHeight="1" spans="1:23" x14ac:dyDescent="0.25">
      <c r="A8624" s="17" t="s">
        <v>24055</v>
      </c>
      <c r="B8624" s="17" t="s">
        <v>70</v>
      </c>
      <c r="C8624" s="17" t="s">
        <v>71</v>
      </c>
      <c r="D8624" t="s">
        <v>24053</v>
      </c>
      <c r="F8624" t="s">
        <v>1169</v>
      </c>
      <c r="J8624" s="17" t="s">
        <v>24056</v>
      </c>
      <c r="K8624" s="18">
        <f>6281116480</f>
        <v>6281116480</v>
      </c>
      <c r="N8624" s="17" t="s">
        <v>77</v>
      </c>
      <c r="U8624" s="17"/>
      <c r="V8624" s="18">
        <f>6281116480</f>
        <v>6281116480</v>
      </c>
      <c r="W8624" t="s">
        <v>24057</v>
      </c>
    </row>
    <row r="8625" ht="15" customHeight="1" spans="1:22" x14ac:dyDescent="0.25">
      <c r="A8625" s="17" t="s">
        <v>24058</v>
      </c>
      <c r="B8625" s="17" t="s">
        <v>70</v>
      </c>
      <c r="C8625" s="17" t="s">
        <v>71</v>
      </c>
      <c r="D8625" t="s">
        <v>24059</v>
      </c>
      <c r="F8625" t="s">
        <v>3181</v>
      </c>
      <c r="K8625" s="18">
        <f>62811916774</f>
        <v>62811916774</v>
      </c>
      <c r="N8625" s="17" t="s">
        <v>77</v>
      </c>
      <c r="V8625" s="18">
        <f>62811916774</f>
        <v>62811916774</v>
      </c>
    </row>
    <row r="8626" ht="15" customHeight="1" spans="1:22" x14ac:dyDescent="0.25">
      <c r="A8626" s="17" t="s">
        <v>24060</v>
      </c>
      <c r="B8626" s="17" t="s">
        <v>70</v>
      </c>
      <c r="C8626" s="17" t="s">
        <v>71</v>
      </c>
      <c r="D8626" t="s">
        <v>5511</v>
      </c>
      <c r="F8626" t="s">
        <v>23220</v>
      </c>
      <c r="K8626" s="18">
        <f>628112686666</f>
        <v>628112686666</v>
      </c>
      <c r="N8626" s="17" t="s">
        <v>81</v>
      </c>
      <c r="V8626" s="18">
        <f>628112686666</f>
        <v>628112686666</v>
      </c>
    </row>
    <row r="8627" ht="15" customHeight="1" spans="1:22" x14ac:dyDescent="0.25">
      <c r="A8627" s="17" t="s">
        <v>24061</v>
      </c>
      <c r="B8627" s="17" t="s">
        <v>70</v>
      </c>
      <c r="C8627" s="17" t="s">
        <v>71</v>
      </c>
      <c r="D8627" t="s">
        <v>5511</v>
      </c>
      <c r="F8627" t="s">
        <v>5942</v>
      </c>
      <c r="K8627" s="18">
        <f>6281384737100</f>
        <v>6281384737100</v>
      </c>
      <c r="N8627" s="17" t="s">
        <v>81</v>
      </c>
      <c r="V8627" s="18">
        <f>6281384737100</f>
        <v>6281384737100</v>
      </c>
    </row>
    <row r="8628" ht="15" customHeight="1" spans="1:22" x14ac:dyDescent="0.25">
      <c r="A8628" s="17" t="s">
        <v>24062</v>
      </c>
      <c r="B8628" s="17" t="s">
        <v>70</v>
      </c>
      <c r="C8628" s="17" t="s">
        <v>71</v>
      </c>
      <c r="D8628" t="s">
        <v>5511</v>
      </c>
      <c r="F8628" t="s">
        <v>24063</v>
      </c>
      <c r="K8628" s="18">
        <f>628111508866</f>
        <v>628111508866</v>
      </c>
      <c r="N8628" s="17" t="s">
        <v>81</v>
      </c>
      <c r="V8628" s="18">
        <f>628111508866</f>
        <v>628111508866</v>
      </c>
    </row>
    <row r="8629" ht="15" customHeight="1" spans="1:28" x14ac:dyDescent="0.25">
      <c r="A8629" s="17" t="s">
        <v>24064</v>
      </c>
      <c r="B8629" s="17" t="s">
        <v>70</v>
      </c>
      <c r="C8629" s="17" t="s">
        <v>71</v>
      </c>
      <c r="D8629" t="s">
        <v>24065</v>
      </c>
      <c r="F8629" t="s">
        <v>24066</v>
      </c>
      <c r="J8629" s="17" t="s">
        <v>24067</v>
      </c>
      <c r="K8629" s="18" t="s">
        <v>24068</v>
      </c>
      <c r="N8629" s="17" t="s">
        <v>77</v>
      </c>
      <c r="O8629" t="s">
        <v>117</v>
      </c>
      <c r="U8629" s="17"/>
      <c r="V8629" s="18" t="s">
        <v>24068</v>
      </c>
      <c r="W8629" t="s">
        <v>24069</v>
      </c>
      <c r="Y8629" s="17" t="s">
        <v>3140</v>
      </c>
      <c r="AA8629" t="s">
        <v>115</v>
      </c>
      <c r="AB8629" t="s">
        <v>3140</v>
      </c>
    </row>
    <row r="8630" ht="15" customHeight="1" spans="1:22" x14ac:dyDescent="0.25">
      <c r="A8630" s="17" t="s">
        <v>24070</v>
      </c>
      <c r="B8630" s="17" t="s">
        <v>70</v>
      </c>
      <c r="C8630" s="17" t="s">
        <v>71</v>
      </c>
      <c r="D8630" t="s">
        <v>24071</v>
      </c>
      <c r="F8630" t="s">
        <v>24071</v>
      </c>
      <c r="K8630" s="18">
        <f>62811322274</f>
        <v>62811322274</v>
      </c>
      <c r="N8630" s="17" t="s">
        <v>81</v>
      </c>
      <c r="V8630" s="18">
        <f>62811322274</f>
        <v>62811322274</v>
      </c>
    </row>
    <row r="8631" ht="15" customHeight="1" spans="1:23" x14ac:dyDescent="0.25">
      <c r="A8631" s="17" t="s">
        <v>24072</v>
      </c>
      <c r="B8631" s="17" t="s">
        <v>70</v>
      </c>
      <c r="C8631" s="17" t="s">
        <v>71</v>
      </c>
      <c r="D8631" t="s">
        <v>24073</v>
      </c>
      <c r="F8631" t="s">
        <v>24073</v>
      </c>
      <c r="K8631" s="18">
        <f>628115817788</f>
        <v>628115817788</v>
      </c>
      <c r="N8631" s="17" t="s">
        <v>81</v>
      </c>
      <c r="U8631" s="17"/>
      <c r="V8631" s="18">
        <f>628115817788</f>
        <v>628115817788</v>
      </c>
      <c r="W8631" t="s">
        <v>24074</v>
      </c>
    </row>
    <row r="8632" ht="15" customHeight="1" spans="1:28" x14ac:dyDescent="0.25">
      <c r="A8632" s="17" t="s">
        <v>24075</v>
      </c>
      <c r="B8632" s="17" t="s">
        <v>70</v>
      </c>
      <c r="C8632" s="17" t="s">
        <v>71</v>
      </c>
      <c r="D8632" t="s">
        <v>24076</v>
      </c>
      <c r="F8632" t="s">
        <v>14579</v>
      </c>
      <c r="J8632" s="17" t="s">
        <v>24077</v>
      </c>
      <c r="K8632" s="18" t="s">
        <v>24078</v>
      </c>
      <c r="N8632" s="17" t="s">
        <v>77</v>
      </c>
      <c r="O8632" t="s">
        <v>261</v>
      </c>
      <c r="U8632" s="17"/>
      <c r="V8632" s="18" t="s">
        <v>24078</v>
      </c>
      <c r="W8632" t="s">
        <v>1903</v>
      </c>
      <c r="Y8632" t="s">
        <v>1903</v>
      </c>
      <c r="AA8632" t="s">
        <v>115</v>
      </c>
      <c r="AB8632" t="s">
        <v>1903</v>
      </c>
    </row>
    <row r="8633" ht="15" customHeight="1" spans="1:22" x14ac:dyDescent="0.25">
      <c r="A8633" s="17" t="s">
        <v>24079</v>
      </c>
      <c r="B8633" s="17" t="s">
        <v>70</v>
      </c>
      <c r="C8633" s="17" t="s">
        <v>71</v>
      </c>
      <c r="D8633" t="s">
        <v>21399</v>
      </c>
      <c r="F8633" t="s">
        <v>21399</v>
      </c>
      <c r="K8633" s="18">
        <f>628118075809</f>
        <v>628118075809</v>
      </c>
      <c r="N8633" s="17" t="s">
        <v>77</v>
      </c>
      <c r="V8633" s="18">
        <f>628118075809</f>
        <v>628118075809</v>
      </c>
    </row>
    <row r="8634" ht="15" customHeight="1" spans="1:28" x14ac:dyDescent="0.25">
      <c r="A8634" s="17" t="s">
        <v>24080</v>
      </c>
      <c r="B8634" s="17" t="s">
        <v>70</v>
      </c>
      <c r="C8634" s="17" t="s">
        <v>71</v>
      </c>
      <c r="D8634" t="s">
        <v>21399</v>
      </c>
      <c r="F8634" t="s">
        <v>21399</v>
      </c>
      <c r="J8634" t="s">
        <v>115</v>
      </c>
      <c r="K8634" s="18" t="s">
        <v>24081</v>
      </c>
      <c r="N8634" s="17" t="s">
        <v>81</v>
      </c>
      <c r="O8634" t="s">
        <v>117</v>
      </c>
      <c r="V8634" s="18" t="s">
        <v>24081</v>
      </c>
      <c r="Y8634" t="s">
        <v>90</v>
      </c>
      <c r="AA8634" t="s">
        <v>118</v>
      </c>
      <c r="AB8634" t="s">
        <v>119</v>
      </c>
    </row>
    <row r="8635" ht="15" customHeight="1" spans="1:28" x14ac:dyDescent="0.25">
      <c r="A8635" s="17" t="s">
        <v>24082</v>
      </c>
      <c r="B8635" s="17" t="s">
        <v>70</v>
      </c>
      <c r="C8635" s="17" t="s">
        <v>71</v>
      </c>
      <c r="D8635" t="s">
        <v>21399</v>
      </c>
      <c r="F8635" t="s">
        <v>2159</v>
      </c>
      <c r="J8635" t="s">
        <v>115</v>
      </c>
      <c r="K8635" s="18" t="s">
        <v>24083</v>
      </c>
      <c r="N8635" s="17" t="s">
        <v>81</v>
      </c>
      <c r="O8635" t="s">
        <v>261</v>
      </c>
      <c r="V8635" s="18" t="s">
        <v>24083</v>
      </c>
      <c r="Y8635" t="s">
        <v>90</v>
      </c>
      <c r="AA8635" t="s">
        <v>118</v>
      </c>
      <c r="AB8635" t="s">
        <v>119</v>
      </c>
    </row>
    <row r="8636" ht="15" customHeight="1" spans="1:22" x14ac:dyDescent="0.25">
      <c r="A8636" s="17" t="s">
        <v>24084</v>
      </c>
      <c r="B8636" s="17" t="s">
        <v>70</v>
      </c>
      <c r="C8636" s="17" t="s">
        <v>71</v>
      </c>
      <c r="D8636" t="s">
        <v>21399</v>
      </c>
      <c r="F8636" t="s">
        <v>24085</v>
      </c>
      <c r="K8636" s="18">
        <f>62811147222</f>
        <v>62811147222</v>
      </c>
      <c r="N8636" s="17" t="s">
        <v>81</v>
      </c>
      <c r="V8636" s="18">
        <f>62811147222</f>
        <v>62811147222</v>
      </c>
    </row>
    <row r="8637" ht="15" customHeight="1" spans="1:22" x14ac:dyDescent="0.25">
      <c r="A8637" s="17" t="s">
        <v>24086</v>
      </c>
      <c r="B8637" s="17" t="s">
        <v>70</v>
      </c>
      <c r="C8637" s="17" t="s">
        <v>71</v>
      </c>
      <c r="D8637" t="s">
        <v>21399</v>
      </c>
      <c r="F8637" t="s">
        <v>24087</v>
      </c>
      <c r="K8637" s="18">
        <f>628195606600</f>
        <v>628195606600</v>
      </c>
      <c r="N8637" s="17" t="s">
        <v>77</v>
      </c>
      <c r="V8637" s="18">
        <f>628195606600</f>
        <v>628195606600</v>
      </c>
    </row>
    <row r="8638" ht="15" customHeight="1" spans="1:23" x14ac:dyDescent="0.25">
      <c r="A8638" s="17" t="s">
        <v>24088</v>
      </c>
      <c r="B8638" s="17" t="s">
        <v>70</v>
      </c>
      <c r="C8638" s="17" t="s">
        <v>71</v>
      </c>
      <c r="D8638" t="s">
        <v>21399</v>
      </c>
      <c r="F8638" t="s">
        <v>2258</v>
      </c>
      <c r="J8638" s="17" t="s">
        <v>24089</v>
      </c>
      <c r="K8638" s="18">
        <f>628176066403</f>
        <v>628176066403</v>
      </c>
      <c r="N8638" s="17" t="s">
        <v>77</v>
      </c>
      <c r="U8638" s="17"/>
      <c r="V8638" s="18">
        <f>628176066403</f>
        <v>628176066403</v>
      </c>
      <c r="W8638" t="s">
        <v>24090</v>
      </c>
    </row>
    <row r="8639" ht="15" customHeight="1" spans="1:28" x14ac:dyDescent="0.25">
      <c r="A8639" s="17" t="s">
        <v>24091</v>
      </c>
      <c r="B8639" s="17" t="s">
        <v>70</v>
      </c>
      <c r="C8639" s="17" t="s">
        <v>71</v>
      </c>
      <c r="D8639" t="s">
        <v>21399</v>
      </c>
      <c r="F8639" t="s">
        <v>8871</v>
      </c>
      <c r="J8639" s="17" t="s">
        <v>24092</v>
      </c>
      <c r="K8639" s="18" t="s">
        <v>24093</v>
      </c>
      <c r="N8639" s="17" t="s">
        <v>77</v>
      </c>
      <c r="O8639" t="s">
        <v>145</v>
      </c>
      <c r="U8639" s="17"/>
      <c r="V8639" s="18" t="s">
        <v>24093</v>
      </c>
      <c r="W8639" t="s">
        <v>7956</v>
      </c>
      <c r="Y8639" t="s">
        <v>626</v>
      </c>
      <c r="AA8639" t="s">
        <v>3090</v>
      </c>
      <c r="AB8639" t="s">
        <v>119</v>
      </c>
    </row>
    <row r="8640" ht="15" customHeight="1" spans="1:25" x14ac:dyDescent="0.25">
      <c r="A8640" s="17" t="s">
        <v>24094</v>
      </c>
      <c r="B8640" s="17" t="s">
        <v>70</v>
      </c>
      <c r="C8640" s="17" t="s">
        <v>71</v>
      </c>
      <c r="D8640" t="s">
        <v>21399</v>
      </c>
      <c r="F8640" t="s">
        <v>24095</v>
      </c>
      <c r="K8640" s="18">
        <f>62811434174</f>
        <v>62811434174</v>
      </c>
      <c r="N8640" s="17" t="s">
        <v>81</v>
      </c>
      <c r="U8640" s="17"/>
      <c r="V8640" s="18">
        <f>62811434174</f>
        <v>62811434174</v>
      </c>
      <c r="W8640" t="s">
        <v>24096</v>
      </c>
      <c r="Y8640" s="17" t="s">
        <v>24097</v>
      </c>
    </row>
    <row r="8641" ht="15" customHeight="1" spans="1:25" x14ac:dyDescent="0.25">
      <c r="A8641" s="17" t="s">
        <v>24098</v>
      </c>
      <c r="B8641" s="17" t="s">
        <v>70</v>
      </c>
      <c r="C8641" s="17" t="s">
        <v>71</v>
      </c>
      <c r="D8641" t="s">
        <v>1217</v>
      </c>
      <c r="F8641" t="s">
        <v>3866</v>
      </c>
      <c r="K8641" s="18">
        <f>628161967882</f>
        <v>628161967882</v>
      </c>
      <c r="N8641" s="17" t="s">
        <v>81</v>
      </c>
      <c r="U8641" s="17"/>
      <c r="V8641" s="18">
        <f>628161967882</f>
        <v>628161967882</v>
      </c>
      <c r="W8641" t="s">
        <v>24099</v>
      </c>
      <c r="Y8641" s="17" t="s">
        <v>622</v>
      </c>
    </row>
    <row r="8642" ht="15" customHeight="1" spans="1:22" x14ac:dyDescent="0.25">
      <c r="A8642" s="17" t="s">
        <v>24100</v>
      </c>
      <c r="B8642" s="17" t="s">
        <v>70</v>
      </c>
      <c r="C8642" s="17" t="s">
        <v>71</v>
      </c>
      <c r="D8642" t="s">
        <v>1217</v>
      </c>
      <c r="F8642" t="s">
        <v>13419</v>
      </c>
      <c r="K8642" s="18">
        <f>6289634817817</f>
        <v>6289634817817</v>
      </c>
      <c r="N8642" s="17" t="s">
        <v>77</v>
      </c>
      <c r="V8642" s="18">
        <f>6289634817817</f>
        <v>6289634817817</v>
      </c>
    </row>
    <row r="8643" ht="15" customHeight="1" spans="1:22" x14ac:dyDescent="0.25">
      <c r="A8643" s="17" t="s">
        <v>24101</v>
      </c>
      <c r="B8643" s="17" t="s">
        <v>70</v>
      </c>
      <c r="C8643" s="17" t="s">
        <v>71</v>
      </c>
      <c r="D8643" t="s">
        <v>1217</v>
      </c>
      <c r="F8643" t="s">
        <v>13452</v>
      </c>
      <c r="K8643" s="18">
        <f>628170007866</f>
        <v>628170007866</v>
      </c>
      <c r="N8643" s="17" t="s">
        <v>77</v>
      </c>
      <c r="V8643" s="18">
        <f>628170007866</f>
        <v>628170007866</v>
      </c>
    </row>
    <row r="8644" ht="15" customHeight="1" spans="1:27" x14ac:dyDescent="0.25">
      <c r="A8644" s="17" t="s">
        <v>24102</v>
      </c>
      <c r="B8644" s="17" t="s">
        <v>70</v>
      </c>
      <c r="C8644" s="17" t="s">
        <v>71</v>
      </c>
      <c r="D8644" t="s">
        <v>1217</v>
      </c>
      <c r="F8644" t="s">
        <v>24103</v>
      </c>
      <c r="K8644" s="18">
        <f>62811361111</f>
        <v>62811361111</v>
      </c>
      <c r="N8644" s="17" t="s">
        <v>77</v>
      </c>
      <c r="U8644" s="17"/>
      <c r="V8644" s="18">
        <f>62811361111</f>
        <v>62811361111</v>
      </c>
      <c r="W8644" t="s">
        <v>24104</v>
      </c>
      <c r="Y8644" s="17" t="s">
        <v>762</v>
      </c>
      <c r="AA8644" s="17">
        <v>65126</v>
      </c>
    </row>
    <row r="8645" ht="15" customHeight="1" spans="1:27" x14ac:dyDescent="0.25">
      <c r="A8645" s="17" t="s">
        <v>24105</v>
      </c>
      <c r="B8645" s="17" t="s">
        <v>70</v>
      </c>
      <c r="C8645" s="17" t="s">
        <v>71</v>
      </c>
      <c r="D8645" t="s">
        <v>1217</v>
      </c>
      <c r="F8645" t="s">
        <v>16970</v>
      </c>
      <c r="K8645" s="18">
        <v>56999688</v>
      </c>
      <c r="N8645" s="17" t="s">
        <v>77</v>
      </c>
      <c r="U8645" s="17"/>
      <c r="V8645" s="18">
        <v>56999688</v>
      </c>
      <c r="W8645" t="s">
        <v>24106</v>
      </c>
      <c r="Y8645" s="17" t="s">
        <v>626</v>
      </c>
      <c r="AA8645" s="17" t="s">
        <v>3468</v>
      </c>
    </row>
    <row r="8646" ht="15" customHeight="1" spans="1:22" x14ac:dyDescent="0.25">
      <c r="A8646" s="17" t="s">
        <v>24107</v>
      </c>
      <c r="B8646" s="17" t="s">
        <v>70</v>
      </c>
      <c r="C8646" s="17" t="s">
        <v>71</v>
      </c>
      <c r="D8646" t="s">
        <v>1217</v>
      </c>
      <c r="F8646" t="s">
        <v>18367</v>
      </c>
      <c r="K8646" s="18">
        <f>62816726188</f>
        <v>62816726188</v>
      </c>
      <c r="N8646" s="17" t="s">
        <v>74</v>
      </c>
      <c r="V8646" s="18">
        <f>62816726188</f>
        <v>62816726188</v>
      </c>
    </row>
    <row r="8647" ht="15" customHeight="1" spans="1:28" x14ac:dyDescent="0.25">
      <c r="A8647" s="17" t="s">
        <v>24108</v>
      </c>
      <c r="B8647" s="17" t="s">
        <v>70</v>
      </c>
      <c r="C8647" s="17" t="s">
        <v>71</v>
      </c>
      <c r="D8647" t="s">
        <v>1217</v>
      </c>
      <c r="F8647" t="s">
        <v>1217</v>
      </c>
      <c r="J8647" t="s">
        <v>115</v>
      </c>
      <c r="K8647" s="18" t="s">
        <v>24109</v>
      </c>
      <c r="N8647" s="17" t="s">
        <v>77</v>
      </c>
      <c r="O8647" t="s">
        <v>199</v>
      </c>
      <c r="V8647" s="18" t="s">
        <v>24109</v>
      </c>
      <c r="Y8647" t="s">
        <v>190</v>
      </c>
      <c r="AA8647" t="s">
        <v>118</v>
      </c>
      <c r="AB8647" t="s">
        <v>119</v>
      </c>
    </row>
    <row r="8648" ht="15" customHeight="1" spans="1:28" x14ac:dyDescent="0.25">
      <c r="A8648" s="17" t="s">
        <v>24110</v>
      </c>
      <c r="B8648" s="17" t="s">
        <v>70</v>
      </c>
      <c r="C8648" s="17" t="s">
        <v>71</v>
      </c>
      <c r="D8648" t="s">
        <v>24111</v>
      </c>
      <c r="F8648" t="s">
        <v>24112</v>
      </c>
      <c r="J8648" s="17" t="s">
        <v>24113</v>
      </c>
      <c r="K8648" s="18" t="s">
        <v>24114</v>
      </c>
      <c r="N8648" s="17" t="s">
        <v>77</v>
      </c>
      <c r="O8648" t="s">
        <v>145</v>
      </c>
      <c r="V8648" s="18" t="s">
        <v>24114</v>
      </c>
      <c r="Y8648" t="s">
        <v>190</v>
      </c>
      <c r="AA8648" t="s">
        <v>118</v>
      </c>
      <c r="AB8648" t="s">
        <v>119</v>
      </c>
    </row>
    <row r="8649" ht="15" customHeight="1" spans="1:28" x14ac:dyDescent="0.25">
      <c r="A8649" s="17" t="s">
        <v>24115</v>
      </c>
      <c r="B8649" s="17" t="s">
        <v>70</v>
      </c>
      <c r="C8649" s="17" t="s">
        <v>71</v>
      </c>
      <c r="D8649" t="s">
        <v>24116</v>
      </c>
      <c r="F8649" t="s">
        <v>24117</v>
      </c>
      <c r="J8649" t="s">
        <v>115</v>
      </c>
      <c r="K8649" s="18" t="s">
        <v>24118</v>
      </c>
      <c r="N8649" s="17" t="s">
        <v>81</v>
      </c>
      <c r="O8649" t="s">
        <v>117</v>
      </c>
      <c r="V8649" s="18" t="s">
        <v>24118</v>
      </c>
      <c r="Y8649" t="s">
        <v>190</v>
      </c>
      <c r="AA8649" t="s">
        <v>118</v>
      </c>
      <c r="AB8649" t="s">
        <v>119</v>
      </c>
    </row>
    <row r="8650" ht="15" customHeight="1" spans="1:22" x14ac:dyDescent="0.25">
      <c r="A8650" s="17" t="s">
        <v>24119</v>
      </c>
      <c r="B8650" s="17" t="s">
        <v>70</v>
      </c>
      <c r="C8650" s="17" t="s">
        <v>71</v>
      </c>
      <c r="D8650" t="s">
        <v>24116</v>
      </c>
      <c r="F8650" t="s">
        <v>24120</v>
      </c>
      <c r="K8650" s="18">
        <f>6281310764143</f>
        <v>6281310764143</v>
      </c>
      <c r="N8650" s="17" t="s">
        <v>77</v>
      </c>
      <c r="V8650" s="18">
        <f>6281310764143</f>
        <v>6281310764143</v>
      </c>
    </row>
    <row r="8651" ht="15" customHeight="1" spans="1:22" x14ac:dyDescent="0.25">
      <c r="A8651" s="17" t="s">
        <v>24121</v>
      </c>
      <c r="B8651" s="17" t="s">
        <v>70</v>
      </c>
      <c r="C8651" s="17" t="s">
        <v>71</v>
      </c>
      <c r="D8651" t="s">
        <v>879</v>
      </c>
      <c r="F8651" t="s">
        <v>23220</v>
      </c>
      <c r="K8651" s="18">
        <f>6282159025588</f>
        <v>6282159025588</v>
      </c>
      <c r="N8651" s="17" t="s">
        <v>81</v>
      </c>
      <c r="V8651" s="18">
        <f>6282159025588</f>
        <v>6282159025588</v>
      </c>
    </row>
    <row r="8652" ht="15" customHeight="1" spans="1:22" x14ac:dyDescent="0.25">
      <c r="A8652" s="17" t="s">
        <v>24122</v>
      </c>
      <c r="B8652" s="17" t="s">
        <v>70</v>
      </c>
      <c r="C8652" s="17" t="s">
        <v>71</v>
      </c>
      <c r="D8652" t="s">
        <v>879</v>
      </c>
      <c r="F8652" t="s">
        <v>7124</v>
      </c>
      <c r="K8652" s="18">
        <f>628157312003</f>
        <v>628157312003</v>
      </c>
      <c r="N8652" s="17" t="s">
        <v>77</v>
      </c>
      <c r="V8652" s="18">
        <f>628157312003</f>
        <v>628157312003</v>
      </c>
    </row>
    <row r="8653" ht="15" customHeight="1" spans="1:22" x14ac:dyDescent="0.25">
      <c r="A8653" s="17" t="s">
        <v>24123</v>
      </c>
      <c r="B8653" s="17" t="s">
        <v>70</v>
      </c>
      <c r="C8653" s="17" t="s">
        <v>71</v>
      </c>
      <c r="D8653" t="s">
        <v>879</v>
      </c>
      <c r="F8653" t="s">
        <v>8387</v>
      </c>
      <c r="K8653" s="18">
        <f>62811111083</f>
        <v>62811111083</v>
      </c>
      <c r="N8653" s="17" t="s">
        <v>77</v>
      </c>
      <c r="V8653" s="18">
        <f>62811111083</f>
        <v>62811111083</v>
      </c>
    </row>
    <row r="8654" ht="15" customHeight="1" spans="1:22" x14ac:dyDescent="0.25">
      <c r="A8654" s="17" t="s">
        <v>24124</v>
      </c>
      <c r="B8654" s="17" t="s">
        <v>70</v>
      </c>
      <c r="C8654" s="17" t="s">
        <v>71</v>
      </c>
      <c r="D8654" t="s">
        <v>24125</v>
      </c>
      <c r="F8654" t="s">
        <v>2508</v>
      </c>
      <c r="K8654" s="18">
        <f>6281398899999</f>
        <v>6281398899999</v>
      </c>
      <c r="N8654" s="17" t="s">
        <v>81</v>
      </c>
      <c r="V8654" s="18">
        <f>6281398899999</f>
        <v>6281398899999</v>
      </c>
    </row>
    <row r="8655" ht="15" customHeight="1" spans="1:23" x14ac:dyDescent="0.25">
      <c r="A8655" s="17" t="s">
        <v>24126</v>
      </c>
      <c r="B8655" s="17" t="s">
        <v>70</v>
      </c>
      <c r="C8655" s="17" t="s">
        <v>71</v>
      </c>
      <c r="D8655" t="s">
        <v>24127</v>
      </c>
      <c r="F8655" t="s">
        <v>11575</v>
      </c>
      <c r="K8655" s="18">
        <f>628113985522</f>
        <v>628113985522</v>
      </c>
      <c r="N8655" s="17" t="s">
        <v>77</v>
      </c>
      <c r="U8655" s="17"/>
      <c r="V8655" s="18">
        <f>628113985522</f>
        <v>628113985522</v>
      </c>
      <c r="W8655" t="s">
        <v>1909</v>
      </c>
    </row>
    <row r="8656" ht="15" customHeight="1" spans="1:23" x14ac:dyDescent="0.25">
      <c r="A8656" s="17" t="s">
        <v>24128</v>
      </c>
      <c r="B8656" s="17" t="s">
        <v>70</v>
      </c>
      <c r="C8656" s="17" t="s">
        <v>71</v>
      </c>
      <c r="D8656" t="s">
        <v>24129</v>
      </c>
      <c r="F8656" t="s">
        <v>1186</v>
      </c>
      <c r="K8656" s="18">
        <f>628129110909</f>
        <v>628129110909</v>
      </c>
      <c r="N8656" s="17" t="s">
        <v>81</v>
      </c>
      <c r="U8656" s="17"/>
      <c r="V8656" s="18">
        <f>628129110909</f>
        <v>628129110909</v>
      </c>
      <c r="W8656" t="s">
        <v>24130</v>
      </c>
    </row>
    <row r="8657" ht="15" customHeight="1" spans="1:22" x14ac:dyDescent="0.25">
      <c r="A8657" s="17" t="s">
        <v>24131</v>
      </c>
      <c r="B8657" s="17" t="s">
        <v>70</v>
      </c>
      <c r="C8657" s="17" t="s">
        <v>71</v>
      </c>
      <c r="D8657" t="s">
        <v>24132</v>
      </c>
      <c r="F8657" t="s">
        <v>24133</v>
      </c>
      <c r="K8657" s="18">
        <f>628119882077</f>
        <v>628119882077</v>
      </c>
      <c r="N8657" s="17" t="s">
        <v>74</v>
      </c>
      <c r="V8657" s="18">
        <f>628119882077</f>
        <v>628119882077</v>
      </c>
    </row>
    <row r="8658" ht="15" customHeight="1" spans="1:22" x14ac:dyDescent="0.25">
      <c r="A8658" s="17" t="s">
        <v>24134</v>
      </c>
      <c r="B8658" s="17" t="s">
        <v>70</v>
      </c>
      <c r="C8658" s="17" t="s">
        <v>71</v>
      </c>
      <c r="D8658" t="s">
        <v>24135</v>
      </c>
      <c r="F8658" t="s">
        <v>2159</v>
      </c>
      <c r="K8658" s="18">
        <f>6281281113556</f>
        <v>6281281113556</v>
      </c>
      <c r="N8658" s="17" t="s">
        <v>81</v>
      </c>
      <c r="V8658" s="18">
        <f>6281281113556</f>
        <v>6281281113556</v>
      </c>
    </row>
    <row r="8659" ht="15" customHeight="1" spans="1:22" x14ac:dyDescent="0.25">
      <c r="A8659" s="17" t="s">
        <v>24136</v>
      </c>
      <c r="B8659" s="17" t="s">
        <v>70</v>
      </c>
      <c r="C8659" s="17" t="s">
        <v>71</v>
      </c>
      <c r="D8659" t="s">
        <v>24137</v>
      </c>
      <c r="F8659" t="s">
        <v>15489</v>
      </c>
      <c r="K8659" s="18">
        <f>62816885599</f>
        <v>62816885599</v>
      </c>
      <c r="N8659" s="17" t="s">
        <v>77</v>
      </c>
      <c r="V8659" s="18">
        <f>62816885599</f>
        <v>62816885599</v>
      </c>
    </row>
    <row r="8660" ht="15" customHeight="1" spans="1:25" x14ac:dyDescent="0.25">
      <c r="A8660" s="17" t="s">
        <v>24138</v>
      </c>
      <c r="B8660" s="17" t="s">
        <v>70</v>
      </c>
      <c r="C8660" s="17" t="s">
        <v>71</v>
      </c>
      <c r="D8660" t="s">
        <v>24139</v>
      </c>
      <c r="F8660" t="s">
        <v>24139</v>
      </c>
      <c r="K8660" s="18">
        <f>6281286127979</f>
        <v>6281286127979</v>
      </c>
      <c r="N8660" s="17" t="s">
        <v>77</v>
      </c>
      <c r="U8660" s="17"/>
      <c r="V8660" s="18">
        <f>6281286127979</f>
        <v>6281286127979</v>
      </c>
      <c r="W8660" t="s">
        <v>24140</v>
      </c>
      <c r="Y8660" s="17" t="s">
        <v>626</v>
      </c>
    </row>
    <row r="8661" ht="15" customHeight="1" spans="1:28" x14ac:dyDescent="0.25">
      <c r="A8661" s="17" t="s">
        <v>24141</v>
      </c>
      <c r="B8661" s="17" t="s">
        <v>70</v>
      </c>
      <c r="C8661" s="17" t="s">
        <v>71</v>
      </c>
      <c r="D8661" t="s">
        <v>24142</v>
      </c>
      <c r="F8661" t="s">
        <v>24143</v>
      </c>
      <c r="J8661" t="s">
        <v>115</v>
      </c>
      <c r="K8661" s="18" t="s">
        <v>24144</v>
      </c>
      <c r="N8661" s="17" t="s">
        <v>77</v>
      </c>
      <c r="O8661" t="s">
        <v>199</v>
      </c>
      <c r="V8661" s="18" t="s">
        <v>24144</v>
      </c>
      <c r="Y8661" t="s">
        <v>190</v>
      </c>
      <c r="AA8661" t="s">
        <v>118</v>
      </c>
      <c r="AB8661" t="s">
        <v>119</v>
      </c>
    </row>
    <row r="8662" ht="15" customHeight="1" spans="1:27" x14ac:dyDescent="0.25">
      <c r="A8662" s="17" t="s">
        <v>24145</v>
      </c>
      <c r="B8662" s="17" t="s">
        <v>70</v>
      </c>
      <c r="C8662" s="17" t="s">
        <v>71</v>
      </c>
      <c r="D8662" t="s">
        <v>24142</v>
      </c>
      <c r="F8662" t="s">
        <v>24146</v>
      </c>
      <c r="K8662" s="18">
        <f>62816847625</f>
        <v>62816847625</v>
      </c>
      <c r="N8662" s="17" t="s">
        <v>77</v>
      </c>
      <c r="U8662" s="17"/>
      <c r="V8662" s="18">
        <f>62816847625</f>
        <v>62816847625</v>
      </c>
      <c r="W8662" t="s">
        <v>24147</v>
      </c>
      <c r="Y8662" s="17" t="s">
        <v>96</v>
      </c>
      <c r="AA8662" s="17" t="s">
        <v>2706</v>
      </c>
    </row>
    <row r="8663" ht="15" customHeight="1" spans="1:22" x14ac:dyDescent="0.25">
      <c r="A8663" s="17" t="s">
        <v>24148</v>
      </c>
      <c r="B8663" s="17" t="s">
        <v>70</v>
      </c>
      <c r="C8663" s="17" t="s">
        <v>71</v>
      </c>
      <c r="D8663" t="s">
        <v>24149</v>
      </c>
      <c r="F8663" t="s">
        <v>24149</v>
      </c>
      <c r="K8663" s="18">
        <f>62811810653</f>
        <v>62811810653</v>
      </c>
      <c r="N8663" s="17" t="s">
        <v>77</v>
      </c>
      <c r="V8663" s="18">
        <f>62811810653</f>
        <v>62811810653</v>
      </c>
    </row>
    <row r="8664" ht="15" customHeight="1" spans="1:23" x14ac:dyDescent="0.25">
      <c r="A8664" s="17" t="s">
        <v>24150</v>
      </c>
      <c r="B8664" s="17" t="s">
        <v>70</v>
      </c>
      <c r="C8664" s="17" t="s">
        <v>71</v>
      </c>
      <c r="D8664" t="s">
        <v>24149</v>
      </c>
      <c r="F8664" t="s">
        <v>24151</v>
      </c>
      <c r="K8664" s="18">
        <f>62818772955</f>
        <v>62818772955</v>
      </c>
      <c r="N8664" s="17" t="s">
        <v>77</v>
      </c>
      <c r="U8664" s="17"/>
      <c r="V8664" s="18">
        <f>62818772955</f>
        <v>62818772955</v>
      </c>
      <c r="W8664" t="s">
        <v>24152</v>
      </c>
    </row>
    <row r="8665" ht="15" customHeight="1" spans="1:23" x14ac:dyDescent="0.25">
      <c r="A8665" s="17" t="s">
        <v>24153</v>
      </c>
      <c r="B8665" s="17" t="s">
        <v>70</v>
      </c>
      <c r="C8665" s="17" t="s">
        <v>71</v>
      </c>
      <c r="D8665" t="s">
        <v>24149</v>
      </c>
      <c r="F8665" t="s">
        <v>24154</v>
      </c>
      <c r="K8665" s="18">
        <f>6597926424</f>
        <v>6597926424</v>
      </c>
      <c r="N8665" s="17" t="s">
        <v>77</v>
      </c>
      <c r="U8665" s="17"/>
      <c r="V8665" s="18">
        <f>6597926424</f>
        <v>6597926424</v>
      </c>
      <c r="W8665" t="s">
        <v>2356</v>
      </c>
    </row>
    <row r="8666" ht="15" customHeight="1" spans="1:22" x14ac:dyDescent="0.25">
      <c r="A8666" s="17" t="s">
        <v>24155</v>
      </c>
      <c r="B8666" s="17" t="s">
        <v>70</v>
      </c>
      <c r="C8666" s="17" t="s">
        <v>71</v>
      </c>
      <c r="D8666" t="s">
        <v>24156</v>
      </c>
      <c r="F8666" t="s">
        <v>24156</v>
      </c>
      <c r="K8666" s="18">
        <f>6282123059134</f>
        <v>6282123059134</v>
      </c>
      <c r="N8666" s="17" t="s">
        <v>77</v>
      </c>
      <c r="V8666" s="18">
        <f>6282123059134</f>
        <v>6282123059134</v>
      </c>
    </row>
    <row r="8667" ht="15" customHeight="1" spans="1:22" x14ac:dyDescent="0.25">
      <c r="A8667" s="17" t="s">
        <v>24157</v>
      </c>
      <c r="B8667" s="17" t="s">
        <v>70</v>
      </c>
      <c r="C8667" s="17" t="s">
        <v>71</v>
      </c>
      <c r="D8667" t="s">
        <v>24158</v>
      </c>
      <c r="F8667" t="s">
        <v>669</v>
      </c>
      <c r="K8667" s="18">
        <f>6281906847401</f>
        <v>6281906847401</v>
      </c>
      <c r="N8667" s="17" t="s">
        <v>77</v>
      </c>
      <c r="V8667" s="18">
        <f>6281906847401</f>
        <v>6281906847401</v>
      </c>
    </row>
    <row r="8668" ht="15" customHeight="1" spans="1:22" x14ac:dyDescent="0.25">
      <c r="A8668" s="17" t="s">
        <v>24159</v>
      </c>
      <c r="B8668" s="17" t="s">
        <v>70</v>
      </c>
      <c r="C8668" s="17" t="s">
        <v>71</v>
      </c>
      <c r="D8668" t="s">
        <v>23840</v>
      </c>
      <c r="F8668" t="s">
        <v>23840</v>
      </c>
      <c r="K8668" s="18">
        <f>62816666667</f>
        <v>62816666667</v>
      </c>
      <c r="N8668" s="17" t="s">
        <v>77</v>
      </c>
      <c r="V8668" s="18">
        <f>62816666667</f>
        <v>62816666667</v>
      </c>
    </row>
    <row r="8669" ht="15" customHeight="1" spans="1:22" x14ac:dyDescent="0.25">
      <c r="A8669" s="17" t="s">
        <v>24160</v>
      </c>
      <c r="B8669" s="17" t="s">
        <v>70</v>
      </c>
      <c r="C8669" s="17" t="s">
        <v>71</v>
      </c>
      <c r="D8669" t="s">
        <v>23840</v>
      </c>
      <c r="F8669" t="s">
        <v>23840</v>
      </c>
      <c r="K8669" s="18">
        <f>628119007881</f>
        <v>628119007881</v>
      </c>
      <c r="N8669" s="17" t="s">
        <v>81</v>
      </c>
      <c r="V8669" s="18">
        <f>628119007881</f>
        <v>628119007881</v>
      </c>
    </row>
    <row r="8670" ht="15" customHeight="1" spans="1:28" x14ac:dyDescent="0.25">
      <c r="A8670" s="17" t="s">
        <v>24161</v>
      </c>
      <c r="B8670" s="17" t="s">
        <v>70</v>
      </c>
      <c r="C8670" s="17" t="s">
        <v>71</v>
      </c>
      <c r="D8670" t="s">
        <v>23840</v>
      </c>
      <c r="F8670" t="s">
        <v>23840</v>
      </c>
      <c r="J8670" t="s">
        <v>115</v>
      </c>
      <c r="K8670" s="18" t="s">
        <v>24162</v>
      </c>
      <c r="N8670" s="17" t="s">
        <v>81</v>
      </c>
      <c r="O8670" t="s">
        <v>117</v>
      </c>
      <c r="V8670" s="18" t="s">
        <v>24162</v>
      </c>
      <c r="Y8670" t="s">
        <v>90</v>
      </c>
      <c r="AA8670" t="s">
        <v>118</v>
      </c>
      <c r="AB8670" t="s">
        <v>119</v>
      </c>
    </row>
    <row r="8671" ht="15" customHeight="1" spans="1:22" x14ac:dyDescent="0.25">
      <c r="A8671" s="17" t="s">
        <v>24163</v>
      </c>
      <c r="B8671" s="17" t="s">
        <v>70</v>
      </c>
      <c r="C8671" s="17" t="s">
        <v>71</v>
      </c>
      <c r="D8671" t="s">
        <v>23840</v>
      </c>
      <c r="F8671" t="s">
        <v>24164</v>
      </c>
      <c r="K8671" s="18">
        <f>62811435590</f>
        <v>62811435590</v>
      </c>
      <c r="N8671" s="17" t="s">
        <v>77</v>
      </c>
      <c r="V8671" s="18">
        <f>62811435590</f>
        <v>62811435590</v>
      </c>
    </row>
    <row r="8672" ht="15" customHeight="1" spans="1:27" x14ac:dyDescent="0.25">
      <c r="A8672" s="17" t="s">
        <v>24165</v>
      </c>
      <c r="B8672" s="17" t="s">
        <v>70</v>
      </c>
      <c r="C8672" s="17" t="s">
        <v>71</v>
      </c>
      <c r="D8672" t="s">
        <v>23840</v>
      </c>
      <c r="F8672" t="s">
        <v>2159</v>
      </c>
      <c r="K8672" s="18">
        <f>628161936527</f>
        <v>628161936527</v>
      </c>
      <c r="N8672" s="17" t="s">
        <v>77</v>
      </c>
      <c r="U8672" s="17"/>
      <c r="V8672" s="18">
        <f>628161936527</f>
        <v>628161936527</v>
      </c>
      <c r="W8672" t="s">
        <v>24166</v>
      </c>
      <c r="Y8672" s="17" t="s">
        <v>96</v>
      </c>
      <c r="AA8672" s="17">
        <v>12190</v>
      </c>
    </row>
    <row r="8673" ht="15" customHeight="1" spans="1:22" x14ac:dyDescent="0.25">
      <c r="A8673" s="17" t="s">
        <v>24167</v>
      </c>
      <c r="B8673" s="17" t="s">
        <v>70</v>
      </c>
      <c r="C8673" s="17" t="s">
        <v>71</v>
      </c>
      <c r="D8673" t="s">
        <v>23840</v>
      </c>
      <c r="F8673" t="s">
        <v>10444</v>
      </c>
      <c r="K8673" s="18">
        <f>85587345891</f>
        <v>85587345891</v>
      </c>
      <c r="N8673" s="17" t="s">
        <v>77</v>
      </c>
      <c r="V8673" s="18">
        <f>85587345891</f>
        <v>85587345891</v>
      </c>
    </row>
    <row r="8674" ht="15" customHeight="1" spans="1:28" x14ac:dyDescent="0.25">
      <c r="A8674" s="17" t="s">
        <v>24168</v>
      </c>
      <c r="B8674" s="17" t="s">
        <v>70</v>
      </c>
      <c r="C8674" s="17" t="s">
        <v>71</v>
      </c>
      <c r="D8674" t="s">
        <v>23840</v>
      </c>
      <c r="F8674" t="s">
        <v>24169</v>
      </c>
      <c r="J8674" t="s">
        <v>115</v>
      </c>
      <c r="K8674" s="18" t="s">
        <v>24170</v>
      </c>
      <c r="N8674" s="17" t="s">
        <v>77</v>
      </c>
      <c r="O8674" t="s">
        <v>145</v>
      </c>
      <c r="V8674" s="18" t="s">
        <v>24170</v>
      </c>
      <c r="Y8674" t="s">
        <v>190</v>
      </c>
      <c r="AA8674" t="s">
        <v>118</v>
      </c>
      <c r="AB8674" t="s">
        <v>119</v>
      </c>
    </row>
    <row r="8675" ht="15" customHeight="1" spans="1:22" x14ac:dyDescent="0.25">
      <c r="A8675" s="17" t="s">
        <v>24171</v>
      </c>
      <c r="B8675" s="17" t="s">
        <v>70</v>
      </c>
      <c r="C8675" s="17" t="s">
        <v>71</v>
      </c>
      <c r="D8675" t="s">
        <v>23840</v>
      </c>
      <c r="F8675" t="s">
        <v>15884</v>
      </c>
      <c r="K8675" s="18">
        <f>62818194439</f>
        <v>62818194439</v>
      </c>
      <c r="N8675" s="17" t="s">
        <v>81</v>
      </c>
      <c r="V8675" s="18">
        <f>62818194439</f>
        <v>62818194439</v>
      </c>
    </row>
    <row r="8676" ht="15" customHeight="1" spans="1:22" x14ac:dyDescent="0.25">
      <c r="A8676" s="17" t="s">
        <v>24172</v>
      </c>
      <c r="B8676" s="17" t="s">
        <v>70</v>
      </c>
      <c r="C8676" s="17" t="s">
        <v>71</v>
      </c>
      <c r="D8676" t="s">
        <v>23840</v>
      </c>
      <c r="F8676" t="s">
        <v>24173</v>
      </c>
      <c r="K8676" s="18">
        <f>62811904853</f>
        <v>62811904853</v>
      </c>
      <c r="N8676" s="17" t="s">
        <v>74</v>
      </c>
      <c r="V8676" s="18">
        <f>62811904853</f>
        <v>62811904853</v>
      </c>
    </row>
    <row r="8677" ht="15" customHeight="1" spans="1:22" x14ac:dyDescent="0.25">
      <c r="A8677" s="17" t="s">
        <v>24174</v>
      </c>
      <c r="B8677" s="17" t="s">
        <v>70</v>
      </c>
      <c r="C8677" s="17" t="s">
        <v>71</v>
      </c>
      <c r="D8677" t="s">
        <v>23840</v>
      </c>
      <c r="F8677" t="s">
        <v>2521</v>
      </c>
      <c r="K8677" s="18">
        <f>6281213687631</f>
        <v>6281213687631</v>
      </c>
      <c r="N8677" s="17" t="s">
        <v>77</v>
      </c>
      <c r="V8677" s="18">
        <f>6281213687631</f>
        <v>6281213687631</v>
      </c>
    </row>
    <row r="8678" ht="15" customHeight="1" spans="1:22" x14ac:dyDescent="0.25">
      <c r="A8678" s="17" t="s">
        <v>24175</v>
      </c>
      <c r="B8678" s="17" t="s">
        <v>70</v>
      </c>
      <c r="C8678" s="17" t="s">
        <v>71</v>
      </c>
      <c r="D8678" t="s">
        <v>23840</v>
      </c>
      <c r="F8678" t="s">
        <v>24176</v>
      </c>
      <c r="K8678" s="18">
        <f>6281806606030</f>
        <v>6281806606030</v>
      </c>
      <c r="N8678" s="17" t="s">
        <v>81</v>
      </c>
      <c r="V8678" s="18">
        <f>6281806606030</f>
        <v>6281806606030</v>
      </c>
    </row>
    <row r="8679" ht="15" customHeight="1" spans="1:22" x14ac:dyDescent="0.25">
      <c r="A8679" s="17" t="s">
        <v>24177</v>
      </c>
      <c r="B8679" s="17" t="s">
        <v>70</v>
      </c>
      <c r="C8679" s="17" t="s">
        <v>71</v>
      </c>
      <c r="D8679" t="s">
        <v>23840</v>
      </c>
      <c r="F8679" t="s">
        <v>24178</v>
      </c>
      <c r="K8679" s="18">
        <f>62816830973</f>
        <v>62816830973</v>
      </c>
      <c r="N8679" s="17" t="s">
        <v>81</v>
      </c>
      <c r="V8679" s="18">
        <f>62816830973</f>
        <v>62816830973</v>
      </c>
    </row>
    <row r="8680" ht="15" customHeight="1" spans="1:28" x14ac:dyDescent="0.25">
      <c r="A8680" s="17" t="s">
        <v>24179</v>
      </c>
      <c r="B8680" s="17" t="s">
        <v>70</v>
      </c>
      <c r="C8680" s="17" t="s">
        <v>71</v>
      </c>
      <c r="D8680" t="s">
        <v>23840</v>
      </c>
      <c r="F8680" t="s">
        <v>24180</v>
      </c>
      <c r="J8680" t="s">
        <v>115</v>
      </c>
      <c r="K8680" s="18" t="s">
        <v>24181</v>
      </c>
      <c r="N8680" s="17" t="s">
        <v>74</v>
      </c>
      <c r="O8680" t="s">
        <v>199</v>
      </c>
      <c r="U8680" s="17"/>
      <c r="V8680" s="18" t="s">
        <v>24181</v>
      </c>
      <c r="W8680" t="s">
        <v>24182</v>
      </c>
      <c r="Y8680" t="s">
        <v>1084</v>
      </c>
      <c r="AA8680" t="s">
        <v>3146</v>
      </c>
      <c r="AB8680" t="s">
        <v>119</v>
      </c>
    </row>
    <row r="8681" ht="15" customHeight="1" spans="1:22" x14ac:dyDescent="0.25">
      <c r="A8681" s="17" t="s">
        <v>24183</v>
      </c>
      <c r="B8681" s="17" t="s">
        <v>70</v>
      </c>
      <c r="C8681" s="17" t="s">
        <v>71</v>
      </c>
      <c r="D8681" t="s">
        <v>23840</v>
      </c>
      <c r="F8681" t="s">
        <v>24184</v>
      </c>
      <c r="K8681" s="18">
        <f>628122000388</f>
        <v>628122000388</v>
      </c>
      <c r="N8681" s="17" t="s">
        <v>77</v>
      </c>
      <c r="V8681" s="18">
        <f>628122000388</f>
        <v>628122000388</v>
      </c>
    </row>
    <row r="8682" ht="15" customHeight="1" spans="1:22" x14ac:dyDescent="0.25">
      <c r="A8682" s="17" t="s">
        <v>24185</v>
      </c>
      <c r="B8682" s="17" t="s">
        <v>70</v>
      </c>
      <c r="C8682" s="17" t="s">
        <v>71</v>
      </c>
      <c r="D8682" t="s">
        <v>23840</v>
      </c>
      <c r="F8682" t="s">
        <v>7440</v>
      </c>
      <c r="K8682" s="18">
        <f>6283870777999</f>
        <v>6283870777999</v>
      </c>
      <c r="N8682" s="17" t="s">
        <v>77</v>
      </c>
      <c r="V8682" s="18">
        <f>6283870777999</f>
        <v>6283870777999</v>
      </c>
    </row>
    <row r="8683" ht="15" customHeight="1" spans="1:28" x14ac:dyDescent="0.25">
      <c r="A8683" s="17" t="s">
        <v>24186</v>
      </c>
      <c r="B8683" s="17" t="s">
        <v>70</v>
      </c>
      <c r="C8683" s="17" t="s">
        <v>71</v>
      </c>
      <c r="D8683" t="s">
        <v>24187</v>
      </c>
      <c r="F8683" t="s">
        <v>24188</v>
      </c>
      <c r="J8683" t="s">
        <v>115</v>
      </c>
      <c r="K8683" s="18" t="s">
        <v>24189</v>
      </c>
      <c r="N8683" s="17" t="s">
        <v>77</v>
      </c>
      <c r="O8683" t="s">
        <v>145</v>
      </c>
      <c r="V8683" s="18" t="s">
        <v>24189</v>
      </c>
      <c r="Y8683" t="s">
        <v>115</v>
      </c>
      <c r="AA8683" t="s">
        <v>115</v>
      </c>
      <c r="AB8683" t="s">
        <v>119</v>
      </c>
    </row>
    <row r="8684" ht="15" customHeight="1" spans="1:22" x14ac:dyDescent="0.25">
      <c r="A8684" s="17" t="s">
        <v>24190</v>
      </c>
      <c r="B8684" s="17" t="s">
        <v>70</v>
      </c>
      <c r="C8684" s="17" t="s">
        <v>71</v>
      </c>
      <c r="D8684" t="s">
        <v>24187</v>
      </c>
      <c r="F8684" t="s">
        <v>24191</v>
      </c>
      <c r="K8684" s="18">
        <f>62811539988</f>
        <v>62811539988</v>
      </c>
      <c r="N8684" s="17" t="s">
        <v>81</v>
      </c>
      <c r="V8684" s="18">
        <f>62811539988</f>
        <v>62811539988</v>
      </c>
    </row>
    <row r="8685" ht="15" customHeight="1" spans="1:22" x14ac:dyDescent="0.25">
      <c r="A8685" s="17" t="s">
        <v>24192</v>
      </c>
      <c r="B8685" s="17" t="s">
        <v>70</v>
      </c>
      <c r="C8685" s="17" t="s">
        <v>71</v>
      </c>
      <c r="D8685" t="s">
        <v>24193</v>
      </c>
      <c r="F8685" t="s">
        <v>24194</v>
      </c>
      <c r="K8685" s="18">
        <f>6281392788097</f>
        <v>6281392788097</v>
      </c>
      <c r="N8685" s="17" t="s">
        <v>77</v>
      </c>
      <c r="V8685" s="18">
        <f>6281392788097</f>
        <v>6281392788097</v>
      </c>
    </row>
    <row r="8686" ht="15" customHeight="1" spans="1:23" x14ac:dyDescent="0.25">
      <c r="A8686" s="17" t="s">
        <v>24195</v>
      </c>
      <c r="B8686" s="17" t="s">
        <v>70</v>
      </c>
      <c r="C8686" s="17" t="s">
        <v>71</v>
      </c>
      <c r="D8686" t="s">
        <v>24196</v>
      </c>
      <c r="F8686" t="s">
        <v>24196</v>
      </c>
      <c r="K8686" s="18">
        <f>6281519000472</f>
        <v>6281519000472</v>
      </c>
      <c r="N8686" s="17" t="s">
        <v>77</v>
      </c>
      <c r="U8686" s="17"/>
      <c r="V8686" s="18">
        <f>6281519000472</f>
        <v>6281519000472</v>
      </c>
      <c r="W8686" t="s">
        <v>5003</v>
      </c>
    </row>
    <row r="8687" ht="15" customHeight="1" spans="1:22" x14ac:dyDescent="0.25">
      <c r="A8687" s="17" t="s">
        <v>24197</v>
      </c>
      <c r="B8687" s="17" t="s">
        <v>70</v>
      </c>
      <c r="C8687" s="17" t="s">
        <v>71</v>
      </c>
      <c r="D8687" t="s">
        <v>24196</v>
      </c>
      <c r="F8687" t="s">
        <v>24196</v>
      </c>
      <c r="K8687" s="18">
        <f>6281298160969</f>
        <v>6281298160969</v>
      </c>
      <c r="N8687" s="17" t="s">
        <v>81</v>
      </c>
      <c r="V8687" s="18">
        <f>6281298160969</f>
        <v>6281298160969</v>
      </c>
    </row>
    <row r="8688" ht="15" customHeight="1" spans="1:25" x14ac:dyDescent="0.25">
      <c r="A8688" s="17" t="s">
        <v>24198</v>
      </c>
      <c r="B8688" s="17" t="s">
        <v>70</v>
      </c>
      <c r="C8688" s="17" t="s">
        <v>71</v>
      </c>
      <c r="D8688" t="s">
        <v>24196</v>
      </c>
      <c r="F8688" t="s">
        <v>24196</v>
      </c>
      <c r="K8688" s="18">
        <f>6281386576858</f>
        <v>6281386576858</v>
      </c>
      <c r="N8688" s="17" t="s">
        <v>77</v>
      </c>
      <c r="U8688" s="17"/>
      <c r="V8688" s="18">
        <f>6281386576858</f>
        <v>6281386576858</v>
      </c>
      <c r="W8688" t="s">
        <v>24199</v>
      </c>
      <c r="Y8688" s="17" t="s">
        <v>24200</v>
      </c>
    </row>
    <row r="8689" ht="15" customHeight="1" spans="1:22" x14ac:dyDescent="0.25">
      <c r="A8689" s="17" t="s">
        <v>24201</v>
      </c>
      <c r="B8689" s="17" t="s">
        <v>70</v>
      </c>
      <c r="C8689" s="17" t="s">
        <v>71</v>
      </c>
      <c r="D8689" t="s">
        <v>24196</v>
      </c>
      <c r="F8689" t="s">
        <v>24202</v>
      </c>
      <c r="K8689" s="18">
        <f>628111897652</f>
        <v>628111897652</v>
      </c>
      <c r="N8689" s="17" t="s">
        <v>77</v>
      </c>
      <c r="V8689" s="18">
        <f>628111897652</f>
        <v>628111897652</v>
      </c>
    </row>
    <row r="8690" ht="15" customHeight="1" spans="1:22" x14ac:dyDescent="0.25">
      <c r="A8690" s="17" t="s">
        <v>24203</v>
      </c>
      <c r="B8690" s="17" t="s">
        <v>70</v>
      </c>
      <c r="C8690" s="17" t="s">
        <v>71</v>
      </c>
      <c r="D8690" t="s">
        <v>24196</v>
      </c>
      <c r="F8690" t="s">
        <v>3869</v>
      </c>
      <c r="K8690" s="18">
        <f>6281210711683</f>
        <v>6281210711683</v>
      </c>
      <c r="N8690" s="17" t="s">
        <v>81</v>
      </c>
      <c r="V8690" s="18">
        <f>6281210711683</f>
        <v>6281210711683</v>
      </c>
    </row>
    <row r="8691" ht="15" customHeight="1" spans="1:22" x14ac:dyDescent="0.25">
      <c r="A8691" s="17" t="s">
        <v>24204</v>
      </c>
      <c r="B8691" s="17" t="s">
        <v>70</v>
      </c>
      <c r="C8691" s="17" t="s">
        <v>71</v>
      </c>
      <c r="D8691" t="s">
        <v>24205</v>
      </c>
      <c r="F8691" t="s">
        <v>24205</v>
      </c>
      <c r="K8691" s="18">
        <f>62818585188</f>
        <v>62818585188</v>
      </c>
      <c r="N8691" s="17" t="s">
        <v>81</v>
      </c>
      <c r="V8691" s="18">
        <f>62818585188</f>
        <v>62818585188</v>
      </c>
    </row>
    <row r="8692" ht="15" customHeight="1" spans="1:22" x14ac:dyDescent="0.25">
      <c r="A8692" s="17" t="s">
        <v>24206</v>
      </c>
      <c r="B8692" s="17" t="s">
        <v>70</v>
      </c>
      <c r="C8692" s="17" t="s">
        <v>71</v>
      </c>
      <c r="D8692" t="s">
        <v>24207</v>
      </c>
      <c r="F8692" t="s">
        <v>20148</v>
      </c>
      <c r="K8692" s="18">
        <f>6287882820018</f>
        <v>6287882820018</v>
      </c>
      <c r="N8692" s="17" t="s">
        <v>81</v>
      </c>
      <c r="V8692" s="18">
        <f>6287882820018</f>
        <v>6287882820018</v>
      </c>
    </row>
    <row r="8693" ht="15" customHeight="1" spans="1:22" x14ac:dyDescent="0.25">
      <c r="A8693" s="17" t="s">
        <v>24208</v>
      </c>
      <c r="B8693" s="17" t="s">
        <v>70</v>
      </c>
      <c r="C8693" s="17" t="s">
        <v>71</v>
      </c>
      <c r="D8693" t="s">
        <v>24207</v>
      </c>
      <c r="F8693" t="s">
        <v>3181</v>
      </c>
      <c r="J8693" s="17" t="s">
        <v>24209</v>
      </c>
      <c r="K8693" s="18">
        <f>628128002080</f>
        <v>628128002080</v>
      </c>
      <c r="N8693" s="17" t="s">
        <v>77</v>
      </c>
      <c r="V8693" s="18">
        <f>628128002080</f>
        <v>628128002080</v>
      </c>
    </row>
    <row r="8694" ht="15" customHeight="1" spans="1:22" x14ac:dyDescent="0.25">
      <c r="A8694" s="17" t="s">
        <v>24210</v>
      </c>
      <c r="B8694" s="17" t="s">
        <v>70</v>
      </c>
      <c r="C8694" s="17" t="s">
        <v>71</v>
      </c>
      <c r="D8694" t="s">
        <v>24211</v>
      </c>
      <c r="F8694" t="s">
        <v>24212</v>
      </c>
      <c r="K8694" s="18">
        <f>6281353900900</f>
        <v>6281353900900</v>
      </c>
      <c r="N8694" s="17" t="s">
        <v>77</v>
      </c>
      <c r="V8694" s="18">
        <f>6281353900900</f>
        <v>6281353900900</v>
      </c>
    </row>
    <row r="8695" ht="15" customHeight="1" spans="1:28" x14ac:dyDescent="0.25">
      <c r="A8695" s="17" t="s">
        <v>24213</v>
      </c>
      <c r="B8695" s="17" t="s">
        <v>70</v>
      </c>
      <c r="C8695" s="17" t="s">
        <v>71</v>
      </c>
      <c r="D8695" t="s">
        <v>24214</v>
      </c>
      <c r="F8695" t="s">
        <v>24215</v>
      </c>
      <c r="J8695" s="17" t="s">
        <v>24216</v>
      </c>
      <c r="K8695" s="18" t="s">
        <v>24217</v>
      </c>
      <c r="N8695" s="17" t="s">
        <v>74</v>
      </c>
      <c r="O8695" t="s">
        <v>1188</v>
      </c>
      <c r="U8695" s="17"/>
      <c r="V8695" s="18" t="s">
        <v>24217</v>
      </c>
      <c r="W8695" t="s">
        <v>24218</v>
      </c>
      <c r="Y8695" t="s">
        <v>96</v>
      </c>
      <c r="AA8695" t="s">
        <v>693</v>
      </c>
      <c r="AB8695" t="s">
        <v>119</v>
      </c>
    </row>
    <row r="8696" ht="15" customHeight="1" spans="1:22" x14ac:dyDescent="0.25">
      <c r="A8696" s="17" t="s">
        <v>24219</v>
      </c>
      <c r="B8696" s="17" t="s">
        <v>70</v>
      </c>
      <c r="C8696" s="17" t="s">
        <v>71</v>
      </c>
      <c r="D8696" t="s">
        <v>7276</v>
      </c>
      <c r="F8696" t="s">
        <v>7276</v>
      </c>
      <c r="K8696" s="18">
        <f>62811890338</f>
        <v>62811890338</v>
      </c>
      <c r="N8696" s="17" t="s">
        <v>77</v>
      </c>
      <c r="V8696" s="18">
        <f>62811890338</f>
        <v>62811890338</v>
      </c>
    </row>
    <row r="8697" ht="15" customHeight="1" spans="1:22" x14ac:dyDescent="0.25">
      <c r="A8697" s="17" t="s">
        <v>24220</v>
      </c>
      <c r="B8697" s="17" t="s">
        <v>70</v>
      </c>
      <c r="C8697" s="17" t="s">
        <v>71</v>
      </c>
      <c r="D8697" t="s">
        <v>7276</v>
      </c>
      <c r="F8697" t="s">
        <v>24221</v>
      </c>
      <c r="K8697" s="18">
        <f>628196006444</f>
        <v>628196006444</v>
      </c>
      <c r="N8697" s="17" t="s">
        <v>77</v>
      </c>
      <c r="V8697" s="18">
        <f>628196006444</f>
        <v>628196006444</v>
      </c>
    </row>
    <row r="8698" ht="15" customHeight="1" spans="1:22" x14ac:dyDescent="0.25">
      <c r="A8698" s="17" t="s">
        <v>24222</v>
      </c>
      <c r="B8698" s="17" t="s">
        <v>70</v>
      </c>
      <c r="C8698" s="17" t="s">
        <v>71</v>
      </c>
      <c r="D8698" t="s">
        <v>7276</v>
      </c>
      <c r="F8698" t="s">
        <v>414</v>
      </c>
      <c r="K8698" s="18">
        <f>62811827121</f>
        <v>62811827121</v>
      </c>
      <c r="N8698" s="17" t="s">
        <v>77</v>
      </c>
      <c r="V8698" s="18">
        <f>62811827121</f>
        <v>62811827121</v>
      </c>
    </row>
    <row r="8699" ht="15" customHeight="1" spans="1:23" x14ac:dyDescent="0.25">
      <c r="A8699" s="17" t="s">
        <v>24223</v>
      </c>
      <c r="B8699" s="17" t="s">
        <v>70</v>
      </c>
      <c r="C8699" s="17" t="s">
        <v>71</v>
      </c>
      <c r="D8699" t="s">
        <v>7276</v>
      </c>
      <c r="F8699" t="s">
        <v>10444</v>
      </c>
      <c r="K8699" s="18">
        <f>6281357699125</f>
        <v>6281357699125</v>
      </c>
      <c r="N8699" s="17" t="s">
        <v>77</v>
      </c>
      <c r="U8699" s="17"/>
      <c r="V8699" s="18">
        <f>6281357699125</f>
        <v>6281357699125</v>
      </c>
      <c r="W8699" t="s">
        <v>24224</v>
      </c>
    </row>
    <row r="8700" ht="15" customHeight="1" spans="1:22" x14ac:dyDescent="0.25">
      <c r="A8700" s="17" t="s">
        <v>24225</v>
      </c>
      <c r="B8700" s="17" t="s">
        <v>70</v>
      </c>
      <c r="C8700" s="17" t="s">
        <v>71</v>
      </c>
      <c r="D8700" t="s">
        <v>7276</v>
      </c>
      <c r="F8700" t="s">
        <v>301</v>
      </c>
      <c r="K8700" s="18">
        <f>628159989600</f>
        <v>628159989600</v>
      </c>
      <c r="N8700" s="17" t="s">
        <v>77</v>
      </c>
      <c r="V8700" s="18">
        <f>628159989600</f>
        <v>628159989600</v>
      </c>
    </row>
    <row r="8701" ht="15" customHeight="1" spans="1:23" x14ac:dyDescent="0.25">
      <c r="A8701" s="17" t="s">
        <v>24226</v>
      </c>
      <c r="B8701" s="17" t="s">
        <v>70</v>
      </c>
      <c r="C8701" s="17" t="s">
        <v>71</v>
      </c>
      <c r="D8701" t="s">
        <v>7276</v>
      </c>
      <c r="F8701" t="s">
        <v>23668</v>
      </c>
      <c r="K8701" s="18">
        <f>6281328410843</f>
        <v>6281328410843</v>
      </c>
      <c r="N8701" s="17" t="s">
        <v>74</v>
      </c>
      <c r="U8701" s="17"/>
      <c r="V8701" s="18">
        <f>6281328410843</f>
        <v>6281328410843</v>
      </c>
      <c r="W8701" t="s">
        <v>24227</v>
      </c>
    </row>
    <row r="8702" ht="15" customHeight="1" spans="1:22" x14ac:dyDescent="0.25">
      <c r="A8702" s="17" t="s">
        <v>24228</v>
      </c>
      <c r="B8702" s="17" t="s">
        <v>70</v>
      </c>
      <c r="C8702" s="17" t="s">
        <v>71</v>
      </c>
      <c r="D8702" t="s">
        <v>24229</v>
      </c>
      <c r="F8702" t="s">
        <v>24229</v>
      </c>
      <c r="K8702" s="18">
        <f>62816887655</f>
        <v>62816887655</v>
      </c>
      <c r="N8702" s="17" t="s">
        <v>77</v>
      </c>
      <c r="V8702" s="18">
        <f>62816887655</f>
        <v>62816887655</v>
      </c>
    </row>
    <row r="8703" ht="15" customHeight="1" spans="1:27" x14ac:dyDescent="0.25">
      <c r="A8703" s="17" t="s">
        <v>24230</v>
      </c>
      <c r="B8703" s="17" t="s">
        <v>70</v>
      </c>
      <c r="C8703" s="17" t="s">
        <v>71</v>
      </c>
      <c r="D8703" t="s">
        <v>24229</v>
      </c>
      <c r="F8703" t="s">
        <v>11126</v>
      </c>
      <c r="J8703" s="17" t="s">
        <v>24231</v>
      </c>
      <c r="K8703" s="18">
        <f>6285921739292</f>
        <v>6285921739292</v>
      </c>
      <c r="N8703" s="17" t="s">
        <v>77</v>
      </c>
      <c r="U8703" s="17"/>
      <c r="V8703" s="18">
        <f>6285921739292</f>
        <v>6285921739292</v>
      </c>
      <c r="W8703" t="s">
        <v>24232</v>
      </c>
      <c r="AA8703" s="17">
        <v>14240</v>
      </c>
    </row>
    <row r="8704" ht="15" customHeight="1" spans="1:25" x14ac:dyDescent="0.25">
      <c r="A8704" s="17" t="s">
        <v>24233</v>
      </c>
      <c r="B8704" s="17" t="s">
        <v>70</v>
      </c>
      <c r="C8704" s="17" t="s">
        <v>71</v>
      </c>
      <c r="D8704" t="s">
        <v>24229</v>
      </c>
      <c r="F8704" t="s">
        <v>24234</v>
      </c>
      <c r="K8704" s="18">
        <f>628179042277</f>
        <v>628179042277</v>
      </c>
      <c r="N8704" s="17" t="s">
        <v>81</v>
      </c>
      <c r="U8704" s="17"/>
      <c r="V8704" s="18">
        <f>628179042277</f>
        <v>628179042277</v>
      </c>
      <c r="W8704" t="s">
        <v>24235</v>
      </c>
      <c r="Y8704" s="17" t="s">
        <v>622</v>
      </c>
    </row>
    <row r="8705" ht="15" customHeight="1" spans="1:25" x14ac:dyDescent="0.25">
      <c r="A8705" s="17" t="s">
        <v>24236</v>
      </c>
      <c r="B8705" s="17" t="s">
        <v>70</v>
      </c>
      <c r="C8705" s="17" t="s">
        <v>71</v>
      </c>
      <c r="D8705" t="s">
        <v>24229</v>
      </c>
      <c r="F8705" t="s">
        <v>20063</v>
      </c>
      <c r="J8705" s="17" t="s">
        <v>24237</v>
      </c>
      <c r="K8705" s="18">
        <f>6281326886555</f>
        <v>6281326886555</v>
      </c>
      <c r="N8705" s="17" t="s">
        <v>77</v>
      </c>
      <c r="U8705" s="17"/>
      <c r="V8705" s="18">
        <f>6281326886555</f>
        <v>6281326886555</v>
      </c>
      <c r="W8705" t="s">
        <v>24238</v>
      </c>
      <c r="Y8705" s="17" t="s">
        <v>1553</v>
      </c>
    </row>
    <row r="8706" ht="15" customHeight="1" spans="1:22" x14ac:dyDescent="0.25">
      <c r="A8706" s="17" t="s">
        <v>24239</v>
      </c>
      <c r="B8706" s="17" t="s">
        <v>70</v>
      </c>
      <c r="C8706" s="17" t="s">
        <v>71</v>
      </c>
      <c r="D8706" t="s">
        <v>24229</v>
      </c>
      <c r="F8706" t="s">
        <v>301</v>
      </c>
      <c r="K8706" s="18">
        <f>62816970177</f>
        <v>62816970177</v>
      </c>
      <c r="N8706" s="17" t="s">
        <v>74</v>
      </c>
      <c r="V8706" s="18">
        <f>62816970177</f>
        <v>62816970177</v>
      </c>
    </row>
    <row r="8707" ht="15" customHeight="1" spans="1:28" x14ac:dyDescent="0.25">
      <c r="A8707" s="17" t="s">
        <v>24240</v>
      </c>
      <c r="B8707" s="17" t="s">
        <v>70</v>
      </c>
      <c r="C8707" s="17" t="s">
        <v>71</v>
      </c>
      <c r="D8707" t="s">
        <v>24229</v>
      </c>
      <c r="F8707" t="s">
        <v>24241</v>
      </c>
      <c r="J8707" s="17" t="s">
        <v>24242</v>
      </c>
      <c r="K8707" s="18" t="s">
        <v>24243</v>
      </c>
      <c r="N8707" s="17" t="s">
        <v>77</v>
      </c>
      <c r="O8707" t="s">
        <v>199</v>
      </c>
      <c r="V8707" s="18" t="s">
        <v>24243</v>
      </c>
      <c r="Y8707" s="17" t="s">
        <v>622</v>
      </c>
      <c r="AA8707" t="s">
        <v>623</v>
      </c>
      <c r="AB8707" t="s">
        <v>119</v>
      </c>
    </row>
    <row r="8708" ht="15" customHeight="1" spans="1:28" x14ac:dyDescent="0.25">
      <c r="A8708" s="17" t="s">
        <v>24244</v>
      </c>
      <c r="B8708" s="17" t="s">
        <v>70</v>
      </c>
      <c r="C8708" s="17" t="s">
        <v>71</v>
      </c>
      <c r="D8708" t="s">
        <v>24245</v>
      </c>
      <c r="F8708" t="s">
        <v>13338</v>
      </c>
      <c r="J8708" t="s">
        <v>115</v>
      </c>
      <c r="K8708" s="18" t="s">
        <v>24246</v>
      </c>
      <c r="N8708" s="17" t="s">
        <v>74</v>
      </c>
      <c r="O8708" t="s">
        <v>489</v>
      </c>
      <c r="U8708" s="17"/>
      <c r="V8708" s="18" t="s">
        <v>24246</v>
      </c>
      <c r="W8708" t="s">
        <v>24247</v>
      </c>
      <c r="Y8708" t="s">
        <v>90</v>
      </c>
      <c r="AA8708" t="s">
        <v>118</v>
      </c>
      <c r="AB8708" t="s">
        <v>119</v>
      </c>
    </row>
    <row r="8709" ht="15" customHeight="1" spans="1:22" x14ac:dyDescent="0.25">
      <c r="A8709" s="17" t="s">
        <v>24248</v>
      </c>
      <c r="B8709" s="17" t="s">
        <v>70</v>
      </c>
      <c r="C8709" s="17" t="s">
        <v>71</v>
      </c>
      <c r="D8709" t="s">
        <v>24249</v>
      </c>
      <c r="F8709" t="s">
        <v>24249</v>
      </c>
      <c r="K8709" s="18">
        <f>628123088018</f>
        <v>628123088018</v>
      </c>
      <c r="N8709" s="17" t="s">
        <v>77</v>
      </c>
      <c r="V8709" s="18">
        <f>628123088018</f>
        <v>628123088018</v>
      </c>
    </row>
    <row r="8710" ht="15" customHeight="1" spans="1:25" x14ac:dyDescent="0.25">
      <c r="A8710" s="17" t="s">
        <v>24250</v>
      </c>
      <c r="B8710" s="17" t="s">
        <v>70</v>
      </c>
      <c r="C8710" s="17" t="s">
        <v>71</v>
      </c>
      <c r="D8710" t="s">
        <v>24249</v>
      </c>
      <c r="F8710" t="s">
        <v>24251</v>
      </c>
      <c r="K8710" s="18">
        <f>62817167799</f>
        <v>62817167799</v>
      </c>
      <c r="N8710" s="17" t="s">
        <v>74</v>
      </c>
      <c r="U8710" s="17"/>
      <c r="V8710" s="18">
        <f>62817167799</f>
        <v>62817167799</v>
      </c>
      <c r="W8710" t="s">
        <v>24252</v>
      </c>
      <c r="Y8710" s="17" t="s">
        <v>96</v>
      </c>
    </row>
    <row r="8711" ht="15" customHeight="1" spans="1:22" x14ac:dyDescent="0.25">
      <c r="A8711" s="17" t="s">
        <v>24253</v>
      </c>
      <c r="B8711" s="17" t="s">
        <v>70</v>
      </c>
      <c r="C8711" s="17" t="s">
        <v>71</v>
      </c>
      <c r="D8711" t="s">
        <v>944</v>
      </c>
      <c r="F8711" t="s">
        <v>944</v>
      </c>
      <c r="K8711" s="18">
        <f>6281285307888</f>
        <v>6281285307888</v>
      </c>
      <c r="N8711" s="17" t="s">
        <v>81</v>
      </c>
      <c r="V8711" s="18">
        <f>6281285307888</f>
        <v>6281285307888</v>
      </c>
    </row>
    <row r="8712" ht="15" customHeight="1" spans="1:22" x14ac:dyDescent="0.25">
      <c r="A8712" s="17" t="s">
        <v>24254</v>
      </c>
      <c r="B8712" s="17" t="s">
        <v>70</v>
      </c>
      <c r="C8712" s="17" t="s">
        <v>71</v>
      </c>
      <c r="D8712" t="s">
        <v>944</v>
      </c>
      <c r="F8712" t="s">
        <v>944</v>
      </c>
      <c r="K8712" s="18">
        <f>62816899770</f>
        <v>62816899770</v>
      </c>
      <c r="N8712" s="17" t="s">
        <v>81</v>
      </c>
      <c r="V8712" s="18">
        <f>62816899770</f>
        <v>62816899770</v>
      </c>
    </row>
    <row r="8713" ht="15" customHeight="1" spans="1:22" x14ac:dyDescent="0.25">
      <c r="A8713" s="17" t="s">
        <v>24255</v>
      </c>
      <c r="B8713" s="17" t="s">
        <v>70</v>
      </c>
      <c r="C8713" s="17" t="s">
        <v>71</v>
      </c>
      <c r="D8713" t="s">
        <v>944</v>
      </c>
      <c r="F8713" t="s">
        <v>944</v>
      </c>
      <c r="K8713" s="18">
        <f>6287899899889</f>
        <v>6287899899889</v>
      </c>
      <c r="N8713" s="17" t="s">
        <v>81</v>
      </c>
      <c r="V8713" s="18">
        <f>6287899899889</f>
        <v>6287899899889</v>
      </c>
    </row>
    <row r="8714" ht="15" customHeight="1" spans="1:22" x14ac:dyDescent="0.25">
      <c r="A8714" s="17" t="s">
        <v>24256</v>
      </c>
      <c r="B8714" s="17" t="s">
        <v>70</v>
      </c>
      <c r="C8714" s="17" t="s">
        <v>71</v>
      </c>
      <c r="D8714" t="s">
        <v>944</v>
      </c>
      <c r="F8714" t="s">
        <v>944</v>
      </c>
      <c r="K8714" s="18">
        <f>6281388442121</f>
        <v>6281388442121</v>
      </c>
      <c r="N8714" s="17" t="s">
        <v>77</v>
      </c>
      <c r="V8714" s="18">
        <f>6281388442121</f>
        <v>6281388442121</v>
      </c>
    </row>
    <row r="8715" ht="15" customHeight="1" spans="1:25" x14ac:dyDescent="0.25">
      <c r="A8715" s="17" t="s">
        <v>24257</v>
      </c>
      <c r="B8715" s="17" t="s">
        <v>70</v>
      </c>
      <c r="C8715" s="17" t="s">
        <v>71</v>
      </c>
      <c r="D8715" t="s">
        <v>944</v>
      </c>
      <c r="F8715" t="s">
        <v>944</v>
      </c>
      <c r="K8715" s="18">
        <f>622158355567</f>
        <v>622158355567</v>
      </c>
      <c r="N8715" s="17" t="s">
        <v>77</v>
      </c>
      <c r="U8715" s="17"/>
      <c r="V8715" s="18">
        <f>622158355567</f>
        <v>622158355567</v>
      </c>
      <c r="W8715" t="s">
        <v>24258</v>
      </c>
      <c r="Y8715" s="17" t="s">
        <v>626</v>
      </c>
    </row>
    <row r="8716" ht="15" customHeight="1" spans="1:22" x14ac:dyDescent="0.25">
      <c r="A8716" s="17" t="s">
        <v>24259</v>
      </c>
      <c r="B8716" s="17" t="s">
        <v>70</v>
      </c>
      <c r="C8716" s="17" t="s">
        <v>71</v>
      </c>
      <c r="D8716" t="s">
        <v>944</v>
      </c>
      <c r="F8716" t="s">
        <v>944</v>
      </c>
      <c r="K8716" s="18">
        <f>6287795006655</f>
        <v>6287795006655</v>
      </c>
      <c r="N8716" s="17" t="s">
        <v>77</v>
      </c>
      <c r="V8716" s="18">
        <f>6287795006655</f>
        <v>6287795006655</v>
      </c>
    </row>
    <row r="8717" ht="15" customHeight="1" spans="1:22" x14ac:dyDescent="0.25">
      <c r="A8717" s="17" t="s">
        <v>24260</v>
      </c>
      <c r="B8717" s="17" t="s">
        <v>70</v>
      </c>
      <c r="C8717" s="17" t="s">
        <v>71</v>
      </c>
      <c r="D8717" t="s">
        <v>944</v>
      </c>
      <c r="F8717" t="s">
        <v>944</v>
      </c>
      <c r="K8717" s="18">
        <f>6287861213808</f>
        <v>6287861213808</v>
      </c>
      <c r="N8717" s="17" t="s">
        <v>81</v>
      </c>
      <c r="V8717" s="18">
        <f>6287861213808</f>
        <v>6287861213808</v>
      </c>
    </row>
    <row r="8718" ht="15" customHeight="1" spans="1:22" x14ac:dyDescent="0.25">
      <c r="A8718" s="17" t="s">
        <v>24261</v>
      </c>
      <c r="B8718" s="17" t="s">
        <v>70</v>
      </c>
      <c r="C8718" s="17" t="s">
        <v>71</v>
      </c>
      <c r="D8718" t="s">
        <v>944</v>
      </c>
      <c r="F8718" t="s">
        <v>944</v>
      </c>
      <c r="K8718" s="18">
        <f>62817899770</f>
        <v>62817899770</v>
      </c>
      <c r="N8718" s="17" t="s">
        <v>77</v>
      </c>
      <c r="V8718" s="18">
        <f>62817899770</f>
        <v>62817899770</v>
      </c>
    </row>
    <row r="8719" ht="15" customHeight="1" spans="1:25" x14ac:dyDescent="0.25">
      <c r="A8719" s="17" t="s">
        <v>24262</v>
      </c>
      <c r="B8719" s="17" t="s">
        <v>70</v>
      </c>
      <c r="C8719" s="17" t="s">
        <v>71</v>
      </c>
      <c r="D8719" t="s">
        <v>944</v>
      </c>
      <c r="F8719" t="s">
        <v>944</v>
      </c>
      <c r="K8719" s="18">
        <f>6287880194889</f>
        <v>6287880194889</v>
      </c>
      <c r="N8719" s="17" t="s">
        <v>81</v>
      </c>
      <c r="U8719" s="17"/>
      <c r="V8719" s="18">
        <f>6287880194889</f>
        <v>6287880194889</v>
      </c>
      <c r="W8719" t="s">
        <v>24263</v>
      </c>
      <c r="Y8719" s="17" t="s">
        <v>3028</v>
      </c>
    </row>
    <row r="8720" ht="15" customHeight="1" spans="1:28" x14ac:dyDescent="0.25">
      <c r="A8720" s="17" t="s">
        <v>24264</v>
      </c>
      <c r="B8720" s="17" t="s">
        <v>70</v>
      </c>
      <c r="C8720" s="17" t="s">
        <v>71</v>
      </c>
      <c r="D8720" t="s">
        <v>944</v>
      </c>
      <c r="F8720" t="s">
        <v>24265</v>
      </c>
      <c r="J8720" s="17" t="s">
        <v>24266</v>
      </c>
      <c r="K8720" s="18" t="s">
        <v>24267</v>
      </c>
      <c r="N8720" s="17" t="s">
        <v>81</v>
      </c>
      <c r="O8720" t="s">
        <v>261</v>
      </c>
      <c r="U8720" s="17"/>
      <c r="V8720" s="18" t="s">
        <v>24267</v>
      </c>
      <c r="W8720" t="s">
        <v>24268</v>
      </c>
      <c r="Y8720" s="17" t="s">
        <v>90</v>
      </c>
      <c r="AA8720" t="s">
        <v>118</v>
      </c>
      <c r="AB8720" t="s">
        <v>119</v>
      </c>
    </row>
    <row r="8721" ht="15" customHeight="1" spans="1:22" x14ac:dyDescent="0.25">
      <c r="A8721" s="17" t="s">
        <v>24269</v>
      </c>
      <c r="B8721" s="17" t="s">
        <v>70</v>
      </c>
      <c r="C8721" s="17" t="s">
        <v>71</v>
      </c>
      <c r="D8721" t="s">
        <v>944</v>
      </c>
      <c r="F8721" t="s">
        <v>4298</v>
      </c>
      <c r="K8721" s="18">
        <f>6281368272727</f>
        <v>6281368272727</v>
      </c>
      <c r="N8721" s="17" t="s">
        <v>77</v>
      </c>
      <c r="V8721" s="18">
        <f>6281368272727</f>
        <v>6281368272727</v>
      </c>
    </row>
    <row r="8722" ht="15" customHeight="1" spans="1:22" x14ac:dyDescent="0.25">
      <c r="A8722" s="17" t="s">
        <v>24270</v>
      </c>
      <c r="B8722" s="17" t="s">
        <v>70</v>
      </c>
      <c r="C8722" s="17" t="s">
        <v>71</v>
      </c>
      <c r="D8722" t="s">
        <v>944</v>
      </c>
      <c r="F8722" t="s">
        <v>6235</v>
      </c>
      <c r="K8722" s="18">
        <f>6287771821961</f>
        <v>6287771821961</v>
      </c>
      <c r="N8722" s="17" t="s">
        <v>77</v>
      </c>
      <c r="V8722" s="18">
        <f>6287771821961</f>
        <v>6287771821961</v>
      </c>
    </row>
    <row r="8723" ht="15" customHeight="1" spans="1:22" x14ac:dyDescent="0.25">
      <c r="A8723" s="17" t="s">
        <v>24271</v>
      </c>
      <c r="B8723" s="17" t="s">
        <v>70</v>
      </c>
      <c r="C8723" s="17" t="s">
        <v>71</v>
      </c>
      <c r="D8723" t="s">
        <v>944</v>
      </c>
      <c r="F8723" t="s">
        <v>2482</v>
      </c>
      <c r="K8723" s="18">
        <f>62811649022</f>
        <v>62811649022</v>
      </c>
      <c r="N8723" s="17" t="s">
        <v>81</v>
      </c>
      <c r="V8723" s="18">
        <f>62811649022</f>
        <v>62811649022</v>
      </c>
    </row>
    <row r="8724" ht="15" customHeight="1" spans="1:22" x14ac:dyDescent="0.25">
      <c r="A8724" s="17" t="s">
        <v>24272</v>
      </c>
      <c r="B8724" s="17" t="s">
        <v>70</v>
      </c>
      <c r="C8724" s="17" t="s">
        <v>71</v>
      </c>
      <c r="D8724" t="s">
        <v>944</v>
      </c>
      <c r="F8724" t="s">
        <v>4708</v>
      </c>
      <c r="K8724" s="18">
        <f>62811874487</f>
        <v>62811874487</v>
      </c>
      <c r="N8724" s="17" t="s">
        <v>77</v>
      </c>
      <c r="V8724" s="18">
        <f>62811874487</f>
        <v>62811874487</v>
      </c>
    </row>
    <row r="8725" ht="15" customHeight="1" spans="1:22" x14ac:dyDescent="0.25">
      <c r="A8725" s="17" t="s">
        <v>24273</v>
      </c>
      <c r="B8725" s="17" t="s">
        <v>70</v>
      </c>
      <c r="C8725" s="17" t="s">
        <v>71</v>
      </c>
      <c r="D8725" t="s">
        <v>944</v>
      </c>
      <c r="F8725" t="s">
        <v>6381</v>
      </c>
      <c r="K8725" s="18">
        <f>628129538130</f>
        <v>628129538130</v>
      </c>
      <c r="N8725" s="17" t="s">
        <v>77</v>
      </c>
      <c r="V8725" s="18">
        <f>628129538130</f>
        <v>628129538130</v>
      </c>
    </row>
    <row r="8726" ht="15" customHeight="1" spans="1:27" x14ac:dyDescent="0.25">
      <c r="A8726" s="17" t="s">
        <v>24274</v>
      </c>
      <c r="B8726" s="17" t="s">
        <v>70</v>
      </c>
      <c r="C8726" s="17" t="s">
        <v>71</v>
      </c>
      <c r="D8726" t="s">
        <v>944</v>
      </c>
      <c r="F8726" t="s">
        <v>4479</v>
      </c>
      <c r="K8726" s="18">
        <f>62811854520</f>
        <v>62811854520</v>
      </c>
      <c r="N8726" s="17" t="s">
        <v>77</v>
      </c>
      <c r="U8726" s="17"/>
      <c r="V8726" s="18">
        <f>62811854520</f>
        <v>62811854520</v>
      </c>
      <c r="W8726" t="s">
        <v>24275</v>
      </c>
      <c r="Y8726" s="17" t="s">
        <v>1084</v>
      </c>
      <c r="AA8726" s="17" t="s">
        <v>24276</v>
      </c>
    </row>
    <row r="8727" ht="15" customHeight="1" spans="1:25" x14ac:dyDescent="0.25">
      <c r="A8727" s="17" t="s">
        <v>24277</v>
      </c>
      <c r="B8727" s="17" t="s">
        <v>70</v>
      </c>
      <c r="C8727" s="17" t="s">
        <v>71</v>
      </c>
      <c r="D8727" t="s">
        <v>944</v>
      </c>
      <c r="F8727" t="s">
        <v>11126</v>
      </c>
      <c r="J8727" s="17" t="s">
        <v>24278</v>
      </c>
      <c r="K8727" s="18">
        <f>6281281798233</f>
        <v>6281281798233</v>
      </c>
      <c r="N8727" s="17" t="s">
        <v>77</v>
      </c>
      <c r="U8727" s="17"/>
      <c r="V8727" s="18">
        <f>6281281798233</f>
        <v>6281281798233</v>
      </c>
      <c r="W8727" t="s">
        <v>24279</v>
      </c>
      <c r="Y8727" s="17" t="s">
        <v>90</v>
      </c>
    </row>
    <row r="8728" ht="15" customHeight="1" spans="1:23" x14ac:dyDescent="0.25">
      <c r="A8728" s="17" t="s">
        <v>24280</v>
      </c>
      <c r="B8728" s="17" t="s">
        <v>70</v>
      </c>
      <c r="C8728" s="17" t="s">
        <v>71</v>
      </c>
      <c r="D8728" t="s">
        <v>944</v>
      </c>
      <c r="F8728" t="s">
        <v>13629</v>
      </c>
      <c r="K8728" s="18">
        <v>816999021</v>
      </c>
      <c r="N8728" s="17" t="s">
        <v>77</v>
      </c>
      <c r="U8728" s="17"/>
      <c r="V8728" s="18">
        <v>816999021</v>
      </c>
      <c r="W8728" t="s">
        <v>24281</v>
      </c>
    </row>
    <row r="8729" ht="15" customHeight="1" spans="1:22" x14ac:dyDescent="0.25">
      <c r="A8729" s="17" t="s">
        <v>24282</v>
      </c>
      <c r="B8729" s="17" t="s">
        <v>70</v>
      </c>
      <c r="C8729" s="17" t="s">
        <v>71</v>
      </c>
      <c r="D8729" t="s">
        <v>944</v>
      </c>
      <c r="F8729" t="s">
        <v>16965</v>
      </c>
      <c r="K8729" s="18">
        <f>6281234800605</f>
        <v>6281234800605</v>
      </c>
      <c r="N8729" s="17" t="s">
        <v>77</v>
      </c>
      <c r="V8729" s="18">
        <f>6281234800605</f>
        <v>6281234800605</v>
      </c>
    </row>
    <row r="8730" ht="15" customHeight="1" spans="1:22" x14ac:dyDescent="0.25">
      <c r="A8730" s="17" t="s">
        <v>24283</v>
      </c>
      <c r="B8730" s="17" t="s">
        <v>70</v>
      </c>
      <c r="C8730" s="17" t="s">
        <v>71</v>
      </c>
      <c r="D8730" t="s">
        <v>944</v>
      </c>
      <c r="F8730" t="s">
        <v>1217</v>
      </c>
      <c r="K8730" s="18">
        <f>628123805387</f>
        <v>628123805387</v>
      </c>
      <c r="N8730" s="17" t="s">
        <v>81</v>
      </c>
      <c r="V8730" s="18">
        <f>628123805387</f>
        <v>628123805387</v>
      </c>
    </row>
    <row r="8731" ht="15" customHeight="1" spans="1:28" x14ac:dyDescent="0.25">
      <c r="A8731" s="17" t="s">
        <v>24284</v>
      </c>
      <c r="B8731" s="17" t="s">
        <v>70</v>
      </c>
      <c r="C8731" s="17" t="s">
        <v>71</v>
      </c>
      <c r="D8731" t="s">
        <v>944</v>
      </c>
      <c r="F8731" t="s">
        <v>944</v>
      </c>
      <c r="J8731" t="s">
        <v>115</v>
      </c>
      <c r="K8731" s="18" t="s">
        <v>24285</v>
      </c>
      <c r="N8731" s="17" t="s">
        <v>74</v>
      </c>
      <c r="O8731" t="s">
        <v>117</v>
      </c>
      <c r="V8731" s="18" t="s">
        <v>24285</v>
      </c>
      <c r="Y8731" t="s">
        <v>190</v>
      </c>
      <c r="AA8731" t="s">
        <v>118</v>
      </c>
      <c r="AB8731" t="s">
        <v>119</v>
      </c>
    </row>
    <row r="8732" ht="15" customHeight="1" spans="1:23" x14ac:dyDescent="0.25">
      <c r="A8732" s="17" t="s">
        <v>24286</v>
      </c>
      <c r="B8732" s="17" t="s">
        <v>70</v>
      </c>
      <c r="C8732" s="17" t="s">
        <v>71</v>
      </c>
      <c r="D8732" t="s">
        <v>944</v>
      </c>
      <c r="F8732" t="s">
        <v>24287</v>
      </c>
      <c r="K8732" s="18">
        <f>6285885997949</f>
        <v>6285885997949</v>
      </c>
      <c r="N8732" s="17" t="s">
        <v>81</v>
      </c>
      <c r="U8732" s="17"/>
      <c r="V8732" s="18">
        <f>6285885997949</f>
        <v>6285885997949</v>
      </c>
      <c r="W8732" t="s">
        <v>24288</v>
      </c>
    </row>
    <row r="8733" ht="15" customHeight="1" spans="1:22" x14ac:dyDescent="0.25">
      <c r="A8733" s="17" t="s">
        <v>24289</v>
      </c>
      <c r="B8733" s="17" t="s">
        <v>70</v>
      </c>
      <c r="C8733" s="17" t="s">
        <v>71</v>
      </c>
      <c r="D8733" t="s">
        <v>944</v>
      </c>
      <c r="F8733" t="s">
        <v>3605</v>
      </c>
      <c r="K8733" s="18">
        <f>6281344698888</f>
        <v>6281344698888</v>
      </c>
      <c r="N8733" s="17" t="s">
        <v>81</v>
      </c>
      <c r="V8733" s="18">
        <f>6281344698888</f>
        <v>6281344698888</v>
      </c>
    </row>
    <row r="8734" ht="15" customHeight="1" spans="1:27" x14ac:dyDescent="0.25">
      <c r="A8734" s="17" t="s">
        <v>24290</v>
      </c>
      <c r="B8734" s="17" t="s">
        <v>70</v>
      </c>
      <c r="C8734" s="17" t="s">
        <v>71</v>
      </c>
      <c r="D8734" t="s">
        <v>944</v>
      </c>
      <c r="F8734" t="s">
        <v>672</v>
      </c>
      <c r="K8734" s="18">
        <f>628159034890</f>
        <v>628159034890</v>
      </c>
      <c r="N8734" s="17" t="s">
        <v>77</v>
      </c>
      <c r="U8734" s="17"/>
      <c r="V8734" s="18">
        <f>628159034890</f>
        <v>628159034890</v>
      </c>
      <c r="W8734" t="s">
        <v>24291</v>
      </c>
      <c r="Y8734" s="17" t="s">
        <v>515</v>
      </c>
      <c r="AA8734" s="17" t="s">
        <v>24292</v>
      </c>
    </row>
    <row r="8735" ht="15" customHeight="1" spans="1:23" x14ac:dyDescent="0.25">
      <c r="A8735" s="17" t="s">
        <v>24293</v>
      </c>
      <c r="B8735" s="17" t="s">
        <v>70</v>
      </c>
      <c r="C8735" s="17" t="s">
        <v>71</v>
      </c>
      <c r="D8735" t="s">
        <v>944</v>
      </c>
      <c r="F8735" t="s">
        <v>24294</v>
      </c>
      <c r="K8735" s="18">
        <f>62811929807</f>
        <v>62811929807</v>
      </c>
      <c r="N8735" s="17" t="s">
        <v>81</v>
      </c>
      <c r="U8735" s="17"/>
      <c r="V8735" s="18">
        <f>62811929807</f>
        <v>62811929807</v>
      </c>
      <c r="W8735" t="s">
        <v>24295</v>
      </c>
    </row>
    <row r="8736" ht="15" customHeight="1" spans="1:22" x14ac:dyDescent="0.25">
      <c r="A8736" s="17" t="s">
        <v>24296</v>
      </c>
      <c r="B8736" s="17" t="s">
        <v>70</v>
      </c>
      <c r="C8736" s="17" t="s">
        <v>71</v>
      </c>
      <c r="D8736" t="s">
        <v>944</v>
      </c>
      <c r="F8736" t="s">
        <v>24297</v>
      </c>
      <c r="K8736" s="18">
        <f>628114141078</f>
        <v>628114141078</v>
      </c>
      <c r="N8736" s="17" t="s">
        <v>77</v>
      </c>
      <c r="V8736" s="18">
        <f>628114141078</f>
        <v>628114141078</v>
      </c>
    </row>
    <row r="8737" ht="15" customHeight="1" spans="1:23" x14ac:dyDescent="0.25">
      <c r="A8737" s="17" t="s">
        <v>24298</v>
      </c>
      <c r="B8737" s="17" t="s">
        <v>70</v>
      </c>
      <c r="C8737" s="17" t="s">
        <v>71</v>
      </c>
      <c r="D8737" t="s">
        <v>944</v>
      </c>
      <c r="F8737" t="s">
        <v>24299</v>
      </c>
      <c r="J8737" s="17" t="s">
        <v>24300</v>
      </c>
      <c r="K8737" s="18">
        <f>6287821021222</f>
        <v>6287821021222</v>
      </c>
      <c r="N8737" s="17" t="s">
        <v>81</v>
      </c>
      <c r="U8737" s="17"/>
      <c r="V8737" s="18">
        <f>6287821021222</f>
        <v>6287821021222</v>
      </c>
      <c r="W8737" t="s">
        <v>24301</v>
      </c>
    </row>
    <row r="8738" ht="15" customHeight="1" spans="1:22" x14ac:dyDescent="0.25">
      <c r="A8738" s="17" t="s">
        <v>24302</v>
      </c>
      <c r="B8738" s="17" t="s">
        <v>70</v>
      </c>
      <c r="C8738" s="17" t="s">
        <v>71</v>
      </c>
      <c r="D8738" t="s">
        <v>944</v>
      </c>
      <c r="F8738" t="s">
        <v>24303</v>
      </c>
      <c r="K8738" s="18">
        <f>62818916327</f>
        <v>62818916327</v>
      </c>
      <c r="N8738" s="17" t="s">
        <v>77</v>
      </c>
      <c r="V8738" s="18">
        <f>62818916327</f>
        <v>62818916327</v>
      </c>
    </row>
    <row r="8739" ht="15" customHeight="1" spans="1:28" x14ac:dyDescent="0.25">
      <c r="A8739" s="17" t="s">
        <v>24304</v>
      </c>
      <c r="B8739" s="17" t="s">
        <v>70</v>
      </c>
      <c r="C8739" s="17" t="s">
        <v>71</v>
      </c>
      <c r="D8739" t="s">
        <v>944</v>
      </c>
      <c r="F8739" t="s">
        <v>24305</v>
      </c>
      <c r="J8739" t="s">
        <v>115</v>
      </c>
      <c r="K8739" s="18" t="s">
        <v>24306</v>
      </c>
      <c r="N8739" s="17" t="s">
        <v>74</v>
      </c>
      <c r="O8739" t="s">
        <v>145</v>
      </c>
      <c r="V8739" s="18" t="s">
        <v>24306</v>
      </c>
      <c r="Y8739" t="s">
        <v>4959</v>
      </c>
      <c r="AA8739" t="s">
        <v>115</v>
      </c>
      <c r="AB8739" t="s">
        <v>119</v>
      </c>
    </row>
    <row r="8740" ht="15" customHeight="1" spans="1:22" x14ac:dyDescent="0.25">
      <c r="A8740" s="17" t="s">
        <v>24307</v>
      </c>
      <c r="B8740" s="17" t="s">
        <v>70</v>
      </c>
      <c r="C8740" s="17" t="s">
        <v>71</v>
      </c>
      <c r="D8740" t="s">
        <v>944</v>
      </c>
      <c r="F8740" t="s">
        <v>24308</v>
      </c>
      <c r="K8740" s="18">
        <f>62811236678</f>
        <v>62811236678</v>
      </c>
      <c r="N8740" s="17" t="s">
        <v>77</v>
      </c>
      <c r="V8740" s="18">
        <f>62811236678</f>
        <v>62811236678</v>
      </c>
    </row>
    <row r="8741" ht="15" customHeight="1" spans="1:23" x14ac:dyDescent="0.25">
      <c r="A8741" s="17" t="s">
        <v>24309</v>
      </c>
      <c r="B8741" s="17" t="s">
        <v>70</v>
      </c>
      <c r="C8741" s="17" t="s">
        <v>71</v>
      </c>
      <c r="D8741" t="s">
        <v>944</v>
      </c>
      <c r="F8741" t="s">
        <v>1130</v>
      </c>
      <c r="J8741" s="17" t="s">
        <v>24310</v>
      </c>
      <c r="K8741" s="18">
        <f>62816903289</f>
        <v>62816903289</v>
      </c>
      <c r="N8741" s="17" t="s">
        <v>77</v>
      </c>
      <c r="U8741" s="17"/>
      <c r="V8741" s="18">
        <f>62816903289</f>
        <v>62816903289</v>
      </c>
      <c r="W8741" t="s">
        <v>24311</v>
      </c>
    </row>
    <row r="8742" ht="15" customHeight="1" spans="1:22" x14ac:dyDescent="0.25">
      <c r="A8742" s="17" t="s">
        <v>24312</v>
      </c>
      <c r="B8742" s="17" t="s">
        <v>70</v>
      </c>
      <c r="C8742" s="17" t="s">
        <v>71</v>
      </c>
      <c r="D8742" t="s">
        <v>944</v>
      </c>
      <c r="F8742" t="s">
        <v>282</v>
      </c>
      <c r="K8742" s="18">
        <f>628158090080</f>
        <v>628158090080</v>
      </c>
      <c r="N8742" s="17" t="s">
        <v>77</v>
      </c>
      <c r="V8742" s="18">
        <f>628158090080</f>
        <v>628158090080</v>
      </c>
    </row>
    <row r="8743" ht="15" customHeight="1" spans="1:22" x14ac:dyDescent="0.25">
      <c r="A8743" s="17" t="s">
        <v>24313</v>
      </c>
      <c r="B8743" s="17" t="s">
        <v>70</v>
      </c>
      <c r="C8743" s="17" t="s">
        <v>71</v>
      </c>
      <c r="D8743" t="s">
        <v>944</v>
      </c>
      <c r="F8743" t="s">
        <v>24314</v>
      </c>
      <c r="K8743" s="18">
        <f>6287870260080</f>
        <v>6287870260080</v>
      </c>
      <c r="N8743" s="17" t="s">
        <v>74</v>
      </c>
      <c r="V8743" s="18">
        <f>6287870260080</f>
        <v>6287870260080</v>
      </c>
    </row>
    <row r="8744" ht="15" customHeight="1" spans="1:22" x14ac:dyDescent="0.25">
      <c r="A8744" s="17" t="s">
        <v>24315</v>
      </c>
      <c r="B8744" s="17" t="s">
        <v>70</v>
      </c>
      <c r="C8744" s="17" t="s">
        <v>71</v>
      </c>
      <c r="D8744" t="s">
        <v>944</v>
      </c>
      <c r="F8744" t="s">
        <v>24316</v>
      </c>
      <c r="K8744" s="18">
        <f>62811852385</f>
        <v>62811852385</v>
      </c>
      <c r="N8744" s="17" t="s">
        <v>74</v>
      </c>
      <c r="V8744" s="18">
        <f>62811852385</f>
        <v>62811852385</v>
      </c>
    </row>
    <row r="8745" ht="15" customHeight="1" spans="1:22" x14ac:dyDescent="0.25">
      <c r="A8745" s="17" t="s">
        <v>24317</v>
      </c>
      <c r="B8745" s="17" t="s">
        <v>70</v>
      </c>
      <c r="C8745" s="17" t="s">
        <v>71</v>
      </c>
      <c r="D8745" t="s">
        <v>944</v>
      </c>
      <c r="F8745" t="s">
        <v>1016</v>
      </c>
      <c r="K8745" s="18">
        <f>6281222266777</f>
        <v>6281222266777</v>
      </c>
      <c r="N8745" s="17" t="s">
        <v>74</v>
      </c>
      <c r="V8745" s="18">
        <f>6281222266777</f>
        <v>6281222266777</v>
      </c>
    </row>
    <row r="8746" ht="15" customHeight="1" spans="1:23" x14ac:dyDescent="0.25">
      <c r="A8746" s="17" t="s">
        <v>24318</v>
      </c>
      <c r="B8746" s="17" t="s">
        <v>70</v>
      </c>
      <c r="C8746" s="17" t="s">
        <v>71</v>
      </c>
      <c r="D8746" t="s">
        <v>944</v>
      </c>
      <c r="F8746" t="s">
        <v>24146</v>
      </c>
      <c r="K8746" s="18">
        <f>628161410878</f>
        <v>628161410878</v>
      </c>
      <c r="N8746" s="17" t="s">
        <v>74</v>
      </c>
      <c r="U8746" s="17"/>
      <c r="V8746" s="18">
        <f>628161410878</f>
        <v>628161410878</v>
      </c>
      <c r="W8746" t="s">
        <v>24319</v>
      </c>
    </row>
    <row r="8747" ht="15" customHeight="1" spans="1:28" x14ac:dyDescent="0.25">
      <c r="A8747" s="17" t="s">
        <v>24320</v>
      </c>
      <c r="B8747" s="17" t="s">
        <v>70</v>
      </c>
      <c r="C8747" s="17" t="s">
        <v>71</v>
      </c>
      <c r="D8747" t="s">
        <v>944</v>
      </c>
      <c r="F8747" t="s">
        <v>11216</v>
      </c>
      <c r="J8747" t="s">
        <v>115</v>
      </c>
      <c r="K8747" s="18" t="s">
        <v>24321</v>
      </c>
      <c r="N8747" s="17" t="s">
        <v>74</v>
      </c>
      <c r="O8747" t="s">
        <v>117</v>
      </c>
      <c r="U8747" s="17"/>
      <c r="V8747" s="18" t="s">
        <v>24321</v>
      </c>
      <c r="W8747" t="s">
        <v>24322</v>
      </c>
      <c r="Y8747" t="s">
        <v>90</v>
      </c>
      <c r="AA8747" t="s">
        <v>118</v>
      </c>
      <c r="AB8747" t="s">
        <v>119</v>
      </c>
    </row>
    <row r="8748" ht="15" customHeight="1" spans="1:23" x14ac:dyDescent="0.25">
      <c r="A8748" s="17" t="s">
        <v>24323</v>
      </c>
      <c r="B8748" s="17" t="s">
        <v>70</v>
      </c>
      <c r="C8748" s="17" t="s">
        <v>71</v>
      </c>
      <c r="D8748" t="s">
        <v>944</v>
      </c>
      <c r="F8748" t="s">
        <v>879</v>
      </c>
      <c r="K8748" s="18">
        <v>298324242</v>
      </c>
      <c r="N8748" s="17" t="s">
        <v>77</v>
      </c>
      <c r="U8748" s="17"/>
      <c r="V8748" s="18">
        <v>298324242</v>
      </c>
      <c r="W8748" t="s">
        <v>24324</v>
      </c>
    </row>
    <row r="8749" ht="15" customHeight="1" spans="1:22" x14ac:dyDescent="0.25">
      <c r="A8749" s="17" t="s">
        <v>24325</v>
      </c>
      <c r="B8749" s="17" t="s">
        <v>70</v>
      </c>
      <c r="C8749" s="17" t="s">
        <v>71</v>
      </c>
      <c r="D8749" t="s">
        <v>944</v>
      </c>
      <c r="F8749" t="s">
        <v>12083</v>
      </c>
      <c r="K8749" s="18">
        <f>628139985500</f>
        <v>628139985500</v>
      </c>
      <c r="N8749" s="17" t="s">
        <v>81</v>
      </c>
      <c r="V8749" s="18">
        <f>628139985500</f>
        <v>628139985500</v>
      </c>
    </row>
    <row r="8750" ht="15" customHeight="1" spans="1:22" x14ac:dyDescent="0.25">
      <c r="A8750" s="17" t="s">
        <v>24326</v>
      </c>
      <c r="B8750" s="17" t="s">
        <v>70</v>
      </c>
      <c r="C8750" s="17" t="s">
        <v>71</v>
      </c>
      <c r="D8750" t="s">
        <v>944</v>
      </c>
      <c r="F8750" t="s">
        <v>944</v>
      </c>
      <c r="K8750" s="18">
        <f>6281292457881</f>
        <v>6281292457881</v>
      </c>
      <c r="N8750" s="17" t="s">
        <v>81</v>
      </c>
      <c r="V8750" s="18">
        <f>6281292457881</f>
        <v>6281292457881</v>
      </c>
    </row>
    <row r="8751" ht="15" customHeight="1" spans="1:22" x14ac:dyDescent="0.25">
      <c r="A8751" s="17" t="s">
        <v>24327</v>
      </c>
      <c r="B8751" s="17" t="s">
        <v>70</v>
      </c>
      <c r="C8751" s="17" t="s">
        <v>71</v>
      </c>
      <c r="D8751" t="s">
        <v>944</v>
      </c>
      <c r="F8751" t="s">
        <v>944</v>
      </c>
      <c r="K8751" s="18">
        <f>62818194020</f>
        <v>62818194020</v>
      </c>
      <c r="N8751" s="17" t="s">
        <v>74</v>
      </c>
      <c r="V8751" s="18">
        <f>62818194020</f>
        <v>62818194020</v>
      </c>
    </row>
    <row r="8752" ht="15" customHeight="1" spans="1:22" x14ac:dyDescent="0.25">
      <c r="A8752" s="17" t="s">
        <v>24328</v>
      </c>
      <c r="B8752" s="17" t="s">
        <v>70</v>
      </c>
      <c r="C8752" s="17" t="s">
        <v>71</v>
      </c>
      <c r="D8752" t="s">
        <v>24329</v>
      </c>
      <c r="F8752" t="s">
        <v>212</v>
      </c>
      <c r="K8752" s="18">
        <f>628161479294</f>
        <v>628161479294</v>
      </c>
      <c r="N8752" s="17" t="s">
        <v>77</v>
      </c>
      <c r="V8752" s="18">
        <f>628161479294</f>
        <v>628161479294</v>
      </c>
    </row>
    <row r="8753" ht="15" customHeight="1" spans="1:22" x14ac:dyDescent="0.25">
      <c r="A8753" s="17" t="s">
        <v>24330</v>
      </c>
      <c r="B8753" s="17" t="s">
        <v>70</v>
      </c>
      <c r="C8753" s="17" t="s">
        <v>71</v>
      </c>
      <c r="D8753" t="s">
        <v>24329</v>
      </c>
      <c r="F8753" t="s">
        <v>6028</v>
      </c>
      <c r="K8753" s="18">
        <f>628558000200</f>
        <v>628558000200</v>
      </c>
      <c r="N8753" s="17" t="s">
        <v>81</v>
      </c>
      <c r="V8753" s="18">
        <f>628558000200</f>
        <v>628558000200</v>
      </c>
    </row>
    <row r="8754" ht="15" customHeight="1" spans="1:22" x14ac:dyDescent="0.25">
      <c r="A8754" s="17" t="s">
        <v>24331</v>
      </c>
      <c r="B8754" s="17" t="s">
        <v>70</v>
      </c>
      <c r="C8754" s="17" t="s">
        <v>71</v>
      </c>
      <c r="D8754" t="s">
        <v>24332</v>
      </c>
      <c r="F8754" t="s">
        <v>24332</v>
      </c>
      <c r="K8754" s="18">
        <f>62811807646</f>
        <v>62811807646</v>
      </c>
      <c r="N8754" s="17" t="s">
        <v>74</v>
      </c>
      <c r="V8754" s="18">
        <f>62811807646</f>
        <v>62811807646</v>
      </c>
    </row>
    <row r="8755" ht="15" customHeight="1" spans="1:22" x14ac:dyDescent="0.25">
      <c r="A8755" s="17" t="s">
        <v>24333</v>
      </c>
      <c r="B8755" s="17" t="s">
        <v>70</v>
      </c>
      <c r="C8755" s="17" t="s">
        <v>71</v>
      </c>
      <c r="D8755" t="s">
        <v>150</v>
      </c>
      <c r="F8755" t="s">
        <v>150</v>
      </c>
      <c r="K8755" s="18">
        <f>628170099150</f>
        <v>628170099150</v>
      </c>
      <c r="N8755" s="17" t="s">
        <v>77</v>
      </c>
      <c r="V8755" s="18">
        <f>628170099150</f>
        <v>628170099150</v>
      </c>
    </row>
    <row r="8756" ht="15" customHeight="1" spans="1:27" x14ac:dyDescent="0.25">
      <c r="A8756" s="17" t="s">
        <v>24334</v>
      </c>
      <c r="B8756" s="17" t="s">
        <v>70</v>
      </c>
      <c r="C8756" s="17" t="s">
        <v>71</v>
      </c>
      <c r="D8756" t="s">
        <v>150</v>
      </c>
      <c r="F8756" t="s">
        <v>130</v>
      </c>
      <c r="J8756" s="17" t="s">
        <v>24335</v>
      </c>
      <c r="K8756" s="18">
        <f>6281380757560</f>
        <v>6281380757560</v>
      </c>
      <c r="N8756" s="17" t="s">
        <v>77</v>
      </c>
      <c r="U8756" s="17"/>
      <c r="V8756" s="18">
        <f>6281380757560</f>
        <v>6281380757560</v>
      </c>
      <c r="W8756" t="s">
        <v>24336</v>
      </c>
      <c r="Y8756" s="17" t="s">
        <v>217</v>
      </c>
      <c r="AA8756" s="17">
        <v>15118</v>
      </c>
    </row>
    <row r="8757" ht="15" customHeight="1" spans="1:25" x14ac:dyDescent="0.25">
      <c r="A8757" s="17" t="s">
        <v>24337</v>
      </c>
      <c r="B8757" s="17" t="s">
        <v>70</v>
      </c>
      <c r="C8757" s="17" t="s">
        <v>71</v>
      </c>
      <c r="D8757" t="s">
        <v>150</v>
      </c>
      <c r="F8757" t="s">
        <v>24338</v>
      </c>
      <c r="K8757" s="18">
        <f>628122378800</f>
        <v>628122378800</v>
      </c>
      <c r="N8757" s="17" t="s">
        <v>81</v>
      </c>
      <c r="U8757" s="17"/>
      <c r="V8757" s="18">
        <f>628122378800</f>
        <v>628122378800</v>
      </c>
      <c r="W8757" t="s">
        <v>24339</v>
      </c>
      <c r="Y8757" s="17" t="s">
        <v>500</v>
      </c>
    </row>
    <row r="8758" ht="15" customHeight="1" spans="1:22" x14ac:dyDescent="0.25">
      <c r="A8758" s="17" t="s">
        <v>24340</v>
      </c>
      <c r="B8758" s="17" t="s">
        <v>70</v>
      </c>
      <c r="C8758" s="17" t="s">
        <v>71</v>
      </c>
      <c r="D8758" t="s">
        <v>150</v>
      </c>
      <c r="F8758" t="s">
        <v>24341</v>
      </c>
      <c r="K8758" s="18">
        <f>628122688328</f>
        <v>628122688328</v>
      </c>
      <c r="N8758" s="17" t="s">
        <v>77</v>
      </c>
      <c r="V8758" s="18">
        <f>628122688328</f>
        <v>628122688328</v>
      </c>
    </row>
    <row r="8759" ht="15" customHeight="1" spans="1:28" x14ac:dyDescent="0.25">
      <c r="A8759" s="17" t="s">
        <v>24342</v>
      </c>
      <c r="B8759" s="17" t="s">
        <v>70</v>
      </c>
      <c r="C8759" s="17" t="s">
        <v>71</v>
      </c>
      <c r="D8759" t="s">
        <v>150</v>
      </c>
      <c r="F8759" t="s">
        <v>24343</v>
      </c>
      <c r="J8759" t="s">
        <v>115</v>
      </c>
      <c r="K8759" s="18" t="s">
        <v>24344</v>
      </c>
      <c r="N8759" s="17" t="s">
        <v>74</v>
      </c>
      <c r="O8759" t="s">
        <v>489</v>
      </c>
      <c r="V8759" s="18" t="s">
        <v>24344</v>
      </c>
      <c r="Y8759" t="s">
        <v>90</v>
      </c>
      <c r="AA8759" t="s">
        <v>118</v>
      </c>
      <c r="AB8759" t="s">
        <v>119</v>
      </c>
    </row>
    <row r="8760" ht="15" customHeight="1" spans="1:22" x14ac:dyDescent="0.25">
      <c r="A8760" s="17" t="s">
        <v>24345</v>
      </c>
      <c r="B8760" s="17" t="s">
        <v>70</v>
      </c>
      <c r="C8760" s="17" t="s">
        <v>71</v>
      </c>
      <c r="D8760" t="s">
        <v>150</v>
      </c>
      <c r="F8760" t="s">
        <v>7949</v>
      </c>
      <c r="K8760" s="18">
        <f>6281368056008</f>
        <v>6281368056008</v>
      </c>
      <c r="N8760" s="17" t="s">
        <v>77</v>
      </c>
      <c r="V8760" s="18">
        <f>6281368056008</f>
        <v>6281368056008</v>
      </c>
    </row>
    <row r="8761" ht="15" customHeight="1" spans="1:23" x14ac:dyDescent="0.25">
      <c r="A8761" s="17" t="s">
        <v>24346</v>
      </c>
      <c r="B8761" s="17" t="s">
        <v>70</v>
      </c>
      <c r="C8761" s="17" t="s">
        <v>71</v>
      </c>
      <c r="D8761" t="s">
        <v>150</v>
      </c>
      <c r="F8761" t="s">
        <v>24347</v>
      </c>
      <c r="K8761" s="18">
        <f>6281349499999</f>
        <v>6281349499999</v>
      </c>
      <c r="N8761" s="17" t="s">
        <v>77</v>
      </c>
      <c r="U8761" s="17"/>
      <c r="V8761" s="18">
        <f>6281349499999</f>
        <v>6281349499999</v>
      </c>
      <c r="W8761" t="s">
        <v>24348</v>
      </c>
    </row>
    <row r="8762" ht="15" customHeight="1" spans="1:22" x14ac:dyDescent="0.25">
      <c r="A8762" s="17" t="s">
        <v>24349</v>
      </c>
      <c r="B8762" s="17" t="s">
        <v>70</v>
      </c>
      <c r="C8762" s="17" t="s">
        <v>71</v>
      </c>
      <c r="D8762" t="s">
        <v>150</v>
      </c>
      <c r="F8762" t="s">
        <v>24350</v>
      </c>
      <c r="K8762" s="18">
        <f>62816740717</f>
        <v>62816740717</v>
      </c>
      <c r="N8762" s="17" t="s">
        <v>74</v>
      </c>
      <c r="V8762" s="18">
        <f>62816740717</f>
        <v>62816740717</v>
      </c>
    </row>
    <row r="8763" ht="15" customHeight="1" spans="1:23" x14ac:dyDescent="0.25">
      <c r="A8763" s="17" t="s">
        <v>24351</v>
      </c>
      <c r="B8763" s="17" t="s">
        <v>70</v>
      </c>
      <c r="C8763" s="17" t="s">
        <v>71</v>
      </c>
      <c r="D8763" t="s">
        <v>150</v>
      </c>
      <c r="F8763" t="s">
        <v>6668</v>
      </c>
      <c r="K8763" s="18">
        <f>6282298429289</f>
        <v>6282298429289</v>
      </c>
      <c r="N8763" s="17" t="s">
        <v>77</v>
      </c>
      <c r="U8763" s="17"/>
      <c r="V8763" s="18">
        <f>6282298429289</f>
        <v>6282298429289</v>
      </c>
      <c r="W8763" t="s">
        <v>410</v>
      </c>
    </row>
    <row r="8764" ht="15" customHeight="1" spans="1:25" x14ac:dyDescent="0.25">
      <c r="A8764" s="17" t="s">
        <v>24352</v>
      </c>
      <c r="B8764" s="17" t="s">
        <v>70</v>
      </c>
      <c r="C8764" s="17" t="s">
        <v>71</v>
      </c>
      <c r="D8764" t="s">
        <v>150</v>
      </c>
      <c r="F8764" t="s">
        <v>24341</v>
      </c>
      <c r="J8764" s="17" t="s">
        <v>24353</v>
      </c>
      <c r="K8764" s="18">
        <f>6287878959270</f>
        <v>6287878959270</v>
      </c>
      <c r="N8764" s="17" t="s">
        <v>77</v>
      </c>
      <c r="U8764" s="17"/>
      <c r="V8764" s="18">
        <f>6287878959270</f>
        <v>6287878959270</v>
      </c>
      <c r="W8764" t="s">
        <v>24354</v>
      </c>
      <c r="Y8764" s="17" t="s">
        <v>24355</v>
      </c>
    </row>
    <row r="8765" ht="15" customHeight="1" spans="1:23" x14ac:dyDescent="0.25">
      <c r="A8765" s="17" t="s">
        <v>24356</v>
      </c>
      <c r="B8765" s="17" t="s">
        <v>70</v>
      </c>
      <c r="C8765" s="17" t="s">
        <v>71</v>
      </c>
      <c r="D8765" t="s">
        <v>150</v>
      </c>
      <c r="F8765" t="s">
        <v>17806</v>
      </c>
      <c r="K8765" s="18">
        <f>628111615632</f>
        <v>628111615632</v>
      </c>
      <c r="N8765" s="17" t="s">
        <v>81</v>
      </c>
      <c r="U8765" s="17"/>
      <c r="V8765" s="18">
        <f>628111615632</f>
        <v>628111615632</v>
      </c>
      <c r="W8765" t="s">
        <v>24357</v>
      </c>
    </row>
    <row r="8766" ht="15" customHeight="1" spans="1:22" x14ac:dyDescent="0.25">
      <c r="A8766" s="17" t="s">
        <v>24358</v>
      </c>
      <c r="B8766" s="17" t="s">
        <v>70</v>
      </c>
      <c r="C8766" s="17" t="s">
        <v>71</v>
      </c>
      <c r="D8766" t="s">
        <v>150</v>
      </c>
      <c r="F8766" t="s">
        <v>7499</v>
      </c>
      <c r="K8766" s="18">
        <f>62811827831</f>
        <v>62811827831</v>
      </c>
      <c r="N8766" s="17" t="s">
        <v>77</v>
      </c>
      <c r="V8766" s="18">
        <f>62811827831</f>
        <v>62811827831</v>
      </c>
    </row>
    <row r="8767" ht="15" customHeight="1" spans="1:22" x14ac:dyDescent="0.25">
      <c r="A8767" s="17" t="s">
        <v>24359</v>
      </c>
      <c r="B8767" s="17" t="s">
        <v>70</v>
      </c>
      <c r="C8767" s="17" t="s">
        <v>71</v>
      </c>
      <c r="D8767" t="s">
        <v>150</v>
      </c>
      <c r="F8767" t="s">
        <v>944</v>
      </c>
      <c r="K8767" s="18">
        <f>628121043938</f>
        <v>628121043938</v>
      </c>
      <c r="N8767" s="17" t="s">
        <v>77</v>
      </c>
      <c r="V8767" s="18">
        <f>628121043938</f>
        <v>628121043938</v>
      </c>
    </row>
    <row r="8768" ht="15" customHeight="1" spans="1:28" x14ac:dyDescent="0.25">
      <c r="A8768" s="17" t="s">
        <v>24360</v>
      </c>
      <c r="B8768" s="17" t="s">
        <v>70</v>
      </c>
      <c r="C8768" s="17" t="s">
        <v>71</v>
      </c>
      <c r="D8768" t="s">
        <v>150</v>
      </c>
      <c r="F8768" t="s">
        <v>24361</v>
      </c>
      <c r="J8768" s="17" t="s">
        <v>24362</v>
      </c>
      <c r="K8768" s="18" t="s">
        <v>24363</v>
      </c>
      <c r="N8768" s="17" t="s">
        <v>77</v>
      </c>
      <c r="O8768" t="s">
        <v>199</v>
      </c>
      <c r="U8768" s="17"/>
      <c r="V8768" s="18" t="s">
        <v>24363</v>
      </c>
      <c r="W8768" t="s">
        <v>24364</v>
      </c>
      <c r="Y8768" t="s">
        <v>7939</v>
      </c>
      <c r="AA8768" t="s">
        <v>115</v>
      </c>
      <c r="AB8768" t="s">
        <v>119</v>
      </c>
    </row>
    <row r="8769" ht="15" customHeight="1" spans="1:22" x14ac:dyDescent="0.25">
      <c r="A8769" s="17" t="s">
        <v>24365</v>
      </c>
      <c r="B8769" s="17" t="s">
        <v>70</v>
      </c>
      <c r="C8769" s="17" t="s">
        <v>71</v>
      </c>
      <c r="D8769" t="s">
        <v>150</v>
      </c>
      <c r="F8769" t="s">
        <v>6225</v>
      </c>
      <c r="K8769" s="18">
        <f>6281298003777</f>
        <v>6281298003777</v>
      </c>
      <c r="N8769" s="17" t="s">
        <v>81</v>
      </c>
      <c r="V8769" s="18">
        <f>6281298003777</f>
        <v>6281298003777</v>
      </c>
    </row>
    <row r="8770" ht="15" customHeight="1" spans="1:23" x14ac:dyDescent="0.25">
      <c r="A8770" s="17" t="s">
        <v>24366</v>
      </c>
      <c r="B8770" s="17" t="s">
        <v>70</v>
      </c>
      <c r="C8770" s="17" t="s">
        <v>71</v>
      </c>
      <c r="D8770" t="s">
        <v>150</v>
      </c>
      <c r="F8770" t="s">
        <v>24367</v>
      </c>
      <c r="K8770" s="18">
        <f>60122552686</f>
        <v>60122552686</v>
      </c>
      <c r="N8770" s="17" t="s">
        <v>77</v>
      </c>
      <c r="U8770" s="17"/>
      <c r="V8770" s="18">
        <f>60122552686</f>
        <v>60122552686</v>
      </c>
      <c r="W8770" t="s">
        <v>7229</v>
      </c>
    </row>
    <row r="8771" ht="15" customHeight="1" spans="1:22" x14ac:dyDescent="0.25">
      <c r="A8771" s="17" t="s">
        <v>24368</v>
      </c>
      <c r="B8771" s="17" t="s">
        <v>70</v>
      </c>
      <c r="C8771" s="17" t="s">
        <v>71</v>
      </c>
      <c r="D8771" t="s">
        <v>150</v>
      </c>
      <c r="F8771" t="s">
        <v>24369</v>
      </c>
      <c r="K8771" s="18">
        <f>62816996060</f>
        <v>62816996060</v>
      </c>
      <c r="N8771" s="17" t="s">
        <v>81</v>
      </c>
      <c r="V8771" s="18">
        <f>62816996060</f>
        <v>62816996060</v>
      </c>
    </row>
    <row r="8772" ht="15" customHeight="1" spans="1:28" x14ac:dyDescent="0.25">
      <c r="A8772" s="17" t="s">
        <v>24370</v>
      </c>
      <c r="B8772" s="17" t="s">
        <v>70</v>
      </c>
      <c r="C8772" s="17" t="s">
        <v>71</v>
      </c>
      <c r="D8772" t="s">
        <v>24371</v>
      </c>
      <c r="F8772" t="s">
        <v>8765</v>
      </c>
      <c r="J8772" s="17" t="s">
        <v>24372</v>
      </c>
      <c r="K8772" s="18" t="s">
        <v>24373</v>
      </c>
      <c r="N8772" s="17" t="s">
        <v>77</v>
      </c>
      <c r="O8772" t="s">
        <v>117</v>
      </c>
      <c r="V8772" s="18" t="s">
        <v>24373</v>
      </c>
      <c r="Y8772" s="17" t="s">
        <v>6937</v>
      </c>
      <c r="AA8772" t="s">
        <v>115</v>
      </c>
      <c r="AB8772" t="s">
        <v>6937</v>
      </c>
    </row>
    <row r="8773" ht="15" customHeight="1" spans="1:25" x14ac:dyDescent="0.25">
      <c r="A8773" s="17" t="s">
        <v>24374</v>
      </c>
      <c r="B8773" s="17" t="s">
        <v>70</v>
      </c>
      <c r="C8773" s="17" t="s">
        <v>71</v>
      </c>
      <c r="D8773" t="s">
        <v>150</v>
      </c>
      <c r="F8773" t="s">
        <v>24375</v>
      </c>
      <c r="K8773" s="18">
        <f>6597636180</f>
        <v>6597636180</v>
      </c>
      <c r="N8773" s="17" t="s">
        <v>81</v>
      </c>
      <c r="V8773" s="18">
        <f>6597636180</f>
        <v>6597636180</v>
      </c>
      <c r="Y8773" s="17" t="s">
        <v>2356</v>
      </c>
    </row>
    <row r="8774" ht="15" customHeight="1" spans="1:22" x14ac:dyDescent="0.25">
      <c r="A8774" s="17" t="s">
        <v>24376</v>
      </c>
      <c r="B8774" s="17" t="s">
        <v>70</v>
      </c>
      <c r="C8774" s="17" t="s">
        <v>71</v>
      </c>
      <c r="D8774" t="s">
        <v>7892</v>
      </c>
      <c r="F8774" t="s">
        <v>7892</v>
      </c>
      <c r="K8774" s="18">
        <f>62811374908</f>
        <v>62811374908</v>
      </c>
      <c r="N8774" s="17" t="s">
        <v>81</v>
      </c>
      <c r="V8774" s="18">
        <f>62811374908</f>
        <v>62811374908</v>
      </c>
    </row>
    <row r="8775" ht="15" customHeight="1" spans="1:22" x14ac:dyDescent="0.25">
      <c r="A8775" s="17" t="s">
        <v>24377</v>
      </c>
      <c r="B8775" s="17" t="s">
        <v>70</v>
      </c>
      <c r="C8775" s="17" t="s">
        <v>71</v>
      </c>
      <c r="D8775" t="s">
        <v>24378</v>
      </c>
      <c r="F8775" t="s">
        <v>24379</v>
      </c>
      <c r="K8775" s="18">
        <f>62818525288</f>
        <v>62818525288</v>
      </c>
      <c r="N8775" s="17" t="s">
        <v>81</v>
      </c>
      <c r="V8775" s="18">
        <f>62818525288</f>
        <v>62818525288</v>
      </c>
    </row>
    <row r="8776" ht="15" customHeight="1" spans="1:28" x14ac:dyDescent="0.25">
      <c r="A8776" s="17" t="s">
        <v>24380</v>
      </c>
      <c r="B8776" s="17" t="s">
        <v>70</v>
      </c>
      <c r="C8776" s="17" t="s">
        <v>71</v>
      </c>
      <c r="D8776" t="s">
        <v>24381</v>
      </c>
      <c r="F8776" t="s">
        <v>7846</v>
      </c>
      <c r="J8776" t="s">
        <v>115</v>
      </c>
      <c r="K8776" s="18" t="s">
        <v>24382</v>
      </c>
      <c r="N8776" s="17" t="s">
        <v>77</v>
      </c>
      <c r="O8776" t="s">
        <v>145</v>
      </c>
      <c r="V8776" s="18" t="s">
        <v>24382</v>
      </c>
      <c r="Y8776" t="s">
        <v>115</v>
      </c>
      <c r="AA8776" t="s">
        <v>115</v>
      </c>
      <c r="AB8776" t="s">
        <v>119</v>
      </c>
    </row>
    <row r="8777" ht="15" customHeight="1" spans="1:28" x14ac:dyDescent="0.25">
      <c r="A8777" s="17" t="s">
        <v>24383</v>
      </c>
      <c r="B8777" s="17" t="s">
        <v>70</v>
      </c>
      <c r="C8777" s="17" t="s">
        <v>71</v>
      </c>
      <c r="D8777" t="s">
        <v>8308</v>
      </c>
      <c r="F8777" t="s">
        <v>20506</v>
      </c>
      <c r="J8777" t="s">
        <v>115</v>
      </c>
      <c r="K8777" s="18" t="s">
        <v>24384</v>
      </c>
      <c r="N8777" s="17" t="s">
        <v>81</v>
      </c>
      <c r="O8777" t="s">
        <v>145</v>
      </c>
      <c r="V8777" s="18" t="s">
        <v>24384</v>
      </c>
      <c r="Y8777" t="s">
        <v>6100</v>
      </c>
      <c r="AA8777" t="s">
        <v>115</v>
      </c>
      <c r="AB8777" t="s">
        <v>119</v>
      </c>
    </row>
    <row r="8778" ht="15" customHeight="1" spans="1:22" x14ac:dyDescent="0.25">
      <c r="A8778" s="17" t="s">
        <v>24385</v>
      </c>
      <c r="B8778" s="17" t="s">
        <v>70</v>
      </c>
      <c r="C8778" s="17" t="s">
        <v>71</v>
      </c>
      <c r="D8778" t="s">
        <v>8308</v>
      </c>
      <c r="F8778" t="s">
        <v>20477</v>
      </c>
      <c r="K8778" s="18">
        <f>51770512742</f>
        <v>51770512742</v>
      </c>
      <c r="N8778" s="17" t="s">
        <v>81</v>
      </c>
      <c r="V8778" s="18">
        <f>51770512742</f>
        <v>51770512742</v>
      </c>
    </row>
    <row r="8779" ht="15" customHeight="1" spans="1:22" x14ac:dyDescent="0.25">
      <c r="A8779" s="17" t="s">
        <v>24386</v>
      </c>
      <c r="B8779" s="17" t="s">
        <v>70</v>
      </c>
      <c r="C8779" s="17" t="s">
        <v>71</v>
      </c>
      <c r="D8779" t="s">
        <v>8308</v>
      </c>
      <c r="F8779" t="s">
        <v>24387</v>
      </c>
      <c r="K8779" s="18">
        <f>628138010798</f>
        <v>628138010798</v>
      </c>
      <c r="N8779" s="17" t="s">
        <v>77</v>
      </c>
      <c r="V8779" s="18">
        <f>628138010798</f>
        <v>628138010798</v>
      </c>
    </row>
    <row r="8780" ht="15" customHeight="1" spans="1:22" x14ac:dyDescent="0.25">
      <c r="A8780" s="17" t="s">
        <v>24388</v>
      </c>
      <c r="B8780" s="17" t="s">
        <v>70</v>
      </c>
      <c r="C8780" s="17" t="s">
        <v>71</v>
      </c>
      <c r="D8780" t="s">
        <v>8308</v>
      </c>
      <c r="F8780" t="s">
        <v>23220</v>
      </c>
      <c r="K8780" s="18">
        <f>6281310087818</f>
        <v>6281310087818</v>
      </c>
      <c r="N8780" s="17" t="s">
        <v>81</v>
      </c>
      <c r="V8780" s="18">
        <f>6281310087818</f>
        <v>6281310087818</v>
      </c>
    </row>
    <row r="8781" ht="15" customHeight="1" spans="1:28" x14ac:dyDescent="0.25">
      <c r="A8781" s="17" t="s">
        <v>24389</v>
      </c>
      <c r="B8781" s="17" t="s">
        <v>70</v>
      </c>
      <c r="C8781" s="17" t="s">
        <v>71</v>
      </c>
      <c r="D8781" t="s">
        <v>3866</v>
      </c>
      <c r="F8781" t="s">
        <v>24390</v>
      </c>
      <c r="J8781" t="s">
        <v>115</v>
      </c>
      <c r="K8781" s="18" t="s">
        <v>24391</v>
      </c>
      <c r="N8781" s="17" t="s">
        <v>81</v>
      </c>
      <c r="O8781" t="s">
        <v>261</v>
      </c>
      <c r="U8781" s="17"/>
      <c r="V8781" s="18" t="s">
        <v>24391</v>
      </c>
      <c r="W8781" t="s">
        <v>24392</v>
      </c>
      <c r="Y8781" t="s">
        <v>3140</v>
      </c>
      <c r="AA8781" t="s">
        <v>115</v>
      </c>
      <c r="AB8781" t="s">
        <v>3140</v>
      </c>
    </row>
    <row r="8782" ht="15" customHeight="1" spans="1:28" x14ac:dyDescent="0.25">
      <c r="A8782" s="17" t="s">
        <v>24393</v>
      </c>
      <c r="B8782" s="17" t="s">
        <v>70</v>
      </c>
      <c r="C8782" s="17" t="s">
        <v>71</v>
      </c>
      <c r="D8782" t="s">
        <v>8308</v>
      </c>
      <c r="F8782" t="s">
        <v>7304</v>
      </c>
      <c r="J8782" t="s">
        <v>115</v>
      </c>
      <c r="K8782" s="18" t="s">
        <v>24394</v>
      </c>
      <c r="N8782" s="17" t="s">
        <v>77</v>
      </c>
      <c r="O8782" t="s">
        <v>199</v>
      </c>
      <c r="V8782" s="18" t="s">
        <v>24394</v>
      </c>
      <c r="Y8782" t="s">
        <v>3140</v>
      </c>
      <c r="AA8782" t="s">
        <v>115</v>
      </c>
      <c r="AB8782" t="s">
        <v>3140</v>
      </c>
    </row>
    <row r="8783" ht="15" customHeight="1" spans="1:28" x14ac:dyDescent="0.25">
      <c r="A8783" s="17" t="s">
        <v>24395</v>
      </c>
      <c r="B8783" s="17" t="s">
        <v>70</v>
      </c>
      <c r="C8783" s="17" t="s">
        <v>71</v>
      </c>
      <c r="D8783" t="s">
        <v>8308</v>
      </c>
      <c r="F8783" t="s">
        <v>24396</v>
      </c>
      <c r="J8783" s="17" t="s">
        <v>24397</v>
      </c>
      <c r="K8783" s="18" t="s">
        <v>24398</v>
      </c>
      <c r="N8783" s="17" t="s">
        <v>77</v>
      </c>
      <c r="O8783" t="s">
        <v>261</v>
      </c>
      <c r="U8783" s="17"/>
      <c r="V8783" s="18" t="s">
        <v>24398</v>
      </c>
      <c r="W8783" t="s">
        <v>17764</v>
      </c>
      <c r="Y8783" t="s">
        <v>17764</v>
      </c>
      <c r="AA8783" t="s">
        <v>115</v>
      </c>
      <c r="AB8783" t="s">
        <v>119</v>
      </c>
    </row>
    <row r="8784" ht="15" customHeight="1" spans="1:22" x14ac:dyDescent="0.25">
      <c r="A8784" s="17" t="s">
        <v>24399</v>
      </c>
      <c r="B8784" s="17" t="s">
        <v>70</v>
      </c>
      <c r="C8784" s="17" t="s">
        <v>71</v>
      </c>
      <c r="D8784" t="s">
        <v>8308</v>
      </c>
      <c r="F8784" t="s">
        <v>3142</v>
      </c>
      <c r="K8784" s="18">
        <f>6285222220100</f>
        <v>6285222220100</v>
      </c>
      <c r="N8784" s="17" t="s">
        <v>81</v>
      </c>
      <c r="V8784" s="18">
        <f>6285222220100</f>
        <v>6285222220100</v>
      </c>
    </row>
    <row r="8785" ht="15" customHeight="1" spans="1:23" x14ac:dyDescent="0.25">
      <c r="A8785" s="17" t="s">
        <v>24400</v>
      </c>
      <c r="B8785" s="17" t="s">
        <v>70</v>
      </c>
      <c r="C8785" s="17" t="s">
        <v>71</v>
      </c>
      <c r="D8785" t="s">
        <v>24401</v>
      </c>
      <c r="F8785" t="s">
        <v>24402</v>
      </c>
      <c r="J8785" s="17" t="s">
        <v>24403</v>
      </c>
      <c r="K8785" s="18">
        <f>628159665796</f>
        <v>628159665796</v>
      </c>
      <c r="N8785" s="17" t="s">
        <v>81</v>
      </c>
      <c r="U8785" s="17"/>
      <c r="V8785" s="18">
        <f>628159665796</f>
        <v>628159665796</v>
      </c>
      <c r="W8785" t="s">
        <v>24404</v>
      </c>
    </row>
    <row r="8786" ht="15" customHeight="1" spans="1:28" x14ac:dyDescent="0.25">
      <c r="A8786" s="17" t="s">
        <v>24405</v>
      </c>
      <c r="B8786" s="17" t="s">
        <v>70</v>
      </c>
      <c r="C8786" s="17" t="s">
        <v>71</v>
      </c>
      <c r="D8786" t="s">
        <v>963</v>
      </c>
      <c r="F8786" t="s">
        <v>963</v>
      </c>
      <c r="J8786" t="s">
        <v>115</v>
      </c>
      <c r="K8786" s="18" t="s">
        <v>24406</v>
      </c>
      <c r="N8786" s="17" t="s">
        <v>81</v>
      </c>
      <c r="O8786" t="s">
        <v>117</v>
      </c>
      <c r="V8786" s="18" t="s">
        <v>24406</v>
      </c>
      <c r="Y8786" t="s">
        <v>190</v>
      </c>
      <c r="AA8786" t="s">
        <v>118</v>
      </c>
      <c r="AB8786" t="s">
        <v>119</v>
      </c>
    </row>
    <row r="8787" ht="15" customHeight="1" spans="1:22" x14ac:dyDescent="0.25">
      <c r="A8787" s="17" t="s">
        <v>24407</v>
      </c>
      <c r="B8787" s="17" t="s">
        <v>70</v>
      </c>
      <c r="C8787" s="17" t="s">
        <v>71</v>
      </c>
      <c r="D8787" t="s">
        <v>8308</v>
      </c>
      <c r="F8787" t="s">
        <v>6225</v>
      </c>
      <c r="K8787" s="18">
        <f>61433483294</f>
        <v>61433483294</v>
      </c>
      <c r="N8787" s="17" t="s">
        <v>77</v>
      </c>
      <c r="V8787" s="18">
        <f>61433483294</f>
        <v>61433483294</v>
      </c>
    </row>
    <row r="8788" ht="15" customHeight="1" spans="1:22" x14ac:dyDescent="0.25">
      <c r="A8788" s="17" t="s">
        <v>24408</v>
      </c>
      <c r="B8788" s="17" t="s">
        <v>70</v>
      </c>
      <c r="C8788" s="17" t="s">
        <v>71</v>
      </c>
      <c r="D8788" t="s">
        <v>8308</v>
      </c>
      <c r="F8788" t="s">
        <v>8387</v>
      </c>
      <c r="K8788" s="18">
        <f>62818778535</f>
        <v>62818778535</v>
      </c>
      <c r="N8788" s="17" t="s">
        <v>77</v>
      </c>
      <c r="V8788" s="18">
        <f>62818778535</f>
        <v>62818778535</v>
      </c>
    </row>
    <row r="8789" ht="15" customHeight="1" spans="1:22" x14ac:dyDescent="0.25">
      <c r="A8789" s="17" t="s">
        <v>24409</v>
      </c>
      <c r="B8789" s="17" t="s">
        <v>70</v>
      </c>
      <c r="C8789" s="17" t="s">
        <v>71</v>
      </c>
      <c r="D8789" t="s">
        <v>8308</v>
      </c>
      <c r="F8789" t="s">
        <v>7421</v>
      </c>
      <c r="K8789" s="18">
        <f>6282288818886</f>
        <v>6282288818886</v>
      </c>
      <c r="N8789" s="17" t="s">
        <v>81</v>
      </c>
      <c r="V8789" s="18">
        <f>6282288818886</f>
        <v>6282288818886</v>
      </c>
    </row>
    <row r="8790" ht="15" customHeight="1" spans="1:22" x14ac:dyDescent="0.25">
      <c r="A8790" s="17" t="s">
        <v>24410</v>
      </c>
      <c r="B8790" s="17" t="s">
        <v>70</v>
      </c>
      <c r="C8790" s="17" t="s">
        <v>71</v>
      </c>
      <c r="D8790" t="s">
        <v>8308</v>
      </c>
      <c r="F8790" t="s">
        <v>7341</v>
      </c>
      <c r="K8790" s="18">
        <f>6281297918889</f>
        <v>6281297918889</v>
      </c>
      <c r="N8790" s="17" t="s">
        <v>77</v>
      </c>
      <c r="V8790" s="18">
        <f>6281297918889</f>
        <v>6281297918889</v>
      </c>
    </row>
    <row r="8791" ht="15" customHeight="1" spans="1:23" x14ac:dyDescent="0.25">
      <c r="A8791" s="17" t="s">
        <v>24411</v>
      </c>
      <c r="B8791" s="17" t="s">
        <v>70</v>
      </c>
      <c r="C8791" s="17" t="s">
        <v>71</v>
      </c>
      <c r="D8791" t="s">
        <v>8308</v>
      </c>
      <c r="F8791" t="s">
        <v>24412</v>
      </c>
      <c r="K8791" s="18">
        <f>85267076030</f>
        <v>85267076030</v>
      </c>
      <c r="N8791" s="17" t="s">
        <v>77</v>
      </c>
      <c r="U8791" s="17"/>
      <c r="V8791" s="18">
        <f>85267076030</f>
        <v>85267076030</v>
      </c>
      <c r="W8791" t="s">
        <v>3140</v>
      </c>
    </row>
    <row r="8792" ht="15" customHeight="1" spans="1:22" x14ac:dyDescent="0.25">
      <c r="A8792" s="17" t="s">
        <v>24413</v>
      </c>
      <c r="B8792" s="17" t="s">
        <v>70</v>
      </c>
      <c r="C8792" s="17" t="s">
        <v>71</v>
      </c>
      <c r="D8792" t="s">
        <v>8308</v>
      </c>
      <c r="F8792" t="s">
        <v>24414</v>
      </c>
      <c r="K8792" s="18">
        <v>8614779772916</v>
      </c>
      <c r="N8792" s="17" t="s">
        <v>77</v>
      </c>
      <c r="V8792" s="18">
        <v>8614779772916</v>
      </c>
    </row>
    <row r="8793" ht="15" customHeight="1" spans="1:28" x14ac:dyDescent="0.25">
      <c r="A8793" s="17" t="s">
        <v>24415</v>
      </c>
      <c r="B8793" s="17" t="s">
        <v>70</v>
      </c>
      <c r="C8793" s="17" t="s">
        <v>71</v>
      </c>
      <c r="D8793" t="s">
        <v>8308</v>
      </c>
      <c r="F8793" t="s">
        <v>24416</v>
      </c>
      <c r="J8793" t="s">
        <v>115</v>
      </c>
      <c r="K8793" s="18" t="s">
        <v>24417</v>
      </c>
      <c r="N8793" s="17" t="s">
        <v>77</v>
      </c>
      <c r="O8793" t="s">
        <v>261</v>
      </c>
      <c r="U8793" s="17"/>
      <c r="V8793" s="18" t="s">
        <v>24417</v>
      </c>
      <c r="W8793" t="s">
        <v>24418</v>
      </c>
      <c r="Y8793" s="17" t="s">
        <v>90</v>
      </c>
      <c r="AA8793" s="17" t="s">
        <v>118</v>
      </c>
      <c r="AB8793" t="s">
        <v>119</v>
      </c>
    </row>
    <row r="8794" ht="15" customHeight="1" spans="1:22" x14ac:dyDescent="0.25">
      <c r="A8794" s="17" t="s">
        <v>24419</v>
      </c>
      <c r="B8794" s="17" t="s">
        <v>70</v>
      </c>
      <c r="C8794" s="17" t="s">
        <v>71</v>
      </c>
      <c r="D8794" t="s">
        <v>8308</v>
      </c>
      <c r="F8794" t="s">
        <v>24420</v>
      </c>
      <c r="K8794" s="18">
        <f>628216666811</f>
        <v>628216666811</v>
      </c>
      <c r="N8794" s="17" t="s">
        <v>81</v>
      </c>
      <c r="V8794" s="18">
        <f>628216666811</f>
        <v>628216666811</v>
      </c>
    </row>
    <row r="8795" ht="15" customHeight="1" spans="1:28" x14ac:dyDescent="0.25">
      <c r="A8795" s="17" t="s">
        <v>24421</v>
      </c>
      <c r="B8795" s="17" t="s">
        <v>70</v>
      </c>
      <c r="C8795" s="17" t="s">
        <v>71</v>
      </c>
      <c r="D8795" t="s">
        <v>24422</v>
      </c>
      <c r="F8795" t="s">
        <v>8419</v>
      </c>
      <c r="J8795" s="17" t="s">
        <v>24423</v>
      </c>
      <c r="K8795" s="18" t="s">
        <v>24424</v>
      </c>
      <c r="N8795" s="17" t="s">
        <v>77</v>
      </c>
      <c r="O8795" t="s">
        <v>117</v>
      </c>
      <c r="V8795" s="18" t="s">
        <v>24424</v>
      </c>
      <c r="Y8795" s="17" t="s">
        <v>3140</v>
      </c>
      <c r="AA8795" t="s">
        <v>115</v>
      </c>
      <c r="AB8795" t="s">
        <v>3140</v>
      </c>
    </row>
    <row r="8796" ht="15" customHeight="1" spans="1:22" x14ac:dyDescent="0.25">
      <c r="A8796" s="17" t="s">
        <v>24425</v>
      </c>
      <c r="B8796" s="17" t="s">
        <v>70</v>
      </c>
      <c r="C8796" s="17" t="s">
        <v>71</v>
      </c>
      <c r="D8796" t="s">
        <v>7641</v>
      </c>
      <c r="F8796" t="s">
        <v>7641</v>
      </c>
      <c r="K8796" s="18">
        <f>62811929326</f>
        <v>62811929326</v>
      </c>
      <c r="N8796" s="17" t="s">
        <v>77</v>
      </c>
      <c r="V8796" s="18">
        <f>62811929326</f>
        <v>62811929326</v>
      </c>
    </row>
    <row r="8797" ht="15" customHeight="1" spans="1:22" x14ac:dyDescent="0.25">
      <c r="A8797" s="17" t="s">
        <v>24426</v>
      </c>
      <c r="B8797" s="17" t="s">
        <v>70</v>
      </c>
      <c r="C8797" s="17" t="s">
        <v>71</v>
      </c>
      <c r="D8797" t="s">
        <v>7641</v>
      </c>
      <c r="F8797" t="s">
        <v>7641</v>
      </c>
      <c r="K8797" s="18">
        <f>6281386809918</f>
        <v>6281386809918</v>
      </c>
      <c r="N8797" s="17" t="s">
        <v>74</v>
      </c>
      <c r="V8797" s="18">
        <f>6281386809918</f>
        <v>6281386809918</v>
      </c>
    </row>
    <row r="8798" ht="15" customHeight="1" spans="1:22" x14ac:dyDescent="0.25">
      <c r="A8798" s="17" t="s">
        <v>24427</v>
      </c>
      <c r="B8798" s="17" t="s">
        <v>70</v>
      </c>
      <c r="C8798" s="17" t="s">
        <v>71</v>
      </c>
      <c r="D8798" t="s">
        <v>7641</v>
      </c>
      <c r="F8798" t="s">
        <v>7641</v>
      </c>
      <c r="K8798" s="18">
        <f>62818899115</f>
        <v>62818899115</v>
      </c>
      <c r="N8798" s="17" t="s">
        <v>77</v>
      </c>
      <c r="V8798" s="18">
        <f>62818899115</f>
        <v>62818899115</v>
      </c>
    </row>
    <row r="8799" ht="15" customHeight="1" spans="1:22" x14ac:dyDescent="0.25">
      <c r="A8799" s="17" t="s">
        <v>24428</v>
      </c>
      <c r="B8799" s="17" t="s">
        <v>70</v>
      </c>
      <c r="C8799" s="17" t="s">
        <v>71</v>
      </c>
      <c r="D8799" t="s">
        <v>7641</v>
      </c>
      <c r="F8799" t="s">
        <v>7641</v>
      </c>
      <c r="K8799" s="18">
        <f>6281281374707</f>
        <v>6281281374707</v>
      </c>
      <c r="N8799" s="17" t="s">
        <v>77</v>
      </c>
      <c r="V8799" s="18">
        <f>6281281374707</f>
        <v>6281281374707</v>
      </c>
    </row>
    <row r="8800" ht="15" customHeight="1" spans="1:22" x14ac:dyDescent="0.25">
      <c r="A8800" s="17" t="s">
        <v>24429</v>
      </c>
      <c r="B8800" s="17" t="s">
        <v>70</v>
      </c>
      <c r="C8800" s="17" t="s">
        <v>71</v>
      </c>
      <c r="D8800" t="s">
        <v>7641</v>
      </c>
      <c r="F8800" t="s">
        <v>7641</v>
      </c>
      <c r="K8800" s="18">
        <f>6285271220900</f>
        <v>6285271220900</v>
      </c>
      <c r="N8800" s="17" t="s">
        <v>81</v>
      </c>
      <c r="V8800" s="18">
        <f>6285271220900</f>
        <v>6285271220900</v>
      </c>
    </row>
    <row r="8801" ht="15" customHeight="1" spans="1:22" x14ac:dyDescent="0.25">
      <c r="A8801" s="17" t="s">
        <v>24430</v>
      </c>
      <c r="B8801" s="17" t="s">
        <v>70</v>
      </c>
      <c r="C8801" s="17" t="s">
        <v>71</v>
      </c>
      <c r="D8801" t="s">
        <v>7641</v>
      </c>
      <c r="F8801" t="s">
        <v>7641</v>
      </c>
      <c r="K8801" s="18">
        <f>6281288358998</f>
        <v>6281288358998</v>
      </c>
      <c r="N8801" s="17" t="s">
        <v>81</v>
      </c>
      <c r="V8801" s="18">
        <f>6281288358998</f>
        <v>6281288358998</v>
      </c>
    </row>
    <row r="8802" ht="15" customHeight="1" spans="1:22" x14ac:dyDescent="0.25">
      <c r="A8802" s="17" t="s">
        <v>24431</v>
      </c>
      <c r="B8802" s="17" t="s">
        <v>70</v>
      </c>
      <c r="C8802" s="17" t="s">
        <v>71</v>
      </c>
      <c r="D8802" t="s">
        <v>7641</v>
      </c>
      <c r="F8802" t="s">
        <v>7641</v>
      </c>
      <c r="K8802" s="18">
        <f>6287878431933</f>
        <v>6287878431933</v>
      </c>
      <c r="N8802" s="17" t="s">
        <v>77</v>
      </c>
      <c r="V8802" s="18">
        <f>6287878431933</f>
        <v>6287878431933</v>
      </c>
    </row>
    <row r="8803" ht="15" customHeight="1" spans="1:22" x14ac:dyDescent="0.25">
      <c r="A8803" s="17" t="s">
        <v>24432</v>
      </c>
      <c r="B8803" s="17" t="s">
        <v>70</v>
      </c>
      <c r="C8803" s="17" t="s">
        <v>71</v>
      </c>
      <c r="D8803" t="s">
        <v>7641</v>
      </c>
      <c r="F8803" t="s">
        <v>7641</v>
      </c>
      <c r="K8803" s="18">
        <f>628789897599</f>
        <v>628789897599</v>
      </c>
      <c r="N8803" s="17" t="s">
        <v>81</v>
      </c>
      <c r="V8803" s="18">
        <f>628789897599</f>
        <v>628789897599</v>
      </c>
    </row>
    <row r="8804" ht="15" customHeight="1" spans="1:23" x14ac:dyDescent="0.25">
      <c r="A8804" s="17" t="s">
        <v>24433</v>
      </c>
      <c r="B8804" s="17" t="s">
        <v>70</v>
      </c>
      <c r="C8804" s="17" t="s">
        <v>71</v>
      </c>
      <c r="D8804" t="s">
        <v>7641</v>
      </c>
      <c r="F8804" t="s">
        <v>285</v>
      </c>
      <c r="K8804" s="18">
        <f>628161859231</f>
        <v>628161859231</v>
      </c>
      <c r="N8804" s="17" t="s">
        <v>74</v>
      </c>
      <c r="U8804" s="17"/>
      <c r="V8804" s="18">
        <f>628161859231</f>
        <v>628161859231</v>
      </c>
      <c r="W8804" t="s">
        <v>24434</v>
      </c>
    </row>
    <row r="8805" ht="15" customHeight="1" spans="1:22" x14ac:dyDescent="0.25">
      <c r="A8805" s="17" t="s">
        <v>24435</v>
      </c>
      <c r="B8805" s="17" t="s">
        <v>70</v>
      </c>
      <c r="C8805" s="17" t="s">
        <v>71</v>
      </c>
      <c r="D8805" t="s">
        <v>7641</v>
      </c>
      <c r="F8805" t="s">
        <v>24436</v>
      </c>
      <c r="K8805" s="18">
        <f>62811162975</f>
        <v>62811162975</v>
      </c>
      <c r="N8805" s="17" t="s">
        <v>77</v>
      </c>
      <c r="V8805" s="18">
        <f>62811162975</f>
        <v>62811162975</v>
      </c>
    </row>
    <row r="8806" ht="15" customHeight="1" spans="1:22" x14ac:dyDescent="0.25">
      <c r="A8806" s="17" t="s">
        <v>24437</v>
      </c>
      <c r="B8806" s="17" t="s">
        <v>70</v>
      </c>
      <c r="C8806" s="17" t="s">
        <v>71</v>
      </c>
      <c r="D8806" t="s">
        <v>7641</v>
      </c>
      <c r="F8806" t="s">
        <v>196</v>
      </c>
      <c r="K8806" s="18">
        <f>62818164134</f>
        <v>62818164134</v>
      </c>
      <c r="N8806" s="17" t="s">
        <v>77</v>
      </c>
      <c r="V8806" s="18">
        <f>62818164134</f>
        <v>62818164134</v>
      </c>
    </row>
    <row r="8807" ht="15" customHeight="1" spans="1:25" x14ac:dyDescent="0.25">
      <c r="A8807" s="17" t="s">
        <v>24438</v>
      </c>
      <c r="B8807" s="17" t="s">
        <v>70</v>
      </c>
      <c r="C8807" s="17" t="s">
        <v>71</v>
      </c>
      <c r="D8807" t="s">
        <v>7641</v>
      </c>
      <c r="F8807" t="s">
        <v>24439</v>
      </c>
      <c r="K8807" s="18">
        <f>628121032272</f>
        <v>628121032272</v>
      </c>
      <c r="N8807" s="17" t="s">
        <v>81</v>
      </c>
      <c r="U8807" s="17"/>
      <c r="V8807" s="18">
        <f>628121032272</f>
        <v>628121032272</v>
      </c>
      <c r="W8807" t="s">
        <v>24440</v>
      </c>
      <c r="Y8807" s="17" t="s">
        <v>1119</v>
      </c>
    </row>
    <row r="8808" ht="15" customHeight="1" spans="1:22" x14ac:dyDescent="0.25">
      <c r="A8808" s="17" t="s">
        <v>24441</v>
      </c>
      <c r="B8808" s="17" t="s">
        <v>70</v>
      </c>
      <c r="C8808" s="17" t="s">
        <v>71</v>
      </c>
      <c r="D8808" t="s">
        <v>7641</v>
      </c>
      <c r="F8808" t="s">
        <v>2159</v>
      </c>
      <c r="K8808" s="18">
        <f>628129681888</f>
        <v>628129681888</v>
      </c>
      <c r="N8808" s="17" t="s">
        <v>81</v>
      </c>
      <c r="V8808" s="18">
        <f>628129681888</f>
        <v>628129681888</v>
      </c>
    </row>
    <row r="8809" ht="15" customHeight="1" spans="1:23" x14ac:dyDescent="0.25">
      <c r="A8809" s="17" t="s">
        <v>24442</v>
      </c>
      <c r="B8809" s="17" t="s">
        <v>70</v>
      </c>
      <c r="C8809" s="17" t="s">
        <v>71</v>
      </c>
      <c r="D8809" t="s">
        <v>7641</v>
      </c>
      <c r="F8809" t="s">
        <v>2159</v>
      </c>
      <c r="K8809" s="18">
        <f>62818191638</f>
        <v>62818191638</v>
      </c>
      <c r="N8809" s="17" t="s">
        <v>81</v>
      </c>
      <c r="U8809" s="17"/>
      <c r="V8809" s="18">
        <f>62818191638</f>
        <v>62818191638</v>
      </c>
      <c r="W8809" t="s">
        <v>24443</v>
      </c>
    </row>
    <row r="8810" ht="15" customHeight="1" spans="1:22" x14ac:dyDescent="0.25">
      <c r="A8810" s="17" t="s">
        <v>24444</v>
      </c>
      <c r="B8810" s="17" t="s">
        <v>70</v>
      </c>
      <c r="C8810" s="17" t="s">
        <v>71</v>
      </c>
      <c r="D8810" t="s">
        <v>7641</v>
      </c>
      <c r="F8810" t="s">
        <v>2159</v>
      </c>
      <c r="K8810" s="18">
        <f>6281321977000</f>
        <v>6281321977000</v>
      </c>
      <c r="N8810" s="17" t="s">
        <v>81</v>
      </c>
      <c r="V8810" s="18">
        <f>6281321977000</f>
        <v>6281321977000</v>
      </c>
    </row>
    <row r="8811" ht="15" customHeight="1" spans="1:22" x14ac:dyDescent="0.25">
      <c r="A8811" s="17" t="s">
        <v>24445</v>
      </c>
      <c r="B8811" s="17" t="s">
        <v>70</v>
      </c>
      <c r="C8811" s="17" t="s">
        <v>71</v>
      </c>
      <c r="D8811" t="s">
        <v>7641</v>
      </c>
      <c r="F8811" t="s">
        <v>24446</v>
      </c>
      <c r="K8811" s="18">
        <f>628118883232</f>
        <v>628118883232</v>
      </c>
      <c r="N8811" s="17" t="s">
        <v>77</v>
      </c>
      <c r="V8811" s="18">
        <f>628118883232</f>
        <v>628118883232</v>
      </c>
    </row>
    <row r="8812" ht="15" customHeight="1" spans="1:22" x14ac:dyDescent="0.25">
      <c r="A8812" s="17" t="s">
        <v>24447</v>
      </c>
      <c r="B8812" s="17" t="s">
        <v>70</v>
      </c>
      <c r="C8812" s="17" t="s">
        <v>71</v>
      </c>
      <c r="D8812" t="s">
        <v>7641</v>
      </c>
      <c r="F8812" t="s">
        <v>24448</v>
      </c>
      <c r="K8812" s="18">
        <f>628816763436</f>
        <v>628816763436</v>
      </c>
      <c r="N8812" s="17" t="s">
        <v>81</v>
      </c>
      <c r="V8812" s="18">
        <f>628816763436</f>
        <v>628816763436</v>
      </c>
    </row>
    <row r="8813" ht="15" customHeight="1" spans="1:22" x14ac:dyDescent="0.25">
      <c r="A8813" s="17" t="s">
        <v>24449</v>
      </c>
      <c r="B8813" s="17" t="s">
        <v>70</v>
      </c>
      <c r="C8813" s="17" t="s">
        <v>71</v>
      </c>
      <c r="D8813" t="s">
        <v>7641</v>
      </c>
      <c r="F8813" t="s">
        <v>618</v>
      </c>
      <c r="K8813" s="18">
        <f>628129988133</f>
        <v>628129988133</v>
      </c>
      <c r="N8813" s="17" t="s">
        <v>77</v>
      </c>
      <c r="V8813" s="18">
        <f>628129988133</f>
        <v>628129988133</v>
      </c>
    </row>
    <row r="8814" ht="15" customHeight="1" spans="1:22" x14ac:dyDescent="0.25">
      <c r="A8814" s="17" t="s">
        <v>24450</v>
      </c>
      <c r="B8814" s="17" t="s">
        <v>70</v>
      </c>
      <c r="C8814" s="17" t="s">
        <v>71</v>
      </c>
      <c r="D8814" t="s">
        <v>7641</v>
      </c>
      <c r="F8814" t="s">
        <v>24451</v>
      </c>
      <c r="K8814" s="18">
        <f>628158883621</f>
        <v>628158883621</v>
      </c>
      <c r="N8814" s="17" t="s">
        <v>77</v>
      </c>
      <c r="V8814" s="18">
        <f>628158883621</f>
        <v>628158883621</v>
      </c>
    </row>
    <row r="8815" ht="15" customHeight="1" spans="1:22" x14ac:dyDescent="0.25">
      <c r="A8815" s="17" t="s">
        <v>24452</v>
      </c>
      <c r="B8815" s="17" t="s">
        <v>70</v>
      </c>
      <c r="C8815" s="17" t="s">
        <v>71</v>
      </c>
      <c r="D8815" t="s">
        <v>7641</v>
      </c>
      <c r="F8815" t="s">
        <v>24451</v>
      </c>
      <c r="K8815" s="18">
        <f>628158505090</f>
        <v>628158505090</v>
      </c>
      <c r="N8815" s="17" t="s">
        <v>77</v>
      </c>
      <c r="V8815" s="18">
        <f>628158505090</f>
        <v>628158505090</v>
      </c>
    </row>
    <row r="8816" ht="15" customHeight="1" spans="1:28" x14ac:dyDescent="0.25">
      <c r="A8816" s="17" t="s">
        <v>24453</v>
      </c>
      <c r="B8816" s="17" t="s">
        <v>70</v>
      </c>
      <c r="C8816" s="17" t="s">
        <v>71</v>
      </c>
      <c r="D8816" t="s">
        <v>24454</v>
      </c>
      <c r="F8816" t="s">
        <v>548</v>
      </c>
      <c r="J8816" t="s">
        <v>115</v>
      </c>
      <c r="K8816" s="18" t="s">
        <v>24455</v>
      </c>
      <c r="N8816" s="17" t="s">
        <v>74</v>
      </c>
      <c r="O8816" t="s">
        <v>117</v>
      </c>
      <c r="V8816" s="18" t="s">
        <v>24455</v>
      </c>
      <c r="Y8816" t="s">
        <v>190</v>
      </c>
      <c r="AA8816" t="s">
        <v>118</v>
      </c>
      <c r="AB8816" t="s">
        <v>119</v>
      </c>
    </row>
    <row r="8817" ht="15" customHeight="1" spans="1:25" x14ac:dyDescent="0.25">
      <c r="A8817" s="17" t="s">
        <v>24456</v>
      </c>
      <c r="B8817" s="17" t="s">
        <v>70</v>
      </c>
      <c r="C8817" s="17" t="s">
        <v>71</v>
      </c>
      <c r="D8817" t="s">
        <v>7641</v>
      </c>
      <c r="F8817" t="s">
        <v>472</v>
      </c>
      <c r="K8817" s="18">
        <f>6281282239061</f>
        <v>6281282239061</v>
      </c>
      <c r="N8817" s="17" t="s">
        <v>77</v>
      </c>
      <c r="U8817" s="17"/>
      <c r="V8817" s="18">
        <f>6281282239061</f>
        <v>6281282239061</v>
      </c>
      <c r="W8817" t="s">
        <v>24457</v>
      </c>
      <c r="Y8817" s="17" t="s">
        <v>1119</v>
      </c>
    </row>
    <row r="8818" ht="15" customHeight="1" spans="1:23" x14ac:dyDescent="0.25">
      <c r="A8818" s="17" t="s">
        <v>24458</v>
      </c>
      <c r="B8818" s="17" t="s">
        <v>70</v>
      </c>
      <c r="C8818" s="17" t="s">
        <v>71</v>
      </c>
      <c r="D8818" t="s">
        <v>7641</v>
      </c>
      <c r="F8818" t="s">
        <v>12104</v>
      </c>
      <c r="K8818" s="18">
        <f>62816899292</f>
        <v>62816899292</v>
      </c>
      <c r="N8818" s="17" t="s">
        <v>74</v>
      </c>
      <c r="U8818" s="17"/>
      <c r="V8818" s="18">
        <f>62816899292</f>
        <v>62816899292</v>
      </c>
      <c r="W8818" t="s">
        <v>24459</v>
      </c>
    </row>
    <row r="8819" ht="15" customHeight="1" spans="1:28" x14ac:dyDescent="0.25">
      <c r="A8819" s="17" t="s">
        <v>24460</v>
      </c>
      <c r="B8819" s="17" t="s">
        <v>70</v>
      </c>
      <c r="C8819" s="17" t="s">
        <v>71</v>
      </c>
      <c r="D8819" t="s">
        <v>7641</v>
      </c>
      <c r="F8819" t="s">
        <v>24461</v>
      </c>
      <c r="J8819" t="s">
        <v>115</v>
      </c>
      <c r="K8819" s="18" t="s">
        <v>24462</v>
      </c>
      <c r="N8819" s="17" t="s">
        <v>74</v>
      </c>
      <c r="O8819" t="s">
        <v>261</v>
      </c>
      <c r="U8819" s="17"/>
      <c r="V8819" s="18" t="s">
        <v>24462</v>
      </c>
      <c r="W8819" t="s">
        <v>24463</v>
      </c>
      <c r="Y8819" t="s">
        <v>1084</v>
      </c>
      <c r="AA8819" t="s">
        <v>3146</v>
      </c>
      <c r="AB8819" t="s">
        <v>119</v>
      </c>
    </row>
    <row r="8820" ht="15" customHeight="1" spans="1:27" x14ac:dyDescent="0.25">
      <c r="A8820" s="17" t="s">
        <v>24464</v>
      </c>
      <c r="B8820" s="17" t="s">
        <v>70</v>
      </c>
      <c r="C8820" s="17" t="s">
        <v>71</v>
      </c>
      <c r="D8820" t="s">
        <v>7641</v>
      </c>
      <c r="F8820" t="s">
        <v>19460</v>
      </c>
      <c r="J8820" s="17" t="s">
        <v>24465</v>
      </c>
      <c r="K8820" s="18">
        <f>628129132929</f>
        <v>628129132929</v>
      </c>
      <c r="N8820" s="17" t="s">
        <v>77</v>
      </c>
      <c r="U8820" s="17"/>
      <c r="V8820" s="18">
        <f>628129132929</f>
        <v>628129132929</v>
      </c>
      <c r="W8820" t="s">
        <v>24466</v>
      </c>
      <c r="AA8820" s="17">
        <v>15810</v>
      </c>
    </row>
    <row r="8821" ht="15" customHeight="1" spans="1:22" x14ac:dyDescent="0.25">
      <c r="A8821" s="17" t="s">
        <v>24467</v>
      </c>
      <c r="B8821" s="17" t="s">
        <v>70</v>
      </c>
      <c r="C8821" s="17" t="s">
        <v>71</v>
      </c>
      <c r="D8821" t="s">
        <v>7641</v>
      </c>
      <c r="F8821" t="s">
        <v>21748</v>
      </c>
      <c r="J8821" s="17" t="s">
        <v>24468</v>
      </c>
      <c r="K8821" s="18">
        <f>6281281762599</f>
        <v>6281281762599</v>
      </c>
      <c r="N8821" s="17" t="s">
        <v>81</v>
      </c>
      <c r="V8821" s="18">
        <f>6281281762599</f>
        <v>6281281762599</v>
      </c>
    </row>
    <row r="8822" ht="15" customHeight="1" spans="1:28" x14ac:dyDescent="0.25">
      <c r="A8822" s="17" t="s">
        <v>24469</v>
      </c>
      <c r="B8822" s="17" t="s">
        <v>70</v>
      </c>
      <c r="C8822" s="17" t="s">
        <v>71</v>
      </c>
      <c r="D8822" t="s">
        <v>7641</v>
      </c>
      <c r="F8822" t="s">
        <v>3121</v>
      </c>
      <c r="J8822" t="s">
        <v>24470</v>
      </c>
      <c r="K8822" s="18" t="s">
        <v>24471</v>
      </c>
      <c r="N8822" s="17" t="s">
        <v>77</v>
      </c>
      <c r="O8822" t="s">
        <v>145</v>
      </c>
      <c r="V8822" s="18" t="s">
        <v>24471</v>
      </c>
      <c r="Y8822" t="s">
        <v>96</v>
      </c>
      <c r="AA8822" t="s">
        <v>693</v>
      </c>
      <c r="AB8822" t="s">
        <v>119</v>
      </c>
    </row>
    <row r="8823" ht="15" customHeight="1" spans="1:22" x14ac:dyDescent="0.25">
      <c r="A8823" s="17" t="s">
        <v>24472</v>
      </c>
      <c r="B8823" s="17" t="s">
        <v>70</v>
      </c>
      <c r="C8823" s="17" t="s">
        <v>71</v>
      </c>
      <c r="D8823" t="s">
        <v>7641</v>
      </c>
      <c r="F8823" t="s">
        <v>22913</v>
      </c>
      <c r="K8823" s="18" t="s">
        <v>24473</v>
      </c>
      <c r="N8823" s="17" t="s">
        <v>77</v>
      </c>
      <c r="V8823" s="18" t="s">
        <v>24473</v>
      </c>
    </row>
    <row r="8824" ht="15" customHeight="1" spans="1:28" x14ac:dyDescent="0.25">
      <c r="A8824" s="17" t="s">
        <v>24474</v>
      </c>
      <c r="B8824" s="17" t="s">
        <v>70</v>
      </c>
      <c r="C8824" s="17" t="s">
        <v>71</v>
      </c>
      <c r="D8824" t="s">
        <v>7641</v>
      </c>
      <c r="F8824" t="s">
        <v>24475</v>
      </c>
      <c r="J8824" t="s">
        <v>115</v>
      </c>
      <c r="K8824" s="18" t="s">
        <v>24476</v>
      </c>
      <c r="N8824" s="17" t="s">
        <v>77</v>
      </c>
      <c r="O8824" t="s">
        <v>117</v>
      </c>
      <c r="U8824" s="17"/>
      <c r="V8824" s="18" t="s">
        <v>24476</v>
      </c>
      <c r="W8824" t="s">
        <v>24477</v>
      </c>
      <c r="Y8824" t="s">
        <v>190</v>
      </c>
      <c r="AA8824" t="s">
        <v>118</v>
      </c>
      <c r="AB8824" t="s">
        <v>119</v>
      </c>
    </row>
    <row r="8825" ht="15" customHeight="1" spans="1:28" x14ac:dyDescent="0.25">
      <c r="A8825" s="17" t="s">
        <v>24478</v>
      </c>
      <c r="B8825" s="17" t="s">
        <v>70</v>
      </c>
      <c r="C8825" s="17" t="s">
        <v>71</v>
      </c>
      <c r="D8825" t="s">
        <v>7641</v>
      </c>
      <c r="F8825" t="s">
        <v>24479</v>
      </c>
      <c r="J8825" s="17" t="s">
        <v>24480</v>
      </c>
      <c r="K8825" s="18" t="s">
        <v>24481</v>
      </c>
      <c r="N8825" s="17" t="s">
        <v>77</v>
      </c>
      <c r="O8825" t="s">
        <v>117</v>
      </c>
      <c r="U8825" s="17"/>
      <c r="V8825" s="18" t="s">
        <v>24481</v>
      </c>
      <c r="W8825" t="s">
        <v>24482</v>
      </c>
      <c r="Y8825" t="s">
        <v>190</v>
      </c>
      <c r="AA8825" t="s">
        <v>118</v>
      </c>
      <c r="AB8825" t="s">
        <v>119</v>
      </c>
    </row>
    <row r="8826" ht="15" customHeight="1" spans="1:22" x14ac:dyDescent="0.25">
      <c r="A8826" s="17" t="s">
        <v>24483</v>
      </c>
      <c r="B8826" s="17" t="s">
        <v>70</v>
      </c>
      <c r="C8826" s="17" t="s">
        <v>71</v>
      </c>
      <c r="D8826" t="s">
        <v>7641</v>
      </c>
      <c r="F8826" t="s">
        <v>5564</v>
      </c>
      <c r="K8826" s="18">
        <f>628113439960</f>
        <v>628113439960</v>
      </c>
      <c r="N8826" s="17" t="s">
        <v>77</v>
      </c>
      <c r="V8826" s="18">
        <f>628113439960</f>
        <v>628113439960</v>
      </c>
    </row>
    <row r="8827" ht="15" customHeight="1" spans="1:22" x14ac:dyDescent="0.25">
      <c r="A8827" s="17" t="s">
        <v>24484</v>
      </c>
      <c r="B8827" s="17" t="s">
        <v>70</v>
      </c>
      <c r="C8827" s="17" t="s">
        <v>71</v>
      </c>
      <c r="D8827" t="s">
        <v>7641</v>
      </c>
      <c r="F8827" t="s">
        <v>24485</v>
      </c>
      <c r="K8827" s="18">
        <f>6282125253030</f>
        <v>6282125253030</v>
      </c>
      <c r="N8827" s="17" t="s">
        <v>81</v>
      </c>
      <c r="V8827" s="18">
        <f>6282125253030</f>
        <v>6282125253030</v>
      </c>
    </row>
    <row r="8828" ht="15" customHeight="1" spans="1:28" x14ac:dyDescent="0.25">
      <c r="A8828" s="17" t="s">
        <v>24486</v>
      </c>
      <c r="B8828" s="17" t="s">
        <v>70</v>
      </c>
      <c r="C8828" s="17" t="s">
        <v>71</v>
      </c>
      <c r="D8828" t="s">
        <v>7641</v>
      </c>
      <c r="F8828" t="s">
        <v>6621</v>
      </c>
      <c r="J8828" s="17" t="s">
        <v>24487</v>
      </c>
      <c r="K8828" s="18" t="s">
        <v>24488</v>
      </c>
      <c r="N8828" s="17" t="s">
        <v>77</v>
      </c>
      <c r="O8828" t="s">
        <v>117</v>
      </c>
      <c r="V8828" s="18" t="s">
        <v>24488</v>
      </c>
      <c r="Y8828" t="s">
        <v>90</v>
      </c>
      <c r="AA8828" t="s">
        <v>118</v>
      </c>
      <c r="AB8828" t="s">
        <v>119</v>
      </c>
    </row>
    <row r="8829" ht="15" customHeight="1" spans="1:25" x14ac:dyDescent="0.25">
      <c r="A8829" s="17" t="s">
        <v>24489</v>
      </c>
      <c r="B8829" s="17" t="s">
        <v>70</v>
      </c>
      <c r="C8829" s="17" t="s">
        <v>71</v>
      </c>
      <c r="D8829" t="s">
        <v>7641</v>
      </c>
      <c r="F8829" t="s">
        <v>150</v>
      </c>
      <c r="K8829" s="18">
        <f>628129241726</f>
        <v>628129241726</v>
      </c>
      <c r="N8829" s="17" t="s">
        <v>77</v>
      </c>
      <c r="U8829" s="17"/>
      <c r="V8829" s="18">
        <f>628129241726</f>
        <v>628129241726</v>
      </c>
      <c r="W8829" t="s">
        <v>24490</v>
      </c>
      <c r="Y8829" s="17" t="s">
        <v>626</v>
      </c>
    </row>
    <row r="8830" ht="15" customHeight="1" spans="1:28" x14ac:dyDescent="0.25">
      <c r="A8830" s="17" t="s">
        <v>24491</v>
      </c>
      <c r="B8830" s="17" t="s">
        <v>70</v>
      </c>
      <c r="C8830" s="17" t="s">
        <v>71</v>
      </c>
      <c r="D8830" t="s">
        <v>7641</v>
      </c>
      <c r="F8830" t="s">
        <v>7641</v>
      </c>
      <c r="J8830" t="s">
        <v>115</v>
      </c>
      <c r="K8830" s="18" t="s">
        <v>24492</v>
      </c>
      <c r="N8830" s="17" t="s">
        <v>81</v>
      </c>
      <c r="O8830" t="s">
        <v>117</v>
      </c>
      <c r="U8830" s="17"/>
      <c r="V8830" s="18" t="s">
        <v>24492</v>
      </c>
      <c r="W8830" t="s">
        <v>24493</v>
      </c>
      <c r="Y8830" t="s">
        <v>115</v>
      </c>
      <c r="AA8830" t="s">
        <v>115</v>
      </c>
      <c r="AB8830" t="s">
        <v>3140</v>
      </c>
    </row>
    <row r="8831" ht="15" customHeight="1" spans="1:22" x14ac:dyDescent="0.25">
      <c r="A8831" s="17" t="s">
        <v>24494</v>
      </c>
      <c r="B8831" s="17" t="s">
        <v>70</v>
      </c>
      <c r="C8831" s="17" t="s">
        <v>71</v>
      </c>
      <c r="D8831" t="s">
        <v>7641</v>
      </c>
      <c r="F8831" t="s">
        <v>24495</v>
      </c>
      <c r="K8831" s="18">
        <f>6282112611577</f>
        <v>6282112611577</v>
      </c>
      <c r="N8831" s="17" t="s">
        <v>81</v>
      </c>
      <c r="V8831" s="18">
        <f>6282112611577</f>
        <v>6282112611577</v>
      </c>
    </row>
    <row r="8832" ht="15" customHeight="1" spans="1:22" x14ac:dyDescent="0.25">
      <c r="A8832" s="17" t="s">
        <v>24496</v>
      </c>
      <c r="B8832" s="17" t="s">
        <v>70</v>
      </c>
      <c r="C8832" s="17" t="s">
        <v>71</v>
      </c>
      <c r="D8832" t="s">
        <v>7641</v>
      </c>
      <c r="F8832" t="s">
        <v>23668</v>
      </c>
      <c r="K8832" s="18">
        <f>6281378299299</f>
        <v>6281378299299</v>
      </c>
      <c r="N8832" s="17" t="s">
        <v>77</v>
      </c>
      <c r="V8832" s="18">
        <f>6281378299299</f>
        <v>6281378299299</v>
      </c>
    </row>
    <row r="8833" ht="15" customHeight="1" spans="1:28" x14ac:dyDescent="0.25">
      <c r="A8833" s="17" t="s">
        <v>24497</v>
      </c>
      <c r="B8833" s="17" t="s">
        <v>70</v>
      </c>
      <c r="C8833" s="17" t="s">
        <v>71</v>
      </c>
      <c r="D8833" t="s">
        <v>7641</v>
      </c>
      <c r="F8833" t="s">
        <v>24498</v>
      </c>
      <c r="J8833" s="17" t="s">
        <v>24499</v>
      </c>
      <c r="K8833" s="18" t="s">
        <v>24500</v>
      </c>
      <c r="N8833" s="17" t="s">
        <v>74</v>
      </c>
      <c r="O8833" t="s">
        <v>117</v>
      </c>
      <c r="U8833" s="17"/>
      <c r="V8833" s="18" t="s">
        <v>24500</v>
      </c>
      <c r="W8833" t="s">
        <v>24501</v>
      </c>
      <c r="Y8833" s="17" t="s">
        <v>90</v>
      </c>
      <c r="AA8833" s="17" t="s">
        <v>118</v>
      </c>
      <c r="AB8833" t="s">
        <v>119</v>
      </c>
    </row>
    <row r="8834" ht="15" customHeight="1" spans="1:28" x14ac:dyDescent="0.25">
      <c r="A8834" s="17" t="s">
        <v>24502</v>
      </c>
      <c r="B8834" s="17" t="s">
        <v>70</v>
      </c>
      <c r="C8834" s="17" t="s">
        <v>71</v>
      </c>
      <c r="D8834" t="s">
        <v>7641</v>
      </c>
      <c r="F8834" t="s">
        <v>24503</v>
      </c>
      <c r="J8834" t="s">
        <v>115</v>
      </c>
      <c r="K8834" s="18" t="s">
        <v>24504</v>
      </c>
      <c r="N8834" s="17" t="s">
        <v>74</v>
      </c>
      <c r="O8834" t="s">
        <v>145</v>
      </c>
      <c r="U8834" s="17"/>
      <c r="V8834" s="18" t="s">
        <v>24504</v>
      </c>
      <c r="W8834" t="s">
        <v>24505</v>
      </c>
      <c r="Y8834" t="s">
        <v>90</v>
      </c>
      <c r="AA8834" t="s">
        <v>118</v>
      </c>
      <c r="AB8834" t="s">
        <v>119</v>
      </c>
    </row>
    <row r="8835" ht="15" customHeight="1" spans="1:28" x14ac:dyDescent="0.25">
      <c r="A8835" s="17" t="s">
        <v>24506</v>
      </c>
      <c r="B8835" s="17" t="s">
        <v>70</v>
      </c>
      <c r="C8835" s="17" t="s">
        <v>71</v>
      </c>
      <c r="D8835" t="s">
        <v>7641</v>
      </c>
      <c r="F8835" t="s">
        <v>16487</v>
      </c>
      <c r="J8835" t="s">
        <v>115</v>
      </c>
      <c r="K8835" s="18" t="s">
        <v>24507</v>
      </c>
      <c r="N8835" s="17" t="s">
        <v>77</v>
      </c>
      <c r="O8835" t="s">
        <v>117</v>
      </c>
      <c r="V8835" s="18" t="s">
        <v>24507</v>
      </c>
      <c r="Y8835" t="s">
        <v>24508</v>
      </c>
      <c r="AA8835" t="s">
        <v>115</v>
      </c>
      <c r="AB8835" t="s">
        <v>119</v>
      </c>
    </row>
    <row r="8836" ht="15" customHeight="1" spans="1:28" x14ac:dyDescent="0.25">
      <c r="A8836" s="17" t="s">
        <v>24509</v>
      </c>
      <c r="B8836" s="17" t="s">
        <v>70</v>
      </c>
      <c r="C8836" s="17" t="s">
        <v>71</v>
      </c>
      <c r="D8836" t="s">
        <v>7641</v>
      </c>
      <c r="F8836" t="s">
        <v>24510</v>
      </c>
      <c r="J8836" t="s">
        <v>115</v>
      </c>
      <c r="K8836" s="18" t="s">
        <v>24511</v>
      </c>
      <c r="N8836" s="17" t="s">
        <v>77</v>
      </c>
      <c r="O8836" t="s">
        <v>145</v>
      </c>
      <c r="V8836" s="18" t="s">
        <v>24511</v>
      </c>
      <c r="Y8836" t="s">
        <v>115</v>
      </c>
      <c r="AA8836" t="s">
        <v>115</v>
      </c>
      <c r="AB8836" t="s">
        <v>119</v>
      </c>
    </row>
    <row r="8837" ht="15" customHeight="1" spans="1:23" x14ac:dyDescent="0.25">
      <c r="A8837" s="17" t="s">
        <v>24512</v>
      </c>
      <c r="B8837" s="17" t="s">
        <v>70</v>
      </c>
      <c r="C8837" s="17" t="s">
        <v>71</v>
      </c>
      <c r="D8837" t="s">
        <v>7641</v>
      </c>
      <c r="F8837" t="s">
        <v>2258</v>
      </c>
      <c r="K8837" s="18">
        <f>628161317595</f>
        <v>628161317595</v>
      </c>
      <c r="N8837" s="17" t="s">
        <v>74</v>
      </c>
      <c r="U8837" s="17"/>
      <c r="V8837" s="18">
        <f>628161317595</f>
        <v>628161317595</v>
      </c>
      <c r="W8837" t="s">
        <v>24513</v>
      </c>
    </row>
    <row r="8838" ht="15" customHeight="1" spans="1:28" x14ac:dyDescent="0.25">
      <c r="A8838" s="17" t="s">
        <v>24514</v>
      </c>
      <c r="B8838" s="17" t="s">
        <v>70</v>
      </c>
      <c r="C8838" s="17" t="s">
        <v>71</v>
      </c>
      <c r="D8838" t="s">
        <v>7641</v>
      </c>
      <c r="F8838" t="s">
        <v>3585</v>
      </c>
      <c r="J8838" t="s">
        <v>24515</v>
      </c>
      <c r="K8838" s="18" t="s">
        <v>24516</v>
      </c>
      <c r="N8838" s="17" t="s">
        <v>77</v>
      </c>
      <c r="O8838" t="s">
        <v>489</v>
      </c>
      <c r="V8838" s="18" t="s">
        <v>24516</v>
      </c>
      <c r="Y8838" t="s">
        <v>3048</v>
      </c>
      <c r="AA8838" t="s">
        <v>115</v>
      </c>
      <c r="AB8838" t="s">
        <v>119</v>
      </c>
    </row>
    <row r="8839" ht="15" customHeight="1" spans="1:23" x14ac:dyDescent="0.25">
      <c r="A8839" s="17" t="s">
        <v>24517</v>
      </c>
      <c r="B8839" s="17" t="s">
        <v>70</v>
      </c>
      <c r="C8839" s="17" t="s">
        <v>71</v>
      </c>
      <c r="D8839" t="s">
        <v>7641</v>
      </c>
      <c r="F8839" t="s">
        <v>12351</v>
      </c>
      <c r="K8839" s="18">
        <f>628112559899</f>
        <v>628112559899</v>
      </c>
      <c r="N8839" s="17" t="s">
        <v>77</v>
      </c>
      <c r="U8839" s="17"/>
      <c r="V8839" s="18">
        <f>628112559899</f>
        <v>628112559899</v>
      </c>
      <c r="W8839" t="s">
        <v>24518</v>
      </c>
    </row>
    <row r="8840" ht="15" customHeight="1" spans="1:25" x14ac:dyDescent="0.25">
      <c r="A8840" s="17" t="s">
        <v>24519</v>
      </c>
      <c r="B8840" s="17" t="s">
        <v>70</v>
      </c>
      <c r="C8840" s="17" t="s">
        <v>71</v>
      </c>
      <c r="D8840" t="s">
        <v>7641</v>
      </c>
      <c r="F8840" t="s">
        <v>24520</v>
      </c>
      <c r="K8840" s="18">
        <f>62816915622</f>
        <v>62816915622</v>
      </c>
      <c r="N8840" s="17" t="s">
        <v>77</v>
      </c>
      <c r="U8840" s="17"/>
      <c r="V8840" s="18">
        <f>62816915622</f>
        <v>62816915622</v>
      </c>
      <c r="W8840" t="s">
        <v>24521</v>
      </c>
      <c r="Y8840" s="17" t="s">
        <v>90</v>
      </c>
    </row>
    <row r="8841" ht="15" customHeight="1" spans="1:23" x14ac:dyDescent="0.25">
      <c r="A8841" s="17" t="s">
        <v>24522</v>
      </c>
      <c r="B8841" s="17" t="s">
        <v>70</v>
      </c>
      <c r="C8841" s="17" t="s">
        <v>71</v>
      </c>
      <c r="D8841" t="s">
        <v>7641</v>
      </c>
      <c r="F8841" t="s">
        <v>24523</v>
      </c>
      <c r="K8841" s="18">
        <f>62811730988</f>
        <v>62811730988</v>
      </c>
      <c r="N8841" s="17" t="s">
        <v>77</v>
      </c>
      <c r="U8841" s="17"/>
      <c r="V8841" s="18">
        <f>62811730988</f>
        <v>62811730988</v>
      </c>
      <c r="W8841" t="s">
        <v>24524</v>
      </c>
    </row>
    <row r="8842" ht="15" customHeight="1" spans="1:28" x14ac:dyDescent="0.25">
      <c r="A8842" s="17" t="s">
        <v>24525</v>
      </c>
      <c r="B8842" s="17" t="s">
        <v>70</v>
      </c>
      <c r="C8842" s="17" t="s">
        <v>71</v>
      </c>
      <c r="D8842" t="s">
        <v>9165</v>
      </c>
      <c r="F8842" t="s">
        <v>24526</v>
      </c>
      <c r="J8842" t="s">
        <v>115</v>
      </c>
      <c r="K8842" s="18" t="s">
        <v>24527</v>
      </c>
      <c r="N8842" s="17" t="s">
        <v>77</v>
      </c>
      <c r="O8842" t="s">
        <v>489</v>
      </c>
      <c r="V8842" s="18" t="s">
        <v>24527</v>
      </c>
      <c r="Y8842" t="s">
        <v>115</v>
      </c>
      <c r="AA8842" t="s">
        <v>115</v>
      </c>
      <c r="AB8842" t="s">
        <v>119</v>
      </c>
    </row>
    <row r="8843" ht="15" customHeight="1" spans="1:28" x14ac:dyDescent="0.25">
      <c r="A8843" s="17" t="s">
        <v>24528</v>
      </c>
      <c r="B8843" s="17" t="s">
        <v>70</v>
      </c>
      <c r="C8843" s="17" t="s">
        <v>71</v>
      </c>
      <c r="D8843" t="s">
        <v>7641</v>
      </c>
      <c r="F8843" t="s">
        <v>1869</v>
      </c>
      <c r="J8843" t="s">
        <v>115</v>
      </c>
      <c r="K8843" s="18" t="s">
        <v>24529</v>
      </c>
      <c r="N8843" s="17" t="s">
        <v>74</v>
      </c>
      <c r="O8843" t="s">
        <v>117</v>
      </c>
      <c r="V8843" s="18" t="s">
        <v>24529</v>
      </c>
      <c r="Y8843" t="s">
        <v>190</v>
      </c>
      <c r="AA8843" t="s">
        <v>118</v>
      </c>
      <c r="AB8843" t="s">
        <v>119</v>
      </c>
    </row>
    <row r="8844" ht="15" customHeight="1" spans="1:22" x14ac:dyDescent="0.25">
      <c r="A8844" s="17" t="s">
        <v>24530</v>
      </c>
      <c r="B8844" s="17" t="s">
        <v>70</v>
      </c>
      <c r="C8844" s="17" t="s">
        <v>71</v>
      </c>
      <c r="D8844" t="s">
        <v>24531</v>
      </c>
      <c r="F8844" t="s">
        <v>24532</v>
      </c>
      <c r="K8844" s="18">
        <f>6281510000629</f>
        <v>6281510000629</v>
      </c>
      <c r="N8844" s="17" t="s">
        <v>81</v>
      </c>
      <c r="V8844" s="18">
        <f>6281510000629</f>
        <v>6281510000629</v>
      </c>
    </row>
    <row r="8845" ht="15" customHeight="1" spans="1:28" x14ac:dyDescent="0.25">
      <c r="A8845" s="17" t="s">
        <v>24533</v>
      </c>
      <c r="B8845" s="17" t="s">
        <v>70</v>
      </c>
      <c r="C8845" s="17" t="s">
        <v>71</v>
      </c>
      <c r="D8845" t="s">
        <v>24534</v>
      </c>
      <c r="F8845" t="s">
        <v>24534</v>
      </c>
      <c r="J8845" t="s">
        <v>115</v>
      </c>
      <c r="K8845" s="18" t="s">
        <v>24535</v>
      </c>
      <c r="N8845" s="17" t="s">
        <v>77</v>
      </c>
      <c r="O8845" t="s">
        <v>199</v>
      </c>
      <c r="V8845" s="18" t="s">
        <v>24535</v>
      </c>
      <c r="Y8845" t="s">
        <v>190</v>
      </c>
      <c r="AA8845" t="s">
        <v>118</v>
      </c>
      <c r="AB8845" t="s">
        <v>119</v>
      </c>
    </row>
    <row r="8846" ht="15" customHeight="1" spans="1:25" x14ac:dyDescent="0.25">
      <c r="A8846" s="17" t="s">
        <v>24536</v>
      </c>
      <c r="B8846" s="17" t="s">
        <v>70</v>
      </c>
      <c r="C8846" s="17" t="s">
        <v>71</v>
      </c>
      <c r="D8846" t="s">
        <v>24537</v>
      </c>
      <c r="F8846" t="s">
        <v>24537</v>
      </c>
      <c r="K8846" s="18">
        <f>628517614458</f>
        <v>628517614458</v>
      </c>
      <c r="N8846" s="17" t="s">
        <v>81</v>
      </c>
      <c r="U8846" s="17"/>
      <c r="V8846" s="18">
        <f>628517614458</f>
        <v>628517614458</v>
      </c>
      <c r="W8846" t="s">
        <v>24538</v>
      </c>
      <c r="Y8846" s="17" t="s">
        <v>622</v>
      </c>
    </row>
    <row r="8847" ht="15" customHeight="1" spans="1:22" x14ac:dyDescent="0.25">
      <c r="A8847" s="17" t="s">
        <v>24539</v>
      </c>
      <c r="B8847" s="17" t="s">
        <v>70</v>
      </c>
      <c r="C8847" s="17" t="s">
        <v>71</v>
      </c>
      <c r="D8847" t="s">
        <v>24537</v>
      </c>
      <c r="F8847" t="s">
        <v>24537</v>
      </c>
      <c r="K8847" s="18">
        <f>6281386010981</f>
        <v>6281386010981</v>
      </c>
      <c r="N8847" s="17" t="s">
        <v>81</v>
      </c>
      <c r="V8847" s="18">
        <f>6281386010981</f>
        <v>6281386010981</v>
      </c>
    </row>
    <row r="8848" ht="15" customHeight="1" spans="1:22" x14ac:dyDescent="0.25">
      <c r="A8848" s="17" t="s">
        <v>24540</v>
      </c>
      <c r="B8848" s="17" t="s">
        <v>70</v>
      </c>
      <c r="C8848" s="17" t="s">
        <v>71</v>
      </c>
      <c r="D8848" t="s">
        <v>24537</v>
      </c>
      <c r="F8848" t="s">
        <v>1217</v>
      </c>
      <c r="K8848" s="18">
        <f>628161158024</f>
        <v>628161158024</v>
      </c>
      <c r="N8848" s="17" t="s">
        <v>81</v>
      </c>
      <c r="V8848" s="18">
        <f>628161158024</f>
        <v>628161158024</v>
      </c>
    </row>
    <row r="8849" ht="15" customHeight="1" spans="1:28" x14ac:dyDescent="0.25">
      <c r="A8849" s="17" t="s">
        <v>24541</v>
      </c>
      <c r="B8849" s="17" t="s">
        <v>70</v>
      </c>
      <c r="C8849" s="17" t="s">
        <v>71</v>
      </c>
      <c r="D8849" t="s">
        <v>24537</v>
      </c>
      <c r="F8849" t="s">
        <v>24542</v>
      </c>
      <c r="J8849" t="s">
        <v>115</v>
      </c>
      <c r="K8849" s="18" t="s">
        <v>24543</v>
      </c>
      <c r="N8849" s="17" t="s">
        <v>74</v>
      </c>
      <c r="O8849" t="s">
        <v>1188</v>
      </c>
      <c r="U8849" s="17"/>
      <c r="V8849" s="18" t="s">
        <v>24543</v>
      </c>
      <c r="W8849" t="s">
        <v>24544</v>
      </c>
      <c r="Y8849" s="17" t="s">
        <v>378</v>
      </c>
      <c r="AA8849" t="s">
        <v>118</v>
      </c>
      <c r="AB8849" t="s">
        <v>119</v>
      </c>
    </row>
    <row r="8850" ht="15" customHeight="1" spans="1:23" x14ac:dyDescent="0.25">
      <c r="A8850" s="17" t="s">
        <v>24545</v>
      </c>
      <c r="B8850" s="17" t="s">
        <v>70</v>
      </c>
      <c r="C8850" s="17" t="s">
        <v>71</v>
      </c>
      <c r="D8850" t="s">
        <v>24537</v>
      </c>
      <c r="F8850" t="s">
        <v>9036</v>
      </c>
      <c r="J8850" s="17" t="s">
        <v>24546</v>
      </c>
      <c r="K8850" s="18">
        <f>6281286075525</f>
        <v>6281286075525</v>
      </c>
      <c r="N8850" s="17" t="s">
        <v>77</v>
      </c>
      <c r="U8850" s="17"/>
      <c r="V8850" s="18">
        <f>6281286075525</f>
        <v>6281286075525</v>
      </c>
      <c r="W8850" t="s">
        <v>24547</v>
      </c>
    </row>
    <row r="8851" ht="15" customHeight="1" spans="1:28" x14ac:dyDescent="0.25">
      <c r="A8851" s="17" t="s">
        <v>24548</v>
      </c>
      <c r="B8851" s="17" t="s">
        <v>70</v>
      </c>
      <c r="C8851" s="17" t="s">
        <v>71</v>
      </c>
      <c r="D8851" t="s">
        <v>24549</v>
      </c>
      <c r="F8851" t="s">
        <v>7169</v>
      </c>
      <c r="J8851" s="17" t="s">
        <v>24550</v>
      </c>
      <c r="K8851" s="18" t="s">
        <v>24551</v>
      </c>
      <c r="N8851" s="17" t="s">
        <v>77</v>
      </c>
      <c r="O8851" t="s">
        <v>145</v>
      </c>
      <c r="V8851" s="18" t="s">
        <v>24551</v>
      </c>
      <c r="Y8851" t="s">
        <v>90</v>
      </c>
      <c r="AA8851" t="s">
        <v>118</v>
      </c>
      <c r="AB8851" t="s">
        <v>119</v>
      </c>
    </row>
    <row r="8852" ht="15" customHeight="1" spans="1:23" x14ac:dyDescent="0.25">
      <c r="A8852" s="17" t="s">
        <v>24552</v>
      </c>
      <c r="B8852" s="17" t="s">
        <v>70</v>
      </c>
      <c r="C8852" s="17" t="s">
        <v>71</v>
      </c>
      <c r="D8852" t="s">
        <v>24549</v>
      </c>
      <c r="F8852" t="s">
        <v>24553</v>
      </c>
      <c r="K8852" s="18">
        <f>62811198331</f>
        <v>62811198331</v>
      </c>
      <c r="N8852" s="17" t="s">
        <v>77</v>
      </c>
      <c r="U8852" s="17"/>
      <c r="V8852" s="18">
        <f>62811198331</f>
        <v>62811198331</v>
      </c>
      <c r="W8852" t="s">
        <v>24554</v>
      </c>
    </row>
    <row r="8853" ht="15" customHeight="1" spans="1:27" x14ac:dyDescent="0.25">
      <c r="A8853" s="17" t="s">
        <v>24555</v>
      </c>
      <c r="B8853" s="17" t="s">
        <v>70</v>
      </c>
      <c r="C8853" s="17" t="s">
        <v>71</v>
      </c>
      <c r="D8853" t="s">
        <v>24549</v>
      </c>
      <c r="F8853" t="s">
        <v>509</v>
      </c>
      <c r="K8853" s="18">
        <f>62818777606</f>
        <v>62818777606</v>
      </c>
      <c r="N8853" s="17" t="s">
        <v>77</v>
      </c>
      <c r="U8853" s="17"/>
      <c r="V8853" s="18">
        <f>62818777606</f>
        <v>62818777606</v>
      </c>
      <c r="W8853" t="s">
        <v>24556</v>
      </c>
      <c r="Y8853" s="17" t="s">
        <v>96</v>
      </c>
      <c r="AA8853" s="17" t="s">
        <v>24557</v>
      </c>
    </row>
    <row r="8854" ht="15" customHeight="1" spans="1:22" x14ac:dyDescent="0.25">
      <c r="A8854" s="17" t="s">
        <v>24558</v>
      </c>
      <c r="B8854" s="17" t="s">
        <v>70</v>
      </c>
      <c r="C8854" s="17" t="s">
        <v>71</v>
      </c>
      <c r="D8854" t="s">
        <v>11804</v>
      </c>
      <c r="F8854" t="s">
        <v>11804</v>
      </c>
      <c r="K8854" s="18">
        <f>628119722229</f>
        <v>628119722229</v>
      </c>
      <c r="N8854" s="17" t="s">
        <v>81</v>
      </c>
      <c r="V8854" s="18">
        <f>628119722229</f>
        <v>628119722229</v>
      </c>
    </row>
    <row r="8855" ht="15" customHeight="1" spans="1:22" x14ac:dyDescent="0.25">
      <c r="A8855" s="17" t="s">
        <v>24559</v>
      </c>
      <c r="B8855" s="17" t="s">
        <v>70</v>
      </c>
      <c r="C8855" s="17" t="s">
        <v>71</v>
      </c>
      <c r="D8855" t="s">
        <v>11804</v>
      </c>
      <c r="F8855" t="s">
        <v>11804</v>
      </c>
      <c r="K8855" s="18">
        <f>6281317444868</f>
        <v>6281317444868</v>
      </c>
      <c r="N8855" s="17" t="s">
        <v>77</v>
      </c>
      <c r="V8855" s="18">
        <f>6281317444868</f>
        <v>6281317444868</v>
      </c>
    </row>
    <row r="8856" ht="15" customHeight="1" spans="1:28" x14ac:dyDescent="0.25">
      <c r="A8856" s="17" t="s">
        <v>24560</v>
      </c>
      <c r="B8856" s="17" t="s">
        <v>70</v>
      </c>
      <c r="C8856" s="17" t="s">
        <v>71</v>
      </c>
      <c r="D8856" t="s">
        <v>11804</v>
      </c>
      <c r="F8856" t="s">
        <v>11804</v>
      </c>
      <c r="J8856" t="s">
        <v>115</v>
      </c>
      <c r="K8856" s="18" t="s">
        <v>24561</v>
      </c>
      <c r="N8856" s="17" t="s">
        <v>77</v>
      </c>
      <c r="O8856" t="s">
        <v>117</v>
      </c>
      <c r="V8856" s="18" t="s">
        <v>24561</v>
      </c>
      <c r="Y8856" t="s">
        <v>190</v>
      </c>
      <c r="AA8856" t="s">
        <v>118</v>
      </c>
      <c r="AB8856" t="s">
        <v>119</v>
      </c>
    </row>
    <row r="8857" ht="15" customHeight="1" spans="1:22" x14ac:dyDescent="0.25">
      <c r="A8857" s="17" t="s">
        <v>24562</v>
      </c>
      <c r="B8857" s="17" t="s">
        <v>70</v>
      </c>
      <c r="C8857" s="17" t="s">
        <v>71</v>
      </c>
      <c r="D8857" t="s">
        <v>11804</v>
      </c>
      <c r="F8857" t="s">
        <v>24563</v>
      </c>
      <c r="K8857" s="18">
        <f>60122176959</f>
        <v>60122176959</v>
      </c>
      <c r="N8857" s="17" t="s">
        <v>77</v>
      </c>
      <c r="V8857" s="18">
        <f>60122176959</f>
        <v>60122176959</v>
      </c>
    </row>
    <row r="8858" ht="15" customHeight="1" spans="1:22" x14ac:dyDescent="0.25">
      <c r="A8858" s="17" t="s">
        <v>24564</v>
      </c>
      <c r="B8858" s="17" t="s">
        <v>70</v>
      </c>
      <c r="C8858" s="17" t="s">
        <v>71</v>
      </c>
      <c r="D8858" t="s">
        <v>11804</v>
      </c>
      <c r="F8858" t="s">
        <v>24565</v>
      </c>
      <c r="K8858" s="18">
        <f>62818146618</f>
        <v>62818146618</v>
      </c>
      <c r="N8858" s="17" t="s">
        <v>77</v>
      </c>
      <c r="V8858" s="18">
        <f>62818146618</f>
        <v>62818146618</v>
      </c>
    </row>
    <row r="8859" ht="15" customHeight="1" spans="1:28" x14ac:dyDescent="0.25">
      <c r="A8859" s="17" t="s">
        <v>24566</v>
      </c>
      <c r="B8859" s="17" t="s">
        <v>70</v>
      </c>
      <c r="C8859" s="17" t="s">
        <v>71</v>
      </c>
      <c r="D8859" t="s">
        <v>11804</v>
      </c>
      <c r="F8859" t="s">
        <v>24567</v>
      </c>
      <c r="J8859" t="s">
        <v>115</v>
      </c>
      <c r="K8859" s="18" t="s">
        <v>24568</v>
      </c>
      <c r="N8859" s="17" t="s">
        <v>77</v>
      </c>
      <c r="O8859" t="s">
        <v>145</v>
      </c>
      <c r="V8859" s="18" t="s">
        <v>24568</v>
      </c>
      <c r="Y8859" t="s">
        <v>181</v>
      </c>
      <c r="AA8859" t="s">
        <v>1672</v>
      </c>
      <c r="AB8859" t="s">
        <v>119</v>
      </c>
    </row>
    <row r="8860" ht="15" customHeight="1" spans="1:28" x14ac:dyDescent="0.25">
      <c r="A8860" s="17" t="s">
        <v>24569</v>
      </c>
      <c r="B8860" s="17" t="s">
        <v>70</v>
      </c>
      <c r="C8860" s="17" t="s">
        <v>71</v>
      </c>
      <c r="D8860" t="s">
        <v>11804</v>
      </c>
      <c r="F8860" t="s">
        <v>3988</v>
      </c>
      <c r="J8860" s="17" t="s">
        <v>24570</v>
      </c>
      <c r="K8860" s="18" t="s">
        <v>24571</v>
      </c>
      <c r="N8860" s="17" t="s">
        <v>77</v>
      </c>
      <c r="O8860" t="s">
        <v>145</v>
      </c>
      <c r="U8860" s="17"/>
      <c r="V8860" s="18" t="s">
        <v>24571</v>
      </c>
      <c r="W8860" t="s">
        <v>24572</v>
      </c>
      <c r="Y8860" t="s">
        <v>1084</v>
      </c>
      <c r="AA8860" t="s">
        <v>3146</v>
      </c>
      <c r="AB8860" t="s">
        <v>119</v>
      </c>
    </row>
    <row r="8861" ht="15" customHeight="1" spans="1:22" x14ac:dyDescent="0.25">
      <c r="A8861" s="17" t="s">
        <v>24573</v>
      </c>
      <c r="B8861" s="17" t="s">
        <v>70</v>
      </c>
      <c r="C8861" s="17" t="s">
        <v>71</v>
      </c>
      <c r="D8861" t="s">
        <v>11804</v>
      </c>
      <c r="F8861" t="s">
        <v>24574</v>
      </c>
      <c r="J8861" s="17" t="s">
        <v>24575</v>
      </c>
      <c r="K8861" s="18">
        <f>628118288999</f>
        <v>628118288999</v>
      </c>
      <c r="N8861" s="17" t="s">
        <v>81</v>
      </c>
      <c r="V8861" s="18">
        <f>628118288999</f>
        <v>628118288999</v>
      </c>
    </row>
    <row r="8862" ht="15" customHeight="1" spans="1:25" x14ac:dyDescent="0.25">
      <c r="A8862" s="17" t="s">
        <v>24576</v>
      </c>
      <c r="B8862" s="17" t="s">
        <v>70</v>
      </c>
      <c r="C8862" s="17" t="s">
        <v>71</v>
      </c>
      <c r="D8862" t="s">
        <v>11804</v>
      </c>
      <c r="F8862" t="s">
        <v>24577</v>
      </c>
      <c r="K8862" s="18">
        <f>62818798555</f>
        <v>62818798555</v>
      </c>
      <c r="N8862" s="17" t="s">
        <v>74</v>
      </c>
      <c r="U8862" s="17"/>
      <c r="V8862" s="18">
        <f>62818798555</f>
        <v>62818798555</v>
      </c>
      <c r="W8862" t="s">
        <v>24578</v>
      </c>
      <c r="Y8862" s="17" t="s">
        <v>2953</v>
      </c>
    </row>
    <row r="8863" ht="15" customHeight="1" spans="1:28" x14ac:dyDescent="0.25">
      <c r="A8863" s="17" t="s">
        <v>24579</v>
      </c>
      <c r="B8863" s="17" t="s">
        <v>70</v>
      </c>
      <c r="C8863" s="17" t="s">
        <v>71</v>
      </c>
      <c r="D8863" t="s">
        <v>11804</v>
      </c>
      <c r="F8863" t="s">
        <v>1401</v>
      </c>
      <c r="J8863" s="17" t="s">
        <v>24580</v>
      </c>
      <c r="K8863" s="18" t="s">
        <v>24581</v>
      </c>
      <c r="N8863" s="17" t="s">
        <v>81</v>
      </c>
      <c r="O8863" t="s">
        <v>117</v>
      </c>
      <c r="V8863" s="18" t="s">
        <v>24581</v>
      </c>
      <c r="Y8863" t="s">
        <v>90</v>
      </c>
      <c r="AA8863" t="s">
        <v>118</v>
      </c>
      <c r="AB8863" t="s">
        <v>119</v>
      </c>
    </row>
    <row r="8864" ht="15" customHeight="1" spans="1:23" x14ac:dyDescent="0.25">
      <c r="A8864" s="17" t="s">
        <v>24582</v>
      </c>
      <c r="B8864" s="17" t="s">
        <v>70</v>
      </c>
      <c r="C8864" s="17" t="s">
        <v>71</v>
      </c>
      <c r="D8864" t="s">
        <v>11804</v>
      </c>
      <c r="F8864" t="s">
        <v>7517</v>
      </c>
      <c r="J8864" s="17" t="s">
        <v>24583</v>
      </c>
      <c r="K8864" s="18">
        <f>6281233885502</f>
        <v>6281233885502</v>
      </c>
      <c r="N8864" s="17" t="s">
        <v>77</v>
      </c>
      <c r="U8864" s="17"/>
      <c r="V8864" s="18">
        <f>6281233885502</f>
        <v>6281233885502</v>
      </c>
      <c r="W8864" t="s">
        <v>24584</v>
      </c>
    </row>
    <row r="8865" ht="15" customHeight="1" spans="1:22" x14ac:dyDescent="0.25">
      <c r="A8865" s="17" t="s">
        <v>24585</v>
      </c>
      <c r="B8865" s="17" t="s">
        <v>70</v>
      </c>
      <c r="C8865" s="17" t="s">
        <v>71</v>
      </c>
      <c r="D8865" t="s">
        <v>11804</v>
      </c>
      <c r="F8865" t="s">
        <v>24586</v>
      </c>
      <c r="K8865" s="18">
        <f>62816966388</f>
        <v>62816966388</v>
      </c>
      <c r="N8865" s="17" t="s">
        <v>77</v>
      </c>
      <c r="V8865" s="18">
        <f>62816966388</f>
        <v>62816966388</v>
      </c>
    </row>
    <row r="8866" ht="15" customHeight="1" spans="1:28" x14ac:dyDescent="0.25">
      <c r="A8866" s="17" t="s">
        <v>24587</v>
      </c>
      <c r="B8866" s="17" t="s">
        <v>70</v>
      </c>
      <c r="C8866" s="17" t="s">
        <v>71</v>
      </c>
      <c r="D8866" t="s">
        <v>11804</v>
      </c>
      <c r="F8866" t="s">
        <v>24588</v>
      </c>
      <c r="J8866" t="s">
        <v>115</v>
      </c>
      <c r="K8866" s="18" t="s">
        <v>24589</v>
      </c>
      <c r="N8866" s="17" t="s">
        <v>77</v>
      </c>
      <c r="O8866" t="s">
        <v>199</v>
      </c>
      <c r="U8866" s="17"/>
      <c r="V8866" s="18" t="s">
        <v>24589</v>
      </c>
      <c r="W8866" t="s">
        <v>24590</v>
      </c>
      <c r="Y8866" t="s">
        <v>90</v>
      </c>
      <c r="AA8866" t="s">
        <v>118</v>
      </c>
      <c r="AB8866" t="s">
        <v>119</v>
      </c>
    </row>
    <row r="8867" ht="15" customHeight="1" spans="1:22" x14ac:dyDescent="0.25">
      <c r="A8867" s="17" t="s">
        <v>24591</v>
      </c>
      <c r="B8867" s="17" t="s">
        <v>70</v>
      </c>
      <c r="C8867" s="17" t="s">
        <v>71</v>
      </c>
      <c r="D8867" t="s">
        <v>11804</v>
      </c>
      <c r="F8867" t="s">
        <v>17397</v>
      </c>
      <c r="K8867" s="18">
        <f>628129155159</f>
        <v>628129155159</v>
      </c>
      <c r="N8867" s="17" t="s">
        <v>77</v>
      </c>
      <c r="V8867" s="18">
        <f>628129155159</f>
        <v>628129155159</v>
      </c>
    </row>
    <row r="8868" ht="15" customHeight="1" spans="1:22" x14ac:dyDescent="0.25">
      <c r="A8868" s="17" t="s">
        <v>24592</v>
      </c>
      <c r="B8868" s="17" t="s">
        <v>70</v>
      </c>
      <c r="C8868" s="17" t="s">
        <v>71</v>
      </c>
      <c r="D8868" t="s">
        <v>11804</v>
      </c>
      <c r="F8868" t="s">
        <v>12591</v>
      </c>
      <c r="K8868" s="18">
        <f>6281288781988</f>
        <v>6281288781988</v>
      </c>
      <c r="N8868" s="17" t="s">
        <v>81</v>
      </c>
      <c r="V8868" s="18">
        <f>6281288781988</f>
        <v>6281288781988</v>
      </c>
    </row>
    <row r="8869" ht="15" customHeight="1" spans="1:23" x14ac:dyDescent="0.25">
      <c r="A8869" s="17" t="s">
        <v>24593</v>
      </c>
      <c r="B8869" s="17" t="s">
        <v>70</v>
      </c>
      <c r="C8869" s="17" t="s">
        <v>71</v>
      </c>
      <c r="D8869" t="s">
        <v>11804</v>
      </c>
      <c r="F8869" t="s">
        <v>24594</v>
      </c>
      <c r="K8869" s="18">
        <f>6281310864155</f>
        <v>6281310864155</v>
      </c>
      <c r="N8869" s="17" t="s">
        <v>77</v>
      </c>
      <c r="U8869" s="17"/>
      <c r="V8869" s="18">
        <f>6281310864155</f>
        <v>6281310864155</v>
      </c>
      <c r="W8869" t="s">
        <v>24595</v>
      </c>
    </row>
    <row r="8870" ht="15" customHeight="1" spans="1:28" x14ac:dyDescent="0.25">
      <c r="A8870" s="17" t="s">
        <v>24596</v>
      </c>
      <c r="B8870" s="17" t="s">
        <v>70</v>
      </c>
      <c r="C8870" s="17" t="s">
        <v>71</v>
      </c>
      <c r="D8870" t="s">
        <v>11804</v>
      </c>
      <c r="F8870" t="s">
        <v>212</v>
      </c>
      <c r="J8870" t="s">
        <v>24597</v>
      </c>
      <c r="K8870" s="18" t="s">
        <v>24598</v>
      </c>
      <c r="N8870" s="17" t="s">
        <v>74</v>
      </c>
      <c r="O8870" t="s">
        <v>117</v>
      </c>
      <c r="V8870" s="18" t="s">
        <v>24598</v>
      </c>
      <c r="Y8870" t="s">
        <v>190</v>
      </c>
      <c r="AA8870" t="s">
        <v>118</v>
      </c>
      <c r="AB8870" t="s">
        <v>119</v>
      </c>
    </row>
    <row r="8871" ht="15" customHeight="1" spans="1:22" x14ac:dyDescent="0.25">
      <c r="A8871" s="17" t="s">
        <v>24599</v>
      </c>
      <c r="B8871" s="17" t="s">
        <v>70</v>
      </c>
      <c r="C8871" s="17" t="s">
        <v>71</v>
      </c>
      <c r="D8871" t="s">
        <v>11804</v>
      </c>
      <c r="F8871" t="s">
        <v>212</v>
      </c>
      <c r="K8871" s="18">
        <f>62816912498</f>
        <v>62816912498</v>
      </c>
      <c r="N8871" s="17" t="s">
        <v>81</v>
      </c>
      <c r="V8871" s="18">
        <f>62816912498</f>
        <v>62816912498</v>
      </c>
    </row>
    <row r="8872" ht="15" customHeight="1" spans="1:22" x14ac:dyDescent="0.25">
      <c r="A8872" s="17" t="s">
        <v>24600</v>
      </c>
      <c r="B8872" s="17" t="s">
        <v>70</v>
      </c>
      <c r="C8872" s="17" t="s">
        <v>71</v>
      </c>
      <c r="D8872" t="s">
        <v>11804</v>
      </c>
      <c r="F8872" t="s">
        <v>8463</v>
      </c>
      <c r="K8872" s="18">
        <f>6281293663333</f>
        <v>6281293663333</v>
      </c>
      <c r="N8872" s="17" t="s">
        <v>77</v>
      </c>
      <c r="V8872" s="18">
        <f>6281293663333</f>
        <v>6281293663333</v>
      </c>
    </row>
    <row r="8873" ht="15" customHeight="1" spans="1:22" x14ac:dyDescent="0.25">
      <c r="A8873" s="17" t="s">
        <v>24601</v>
      </c>
      <c r="B8873" s="17" t="s">
        <v>70</v>
      </c>
      <c r="C8873" s="17" t="s">
        <v>71</v>
      </c>
      <c r="D8873" t="s">
        <v>11804</v>
      </c>
      <c r="F8873" t="s">
        <v>548</v>
      </c>
      <c r="K8873" s="18">
        <f>62816614091</f>
        <v>62816614091</v>
      </c>
      <c r="N8873" s="17" t="s">
        <v>81</v>
      </c>
      <c r="V8873" s="18">
        <f>62816614091</f>
        <v>62816614091</v>
      </c>
    </row>
    <row r="8874" ht="15" customHeight="1" spans="1:22" x14ac:dyDescent="0.25">
      <c r="A8874" s="17" t="s">
        <v>24602</v>
      </c>
      <c r="B8874" s="17" t="s">
        <v>70</v>
      </c>
      <c r="C8874" s="17" t="s">
        <v>71</v>
      </c>
      <c r="D8874" t="s">
        <v>11804</v>
      </c>
      <c r="F8874" t="s">
        <v>24603</v>
      </c>
      <c r="K8874" s="18">
        <f>62816884362</f>
        <v>62816884362</v>
      </c>
      <c r="N8874" s="17" t="s">
        <v>81</v>
      </c>
      <c r="V8874" s="18">
        <f>62816884362</f>
        <v>62816884362</v>
      </c>
    </row>
    <row r="8875" ht="15" customHeight="1" spans="1:28" x14ac:dyDescent="0.25">
      <c r="A8875" s="17" t="s">
        <v>24604</v>
      </c>
      <c r="B8875" s="17" t="s">
        <v>70</v>
      </c>
      <c r="C8875" s="17" t="s">
        <v>71</v>
      </c>
      <c r="D8875" t="s">
        <v>11804</v>
      </c>
      <c r="F8875" t="s">
        <v>9274</v>
      </c>
      <c r="J8875" t="s">
        <v>115</v>
      </c>
      <c r="K8875" s="18" t="s">
        <v>24605</v>
      </c>
      <c r="N8875" s="17" t="s">
        <v>74</v>
      </c>
      <c r="O8875" t="s">
        <v>117</v>
      </c>
      <c r="U8875" s="17"/>
      <c r="V8875" s="18" t="s">
        <v>24605</v>
      </c>
      <c r="W8875" t="s">
        <v>24606</v>
      </c>
      <c r="Y8875" s="17" t="s">
        <v>500</v>
      </c>
      <c r="AA8875" t="s">
        <v>501</v>
      </c>
      <c r="AB8875" t="s">
        <v>119</v>
      </c>
    </row>
    <row r="8876" ht="15" customHeight="1" spans="1:22" x14ac:dyDescent="0.25">
      <c r="A8876" s="17" t="s">
        <v>24607</v>
      </c>
      <c r="B8876" s="17" t="s">
        <v>70</v>
      </c>
      <c r="C8876" s="17" t="s">
        <v>71</v>
      </c>
      <c r="D8876" t="s">
        <v>11804</v>
      </c>
      <c r="F8876" t="s">
        <v>11295</v>
      </c>
      <c r="K8876" s="18">
        <f>628121778188</f>
        <v>628121778188</v>
      </c>
      <c r="N8876" s="17" t="s">
        <v>74</v>
      </c>
      <c r="V8876" s="18">
        <f>628121778188</f>
        <v>628121778188</v>
      </c>
    </row>
    <row r="8877" ht="15" customHeight="1" spans="1:22" x14ac:dyDescent="0.25">
      <c r="A8877" s="17" t="s">
        <v>24608</v>
      </c>
      <c r="B8877" s="17" t="s">
        <v>70</v>
      </c>
      <c r="C8877" s="17" t="s">
        <v>71</v>
      </c>
      <c r="D8877" t="s">
        <v>11804</v>
      </c>
      <c r="F8877" t="s">
        <v>1186</v>
      </c>
      <c r="K8877" s="18">
        <f>628164208285</f>
        <v>628164208285</v>
      </c>
      <c r="N8877" s="17" t="s">
        <v>81</v>
      </c>
      <c r="V8877" s="18">
        <f>628164208285</f>
        <v>628164208285</v>
      </c>
    </row>
    <row r="8878" ht="15" customHeight="1" spans="1:28" x14ac:dyDescent="0.25">
      <c r="A8878" s="17" t="s">
        <v>24609</v>
      </c>
      <c r="B8878" s="17" t="s">
        <v>70</v>
      </c>
      <c r="C8878" s="17" t="s">
        <v>71</v>
      </c>
      <c r="D8878" t="s">
        <v>11804</v>
      </c>
      <c r="F8878" t="s">
        <v>1217</v>
      </c>
      <c r="J8878" t="s">
        <v>115</v>
      </c>
      <c r="K8878" s="18" t="s">
        <v>24610</v>
      </c>
      <c r="N8878" s="17" t="s">
        <v>77</v>
      </c>
      <c r="O8878" t="s">
        <v>489</v>
      </c>
      <c r="U8878" s="17"/>
      <c r="V8878" s="18" t="s">
        <v>24610</v>
      </c>
      <c r="W8878" t="s">
        <v>24611</v>
      </c>
      <c r="Y8878" t="s">
        <v>1084</v>
      </c>
      <c r="AA8878" s="17" t="s">
        <v>3146</v>
      </c>
      <c r="AB8878" t="s">
        <v>119</v>
      </c>
    </row>
    <row r="8879" ht="15" customHeight="1" spans="1:28" x14ac:dyDescent="0.25">
      <c r="A8879" s="17" t="s">
        <v>24612</v>
      </c>
      <c r="B8879" s="17" t="s">
        <v>70</v>
      </c>
      <c r="C8879" s="17" t="s">
        <v>71</v>
      </c>
      <c r="D8879" t="s">
        <v>11804</v>
      </c>
      <c r="F8879" t="s">
        <v>24586</v>
      </c>
      <c r="J8879" t="s">
        <v>115</v>
      </c>
      <c r="K8879" s="18" t="s">
        <v>24613</v>
      </c>
      <c r="N8879" s="17" t="s">
        <v>81</v>
      </c>
      <c r="O8879" t="s">
        <v>145</v>
      </c>
      <c r="V8879" s="18" t="s">
        <v>24613</v>
      </c>
      <c r="Y8879" t="s">
        <v>190</v>
      </c>
      <c r="AA8879" t="s">
        <v>118</v>
      </c>
      <c r="AB8879" t="s">
        <v>119</v>
      </c>
    </row>
    <row r="8880" ht="15" customHeight="1" spans="1:22" x14ac:dyDescent="0.25">
      <c r="A8880" s="17" t="s">
        <v>24614</v>
      </c>
      <c r="B8880" s="17" t="s">
        <v>70</v>
      </c>
      <c r="C8880" s="17" t="s">
        <v>71</v>
      </c>
      <c r="D8880" t="s">
        <v>11804</v>
      </c>
      <c r="F8880" t="s">
        <v>17397</v>
      </c>
      <c r="K8880" s="18">
        <f>62811156925</f>
        <v>62811156925</v>
      </c>
      <c r="N8880" s="17" t="s">
        <v>81</v>
      </c>
      <c r="V8880" s="18">
        <f>62811156925</f>
        <v>62811156925</v>
      </c>
    </row>
    <row r="8881" ht="15" customHeight="1" spans="1:25" x14ac:dyDescent="0.25">
      <c r="A8881" s="17" t="s">
        <v>24615</v>
      </c>
      <c r="B8881" s="17" t="s">
        <v>70</v>
      </c>
      <c r="C8881" s="17" t="s">
        <v>71</v>
      </c>
      <c r="D8881" t="s">
        <v>11804</v>
      </c>
      <c r="F8881" t="s">
        <v>24616</v>
      </c>
      <c r="K8881" s="18">
        <f>62816881752</f>
        <v>62816881752</v>
      </c>
      <c r="N8881" s="17" t="s">
        <v>77</v>
      </c>
      <c r="U8881" s="17"/>
      <c r="V8881" s="18">
        <f>62816881752</f>
        <v>62816881752</v>
      </c>
      <c r="W8881" t="s">
        <v>24617</v>
      </c>
      <c r="Y8881" s="17" t="s">
        <v>90</v>
      </c>
    </row>
    <row r="8882" ht="15" customHeight="1" spans="1:22" x14ac:dyDescent="0.25">
      <c r="A8882" s="17" t="s">
        <v>24618</v>
      </c>
      <c r="B8882" s="17" t="s">
        <v>70</v>
      </c>
      <c r="C8882" s="17" t="s">
        <v>71</v>
      </c>
      <c r="D8882" t="s">
        <v>11804</v>
      </c>
      <c r="F8882" t="s">
        <v>3564</v>
      </c>
      <c r="K8882" s="18">
        <f>6281282171566</f>
        <v>6281282171566</v>
      </c>
      <c r="N8882" s="17" t="s">
        <v>81</v>
      </c>
      <c r="V8882" s="18">
        <f>6281282171566</f>
        <v>6281282171566</v>
      </c>
    </row>
    <row r="8883" ht="15" customHeight="1" spans="1:27" x14ac:dyDescent="0.25">
      <c r="A8883" s="17" t="s">
        <v>24619</v>
      </c>
      <c r="B8883" s="17" t="s">
        <v>70</v>
      </c>
      <c r="C8883" s="17" t="s">
        <v>71</v>
      </c>
      <c r="D8883" t="s">
        <v>11804</v>
      </c>
      <c r="F8883" t="s">
        <v>24620</v>
      </c>
      <c r="J8883" s="17" t="s">
        <v>24621</v>
      </c>
      <c r="K8883" s="18">
        <f>62811730052</f>
        <v>62811730052</v>
      </c>
      <c r="N8883" s="17" t="s">
        <v>77</v>
      </c>
      <c r="U8883" s="17"/>
      <c r="V8883" s="18">
        <f>62811730052</f>
        <v>62811730052</v>
      </c>
      <c r="W8883" t="s">
        <v>24622</v>
      </c>
      <c r="AA8883" s="17">
        <v>12530</v>
      </c>
    </row>
    <row r="8884" ht="15" customHeight="1" spans="1:22" x14ac:dyDescent="0.25">
      <c r="A8884" s="17" t="s">
        <v>24623</v>
      </c>
      <c r="B8884" s="17" t="s">
        <v>70</v>
      </c>
      <c r="C8884" s="17" t="s">
        <v>71</v>
      </c>
      <c r="D8884" t="s">
        <v>11804</v>
      </c>
      <c r="F8884" t="s">
        <v>2381</v>
      </c>
      <c r="K8884" s="18">
        <f>628119987679</f>
        <v>628119987679</v>
      </c>
      <c r="N8884" s="17" t="s">
        <v>74</v>
      </c>
      <c r="V8884" s="18">
        <f>628119987679</f>
        <v>628119987679</v>
      </c>
    </row>
    <row r="8885" ht="15" customHeight="1" spans="1:22" x14ac:dyDescent="0.25">
      <c r="A8885" s="17" t="s">
        <v>24624</v>
      </c>
      <c r="B8885" s="17" t="s">
        <v>70</v>
      </c>
      <c r="C8885" s="17" t="s">
        <v>71</v>
      </c>
      <c r="D8885" t="s">
        <v>11804</v>
      </c>
      <c r="F8885" t="s">
        <v>24625</v>
      </c>
      <c r="K8885" s="18">
        <f>6287781816777</f>
        <v>6287781816777</v>
      </c>
      <c r="N8885" s="17" t="s">
        <v>81</v>
      </c>
      <c r="V8885" s="18">
        <f>6287781816777</f>
        <v>6287781816777</v>
      </c>
    </row>
    <row r="8886" ht="15" customHeight="1" spans="1:23" x14ac:dyDescent="0.25">
      <c r="A8886" s="17" t="s">
        <v>24626</v>
      </c>
      <c r="B8886" s="17" t="s">
        <v>70</v>
      </c>
      <c r="C8886" s="17" t="s">
        <v>71</v>
      </c>
      <c r="D8886" t="s">
        <v>11804</v>
      </c>
      <c r="F8886" t="s">
        <v>24627</v>
      </c>
      <c r="K8886" s="18">
        <f>6281316017333</f>
        <v>6281316017333</v>
      </c>
      <c r="N8886" s="17" t="s">
        <v>77</v>
      </c>
      <c r="U8886" s="17"/>
      <c r="V8886" s="18">
        <f>6281316017333</f>
        <v>6281316017333</v>
      </c>
      <c r="W8886" t="s">
        <v>24628</v>
      </c>
    </row>
    <row r="8887" ht="15" customHeight="1" spans="1:22" x14ac:dyDescent="0.25">
      <c r="A8887" s="17" t="s">
        <v>24629</v>
      </c>
      <c r="B8887" s="17" t="s">
        <v>70</v>
      </c>
      <c r="C8887" s="17" t="s">
        <v>71</v>
      </c>
      <c r="D8887" t="s">
        <v>11804</v>
      </c>
      <c r="F8887" t="s">
        <v>24630</v>
      </c>
      <c r="K8887" s="18">
        <f>62817108881</f>
        <v>62817108881</v>
      </c>
      <c r="N8887" s="17" t="s">
        <v>77</v>
      </c>
      <c r="V8887" s="18">
        <f>62817108881</f>
        <v>62817108881</v>
      </c>
    </row>
    <row r="8888" ht="15" customHeight="1" spans="1:22" x14ac:dyDescent="0.25">
      <c r="A8888" s="17" t="s">
        <v>24631</v>
      </c>
      <c r="B8888" s="17" t="s">
        <v>70</v>
      </c>
      <c r="C8888" s="17" t="s">
        <v>71</v>
      </c>
      <c r="D8888" t="s">
        <v>11804</v>
      </c>
      <c r="F8888" t="s">
        <v>4708</v>
      </c>
      <c r="K8888" s="18">
        <f>62811808804</f>
        <v>62811808804</v>
      </c>
      <c r="N8888" s="17" t="s">
        <v>81</v>
      </c>
      <c r="V8888" s="18">
        <f>62811808804</f>
        <v>62811808804</v>
      </c>
    </row>
    <row r="8889" ht="15" customHeight="1" spans="1:22" x14ac:dyDescent="0.25">
      <c r="A8889" s="17" t="s">
        <v>24632</v>
      </c>
      <c r="B8889" s="17" t="s">
        <v>70</v>
      </c>
      <c r="C8889" s="17" t="s">
        <v>71</v>
      </c>
      <c r="D8889" t="s">
        <v>11804</v>
      </c>
      <c r="F8889" t="s">
        <v>24633</v>
      </c>
      <c r="K8889" s="18">
        <f>6282154333397</f>
        <v>6282154333397</v>
      </c>
      <c r="N8889" s="17" t="s">
        <v>81</v>
      </c>
      <c r="V8889" s="18">
        <f>6282154333397</f>
        <v>6282154333397</v>
      </c>
    </row>
    <row r="8890" ht="15" customHeight="1" spans="1:28" x14ac:dyDescent="0.25">
      <c r="A8890" s="17" t="s">
        <v>24634</v>
      </c>
      <c r="B8890" s="17" t="s">
        <v>70</v>
      </c>
      <c r="C8890" s="17" t="s">
        <v>71</v>
      </c>
      <c r="D8890" t="s">
        <v>11804</v>
      </c>
      <c r="F8890" t="s">
        <v>24635</v>
      </c>
      <c r="J8890" t="s">
        <v>24636</v>
      </c>
      <c r="K8890" s="18" t="s">
        <v>24637</v>
      </c>
      <c r="N8890" s="17" t="s">
        <v>77</v>
      </c>
      <c r="O8890" t="s">
        <v>145</v>
      </c>
      <c r="U8890" s="17"/>
      <c r="V8890" s="18" t="s">
        <v>24637</v>
      </c>
      <c r="W8890" t="s">
        <v>24638</v>
      </c>
      <c r="Y8890" t="s">
        <v>90</v>
      </c>
      <c r="AA8890" t="s">
        <v>118</v>
      </c>
      <c r="AB8890" t="s">
        <v>119</v>
      </c>
    </row>
    <row r="8891" ht="15" customHeight="1" spans="1:28" x14ac:dyDescent="0.25">
      <c r="A8891" s="17" t="s">
        <v>24639</v>
      </c>
      <c r="B8891" s="17" t="s">
        <v>70</v>
      </c>
      <c r="C8891" s="17" t="s">
        <v>71</v>
      </c>
      <c r="D8891" t="s">
        <v>11804</v>
      </c>
      <c r="F8891" t="s">
        <v>24640</v>
      </c>
      <c r="J8891" s="17" t="s">
        <v>24641</v>
      </c>
      <c r="K8891" s="18" t="s">
        <v>24642</v>
      </c>
      <c r="N8891" s="17" t="s">
        <v>77</v>
      </c>
      <c r="O8891" t="s">
        <v>489</v>
      </c>
      <c r="U8891" s="17"/>
      <c r="V8891" s="18" t="s">
        <v>24642</v>
      </c>
      <c r="W8891" t="s">
        <v>24643</v>
      </c>
      <c r="Y8891" t="s">
        <v>190</v>
      </c>
      <c r="AA8891" t="s">
        <v>118</v>
      </c>
      <c r="AB8891" t="s">
        <v>119</v>
      </c>
    </row>
    <row r="8892" ht="15" customHeight="1" spans="1:22" x14ac:dyDescent="0.25">
      <c r="A8892" s="17" t="s">
        <v>24644</v>
      </c>
      <c r="B8892" s="17" t="s">
        <v>70</v>
      </c>
      <c r="C8892" s="17" t="s">
        <v>71</v>
      </c>
      <c r="D8892" t="s">
        <v>11804</v>
      </c>
      <c r="F8892" t="s">
        <v>24645</v>
      </c>
      <c r="K8892" s="18">
        <f>6281214002330</f>
        <v>6281214002330</v>
      </c>
      <c r="N8892" s="17" t="s">
        <v>77</v>
      </c>
      <c r="V8892" s="18">
        <f>6281214002330</f>
        <v>6281214002330</v>
      </c>
    </row>
    <row r="8893" ht="15" customHeight="1" spans="1:22" x14ac:dyDescent="0.25">
      <c r="A8893" s="17" t="s">
        <v>24646</v>
      </c>
      <c r="B8893" s="17" t="s">
        <v>70</v>
      </c>
      <c r="C8893" s="17" t="s">
        <v>71</v>
      </c>
      <c r="D8893" t="s">
        <v>11804</v>
      </c>
      <c r="F8893" t="s">
        <v>1704</v>
      </c>
      <c r="K8893" s="18">
        <f>62811931134</f>
        <v>62811931134</v>
      </c>
      <c r="N8893" s="17" t="s">
        <v>74</v>
      </c>
      <c r="V8893" s="18">
        <f>62811931134</f>
        <v>62811931134</v>
      </c>
    </row>
    <row r="8894" ht="15" customHeight="1" spans="1:22" x14ac:dyDescent="0.25">
      <c r="A8894" s="17" t="s">
        <v>24647</v>
      </c>
      <c r="B8894" s="17" t="s">
        <v>70</v>
      </c>
      <c r="C8894" s="17" t="s">
        <v>71</v>
      </c>
      <c r="D8894" t="s">
        <v>11804</v>
      </c>
      <c r="F8894" t="s">
        <v>3432</v>
      </c>
      <c r="K8894" s="18">
        <f>62811142058</f>
        <v>62811142058</v>
      </c>
      <c r="N8894" s="17" t="s">
        <v>77</v>
      </c>
      <c r="V8894" s="18">
        <f>62811142058</f>
        <v>62811142058</v>
      </c>
    </row>
    <row r="8895" ht="15" customHeight="1" spans="1:22" x14ac:dyDescent="0.25">
      <c r="A8895" s="17" t="s">
        <v>24648</v>
      </c>
      <c r="B8895" s="17" t="s">
        <v>70</v>
      </c>
      <c r="C8895" s="17" t="s">
        <v>71</v>
      </c>
      <c r="D8895" t="s">
        <v>11804</v>
      </c>
      <c r="F8895" t="s">
        <v>24649</v>
      </c>
      <c r="J8895" s="17" t="s">
        <v>24650</v>
      </c>
      <c r="K8895" s="18">
        <f>6281288660699</f>
        <v>6281288660699</v>
      </c>
      <c r="N8895" s="17" t="s">
        <v>81</v>
      </c>
      <c r="V8895" s="18">
        <f>6281288660699</f>
        <v>6281288660699</v>
      </c>
    </row>
    <row r="8896" ht="15" customHeight="1" spans="1:28" x14ac:dyDescent="0.25">
      <c r="A8896" s="17" t="s">
        <v>24651</v>
      </c>
      <c r="B8896" s="17" t="s">
        <v>70</v>
      </c>
      <c r="C8896" s="17" t="s">
        <v>71</v>
      </c>
      <c r="D8896" t="s">
        <v>11804</v>
      </c>
      <c r="F8896" t="s">
        <v>1153</v>
      </c>
      <c r="J8896" t="s">
        <v>115</v>
      </c>
      <c r="K8896" s="18" t="s">
        <v>24652</v>
      </c>
      <c r="N8896" s="17" t="s">
        <v>81</v>
      </c>
      <c r="O8896" t="s">
        <v>117</v>
      </c>
      <c r="V8896" s="18" t="s">
        <v>24652</v>
      </c>
      <c r="Y8896" t="s">
        <v>930</v>
      </c>
      <c r="AA8896" t="s">
        <v>115</v>
      </c>
      <c r="AB8896" t="s">
        <v>930</v>
      </c>
    </row>
    <row r="8897" ht="15" customHeight="1" spans="1:23" x14ac:dyDescent="0.25">
      <c r="A8897" s="17" t="s">
        <v>24653</v>
      </c>
      <c r="B8897" s="17" t="s">
        <v>70</v>
      </c>
      <c r="C8897" s="17" t="s">
        <v>71</v>
      </c>
      <c r="D8897" t="s">
        <v>11804</v>
      </c>
      <c r="F8897" t="s">
        <v>24654</v>
      </c>
      <c r="K8897" s="18">
        <f>628170906568</f>
        <v>628170906568</v>
      </c>
      <c r="N8897" s="17" t="s">
        <v>74</v>
      </c>
      <c r="U8897" s="17"/>
      <c r="V8897" s="18">
        <f>628170906568</f>
        <v>628170906568</v>
      </c>
      <c r="W8897" t="s">
        <v>704</v>
      </c>
    </row>
    <row r="8898" ht="15" customHeight="1" spans="1:22" x14ac:dyDescent="0.25">
      <c r="A8898" s="17" t="s">
        <v>24655</v>
      </c>
      <c r="B8898" s="17" t="s">
        <v>70</v>
      </c>
      <c r="C8898" s="17" t="s">
        <v>71</v>
      </c>
      <c r="D8898" t="s">
        <v>11804</v>
      </c>
      <c r="F8898" t="s">
        <v>24656</v>
      </c>
      <c r="K8898" s="18">
        <v>8113978383</v>
      </c>
      <c r="N8898" s="17" t="s">
        <v>77</v>
      </c>
      <c r="V8898" s="18">
        <v>8113978383</v>
      </c>
    </row>
    <row r="8899" ht="15" customHeight="1" spans="1:22" x14ac:dyDescent="0.25">
      <c r="A8899" s="17" t="s">
        <v>24657</v>
      </c>
      <c r="B8899" s="17" t="s">
        <v>70</v>
      </c>
      <c r="C8899" s="17" t="s">
        <v>71</v>
      </c>
      <c r="D8899" t="s">
        <v>11804</v>
      </c>
      <c r="F8899" t="s">
        <v>672</v>
      </c>
      <c r="K8899" s="18">
        <f>628119208525</f>
        <v>628119208525</v>
      </c>
      <c r="N8899" s="17" t="s">
        <v>77</v>
      </c>
      <c r="V8899" s="18">
        <f>628119208525</f>
        <v>628119208525</v>
      </c>
    </row>
    <row r="8900" ht="15" customHeight="1" spans="1:28" x14ac:dyDescent="0.25">
      <c r="A8900" s="17" t="s">
        <v>24658</v>
      </c>
      <c r="B8900" s="17" t="s">
        <v>70</v>
      </c>
      <c r="C8900" s="17" t="s">
        <v>71</v>
      </c>
      <c r="D8900" t="s">
        <v>11804</v>
      </c>
      <c r="F8900" t="s">
        <v>24659</v>
      </c>
      <c r="J8900" t="s">
        <v>115</v>
      </c>
      <c r="K8900" s="18" t="s">
        <v>24660</v>
      </c>
      <c r="N8900" s="17" t="s">
        <v>77</v>
      </c>
      <c r="O8900" t="s">
        <v>199</v>
      </c>
      <c r="V8900" s="18" t="s">
        <v>24660</v>
      </c>
      <c r="Y8900" t="s">
        <v>1190</v>
      </c>
      <c r="AA8900" t="s">
        <v>115</v>
      </c>
      <c r="AB8900" t="s">
        <v>119</v>
      </c>
    </row>
    <row r="8901" ht="15" customHeight="1" spans="1:28" x14ac:dyDescent="0.25">
      <c r="A8901" s="17" t="s">
        <v>24661</v>
      </c>
      <c r="B8901" s="17" t="s">
        <v>70</v>
      </c>
      <c r="C8901" s="17" t="s">
        <v>71</v>
      </c>
      <c r="D8901" t="s">
        <v>11804</v>
      </c>
      <c r="F8901" t="s">
        <v>24662</v>
      </c>
      <c r="J8901" t="s">
        <v>115</v>
      </c>
      <c r="K8901" s="18" t="s">
        <v>24663</v>
      </c>
      <c r="N8901" s="17" t="s">
        <v>74</v>
      </c>
      <c r="O8901" t="s">
        <v>117</v>
      </c>
      <c r="V8901" s="18" t="s">
        <v>24663</v>
      </c>
      <c r="Y8901" t="s">
        <v>90</v>
      </c>
      <c r="AA8901" t="s">
        <v>118</v>
      </c>
      <c r="AB8901" t="s">
        <v>119</v>
      </c>
    </row>
    <row r="8902" ht="15" customHeight="1" spans="1:23" x14ac:dyDescent="0.25">
      <c r="A8902" s="17" t="s">
        <v>24664</v>
      </c>
      <c r="B8902" s="17" t="s">
        <v>70</v>
      </c>
      <c r="C8902" s="17" t="s">
        <v>71</v>
      </c>
      <c r="D8902" t="s">
        <v>11804</v>
      </c>
      <c r="F8902" t="s">
        <v>24665</v>
      </c>
      <c r="K8902" s="18">
        <f>6281294173334</f>
        <v>6281294173334</v>
      </c>
      <c r="N8902" s="17" t="s">
        <v>81</v>
      </c>
      <c r="U8902" s="17"/>
      <c r="V8902" s="18">
        <f>6281294173334</f>
        <v>6281294173334</v>
      </c>
      <c r="W8902" t="s">
        <v>24666</v>
      </c>
    </row>
    <row r="8903" ht="15" customHeight="1" spans="1:28" x14ac:dyDescent="0.25">
      <c r="A8903" s="17" t="s">
        <v>24667</v>
      </c>
      <c r="B8903" s="17" t="s">
        <v>70</v>
      </c>
      <c r="C8903" s="17" t="s">
        <v>71</v>
      </c>
      <c r="D8903" t="s">
        <v>11804</v>
      </c>
      <c r="F8903" t="s">
        <v>10223</v>
      </c>
      <c r="J8903" t="s">
        <v>24668</v>
      </c>
      <c r="K8903" s="18" t="s">
        <v>24669</v>
      </c>
      <c r="N8903" s="17" t="s">
        <v>77</v>
      </c>
      <c r="O8903" t="s">
        <v>145</v>
      </c>
      <c r="U8903" s="17"/>
      <c r="V8903" s="18" t="s">
        <v>24669</v>
      </c>
      <c r="W8903" t="s">
        <v>24670</v>
      </c>
      <c r="Y8903" s="17" t="s">
        <v>891</v>
      </c>
      <c r="AA8903" t="s">
        <v>623</v>
      </c>
      <c r="AB8903" t="s">
        <v>119</v>
      </c>
    </row>
    <row r="8904" ht="15" customHeight="1" spans="1:25" x14ac:dyDescent="0.25">
      <c r="A8904" s="17" t="s">
        <v>24671</v>
      </c>
      <c r="B8904" s="17" t="s">
        <v>70</v>
      </c>
      <c r="C8904" s="17" t="s">
        <v>71</v>
      </c>
      <c r="D8904" t="s">
        <v>24672</v>
      </c>
      <c r="F8904" t="s">
        <v>24672</v>
      </c>
      <c r="K8904" s="18">
        <v>721475098</v>
      </c>
      <c r="N8904" s="17" t="s">
        <v>81</v>
      </c>
      <c r="U8904" s="17"/>
      <c r="V8904" s="18">
        <v>721475098</v>
      </c>
      <c r="W8904" t="s">
        <v>24673</v>
      </c>
      <c r="Y8904" s="17" t="s">
        <v>1255</v>
      </c>
    </row>
    <row r="8905" ht="15" customHeight="1" spans="1:28" x14ac:dyDescent="0.25">
      <c r="A8905" s="17" t="s">
        <v>24674</v>
      </c>
      <c r="B8905" s="17" t="s">
        <v>70</v>
      </c>
      <c r="C8905" s="17" t="s">
        <v>71</v>
      </c>
      <c r="D8905" t="s">
        <v>11804</v>
      </c>
      <c r="F8905" t="s">
        <v>24675</v>
      </c>
      <c r="J8905" t="s">
        <v>115</v>
      </c>
      <c r="K8905" s="18" t="s">
        <v>24676</v>
      </c>
      <c r="N8905" s="17" t="s">
        <v>74</v>
      </c>
      <c r="O8905" t="s">
        <v>1188</v>
      </c>
      <c r="U8905" s="17"/>
      <c r="V8905" s="18" t="s">
        <v>24676</v>
      </c>
      <c r="W8905" t="s">
        <v>24677</v>
      </c>
      <c r="Y8905" t="s">
        <v>90</v>
      </c>
      <c r="AA8905" s="17" t="s">
        <v>118</v>
      </c>
      <c r="AB8905" t="s">
        <v>119</v>
      </c>
    </row>
    <row r="8906" ht="15" customHeight="1" spans="1:25" x14ac:dyDescent="0.25">
      <c r="A8906" s="17" t="s">
        <v>24678</v>
      </c>
      <c r="B8906" s="17" t="s">
        <v>70</v>
      </c>
      <c r="C8906" s="17" t="s">
        <v>71</v>
      </c>
      <c r="D8906" t="s">
        <v>24679</v>
      </c>
      <c r="F8906" t="s">
        <v>1076</v>
      </c>
      <c r="K8906" s="18">
        <f>628123519456</f>
        <v>628123519456</v>
      </c>
      <c r="N8906" s="17" t="s">
        <v>81</v>
      </c>
      <c r="U8906" s="17"/>
      <c r="V8906" s="18">
        <f>628123519456</f>
        <v>628123519456</v>
      </c>
      <c r="W8906" t="s">
        <v>24680</v>
      </c>
      <c r="Y8906" s="17" t="s">
        <v>704</v>
      </c>
    </row>
    <row r="8907" ht="15" customHeight="1" spans="1:22" x14ac:dyDescent="0.25">
      <c r="A8907" s="17" t="s">
        <v>24681</v>
      </c>
      <c r="B8907" s="17" t="s">
        <v>70</v>
      </c>
      <c r="C8907" s="17" t="s">
        <v>71</v>
      </c>
      <c r="D8907" t="s">
        <v>24682</v>
      </c>
      <c r="F8907" t="s">
        <v>24683</v>
      </c>
      <c r="K8907" s="18">
        <f>628111702534</f>
        <v>628111702534</v>
      </c>
      <c r="N8907" s="17" t="s">
        <v>77</v>
      </c>
      <c r="V8907" s="18">
        <f>628111702534</f>
        <v>628111702534</v>
      </c>
    </row>
    <row r="8908" ht="15" customHeight="1" spans="1:28" x14ac:dyDescent="0.25">
      <c r="A8908" s="17" t="s">
        <v>24684</v>
      </c>
      <c r="B8908" s="17" t="s">
        <v>70</v>
      </c>
      <c r="C8908" s="17" t="s">
        <v>71</v>
      </c>
      <c r="D8908" t="s">
        <v>5942</v>
      </c>
      <c r="F8908" t="s">
        <v>1169</v>
      </c>
      <c r="J8908" t="s">
        <v>115</v>
      </c>
      <c r="K8908" s="18" t="s">
        <v>24685</v>
      </c>
      <c r="N8908" s="17" t="s">
        <v>81</v>
      </c>
      <c r="O8908" t="s">
        <v>117</v>
      </c>
      <c r="V8908" s="18" t="s">
        <v>24685</v>
      </c>
      <c r="Y8908" t="s">
        <v>90</v>
      </c>
      <c r="AA8908" t="s">
        <v>118</v>
      </c>
      <c r="AB8908" t="s">
        <v>119</v>
      </c>
    </row>
    <row r="8909" ht="15" customHeight="1" spans="1:28" x14ac:dyDescent="0.25">
      <c r="A8909" s="17" t="s">
        <v>24686</v>
      </c>
      <c r="B8909" s="17" t="s">
        <v>70</v>
      </c>
      <c r="C8909" s="17" t="s">
        <v>71</v>
      </c>
      <c r="D8909" t="s">
        <v>5942</v>
      </c>
      <c r="F8909" t="s">
        <v>5942</v>
      </c>
      <c r="J8909" t="s">
        <v>115</v>
      </c>
      <c r="K8909" s="18" t="s">
        <v>24687</v>
      </c>
      <c r="N8909" s="17" t="s">
        <v>77</v>
      </c>
      <c r="O8909" t="s">
        <v>117</v>
      </c>
      <c r="U8909" s="17"/>
      <c r="V8909" s="18" t="s">
        <v>24687</v>
      </c>
      <c r="W8909" t="s">
        <v>24688</v>
      </c>
      <c r="Y8909" t="s">
        <v>500</v>
      </c>
      <c r="AA8909" t="s">
        <v>501</v>
      </c>
      <c r="AB8909" t="s">
        <v>119</v>
      </c>
    </row>
    <row r="8910" ht="15" customHeight="1" spans="1:28" x14ac:dyDescent="0.25">
      <c r="A8910" s="17" t="s">
        <v>24689</v>
      </c>
      <c r="B8910" s="17" t="s">
        <v>70</v>
      </c>
      <c r="C8910" s="17" t="s">
        <v>71</v>
      </c>
      <c r="D8910" t="s">
        <v>24690</v>
      </c>
      <c r="F8910" t="s">
        <v>7293</v>
      </c>
      <c r="J8910" s="17" t="s">
        <v>24691</v>
      </c>
      <c r="K8910" s="18" t="s">
        <v>24692</v>
      </c>
      <c r="N8910" s="17" t="s">
        <v>77</v>
      </c>
      <c r="O8910" t="s">
        <v>117</v>
      </c>
      <c r="U8910" s="17"/>
      <c r="V8910" s="18" t="s">
        <v>24692</v>
      </c>
      <c r="W8910" t="s">
        <v>3140</v>
      </c>
      <c r="Y8910" t="s">
        <v>3140</v>
      </c>
      <c r="AA8910" t="s">
        <v>115</v>
      </c>
      <c r="AB8910" t="s">
        <v>3140</v>
      </c>
    </row>
    <row r="8911" ht="15" customHeight="1" spans="1:28" x14ac:dyDescent="0.25">
      <c r="A8911" s="17" t="s">
        <v>24693</v>
      </c>
      <c r="B8911" s="17" t="s">
        <v>70</v>
      </c>
      <c r="C8911" s="17" t="s">
        <v>71</v>
      </c>
      <c r="D8911" t="s">
        <v>2486</v>
      </c>
      <c r="F8911" t="s">
        <v>24694</v>
      </c>
      <c r="J8911" t="s">
        <v>115</v>
      </c>
      <c r="K8911" s="18" t="s">
        <v>24695</v>
      </c>
      <c r="N8911" s="17" t="s">
        <v>77</v>
      </c>
      <c r="O8911" t="s">
        <v>117</v>
      </c>
      <c r="V8911" s="18" t="s">
        <v>24695</v>
      </c>
      <c r="Y8911" t="s">
        <v>90</v>
      </c>
      <c r="AA8911" t="s">
        <v>118</v>
      </c>
      <c r="AB8911" t="s">
        <v>119</v>
      </c>
    </row>
    <row r="8912" ht="15" customHeight="1" spans="1:28" x14ac:dyDescent="0.25">
      <c r="A8912" s="17" t="s">
        <v>24696</v>
      </c>
      <c r="B8912" s="17" t="s">
        <v>70</v>
      </c>
      <c r="C8912" s="17" t="s">
        <v>71</v>
      </c>
      <c r="D8912" t="s">
        <v>24697</v>
      </c>
      <c r="F8912" t="s">
        <v>24698</v>
      </c>
      <c r="J8912" t="s">
        <v>115</v>
      </c>
      <c r="K8912" s="18" t="s">
        <v>24699</v>
      </c>
      <c r="N8912" s="17" t="s">
        <v>77</v>
      </c>
      <c r="O8912" t="s">
        <v>145</v>
      </c>
      <c r="V8912" s="18" t="s">
        <v>24699</v>
      </c>
      <c r="Y8912" t="s">
        <v>190</v>
      </c>
      <c r="AA8912" t="s">
        <v>118</v>
      </c>
      <c r="AB8912" t="s">
        <v>3140</v>
      </c>
    </row>
    <row r="8913" ht="15" customHeight="1" spans="1:22" x14ac:dyDescent="0.25">
      <c r="A8913" s="17" t="s">
        <v>24700</v>
      </c>
      <c r="B8913" s="17" t="s">
        <v>70</v>
      </c>
      <c r="C8913" s="17" t="s">
        <v>71</v>
      </c>
      <c r="D8913" t="s">
        <v>24701</v>
      </c>
      <c r="F8913" t="s">
        <v>24701</v>
      </c>
      <c r="K8913" s="18">
        <v>13788887427</v>
      </c>
      <c r="N8913" s="17" t="s">
        <v>74</v>
      </c>
      <c r="V8913" s="18">
        <v>13788887427</v>
      </c>
    </row>
    <row r="8914" ht="15" customHeight="1" spans="1:23" x14ac:dyDescent="0.25">
      <c r="A8914" s="17" t="s">
        <v>24702</v>
      </c>
      <c r="B8914" s="17" t="s">
        <v>70</v>
      </c>
      <c r="C8914" s="17" t="s">
        <v>71</v>
      </c>
      <c r="D8914" t="s">
        <v>24703</v>
      </c>
      <c r="F8914" t="s">
        <v>2159</v>
      </c>
      <c r="K8914" s="18">
        <f>6285262235875</f>
        <v>6285262235875</v>
      </c>
      <c r="N8914" s="17" t="s">
        <v>77</v>
      </c>
      <c r="U8914" s="17"/>
      <c r="V8914" s="18">
        <f>6285262235875</f>
        <v>6285262235875</v>
      </c>
      <c r="W8914" t="s">
        <v>24704</v>
      </c>
    </row>
    <row r="8915" ht="15" customHeight="1" spans="1:28" x14ac:dyDescent="0.25">
      <c r="A8915" s="17" t="s">
        <v>24705</v>
      </c>
      <c r="B8915" s="17" t="s">
        <v>70</v>
      </c>
      <c r="C8915" s="17" t="s">
        <v>71</v>
      </c>
      <c r="D8915" t="s">
        <v>24706</v>
      </c>
      <c r="F8915" t="s">
        <v>24707</v>
      </c>
      <c r="J8915" t="s">
        <v>115</v>
      </c>
      <c r="K8915" s="18" t="s">
        <v>24708</v>
      </c>
      <c r="N8915" s="17" t="s">
        <v>77</v>
      </c>
      <c r="O8915" t="s">
        <v>117</v>
      </c>
      <c r="V8915" s="18" t="s">
        <v>24708</v>
      </c>
      <c r="Y8915" t="s">
        <v>190</v>
      </c>
      <c r="AA8915" t="s">
        <v>118</v>
      </c>
      <c r="AB8915" t="s">
        <v>119</v>
      </c>
    </row>
    <row r="8916" ht="15" customHeight="1" spans="1:22" x14ac:dyDescent="0.25">
      <c r="A8916" s="17" t="s">
        <v>24709</v>
      </c>
      <c r="B8916" s="17" t="s">
        <v>70</v>
      </c>
      <c r="C8916" s="17" t="s">
        <v>71</v>
      </c>
      <c r="D8916" t="s">
        <v>24710</v>
      </c>
      <c r="F8916" t="s">
        <v>1608</v>
      </c>
      <c r="K8916" s="18">
        <f>6281218882525</f>
        <v>6281218882525</v>
      </c>
      <c r="N8916" s="17" t="s">
        <v>77</v>
      </c>
      <c r="V8916" s="18">
        <f>6281218882525</f>
        <v>6281218882525</v>
      </c>
    </row>
    <row r="8917" ht="15" customHeight="1" spans="1:22" x14ac:dyDescent="0.25">
      <c r="A8917" s="17" t="s">
        <v>24711</v>
      </c>
      <c r="B8917" s="17" t="s">
        <v>70</v>
      </c>
      <c r="C8917" s="17" t="s">
        <v>71</v>
      </c>
      <c r="D8917" t="s">
        <v>24712</v>
      </c>
      <c r="F8917" t="s">
        <v>24712</v>
      </c>
      <c r="K8917" s="18">
        <f>6281226218899</f>
        <v>6281226218899</v>
      </c>
      <c r="N8917" s="17" t="s">
        <v>77</v>
      </c>
      <c r="V8917" s="18">
        <f>6281226218899</f>
        <v>6281226218899</v>
      </c>
    </row>
    <row r="8918" ht="15" customHeight="1" spans="1:28" x14ac:dyDescent="0.25">
      <c r="A8918" s="17" t="s">
        <v>24713</v>
      </c>
      <c r="B8918" s="17" t="s">
        <v>70</v>
      </c>
      <c r="C8918" s="17" t="s">
        <v>71</v>
      </c>
      <c r="D8918" t="s">
        <v>24712</v>
      </c>
      <c r="F8918" t="s">
        <v>24714</v>
      </c>
      <c r="J8918" s="17" t="s">
        <v>24715</v>
      </c>
      <c r="K8918" s="18" t="s">
        <v>24716</v>
      </c>
      <c r="N8918" s="17" t="s">
        <v>77</v>
      </c>
      <c r="O8918" t="s">
        <v>261</v>
      </c>
      <c r="U8918" s="17"/>
      <c r="V8918" s="18" t="s">
        <v>24716</v>
      </c>
      <c r="W8918" t="s">
        <v>24717</v>
      </c>
      <c r="Y8918" t="s">
        <v>96</v>
      </c>
      <c r="AA8918" t="s">
        <v>693</v>
      </c>
      <c r="AB8918" t="s">
        <v>119</v>
      </c>
    </row>
    <row r="8919" ht="15" customHeight="1" spans="1:22" x14ac:dyDescent="0.25">
      <c r="A8919" s="17" t="s">
        <v>24718</v>
      </c>
      <c r="B8919" s="17" t="s">
        <v>70</v>
      </c>
      <c r="C8919" s="17" t="s">
        <v>71</v>
      </c>
      <c r="D8919" t="s">
        <v>24719</v>
      </c>
      <c r="F8919" t="s">
        <v>24720</v>
      </c>
      <c r="K8919" s="18">
        <f>6281282927072</f>
        <v>6281282927072</v>
      </c>
      <c r="N8919" s="17" t="s">
        <v>81</v>
      </c>
      <c r="V8919" s="18">
        <f>6281282927072</f>
        <v>6281282927072</v>
      </c>
    </row>
    <row r="8920" ht="15" customHeight="1" spans="1:25" x14ac:dyDescent="0.25">
      <c r="A8920" s="17" t="s">
        <v>24721</v>
      </c>
      <c r="B8920" s="17" t="s">
        <v>70</v>
      </c>
      <c r="C8920" s="17" t="s">
        <v>71</v>
      </c>
      <c r="D8920" t="s">
        <v>1561</v>
      </c>
      <c r="F8920" t="s">
        <v>17493</v>
      </c>
      <c r="K8920" s="18">
        <f>6281210682226</f>
        <v>6281210682226</v>
      </c>
      <c r="N8920" s="17" t="s">
        <v>81</v>
      </c>
      <c r="U8920" s="17"/>
      <c r="V8920" s="18">
        <f>6281210682226</f>
        <v>6281210682226</v>
      </c>
      <c r="W8920" t="s">
        <v>24722</v>
      </c>
      <c r="Y8920" s="17" t="s">
        <v>90</v>
      </c>
    </row>
    <row r="8921" ht="15" customHeight="1" spans="1:22" x14ac:dyDescent="0.25">
      <c r="A8921" s="17" t="s">
        <v>24723</v>
      </c>
      <c r="B8921" s="17" t="s">
        <v>70</v>
      </c>
      <c r="C8921" s="17" t="s">
        <v>71</v>
      </c>
      <c r="D8921" t="s">
        <v>1561</v>
      </c>
      <c r="F8921" t="s">
        <v>24724</v>
      </c>
      <c r="J8921" s="17" t="s">
        <v>24725</v>
      </c>
      <c r="K8921" s="18">
        <f>61416183831</f>
        <v>61416183831</v>
      </c>
      <c r="N8921" s="17" t="s">
        <v>77</v>
      </c>
      <c r="V8921" s="18">
        <f>61416183831</f>
        <v>61416183831</v>
      </c>
    </row>
    <row r="8922" ht="15" customHeight="1" spans="1:22" x14ac:dyDescent="0.25">
      <c r="A8922" s="17" t="s">
        <v>24726</v>
      </c>
      <c r="B8922" s="17" t="s">
        <v>70</v>
      </c>
      <c r="C8922" s="17" t="s">
        <v>71</v>
      </c>
      <c r="D8922" t="s">
        <v>1561</v>
      </c>
      <c r="F8922" t="s">
        <v>6028</v>
      </c>
      <c r="K8922" s="18">
        <f>62816831819</f>
        <v>62816831819</v>
      </c>
      <c r="N8922" s="17" t="s">
        <v>77</v>
      </c>
      <c r="V8922" s="18">
        <f>62816831819</f>
        <v>62816831819</v>
      </c>
    </row>
    <row r="8923" ht="15" customHeight="1" spans="1:28" x14ac:dyDescent="0.25">
      <c r="A8923" s="17" t="s">
        <v>24727</v>
      </c>
      <c r="B8923" s="17" t="s">
        <v>70</v>
      </c>
      <c r="C8923" s="17" t="s">
        <v>71</v>
      </c>
      <c r="D8923" t="s">
        <v>1561</v>
      </c>
      <c r="F8923" t="s">
        <v>24728</v>
      </c>
      <c r="J8923" s="17" t="s">
        <v>24729</v>
      </c>
      <c r="K8923" s="18" t="s">
        <v>24730</v>
      </c>
      <c r="N8923" s="17" t="s">
        <v>77</v>
      </c>
      <c r="O8923" t="s">
        <v>145</v>
      </c>
      <c r="V8923" s="18" t="s">
        <v>24730</v>
      </c>
      <c r="Y8923" t="s">
        <v>6100</v>
      </c>
      <c r="AA8923" t="s">
        <v>115</v>
      </c>
      <c r="AB8923" t="s">
        <v>119</v>
      </c>
    </row>
    <row r="8924" ht="15" customHeight="1" spans="1:22" x14ac:dyDescent="0.25">
      <c r="A8924" s="17" t="s">
        <v>24731</v>
      </c>
      <c r="B8924" s="17" t="s">
        <v>70</v>
      </c>
      <c r="C8924" s="17" t="s">
        <v>71</v>
      </c>
      <c r="D8924" t="s">
        <v>24732</v>
      </c>
      <c r="F8924" t="s">
        <v>618</v>
      </c>
      <c r="K8924" s="18">
        <f>62811886700</f>
        <v>62811886700</v>
      </c>
      <c r="N8924" s="17" t="s">
        <v>74</v>
      </c>
      <c r="V8924" s="18">
        <f>62811886700</f>
        <v>62811886700</v>
      </c>
    </row>
    <row r="8925" ht="15" customHeight="1" spans="1:22" x14ac:dyDescent="0.25">
      <c r="A8925" s="17" t="s">
        <v>24733</v>
      </c>
      <c r="B8925" s="17" t="s">
        <v>70</v>
      </c>
      <c r="C8925" s="17" t="s">
        <v>71</v>
      </c>
      <c r="D8925" t="s">
        <v>24734</v>
      </c>
      <c r="F8925" t="s">
        <v>24734</v>
      </c>
      <c r="K8925" s="18">
        <f>6281280862660</f>
        <v>6281280862660</v>
      </c>
      <c r="N8925" s="17" t="s">
        <v>81</v>
      </c>
      <c r="V8925" s="18">
        <f>6281280862660</f>
        <v>6281280862660</v>
      </c>
    </row>
    <row r="8926" ht="15" customHeight="1" spans="1:23" x14ac:dyDescent="0.25">
      <c r="A8926" s="17" t="s">
        <v>24735</v>
      </c>
      <c r="B8926" s="17" t="s">
        <v>70</v>
      </c>
      <c r="C8926" s="17" t="s">
        <v>71</v>
      </c>
      <c r="D8926" t="s">
        <v>24736</v>
      </c>
      <c r="F8926" t="s">
        <v>22027</v>
      </c>
      <c r="K8926" s="18">
        <f>61413607594</f>
        <v>61413607594</v>
      </c>
      <c r="N8926" s="17" t="s">
        <v>77</v>
      </c>
      <c r="U8926" s="17"/>
      <c r="V8926" s="18">
        <f>61413607594</f>
        <v>61413607594</v>
      </c>
      <c r="W8926" t="s">
        <v>1903</v>
      </c>
    </row>
    <row r="8927" ht="15" customHeight="1" spans="1:22" x14ac:dyDescent="0.25">
      <c r="A8927" s="17" t="s">
        <v>24737</v>
      </c>
      <c r="B8927" s="17" t="s">
        <v>70</v>
      </c>
      <c r="C8927" s="17" t="s">
        <v>71</v>
      </c>
      <c r="D8927" t="s">
        <v>24738</v>
      </c>
      <c r="F8927" t="s">
        <v>24738</v>
      </c>
      <c r="K8927" s="18">
        <f>6281295029999</f>
        <v>6281295029999</v>
      </c>
      <c r="N8927" s="17" t="s">
        <v>77</v>
      </c>
      <c r="V8927" s="18">
        <f>6281295029999</f>
        <v>6281295029999</v>
      </c>
    </row>
    <row r="8928" ht="15" customHeight="1" spans="1:22" x14ac:dyDescent="0.25">
      <c r="A8928" s="17" t="s">
        <v>24739</v>
      </c>
      <c r="B8928" s="17" t="s">
        <v>70</v>
      </c>
      <c r="C8928" s="17" t="s">
        <v>71</v>
      </c>
      <c r="D8928" t="s">
        <v>24740</v>
      </c>
      <c r="F8928" t="s">
        <v>24740</v>
      </c>
      <c r="K8928" s="18">
        <f>6281281001074</f>
        <v>6281281001074</v>
      </c>
      <c r="N8928" s="17" t="s">
        <v>81</v>
      </c>
      <c r="V8928" s="18">
        <f>6281281001074</f>
        <v>6281281001074</v>
      </c>
    </row>
    <row r="8929" ht="15" customHeight="1" spans="1:22" x14ac:dyDescent="0.25">
      <c r="A8929" s="17" t="s">
        <v>24741</v>
      </c>
      <c r="B8929" s="17" t="s">
        <v>70</v>
      </c>
      <c r="C8929" s="17" t="s">
        <v>71</v>
      </c>
      <c r="D8929" t="s">
        <v>24742</v>
      </c>
      <c r="F8929" t="s">
        <v>24742</v>
      </c>
      <c r="K8929" s="18">
        <f>6282122769917</f>
        <v>6282122769917</v>
      </c>
      <c r="N8929" s="17" t="s">
        <v>74</v>
      </c>
      <c r="V8929" s="18">
        <f>6282122769917</f>
        <v>6282122769917</v>
      </c>
    </row>
    <row r="8930" ht="15" customHeight="1" spans="1:23" x14ac:dyDescent="0.25">
      <c r="A8930" s="17" t="s">
        <v>24743</v>
      </c>
      <c r="B8930" s="17" t="s">
        <v>70</v>
      </c>
      <c r="C8930" s="17" t="s">
        <v>71</v>
      </c>
      <c r="D8930" t="s">
        <v>24744</v>
      </c>
      <c r="F8930" t="s">
        <v>24744</v>
      </c>
      <c r="K8930" s="18">
        <f>6281380400450</f>
        <v>6281380400450</v>
      </c>
      <c r="N8930" s="17" t="s">
        <v>81</v>
      </c>
      <c r="U8930" s="17"/>
      <c r="V8930" s="18">
        <f>6281380400450</f>
        <v>6281380400450</v>
      </c>
      <c r="W8930" t="s">
        <v>24745</v>
      </c>
    </row>
    <row r="8931" ht="15" customHeight="1" spans="1:28" x14ac:dyDescent="0.25">
      <c r="A8931" s="17" t="s">
        <v>24746</v>
      </c>
      <c r="B8931" s="17" t="s">
        <v>70</v>
      </c>
      <c r="C8931" s="17" t="s">
        <v>71</v>
      </c>
      <c r="D8931" t="s">
        <v>24744</v>
      </c>
      <c r="F8931" t="s">
        <v>2586</v>
      </c>
      <c r="J8931" t="s">
        <v>115</v>
      </c>
      <c r="K8931" s="18" t="s">
        <v>24747</v>
      </c>
      <c r="N8931" s="17" t="s">
        <v>77</v>
      </c>
      <c r="O8931" t="s">
        <v>117</v>
      </c>
      <c r="U8931" s="17"/>
      <c r="V8931" s="18" t="s">
        <v>24747</v>
      </c>
      <c r="W8931" t="s">
        <v>24748</v>
      </c>
      <c r="Y8931" s="17" t="s">
        <v>704</v>
      </c>
      <c r="AA8931" t="s">
        <v>705</v>
      </c>
      <c r="AB8931" t="s">
        <v>119</v>
      </c>
    </row>
    <row r="8932" ht="15" customHeight="1" spans="1:22" x14ac:dyDescent="0.25">
      <c r="A8932" s="17" t="s">
        <v>24749</v>
      </c>
      <c r="B8932" s="17" t="s">
        <v>70</v>
      </c>
      <c r="C8932" s="17" t="s">
        <v>71</v>
      </c>
      <c r="D8932" t="s">
        <v>24750</v>
      </c>
      <c r="F8932" t="s">
        <v>24750</v>
      </c>
      <c r="K8932" s="18">
        <f>628111157888</f>
        <v>628111157888</v>
      </c>
      <c r="N8932" s="17" t="s">
        <v>77</v>
      </c>
      <c r="V8932" s="18">
        <f>628111157888</f>
        <v>628111157888</v>
      </c>
    </row>
    <row r="8933" ht="15" customHeight="1" spans="1:28" x14ac:dyDescent="0.25">
      <c r="A8933" s="17" t="s">
        <v>24751</v>
      </c>
      <c r="B8933" s="17" t="s">
        <v>70</v>
      </c>
      <c r="C8933" s="17" t="s">
        <v>71</v>
      </c>
      <c r="D8933" t="s">
        <v>24750</v>
      </c>
      <c r="F8933" t="s">
        <v>3252</v>
      </c>
      <c r="J8933" t="s">
        <v>24752</v>
      </c>
      <c r="K8933" s="18" t="s">
        <v>24753</v>
      </c>
      <c r="N8933" s="17" t="s">
        <v>77</v>
      </c>
      <c r="O8933" t="s">
        <v>145</v>
      </c>
      <c r="U8933" s="17"/>
      <c r="V8933" s="18" t="s">
        <v>24753</v>
      </c>
      <c r="W8933" t="s">
        <v>24754</v>
      </c>
      <c r="Y8933" t="s">
        <v>190</v>
      </c>
      <c r="AA8933" t="s">
        <v>118</v>
      </c>
      <c r="AB8933" t="s">
        <v>119</v>
      </c>
    </row>
    <row r="8934" ht="15" customHeight="1" spans="1:22" x14ac:dyDescent="0.25">
      <c r="A8934" s="17" t="s">
        <v>24755</v>
      </c>
      <c r="B8934" s="17" t="s">
        <v>70</v>
      </c>
      <c r="C8934" s="17" t="s">
        <v>71</v>
      </c>
      <c r="D8934" t="s">
        <v>24750</v>
      </c>
      <c r="F8934" t="s">
        <v>1138</v>
      </c>
      <c r="J8934" s="17" t="s">
        <v>24756</v>
      </c>
      <c r="K8934" s="18">
        <f>6281286666888</f>
        <v>6281286666888</v>
      </c>
      <c r="N8934" s="17" t="s">
        <v>77</v>
      </c>
      <c r="V8934" s="18">
        <f>6281286666888</f>
        <v>6281286666888</v>
      </c>
    </row>
    <row r="8935" ht="15" customHeight="1" spans="1:28" x14ac:dyDescent="0.25">
      <c r="A8935" s="17" t="s">
        <v>24757</v>
      </c>
      <c r="B8935" s="17" t="s">
        <v>70</v>
      </c>
      <c r="C8935" s="17" t="s">
        <v>71</v>
      </c>
      <c r="D8935" t="s">
        <v>24750</v>
      </c>
      <c r="F8935" t="s">
        <v>2989</v>
      </c>
      <c r="J8935" t="s">
        <v>115</v>
      </c>
      <c r="K8935" s="18" t="s">
        <v>24758</v>
      </c>
      <c r="N8935" s="17" t="s">
        <v>81</v>
      </c>
      <c r="O8935" t="s">
        <v>117</v>
      </c>
      <c r="U8935" s="17"/>
      <c r="V8935" s="18" t="s">
        <v>24758</v>
      </c>
      <c r="W8935" t="s">
        <v>24759</v>
      </c>
      <c r="Y8935" t="s">
        <v>90</v>
      </c>
      <c r="AA8935" t="s">
        <v>118</v>
      </c>
      <c r="AB8935" t="s">
        <v>119</v>
      </c>
    </row>
    <row r="8936" ht="15" customHeight="1" spans="1:23" x14ac:dyDescent="0.25">
      <c r="A8936" s="17" t="s">
        <v>24760</v>
      </c>
      <c r="B8936" s="17" t="s">
        <v>70</v>
      </c>
      <c r="C8936" s="17" t="s">
        <v>71</v>
      </c>
      <c r="D8936" t="s">
        <v>24750</v>
      </c>
      <c r="F8936" t="s">
        <v>2508</v>
      </c>
      <c r="K8936" s="18">
        <f>628161809178</f>
        <v>628161809178</v>
      </c>
      <c r="N8936" s="17" t="s">
        <v>81</v>
      </c>
      <c r="U8936" s="17"/>
      <c r="V8936" s="18">
        <f>628161809178</f>
        <v>628161809178</v>
      </c>
      <c r="W8936" t="s">
        <v>24761</v>
      </c>
    </row>
    <row r="8937" ht="15" customHeight="1" spans="1:23" x14ac:dyDescent="0.25">
      <c r="A8937" s="17" t="s">
        <v>24762</v>
      </c>
      <c r="B8937" s="17" t="s">
        <v>70</v>
      </c>
      <c r="C8937" s="17" t="s">
        <v>71</v>
      </c>
      <c r="D8937" t="s">
        <v>24750</v>
      </c>
      <c r="F8937" t="s">
        <v>24763</v>
      </c>
      <c r="K8937" s="18">
        <f>6287836801717</f>
        <v>6287836801717</v>
      </c>
      <c r="N8937" s="17" t="s">
        <v>77</v>
      </c>
      <c r="U8937" s="17"/>
      <c r="V8937" s="18">
        <f>6287836801717</f>
        <v>6287836801717</v>
      </c>
      <c r="W8937" t="s">
        <v>8658</v>
      </c>
    </row>
    <row r="8938" ht="15" customHeight="1" spans="1:25" x14ac:dyDescent="0.25">
      <c r="A8938" s="17" t="s">
        <v>24764</v>
      </c>
      <c r="B8938" s="17" t="s">
        <v>70</v>
      </c>
      <c r="C8938" s="17" t="s">
        <v>71</v>
      </c>
      <c r="D8938" t="s">
        <v>24750</v>
      </c>
      <c r="F8938" t="s">
        <v>7678</v>
      </c>
      <c r="K8938" s="18">
        <f>6281281699883</f>
        <v>6281281699883</v>
      </c>
      <c r="N8938" s="17" t="s">
        <v>81</v>
      </c>
      <c r="U8938" s="17"/>
      <c r="V8938" s="18">
        <f>6281281699883</f>
        <v>6281281699883</v>
      </c>
      <c r="W8938" t="s">
        <v>24765</v>
      </c>
      <c r="Y8938" s="17" t="s">
        <v>24766</v>
      </c>
    </row>
    <row r="8939" ht="15" customHeight="1" spans="1:25" x14ac:dyDescent="0.25">
      <c r="A8939" s="17" t="s">
        <v>24767</v>
      </c>
      <c r="B8939" s="17" t="s">
        <v>70</v>
      </c>
      <c r="C8939" s="17" t="s">
        <v>71</v>
      </c>
      <c r="D8939" t="s">
        <v>24750</v>
      </c>
      <c r="F8939" t="s">
        <v>24768</v>
      </c>
      <c r="K8939" s="18">
        <f>6281167777</f>
        <v>6281167777</v>
      </c>
      <c r="N8939" s="17" t="s">
        <v>77</v>
      </c>
      <c r="U8939" s="17"/>
      <c r="V8939" s="18">
        <f>6281167777</f>
        <v>6281167777</v>
      </c>
      <c r="W8939" t="s">
        <v>24769</v>
      </c>
      <c r="Y8939" s="17" t="s">
        <v>96</v>
      </c>
    </row>
    <row r="8940" ht="15" customHeight="1" spans="1:28" x14ac:dyDescent="0.25">
      <c r="A8940" s="17" t="s">
        <v>24770</v>
      </c>
      <c r="B8940" s="17" t="s">
        <v>70</v>
      </c>
      <c r="C8940" s="17" t="s">
        <v>71</v>
      </c>
      <c r="D8940" t="s">
        <v>24750</v>
      </c>
      <c r="F8940" t="s">
        <v>24771</v>
      </c>
      <c r="J8940" s="17" t="s">
        <v>24772</v>
      </c>
      <c r="K8940" s="18" t="s">
        <v>24773</v>
      </c>
      <c r="N8940" s="17" t="s">
        <v>77</v>
      </c>
      <c r="O8940" t="s">
        <v>145</v>
      </c>
      <c r="U8940" s="17"/>
      <c r="V8940" s="18" t="s">
        <v>24773</v>
      </c>
      <c r="W8940" t="s">
        <v>24774</v>
      </c>
      <c r="Y8940" s="17" t="s">
        <v>4993</v>
      </c>
      <c r="AA8940" t="s">
        <v>115</v>
      </c>
      <c r="AB8940" t="s">
        <v>119</v>
      </c>
    </row>
    <row r="8941" ht="15" customHeight="1" spans="1:28" x14ac:dyDescent="0.25">
      <c r="A8941" s="17" t="s">
        <v>24775</v>
      </c>
      <c r="B8941" s="17" t="s">
        <v>70</v>
      </c>
      <c r="C8941" s="17" t="s">
        <v>71</v>
      </c>
      <c r="D8941" t="s">
        <v>24776</v>
      </c>
      <c r="F8941" t="s">
        <v>19845</v>
      </c>
      <c r="J8941" s="17" t="s">
        <v>24777</v>
      </c>
      <c r="K8941" s="18" t="s">
        <v>24778</v>
      </c>
      <c r="N8941" s="17" t="s">
        <v>77</v>
      </c>
      <c r="O8941" t="s">
        <v>117</v>
      </c>
      <c r="U8941" s="17"/>
      <c r="V8941" s="18" t="s">
        <v>24778</v>
      </c>
      <c r="W8941" t="s">
        <v>24779</v>
      </c>
      <c r="Y8941" s="17" t="s">
        <v>190</v>
      </c>
      <c r="AA8941" s="17" t="s">
        <v>118</v>
      </c>
      <c r="AB8941" t="s">
        <v>119</v>
      </c>
    </row>
    <row r="8942" ht="15" customHeight="1" spans="1:28" x14ac:dyDescent="0.25">
      <c r="A8942" s="17" t="s">
        <v>24780</v>
      </c>
      <c r="B8942" s="17" t="s">
        <v>70</v>
      </c>
      <c r="C8942" s="17" t="s">
        <v>71</v>
      </c>
      <c r="D8942" t="s">
        <v>24750</v>
      </c>
      <c r="F8942" t="s">
        <v>24781</v>
      </c>
      <c r="J8942" t="s">
        <v>115</v>
      </c>
      <c r="K8942" s="18" t="s">
        <v>24782</v>
      </c>
      <c r="N8942" s="17" t="s">
        <v>81</v>
      </c>
      <c r="O8942" t="s">
        <v>489</v>
      </c>
      <c r="V8942" s="18" t="s">
        <v>24782</v>
      </c>
      <c r="Y8942" s="17" t="s">
        <v>500</v>
      </c>
      <c r="AA8942" t="s">
        <v>501</v>
      </c>
      <c r="AB8942" t="s">
        <v>119</v>
      </c>
    </row>
    <row r="8943" ht="15" customHeight="1" spans="1:28" x14ac:dyDescent="0.25">
      <c r="A8943" s="17" t="s">
        <v>24783</v>
      </c>
      <c r="B8943" s="17" t="s">
        <v>70</v>
      </c>
      <c r="C8943" s="17" t="s">
        <v>71</v>
      </c>
      <c r="D8943" t="s">
        <v>24750</v>
      </c>
      <c r="F8943" t="s">
        <v>5564</v>
      </c>
      <c r="J8943" t="s">
        <v>115</v>
      </c>
      <c r="K8943" s="18" t="s">
        <v>24784</v>
      </c>
      <c r="N8943" s="17" t="s">
        <v>77</v>
      </c>
      <c r="O8943" t="s">
        <v>117</v>
      </c>
      <c r="V8943" s="18" t="s">
        <v>24784</v>
      </c>
      <c r="Y8943" t="s">
        <v>90</v>
      </c>
      <c r="AA8943" t="s">
        <v>118</v>
      </c>
      <c r="AB8943" t="s">
        <v>119</v>
      </c>
    </row>
    <row r="8944" ht="15" customHeight="1" spans="1:22" x14ac:dyDescent="0.25">
      <c r="A8944" s="17" t="s">
        <v>24785</v>
      </c>
      <c r="B8944" s="17" t="s">
        <v>70</v>
      </c>
      <c r="C8944" s="17" t="s">
        <v>71</v>
      </c>
      <c r="D8944" t="s">
        <v>24750</v>
      </c>
      <c r="F8944" t="s">
        <v>24750</v>
      </c>
      <c r="K8944" s="18">
        <f>6281270842000</f>
        <v>6281270842000</v>
      </c>
      <c r="N8944" s="17" t="s">
        <v>77</v>
      </c>
      <c r="V8944" s="18">
        <f>6281270842000</f>
        <v>6281270842000</v>
      </c>
    </row>
    <row r="8945" ht="15" customHeight="1" spans="1:28" x14ac:dyDescent="0.25">
      <c r="A8945" s="17" t="s">
        <v>24786</v>
      </c>
      <c r="B8945" s="17" t="s">
        <v>70</v>
      </c>
      <c r="C8945" s="17" t="s">
        <v>71</v>
      </c>
      <c r="D8945" t="s">
        <v>24750</v>
      </c>
      <c r="F8945" t="s">
        <v>24787</v>
      </c>
      <c r="J8945" t="s">
        <v>115</v>
      </c>
      <c r="K8945" s="18" t="s">
        <v>24788</v>
      </c>
      <c r="N8945" s="17" t="s">
        <v>77</v>
      </c>
      <c r="O8945" t="s">
        <v>145</v>
      </c>
      <c r="U8945" s="17"/>
      <c r="V8945" s="18" t="s">
        <v>24788</v>
      </c>
      <c r="W8945" t="s">
        <v>24789</v>
      </c>
      <c r="Y8945" t="s">
        <v>90</v>
      </c>
      <c r="AA8945" t="s">
        <v>118</v>
      </c>
      <c r="AB8945" t="s">
        <v>119</v>
      </c>
    </row>
    <row r="8946" ht="15" customHeight="1" spans="1:22" x14ac:dyDescent="0.25">
      <c r="A8946" s="17" t="s">
        <v>24790</v>
      </c>
      <c r="B8946" s="17" t="s">
        <v>70</v>
      </c>
      <c r="C8946" s="17" t="s">
        <v>71</v>
      </c>
      <c r="D8946" t="s">
        <v>24750</v>
      </c>
      <c r="F8946" t="s">
        <v>24791</v>
      </c>
      <c r="K8946" s="18">
        <f>6289684801987</f>
        <v>6289684801987</v>
      </c>
      <c r="N8946" s="17" t="s">
        <v>77</v>
      </c>
      <c r="V8946" s="18">
        <f>6289684801987</f>
        <v>6289684801987</v>
      </c>
    </row>
    <row r="8947" ht="15" customHeight="1" spans="1:22" x14ac:dyDescent="0.25">
      <c r="A8947" s="17" t="s">
        <v>24792</v>
      </c>
      <c r="B8947" s="17" t="s">
        <v>70</v>
      </c>
      <c r="C8947" s="17" t="s">
        <v>71</v>
      </c>
      <c r="D8947" t="s">
        <v>24750</v>
      </c>
      <c r="F8947" t="s">
        <v>3661</v>
      </c>
      <c r="K8947" s="18">
        <f>6281910311988</f>
        <v>6281910311988</v>
      </c>
      <c r="N8947" s="17" t="s">
        <v>77</v>
      </c>
      <c r="V8947" s="18">
        <f>6281910311988</f>
        <v>6281910311988</v>
      </c>
    </row>
    <row r="8948" ht="15" customHeight="1" spans="1:28" x14ac:dyDescent="0.25">
      <c r="A8948" s="17" t="s">
        <v>24793</v>
      </c>
      <c r="B8948" s="17" t="s">
        <v>70</v>
      </c>
      <c r="C8948" s="17" t="s">
        <v>71</v>
      </c>
      <c r="D8948" t="s">
        <v>24750</v>
      </c>
      <c r="F8948" t="s">
        <v>24794</v>
      </c>
      <c r="J8948" s="17" t="s">
        <v>24795</v>
      </c>
      <c r="K8948" s="18" t="s">
        <v>24796</v>
      </c>
      <c r="N8948" s="17" t="s">
        <v>77</v>
      </c>
      <c r="O8948" t="s">
        <v>145</v>
      </c>
      <c r="U8948" s="17"/>
      <c r="V8948" s="18" t="s">
        <v>24796</v>
      </c>
      <c r="W8948" t="s">
        <v>24797</v>
      </c>
      <c r="Y8948" t="s">
        <v>190</v>
      </c>
      <c r="AA8948" s="17" t="s">
        <v>118</v>
      </c>
      <c r="AB8948" t="s">
        <v>119</v>
      </c>
    </row>
    <row r="8949" ht="15" customHeight="1" spans="1:28" x14ac:dyDescent="0.25">
      <c r="A8949" s="17" t="s">
        <v>24798</v>
      </c>
      <c r="B8949" s="17" t="s">
        <v>70</v>
      </c>
      <c r="C8949" s="17" t="s">
        <v>71</v>
      </c>
      <c r="D8949" t="s">
        <v>24750</v>
      </c>
      <c r="F8949" t="s">
        <v>4980</v>
      </c>
      <c r="J8949" t="s">
        <v>115</v>
      </c>
      <c r="K8949" s="18" t="s">
        <v>24799</v>
      </c>
      <c r="N8949" s="17" t="s">
        <v>81</v>
      </c>
      <c r="O8949" t="s">
        <v>117</v>
      </c>
      <c r="V8949" s="18" t="s">
        <v>24799</v>
      </c>
      <c r="Y8949" t="s">
        <v>115</v>
      </c>
      <c r="AA8949" t="s">
        <v>115</v>
      </c>
      <c r="AB8949" t="s">
        <v>119</v>
      </c>
    </row>
    <row r="8950" ht="15" customHeight="1" spans="1:23" x14ac:dyDescent="0.25">
      <c r="A8950" s="17" t="s">
        <v>24800</v>
      </c>
      <c r="B8950" s="17" t="s">
        <v>70</v>
      </c>
      <c r="C8950" s="17" t="s">
        <v>71</v>
      </c>
      <c r="D8950" t="s">
        <v>24750</v>
      </c>
      <c r="F8950" t="s">
        <v>24801</v>
      </c>
      <c r="K8950" s="18">
        <f>6281370917719</f>
        <v>6281370917719</v>
      </c>
      <c r="N8950" s="17" t="s">
        <v>81</v>
      </c>
      <c r="U8950" s="17"/>
      <c r="V8950" s="18">
        <f>6281370917719</f>
        <v>6281370917719</v>
      </c>
      <c r="W8950" t="s">
        <v>24802</v>
      </c>
    </row>
    <row r="8951" ht="15" customHeight="1" spans="1:28" x14ac:dyDescent="0.25">
      <c r="A8951" s="17" t="s">
        <v>24803</v>
      </c>
      <c r="B8951" s="17" t="s">
        <v>70</v>
      </c>
      <c r="C8951" s="17" t="s">
        <v>71</v>
      </c>
      <c r="D8951" t="s">
        <v>24750</v>
      </c>
      <c r="F8951" t="s">
        <v>19067</v>
      </c>
      <c r="J8951" t="s">
        <v>115</v>
      </c>
      <c r="K8951" s="18" t="s">
        <v>24804</v>
      </c>
      <c r="N8951" s="17" t="s">
        <v>81</v>
      </c>
      <c r="O8951" t="s">
        <v>199</v>
      </c>
      <c r="V8951" s="18" t="s">
        <v>24804</v>
      </c>
      <c r="Y8951" t="s">
        <v>90</v>
      </c>
      <c r="AA8951" t="s">
        <v>118</v>
      </c>
      <c r="AB8951" t="s">
        <v>119</v>
      </c>
    </row>
    <row r="8952" ht="15" customHeight="1" spans="1:22" x14ac:dyDescent="0.25">
      <c r="A8952" s="17" t="s">
        <v>24805</v>
      </c>
      <c r="B8952" s="17" t="s">
        <v>70</v>
      </c>
      <c r="C8952" s="17" t="s">
        <v>71</v>
      </c>
      <c r="D8952" t="s">
        <v>24750</v>
      </c>
      <c r="F8952" t="s">
        <v>24806</v>
      </c>
      <c r="K8952" s="18">
        <f>62817882559</f>
        <v>62817882559</v>
      </c>
      <c r="N8952" s="17" t="s">
        <v>77</v>
      </c>
      <c r="V8952" s="18">
        <f>62817882559</f>
        <v>62817882559</v>
      </c>
    </row>
    <row r="8953" ht="15" customHeight="1" spans="1:22" x14ac:dyDescent="0.25">
      <c r="A8953" s="17" t="s">
        <v>24807</v>
      </c>
      <c r="B8953" s="17" t="s">
        <v>70</v>
      </c>
      <c r="C8953" s="17" t="s">
        <v>71</v>
      </c>
      <c r="D8953" t="s">
        <v>24750</v>
      </c>
      <c r="F8953" t="s">
        <v>558</v>
      </c>
      <c r="K8953" s="18">
        <f>628128339328</f>
        <v>628128339328</v>
      </c>
      <c r="N8953" s="17" t="s">
        <v>77</v>
      </c>
      <c r="V8953" s="18">
        <f>628128339328</f>
        <v>628128339328</v>
      </c>
    </row>
    <row r="8954" ht="15" customHeight="1" spans="1:28" x14ac:dyDescent="0.25">
      <c r="A8954" s="17" t="s">
        <v>24808</v>
      </c>
      <c r="B8954" s="17" t="s">
        <v>70</v>
      </c>
      <c r="C8954" s="17" t="s">
        <v>71</v>
      </c>
      <c r="D8954" t="s">
        <v>24750</v>
      </c>
      <c r="F8954" t="s">
        <v>8124</v>
      </c>
      <c r="J8954" t="s">
        <v>115</v>
      </c>
      <c r="K8954" s="18" t="s">
        <v>24809</v>
      </c>
      <c r="N8954" s="17" t="s">
        <v>77</v>
      </c>
      <c r="O8954" t="s">
        <v>117</v>
      </c>
      <c r="V8954" s="18" t="s">
        <v>24809</v>
      </c>
      <c r="Y8954" t="s">
        <v>90</v>
      </c>
      <c r="AA8954" t="s">
        <v>118</v>
      </c>
      <c r="AB8954" t="s">
        <v>119</v>
      </c>
    </row>
    <row r="8955" ht="15" customHeight="1" spans="1:28" x14ac:dyDescent="0.25">
      <c r="A8955" s="17" t="s">
        <v>24810</v>
      </c>
      <c r="B8955" s="17" t="s">
        <v>70</v>
      </c>
      <c r="C8955" s="17" t="s">
        <v>71</v>
      </c>
      <c r="D8955" t="s">
        <v>24750</v>
      </c>
      <c r="F8955" t="s">
        <v>1356</v>
      </c>
      <c r="J8955" t="s">
        <v>115</v>
      </c>
      <c r="K8955" s="18" t="s">
        <v>24811</v>
      </c>
      <c r="N8955" s="17" t="s">
        <v>74</v>
      </c>
      <c r="O8955" t="s">
        <v>117</v>
      </c>
      <c r="U8955" s="17"/>
      <c r="V8955" s="18" t="s">
        <v>24811</v>
      </c>
      <c r="W8955" t="s">
        <v>24812</v>
      </c>
      <c r="Y8955" t="s">
        <v>90</v>
      </c>
      <c r="AA8955" t="s">
        <v>118</v>
      </c>
      <c r="AB8955" t="s">
        <v>119</v>
      </c>
    </row>
    <row r="8956" ht="15" customHeight="1" spans="1:22" x14ac:dyDescent="0.25">
      <c r="A8956" s="17" t="s">
        <v>24813</v>
      </c>
      <c r="B8956" s="17" t="s">
        <v>70</v>
      </c>
      <c r="C8956" s="17" t="s">
        <v>71</v>
      </c>
      <c r="D8956" t="s">
        <v>24750</v>
      </c>
      <c r="F8956" t="s">
        <v>4401</v>
      </c>
      <c r="K8956" s="18">
        <f>6287888737173</f>
        <v>6287888737173</v>
      </c>
      <c r="N8956" s="17" t="s">
        <v>81</v>
      </c>
      <c r="V8956" s="18">
        <f>6287888737173</f>
        <v>6287888737173</v>
      </c>
    </row>
    <row r="8957" ht="15" customHeight="1" spans="1:22" x14ac:dyDescent="0.25">
      <c r="A8957" s="17" t="s">
        <v>24814</v>
      </c>
      <c r="B8957" s="17" t="s">
        <v>70</v>
      </c>
      <c r="C8957" s="17" t="s">
        <v>71</v>
      </c>
      <c r="D8957" t="s">
        <v>24750</v>
      </c>
      <c r="F8957" t="s">
        <v>24815</v>
      </c>
      <c r="K8957" s="18">
        <f>628128888000</f>
        <v>628128888000</v>
      </c>
      <c r="N8957" s="17" t="s">
        <v>77</v>
      </c>
      <c r="V8957" s="18">
        <f>628128888000</f>
        <v>628128888000</v>
      </c>
    </row>
    <row r="8958" ht="15" customHeight="1" spans="1:28" x14ac:dyDescent="0.25">
      <c r="A8958" s="17" t="s">
        <v>24816</v>
      </c>
      <c r="B8958" s="17" t="s">
        <v>70</v>
      </c>
      <c r="C8958" s="17" t="s">
        <v>71</v>
      </c>
      <c r="D8958" t="s">
        <v>24750</v>
      </c>
      <c r="F8958" t="s">
        <v>24817</v>
      </c>
      <c r="J8958" t="s">
        <v>115</v>
      </c>
      <c r="K8958" s="18" t="s">
        <v>24818</v>
      </c>
      <c r="N8958" s="17" t="s">
        <v>77</v>
      </c>
      <c r="O8958" t="s">
        <v>199</v>
      </c>
      <c r="V8958" s="18" t="s">
        <v>24818</v>
      </c>
      <c r="Y8958" t="s">
        <v>90</v>
      </c>
      <c r="AA8958" t="s">
        <v>118</v>
      </c>
      <c r="AB8958" t="s">
        <v>119</v>
      </c>
    </row>
    <row r="8959" ht="15" customHeight="1" spans="1:28" x14ac:dyDescent="0.25">
      <c r="A8959" s="17" t="s">
        <v>24819</v>
      </c>
      <c r="B8959" s="17" t="s">
        <v>70</v>
      </c>
      <c r="C8959" s="17" t="s">
        <v>71</v>
      </c>
      <c r="D8959" t="s">
        <v>24750</v>
      </c>
      <c r="F8959" t="s">
        <v>24750</v>
      </c>
      <c r="J8959" t="s">
        <v>115</v>
      </c>
      <c r="K8959" s="18" t="s">
        <v>24820</v>
      </c>
      <c r="N8959" s="17" t="s">
        <v>77</v>
      </c>
      <c r="O8959" t="s">
        <v>489</v>
      </c>
      <c r="V8959" s="18" t="s">
        <v>24820</v>
      </c>
      <c r="Y8959" t="s">
        <v>190</v>
      </c>
      <c r="AA8959" t="s">
        <v>118</v>
      </c>
      <c r="AB8959" t="s">
        <v>119</v>
      </c>
    </row>
    <row r="8960" ht="15" customHeight="1" spans="1:22" x14ac:dyDescent="0.25">
      <c r="A8960" s="17" t="s">
        <v>24821</v>
      </c>
      <c r="B8960" s="17" t="s">
        <v>70</v>
      </c>
      <c r="C8960" s="17" t="s">
        <v>71</v>
      </c>
      <c r="D8960" t="s">
        <v>24822</v>
      </c>
      <c r="F8960" t="s">
        <v>24823</v>
      </c>
      <c r="K8960" s="18">
        <f>62816804427</f>
        <v>62816804427</v>
      </c>
      <c r="N8960" s="17" t="s">
        <v>77</v>
      </c>
      <c r="V8960" s="18">
        <f>62816804427</f>
        <v>62816804427</v>
      </c>
    </row>
    <row r="8961" ht="15" customHeight="1" spans="1:22" x14ac:dyDescent="0.25">
      <c r="A8961" s="17" t="s">
        <v>24824</v>
      </c>
      <c r="B8961" s="17" t="s">
        <v>70</v>
      </c>
      <c r="C8961" s="17" t="s">
        <v>71</v>
      </c>
      <c r="D8961" t="s">
        <v>24825</v>
      </c>
      <c r="F8961" t="s">
        <v>3954</v>
      </c>
      <c r="K8961" s="18">
        <f>62811186478</f>
        <v>62811186478</v>
      </c>
      <c r="N8961" s="17" t="s">
        <v>77</v>
      </c>
      <c r="V8961" s="18">
        <f>62811186478</f>
        <v>62811186478</v>
      </c>
    </row>
    <row r="8962" ht="15" customHeight="1" spans="1:22" x14ac:dyDescent="0.25">
      <c r="A8962" s="17" t="s">
        <v>24826</v>
      </c>
      <c r="B8962" s="17" t="s">
        <v>70</v>
      </c>
      <c r="C8962" s="17" t="s">
        <v>71</v>
      </c>
      <c r="D8962" t="s">
        <v>24827</v>
      </c>
      <c r="F8962" t="s">
        <v>24827</v>
      </c>
      <c r="K8962" s="18">
        <f>62811401018</f>
        <v>62811401018</v>
      </c>
      <c r="N8962" s="17" t="s">
        <v>77</v>
      </c>
      <c r="V8962" s="18">
        <f>62811401018</f>
        <v>62811401018</v>
      </c>
    </row>
    <row r="8963" ht="15" customHeight="1" spans="1:23" x14ac:dyDescent="0.25">
      <c r="A8963" s="17" t="s">
        <v>24828</v>
      </c>
      <c r="B8963" s="17" t="s">
        <v>70</v>
      </c>
      <c r="C8963" s="17" t="s">
        <v>71</v>
      </c>
      <c r="D8963" t="s">
        <v>24827</v>
      </c>
      <c r="F8963" t="s">
        <v>24829</v>
      </c>
      <c r="J8963" s="17" t="s">
        <v>24830</v>
      </c>
      <c r="K8963" s="18">
        <f>31621512016</f>
        <v>31621512016</v>
      </c>
      <c r="N8963" s="17" t="s">
        <v>77</v>
      </c>
      <c r="U8963" s="17"/>
      <c r="V8963" s="18">
        <f>31621512016</f>
        <v>31621512016</v>
      </c>
      <c r="W8963" t="s">
        <v>24831</v>
      </c>
    </row>
    <row r="8964" ht="15" customHeight="1" spans="1:22" x14ac:dyDescent="0.25">
      <c r="A8964" s="17" t="s">
        <v>24832</v>
      </c>
      <c r="B8964" s="17" t="s">
        <v>70</v>
      </c>
      <c r="C8964" s="17" t="s">
        <v>71</v>
      </c>
      <c r="D8964" t="s">
        <v>24827</v>
      </c>
      <c r="F8964" t="s">
        <v>2159</v>
      </c>
      <c r="K8964" s="18">
        <f>628176400014</f>
        <v>628176400014</v>
      </c>
      <c r="N8964" s="17" t="s">
        <v>81</v>
      </c>
      <c r="V8964" s="18">
        <f>628176400014</f>
        <v>628176400014</v>
      </c>
    </row>
    <row r="8965" ht="15" customHeight="1" spans="1:28" x14ac:dyDescent="0.25">
      <c r="A8965" s="17" t="s">
        <v>24833</v>
      </c>
      <c r="B8965" s="17" t="s">
        <v>70</v>
      </c>
      <c r="C8965" s="17" t="s">
        <v>71</v>
      </c>
      <c r="D8965" t="s">
        <v>24834</v>
      </c>
      <c r="F8965" t="s">
        <v>2153</v>
      </c>
      <c r="J8965" s="17" t="s">
        <v>24835</v>
      </c>
      <c r="K8965" s="18" t="s">
        <v>24836</v>
      </c>
      <c r="N8965" s="17" t="s">
        <v>74</v>
      </c>
      <c r="O8965" t="s">
        <v>1188</v>
      </c>
      <c r="U8965" s="17"/>
      <c r="V8965" s="18" t="s">
        <v>24836</v>
      </c>
      <c r="W8965" t="s">
        <v>24837</v>
      </c>
      <c r="Y8965" s="17" t="s">
        <v>96</v>
      </c>
      <c r="AA8965" s="17" t="s">
        <v>693</v>
      </c>
      <c r="AB8965" t="s">
        <v>119</v>
      </c>
    </row>
    <row r="8966" ht="15" customHeight="1" spans="1:28" x14ac:dyDescent="0.25">
      <c r="A8966" s="17" t="s">
        <v>24838</v>
      </c>
      <c r="B8966" s="17" t="s">
        <v>70</v>
      </c>
      <c r="C8966" s="17" t="s">
        <v>71</v>
      </c>
      <c r="D8966" t="s">
        <v>24839</v>
      </c>
      <c r="F8966" t="s">
        <v>24840</v>
      </c>
      <c r="J8966" t="s">
        <v>115</v>
      </c>
      <c r="K8966" s="18" t="s">
        <v>24841</v>
      </c>
      <c r="N8966" s="17" t="s">
        <v>77</v>
      </c>
      <c r="O8966" t="s">
        <v>145</v>
      </c>
      <c r="V8966" s="18" t="s">
        <v>24841</v>
      </c>
      <c r="Y8966" t="s">
        <v>200</v>
      </c>
      <c r="AA8966" t="s">
        <v>115</v>
      </c>
      <c r="AB8966" t="s">
        <v>119</v>
      </c>
    </row>
    <row r="8967" ht="15" customHeight="1" spans="1:25" x14ac:dyDescent="0.25">
      <c r="A8967" s="17" t="s">
        <v>24842</v>
      </c>
      <c r="B8967" s="17" t="s">
        <v>70</v>
      </c>
      <c r="C8967" s="17" t="s">
        <v>71</v>
      </c>
      <c r="D8967" t="s">
        <v>24843</v>
      </c>
      <c r="F8967" t="s">
        <v>24844</v>
      </c>
      <c r="J8967" s="17" t="s">
        <v>24845</v>
      </c>
      <c r="K8967" s="18">
        <f>6282298259944</f>
        <v>6282298259944</v>
      </c>
      <c r="N8967" s="17" t="s">
        <v>77</v>
      </c>
      <c r="U8967" s="17"/>
      <c r="V8967" s="18">
        <f>6282298259944</f>
        <v>6282298259944</v>
      </c>
      <c r="W8967" t="s">
        <v>24846</v>
      </c>
      <c r="Y8967" s="17" t="s">
        <v>96</v>
      </c>
    </row>
    <row r="8968" ht="15" customHeight="1" spans="1:25" x14ac:dyDescent="0.25">
      <c r="A8968" s="17" t="s">
        <v>24847</v>
      </c>
      <c r="B8968" s="17" t="s">
        <v>70</v>
      </c>
      <c r="C8968" s="17" t="s">
        <v>71</v>
      </c>
      <c r="D8968" t="s">
        <v>24848</v>
      </c>
      <c r="F8968" t="s">
        <v>3181</v>
      </c>
      <c r="K8968" s="18">
        <f>628129926143</f>
        <v>628129926143</v>
      </c>
      <c r="N8968" s="17" t="s">
        <v>77</v>
      </c>
      <c r="U8968" s="17"/>
      <c r="V8968" s="18">
        <f>628129926143</f>
        <v>628129926143</v>
      </c>
      <c r="W8968" t="s">
        <v>24849</v>
      </c>
      <c r="Y8968" s="17" t="s">
        <v>90</v>
      </c>
    </row>
    <row r="8969" ht="15" customHeight="1" spans="1:22" x14ac:dyDescent="0.25">
      <c r="A8969" s="17" t="s">
        <v>24850</v>
      </c>
      <c r="B8969" s="17" t="s">
        <v>70</v>
      </c>
      <c r="C8969" s="17" t="s">
        <v>71</v>
      </c>
      <c r="D8969" t="s">
        <v>24851</v>
      </c>
      <c r="F8969" t="s">
        <v>24852</v>
      </c>
      <c r="K8969" s="18">
        <f>6281373768236</f>
        <v>6281373768236</v>
      </c>
      <c r="N8969" s="17" t="s">
        <v>77</v>
      </c>
      <c r="V8969" s="18">
        <f>6281373768236</f>
        <v>6281373768236</v>
      </c>
    </row>
    <row r="8970" ht="15" customHeight="1" spans="1:22" x14ac:dyDescent="0.25">
      <c r="A8970" s="17" t="s">
        <v>24853</v>
      </c>
      <c r="B8970" s="17" t="s">
        <v>70</v>
      </c>
      <c r="C8970" s="17" t="s">
        <v>71</v>
      </c>
      <c r="D8970" t="s">
        <v>24854</v>
      </c>
      <c r="F8970" t="s">
        <v>7709</v>
      </c>
      <c r="K8970" s="18">
        <f>6285691513554</f>
        <v>6285691513554</v>
      </c>
      <c r="N8970" s="17" t="s">
        <v>77</v>
      </c>
      <c r="V8970" s="18">
        <f>6285691513554</f>
        <v>6285691513554</v>
      </c>
    </row>
    <row r="8971" ht="15" customHeight="1" spans="1:22" x14ac:dyDescent="0.25">
      <c r="A8971" s="17" t="s">
        <v>24855</v>
      </c>
      <c r="B8971" s="17" t="s">
        <v>70</v>
      </c>
      <c r="C8971" s="17" t="s">
        <v>71</v>
      </c>
      <c r="D8971" t="s">
        <v>24854</v>
      </c>
      <c r="F8971" t="s">
        <v>7709</v>
      </c>
      <c r="K8971" s="18">
        <f>6281212792008</f>
        <v>6281212792008</v>
      </c>
      <c r="N8971" s="17" t="s">
        <v>81</v>
      </c>
      <c r="V8971" s="18">
        <f>6281212792008</f>
        <v>6281212792008</v>
      </c>
    </row>
    <row r="8972" ht="15" customHeight="1" spans="1:22" x14ac:dyDescent="0.25">
      <c r="A8972" s="17" t="s">
        <v>24856</v>
      </c>
      <c r="B8972" s="17" t="s">
        <v>70</v>
      </c>
      <c r="C8972" s="17" t="s">
        <v>71</v>
      </c>
      <c r="D8972" t="s">
        <v>24854</v>
      </c>
      <c r="F8972" t="s">
        <v>2258</v>
      </c>
      <c r="K8972" s="18">
        <f>622123582090</f>
        <v>622123582090</v>
      </c>
      <c r="N8972" s="17" t="s">
        <v>77</v>
      </c>
      <c r="V8972" s="18">
        <f>622123582090</f>
        <v>622123582090</v>
      </c>
    </row>
    <row r="8973" ht="15" customHeight="1" spans="1:22" x14ac:dyDescent="0.25">
      <c r="A8973" s="17" t="s">
        <v>24857</v>
      </c>
      <c r="B8973" s="17" t="s">
        <v>70</v>
      </c>
      <c r="C8973" s="17" t="s">
        <v>71</v>
      </c>
      <c r="D8973" t="s">
        <v>24858</v>
      </c>
      <c r="F8973" t="s">
        <v>24858</v>
      </c>
      <c r="K8973" s="18">
        <f>62816724542</f>
        <v>62816724542</v>
      </c>
      <c r="N8973" s="17" t="s">
        <v>77</v>
      </c>
      <c r="V8973" s="18">
        <f>62816724542</f>
        <v>62816724542</v>
      </c>
    </row>
    <row r="8974" ht="15" customHeight="1" spans="1:22" x14ac:dyDescent="0.25">
      <c r="A8974" s="17" t="s">
        <v>24859</v>
      </c>
      <c r="B8974" s="17" t="s">
        <v>70</v>
      </c>
      <c r="C8974" s="17" t="s">
        <v>71</v>
      </c>
      <c r="D8974" t="s">
        <v>24860</v>
      </c>
      <c r="F8974" t="s">
        <v>24860</v>
      </c>
      <c r="K8974" s="18">
        <f>62818191516</f>
        <v>62818191516</v>
      </c>
      <c r="N8974" s="17" t="s">
        <v>74</v>
      </c>
      <c r="V8974" s="18">
        <f>62818191516</f>
        <v>62818191516</v>
      </c>
    </row>
    <row r="8975" ht="15" customHeight="1" spans="1:22" x14ac:dyDescent="0.25">
      <c r="A8975" s="17" t="s">
        <v>24861</v>
      </c>
      <c r="B8975" s="17" t="s">
        <v>70</v>
      </c>
      <c r="C8975" s="17" t="s">
        <v>71</v>
      </c>
      <c r="D8975" t="s">
        <v>24862</v>
      </c>
      <c r="F8975" t="s">
        <v>2262</v>
      </c>
      <c r="J8975" s="17" t="s">
        <v>24863</v>
      </c>
      <c r="K8975" s="18">
        <f>6287777291190</f>
        <v>6287777291190</v>
      </c>
      <c r="N8975" s="17" t="s">
        <v>77</v>
      </c>
      <c r="V8975" s="18">
        <f>6287777291190</f>
        <v>6287777291190</v>
      </c>
    </row>
    <row r="8976" ht="15" customHeight="1" spans="1:27" x14ac:dyDescent="0.25">
      <c r="A8976" s="17" t="s">
        <v>24864</v>
      </c>
      <c r="B8976" s="17" t="s">
        <v>70</v>
      </c>
      <c r="C8976" s="17" t="s">
        <v>71</v>
      </c>
      <c r="D8976" t="s">
        <v>24865</v>
      </c>
      <c r="F8976" t="s">
        <v>7808</v>
      </c>
      <c r="J8976" s="17" t="s">
        <v>24866</v>
      </c>
      <c r="K8976" s="18">
        <f>6287854496668</f>
        <v>6287854496668</v>
      </c>
      <c r="N8976" s="17" t="s">
        <v>77</v>
      </c>
      <c r="U8976" s="17"/>
      <c r="V8976" s="18">
        <f>6287854496668</f>
        <v>6287854496668</v>
      </c>
      <c r="W8976" t="s">
        <v>24867</v>
      </c>
      <c r="Y8976" s="17" t="s">
        <v>24868</v>
      </c>
      <c r="AA8976" s="17">
        <v>80361</v>
      </c>
    </row>
    <row r="8977" ht="15" customHeight="1" spans="1:22" x14ac:dyDescent="0.25">
      <c r="A8977" s="17" t="s">
        <v>24869</v>
      </c>
      <c r="B8977" s="17" t="s">
        <v>70</v>
      </c>
      <c r="C8977" s="17" t="s">
        <v>71</v>
      </c>
      <c r="D8977" t="s">
        <v>24870</v>
      </c>
      <c r="F8977" t="s">
        <v>24871</v>
      </c>
      <c r="K8977" s="18">
        <f>62811809881</f>
        <v>62811809881</v>
      </c>
      <c r="N8977" s="17" t="s">
        <v>77</v>
      </c>
      <c r="V8977" s="18">
        <f>62811809881</f>
        <v>62811809881</v>
      </c>
    </row>
    <row r="8978" ht="15" customHeight="1" spans="1:23" x14ac:dyDescent="0.25">
      <c r="A8978" s="17" t="s">
        <v>24872</v>
      </c>
      <c r="B8978" s="17" t="s">
        <v>70</v>
      </c>
      <c r="C8978" s="17" t="s">
        <v>71</v>
      </c>
      <c r="D8978" t="s">
        <v>24873</v>
      </c>
      <c r="F8978" t="s">
        <v>13362</v>
      </c>
      <c r="J8978" s="17" t="s">
        <v>24874</v>
      </c>
      <c r="K8978" s="18">
        <f>62817767888</f>
        <v>62817767888</v>
      </c>
      <c r="N8978" s="17" t="s">
        <v>77</v>
      </c>
      <c r="U8978" s="17"/>
      <c r="V8978" s="18">
        <f>62817767888</f>
        <v>62817767888</v>
      </c>
      <c r="W8978" t="s">
        <v>24875</v>
      </c>
    </row>
    <row r="8979" ht="15" customHeight="1" spans="1:22" x14ac:dyDescent="0.25">
      <c r="A8979" s="17" t="s">
        <v>24876</v>
      </c>
      <c r="B8979" s="17" t="s">
        <v>70</v>
      </c>
      <c r="C8979" s="17" t="s">
        <v>71</v>
      </c>
      <c r="D8979" t="s">
        <v>24877</v>
      </c>
      <c r="F8979" t="s">
        <v>9028</v>
      </c>
      <c r="K8979" s="18">
        <f>62818115222</f>
        <v>62818115222</v>
      </c>
      <c r="N8979" s="17" t="s">
        <v>77</v>
      </c>
      <c r="V8979" s="18">
        <f>62818115222</f>
        <v>62818115222</v>
      </c>
    </row>
    <row r="8980" ht="15" customHeight="1" spans="1:22" x14ac:dyDescent="0.25">
      <c r="A8980" s="17" t="s">
        <v>24878</v>
      </c>
      <c r="B8980" s="17" t="s">
        <v>70</v>
      </c>
      <c r="C8980" s="17" t="s">
        <v>71</v>
      </c>
      <c r="D8980" t="s">
        <v>24879</v>
      </c>
      <c r="F8980" t="s">
        <v>24879</v>
      </c>
      <c r="K8980" s="18">
        <f>6281219758758</f>
        <v>6281219758758</v>
      </c>
      <c r="N8980" s="17" t="s">
        <v>81</v>
      </c>
      <c r="V8980" s="18">
        <f>6281219758758</f>
        <v>6281219758758</v>
      </c>
    </row>
    <row r="8981" ht="15" customHeight="1" spans="1:22" x14ac:dyDescent="0.25">
      <c r="A8981" s="17" t="s">
        <v>24880</v>
      </c>
      <c r="B8981" s="17" t="s">
        <v>70</v>
      </c>
      <c r="C8981" s="17" t="s">
        <v>71</v>
      </c>
      <c r="D8981" t="s">
        <v>24881</v>
      </c>
      <c r="F8981" t="s">
        <v>24881</v>
      </c>
      <c r="K8981" s="18">
        <f>628118122202</f>
        <v>628118122202</v>
      </c>
      <c r="N8981" s="17" t="s">
        <v>77</v>
      </c>
      <c r="V8981" s="18">
        <f>628118122202</f>
        <v>628118122202</v>
      </c>
    </row>
    <row r="8982" ht="15" customHeight="1" spans="1:22" x14ac:dyDescent="0.25">
      <c r="A8982" s="17" t="s">
        <v>24882</v>
      </c>
      <c r="B8982" s="17" t="s">
        <v>70</v>
      </c>
      <c r="C8982" s="17" t="s">
        <v>71</v>
      </c>
      <c r="D8982" t="s">
        <v>24881</v>
      </c>
      <c r="F8982" t="s">
        <v>24881</v>
      </c>
      <c r="K8982" s="18">
        <f>62811988233</f>
        <v>62811988233</v>
      </c>
      <c r="N8982" s="17" t="s">
        <v>77</v>
      </c>
      <c r="V8982" s="18">
        <f>62811988233</f>
        <v>62811988233</v>
      </c>
    </row>
    <row r="8983" ht="15" customHeight="1" spans="1:22" x14ac:dyDescent="0.25">
      <c r="A8983" s="17" t="s">
        <v>24883</v>
      </c>
      <c r="B8983" s="17" t="s">
        <v>70</v>
      </c>
      <c r="C8983" s="17" t="s">
        <v>71</v>
      </c>
      <c r="D8983" t="s">
        <v>24881</v>
      </c>
      <c r="F8983" t="s">
        <v>24881</v>
      </c>
      <c r="K8983" s="18">
        <f>628111010902</f>
        <v>628111010902</v>
      </c>
      <c r="N8983" s="17" t="s">
        <v>81</v>
      </c>
      <c r="V8983" s="18">
        <f>628111010902</f>
        <v>628111010902</v>
      </c>
    </row>
    <row r="8984" ht="15" customHeight="1" spans="1:28" x14ac:dyDescent="0.25">
      <c r="A8984" s="17" t="s">
        <v>24884</v>
      </c>
      <c r="B8984" s="17" t="s">
        <v>70</v>
      </c>
      <c r="C8984" s="17" t="s">
        <v>71</v>
      </c>
      <c r="D8984" t="s">
        <v>24881</v>
      </c>
      <c r="F8984" t="s">
        <v>24885</v>
      </c>
      <c r="J8984" t="s">
        <v>115</v>
      </c>
      <c r="K8984" s="18" t="s">
        <v>24886</v>
      </c>
      <c r="N8984" s="17" t="s">
        <v>74</v>
      </c>
      <c r="O8984" t="s">
        <v>489</v>
      </c>
      <c r="U8984" s="17"/>
      <c r="V8984" s="18" t="s">
        <v>24886</v>
      </c>
      <c r="W8984" t="s">
        <v>24887</v>
      </c>
      <c r="Y8984" t="s">
        <v>24508</v>
      </c>
      <c r="AA8984" s="17" t="s">
        <v>24888</v>
      </c>
      <c r="AB8984" t="s">
        <v>119</v>
      </c>
    </row>
    <row r="8985" ht="15" customHeight="1" spans="1:22" x14ac:dyDescent="0.25">
      <c r="A8985" s="17" t="s">
        <v>24889</v>
      </c>
      <c r="B8985" s="17" t="s">
        <v>70</v>
      </c>
      <c r="C8985" s="17" t="s">
        <v>71</v>
      </c>
      <c r="D8985" t="s">
        <v>24881</v>
      </c>
      <c r="F8985" t="s">
        <v>24890</v>
      </c>
      <c r="K8985" s="18">
        <f>62816930499</f>
        <v>62816930499</v>
      </c>
      <c r="N8985" s="17" t="s">
        <v>81</v>
      </c>
      <c r="V8985" s="18">
        <f>62816930499</f>
        <v>62816930499</v>
      </c>
    </row>
    <row r="8986" ht="15" customHeight="1" spans="1:22" x14ac:dyDescent="0.25">
      <c r="A8986" s="17" t="s">
        <v>24891</v>
      </c>
      <c r="B8986" s="17" t="s">
        <v>70</v>
      </c>
      <c r="C8986" s="17" t="s">
        <v>71</v>
      </c>
      <c r="D8986" t="s">
        <v>24881</v>
      </c>
      <c r="F8986" t="s">
        <v>21781</v>
      </c>
      <c r="J8986" s="17" t="s">
        <v>24892</v>
      </c>
      <c r="K8986" s="18">
        <f>6281573004863</f>
        <v>6281573004863</v>
      </c>
      <c r="N8986" s="17" t="s">
        <v>81</v>
      </c>
      <c r="V8986" s="18">
        <f>6281573004863</f>
        <v>6281573004863</v>
      </c>
    </row>
    <row r="8987" ht="15" customHeight="1" spans="1:28" x14ac:dyDescent="0.25">
      <c r="A8987" s="17" t="s">
        <v>24893</v>
      </c>
      <c r="B8987" s="17" t="s">
        <v>70</v>
      </c>
      <c r="C8987" s="17" t="s">
        <v>71</v>
      </c>
      <c r="D8987" t="s">
        <v>24894</v>
      </c>
      <c r="F8987" t="s">
        <v>3086</v>
      </c>
      <c r="J8987" t="s">
        <v>115</v>
      </c>
      <c r="K8987" s="18" t="s">
        <v>24895</v>
      </c>
      <c r="N8987" s="17" t="s">
        <v>74</v>
      </c>
      <c r="O8987" t="s">
        <v>199</v>
      </c>
      <c r="V8987" s="18" t="s">
        <v>24895</v>
      </c>
      <c r="Y8987" t="s">
        <v>90</v>
      </c>
      <c r="AA8987" t="s">
        <v>118</v>
      </c>
      <c r="AB8987" t="s">
        <v>119</v>
      </c>
    </row>
    <row r="8988" ht="15" customHeight="1" spans="1:28" x14ac:dyDescent="0.25">
      <c r="A8988" s="17" t="s">
        <v>24896</v>
      </c>
      <c r="B8988" s="17" t="s">
        <v>70</v>
      </c>
      <c r="C8988" s="17" t="s">
        <v>71</v>
      </c>
      <c r="D8988" t="s">
        <v>24881</v>
      </c>
      <c r="F8988" t="s">
        <v>21953</v>
      </c>
      <c r="J8988" t="s">
        <v>115</v>
      </c>
      <c r="K8988" s="18" t="s">
        <v>24897</v>
      </c>
      <c r="N8988" s="17" t="s">
        <v>74</v>
      </c>
      <c r="O8988" t="s">
        <v>117</v>
      </c>
      <c r="U8988" s="17"/>
      <c r="V8988" s="18" t="s">
        <v>24897</v>
      </c>
      <c r="W8988" t="s">
        <v>24898</v>
      </c>
      <c r="Y8988" s="17" t="s">
        <v>90</v>
      </c>
      <c r="AA8988" t="s">
        <v>118</v>
      </c>
      <c r="AB8988" t="s">
        <v>119</v>
      </c>
    </row>
    <row r="8989" ht="15" customHeight="1" spans="1:28" x14ac:dyDescent="0.25">
      <c r="A8989" s="17" t="s">
        <v>24899</v>
      </c>
      <c r="B8989" s="17" t="s">
        <v>70</v>
      </c>
      <c r="C8989" s="17" t="s">
        <v>71</v>
      </c>
      <c r="D8989" t="s">
        <v>24900</v>
      </c>
      <c r="F8989" t="s">
        <v>5814</v>
      </c>
      <c r="J8989" t="s">
        <v>115</v>
      </c>
      <c r="K8989" s="18" t="s">
        <v>24901</v>
      </c>
      <c r="N8989" s="17" t="s">
        <v>81</v>
      </c>
      <c r="O8989" t="s">
        <v>117</v>
      </c>
      <c r="V8989" s="18" t="s">
        <v>24901</v>
      </c>
      <c r="Y8989" t="s">
        <v>190</v>
      </c>
      <c r="AA8989" t="s">
        <v>118</v>
      </c>
      <c r="AB8989" t="s">
        <v>119</v>
      </c>
    </row>
    <row r="8990" ht="15" customHeight="1" spans="1:25" x14ac:dyDescent="0.25">
      <c r="A8990" s="17" t="s">
        <v>24902</v>
      </c>
      <c r="B8990" s="17" t="s">
        <v>70</v>
      </c>
      <c r="C8990" s="17" t="s">
        <v>71</v>
      </c>
      <c r="D8990" t="s">
        <v>24903</v>
      </c>
      <c r="F8990" t="s">
        <v>24904</v>
      </c>
      <c r="K8990" s="18">
        <f>628111636028</f>
        <v>628111636028</v>
      </c>
      <c r="N8990" s="17" t="s">
        <v>77</v>
      </c>
      <c r="U8990" s="17"/>
      <c r="V8990" s="18">
        <f>628111636028</f>
        <v>628111636028</v>
      </c>
      <c r="W8990" t="s">
        <v>24905</v>
      </c>
      <c r="Y8990" s="17" t="s">
        <v>1157</v>
      </c>
    </row>
    <row r="8991" ht="15" customHeight="1" spans="1:28" x14ac:dyDescent="0.25">
      <c r="A8991" s="17" t="s">
        <v>24906</v>
      </c>
      <c r="B8991" s="17" t="s">
        <v>70</v>
      </c>
      <c r="C8991" s="17" t="s">
        <v>71</v>
      </c>
      <c r="D8991" t="s">
        <v>24907</v>
      </c>
      <c r="F8991" t="s">
        <v>212</v>
      </c>
      <c r="J8991" t="s">
        <v>115</v>
      </c>
      <c r="K8991" s="18" t="s">
        <v>24908</v>
      </c>
      <c r="N8991" s="17" t="s">
        <v>81</v>
      </c>
      <c r="O8991" t="s">
        <v>489</v>
      </c>
      <c r="V8991" s="18" t="s">
        <v>24908</v>
      </c>
      <c r="Y8991" t="s">
        <v>90</v>
      </c>
      <c r="AA8991" t="s">
        <v>118</v>
      </c>
      <c r="AB8991" t="s">
        <v>119</v>
      </c>
    </row>
    <row r="8992" ht="15" customHeight="1" spans="1:28" x14ac:dyDescent="0.25">
      <c r="A8992" s="17" t="s">
        <v>24909</v>
      </c>
      <c r="B8992" s="17" t="s">
        <v>70</v>
      </c>
      <c r="C8992" s="17" t="s">
        <v>71</v>
      </c>
      <c r="D8992" t="s">
        <v>6621</v>
      </c>
      <c r="F8992" t="s">
        <v>7304</v>
      </c>
      <c r="J8992" t="s">
        <v>115</v>
      </c>
      <c r="K8992" s="18" t="s">
        <v>24910</v>
      </c>
      <c r="N8992" s="17" t="s">
        <v>77</v>
      </c>
      <c r="O8992" t="s">
        <v>199</v>
      </c>
      <c r="V8992" s="18" t="s">
        <v>24910</v>
      </c>
      <c r="Y8992" t="s">
        <v>115</v>
      </c>
      <c r="AA8992" t="s">
        <v>115</v>
      </c>
      <c r="AB8992" t="s">
        <v>119</v>
      </c>
    </row>
    <row r="8993" ht="15" customHeight="1" spans="1:22" x14ac:dyDescent="0.25">
      <c r="A8993" s="17" t="s">
        <v>24911</v>
      </c>
      <c r="B8993" s="17" t="s">
        <v>70</v>
      </c>
      <c r="C8993" s="17" t="s">
        <v>71</v>
      </c>
      <c r="D8993" t="s">
        <v>6621</v>
      </c>
      <c r="F8993" t="s">
        <v>24912</v>
      </c>
      <c r="K8993" s="18">
        <f>6281297289992</f>
        <v>6281297289992</v>
      </c>
      <c r="N8993" s="17" t="s">
        <v>77</v>
      </c>
      <c r="V8993" s="18">
        <f>6281297289992</f>
        <v>6281297289992</v>
      </c>
    </row>
    <row r="8994" ht="15" customHeight="1" spans="1:28" x14ac:dyDescent="0.25">
      <c r="A8994" s="17" t="s">
        <v>24913</v>
      </c>
      <c r="B8994" s="17" t="s">
        <v>70</v>
      </c>
      <c r="C8994" s="17" t="s">
        <v>71</v>
      </c>
      <c r="D8994" t="s">
        <v>6621</v>
      </c>
      <c r="F8994" t="s">
        <v>15202</v>
      </c>
      <c r="J8994" t="s">
        <v>115</v>
      </c>
      <c r="K8994" s="18" t="s">
        <v>24914</v>
      </c>
      <c r="N8994" s="17" t="s">
        <v>81</v>
      </c>
      <c r="O8994" t="s">
        <v>117</v>
      </c>
      <c r="V8994" s="18" t="s">
        <v>24914</v>
      </c>
      <c r="Y8994" t="s">
        <v>3140</v>
      </c>
      <c r="AA8994" t="s">
        <v>115</v>
      </c>
      <c r="AB8994" t="s">
        <v>3140</v>
      </c>
    </row>
    <row r="8995" ht="15" customHeight="1" spans="1:22" x14ac:dyDescent="0.25">
      <c r="A8995" s="17" t="s">
        <v>24915</v>
      </c>
      <c r="B8995" s="17" t="s">
        <v>70</v>
      </c>
      <c r="C8995" s="17" t="s">
        <v>71</v>
      </c>
      <c r="D8995" t="s">
        <v>6621</v>
      </c>
      <c r="F8995" t="s">
        <v>24916</v>
      </c>
      <c r="K8995" s="18">
        <f>6287887184718</f>
        <v>6287887184718</v>
      </c>
      <c r="N8995" s="17" t="s">
        <v>77</v>
      </c>
      <c r="V8995" s="18">
        <f>6287887184718</f>
        <v>6287887184718</v>
      </c>
    </row>
    <row r="8996" ht="15" customHeight="1" spans="1:22" x14ac:dyDescent="0.25">
      <c r="A8996" s="17" t="s">
        <v>24917</v>
      </c>
      <c r="B8996" s="17" t="s">
        <v>70</v>
      </c>
      <c r="C8996" s="17" t="s">
        <v>71</v>
      </c>
      <c r="D8996" t="s">
        <v>6621</v>
      </c>
      <c r="F8996" t="s">
        <v>7089</v>
      </c>
      <c r="K8996" s="18">
        <f>6281382139888</f>
        <v>6281382139888</v>
      </c>
      <c r="N8996" s="17" t="s">
        <v>74</v>
      </c>
      <c r="V8996" s="18">
        <f>6281382139888</f>
        <v>6281382139888</v>
      </c>
    </row>
    <row r="8997" ht="15" customHeight="1" spans="1:22" x14ac:dyDescent="0.25">
      <c r="A8997" s="17" t="s">
        <v>24918</v>
      </c>
      <c r="B8997" s="17" t="s">
        <v>70</v>
      </c>
      <c r="C8997" s="17" t="s">
        <v>71</v>
      </c>
      <c r="D8997" t="s">
        <v>24919</v>
      </c>
      <c r="F8997" t="s">
        <v>24920</v>
      </c>
      <c r="K8997" s="18">
        <f>628111001131</f>
        <v>628111001131</v>
      </c>
      <c r="N8997" s="17" t="s">
        <v>77</v>
      </c>
      <c r="V8997" s="18">
        <f>628111001131</f>
        <v>628111001131</v>
      </c>
    </row>
    <row r="8998" ht="15" customHeight="1" spans="1:28" x14ac:dyDescent="0.25">
      <c r="A8998" s="17" t="s">
        <v>24921</v>
      </c>
      <c r="B8998" s="17" t="s">
        <v>70</v>
      </c>
      <c r="C8998" s="17" t="s">
        <v>71</v>
      </c>
      <c r="D8998" t="s">
        <v>6621</v>
      </c>
      <c r="F8998" t="s">
        <v>24922</v>
      </c>
      <c r="J8998" t="s">
        <v>115</v>
      </c>
      <c r="K8998" s="18" t="s">
        <v>24923</v>
      </c>
      <c r="N8998" s="17" t="s">
        <v>77</v>
      </c>
      <c r="O8998" t="s">
        <v>261</v>
      </c>
      <c r="U8998" s="17"/>
      <c r="V8998" s="18" t="s">
        <v>24923</v>
      </c>
      <c r="W8998" t="s">
        <v>24924</v>
      </c>
      <c r="Y8998" s="17" t="s">
        <v>1084</v>
      </c>
      <c r="AA8998" s="17" t="s">
        <v>3146</v>
      </c>
      <c r="AB8998" t="s">
        <v>119</v>
      </c>
    </row>
    <row r="8999" ht="15" customHeight="1" spans="1:22" x14ac:dyDescent="0.25">
      <c r="A8999" s="17" t="s">
        <v>24925</v>
      </c>
      <c r="B8999" s="17" t="s">
        <v>70</v>
      </c>
      <c r="C8999" s="17" t="s">
        <v>71</v>
      </c>
      <c r="D8999" t="s">
        <v>6621</v>
      </c>
      <c r="F8999" t="s">
        <v>24926</v>
      </c>
      <c r="K8999" s="18">
        <f>6281310620205</f>
        <v>6281310620205</v>
      </c>
      <c r="N8999" s="17" t="s">
        <v>77</v>
      </c>
      <c r="V8999" s="18">
        <f>6281310620205</f>
        <v>6281310620205</v>
      </c>
    </row>
    <row r="9000" ht="15" customHeight="1" spans="1:25" x14ac:dyDescent="0.25">
      <c r="A9000" s="17" t="s">
        <v>24927</v>
      </c>
      <c r="B9000" s="17" t="s">
        <v>70</v>
      </c>
      <c r="C9000" s="17" t="s">
        <v>71</v>
      </c>
      <c r="D9000" t="s">
        <v>6621</v>
      </c>
      <c r="F9000" t="s">
        <v>22676</v>
      </c>
      <c r="K9000" s="18">
        <f>6281296308517</f>
        <v>6281296308517</v>
      </c>
      <c r="N9000" s="17" t="s">
        <v>77</v>
      </c>
      <c r="U9000" s="17"/>
      <c r="V9000" s="18">
        <f>6281296308517</f>
        <v>6281296308517</v>
      </c>
      <c r="W9000" t="s">
        <v>24928</v>
      </c>
      <c r="Y9000" s="17" t="s">
        <v>1084</v>
      </c>
    </row>
    <row r="9001" ht="15" customHeight="1" spans="1:28" x14ac:dyDescent="0.25">
      <c r="A9001" s="17" t="s">
        <v>24929</v>
      </c>
      <c r="B9001" s="17" t="s">
        <v>70</v>
      </c>
      <c r="C9001" s="17" t="s">
        <v>71</v>
      </c>
      <c r="D9001" t="s">
        <v>6621</v>
      </c>
      <c r="F9001" t="s">
        <v>24003</v>
      </c>
      <c r="J9001" t="s">
        <v>115</v>
      </c>
      <c r="K9001" s="18" t="s">
        <v>24930</v>
      </c>
      <c r="N9001" s="17" t="s">
        <v>77</v>
      </c>
      <c r="O9001" t="s">
        <v>145</v>
      </c>
      <c r="V9001" s="18" t="s">
        <v>24930</v>
      </c>
      <c r="Y9001" t="s">
        <v>115</v>
      </c>
      <c r="AA9001" t="s">
        <v>115</v>
      </c>
      <c r="AB9001" t="s">
        <v>3140</v>
      </c>
    </row>
    <row r="9002" ht="15" customHeight="1" spans="1:28" x14ac:dyDescent="0.25">
      <c r="A9002" s="17" t="s">
        <v>24931</v>
      </c>
      <c r="B9002" s="17" t="s">
        <v>70</v>
      </c>
      <c r="C9002" s="17" t="s">
        <v>71</v>
      </c>
      <c r="D9002" t="s">
        <v>6621</v>
      </c>
      <c r="F9002" t="s">
        <v>24932</v>
      </c>
      <c r="J9002" t="s">
        <v>115</v>
      </c>
      <c r="K9002" s="18" t="s">
        <v>24933</v>
      </c>
      <c r="N9002" s="17" t="s">
        <v>77</v>
      </c>
      <c r="O9002" t="s">
        <v>199</v>
      </c>
      <c r="V9002" s="18" t="s">
        <v>24933</v>
      </c>
      <c r="Y9002" t="s">
        <v>115</v>
      </c>
      <c r="AA9002" t="s">
        <v>115</v>
      </c>
      <c r="AB9002" t="s">
        <v>3140</v>
      </c>
    </row>
    <row r="9003" ht="15" customHeight="1" spans="1:23" x14ac:dyDescent="0.25">
      <c r="A9003" s="17" t="s">
        <v>24934</v>
      </c>
      <c r="B9003" s="17" t="s">
        <v>70</v>
      </c>
      <c r="C9003" s="17" t="s">
        <v>71</v>
      </c>
      <c r="D9003" t="s">
        <v>6621</v>
      </c>
      <c r="F9003" t="s">
        <v>6082</v>
      </c>
      <c r="K9003" s="18">
        <f>62812872008767</f>
        <v>62812872008767</v>
      </c>
      <c r="N9003" s="17" t="s">
        <v>77</v>
      </c>
      <c r="U9003" s="17"/>
      <c r="V9003" s="18">
        <f>62812872008767</f>
        <v>62812872008767</v>
      </c>
      <c r="W9003" t="s">
        <v>3140</v>
      </c>
    </row>
    <row r="9004" ht="15" customHeight="1" spans="1:23" x14ac:dyDescent="0.25">
      <c r="A9004" s="17" t="s">
        <v>24935</v>
      </c>
      <c r="B9004" s="17" t="s">
        <v>70</v>
      </c>
      <c r="C9004" s="17" t="s">
        <v>71</v>
      </c>
      <c r="D9004" t="s">
        <v>6621</v>
      </c>
      <c r="F9004" t="s">
        <v>10795</v>
      </c>
      <c r="K9004" s="18">
        <f>6285882017005</f>
        <v>6285882017005</v>
      </c>
      <c r="N9004" s="17" t="s">
        <v>81</v>
      </c>
      <c r="U9004" s="17"/>
      <c r="V9004" s="18">
        <f>6285882017005</f>
        <v>6285882017005</v>
      </c>
      <c r="W9004" t="s">
        <v>24936</v>
      </c>
    </row>
    <row r="9005" ht="15" customHeight="1" spans="1:22" x14ac:dyDescent="0.25">
      <c r="A9005" s="17" t="s">
        <v>24937</v>
      </c>
      <c r="B9005" s="17" t="s">
        <v>70</v>
      </c>
      <c r="C9005" s="17" t="s">
        <v>71</v>
      </c>
      <c r="D9005" t="s">
        <v>6621</v>
      </c>
      <c r="F9005" t="s">
        <v>13426</v>
      </c>
      <c r="K9005" s="18">
        <f>6281387009803</f>
        <v>6281387009803</v>
      </c>
      <c r="N9005" s="17" t="s">
        <v>77</v>
      </c>
      <c r="V9005" s="18">
        <f>6281387009803</f>
        <v>6281387009803</v>
      </c>
    </row>
    <row r="9006" ht="15" customHeight="1" spans="1:22" x14ac:dyDescent="0.25">
      <c r="A9006" s="17" t="s">
        <v>24938</v>
      </c>
      <c r="B9006" s="17" t="s">
        <v>70</v>
      </c>
      <c r="C9006" s="17" t="s">
        <v>71</v>
      </c>
      <c r="D9006" t="s">
        <v>6621</v>
      </c>
      <c r="F9006" t="s">
        <v>23939</v>
      </c>
      <c r="K9006" s="18">
        <f>6281290143333</f>
        <v>6281290143333</v>
      </c>
      <c r="N9006" s="17" t="s">
        <v>77</v>
      </c>
      <c r="V9006" s="18">
        <f>6281290143333</f>
        <v>6281290143333</v>
      </c>
    </row>
    <row r="9007" ht="15" customHeight="1" spans="1:23" x14ac:dyDescent="0.25">
      <c r="A9007" s="17" t="s">
        <v>24939</v>
      </c>
      <c r="B9007" s="17" t="s">
        <v>70</v>
      </c>
      <c r="C9007" s="17" t="s">
        <v>71</v>
      </c>
      <c r="D9007" t="s">
        <v>6621</v>
      </c>
      <c r="F9007" t="s">
        <v>2989</v>
      </c>
      <c r="J9007" s="17" t="s">
        <v>24940</v>
      </c>
      <c r="K9007" s="18">
        <f>6281287052022</f>
        <v>6281287052022</v>
      </c>
      <c r="N9007" s="17" t="s">
        <v>81</v>
      </c>
      <c r="U9007" s="17"/>
      <c r="V9007" s="18">
        <f>6281287052022</f>
        <v>6281287052022</v>
      </c>
      <c r="W9007" t="s">
        <v>24941</v>
      </c>
    </row>
    <row r="9008" ht="15" customHeight="1" spans="1:28" x14ac:dyDescent="0.25">
      <c r="A9008" s="17" t="s">
        <v>24942</v>
      </c>
      <c r="B9008" s="17" t="s">
        <v>70</v>
      </c>
      <c r="C9008" s="17" t="s">
        <v>71</v>
      </c>
      <c r="D9008" t="s">
        <v>6621</v>
      </c>
      <c r="F9008" t="s">
        <v>7405</v>
      </c>
      <c r="J9008" t="s">
        <v>115</v>
      </c>
      <c r="K9008" s="18" t="s">
        <v>24943</v>
      </c>
      <c r="N9008" s="17" t="s">
        <v>81</v>
      </c>
      <c r="O9008" t="s">
        <v>489</v>
      </c>
      <c r="U9008" s="17"/>
      <c r="V9008" s="18" t="s">
        <v>24943</v>
      </c>
      <c r="W9008" t="s">
        <v>24944</v>
      </c>
      <c r="Y9008" t="s">
        <v>115</v>
      </c>
      <c r="AA9008" t="s">
        <v>115</v>
      </c>
      <c r="AB9008" t="s">
        <v>119</v>
      </c>
    </row>
    <row r="9009" ht="15" customHeight="1" spans="1:28" x14ac:dyDescent="0.25">
      <c r="A9009" s="17" t="s">
        <v>24945</v>
      </c>
      <c r="B9009" s="17" t="s">
        <v>70</v>
      </c>
      <c r="C9009" s="17" t="s">
        <v>71</v>
      </c>
      <c r="D9009" t="s">
        <v>6621</v>
      </c>
      <c r="F9009" t="s">
        <v>24946</v>
      </c>
      <c r="J9009" t="s">
        <v>115</v>
      </c>
      <c r="K9009" s="18" t="s">
        <v>24947</v>
      </c>
      <c r="N9009" s="17" t="s">
        <v>77</v>
      </c>
      <c r="O9009" t="s">
        <v>199</v>
      </c>
      <c r="V9009" s="18" t="s">
        <v>24947</v>
      </c>
      <c r="Y9009" t="s">
        <v>90</v>
      </c>
      <c r="AA9009" t="s">
        <v>118</v>
      </c>
      <c r="AB9009" t="s">
        <v>119</v>
      </c>
    </row>
    <row r="9010" ht="15" customHeight="1" spans="1:23" x14ac:dyDescent="0.25">
      <c r="A9010" s="17" t="s">
        <v>24948</v>
      </c>
      <c r="B9010" s="17" t="s">
        <v>70</v>
      </c>
      <c r="C9010" s="17" t="s">
        <v>71</v>
      </c>
      <c r="D9010" t="s">
        <v>6621</v>
      </c>
      <c r="F9010" t="s">
        <v>24949</v>
      </c>
      <c r="J9010" s="17" t="s">
        <v>24950</v>
      </c>
      <c r="K9010" s="18">
        <f>85266607060</f>
        <v>85266607060</v>
      </c>
      <c r="N9010" s="17" t="s">
        <v>77</v>
      </c>
      <c r="U9010" s="17"/>
      <c r="V9010" s="18">
        <f>85266607060</f>
        <v>85266607060</v>
      </c>
      <c r="W9010" t="s">
        <v>8335</v>
      </c>
    </row>
    <row r="9011" ht="15" customHeight="1" spans="1:22" x14ac:dyDescent="0.25">
      <c r="A9011" s="17" t="s">
        <v>24951</v>
      </c>
      <c r="B9011" s="17" t="s">
        <v>70</v>
      </c>
      <c r="C9011" s="17" t="s">
        <v>71</v>
      </c>
      <c r="D9011" t="s">
        <v>6621</v>
      </c>
      <c r="F9011" t="s">
        <v>3135</v>
      </c>
      <c r="K9011" s="18">
        <v>15261195666</v>
      </c>
      <c r="N9011" s="17" t="s">
        <v>77</v>
      </c>
      <c r="V9011" s="18">
        <v>15261195666</v>
      </c>
    </row>
    <row r="9012" ht="15" customHeight="1" spans="1:22" x14ac:dyDescent="0.25">
      <c r="A9012" s="17" t="s">
        <v>24952</v>
      </c>
      <c r="B9012" s="17" t="s">
        <v>70</v>
      </c>
      <c r="C9012" s="17" t="s">
        <v>71</v>
      </c>
      <c r="D9012" t="s">
        <v>6621</v>
      </c>
      <c r="F9012" t="s">
        <v>24953</v>
      </c>
      <c r="K9012" s="18">
        <f>6282113433556</f>
        <v>6282113433556</v>
      </c>
      <c r="N9012" s="17" t="s">
        <v>81</v>
      </c>
      <c r="V9012" s="18">
        <f>6282113433556</f>
        <v>6282113433556</v>
      </c>
    </row>
    <row r="9013" ht="15" customHeight="1" spans="1:28" x14ac:dyDescent="0.25">
      <c r="A9013" s="17" t="s">
        <v>24954</v>
      </c>
      <c r="B9013" s="17" t="s">
        <v>70</v>
      </c>
      <c r="C9013" s="17" t="s">
        <v>71</v>
      </c>
      <c r="D9013" t="s">
        <v>6621</v>
      </c>
      <c r="F9013" t="s">
        <v>24955</v>
      </c>
      <c r="J9013" t="s">
        <v>115</v>
      </c>
      <c r="K9013" s="18" t="s">
        <v>24956</v>
      </c>
      <c r="N9013" s="17" t="s">
        <v>77</v>
      </c>
      <c r="O9013" t="s">
        <v>145</v>
      </c>
      <c r="V9013" s="18" t="s">
        <v>24956</v>
      </c>
      <c r="Y9013" t="s">
        <v>115</v>
      </c>
      <c r="AA9013" t="s">
        <v>115</v>
      </c>
      <c r="AB9013" t="s">
        <v>3140</v>
      </c>
    </row>
    <row r="9014" ht="15" customHeight="1" spans="1:28" x14ac:dyDescent="0.25">
      <c r="A9014" s="17" t="s">
        <v>24957</v>
      </c>
      <c r="B9014" s="17" t="s">
        <v>70</v>
      </c>
      <c r="C9014" s="17" t="s">
        <v>71</v>
      </c>
      <c r="D9014" t="s">
        <v>6621</v>
      </c>
      <c r="F9014" t="s">
        <v>20677</v>
      </c>
      <c r="J9014" t="s">
        <v>115</v>
      </c>
      <c r="K9014" s="18" t="s">
        <v>24958</v>
      </c>
      <c r="N9014" s="17" t="s">
        <v>77</v>
      </c>
      <c r="O9014" t="s">
        <v>199</v>
      </c>
      <c r="V9014" s="18" t="s">
        <v>24958</v>
      </c>
      <c r="Y9014" t="s">
        <v>190</v>
      </c>
      <c r="AA9014" t="s">
        <v>118</v>
      </c>
      <c r="AB9014" t="s">
        <v>119</v>
      </c>
    </row>
    <row r="9015" ht="15" customHeight="1" spans="1:22" x14ac:dyDescent="0.25">
      <c r="A9015" s="17" t="s">
        <v>24959</v>
      </c>
      <c r="B9015" s="17" t="s">
        <v>70</v>
      </c>
      <c r="C9015" s="17" t="s">
        <v>71</v>
      </c>
      <c r="D9015" t="s">
        <v>6621</v>
      </c>
      <c r="F9015" t="s">
        <v>8387</v>
      </c>
      <c r="K9015" s="18">
        <f>628111839666</f>
        <v>628111839666</v>
      </c>
      <c r="N9015" s="17" t="s">
        <v>77</v>
      </c>
      <c r="V9015" s="18">
        <f>628111839666</f>
        <v>628111839666</v>
      </c>
    </row>
    <row r="9016" ht="15" customHeight="1" spans="1:22" x14ac:dyDescent="0.25">
      <c r="A9016" s="17" t="s">
        <v>24960</v>
      </c>
      <c r="B9016" s="17" t="s">
        <v>70</v>
      </c>
      <c r="C9016" s="17" t="s">
        <v>71</v>
      </c>
      <c r="D9016" t="s">
        <v>6621</v>
      </c>
      <c r="F9016" t="s">
        <v>7315</v>
      </c>
      <c r="K9016" s="18">
        <f>6281517511922</f>
        <v>6281517511922</v>
      </c>
      <c r="N9016" s="17" t="s">
        <v>81</v>
      </c>
      <c r="V9016" s="18">
        <f>6281517511922</f>
        <v>6281517511922</v>
      </c>
    </row>
    <row r="9017" ht="15" customHeight="1" spans="1:28" x14ac:dyDescent="0.25">
      <c r="A9017" s="17" t="s">
        <v>24961</v>
      </c>
      <c r="B9017" s="17" t="s">
        <v>70</v>
      </c>
      <c r="C9017" s="17" t="s">
        <v>71</v>
      </c>
      <c r="D9017" t="s">
        <v>6621</v>
      </c>
      <c r="F9017" t="s">
        <v>24416</v>
      </c>
      <c r="J9017" s="17" t="s">
        <v>24962</v>
      </c>
      <c r="K9017" s="18" t="s">
        <v>24963</v>
      </c>
      <c r="N9017" s="17" t="s">
        <v>77</v>
      </c>
      <c r="O9017" t="s">
        <v>145</v>
      </c>
      <c r="V9017" s="18" t="s">
        <v>24963</v>
      </c>
      <c r="Y9017" t="s">
        <v>115</v>
      </c>
      <c r="AA9017" t="s">
        <v>115</v>
      </c>
      <c r="AB9017" t="s">
        <v>3140</v>
      </c>
    </row>
    <row r="9018" ht="15" customHeight="1" spans="1:28" x14ac:dyDescent="0.25">
      <c r="A9018" s="17" t="s">
        <v>24964</v>
      </c>
      <c r="B9018" s="17" t="s">
        <v>70</v>
      </c>
      <c r="C9018" s="17" t="s">
        <v>71</v>
      </c>
      <c r="D9018" t="s">
        <v>6621</v>
      </c>
      <c r="F9018" t="s">
        <v>24965</v>
      </c>
      <c r="J9018" t="s">
        <v>115</v>
      </c>
      <c r="K9018" s="18" t="s">
        <v>24966</v>
      </c>
      <c r="N9018" s="17" t="s">
        <v>77</v>
      </c>
      <c r="O9018" t="s">
        <v>261</v>
      </c>
      <c r="V9018" s="18" t="s">
        <v>24966</v>
      </c>
      <c r="Y9018" t="s">
        <v>90</v>
      </c>
      <c r="AA9018" t="s">
        <v>118</v>
      </c>
      <c r="AB9018" t="s">
        <v>119</v>
      </c>
    </row>
    <row r="9019" ht="15" customHeight="1" spans="1:28" x14ac:dyDescent="0.25">
      <c r="A9019" s="17" t="s">
        <v>24967</v>
      </c>
      <c r="B9019" s="17" t="s">
        <v>70</v>
      </c>
      <c r="C9019" s="17" t="s">
        <v>71</v>
      </c>
      <c r="D9019" t="s">
        <v>6621</v>
      </c>
      <c r="F9019" t="s">
        <v>24968</v>
      </c>
      <c r="J9019" s="17" t="s">
        <v>24969</v>
      </c>
      <c r="K9019" s="18" t="s">
        <v>24970</v>
      </c>
      <c r="N9019" s="17" t="s">
        <v>77</v>
      </c>
      <c r="O9019" t="s">
        <v>117</v>
      </c>
      <c r="U9019" s="17"/>
      <c r="V9019" s="18" t="s">
        <v>24970</v>
      </c>
      <c r="W9019" t="s">
        <v>3140</v>
      </c>
      <c r="Y9019" t="s">
        <v>3140</v>
      </c>
      <c r="AA9019" t="s">
        <v>115</v>
      </c>
      <c r="AB9019" t="s">
        <v>3140</v>
      </c>
    </row>
    <row r="9020" ht="15" customHeight="1" spans="1:23" x14ac:dyDescent="0.25">
      <c r="A9020" s="17" t="s">
        <v>24971</v>
      </c>
      <c r="B9020" s="17" t="s">
        <v>70</v>
      </c>
      <c r="C9020" s="17" t="s">
        <v>71</v>
      </c>
      <c r="D9020" t="s">
        <v>24972</v>
      </c>
      <c r="F9020" t="s">
        <v>7293</v>
      </c>
      <c r="J9020" s="17" t="s">
        <v>24973</v>
      </c>
      <c r="K9020" s="18">
        <f>8618603012415</f>
        <v>8618603012415</v>
      </c>
      <c r="N9020" s="17" t="s">
        <v>77</v>
      </c>
      <c r="U9020" s="17"/>
      <c r="V9020" s="18">
        <f>8618603012415</f>
        <v>8618603012415</v>
      </c>
      <c r="W9020" t="s">
        <v>3140</v>
      </c>
    </row>
    <row r="9021" ht="15" customHeight="1" spans="1:28" x14ac:dyDescent="0.25">
      <c r="A9021" s="17" t="s">
        <v>24974</v>
      </c>
      <c r="B9021" s="17" t="s">
        <v>70</v>
      </c>
      <c r="C9021" s="17" t="s">
        <v>71</v>
      </c>
      <c r="D9021" t="s">
        <v>24972</v>
      </c>
      <c r="F9021" t="s">
        <v>6693</v>
      </c>
      <c r="J9021" s="17" t="s">
        <v>24975</v>
      </c>
      <c r="K9021" s="18" t="s">
        <v>24976</v>
      </c>
      <c r="N9021" s="17" t="s">
        <v>77</v>
      </c>
      <c r="O9021" t="s">
        <v>117</v>
      </c>
      <c r="V9021" s="18" t="s">
        <v>24976</v>
      </c>
      <c r="Y9021" t="s">
        <v>115</v>
      </c>
      <c r="AA9021" t="s">
        <v>115</v>
      </c>
      <c r="AB9021" t="s">
        <v>3140</v>
      </c>
    </row>
    <row r="9022" ht="15" customHeight="1" spans="1:28" x14ac:dyDescent="0.25">
      <c r="A9022" s="17" t="s">
        <v>24977</v>
      </c>
      <c r="B9022" s="17" t="s">
        <v>70</v>
      </c>
      <c r="C9022" s="17" t="s">
        <v>71</v>
      </c>
      <c r="D9022" t="s">
        <v>6621</v>
      </c>
      <c r="F9022" t="s">
        <v>24978</v>
      </c>
      <c r="J9022" s="17" t="s">
        <v>24979</v>
      </c>
      <c r="K9022" s="18" t="s">
        <v>24980</v>
      </c>
      <c r="N9022" s="17" t="s">
        <v>77</v>
      </c>
      <c r="O9022" t="s">
        <v>117</v>
      </c>
      <c r="U9022" s="17"/>
      <c r="V9022" s="18" t="s">
        <v>24980</v>
      </c>
      <c r="W9022" t="s">
        <v>3140</v>
      </c>
      <c r="Y9022" t="s">
        <v>3140</v>
      </c>
      <c r="AA9022" t="s">
        <v>115</v>
      </c>
      <c r="AB9022" t="s">
        <v>3140</v>
      </c>
    </row>
    <row r="9023" ht="15" customHeight="1" spans="1:22" x14ac:dyDescent="0.25">
      <c r="A9023" s="17" t="s">
        <v>24981</v>
      </c>
      <c r="B9023" s="17" t="s">
        <v>70</v>
      </c>
      <c r="C9023" s="17" t="s">
        <v>71</v>
      </c>
      <c r="D9023" t="s">
        <v>6621</v>
      </c>
      <c r="F9023" t="s">
        <v>24982</v>
      </c>
      <c r="K9023" s="18">
        <f>8618661981818</f>
        <v>8618661981818</v>
      </c>
      <c r="N9023" s="17" t="s">
        <v>77</v>
      </c>
      <c r="V9023" s="18">
        <f>8618661981818</f>
        <v>8618661981818</v>
      </c>
    </row>
    <row r="9024" ht="15" customHeight="1" spans="1:28" x14ac:dyDescent="0.25">
      <c r="A9024" s="17" t="s">
        <v>24983</v>
      </c>
      <c r="B9024" s="17" t="s">
        <v>70</v>
      </c>
      <c r="C9024" s="17" t="s">
        <v>71</v>
      </c>
      <c r="D9024" t="s">
        <v>6621</v>
      </c>
      <c r="F9024" t="s">
        <v>8400</v>
      </c>
      <c r="J9024" s="17" t="s">
        <v>24984</v>
      </c>
      <c r="K9024" s="18" t="s">
        <v>24985</v>
      </c>
      <c r="N9024" s="17" t="s">
        <v>77</v>
      </c>
      <c r="O9024" t="s">
        <v>117</v>
      </c>
      <c r="V9024" s="18" t="s">
        <v>24985</v>
      </c>
      <c r="Y9024" t="s">
        <v>115</v>
      </c>
      <c r="AA9024" t="s">
        <v>115</v>
      </c>
      <c r="AB9024" t="s">
        <v>3140</v>
      </c>
    </row>
    <row r="9025" ht="15" customHeight="1" spans="1:28" x14ac:dyDescent="0.25">
      <c r="A9025" s="17" t="s">
        <v>24986</v>
      </c>
      <c r="B9025" s="17" t="s">
        <v>70</v>
      </c>
      <c r="C9025" s="17" t="s">
        <v>71</v>
      </c>
      <c r="D9025" t="s">
        <v>6621</v>
      </c>
      <c r="F9025" t="s">
        <v>24987</v>
      </c>
      <c r="J9025" s="17" t="s">
        <v>24988</v>
      </c>
      <c r="K9025" s="18" t="s">
        <v>24989</v>
      </c>
      <c r="N9025" s="17" t="s">
        <v>77</v>
      </c>
      <c r="O9025" t="s">
        <v>117</v>
      </c>
      <c r="V9025" s="18" t="s">
        <v>24989</v>
      </c>
      <c r="Y9025" t="s">
        <v>115</v>
      </c>
      <c r="AA9025" t="s">
        <v>115</v>
      </c>
      <c r="AB9025" t="s">
        <v>3140</v>
      </c>
    </row>
    <row r="9026" ht="15" customHeight="1" spans="1:23" x14ac:dyDescent="0.25">
      <c r="A9026" s="17" t="s">
        <v>24990</v>
      </c>
      <c r="B9026" s="17" t="s">
        <v>70</v>
      </c>
      <c r="C9026" s="17" t="s">
        <v>71</v>
      </c>
      <c r="D9026" t="s">
        <v>24972</v>
      </c>
      <c r="F9026" t="s">
        <v>7315</v>
      </c>
      <c r="J9026" s="17" t="s">
        <v>24991</v>
      </c>
      <c r="K9026" s="18">
        <f>85256290103</f>
        <v>85256290103</v>
      </c>
      <c r="N9026" s="17" t="s">
        <v>77</v>
      </c>
      <c r="U9026" s="17"/>
      <c r="V9026" s="18">
        <f>85256290103</f>
        <v>85256290103</v>
      </c>
      <c r="W9026" t="s">
        <v>3140</v>
      </c>
    </row>
    <row r="9027" ht="15" customHeight="1" spans="1:28" x14ac:dyDescent="0.25">
      <c r="A9027" s="17" t="s">
        <v>24992</v>
      </c>
      <c r="B9027" s="17" t="s">
        <v>70</v>
      </c>
      <c r="C9027" s="17" t="s">
        <v>71</v>
      </c>
      <c r="D9027" t="s">
        <v>24993</v>
      </c>
      <c r="F9027" t="s">
        <v>24994</v>
      </c>
      <c r="J9027" s="17" t="s">
        <v>24995</v>
      </c>
      <c r="K9027" s="18" t="s">
        <v>24996</v>
      </c>
      <c r="N9027" s="17" t="s">
        <v>77</v>
      </c>
      <c r="O9027" t="s">
        <v>145</v>
      </c>
      <c r="U9027" s="17"/>
      <c r="V9027" s="18" t="s">
        <v>24996</v>
      </c>
      <c r="W9027" t="s">
        <v>1908</v>
      </c>
      <c r="Y9027" t="s">
        <v>1909</v>
      </c>
      <c r="AA9027" t="s">
        <v>115</v>
      </c>
      <c r="AB9027" t="s">
        <v>1909</v>
      </c>
    </row>
    <row r="9028" ht="15" customHeight="1" spans="1:27" x14ac:dyDescent="0.25">
      <c r="A9028" s="17" t="s">
        <v>24997</v>
      </c>
      <c r="B9028" s="17" t="s">
        <v>70</v>
      </c>
      <c r="C9028" s="17" t="s">
        <v>71</v>
      </c>
      <c r="D9028" t="s">
        <v>24998</v>
      </c>
      <c r="F9028" t="s">
        <v>24999</v>
      </c>
      <c r="J9028" s="17" t="s">
        <v>25000</v>
      </c>
      <c r="K9028" s="18">
        <f>6287880800404</f>
        <v>6287880800404</v>
      </c>
      <c r="N9028" s="17" t="s">
        <v>77</v>
      </c>
      <c r="U9028" s="17"/>
      <c r="V9028" s="18">
        <f>6287880800404</f>
        <v>6287880800404</v>
      </c>
      <c r="W9028" t="s">
        <v>7565</v>
      </c>
      <c r="Y9028" s="17" t="s">
        <v>378</v>
      </c>
      <c r="AA9028" s="17">
        <v>10310</v>
      </c>
    </row>
    <row r="9029" ht="15" customHeight="1" spans="1:23" x14ac:dyDescent="0.25">
      <c r="A9029" s="17" t="s">
        <v>25001</v>
      </c>
      <c r="B9029" s="17" t="s">
        <v>70</v>
      </c>
      <c r="C9029" s="17" t="s">
        <v>71</v>
      </c>
      <c r="D9029" t="s">
        <v>24998</v>
      </c>
      <c r="F9029" t="s">
        <v>18271</v>
      </c>
      <c r="K9029" s="18">
        <f>628128406853</f>
        <v>628128406853</v>
      </c>
      <c r="N9029" s="17" t="s">
        <v>77</v>
      </c>
      <c r="U9029" s="17"/>
      <c r="V9029" s="18">
        <f>628128406853</f>
        <v>628128406853</v>
      </c>
      <c r="W9029" t="s">
        <v>25002</v>
      </c>
    </row>
    <row r="9030" ht="15" customHeight="1" spans="1:28" x14ac:dyDescent="0.25">
      <c r="A9030" s="17" t="s">
        <v>25003</v>
      </c>
      <c r="B9030" s="17" t="s">
        <v>70</v>
      </c>
      <c r="C9030" s="17" t="s">
        <v>71</v>
      </c>
      <c r="D9030" t="s">
        <v>24998</v>
      </c>
      <c r="F9030" t="s">
        <v>25004</v>
      </c>
      <c r="J9030" s="17" t="s">
        <v>25005</v>
      </c>
      <c r="K9030" s="18" t="s">
        <v>25006</v>
      </c>
      <c r="N9030" s="17" t="s">
        <v>74</v>
      </c>
      <c r="O9030" t="s">
        <v>261</v>
      </c>
      <c r="U9030" s="17"/>
      <c r="V9030" s="18" t="s">
        <v>25006</v>
      </c>
      <c r="W9030" t="s">
        <v>25007</v>
      </c>
      <c r="Y9030" t="s">
        <v>90</v>
      </c>
      <c r="AA9030" t="s">
        <v>118</v>
      </c>
      <c r="AB9030" t="s">
        <v>119</v>
      </c>
    </row>
    <row r="9031" ht="15" customHeight="1" spans="1:28" x14ac:dyDescent="0.25">
      <c r="A9031" s="17" t="s">
        <v>25008</v>
      </c>
      <c r="B9031" s="17" t="s">
        <v>70</v>
      </c>
      <c r="C9031" s="17" t="s">
        <v>71</v>
      </c>
      <c r="D9031" t="s">
        <v>24998</v>
      </c>
      <c r="F9031" t="s">
        <v>25009</v>
      </c>
      <c r="J9031" t="s">
        <v>115</v>
      </c>
      <c r="K9031" s="18" t="s">
        <v>25010</v>
      </c>
      <c r="N9031" s="17" t="s">
        <v>77</v>
      </c>
      <c r="O9031" t="s">
        <v>145</v>
      </c>
      <c r="U9031" s="17"/>
      <c r="V9031" s="18" t="s">
        <v>25010</v>
      </c>
      <c r="W9031" t="s">
        <v>25011</v>
      </c>
      <c r="Y9031" t="s">
        <v>704</v>
      </c>
      <c r="AA9031" t="s">
        <v>705</v>
      </c>
      <c r="AB9031" t="s">
        <v>119</v>
      </c>
    </row>
    <row r="9032" ht="15" customHeight="1" spans="1:22" x14ac:dyDescent="0.25">
      <c r="A9032" s="17" t="s">
        <v>25012</v>
      </c>
      <c r="B9032" s="17" t="s">
        <v>70</v>
      </c>
      <c r="C9032" s="17" t="s">
        <v>71</v>
      </c>
      <c r="D9032" t="s">
        <v>24998</v>
      </c>
      <c r="F9032" t="s">
        <v>25013</v>
      </c>
      <c r="K9032" s="18">
        <f>62215151234</f>
        <v>62215151234</v>
      </c>
      <c r="N9032" s="17" t="s">
        <v>77</v>
      </c>
      <c r="V9032" s="18">
        <f>62215151234</f>
        <v>62215151234</v>
      </c>
    </row>
    <row r="9033" ht="15" customHeight="1" spans="1:23" x14ac:dyDescent="0.25">
      <c r="A9033" s="17" t="s">
        <v>25014</v>
      </c>
      <c r="B9033" s="17" t="s">
        <v>70</v>
      </c>
      <c r="C9033" s="17" t="s">
        <v>71</v>
      </c>
      <c r="D9033" t="s">
        <v>25015</v>
      </c>
      <c r="F9033" t="s">
        <v>25015</v>
      </c>
      <c r="J9033" s="17" t="s">
        <v>25016</v>
      </c>
      <c r="K9033" s="18">
        <f>6281377829711</f>
        <v>6281377829711</v>
      </c>
      <c r="N9033" s="17" t="s">
        <v>77</v>
      </c>
      <c r="U9033" s="17"/>
      <c r="V9033" s="18">
        <f>6281377829711</f>
        <v>6281377829711</v>
      </c>
      <c r="W9033" t="s">
        <v>25017</v>
      </c>
    </row>
    <row r="9034" ht="15" customHeight="1" spans="1:28" x14ac:dyDescent="0.25">
      <c r="A9034" s="17" t="s">
        <v>25018</v>
      </c>
      <c r="B9034" s="17" t="s">
        <v>70</v>
      </c>
      <c r="C9034" s="17" t="s">
        <v>71</v>
      </c>
      <c r="D9034" t="s">
        <v>25019</v>
      </c>
      <c r="F9034" t="s">
        <v>25020</v>
      </c>
      <c r="J9034" t="s">
        <v>115</v>
      </c>
      <c r="K9034" s="18" t="s">
        <v>25021</v>
      </c>
      <c r="N9034" s="17" t="s">
        <v>77</v>
      </c>
      <c r="O9034" t="s">
        <v>489</v>
      </c>
      <c r="V9034" s="18" t="s">
        <v>25021</v>
      </c>
      <c r="Y9034" s="17" t="s">
        <v>90</v>
      </c>
      <c r="AA9034" t="s">
        <v>118</v>
      </c>
      <c r="AB9034" t="s">
        <v>119</v>
      </c>
    </row>
    <row r="9035" ht="15" customHeight="1" spans="1:28" x14ac:dyDescent="0.25">
      <c r="A9035" s="17" t="s">
        <v>25022</v>
      </c>
      <c r="B9035" s="17" t="s">
        <v>70</v>
      </c>
      <c r="C9035" s="17" t="s">
        <v>71</v>
      </c>
      <c r="D9035" t="s">
        <v>17702</v>
      </c>
      <c r="F9035" t="s">
        <v>17702</v>
      </c>
      <c r="J9035" t="s">
        <v>115</v>
      </c>
      <c r="K9035" s="18" t="s">
        <v>25023</v>
      </c>
      <c r="N9035" s="17" t="s">
        <v>77</v>
      </c>
      <c r="O9035" t="s">
        <v>117</v>
      </c>
      <c r="V9035" s="18" t="s">
        <v>25023</v>
      </c>
      <c r="Y9035" t="s">
        <v>90</v>
      </c>
      <c r="AA9035" t="s">
        <v>118</v>
      </c>
      <c r="AB9035" t="s">
        <v>119</v>
      </c>
    </row>
    <row r="9036" ht="15" customHeight="1" spans="1:22" x14ac:dyDescent="0.25">
      <c r="A9036" s="17" t="s">
        <v>25024</v>
      </c>
      <c r="B9036" s="17" t="s">
        <v>70</v>
      </c>
      <c r="C9036" s="17" t="s">
        <v>71</v>
      </c>
      <c r="D9036" t="s">
        <v>17702</v>
      </c>
      <c r="F9036" t="s">
        <v>25025</v>
      </c>
      <c r="K9036" s="18">
        <f>6281805616341</f>
        <v>6281805616341</v>
      </c>
      <c r="N9036" s="17" t="s">
        <v>81</v>
      </c>
      <c r="V9036" s="18">
        <f>6281805616341</f>
        <v>6281805616341</v>
      </c>
    </row>
    <row r="9037" ht="15" customHeight="1" spans="1:22" x14ac:dyDescent="0.25">
      <c r="A9037" s="17" t="s">
        <v>25026</v>
      </c>
      <c r="B9037" s="17" t="s">
        <v>70</v>
      </c>
      <c r="C9037" s="17" t="s">
        <v>71</v>
      </c>
      <c r="D9037" t="s">
        <v>13524</v>
      </c>
      <c r="F9037" t="s">
        <v>13524</v>
      </c>
      <c r="K9037" s="18">
        <f>628111307151</f>
        <v>628111307151</v>
      </c>
      <c r="N9037" s="17" t="s">
        <v>77</v>
      </c>
      <c r="V9037" s="18">
        <f>628111307151</f>
        <v>628111307151</v>
      </c>
    </row>
    <row r="9038" ht="15" customHeight="1" spans="1:25" x14ac:dyDescent="0.25">
      <c r="A9038" s="17" t="s">
        <v>25027</v>
      </c>
      <c r="B9038" s="17" t="s">
        <v>70</v>
      </c>
      <c r="C9038" s="17" t="s">
        <v>71</v>
      </c>
      <c r="D9038" t="s">
        <v>13524</v>
      </c>
      <c r="F9038" t="s">
        <v>13524</v>
      </c>
      <c r="K9038" s="18">
        <f>6285297171123</f>
        <v>6285297171123</v>
      </c>
      <c r="N9038" s="17" t="s">
        <v>77</v>
      </c>
      <c r="U9038" s="17"/>
      <c r="V9038" s="18">
        <f>6285297171123</f>
        <v>6285297171123</v>
      </c>
      <c r="W9038" t="s">
        <v>25028</v>
      </c>
      <c r="Y9038" s="17" t="s">
        <v>1157</v>
      </c>
    </row>
    <row r="9039" ht="15" customHeight="1" spans="1:22" x14ac:dyDescent="0.25">
      <c r="A9039" s="17" t="s">
        <v>25029</v>
      </c>
      <c r="B9039" s="17" t="s">
        <v>70</v>
      </c>
      <c r="C9039" s="17" t="s">
        <v>71</v>
      </c>
      <c r="D9039" t="s">
        <v>13524</v>
      </c>
      <c r="F9039" t="s">
        <v>13524</v>
      </c>
      <c r="K9039" s="18">
        <f>6282122771145</f>
        <v>6282122771145</v>
      </c>
      <c r="N9039" s="17" t="s">
        <v>77</v>
      </c>
      <c r="V9039" s="18">
        <f>6282122771145</f>
        <v>6282122771145</v>
      </c>
    </row>
    <row r="9040" ht="15" customHeight="1" spans="1:27" x14ac:dyDescent="0.25">
      <c r="A9040" s="17" t="s">
        <v>25030</v>
      </c>
      <c r="B9040" s="17" t="s">
        <v>70</v>
      </c>
      <c r="C9040" s="17" t="s">
        <v>71</v>
      </c>
      <c r="D9040" t="s">
        <v>13524</v>
      </c>
      <c r="F9040" t="s">
        <v>618</v>
      </c>
      <c r="J9040" s="17" t="s">
        <v>25031</v>
      </c>
      <c r="K9040" s="18">
        <f>6281298727256</f>
        <v>6281298727256</v>
      </c>
      <c r="N9040" s="17" t="s">
        <v>77</v>
      </c>
      <c r="U9040" s="17"/>
      <c r="V9040" s="18">
        <f>6281298727256</f>
        <v>6281298727256</v>
      </c>
      <c r="W9040" t="s">
        <v>25032</v>
      </c>
      <c r="Y9040" s="17" t="s">
        <v>1084</v>
      </c>
      <c r="AA9040" s="17">
        <v>14440</v>
      </c>
    </row>
    <row r="9041" ht="15" customHeight="1" spans="1:22" x14ac:dyDescent="0.25">
      <c r="A9041" s="17" t="s">
        <v>25033</v>
      </c>
      <c r="B9041" s="17" t="s">
        <v>70</v>
      </c>
      <c r="C9041" s="17" t="s">
        <v>71</v>
      </c>
      <c r="D9041" t="s">
        <v>13524</v>
      </c>
      <c r="F9041" t="s">
        <v>11804</v>
      </c>
      <c r="K9041" s="18">
        <f>62811106777</f>
        <v>62811106777</v>
      </c>
      <c r="N9041" s="17" t="s">
        <v>81</v>
      </c>
      <c r="V9041" s="18">
        <f>62811106777</f>
        <v>62811106777</v>
      </c>
    </row>
    <row r="9042" ht="15" customHeight="1" spans="1:22" x14ac:dyDescent="0.25">
      <c r="A9042" s="17" t="s">
        <v>25034</v>
      </c>
      <c r="B9042" s="17" t="s">
        <v>70</v>
      </c>
      <c r="C9042" s="17" t="s">
        <v>71</v>
      </c>
      <c r="D9042" t="s">
        <v>13524</v>
      </c>
      <c r="F9042" t="s">
        <v>25035</v>
      </c>
      <c r="K9042" s="18">
        <f>628111338026</f>
        <v>628111338026</v>
      </c>
      <c r="N9042" s="17" t="s">
        <v>77</v>
      </c>
      <c r="V9042" s="18">
        <f>628111338026</f>
        <v>628111338026</v>
      </c>
    </row>
    <row r="9043" ht="15" customHeight="1" spans="1:22" x14ac:dyDescent="0.25">
      <c r="A9043" s="17" t="s">
        <v>25036</v>
      </c>
      <c r="B9043" s="17" t="s">
        <v>70</v>
      </c>
      <c r="C9043" s="17" t="s">
        <v>71</v>
      </c>
      <c r="D9043" t="s">
        <v>13524</v>
      </c>
      <c r="F9043" t="s">
        <v>25037</v>
      </c>
      <c r="K9043" s="18">
        <f>62818470663</f>
        <v>62818470663</v>
      </c>
      <c r="N9043" s="17" t="s">
        <v>77</v>
      </c>
      <c r="V9043" s="18">
        <f>62818470663</f>
        <v>62818470663</v>
      </c>
    </row>
    <row r="9044" ht="15" customHeight="1" spans="1:22" x14ac:dyDescent="0.25">
      <c r="A9044" s="17" t="s">
        <v>25038</v>
      </c>
      <c r="B9044" s="17" t="s">
        <v>70</v>
      </c>
      <c r="C9044" s="17" t="s">
        <v>71</v>
      </c>
      <c r="D9044" t="s">
        <v>13524</v>
      </c>
      <c r="F9044" t="s">
        <v>25039</v>
      </c>
      <c r="K9044" s="18">
        <f>6282246780003</f>
        <v>6282246780003</v>
      </c>
      <c r="N9044" s="17" t="s">
        <v>81</v>
      </c>
      <c r="V9044" s="18">
        <f>6282246780003</f>
        <v>6282246780003</v>
      </c>
    </row>
    <row r="9045" ht="15" customHeight="1" spans="1:22" x14ac:dyDescent="0.25">
      <c r="A9045" s="17" t="s">
        <v>25040</v>
      </c>
      <c r="B9045" s="17" t="s">
        <v>70</v>
      </c>
      <c r="C9045" s="17" t="s">
        <v>71</v>
      </c>
      <c r="D9045" t="s">
        <v>13524</v>
      </c>
      <c r="F9045" t="s">
        <v>25041</v>
      </c>
      <c r="K9045" s="18">
        <f>62816803480</f>
        <v>62816803480</v>
      </c>
      <c r="N9045" s="17" t="s">
        <v>77</v>
      </c>
      <c r="V9045" s="18">
        <f>62816803480</f>
        <v>62816803480</v>
      </c>
    </row>
    <row r="9046" ht="15" customHeight="1" spans="1:22" x14ac:dyDescent="0.25">
      <c r="A9046" s="17" t="s">
        <v>25042</v>
      </c>
      <c r="B9046" s="17" t="s">
        <v>70</v>
      </c>
      <c r="C9046" s="17" t="s">
        <v>71</v>
      </c>
      <c r="D9046" t="s">
        <v>13524</v>
      </c>
      <c r="F9046" t="s">
        <v>25043</v>
      </c>
      <c r="K9046" s="18">
        <f>6281210055630</f>
        <v>6281210055630</v>
      </c>
      <c r="N9046" s="17" t="s">
        <v>81</v>
      </c>
      <c r="V9046" s="18">
        <f>6281210055630</f>
        <v>6281210055630</v>
      </c>
    </row>
    <row r="9047" ht="15" customHeight="1" spans="1:22" x14ac:dyDescent="0.25">
      <c r="A9047" s="17" t="s">
        <v>25044</v>
      </c>
      <c r="B9047" s="17" t="s">
        <v>70</v>
      </c>
      <c r="C9047" s="17" t="s">
        <v>71</v>
      </c>
      <c r="D9047" t="s">
        <v>25045</v>
      </c>
      <c r="F9047" t="s">
        <v>25045</v>
      </c>
      <c r="K9047" s="18">
        <f>6282188888810</f>
        <v>6282188888810</v>
      </c>
      <c r="N9047" s="17" t="s">
        <v>77</v>
      </c>
      <c r="V9047" s="18">
        <f>6282188888810</f>
        <v>6282188888810</v>
      </c>
    </row>
    <row r="9048" ht="15" customHeight="1" spans="1:23" x14ac:dyDescent="0.25">
      <c r="A9048" s="17" t="s">
        <v>25046</v>
      </c>
      <c r="B9048" s="17" t="s">
        <v>70</v>
      </c>
      <c r="C9048" s="17" t="s">
        <v>71</v>
      </c>
      <c r="D9048" t="s">
        <v>25047</v>
      </c>
      <c r="F9048" t="s">
        <v>25048</v>
      </c>
      <c r="K9048" s="18">
        <f>628161993040</f>
        <v>628161993040</v>
      </c>
      <c r="N9048" s="17" t="s">
        <v>81</v>
      </c>
      <c r="U9048" s="17"/>
      <c r="V9048" s="18">
        <f>628161993040</f>
        <v>628161993040</v>
      </c>
      <c r="W9048" t="s">
        <v>25049</v>
      </c>
    </row>
    <row r="9049" ht="15" customHeight="1" spans="1:28" x14ac:dyDescent="0.25">
      <c r="A9049" s="17" t="s">
        <v>25050</v>
      </c>
      <c r="B9049" s="17" t="s">
        <v>70</v>
      </c>
      <c r="C9049" s="17" t="s">
        <v>71</v>
      </c>
      <c r="D9049" t="s">
        <v>944</v>
      </c>
      <c r="F9049" t="s">
        <v>25051</v>
      </c>
      <c r="J9049" t="s">
        <v>115</v>
      </c>
      <c r="K9049" s="18" t="s">
        <v>25052</v>
      </c>
      <c r="N9049" s="17" t="s">
        <v>77</v>
      </c>
      <c r="O9049" t="s">
        <v>117</v>
      </c>
      <c r="V9049" s="18" t="s">
        <v>25052</v>
      </c>
      <c r="Y9049" t="s">
        <v>115</v>
      </c>
      <c r="AA9049" t="s">
        <v>115</v>
      </c>
      <c r="AB9049" t="s">
        <v>119</v>
      </c>
    </row>
    <row r="9050" ht="15" customHeight="1" spans="1:22" x14ac:dyDescent="0.25">
      <c r="A9050" s="17" t="s">
        <v>25053</v>
      </c>
      <c r="B9050" s="17" t="s">
        <v>70</v>
      </c>
      <c r="C9050" s="17" t="s">
        <v>71</v>
      </c>
      <c r="D9050" t="s">
        <v>6960</v>
      </c>
      <c r="F9050" t="s">
        <v>25054</v>
      </c>
      <c r="K9050" s="18">
        <f>62816882233</f>
        <v>62816882233</v>
      </c>
      <c r="N9050" s="17" t="s">
        <v>81</v>
      </c>
      <c r="V9050" s="18">
        <f>62816882233</f>
        <v>62816882233</v>
      </c>
    </row>
    <row r="9051" ht="15" customHeight="1" spans="1:23" x14ac:dyDescent="0.25">
      <c r="A9051" s="17" t="s">
        <v>25055</v>
      </c>
      <c r="B9051" s="17" t="s">
        <v>70</v>
      </c>
      <c r="C9051" s="17" t="s">
        <v>71</v>
      </c>
      <c r="D9051" t="s">
        <v>6960</v>
      </c>
      <c r="F9051" t="s">
        <v>15277</v>
      </c>
      <c r="K9051" s="18">
        <f>6281912900900</f>
        <v>6281912900900</v>
      </c>
      <c r="N9051" s="17" t="s">
        <v>77</v>
      </c>
      <c r="U9051" s="17"/>
      <c r="V9051" s="18">
        <f>6281912900900</f>
        <v>6281912900900</v>
      </c>
      <c r="W9051" t="s">
        <v>25056</v>
      </c>
    </row>
    <row r="9052" ht="15" customHeight="1" spans="1:28" x14ac:dyDescent="0.25">
      <c r="A9052" s="17" t="s">
        <v>25057</v>
      </c>
      <c r="B9052" s="17" t="s">
        <v>70</v>
      </c>
      <c r="C9052" s="17" t="s">
        <v>71</v>
      </c>
      <c r="D9052" t="s">
        <v>6960</v>
      </c>
      <c r="F9052" t="s">
        <v>15277</v>
      </c>
      <c r="J9052" t="s">
        <v>115</v>
      </c>
      <c r="K9052" s="18" t="s">
        <v>25058</v>
      </c>
      <c r="N9052" s="17" t="s">
        <v>77</v>
      </c>
      <c r="O9052" t="s">
        <v>489</v>
      </c>
      <c r="U9052" s="17"/>
      <c r="V9052" s="18" t="s">
        <v>25058</v>
      </c>
      <c r="W9052" t="s">
        <v>180</v>
      </c>
      <c r="Y9052" t="s">
        <v>181</v>
      </c>
      <c r="AA9052" t="s">
        <v>1672</v>
      </c>
      <c r="AB9052" t="s">
        <v>119</v>
      </c>
    </row>
    <row r="9053" ht="15" customHeight="1" spans="1:28" x14ac:dyDescent="0.25">
      <c r="A9053" s="17" t="s">
        <v>25059</v>
      </c>
      <c r="B9053" s="17" t="s">
        <v>70</v>
      </c>
      <c r="C9053" s="17" t="s">
        <v>71</v>
      </c>
      <c r="D9053" t="s">
        <v>25060</v>
      </c>
      <c r="F9053" t="s">
        <v>25061</v>
      </c>
      <c r="J9053" s="17" t="s">
        <v>25062</v>
      </c>
      <c r="K9053" s="18" t="s">
        <v>25063</v>
      </c>
      <c r="N9053" s="17" t="s">
        <v>77</v>
      </c>
      <c r="O9053" t="s">
        <v>117</v>
      </c>
      <c r="U9053" s="17"/>
      <c r="V9053" s="18" t="s">
        <v>25063</v>
      </c>
      <c r="W9053" t="s">
        <v>7107</v>
      </c>
      <c r="Y9053" t="s">
        <v>7108</v>
      </c>
      <c r="AA9053" t="s">
        <v>115</v>
      </c>
      <c r="AB9053" t="s">
        <v>7108</v>
      </c>
    </row>
    <row r="9054" ht="15" customHeight="1" spans="1:28" x14ac:dyDescent="0.25">
      <c r="A9054" s="17" t="s">
        <v>25064</v>
      </c>
      <c r="B9054" s="17" t="s">
        <v>70</v>
      </c>
      <c r="C9054" s="17" t="s">
        <v>71</v>
      </c>
      <c r="D9054" t="s">
        <v>11651</v>
      </c>
      <c r="F9054" t="s">
        <v>25065</v>
      </c>
      <c r="J9054" s="17" t="s">
        <v>25066</v>
      </c>
      <c r="K9054" s="18" t="s">
        <v>25067</v>
      </c>
      <c r="N9054" s="17" t="s">
        <v>77</v>
      </c>
      <c r="O9054" t="s">
        <v>145</v>
      </c>
      <c r="U9054" s="17"/>
      <c r="V9054" s="18" t="s">
        <v>25067</v>
      </c>
      <c r="W9054" t="s">
        <v>1908</v>
      </c>
      <c r="Y9054" t="s">
        <v>115</v>
      </c>
      <c r="AA9054" t="s">
        <v>115</v>
      </c>
      <c r="AB9054" t="s">
        <v>2605</v>
      </c>
    </row>
    <row r="9055" ht="15" customHeight="1" spans="1:23" x14ac:dyDescent="0.25">
      <c r="A9055" s="17" t="s">
        <v>25068</v>
      </c>
      <c r="B9055" s="17" t="s">
        <v>70</v>
      </c>
      <c r="C9055" s="17" t="s">
        <v>71</v>
      </c>
      <c r="D9055" t="s">
        <v>25069</v>
      </c>
      <c r="F9055" t="s">
        <v>25070</v>
      </c>
      <c r="J9055" s="17" t="s">
        <v>25071</v>
      </c>
      <c r="K9055" s="18">
        <f>447591172414</f>
        <v>447591172414</v>
      </c>
      <c r="N9055" s="17" t="s">
        <v>77</v>
      </c>
      <c r="U9055" s="17"/>
      <c r="V9055" s="18">
        <f>447591172414</f>
        <v>447591172414</v>
      </c>
      <c r="W9055" t="s">
        <v>25072</v>
      </c>
    </row>
    <row r="9056" ht="15" customHeight="1" spans="1:22" x14ac:dyDescent="0.25">
      <c r="A9056" s="17" t="s">
        <v>25073</v>
      </c>
      <c r="B9056" s="17" t="s">
        <v>70</v>
      </c>
      <c r="C9056" s="17" t="s">
        <v>71</v>
      </c>
      <c r="D9056" t="s">
        <v>25074</v>
      </c>
      <c r="F9056" t="s">
        <v>25075</v>
      </c>
      <c r="K9056" s="18">
        <f>6281285002001</f>
        <v>6281285002001</v>
      </c>
      <c r="N9056" s="17" t="s">
        <v>74</v>
      </c>
      <c r="V9056" s="18">
        <f>6281285002001</f>
        <v>6281285002001</v>
      </c>
    </row>
    <row r="9057" ht="15" customHeight="1" spans="1:22" x14ac:dyDescent="0.25">
      <c r="A9057" s="17" t="s">
        <v>25076</v>
      </c>
      <c r="B9057" s="17" t="s">
        <v>70</v>
      </c>
      <c r="C9057" s="17" t="s">
        <v>71</v>
      </c>
      <c r="D9057" t="s">
        <v>25077</v>
      </c>
      <c r="F9057" t="s">
        <v>4795</v>
      </c>
      <c r="K9057" s="18">
        <f>62811957555</f>
        <v>62811957555</v>
      </c>
      <c r="N9057" s="17" t="s">
        <v>74</v>
      </c>
      <c r="V9057" s="18">
        <f>62811957555</f>
        <v>62811957555</v>
      </c>
    </row>
    <row r="9058" ht="15" customHeight="1" spans="1:28" x14ac:dyDescent="0.25">
      <c r="A9058" s="17" t="s">
        <v>25078</v>
      </c>
      <c r="B9058" s="17" t="s">
        <v>70</v>
      </c>
      <c r="C9058" s="17" t="s">
        <v>71</v>
      </c>
      <c r="D9058" t="s">
        <v>25079</v>
      </c>
      <c r="F9058" t="s">
        <v>23565</v>
      </c>
      <c r="J9058" s="17" t="s">
        <v>25080</v>
      </c>
      <c r="K9058" s="18" t="s">
        <v>25081</v>
      </c>
      <c r="N9058" s="17" t="s">
        <v>77</v>
      </c>
      <c r="O9058" t="s">
        <v>145</v>
      </c>
      <c r="V9058" s="18" t="s">
        <v>25081</v>
      </c>
      <c r="Y9058" s="17" t="s">
        <v>2356</v>
      </c>
      <c r="AA9058" t="s">
        <v>115</v>
      </c>
      <c r="AB9058" t="s">
        <v>2356</v>
      </c>
    </row>
    <row r="9059" ht="15" customHeight="1" spans="1:23" x14ac:dyDescent="0.25">
      <c r="A9059" s="17" t="s">
        <v>25082</v>
      </c>
      <c r="B9059" s="17" t="s">
        <v>70</v>
      </c>
      <c r="C9059" s="17" t="s">
        <v>71</v>
      </c>
      <c r="D9059" t="s">
        <v>25083</v>
      </c>
      <c r="F9059" t="s">
        <v>25083</v>
      </c>
      <c r="K9059" s="18">
        <f>62811152627</f>
        <v>62811152627</v>
      </c>
      <c r="N9059" s="17" t="s">
        <v>81</v>
      </c>
      <c r="U9059" s="17"/>
      <c r="V9059" s="18">
        <f>62811152627</f>
        <v>62811152627</v>
      </c>
      <c r="W9059" t="s">
        <v>25084</v>
      </c>
    </row>
    <row r="9060" ht="15" customHeight="1" spans="1:22" x14ac:dyDescent="0.25">
      <c r="A9060" s="17" t="s">
        <v>25085</v>
      </c>
      <c r="B9060" s="17" t="s">
        <v>70</v>
      </c>
      <c r="C9060" s="17" t="s">
        <v>71</v>
      </c>
      <c r="D9060" t="s">
        <v>25083</v>
      </c>
      <c r="F9060" t="s">
        <v>25083</v>
      </c>
      <c r="K9060" s="18">
        <f>62811941341</f>
        <v>62811941341</v>
      </c>
      <c r="N9060" s="17" t="s">
        <v>77</v>
      </c>
      <c r="V9060" s="18">
        <f>62811941341</f>
        <v>62811941341</v>
      </c>
    </row>
    <row r="9061" ht="15" customHeight="1" spans="1:25" x14ac:dyDescent="0.25">
      <c r="A9061" s="17" t="s">
        <v>25086</v>
      </c>
      <c r="B9061" s="17" t="s">
        <v>70</v>
      </c>
      <c r="C9061" s="17" t="s">
        <v>71</v>
      </c>
      <c r="D9061" t="s">
        <v>25083</v>
      </c>
      <c r="F9061" t="s">
        <v>509</v>
      </c>
      <c r="J9061" s="17" t="s">
        <v>25087</v>
      </c>
      <c r="K9061" s="18">
        <f>628111118108</f>
        <v>628111118108</v>
      </c>
      <c r="N9061" s="17" t="s">
        <v>77</v>
      </c>
      <c r="U9061" s="17"/>
      <c r="V9061" s="18">
        <f>628111118108</f>
        <v>628111118108</v>
      </c>
      <c r="W9061" t="s">
        <v>25088</v>
      </c>
      <c r="Y9061" s="17" t="s">
        <v>90</v>
      </c>
    </row>
    <row r="9062" ht="15" customHeight="1" spans="1:22" x14ac:dyDescent="0.25">
      <c r="A9062" s="17" t="s">
        <v>25089</v>
      </c>
      <c r="B9062" s="17" t="s">
        <v>70</v>
      </c>
      <c r="C9062" s="17" t="s">
        <v>71</v>
      </c>
      <c r="D9062" t="s">
        <v>25090</v>
      </c>
      <c r="F9062" t="s">
        <v>25091</v>
      </c>
      <c r="K9062" s="18">
        <f>6281317722119</f>
        <v>6281317722119</v>
      </c>
      <c r="N9062" s="17" t="s">
        <v>77</v>
      </c>
      <c r="V9062" s="18">
        <f>6281317722119</f>
        <v>6281317722119</v>
      </c>
    </row>
    <row r="9063" ht="15" customHeight="1" spans="1:28" x14ac:dyDescent="0.25">
      <c r="A9063" s="17" t="s">
        <v>25092</v>
      </c>
      <c r="B9063" s="17" t="s">
        <v>70</v>
      </c>
      <c r="C9063" s="17" t="s">
        <v>71</v>
      </c>
      <c r="D9063" t="s">
        <v>25093</v>
      </c>
      <c r="F9063" t="s">
        <v>25094</v>
      </c>
      <c r="J9063" t="s">
        <v>115</v>
      </c>
      <c r="K9063" s="18" t="s">
        <v>25095</v>
      </c>
      <c r="N9063" s="17" t="s">
        <v>77</v>
      </c>
      <c r="O9063" t="s">
        <v>117</v>
      </c>
      <c r="V9063" s="18" t="s">
        <v>25095</v>
      </c>
      <c r="Y9063" t="s">
        <v>115</v>
      </c>
      <c r="AA9063" t="s">
        <v>115</v>
      </c>
      <c r="AB9063" t="s">
        <v>119</v>
      </c>
    </row>
    <row r="9064" ht="15" customHeight="1" spans="1:22" x14ac:dyDescent="0.25">
      <c r="A9064" s="17" t="s">
        <v>25096</v>
      </c>
      <c r="B9064" s="17" t="s">
        <v>70</v>
      </c>
      <c r="C9064" s="17" t="s">
        <v>71</v>
      </c>
      <c r="D9064" t="s">
        <v>25097</v>
      </c>
      <c r="F9064" t="s">
        <v>25097</v>
      </c>
      <c r="K9064" s="18">
        <f>628159171828</f>
        <v>628159171828</v>
      </c>
      <c r="N9064" s="17" t="s">
        <v>74</v>
      </c>
      <c r="V9064" s="18">
        <f>628159171828</f>
        <v>628159171828</v>
      </c>
    </row>
    <row r="9065" ht="15" customHeight="1" spans="1:28" x14ac:dyDescent="0.25">
      <c r="A9065" s="17" t="s">
        <v>25098</v>
      </c>
      <c r="B9065" s="17" t="s">
        <v>70</v>
      </c>
      <c r="C9065" s="17" t="s">
        <v>71</v>
      </c>
      <c r="D9065" t="s">
        <v>25099</v>
      </c>
      <c r="F9065" t="s">
        <v>1704</v>
      </c>
      <c r="J9065" t="s">
        <v>115</v>
      </c>
      <c r="K9065" s="18" t="s">
        <v>25100</v>
      </c>
      <c r="N9065" s="17" t="s">
        <v>77</v>
      </c>
      <c r="O9065" t="s">
        <v>261</v>
      </c>
      <c r="U9065" s="17"/>
      <c r="V9065" s="18" t="s">
        <v>25100</v>
      </c>
      <c r="W9065" t="s">
        <v>25101</v>
      </c>
      <c r="Y9065" t="s">
        <v>190</v>
      </c>
      <c r="AA9065" t="s">
        <v>118</v>
      </c>
      <c r="AB9065" t="s">
        <v>119</v>
      </c>
    </row>
    <row r="9066" ht="15" customHeight="1" spans="1:28" x14ac:dyDescent="0.25">
      <c r="A9066" s="17" t="s">
        <v>25102</v>
      </c>
      <c r="B9066" s="17" t="s">
        <v>70</v>
      </c>
      <c r="C9066" s="17" t="s">
        <v>71</v>
      </c>
      <c r="D9066" t="s">
        <v>25103</v>
      </c>
      <c r="F9066" t="s">
        <v>25103</v>
      </c>
      <c r="J9066" t="s">
        <v>115</v>
      </c>
      <c r="K9066" s="18" t="s">
        <v>25104</v>
      </c>
      <c r="N9066" s="17" t="s">
        <v>81</v>
      </c>
      <c r="O9066" t="s">
        <v>261</v>
      </c>
      <c r="U9066" s="17"/>
      <c r="V9066" s="18" t="s">
        <v>25104</v>
      </c>
      <c r="W9066" t="s">
        <v>25105</v>
      </c>
      <c r="Y9066" t="s">
        <v>217</v>
      </c>
      <c r="AA9066" t="s">
        <v>218</v>
      </c>
      <c r="AB9066" t="s">
        <v>119</v>
      </c>
    </row>
    <row r="9067" ht="15" customHeight="1" spans="1:22" x14ac:dyDescent="0.25">
      <c r="A9067" s="17" t="s">
        <v>25106</v>
      </c>
      <c r="B9067" s="17" t="s">
        <v>70</v>
      </c>
      <c r="C9067" s="17" t="s">
        <v>71</v>
      </c>
      <c r="D9067" t="s">
        <v>25107</v>
      </c>
      <c r="F9067" t="s">
        <v>7725</v>
      </c>
      <c r="K9067" s="18">
        <f>62811520155</f>
        <v>62811520155</v>
      </c>
      <c r="N9067" s="17" t="s">
        <v>77</v>
      </c>
      <c r="V9067" s="18">
        <f>62811520155</f>
        <v>62811520155</v>
      </c>
    </row>
    <row r="9068" ht="15" customHeight="1" spans="1:23" x14ac:dyDescent="0.25">
      <c r="A9068" s="17" t="s">
        <v>25108</v>
      </c>
      <c r="B9068" s="17" t="s">
        <v>70</v>
      </c>
      <c r="C9068" s="17" t="s">
        <v>71</v>
      </c>
      <c r="D9068" t="s">
        <v>25109</v>
      </c>
      <c r="F9068" t="s">
        <v>8962</v>
      </c>
      <c r="K9068" s="18">
        <f>6287876748889</f>
        <v>6287876748889</v>
      </c>
      <c r="N9068" s="17" t="s">
        <v>77</v>
      </c>
      <c r="U9068" s="17"/>
      <c r="V9068" s="18">
        <f>6287876748889</f>
        <v>6287876748889</v>
      </c>
      <c r="W9068" t="s">
        <v>25110</v>
      </c>
    </row>
    <row r="9069" ht="15" customHeight="1" spans="1:22" x14ac:dyDescent="0.25">
      <c r="A9069" s="17" t="s">
        <v>25111</v>
      </c>
      <c r="B9069" s="17" t="s">
        <v>70</v>
      </c>
      <c r="C9069" s="17" t="s">
        <v>71</v>
      </c>
      <c r="D9069" t="s">
        <v>25112</v>
      </c>
      <c r="F9069" t="s">
        <v>25113</v>
      </c>
      <c r="K9069" s="18">
        <f>628151808694</f>
        <v>628151808694</v>
      </c>
      <c r="N9069" s="17" t="s">
        <v>74</v>
      </c>
      <c r="V9069" s="18">
        <f>628151808694</f>
        <v>628151808694</v>
      </c>
    </row>
    <row r="9070" ht="15" customHeight="1" spans="1:22" x14ac:dyDescent="0.25">
      <c r="A9070" s="17" t="s">
        <v>25114</v>
      </c>
      <c r="B9070" s="17" t="s">
        <v>70</v>
      </c>
      <c r="C9070" s="17" t="s">
        <v>71</v>
      </c>
      <c r="D9070" t="s">
        <v>25115</v>
      </c>
      <c r="F9070" t="s">
        <v>25115</v>
      </c>
      <c r="K9070" s="18">
        <f>6281288635050</f>
        <v>6281288635050</v>
      </c>
      <c r="N9070" s="17" t="s">
        <v>81</v>
      </c>
      <c r="V9070" s="18">
        <f>6281288635050</f>
        <v>6281288635050</v>
      </c>
    </row>
    <row r="9071" ht="15" customHeight="1" spans="1:23" x14ac:dyDescent="0.25">
      <c r="A9071" s="17" t="s">
        <v>25116</v>
      </c>
      <c r="B9071" s="17" t="s">
        <v>70</v>
      </c>
      <c r="C9071" s="17" t="s">
        <v>71</v>
      </c>
      <c r="D9071" t="s">
        <v>25117</v>
      </c>
      <c r="F9071" t="s">
        <v>25118</v>
      </c>
      <c r="K9071" s="18">
        <f>8615805790013</f>
        <v>8615805790013</v>
      </c>
      <c r="N9071" s="17" t="s">
        <v>77</v>
      </c>
      <c r="U9071" s="17"/>
      <c r="V9071" s="18">
        <f>8615805790013</f>
        <v>8615805790013</v>
      </c>
      <c r="W9071" t="s">
        <v>3140</v>
      </c>
    </row>
    <row r="9072" ht="15" customHeight="1" spans="1:22" x14ac:dyDescent="0.25">
      <c r="A9072" s="17" t="s">
        <v>25119</v>
      </c>
      <c r="B9072" s="17" t="s">
        <v>70</v>
      </c>
      <c r="C9072" s="17" t="s">
        <v>71</v>
      </c>
      <c r="D9072" t="s">
        <v>25120</v>
      </c>
      <c r="F9072" t="s">
        <v>12056</v>
      </c>
      <c r="K9072" s="18">
        <f>628159166378</f>
        <v>628159166378</v>
      </c>
      <c r="N9072" s="17" t="s">
        <v>77</v>
      </c>
      <c r="V9072" s="18">
        <f>628159166378</f>
        <v>628159166378</v>
      </c>
    </row>
    <row r="9073" ht="15" customHeight="1" spans="1:28" x14ac:dyDescent="0.25">
      <c r="A9073" s="17" t="s">
        <v>25121</v>
      </c>
      <c r="B9073" s="17" t="s">
        <v>70</v>
      </c>
      <c r="C9073" s="17" t="s">
        <v>71</v>
      </c>
      <c r="D9073" t="s">
        <v>25122</v>
      </c>
      <c r="F9073" t="s">
        <v>25123</v>
      </c>
      <c r="J9073" t="s">
        <v>115</v>
      </c>
      <c r="K9073" s="18" t="s">
        <v>25124</v>
      </c>
      <c r="N9073" s="17" t="s">
        <v>77</v>
      </c>
      <c r="O9073" t="s">
        <v>489</v>
      </c>
      <c r="V9073" s="18" t="s">
        <v>25124</v>
      </c>
      <c r="Y9073" t="s">
        <v>90</v>
      </c>
      <c r="AA9073" t="s">
        <v>118</v>
      </c>
      <c r="AB9073" t="s">
        <v>119</v>
      </c>
    </row>
    <row r="9074" ht="15" customHeight="1" spans="1:25" x14ac:dyDescent="0.25">
      <c r="A9074" s="17" t="s">
        <v>25125</v>
      </c>
      <c r="B9074" s="17" t="s">
        <v>70</v>
      </c>
      <c r="C9074" s="17" t="s">
        <v>71</v>
      </c>
      <c r="D9074" t="s">
        <v>25120</v>
      </c>
      <c r="F9074" t="s">
        <v>25126</v>
      </c>
      <c r="K9074" s="18">
        <f>628131076176</f>
        <v>628131076176</v>
      </c>
      <c r="N9074" s="17" t="s">
        <v>74</v>
      </c>
      <c r="U9074" s="17"/>
      <c r="V9074" s="18">
        <f>628131076176</f>
        <v>628131076176</v>
      </c>
      <c r="W9074" t="s">
        <v>25127</v>
      </c>
      <c r="Y9074" s="17" t="s">
        <v>626</v>
      </c>
    </row>
    <row r="9075" ht="15" customHeight="1" spans="1:22" x14ac:dyDescent="0.25">
      <c r="A9075" s="17" t="s">
        <v>25128</v>
      </c>
      <c r="B9075" s="17" t="s">
        <v>70</v>
      </c>
      <c r="C9075" s="17" t="s">
        <v>71</v>
      </c>
      <c r="D9075" t="s">
        <v>8425</v>
      </c>
      <c r="F9075" t="s">
        <v>8425</v>
      </c>
      <c r="K9075" s="18">
        <f>628615089899071</f>
        <v>628615089899071</v>
      </c>
      <c r="N9075" s="17" t="s">
        <v>77</v>
      </c>
      <c r="V9075" s="18">
        <f>628615089899071</f>
        <v>628615089899071</v>
      </c>
    </row>
    <row r="9076" ht="15" customHeight="1" spans="1:28" x14ac:dyDescent="0.25">
      <c r="A9076" s="17" t="s">
        <v>25129</v>
      </c>
      <c r="B9076" s="17" t="s">
        <v>70</v>
      </c>
      <c r="C9076" s="17" t="s">
        <v>71</v>
      </c>
      <c r="D9076" t="s">
        <v>25130</v>
      </c>
      <c r="F9076" t="s">
        <v>25131</v>
      </c>
      <c r="J9076" t="s">
        <v>115</v>
      </c>
      <c r="K9076" s="18" t="s">
        <v>25132</v>
      </c>
      <c r="N9076" s="17" t="s">
        <v>81</v>
      </c>
      <c r="O9076" t="s">
        <v>117</v>
      </c>
      <c r="V9076" s="18" t="s">
        <v>25132</v>
      </c>
      <c r="Y9076" s="17" t="s">
        <v>190</v>
      </c>
      <c r="AA9076" t="s">
        <v>118</v>
      </c>
      <c r="AB9076" t="s">
        <v>119</v>
      </c>
    </row>
    <row r="9077" ht="15" customHeight="1" spans="1:22" x14ac:dyDescent="0.25">
      <c r="A9077" s="17" t="s">
        <v>25133</v>
      </c>
      <c r="B9077" s="17" t="s">
        <v>70</v>
      </c>
      <c r="C9077" s="17" t="s">
        <v>71</v>
      </c>
      <c r="D9077" t="s">
        <v>25134</v>
      </c>
      <c r="F9077" t="s">
        <v>25134</v>
      </c>
      <c r="K9077" s="18">
        <f>62816956263</f>
        <v>62816956263</v>
      </c>
      <c r="N9077" s="17" t="s">
        <v>81</v>
      </c>
      <c r="V9077" s="18">
        <f>62816956263</f>
        <v>62816956263</v>
      </c>
    </row>
    <row r="9078" ht="15" customHeight="1" spans="1:23" x14ac:dyDescent="0.25">
      <c r="A9078" s="17" t="s">
        <v>25135</v>
      </c>
      <c r="B9078" s="17" t="s">
        <v>70</v>
      </c>
      <c r="C9078" s="17" t="s">
        <v>71</v>
      </c>
      <c r="D9078" t="s">
        <v>25136</v>
      </c>
      <c r="F9078" t="s">
        <v>12117</v>
      </c>
      <c r="K9078" s="18">
        <f>62816964545</f>
        <v>62816964545</v>
      </c>
      <c r="N9078" s="17" t="s">
        <v>74</v>
      </c>
      <c r="U9078" s="17"/>
      <c r="V9078" s="18">
        <f>62816964545</f>
        <v>62816964545</v>
      </c>
      <c r="W9078" t="s">
        <v>25137</v>
      </c>
    </row>
    <row r="9079" ht="15" customHeight="1" spans="1:23" x14ac:dyDescent="0.25">
      <c r="A9079" s="17" t="s">
        <v>25138</v>
      </c>
      <c r="B9079" s="17" t="s">
        <v>70</v>
      </c>
      <c r="C9079" s="17" t="s">
        <v>71</v>
      </c>
      <c r="D9079" t="s">
        <v>25139</v>
      </c>
      <c r="F9079" t="s">
        <v>25140</v>
      </c>
      <c r="K9079" s="18">
        <f>628119111144</f>
        <v>628119111144</v>
      </c>
      <c r="N9079" s="17" t="s">
        <v>81</v>
      </c>
      <c r="U9079" s="17"/>
      <c r="V9079" s="18">
        <f>628119111144</f>
        <v>628119111144</v>
      </c>
      <c r="W9079" t="s">
        <v>25141</v>
      </c>
    </row>
    <row r="9080" ht="15" customHeight="1" spans="1:23" x14ac:dyDescent="0.25">
      <c r="A9080" s="17" t="s">
        <v>25142</v>
      </c>
      <c r="B9080" s="17" t="s">
        <v>70</v>
      </c>
      <c r="C9080" s="17" t="s">
        <v>71</v>
      </c>
      <c r="D9080" t="s">
        <v>25143</v>
      </c>
      <c r="F9080" t="s">
        <v>25144</v>
      </c>
      <c r="K9080" s="18">
        <f>61421133720</f>
        <v>61421133720</v>
      </c>
      <c r="N9080" s="17" t="s">
        <v>77</v>
      </c>
      <c r="U9080" s="17"/>
      <c r="V9080" s="18">
        <f>61421133720</f>
        <v>61421133720</v>
      </c>
      <c r="W9080" t="s">
        <v>25145</v>
      </c>
    </row>
    <row r="9081" ht="15" customHeight="1" spans="1:22" x14ac:dyDescent="0.25">
      <c r="A9081" s="17" t="s">
        <v>25146</v>
      </c>
      <c r="B9081" s="17" t="s">
        <v>70</v>
      </c>
      <c r="C9081" s="17" t="s">
        <v>71</v>
      </c>
      <c r="D9081" t="s">
        <v>25147</v>
      </c>
      <c r="F9081" t="s">
        <v>3585</v>
      </c>
      <c r="K9081" s="18">
        <f>62816985526</f>
        <v>62816985526</v>
      </c>
      <c r="N9081" s="17" t="s">
        <v>77</v>
      </c>
      <c r="V9081" s="18">
        <f>62816985526</f>
        <v>62816985526</v>
      </c>
    </row>
    <row r="9082" ht="15" customHeight="1" spans="1:23" x14ac:dyDescent="0.25">
      <c r="A9082" s="17" t="s">
        <v>25148</v>
      </c>
      <c r="B9082" s="17" t="s">
        <v>70</v>
      </c>
      <c r="C9082" s="17" t="s">
        <v>71</v>
      </c>
      <c r="D9082" t="s">
        <v>7304</v>
      </c>
      <c r="F9082" t="s">
        <v>25149</v>
      </c>
      <c r="K9082" s="18">
        <f>8613916914735</f>
        <v>8613916914735</v>
      </c>
      <c r="N9082" s="17" t="s">
        <v>77</v>
      </c>
      <c r="U9082" s="17"/>
      <c r="V9082" s="18">
        <f>8613916914735</f>
        <v>8613916914735</v>
      </c>
      <c r="W9082" t="s">
        <v>7920</v>
      </c>
    </row>
    <row r="9083" ht="15" customHeight="1" spans="1:28" x14ac:dyDescent="0.25">
      <c r="A9083" s="17" t="s">
        <v>25150</v>
      </c>
      <c r="B9083" s="17" t="s">
        <v>70</v>
      </c>
      <c r="C9083" s="17" t="s">
        <v>71</v>
      </c>
      <c r="D9083" t="s">
        <v>25151</v>
      </c>
      <c r="F9083" t="s">
        <v>7909</v>
      </c>
      <c r="J9083" t="s">
        <v>115</v>
      </c>
      <c r="K9083" s="18" t="s">
        <v>25152</v>
      </c>
      <c r="N9083" s="17" t="s">
        <v>77</v>
      </c>
      <c r="O9083" t="s">
        <v>145</v>
      </c>
      <c r="V9083" s="18" t="s">
        <v>25152</v>
      </c>
      <c r="Y9083" t="s">
        <v>190</v>
      </c>
      <c r="AA9083" t="s">
        <v>118</v>
      </c>
      <c r="AB9083" t="s">
        <v>119</v>
      </c>
    </row>
    <row r="9084" ht="15" customHeight="1" spans="1:28" x14ac:dyDescent="0.25">
      <c r="A9084" s="17" t="s">
        <v>25153</v>
      </c>
      <c r="B9084" s="17" t="s">
        <v>70</v>
      </c>
      <c r="C9084" s="17" t="s">
        <v>71</v>
      </c>
      <c r="D9084" t="s">
        <v>7304</v>
      </c>
      <c r="F9084" t="s">
        <v>25154</v>
      </c>
      <c r="J9084" s="17" t="s">
        <v>25155</v>
      </c>
      <c r="K9084" s="18" t="s">
        <v>25156</v>
      </c>
      <c r="N9084" s="17" t="s">
        <v>77</v>
      </c>
      <c r="O9084" t="s">
        <v>145</v>
      </c>
      <c r="V9084" s="18" t="s">
        <v>25156</v>
      </c>
      <c r="Y9084" t="s">
        <v>115</v>
      </c>
      <c r="AA9084" t="s">
        <v>115</v>
      </c>
      <c r="AB9084" t="s">
        <v>3140</v>
      </c>
    </row>
    <row r="9085" ht="15" customHeight="1" spans="1:28" x14ac:dyDescent="0.25">
      <c r="A9085" s="17" t="s">
        <v>25157</v>
      </c>
      <c r="B9085" s="17" t="s">
        <v>70</v>
      </c>
      <c r="C9085" s="17" t="s">
        <v>71</v>
      </c>
      <c r="D9085" t="s">
        <v>25158</v>
      </c>
      <c r="F9085" t="s">
        <v>6621</v>
      </c>
      <c r="J9085" s="17" t="s">
        <v>25159</v>
      </c>
      <c r="K9085" s="18" t="s">
        <v>25160</v>
      </c>
      <c r="N9085" s="17" t="s">
        <v>77</v>
      </c>
      <c r="O9085" t="s">
        <v>145</v>
      </c>
      <c r="V9085" s="18" t="s">
        <v>25160</v>
      </c>
      <c r="Y9085" t="s">
        <v>115</v>
      </c>
      <c r="AA9085" t="s">
        <v>115</v>
      </c>
      <c r="AB9085" t="s">
        <v>3140</v>
      </c>
    </row>
    <row r="9086" ht="15" customHeight="1" spans="1:22" x14ac:dyDescent="0.25">
      <c r="A9086" s="17" t="s">
        <v>25161</v>
      </c>
      <c r="B9086" s="17" t="s">
        <v>70</v>
      </c>
      <c r="C9086" s="17" t="s">
        <v>71</v>
      </c>
      <c r="D9086" t="s">
        <v>25162</v>
      </c>
      <c r="F9086" t="s">
        <v>25163</v>
      </c>
      <c r="K9086" s="18">
        <f>88613901791111</f>
        <v>88613901791111</v>
      </c>
      <c r="N9086" s="17" t="s">
        <v>77</v>
      </c>
      <c r="V9086" s="18">
        <f>88613901791111</f>
        <v>88613901791111</v>
      </c>
    </row>
    <row r="9087" ht="15" customHeight="1" spans="1:22" x14ac:dyDescent="0.25">
      <c r="A9087" s="17" t="s">
        <v>25164</v>
      </c>
      <c r="B9087" s="17" t="s">
        <v>70</v>
      </c>
      <c r="C9087" s="17" t="s">
        <v>71</v>
      </c>
      <c r="D9087" t="s">
        <v>7304</v>
      </c>
      <c r="F9087" t="s">
        <v>14827</v>
      </c>
      <c r="J9087" s="17" t="s">
        <v>25165</v>
      </c>
      <c r="K9087" s="18">
        <f>6281522977777</f>
        <v>6281522977777</v>
      </c>
      <c r="N9087" s="17" t="s">
        <v>81</v>
      </c>
      <c r="V9087" s="18">
        <f>6281522977777</f>
        <v>6281522977777</v>
      </c>
    </row>
    <row r="9088" ht="15" customHeight="1" spans="1:28" x14ac:dyDescent="0.25">
      <c r="A9088" s="17" t="s">
        <v>25166</v>
      </c>
      <c r="B9088" s="17" t="s">
        <v>70</v>
      </c>
      <c r="C9088" s="17" t="s">
        <v>71</v>
      </c>
      <c r="D9088" t="s">
        <v>7304</v>
      </c>
      <c r="F9088" t="s">
        <v>25167</v>
      </c>
      <c r="J9088" s="17" t="s">
        <v>25168</v>
      </c>
      <c r="K9088" s="18" t="s">
        <v>25169</v>
      </c>
      <c r="N9088" s="17" t="s">
        <v>77</v>
      </c>
      <c r="O9088" t="s">
        <v>199</v>
      </c>
      <c r="V9088" s="18" t="s">
        <v>25169</v>
      </c>
      <c r="Y9088" t="s">
        <v>1903</v>
      </c>
      <c r="AA9088" t="s">
        <v>115</v>
      </c>
      <c r="AB9088" t="s">
        <v>1903</v>
      </c>
    </row>
    <row r="9089" ht="15" customHeight="1" spans="1:22" x14ac:dyDescent="0.25">
      <c r="A9089" s="17" t="s">
        <v>25170</v>
      </c>
      <c r="B9089" s="17" t="s">
        <v>70</v>
      </c>
      <c r="C9089" s="17" t="s">
        <v>71</v>
      </c>
      <c r="D9089" t="s">
        <v>7304</v>
      </c>
      <c r="F9089" t="s">
        <v>25171</v>
      </c>
      <c r="K9089" s="18">
        <f>6281281188655</f>
        <v>6281281188655</v>
      </c>
      <c r="N9089" s="17" t="s">
        <v>81</v>
      </c>
      <c r="V9089" s="18">
        <f>6281281188655</f>
        <v>6281281188655</v>
      </c>
    </row>
    <row r="9090" ht="15" customHeight="1" spans="1:28" x14ac:dyDescent="0.25">
      <c r="A9090" s="17" t="s">
        <v>25172</v>
      </c>
      <c r="B9090" s="17" t="s">
        <v>70</v>
      </c>
      <c r="C9090" s="17" t="s">
        <v>71</v>
      </c>
      <c r="D9090" t="s">
        <v>25173</v>
      </c>
      <c r="F9090" t="s">
        <v>25174</v>
      </c>
      <c r="J9090" s="17" t="s">
        <v>25175</v>
      </c>
      <c r="K9090" s="18" t="s">
        <v>25176</v>
      </c>
      <c r="N9090" s="17" t="s">
        <v>77</v>
      </c>
      <c r="O9090" t="s">
        <v>117</v>
      </c>
      <c r="U9090" s="17"/>
      <c r="V9090" s="18" t="s">
        <v>25176</v>
      </c>
      <c r="W9090" t="s">
        <v>3140</v>
      </c>
      <c r="Y9090" t="s">
        <v>7108</v>
      </c>
      <c r="AA9090" t="s">
        <v>115</v>
      </c>
      <c r="AB9090" t="s">
        <v>7108</v>
      </c>
    </row>
    <row r="9091" ht="15" customHeight="1" spans="1:28" x14ac:dyDescent="0.25">
      <c r="A9091" s="17" t="s">
        <v>25177</v>
      </c>
      <c r="B9091" s="17" t="s">
        <v>70</v>
      </c>
      <c r="C9091" s="17" t="s">
        <v>71</v>
      </c>
      <c r="D9091" t="s">
        <v>25173</v>
      </c>
      <c r="F9091" t="s">
        <v>1303</v>
      </c>
      <c r="J9091" s="17" t="s">
        <v>25178</v>
      </c>
      <c r="K9091" s="18" t="s">
        <v>25179</v>
      </c>
      <c r="N9091" s="17" t="s">
        <v>77</v>
      </c>
      <c r="O9091" t="s">
        <v>117</v>
      </c>
      <c r="V9091" s="18" t="s">
        <v>25179</v>
      </c>
      <c r="Y9091" s="17" t="s">
        <v>3140</v>
      </c>
      <c r="AA9091" t="s">
        <v>115</v>
      </c>
      <c r="AB9091" t="s">
        <v>3140</v>
      </c>
    </row>
    <row r="9092" ht="15" customHeight="1" spans="1:28" x14ac:dyDescent="0.25">
      <c r="A9092" s="17" t="s">
        <v>25180</v>
      </c>
      <c r="B9092" s="17" t="s">
        <v>70</v>
      </c>
      <c r="C9092" s="17" t="s">
        <v>71</v>
      </c>
      <c r="D9092" t="s">
        <v>7304</v>
      </c>
      <c r="F9092" t="s">
        <v>25181</v>
      </c>
      <c r="J9092" s="17" t="s">
        <v>25182</v>
      </c>
      <c r="K9092" s="18" t="s">
        <v>25183</v>
      </c>
      <c r="N9092" s="17" t="s">
        <v>77</v>
      </c>
      <c r="O9092" t="s">
        <v>117</v>
      </c>
      <c r="U9092" s="17"/>
      <c r="V9092" s="18" t="s">
        <v>25183</v>
      </c>
      <c r="W9092" t="s">
        <v>3140</v>
      </c>
      <c r="Y9092" t="s">
        <v>115</v>
      </c>
      <c r="AA9092" t="s">
        <v>115</v>
      </c>
      <c r="AB9092" t="s">
        <v>3140</v>
      </c>
    </row>
    <row r="9093" ht="15" customHeight="1" spans="1:28" x14ac:dyDescent="0.25">
      <c r="A9093" s="17" t="s">
        <v>25184</v>
      </c>
      <c r="B9093" s="17" t="s">
        <v>70</v>
      </c>
      <c r="C9093" s="17" t="s">
        <v>71</v>
      </c>
      <c r="D9093" t="s">
        <v>25173</v>
      </c>
      <c r="F9093" t="s">
        <v>25185</v>
      </c>
      <c r="J9093" s="17" t="s">
        <v>25186</v>
      </c>
      <c r="K9093" s="18" t="s">
        <v>25187</v>
      </c>
      <c r="N9093" s="17" t="s">
        <v>77</v>
      </c>
      <c r="O9093" t="s">
        <v>117</v>
      </c>
      <c r="U9093" s="17"/>
      <c r="V9093" s="18" t="s">
        <v>25187</v>
      </c>
      <c r="W9093" t="s">
        <v>3140</v>
      </c>
      <c r="Y9093" t="s">
        <v>7108</v>
      </c>
      <c r="AA9093" t="s">
        <v>115</v>
      </c>
      <c r="AB9093" t="s">
        <v>7108</v>
      </c>
    </row>
    <row r="9094" ht="15" customHeight="1" spans="1:23" x14ac:dyDescent="0.25">
      <c r="A9094" s="17" t="s">
        <v>25188</v>
      </c>
      <c r="B9094" s="17" t="s">
        <v>70</v>
      </c>
      <c r="C9094" s="17" t="s">
        <v>71</v>
      </c>
      <c r="D9094" t="s">
        <v>25173</v>
      </c>
      <c r="F9094" t="s">
        <v>8400</v>
      </c>
      <c r="J9094" s="17" t="s">
        <v>25189</v>
      </c>
      <c r="K9094" s="18">
        <f>6596680596</f>
        <v>6596680596</v>
      </c>
      <c r="N9094" s="17" t="s">
        <v>77</v>
      </c>
      <c r="U9094" s="17"/>
      <c r="V9094" s="18">
        <f>6596680596</f>
        <v>6596680596</v>
      </c>
      <c r="W9094" t="s">
        <v>2356</v>
      </c>
    </row>
    <row r="9095" ht="15" customHeight="1" spans="1:22" x14ac:dyDescent="0.25">
      <c r="A9095" s="17" t="s">
        <v>25190</v>
      </c>
      <c r="B9095" s="17" t="s">
        <v>70</v>
      </c>
      <c r="C9095" s="17" t="s">
        <v>71</v>
      </c>
      <c r="D9095" t="s">
        <v>17397</v>
      </c>
      <c r="F9095" t="s">
        <v>17397</v>
      </c>
      <c r="K9095" s="18">
        <f>6287780257199</f>
        <v>6287780257199</v>
      </c>
      <c r="N9095" s="17" t="s">
        <v>81</v>
      </c>
      <c r="V9095" s="18">
        <f>6287780257199</f>
        <v>6287780257199</v>
      </c>
    </row>
    <row r="9096" ht="15" customHeight="1" spans="1:28" x14ac:dyDescent="0.25">
      <c r="A9096" s="17" t="s">
        <v>25191</v>
      </c>
      <c r="B9096" s="17" t="s">
        <v>70</v>
      </c>
      <c r="C9096" s="17" t="s">
        <v>71</v>
      </c>
      <c r="D9096" t="s">
        <v>25192</v>
      </c>
      <c r="F9096" t="s">
        <v>241</v>
      </c>
      <c r="J9096" t="s">
        <v>115</v>
      </c>
      <c r="K9096" s="18" t="s">
        <v>25193</v>
      </c>
      <c r="N9096" s="17" t="s">
        <v>77</v>
      </c>
      <c r="O9096" t="s">
        <v>117</v>
      </c>
      <c r="U9096" s="17"/>
      <c r="V9096" s="18" t="s">
        <v>25193</v>
      </c>
      <c r="W9096" t="s">
        <v>25194</v>
      </c>
      <c r="Y9096" t="s">
        <v>190</v>
      </c>
      <c r="AA9096" t="s">
        <v>118</v>
      </c>
      <c r="AB9096" t="s">
        <v>119</v>
      </c>
    </row>
    <row r="9097" ht="15" customHeight="1" spans="1:22" x14ac:dyDescent="0.25">
      <c r="A9097" s="17" t="s">
        <v>25195</v>
      </c>
      <c r="B9097" s="17" t="s">
        <v>70</v>
      </c>
      <c r="C9097" s="17" t="s">
        <v>71</v>
      </c>
      <c r="D9097" t="s">
        <v>25192</v>
      </c>
      <c r="F9097" t="s">
        <v>2386</v>
      </c>
      <c r="K9097" s="18">
        <f>628159693585</f>
        <v>628159693585</v>
      </c>
      <c r="N9097" s="17" t="s">
        <v>77</v>
      </c>
      <c r="V9097" s="18">
        <f>628159693585</f>
        <v>628159693585</v>
      </c>
    </row>
    <row r="9098" ht="15" customHeight="1" spans="1:22" x14ac:dyDescent="0.25">
      <c r="A9098" s="17" t="s">
        <v>25196</v>
      </c>
      <c r="B9098" s="17" t="s">
        <v>70</v>
      </c>
      <c r="C9098" s="17" t="s">
        <v>71</v>
      </c>
      <c r="D9098" t="s">
        <v>861</v>
      </c>
      <c r="F9098" t="s">
        <v>861</v>
      </c>
      <c r="K9098" s="18">
        <f>6287878530538</f>
        <v>6287878530538</v>
      </c>
      <c r="N9098" s="17" t="s">
        <v>74</v>
      </c>
      <c r="V9098" s="18">
        <f>6287878530538</f>
        <v>6287878530538</v>
      </c>
    </row>
    <row r="9099" ht="15" customHeight="1" spans="1:28" x14ac:dyDescent="0.25">
      <c r="A9099" s="17" t="s">
        <v>25197</v>
      </c>
      <c r="B9099" s="17" t="s">
        <v>70</v>
      </c>
      <c r="C9099" s="17" t="s">
        <v>71</v>
      </c>
      <c r="D9099" t="s">
        <v>861</v>
      </c>
      <c r="F9099" t="s">
        <v>25198</v>
      </c>
      <c r="J9099" t="s">
        <v>115</v>
      </c>
      <c r="K9099" s="18" t="s">
        <v>25199</v>
      </c>
      <c r="N9099" s="17" t="s">
        <v>81</v>
      </c>
      <c r="O9099" t="s">
        <v>261</v>
      </c>
      <c r="V9099" s="18" t="s">
        <v>25199</v>
      </c>
      <c r="Y9099" t="s">
        <v>90</v>
      </c>
      <c r="AA9099" t="s">
        <v>118</v>
      </c>
      <c r="AB9099" t="s">
        <v>119</v>
      </c>
    </row>
    <row r="9100" ht="15" customHeight="1" spans="1:22" x14ac:dyDescent="0.25">
      <c r="A9100" s="17" t="s">
        <v>25200</v>
      </c>
      <c r="B9100" s="17" t="s">
        <v>70</v>
      </c>
      <c r="C9100" s="17" t="s">
        <v>71</v>
      </c>
      <c r="D9100" t="s">
        <v>861</v>
      </c>
      <c r="F9100" t="s">
        <v>618</v>
      </c>
      <c r="K9100" s="18">
        <f>62817780888</f>
        <v>62817780888</v>
      </c>
      <c r="N9100" s="17" t="s">
        <v>81</v>
      </c>
      <c r="V9100" s="18">
        <f>62817780888</f>
        <v>62817780888</v>
      </c>
    </row>
    <row r="9101" ht="15" customHeight="1" spans="1:22" x14ac:dyDescent="0.25">
      <c r="A9101" s="17" t="s">
        <v>25201</v>
      </c>
      <c r="B9101" s="17" t="s">
        <v>70</v>
      </c>
      <c r="C9101" s="17" t="s">
        <v>71</v>
      </c>
      <c r="D9101" t="s">
        <v>25202</v>
      </c>
      <c r="F9101" t="s">
        <v>6111</v>
      </c>
      <c r="K9101" s="18">
        <f>62215640307</f>
        <v>62215640307</v>
      </c>
      <c r="N9101" s="17" t="s">
        <v>77</v>
      </c>
      <c r="V9101" s="18">
        <f>62215640307</f>
        <v>62215640307</v>
      </c>
    </row>
    <row r="9102" ht="15" customHeight="1" spans="1:28" x14ac:dyDescent="0.25">
      <c r="A9102" s="17" t="s">
        <v>25203</v>
      </c>
      <c r="B9102" s="17" t="s">
        <v>70</v>
      </c>
      <c r="C9102" s="17" t="s">
        <v>71</v>
      </c>
      <c r="D9102" t="s">
        <v>25204</v>
      </c>
      <c r="F9102" t="s">
        <v>1517</v>
      </c>
      <c r="J9102" s="17" t="s">
        <v>25205</v>
      </c>
      <c r="K9102" s="18" t="s">
        <v>25206</v>
      </c>
      <c r="N9102" s="17" t="s">
        <v>81</v>
      </c>
      <c r="O9102" t="s">
        <v>489</v>
      </c>
      <c r="U9102" s="17"/>
      <c r="V9102" s="18" t="s">
        <v>25206</v>
      </c>
      <c r="W9102" t="s">
        <v>25207</v>
      </c>
      <c r="Y9102" t="s">
        <v>1084</v>
      </c>
      <c r="AA9102" t="s">
        <v>3146</v>
      </c>
      <c r="AB9102" t="s">
        <v>119</v>
      </c>
    </row>
    <row r="9103" ht="15" customHeight="1" spans="1:28" x14ac:dyDescent="0.25">
      <c r="A9103" s="17" t="s">
        <v>25208</v>
      </c>
      <c r="B9103" s="17" t="s">
        <v>70</v>
      </c>
      <c r="C9103" s="17" t="s">
        <v>71</v>
      </c>
      <c r="D9103" t="s">
        <v>25204</v>
      </c>
      <c r="F9103" t="s">
        <v>25209</v>
      </c>
      <c r="J9103" s="17" t="s">
        <v>25210</v>
      </c>
      <c r="K9103" s="18" t="s">
        <v>25211</v>
      </c>
      <c r="N9103" s="17" t="s">
        <v>77</v>
      </c>
      <c r="O9103" t="s">
        <v>199</v>
      </c>
      <c r="V9103" s="18" t="s">
        <v>25211</v>
      </c>
      <c r="Y9103" t="s">
        <v>115</v>
      </c>
      <c r="AA9103" t="s">
        <v>115</v>
      </c>
      <c r="AB9103" t="s">
        <v>6737</v>
      </c>
    </row>
    <row r="9104" ht="15" customHeight="1" spans="1:28" x14ac:dyDescent="0.25">
      <c r="A9104" s="17" t="s">
        <v>25212</v>
      </c>
      <c r="B9104" s="17" t="s">
        <v>70</v>
      </c>
      <c r="C9104" s="17" t="s">
        <v>71</v>
      </c>
      <c r="D9104" t="s">
        <v>25204</v>
      </c>
      <c r="F9104" t="s">
        <v>10504</v>
      </c>
      <c r="J9104" t="s">
        <v>115</v>
      </c>
      <c r="K9104" s="18" t="s">
        <v>25213</v>
      </c>
      <c r="N9104" s="17" t="s">
        <v>77</v>
      </c>
      <c r="O9104" t="s">
        <v>199</v>
      </c>
      <c r="V9104" s="18" t="s">
        <v>25213</v>
      </c>
      <c r="Y9104" t="s">
        <v>490</v>
      </c>
      <c r="AA9104" t="s">
        <v>115</v>
      </c>
      <c r="AB9104" t="s">
        <v>119</v>
      </c>
    </row>
    <row r="9105" ht="15" customHeight="1" spans="1:22" x14ac:dyDescent="0.25">
      <c r="A9105" s="17" t="s">
        <v>25214</v>
      </c>
      <c r="B9105" s="17" t="s">
        <v>70</v>
      </c>
      <c r="C9105" s="17" t="s">
        <v>71</v>
      </c>
      <c r="D9105" t="s">
        <v>25204</v>
      </c>
      <c r="F9105" t="s">
        <v>150</v>
      </c>
      <c r="K9105" s="18">
        <f>62811106372</f>
        <v>62811106372</v>
      </c>
      <c r="N9105" s="17" t="s">
        <v>77</v>
      </c>
      <c r="V9105" s="18">
        <f>62811106372</f>
        <v>62811106372</v>
      </c>
    </row>
    <row r="9106" ht="15" customHeight="1" spans="1:23" x14ac:dyDescent="0.25">
      <c r="A9106" s="17" t="s">
        <v>25215</v>
      </c>
      <c r="B9106" s="17" t="s">
        <v>70</v>
      </c>
      <c r="C9106" s="17" t="s">
        <v>71</v>
      </c>
      <c r="D9106" t="s">
        <v>25204</v>
      </c>
      <c r="F9106" t="s">
        <v>3585</v>
      </c>
      <c r="K9106" s="18">
        <f>62811537412</f>
        <v>62811537412</v>
      </c>
      <c r="N9106" s="17" t="s">
        <v>81</v>
      </c>
      <c r="U9106" s="17"/>
      <c r="V9106" s="18">
        <f>62811537412</f>
        <v>62811537412</v>
      </c>
      <c r="W9106" t="s">
        <v>25216</v>
      </c>
    </row>
    <row r="9107" ht="15" customHeight="1" spans="1:23" x14ac:dyDescent="0.25">
      <c r="A9107" s="17" t="s">
        <v>25217</v>
      </c>
      <c r="B9107" s="17" t="s">
        <v>70</v>
      </c>
      <c r="C9107" s="17" t="s">
        <v>71</v>
      </c>
      <c r="D9107" t="s">
        <v>16190</v>
      </c>
      <c r="F9107" t="s">
        <v>6235</v>
      </c>
      <c r="K9107" s="18">
        <f>62811840443</f>
        <v>62811840443</v>
      </c>
      <c r="N9107" s="17" t="s">
        <v>81</v>
      </c>
      <c r="U9107" s="17"/>
      <c r="V9107" s="18">
        <f>62811840443</f>
        <v>62811840443</v>
      </c>
      <c r="W9107" t="s">
        <v>25218</v>
      </c>
    </row>
    <row r="9108" ht="15" customHeight="1" spans="1:23" x14ac:dyDescent="0.25">
      <c r="A9108" s="17" t="s">
        <v>25219</v>
      </c>
      <c r="B9108" s="17" t="s">
        <v>70</v>
      </c>
      <c r="C9108" s="17" t="s">
        <v>71</v>
      </c>
      <c r="D9108" t="s">
        <v>25220</v>
      </c>
      <c r="F9108" t="s">
        <v>25221</v>
      </c>
      <c r="K9108" s="18">
        <f>6281212399801</f>
        <v>6281212399801</v>
      </c>
      <c r="N9108" s="17" t="s">
        <v>81</v>
      </c>
      <c r="U9108" s="17"/>
      <c r="V9108" s="18">
        <f>6281212399801</f>
        <v>6281212399801</v>
      </c>
      <c r="W9108" t="s">
        <v>25222</v>
      </c>
    </row>
    <row r="9109" ht="15" customHeight="1" spans="1:25" x14ac:dyDescent="0.25">
      <c r="A9109" s="17" t="s">
        <v>25223</v>
      </c>
      <c r="B9109" s="17" t="s">
        <v>70</v>
      </c>
      <c r="C9109" s="17" t="s">
        <v>71</v>
      </c>
      <c r="D9109" t="s">
        <v>25224</v>
      </c>
      <c r="F9109" t="s">
        <v>4291</v>
      </c>
      <c r="K9109" s="18">
        <f>6281210119701</f>
        <v>6281210119701</v>
      </c>
      <c r="N9109" s="17" t="s">
        <v>77</v>
      </c>
      <c r="U9109" s="17"/>
      <c r="V9109" s="18">
        <f>6281210119701</f>
        <v>6281210119701</v>
      </c>
      <c r="W9109" t="s">
        <v>25225</v>
      </c>
      <c r="Y9109" s="17" t="s">
        <v>14126</v>
      </c>
    </row>
    <row r="9110" ht="15" customHeight="1" spans="1:22" x14ac:dyDescent="0.25">
      <c r="A9110" s="17" t="s">
        <v>25226</v>
      </c>
      <c r="B9110" s="17" t="s">
        <v>70</v>
      </c>
      <c r="C9110" s="17" t="s">
        <v>71</v>
      </c>
      <c r="D9110" t="s">
        <v>20942</v>
      </c>
      <c r="F9110" t="s">
        <v>20942</v>
      </c>
      <c r="K9110" s="18">
        <f>6281319999904</f>
        <v>6281319999904</v>
      </c>
      <c r="N9110" s="17" t="s">
        <v>81</v>
      </c>
      <c r="V9110" s="18">
        <f>6281319999904</f>
        <v>6281319999904</v>
      </c>
    </row>
    <row r="9111" ht="15" customHeight="1" spans="1:22" x14ac:dyDescent="0.25">
      <c r="A9111" s="17" t="s">
        <v>25227</v>
      </c>
      <c r="B9111" s="17" t="s">
        <v>70</v>
      </c>
      <c r="C9111" s="17" t="s">
        <v>71</v>
      </c>
      <c r="D9111" t="s">
        <v>20942</v>
      </c>
      <c r="F9111" t="s">
        <v>20942</v>
      </c>
      <c r="J9111" s="17" t="s">
        <v>25228</v>
      </c>
      <c r="K9111" s="18">
        <f>628133302828</f>
        <v>628133302828</v>
      </c>
      <c r="N9111" s="17" t="s">
        <v>81</v>
      </c>
      <c r="V9111" s="18">
        <f>628133302828</f>
        <v>628133302828</v>
      </c>
    </row>
    <row r="9112" ht="15" customHeight="1" spans="1:22" x14ac:dyDescent="0.25">
      <c r="A9112" s="17" t="s">
        <v>25229</v>
      </c>
      <c r="B9112" s="17" t="s">
        <v>70</v>
      </c>
      <c r="C9112" s="17" t="s">
        <v>71</v>
      </c>
      <c r="D9112" t="s">
        <v>20942</v>
      </c>
      <c r="F9112" t="s">
        <v>2159</v>
      </c>
      <c r="K9112" s="18">
        <f>628151111555</f>
        <v>628151111555</v>
      </c>
      <c r="N9112" s="17" t="s">
        <v>77</v>
      </c>
      <c r="V9112" s="18">
        <f>628151111555</f>
        <v>628151111555</v>
      </c>
    </row>
    <row r="9113" ht="15" customHeight="1" spans="1:25" x14ac:dyDescent="0.25">
      <c r="A9113" s="17" t="s">
        <v>25230</v>
      </c>
      <c r="B9113" s="17" t="s">
        <v>70</v>
      </c>
      <c r="C9113" s="17" t="s">
        <v>71</v>
      </c>
      <c r="D9113" t="s">
        <v>20942</v>
      </c>
      <c r="F9113" t="s">
        <v>25231</v>
      </c>
      <c r="K9113" s="18">
        <f>6285278279376</f>
        <v>6285278279376</v>
      </c>
      <c r="N9113" s="17" t="s">
        <v>77</v>
      </c>
      <c r="V9113" s="18">
        <f>6285278279376</f>
        <v>6285278279376</v>
      </c>
      <c r="Y9113" s="17" t="s">
        <v>10538</v>
      </c>
    </row>
    <row r="9114" ht="15" customHeight="1" spans="1:22" x14ac:dyDescent="0.25">
      <c r="A9114" s="17" t="s">
        <v>25232</v>
      </c>
      <c r="B9114" s="17" t="s">
        <v>70</v>
      </c>
      <c r="C9114" s="17" t="s">
        <v>71</v>
      </c>
      <c r="D9114" t="s">
        <v>20942</v>
      </c>
      <c r="F9114" t="s">
        <v>25233</v>
      </c>
      <c r="K9114" s="18">
        <f>62811854294</f>
        <v>62811854294</v>
      </c>
      <c r="N9114" s="17" t="s">
        <v>77</v>
      </c>
      <c r="V9114" s="18">
        <f>62811854294</f>
        <v>62811854294</v>
      </c>
    </row>
    <row r="9115" ht="15" customHeight="1" spans="1:22" x14ac:dyDescent="0.25">
      <c r="A9115" s="17" t="s">
        <v>25234</v>
      </c>
      <c r="B9115" s="17" t="s">
        <v>70</v>
      </c>
      <c r="C9115" s="17" t="s">
        <v>71</v>
      </c>
      <c r="D9115" t="s">
        <v>20942</v>
      </c>
      <c r="F9115" t="s">
        <v>25235</v>
      </c>
      <c r="K9115" s="18">
        <f>62811471964</f>
        <v>62811471964</v>
      </c>
      <c r="N9115" s="17" t="s">
        <v>77</v>
      </c>
      <c r="V9115" s="18">
        <f>62811471964</f>
        <v>62811471964</v>
      </c>
    </row>
    <row r="9116" ht="15" customHeight="1" spans="1:22" x14ac:dyDescent="0.25">
      <c r="A9116" s="17" t="s">
        <v>25236</v>
      </c>
      <c r="B9116" s="17" t="s">
        <v>70</v>
      </c>
      <c r="C9116" s="17" t="s">
        <v>71</v>
      </c>
      <c r="D9116" t="s">
        <v>20942</v>
      </c>
      <c r="F9116" t="s">
        <v>25237</v>
      </c>
      <c r="K9116" s="18">
        <f>6281288994341</f>
        <v>6281288994341</v>
      </c>
      <c r="N9116" s="17" t="s">
        <v>81</v>
      </c>
      <c r="V9116" s="18">
        <f>6281288994341</f>
        <v>6281288994341</v>
      </c>
    </row>
    <row r="9117" ht="15" customHeight="1" spans="1:25" x14ac:dyDescent="0.25">
      <c r="A9117" s="17" t="s">
        <v>25238</v>
      </c>
      <c r="B9117" s="17" t="s">
        <v>70</v>
      </c>
      <c r="C9117" s="17" t="s">
        <v>71</v>
      </c>
      <c r="D9117" t="s">
        <v>20942</v>
      </c>
      <c r="F9117" t="s">
        <v>25239</v>
      </c>
      <c r="K9117" s="18">
        <f>62816809482</f>
        <v>62816809482</v>
      </c>
      <c r="N9117" s="17" t="s">
        <v>74</v>
      </c>
      <c r="U9117" s="17"/>
      <c r="V9117" s="18">
        <f>62816809482</f>
        <v>62816809482</v>
      </c>
      <c r="W9117" t="s">
        <v>25240</v>
      </c>
      <c r="Y9117" s="17" t="s">
        <v>96</v>
      </c>
    </row>
    <row r="9118" ht="15" customHeight="1" spans="1:22" x14ac:dyDescent="0.25">
      <c r="A9118" s="17" t="s">
        <v>25241</v>
      </c>
      <c r="B9118" s="17" t="s">
        <v>70</v>
      </c>
      <c r="C9118" s="17" t="s">
        <v>71</v>
      </c>
      <c r="D9118" t="s">
        <v>25242</v>
      </c>
      <c r="F9118" t="s">
        <v>25242</v>
      </c>
      <c r="K9118" s="18">
        <f>62818888661</f>
        <v>62818888661</v>
      </c>
      <c r="N9118" s="17" t="s">
        <v>77</v>
      </c>
      <c r="V9118" s="18">
        <f>62818888661</f>
        <v>62818888661</v>
      </c>
    </row>
    <row r="9119" ht="15" customHeight="1" spans="1:28" x14ac:dyDescent="0.25">
      <c r="A9119" s="17" t="s">
        <v>25243</v>
      </c>
      <c r="B9119" s="17" t="s">
        <v>70</v>
      </c>
      <c r="C9119" s="17" t="s">
        <v>71</v>
      </c>
      <c r="D9119" t="s">
        <v>25242</v>
      </c>
      <c r="F9119" t="s">
        <v>2159</v>
      </c>
      <c r="J9119" t="s">
        <v>115</v>
      </c>
      <c r="K9119" s="18" t="s">
        <v>25244</v>
      </c>
      <c r="N9119" s="17" t="s">
        <v>81</v>
      </c>
      <c r="O9119" t="s">
        <v>489</v>
      </c>
      <c r="U9119" s="17"/>
      <c r="V9119" s="18" t="s">
        <v>25244</v>
      </c>
      <c r="W9119" t="s">
        <v>25245</v>
      </c>
      <c r="Y9119" t="s">
        <v>90</v>
      </c>
      <c r="AA9119" t="s">
        <v>118</v>
      </c>
      <c r="AB9119" t="s">
        <v>119</v>
      </c>
    </row>
    <row r="9120" ht="15" customHeight="1" spans="1:28" x14ac:dyDescent="0.25">
      <c r="A9120" s="17" t="s">
        <v>25246</v>
      </c>
      <c r="B9120" s="17" t="s">
        <v>70</v>
      </c>
      <c r="C9120" s="17" t="s">
        <v>71</v>
      </c>
      <c r="D9120" t="s">
        <v>25242</v>
      </c>
      <c r="F9120" t="s">
        <v>25247</v>
      </c>
      <c r="J9120" s="17" t="s">
        <v>25248</v>
      </c>
      <c r="K9120" s="18" t="s">
        <v>25249</v>
      </c>
      <c r="N9120" s="17" t="s">
        <v>77</v>
      </c>
      <c r="O9120" t="s">
        <v>489</v>
      </c>
      <c r="V9120" s="18" t="s">
        <v>25249</v>
      </c>
      <c r="Y9120" t="s">
        <v>190</v>
      </c>
      <c r="AA9120" t="s">
        <v>118</v>
      </c>
      <c r="AB9120" t="s">
        <v>119</v>
      </c>
    </row>
    <row r="9121" ht="15" customHeight="1" spans="1:22" x14ac:dyDescent="0.25">
      <c r="A9121" s="17" t="s">
        <v>25250</v>
      </c>
      <c r="B9121" s="17" t="s">
        <v>70</v>
      </c>
      <c r="C9121" s="17" t="s">
        <v>71</v>
      </c>
      <c r="D9121" t="s">
        <v>25242</v>
      </c>
      <c r="F9121" t="s">
        <v>25251</v>
      </c>
      <c r="K9121" s="18">
        <f>628128216669</f>
        <v>628128216669</v>
      </c>
      <c r="N9121" s="17" t="s">
        <v>77</v>
      </c>
      <c r="V9121" s="18">
        <f>628128216669</f>
        <v>628128216669</v>
      </c>
    </row>
    <row r="9122" ht="15" customHeight="1" spans="1:28" x14ac:dyDescent="0.25">
      <c r="A9122" s="17" t="s">
        <v>25252</v>
      </c>
      <c r="B9122" s="17" t="s">
        <v>70</v>
      </c>
      <c r="C9122" s="17" t="s">
        <v>71</v>
      </c>
      <c r="D9122" t="s">
        <v>25242</v>
      </c>
      <c r="F9122" t="s">
        <v>6723</v>
      </c>
      <c r="J9122" t="s">
        <v>115</v>
      </c>
      <c r="K9122" s="18" t="s">
        <v>25253</v>
      </c>
      <c r="N9122" s="17" t="s">
        <v>77</v>
      </c>
      <c r="O9122" t="s">
        <v>145</v>
      </c>
      <c r="U9122" s="17"/>
      <c r="V9122" s="18" t="s">
        <v>25253</v>
      </c>
      <c r="W9122" t="s">
        <v>25254</v>
      </c>
      <c r="Y9122" t="s">
        <v>90</v>
      </c>
      <c r="AA9122" t="s">
        <v>118</v>
      </c>
      <c r="AB9122" t="s">
        <v>119</v>
      </c>
    </row>
    <row r="9123" ht="15" customHeight="1" spans="1:28" x14ac:dyDescent="0.25">
      <c r="A9123" s="17" t="s">
        <v>25255</v>
      </c>
      <c r="B9123" s="17" t="s">
        <v>70</v>
      </c>
      <c r="C9123" s="17" t="s">
        <v>71</v>
      </c>
      <c r="D9123" t="s">
        <v>25242</v>
      </c>
      <c r="F9123" t="s">
        <v>25256</v>
      </c>
      <c r="J9123" t="s">
        <v>115</v>
      </c>
      <c r="K9123" s="18" t="s">
        <v>25257</v>
      </c>
      <c r="N9123" s="17" t="s">
        <v>74</v>
      </c>
      <c r="O9123" t="s">
        <v>117</v>
      </c>
      <c r="V9123" s="18" t="s">
        <v>25257</v>
      </c>
      <c r="Y9123" t="s">
        <v>115</v>
      </c>
      <c r="AA9123" t="s">
        <v>115</v>
      </c>
      <c r="AB9123" t="s">
        <v>119</v>
      </c>
    </row>
    <row r="9124" ht="15" customHeight="1" spans="1:28" x14ac:dyDescent="0.25">
      <c r="A9124" s="17" t="s">
        <v>25258</v>
      </c>
      <c r="B9124" s="17" t="s">
        <v>70</v>
      </c>
      <c r="C9124" s="17" t="s">
        <v>71</v>
      </c>
      <c r="D9124" t="s">
        <v>25242</v>
      </c>
      <c r="F9124" t="s">
        <v>1064</v>
      </c>
      <c r="J9124" t="s">
        <v>115</v>
      </c>
      <c r="K9124" s="18" t="s">
        <v>25259</v>
      </c>
      <c r="N9124" s="17" t="s">
        <v>74</v>
      </c>
      <c r="O9124" t="s">
        <v>117</v>
      </c>
      <c r="V9124" s="18" t="s">
        <v>25259</v>
      </c>
      <c r="Y9124" t="s">
        <v>115</v>
      </c>
      <c r="AA9124" t="s">
        <v>115</v>
      </c>
      <c r="AB9124" t="s">
        <v>119</v>
      </c>
    </row>
    <row r="9125" ht="15" customHeight="1" spans="1:22" x14ac:dyDescent="0.25">
      <c r="A9125" s="17" t="s">
        <v>25260</v>
      </c>
      <c r="B9125" s="17" t="s">
        <v>70</v>
      </c>
      <c r="C9125" s="17" t="s">
        <v>71</v>
      </c>
      <c r="D9125" t="s">
        <v>25242</v>
      </c>
      <c r="F9125" t="s">
        <v>1754</v>
      </c>
      <c r="K9125" s="18">
        <f>6281289756788</f>
        <v>6281289756788</v>
      </c>
      <c r="N9125" s="17" t="s">
        <v>77</v>
      </c>
      <c r="V9125" s="18">
        <f>6281289756788</f>
        <v>6281289756788</v>
      </c>
    </row>
    <row r="9126" ht="15" customHeight="1" spans="1:22" x14ac:dyDescent="0.25">
      <c r="A9126" s="17" t="s">
        <v>25261</v>
      </c>
      <c r="B9126" s="17" t="s">
        <v>70</v>
      </c>
      <c r="C9126" s="17" t="s">
        <v>71</v>
      </c>
      <c r="D9126" t="s">
        <v>25242</v>
      </c>
      <c r="F9126" t="s">
        <v>25262</v>
      </c>
      <c r="K9126" s="18">
        <f>62816910455</f>
        <v>62816910455</v>
      </c>
      <c r="N9126" s="17" t="s">
        <v>77</v>
      </c>
      <c r="V9126" s="18">
        <f>62816910455</f>
        <v>62816910455</v>
      </c>
    </row>
    <row r="9127" ht="15" customHeight="1" spans="1:22" x14ac:dyDescent="0.25">
      <c r="A9127" s="17" t="s">
        <v>25263</v>
      </c>
      <c r="B9127" s="17" t="s">
        <v>70</v>
      </c>
      <c r="C9127" s="17" t="s">
        <v>71</v>
      </c>
      <c r="D9127" t="s">
        <v>25242</v>
      </c>
      <c r="F9127" t="s">
        <v>25264</v>
      </c>
      <c r="K9127" s="18">
        <f>6285241282828</f>
        <v>6285241282828</v>
      </c>
      <c r="N9127" s="17" t="s">
        <v>77</v>
      </c>
      <c r="V9127" s="18">
        <f>6285241282828</f>
        <v>6285241282828</v>
      </c>
    </row>
    <row r="9128" ht="15" customHeight="1" spans="1:22" x14ac:dyDescent="0.25">
      <c r="A9128" s="17" t="s">
        <v>25265</v>
      </c>
      <c r="B9128" s="17" t="s">
        <v>70</v>
      </c>
      <c r="C9128" s="17" t="s">
        <v>71</v>
      </c>
      <c r="D9128" t="s">
        <v>25242</v>
      </c>
      <c r="F9128" t="s">
        <v>25266</v>
      </c>
      <c r="K9128" s="18">
        <f>6287780880751</f>
        <v>6287780880751</v>
      </c>
      <c r="N9128" s="17" t="s">
        <v>77</v>
      </c>
      <c r="V9128" s="18">
        <f>6287780880751</f>
        <v>6287780880751</v>
      </c>
    </row>
    <row r="9129" ht="15" customHeight="1" spans="1:28" x14ac:dyDescent="0.25">
      <c r="A9129" s="17" t="s">
        <v>25267</v>
      </c>
      <c r="B9129" s="17" t="s">
        <v>70</v>
      </c>
      <c r="C9129" s="17" t="s">
        <v>71</v>
      </c>
      <c r="D9129" t="s">
        <v>25268</v>
      </c>
      <c r="F9129" t="s">
        <v>25269</v>
      </c>
      <c r="J9129" t="s">
        <v>115</v>
      </c>
      <c r="K9129" s="18" t="s">
        <v>25270</v>
      </c>
      <c r="N9129" s="17" t="s">
        <v>77</v>
      </c>
      <c r="O9129" t="s">
        <v>489</v>
      </c>
      <c r="U9129" s="17"/>
      <c r="V9129" s="18" t="s">
        <v>25270</v>
      </c>
      <c r="W9129" t="s">
        <v>25271</v>
      </c>
      <c r="Y9129" t="s">
        <v>90</v>
      </c>
      <c r="AA9129" t="s">
        <v>118</v>
      </c>
      <c r="AB9129" t="s">
        <v>119</v>
      </c>
    </row>
    <row r="9130" ht="15" customHeight="1" spans="1:25" x14ac:dyDescent="0.25">
      <c r="A9130" s="17" t="s">
        <v>25272</v>
      </c>
      <c r="B9130" s="17" t="s">
        <v>70</v>
      </c>
      <c r="C9130" s="17" t="s">
        <v>71</v>
      </c>
      <c r="D9130" t="s">
        <v>25273</v>
      </c>
      <c r="F9130" t="s">
        <v>8871</v>
      </c>
      <c r="K9130" s="18">
        <f>6281806602626</f>
        <v>6281806602626</v>
      </c>
      <c r="N9130" s="17" t="s">
        <v>77</v>
      </c>
      <c r="U9130" s="17"/>
      <c r="V9130" s="18">
        <f>6281806602626</f>
        <v>6281806602626</v>
      </c>
      <c r="W9130" t="s">
        <v>25274</v>
      </c>
      <c r="Y9130" s="17" t="s">
        <v>515</v>
      </c>
    </row>
    <row r="9131" ht="15" customHeight="1" spans="1:28" x14ac:dyDescent="0.25">
      <c r="A9131" s="17" t="s">
        <v>25275</v>
      </c>
      <c r="B9131" s="17" t="s">
        <v>70</v>
      </c>
      <c r="C9131" s="17" t="s">
        <v>71</v>
      </c>
      <c r="D9131" t="s">
        <v>25276</v>
      </c>
      <c r="F9131" t="s">
        <v>6309</v>
      </c>
      <c r="J9131" t="s">
        <v>115</v>
      </c>
      <c r="K9131" s="18" t="s">
        <v>25277</v>
      </c>
      <c r="N9131" s="17" t="s">
        <v>77</v>
      </c>
      <c r="O9131" t="s">
        <v>489</v>
      </c>
      <c r="V9131" s="18" t="s">
        <v>25277</v>
      </c>
      <c r="Y9131" t="s">
        <v>90</v>
      </c>
      <c r="AA9131" t="s">
        <v>118</v>
      </c>
      <c r="AB9131" t="s">
        <v>119</v>
      </c>
    </row>
    <row r="9132" ht="15" customHeight="1" spans="1:22" x14ac:dyDescent="0.25">
      <c r="A9132" s="17" t="s">
        <v>25278</v>
      </c>
      <c r="B9132" s="17" t="s">
        <v>70</v>
      </c>
      <c r="C9132" s="17" t="s">
        <v>71</v>
      </c>
      <c r="D9132" t="s">
        <v>25279</v>
      </c>
      <c r="F9132" t="s">
        <v>25279</v>
      </c>
      <c r="K9132" s="18">
        <f>6281908229000</f>
        <v>6281908229000</v>
      </c>
      <c r="N9132" s="17" t="s">
        <v>77</v>
      </c>
      <c r="V9132" s="18">
        <f>6281908229000</f>
        <v>6281908229000</v>
      </c>
    </row>
    <row r="9133" ht="15" customHeight="1" spans="1:28" x14ac:dyDescent="0.25">
      <c r="A9133" s="17" t="s">
        <v>25280</v>
      </c>
      <c r="B9133" s="17" t="s">
        <v>70</v>
      </c>
      <c r="C9133" s="17" t="s">
        <v>71</v>
      </c>
      <c r="D9133" t="s">
        <v>25281</v>
      </c>
      <c r="F9133" t="s">
        <v>17384</v>
      </c>
      <c r="J9133" t="s">
        <v>115</v>
      </c>
      <c r="K9133" s="18" t="s">
        <v>25282</v>
      </c>
      <c r="N9133" s="17" t="s">
        <v>77</v>
      </c>
      <c r="O9133" t="s">
        <v>199</v>
      </c>
      <c r="U9133" s="17"/>
      <c r="V9133" s="18" t="s">
        <v>25282</v>
      </c>
      <c r="W9133" t="s">
        <v>1736</v>
      </c>
      <c r="Y9133" t="s">
        <v>181</v>
      </c>
      <c r="AA9133" t="s">
        <v>1672</v>
      </c>
      <c r="AB9133" t="s">
        <v>119</v>
      </c>
    </row>
    <row r="9134" ht="15" customHeight="1" spans="1:23" x14ac:dyDescent="0.25">
      <c r="A9134" s="17" t="s">
        <v>25283</v>
      </c>
      <c r="B9134" s="17" t="s">
        <v>70</v>
      </c>
      <c r="C9134" s="17" t="s">
        <v>71</v>
      </c>
      <c r="D9134" t="s">
        <v>25284</v>
      </c>
      <c r="F9134" t="s">
        <v>9486</v>
      </c>
      <c r="K9134" s="18">
        <f>62816877884</f>
        <v>62816877884</v>
      </c>
      <c r="N9134" s="17" t="s">
        <v>81</v>
      </c>
      <c r="U9134" s="17"/>
      <c r="V9134" s="18">
        <f>62816877884</f>
        <v>62816877884</v>
      </c>
      <c r="W9134" t="s">
        <v>25285</v>
      </c>
    </row>
    <row r="9135" ht="15" customHeight="1" spans="1:28" x14ac:dyDescent="0.25">
      <c r="A9135" s="17" t="s">
        <v>25286</v>
      </c>
      <c r="B9135" s="17" t="s">
        <v>70</v>
      </c>
      <c r="C9135" s="17" t="s">
        <v>71</v>
      </c>
      <c r="D9135" t="s">
        <v>25287</v>
      </c>
      <c r="F9135" t="s">
        <v>25287</v>
      </c>
      <c r="J9135" s="17" t="s">
        <v>25288</v>
      </c>
      <c r="K9135" s="18" t="s">
        <v>25289</v>
      </c>
      <c r="N9135" s="17" t="s">
        <v>77</v>
      </c>
      <c r="O9135" t="s">
        <v>145</v>
      </c>
      <c r="U9135" s="17"/>
      <c r="V9135" s="18" t="s">
        <v>25289</v>
      </c>
      <c r="W9135" t="s">
        <v>25290</v>
      </c>
      <c r="Y9135" t="s">
        <v>190</v>
      </c>
      <c r="AA9135" t="s">
        <v>118</v>
      </c>
      <c r="AB9135" t="s">
        <v>119</v>
      </c>
    </row>
    <row r="9136" ht="15" customHeight="1" spans="1:28" x14ac:dyDescent="0.25">
      <c r="A9136" s="17" t="s">
        <v>25291</v>
      </c>
      <c r="B9136" s="17" t="s">
        <v>70</v>
      </c>
      <c r="C9136" s="17" t="s">
        <v>71</v>
      </c>
      <c r="D9136" t="s">
        <v>25292</v>
      </c>
      <c r="F9136" t="s">
        <v>25293</v>
      </c>
      <c r="J9136" t="s">
        <v>115</v>
      </c>
      <c r="K9136" s="18" t="s">
        <v>25294</v>
      </c>
      <c r="N9136" s="17" t="s">
        <v>77</v>
      </c>
      <c r="O9136" t="s">
        <v>199</v>
      </c>
      <c r="V9136" s="18" t="s">
        <v>25294</v>
      </c>
      <c r="Y9136" t="s">
        <v>90</v>
      </c>
      <c r="AA9136" t="s">
        <v>118</v>
      </c>
      <c r="AB9136" t="s">
        <v>119</v>
      </c>
    </row>
    <row r="9137" ht="15" customHeight="1" spans="1:28" x14ac:dyDescent="0.25">
      <c r="A9137" s="17" t="s">
        <v>25295</v>
      </c>
      <c r="B9137" s="17" t="s">
        <v>70</v>
      </c>
      <c r="C9137" s="17" t="s">
        <v>71</v>
      </c>
      <c r="D9137" t="s">
        <v>25296</v>
      </c>
      <c r="F9137" t="s">
        <v>25297</v>
      </c>
      <c r="J9137" s="17" t="s">
        <v>25298</v>
      </c>
      <c r="K9137" s="18" t="s">
        <v>25299</v>
      </c>
      <c r="N9137" s="17" t="s">
        <v>74</v>
      </c>
      <c r="O9137" t="s">
        <v>489</v>
      </c>
      <c r="U9137" s="17"/>
      <c r="V9137" s="18" t="s">
        <v>25299</v>
      </c>
      <c r="W9137" t="s">
        <v>25300</v>
      </c>
      <c r="Y9137" s="17" t="s">
        <v>90</v>
      </c>
      <c r="AA9137" t="s">
        <v>118</v>
      </c>
      <c r="AB9137" t="s">
        <v>119</v>
      </c>
    </row>
    <row r="9138" ht="15" customHeight="1" spans="1:27" x14ac:dyDescent="0.25">
      <c r="A9138" s="17" t="s">
        <v>25301</v>
      </c>
      <c r="B9138" s="17" t="s">
        <v>70</v>
      </c>
      <c r="C9138" s="17" t="s">
        <v>71</v>
      </c>
      <c r="D9138" t="s">
        <v>25296</v>
      </c>
      <c r="F9138" t="s">
        <v>25302</v>
      </c>
      <c r="K9138" s="18">
        <v>45850861</v>
      </c>
      <c r="N9138" s="17" t="s">
        <v>77</v>
      </c>
      <c r="U9138" s="17"/>
      <c r="V9138" s="18">
        <v>45850861</v>
      </c>
      <c r="W9138" t="s">
        <v>25303</v>
      </c>
      <c r="Y9138" s="17" t="s">
        <v>1084</v>
      </c>
      <c r="AA9138" s="17" t="s">
        <v>5003</v>
      </c>
    </row>
    <row r="9139" ht="15" customHeight="1" spans="1:28" x14ac:dyDescent="0.25">
      <c r="A9139" s="17" t="s">
        <v>25304</v>
      </c>
      <c r="B9139" s="17" t="s">
        <v>70</v>
      </c>
      <c r="C9139" s="17" t="s">
        <v>71</v>
      </c>
      <c r="D9139" t="s">
        <v>25296</v>
      </c>
      <c r="F9139" t="s">
        <v>3605</v>
      </c>
      <c r="J9139" t="s">
        <v>115</v>
      </c>
      <c r="K9139" s="18" t="s">
        <v>25305</v>
      </c>
      <c r="N9139" s="17" t="s">
        <v>77</v>
      </c>
      <c r="O9139" t="s">
        <v>117</v>
      </c>
      <c r="V9139" s="18" t="s">
        <v>25305</v>
      </c>
      <c r="Y9139" t="s">
        <v>90</v>
      </c>
      <c r="AA9139" t="s">
        <v>118</v>
      </c>
      <c r="AB9139" t="s">
        <v>119</v>
      </c>
    </row>
    <row r="9140" ht="15" customHeight="1" spans="1:22" x14ac:dyDescent="0.25">
      <c r="A9140" s="17" t="s">
        <v>25306</v>
      </c>
      <c r="B9140" s="17" t="s">
        <v>70</v>
      </c>
      <c r="C9140" s="17" t="s">
        <v>71</v>
      </c>
      <c r="D9140" t="s">
        <v>25307</v>
      </c>
      <c r="F9140" t="s">
        <v>282</v>
      </c>
      <c r="K9140" s="18">
        <f>628562651000</f>
        <v>628562651000</v>
      </c>
      <c r="N9140" s="17" t="s">
        <v>74</v>
      </c>
      <c r="V9140" s="18">
        <f>628562651000</f>
        <v>628562651000</v>
      </c>
    </row>
    <row r="9141" ht="15" customHeight="1" spans="1:28" x14ac:dyDescent="0.25">
      <c r="A9141" s="17" t="s">
        <v>25308</v>
      </c>
      <c r="B9141" s="17" t="s">
        <v>70</v>
      </c>
      <c r="C9141" s="17" t="s">
        <v>71</v>
      </c>
      <c r="D9141" t="s">
        <v>25309</v>
      </c>
      <c r="F9141" t="s">
        <v>25309</v>
      </c>
      <c r="J9141" s="17" t="s">
        <v>25310</v>
      </c>
      <c r="K9141" s="18" t="s">
        <v>25311</v>
      </c>
      <c r="N9141" s="17" t="s">
        <v>77</v>
      </c>
      <c r="O9141" t="s">
        <v>199</v>
      </c>
      <c r="U9141" s="17"/>
      <c r="V9141" s="18" t="s">
        <v>25311</v>
      </c>
      <c r="W9141" t="s">
        <v>25312</v>
      </c>
      <c r="Y9141" t="s">
        <v>251</v>
      </c>
      <c r="AA9141" t="s">
        <v>115</v>
      </c>
      <c r="AB9141" t="s">
        <v>251</v>
      </c>
    </row>
    <row r="9142" ht="15" customHeight="1" spans="1:22" x14ac:dyDescent="0.25">
      <c r="A9142" s="17" t="s">
        <v>25313</v>
      </c>
      <c r="B9142" s="17" t="s">
        <v>70</v>
      </c>
      <c r="C9142" s="17" t="s">
        <v>71</v>
      </c>
      <c r="D9142" t="s">
        <v>25314</v>
      </c>
      <c r="F9142" t="s">
        <v>25315</v>
      </c>
      <c r="K9142" s="18">
        <f>6281818751756</f>
        <v>6281818751756</v>
      </c>
      <c r="N9142" s="17" t="s">
        <v>77</v>
      </c>
      <c r="V9142" s="18">
        <f>6281818751756</f>
        <v>6281818751756</v>
      </c>
    </row>
    <row r="9143" ht="15" customHeight="1" spans="1:28" x14ac:dyDescent="0.25">
      <c r="A9143" s="17" t="s">
        <v>25316</v>
      </c>
      <c r="B9143" s="17" t="s">
        <v>70</v>
      </c>
      <c r="C9143" s="17" t="s">
        <v>71</v>
      </c>
      <c r="D9143" t="s">
        <v>25317</v>
      </c>
      <c r="F9143" t="s">
        <v>22918</v>
      </c>
      <c r="J9143" s="17" t="s">
        <v>25318</v>
      </c>
      <c r="K9143" s="18" t="s">
        <v>25319</v>
      </c>
      <c r="N9143" s="17" t="s">
        <v>77</v>
      </c>
      <c r="O9143" t="s">
        <v>261</v>
      </c>
      <c r="U9143" s="17"/>
      <c r="V9143" s="18" t="s">
        <v>25319</v>
      </c>
      <c r="W9143" t="s">
        <v>1908</v>
      </c>
      <c r="Y9143" t="s">
        <v>1909</v>
      </c>
      <c r="AA9143" t="s">
        <v>115</v>
      </c>
      <c r="AB9143" t="s">
        <v>1909</v>
      </c>
    </row>
    <row r="9144" ht="15" customHeight="1" spans="1:22" x14ac:dyDescent="0.25">
      <c r="A9144" s="17" t="s">
        <v>25320</v>
      </c>
      <c r="B9144" s="17" t="s">
        <v>70</v>
      </c>
      <c r="C9144" s="17" t="s">
        <v>71</v>
      </c>
      <c r="D9144" t="s">
        <v>2881</v>
      </c>
      <c r="F9144" t="s">
        <v>2881</v>
      </c>
      <c r="K9144" s="18">
        <f>628121072105</f>
        <v>628121072105</v>
      </c>
      <c r="N9144" s="17" t="s">
        <v>77</v>
      </c>
      <c r="V9144" s="18">
        <f>628121072105</f>
        <v>628121072105</v>
      </c>
    </row>
    <row r="9145" ht="15" customHeight="1" spans="1:22" x14ac:dyDescent="0.25">
      <c r="A9145" s="17" t="s">
        <v>25321</v>
      </c>
      <c r="B9145" s="17" t="s">
        <v>70</v>
      </c>
      <c r="C9145" s="17" t="s">
        <v>71</v>
      </c>
      <c r="D9145" t="s">
        <v>2386</v>
      </c>
      <c r="F9145" t="s">
        <v>2386</v>
      </c>
      <c r="K9145" s="18">
        <f>628122383822</f>
        <v>628122383822</v>
      </c>
      <c r="N9145" s="17" t="s">
        <v>77</v>
      </c>
      <c r="V9145" s="18">
        <f>628122383822</f>
        <v>628122383822</v>
      </c>
    </row>
    <row r="9146" ht="15" customHeight="1" spans="1:22" x14ac:dyDescent="0.25">
      <c r="A9146" s="17" t="s">
        <v>25322</v>
      </c>
      <c r="B9146" s="17" t="s">
        <v>70</v>
      </c>
      <c r="C9146" s="17" t="s">
        <v>71</v>
      </c>
      <c r="D9146" t="s">
        <v>2386</v>
      </c>
      <c r="F9146" t="s">
        <v>2386</v>
      </c>
      <c r="K9146" s="18">
        <f>6281210868643</f>
        <v>6281210868643</v>
      </c>
      <c r="N9146" s="17" t="s">
        <v>81</v>
      </c>
      <c r="V9146" s="18">
        <f>6281210868643</f>
        <v>6281210868643</v>
      </c>
    </row>
    <row r="9147" ht="15" customHeight="1" spans="1:22" x14ac:dyDescent="0.25">
      <c r="A9147" s="17" t="s">
        <v>25323</v>
      </c>
      <c r="B9147" s="17" t="s">
        <v>70</v>
      </c>
      <c r="C9147" s="17" t="s">
        <v>71</v>
      </c>
      <c r="D9147" t="s">
        <v>2386</v>
      </c>
      <c r="F9147" t="s">
        <v>209</v>
      </c>
      <c r="K9147" s="18">
        <f>62811189901</f>
        <v>62811189901</v>
      </c>
      <c r="N9147" s="17" t="s">
        <v>81</v>
      </c>
      <c r="V9147" s="18">
        <f>62811189901</f>
        <v>62811189901</v>
      </c>
    </row>
    <row r="9148" ht="15" customHeight="1" spans="1:22" x14ac:dyDescent="0.25">
      <c r="A9148" s="17" t="s">
        <v>25324</v>
      </c>
      <c r="B9148" s="17" t="s">
        <v>70</v>
      </c>
      <c r="C9148" s="17" t="s">
        <v>71</v>
      </c>
      <c r="D9148" t="s">
        <v>2386</v>
      </c>
      <c r="F9148" t="s">
        <v>209</v>
      </c>
      <c r="K9148" s="18">
        <f>6281234517447</f>
        <v>6281234517447</v>
      </c>
      <c r="N9148" s="17" t="s">
        <v>81</v>
      </c>
      <c r="V9148" s="18">
        <f>6281234517447</f>
        <v>6281234517447</v>
      </c>
    </row>
    <row r="9149" ht="15" customHeight="1" spans="1:25" x14ac:dyDescent="0.25">
      <c r="A9149" s="17" t="s">
        <v>25325</v>
      </c>
      <c r="B9149" s="17" t="s">
        <v>70</v>
      </c>
      <c r="C9149" s="17" t="s">
        <v>71</v>
      </c>
      <c r="D9149" t="s">
        <v>2386</v>
      </c>
      <c r="F9149" t="s">
        <v>25326</v>
      </c>
      <c r="K9149" s="18">
        <f>62816925885</f>
        <v>62816925885</v>
      </c>
      <c r="N9149" s="17" t="s">
        <v>77</v>
      </c>
      <c r="U9149" s="17"/>
      <c r="V9149" s="18">
        <f>62816925885</f>
        <v>62816925885</v>
      </c>
      <c r="W9149" t="s">
        <v>25327</v>
      </c>
      <c r="Y9149" s="17" t="s">
        <v>96</v>
      </c>
    </row>
    <row r="9150" ht="15" customHeight="1" spans="1:23" x14ac:dyDescent="0.25">
      <c r="A9150" s="17" t="s">
        <v>25328</v>
      </c>
      <c r="B9150" s="17" t="s">
        <v>70</v>
      </c>
      <c r="C9150" s="17" t="s">
        <v>71</v>
      </c>
      <c r="D9150" t="s">
        <v>2386</v>
      </c>
      <c r="F9150" t="s">
        <v>25329</v>
      </c>
      <c r="K9150" s="18">
        <v>29035117</v>
      </c>
      <c r="N9150" s="17" t="s">
        <v>77</v>
      </c>
      <c r="U9150" s="17"/>
      <c r="V9150" s="18">
        <v>29035117</v>
      </c>
      <c r="W9150" t="s">
        <v>25330</v>
      </c>
    </row>
    <row r="9151" ht="15" customHeight="1" spans="1:22" x14ac:dyDescent="0.25">
      <c r="A9151" s="17" t="s">
        <v>25331</v>
      </c>
      <c r="B9151" s="17" t="s">
        <v>70</v>
      </c>
      <c r="C9151" s="17" t="s">
        <v>71</v>
      </c>
      <c r="D9151" t="s">
        <v>25332</v>
      </c>
      <c r="F9151" t="s">
        <v>25332</v>
      </c>
      <c r="K9151" s="18">
        <f>62816839163</f>
        <v>62816839163</v>
      </c>
      <c r="N9151" s="17" t="s">
        <v>77</v>
      </c>
      <c r="V9151" s="18">
        <f>62816839163</f>
        <v>62816839163</v>
      </c>
    </row>
    <row r="9152" ht="15" customHeight="1" spans="1:22" x14ac:dyDescent="0.25">
      <c r="A9152" s="17" t="s">
        <v>25333</v>
      </c>
      <c r="B9152" s="17" t="s">
        <v>70</v>
      </c>
      <c r="C9152" s="17" t="s">
        <v>71</v>
      </c>
      <c r="D9152" t="s">
        <v>25332</v>
      </c>
      <c r="F9152" t="s">
        <v>25332</v>
      </c>
      <c r="K9152" s="18">
        <f>628129980921</f>
        <v>628129980921</v>
      </c>
      <c r="N9152" s="17" t="s">
        <v>81</v>
      </c>
      <c r="V9152" s="18">
        <f>628129980921</f>
        <v>628129980921</v>
      </c>
    </row>
    <row r="9153" ht="15" customHeight="1" spans="1:22" x14ac:dyDescent="0.25">
      <c r="A9153" s="17" t="s">
        <v>25334</v>
      </c>
      <c r="B9153" s="17" t="s">
        <v>70</v>
      </c>
      <c r="C9153" s="17" t="s">
        <v>71</v>
      </c>
      <c r="D9153" t="s">
        <v>25332</v>
      </c>
      <c r="F9153" t="s">
        <v>6919</v>
      </c>
      <c r="K9153" s="18">
        <f>62811190337</f>
        <v>62811190337</v>
      </c>
      <c r="N9153" s="17" t="s">
        <v>81</v>
      </c>
      <c r="V9153" s="18">
        <f>62811190337</f>
        <v>62811190337</v>
      </c>
    </row>
    <row r="9154" ht="15" customHeight="1" spans="1:28" x14ac:dyDescent="0.25">
      <c r="A9154" s="17" t="s">
        <v>25335</v>
      </c>
      <c r="B9154" s="17" t="s">
        <v>70</v>
      </c>
      <c r="C9154" s="17" t="s">
        <v>71</v>
      </c>
      <c r="D9154" t="s">
        <v>25332</v>
      </c>
      <c r="F9154" t="s">
        <v>618</v>
      </c>
      <c r="J9154" t="s">
        <v>115</v>
      </c>
      <c r="K9154" s="18" t="s">
        <v>25336</v>
      </c>
      <c r="N9154" s="17" t="s">
        <v>77</v>
      </c>
      <c r="O9154" t="s">
        <v>117</v>
      </c>
      <c r="V9154" s="18" t="s">
        <v>25336</v>
      </c>
      <c r="Y9154" t="s">
        <v>90</v>
      </c>
      <c r="AA9154" t="s">
        <v>118</v>
      </c>
      <c r="AB9154" t="s">
        <v>119</v>
      </c>
    </row>
    <row r="9155" ht="15" customHeight="1" spans="1:22" x14ac:dyDescent="0.25">
      <c r="A9155" s="17" t="s">
        <v>25337</v>
      </c>
      <c r="B9155" s="17" t="s">
        <v>70</v>
      </c>
      <c r="C9155" s="17" t="s">
        <v>71</v>
      </c>
      <c r="D9155" t="s">
        <v>25332</v>
      </c>
      <c r="F9155" t="s">
        <v>25338</v>
      </c>
      <c r="K9155" s="18">
        <f>6281223535328</f>
        <v>6281223535328</v>
      </c>
      <c r="N9155" s="17" t="s">
        <v>81</v>
      </c>
      <c r="V9155" s="18">
        <f>6281223535328</f>
        <v>6281223535328</v>
      </c>
    </row>
    <row r="9156" ht="15" customHeight="1" spans="1:22" x14ac:dyDescent="0.25">
      <c r="A9156" s="17" t="s">
        <v>25339</v>
      </c>
      <c r="B9156" s="17" t="s">
        <v>70</v>
      </c>
      <c r="C9156" s="17" t="s">
        <v>71</v>
      </c>
      <c r="D9156" t="s">
        <v>25332</v>
      </c>
      <c r="F9156" t="s">
        <v>25340</v>
      </c>
      <c r="K9156" s="18">
        <f>62816854595</f>
        <v>62816854595</v>
      </c>
      <c r="N9156" s="17" t="s">
        <v>74</v>
      </c>
      <c r="V9156" s="18">
        <f>62816854595</f>
        <v>62816854595</v>
      </c>
    </row>
    <row r="9157" ht="15" customHeight="1" spans="1:28" x14ac:dyDescent="0.25">
      <c r="A9157" s="17" t="s">
        <v>25341</v>
      </c>
      <c r="B9157" s="17" t="s">
        <v>70</v>
      </c>
      <c r="C9157" s="17" t="s">
        <v>71</v>
      </c>
      <c r="D9157" t="s">
        <v>25332</v>
      </c>
      <c r="F9157" t="s">
        <v>25342</v>
      </c>
      <c r="J9157" t="s">
        <v>115</v>
      </c>
      <c r="K9157" s="18" t="s">
        <v>25343</v>
      </c>
      <c r="N9157" s="17" t="s">
        <v>77</v>
      </c>
      <c r="O9157" t="s">
        <v>117</v>
      </c>
      <c r="V9157" s="18" t="s">
        <v>25343</v>
      </c>
      <c r="Y9157" t="s">
        <v>190</v>
      </c>
      <c r="AA9157" t="s">
        <v>118</v>
      </c>
      <c r="AB9157" t="s">
        <v>119</v>
      </c>
    </row>
    <row r="9158" ht="15" customHeight="1" spans="1:22" x14ac:dyDescent="0.25">
      <c r="A9158" s="17" t="s">
        <v>25344</v>
      </c>
      <c r="B9158" s="17" t="s">
        <v>70</v>
      </c>
      <c r="C9158" s="17" t="s">
        <v>71</v>
      </c>
      <c r="D9158" t="s">
        <v>25345</v>
      </c>
      <c r="F9158" t="s">
        <v>25345</v>
      </c>
      <c r="K9158" s="18">
        <f>628121016943</f>
        <v>628121016943</v>
      </c>
      <c r="N9158" s="17" t="s">
        <v>81</v>
      </c>
      <c r="V9158" s="18">
        <f>628121016943</f>
        <v>628121016943</v>
      </c>
    </row>
    <row r="9159" ht="15" customHeight="1" spans="1:22" x14ac:dyDescent="0.25">
      <c r="A9159" s="17" t="s">
        <v>25346</v>
      </c>
      <c r="B9159" s="17" t="s">
        <v>70</v>
      </c>
      <c r="C9159" s="17" t="s">
        <v>71</v>
      </c>
      <c r="D9159" t="s">
        <v>25347</v>
      </c>
      <c r="F9159" t="s">
        <v>13629</v>
      </c>
      <c r="K9159" s="18">
        <f>6281285080539</f>
        <v>6281285080539</v>
      </c>
      <c r="N9159" s="17" t="s">
        <v>77</v>
      </c>
      <c r="V9159" s="18">
        <f>6281285080539</f>
        <v>6281285080539</v>
      </c>
    </row>
    <row r="9160" ht="15" customHeight="1" spans="1:23" x14ac:dyDescent="0.25">
      <c r="A9160" s="17" t="s">
        <v>25348</v>
      </c>
      <c r="B9160" s="17" t="s">
        <v>70</v>
      </c>
      <c r="C9160" s="17" t="s">
        <v>71</v>
      </c>
      <c r="D9160" t="s">
        <v>25347</v>
      </c>
      <c r="F9160" t="s">
        <v>1147</v>
      </c>
      <c r="J9160" s="17" t="s">
        <v>25349</v>
      </c>
      <c r="K9160" s="18">
        <f>628122817757</f>
        <v>628122817757</v>
      </c>
      <c r="N9160" s="17" t="s">
        <v>81</v>
      </c>
      <c r="U9160" s="17"/>
      <c r="V9160" s="18">
        <f>628122817757</f>
        <v>628122817757</v>
      </c>
      <c r="W9160" t="s">
        <v>25350</v>
      </c>
    </row>
    <row r="9161" ht="15" customHeight="1" spans="1:23" x14ac:dyDescent="0.25">
      <c r="A9161" s="17" t="s">
        <v>25351</v>
      </c>
      <c r="B9161" s="17" t="s">
        <v>70</v>
      </c>
      <c r="C9161" s="17" t="s">
        <v>71</v>
      </c>
      <c r="D9161" t="s">
        <v>25352</v>
      </c>
      <c r="F9161" t="s">
        <v>669</v>
      </c>
      <c r="K9161" s="18">
        <f>62816949826</f>
        <v>62816949826</v>
      </c>
      <c r="N9161" s="17" t="s">
        <v>77</v>
      </c>
      <c r="U9161" s="17"/>
      <c r="V9161" s="18">
        <f>62816949826</f>
        <v>62816949826</v>
      </c>
      <c r="W9161" t="s">
        <v>25353</v>
      </c>
    </row>
    <row r="9162" ht="15" customHeight="1" spans="1:23" x14ac:dyDescent="0.25">
      <c r="A9162" s="17" t="s">
        <v>25354</v>
      </c>
      <c r="B9162" s="17" t="s">
        <v>70</v>
      </c>
      <c r="C9162" s="17" t="s">
        <v>71</v>
      </c>
      <c r="D9162" t="s">
        <v>25355</v>
      </c>
      <c r="F9162" t="s">
        <v>25356</v>
      </c>
      <c r="J9162" s="17" t="s">
        <v>25357</v>
      </c>
      <c r="K9162" s="18">
        <f>6281311129777</f>
        <v>6281311129777</v>
      </c>
      <c r="N9162" s="17" t="s">
        <v>81</v>
      </c>
      <c r="U9162" s="17"/>
      <c r="V9162" s="18">
        <f>6281311129777</f>
        <v>6281311129777</v>
      </c>
      <c r="W9162" t="s">
        <v>25358</v>
      </c>
    </row>
    <row r="9163" ht="15" customHeight="1" spans="1:27" x14ac:dyDescent="0.25">
      <c r="A9163" s="17" t="s">
        <v>25359</v>
      </c>
      <c r="B9163" s="17" t="s">
        <v>70</v>
      </c>
      <c r="C9163" s="17" t="s">
        <v>71</v>
      </c>
      <c r="D9163" t="s">
        <v>25360</v>
      </c>
      <c r="F9163" t="s">
        <v>10355</v>
      </c>
      <c r="J9163" s="17" t="s">
        <v>25361</v>
      </c>
      <c r="K9163" s="18">
        <f>62895632445248</f>
        <v>62895632445248</v>
      </c>
      <c r="N9163" s="17" t="s">
        <v>81</v>
      </c>
      <c r="U9163" s="17"/>
      <c r="V9163" s="18">
        <f>62895632445248</f>
        <v>62895632445248</v>
      </c>
      <c r="W9163" t="s">
        <v>25362</v>
      </c>
      <c r="Y9163" s="17" t="s">
        <v>378</v>
      </c>
      <c r="AA9163" s="17">
        <v>10120</v>
      </c>
    </row>
    <row r="9164" ht="15" customHeight="1" spans="1:28" x14ac:dyDescent="0.25">
      <c r="A9164" s="17" t="s">
        <v>25363</v>
      </c>
      <c r="B9164" s="17" t="s">
        <v>70</v>
      </c>
      <c r="C9164" s="17" t="s">
        <v>71</v>
      </c>
      <c r="D9164" t="s">
        <v>6851</v>
      </c>
      <c r="F9164" t="s">
        <v>212</v>
      </c>
      <c r="J9164" t="s">
        <v>115</v>
      </c>
      <c r="K9164" s="18" t="s">
        <v>25364</v>
      </c>
      <c r="N9164" s="17" t="s">
        <v>77</v>
      </c>
      <c r="O9164" t="s">
        <v>199</v>
      </c>
      <c r="V9164" s="18" t="s">
        <v>25364</v>
      </c>
      <c r="Y9164" t="s">
        <v>115</v>
      </c>
      <c r="AA9164" t="s">
        <v>115</v>
      </c>
      <c r="AB9164" t="s">
        <v>119</v>
      </c>
    </row>
    <row r="9165" ht="15" customHeight="1" spans="1:28" x14ac:dyDescent="0.25">
      <c r="A9165" s="17" t="s">
        <v>25365</v>
      </c>
      <c r="B9165" s="17" t="s">
        <v>70</v>
      </c>
      <c r="C9165" s="17" t="s">
        <v>71</v>
      </c>
      <c r="D9165" t="s">
        <v>6851</v>
      </c>
      <c r="F9165" t="s">
        <v>10551</v>
      </c>
      <c r="J9165" t="s">
        <v>115</v>
      </c>
      <c r="K9165" s="18" t="s">
        <v>25366</v>
      </c>
      <c r="N9165" s="17" t="s">
        <v>81</v>
      </c>
      <c r="O9165" t="s">
        <v>261</v>
      </c>
      <c r="V9165" s="18" t="s">
        <v>25366</v>
      </c>
      <c r="Y9165" t="s">
        <v>96</v>
      </c>
      <c r="AA9165" t="s">
        <v>693</v>
      </c>
      <c r="AB9165" t="s">
        <v>119</v>
      </c>
    </row>
    <row r="9166" ht="15" customHeight="1" spans="1:28" x14ac:dyDescent="0.25">
      <c r="A9166" s="17" t="s">
        <v>25367</v>
      </c>
      <c r="B9166" s="17" t="s">
        <v>70</v>
      </c>
      <c r="C9166" s="17" t="s">
        <v>71</v>
      </c>
      <c r="D9166" t="s">
        <v>25368</v>
      </c>
      <c r="F9166" t="s">
        <v>25369</v>
      </c>
      <c r="J9166" s="17" t="s">
        <v>25370</v>
      </c>
      <c r="K9166" s="18" t="s">
        <v>25371</v>
      </c>
      <c r="N9166" s="17" t="s">
        <v>77</v>
      </c>
      <c r="O9166" t="s">
        <v>489</v>
      </c>
      <c r="U9166" s="17"/>
      <c r="V9166" s="18" t="s">
        <v>25371</v>
      </c>
      <c r="W9166" t="s">
        <v>1638</v>
      </c>
      <c r="Y9166" t="s">
        <v>1639</v>
      </c>
      <c r="AA9166" t="s">
        <v>115</v>
      </c>
      <c r="AB9166" t="s">
        <v>119</v>
      </c>
    </row>
    <row r="9167" ht="15" customHeight="1" spans="1:22" x14ac:dyDescent="0.25">
      <c r="A9167" s="17" t="s">
        <v>25372</v>
      </c>
      <c r="B9167" s="17" t="s">
        <v>70</v>
      </c>
      <c r="C9167" s="17" t="s">
        <v>71</v>
      </c>
      <c r="D9167" t="s">
        <v>25373</v>
      </c>
      <c r="F9167" t="s">
        <v>672</v>
      </c>
      <c r="K9167" s="18">
        <f>62816789215</f>
        <v>62816789215</v>
      </c>
      <c r="N9167" s="17" t="s">
        <v>81</v>
      </c>
      <c r="V9167" s="18">
        <f>62816789215</f>
        <v>62816789215</v>
      </c>
    </row>
    <row r="9168" ht="15" customHeight="1" spans="1:23" x14ac:dyDescent="0.25">
      <c r="A9168" s="17" t="s">
        <v>25374</v>
      </c>
      <c r="B9168" s="17" t="s">
        <v>70</v>
      </c>
      <c r="C9168" s="17" t="s">
        <v>71</v>
      </c>
      <c r="D9168" t="s">
        <v>25375</v>
      </c>
      <c r="F9168" t="s">
        <v>25376</v>
      </c>
      <c r="K9168" s="18">
        <f>62816983962</f>
        <v>62816983962</v>
      </c>
      <c r="N9168" s="17" t="s">
        <v>74</v>
      </c>
      <c r="U9168" s="17"/>
      <c r="V9168" s="18">
        <f>62816983962</f>
        <v>62816983962</v>
      </c>
      <c r="W9168" t="s">
        <v>25377</v>
      </c>
    </row>
    <row r="9169" ht="15" customHeight="1" spans="1:22" x14ac:dyDescent="0.25">
      <c r="A9169" s="17" t="s">
        <v>25378</v>
      </c>
      <c r="B9169" s="17" t="s">
        <v>70</v>
      </c>
      <c r="C9169" s="17" t="s">
        <v>71</v>
      </c>
      <c r="D9169" t="s">
        <v>16235</v>
      </c>
      <c r="F9169" t="s">
        <v>10641</v>
      </c>
      <c r="K9169" s="18">
        <f>8615973142366</f>
        <v>8615973142366</v>
      </c>
      <c r="N9169" s="17" t="s">
        <v>77</v>
      </c>
      <c r="V9169" s="18">
        <f>8615973142366</f>
        <v>8615973142366</v>
      </c>
    </row>
    <row r="9170" ht="15" customHeight="1" spans="1:22" x14ac:dyDescent="0.25">
      <c r="A9170" s="17" t="s">
        <v>25379</v>
      </c>
      <c r="B9170" s="17" t="s">
        <v>70</v>
      </c>
      <c r="C9170" s="17" t="s">
        <v>71</v>
      </c>
      <c r="D9170" t="s">
        <v>16235</v>
      </c>
      <c r="F9170" t="s">
        <v>25380</v>
      </c>
      <c r="K9170" s="18">
        <f>8613874854548</f>
        <v>8613874854548</v>
      </c>
      <c r="N9170" s="17" t="s">
        <v>81</v>
      </c>
      <c r="V9170" s="18">
        <f>8613874854548</f>
        <v>8613874854548</v>
      </c>
    </row>
    <row r="9171" ht="15" customHeight="1" spans="1:28" x14ac:dyDescent="0.25">
      <c r="A9171" s="17" t="s">
        <v>25381</v>
      </c>
      <c r="B9171" s="17" t="s">
        <v>70</v>
      </c>
      <c r="C9171" s="17" t="s">
        <v>71</v>
      </c>
      <c r="D9171" t="s">
        <v>16235</v>
      </c>
      <c r="F9171" t="s">
        <v>25382</v>
      </c>
      <c r="J9171" t="s">
        <v>115</v>
      </c>
      <c r="K9171" s="18" t="s">
        <v>25383</v>
      </c>
      <c r="N9171" s="17" t="s">
        <v>77</v>
      </c>
      <c r="O9171" t="s">
        <v>145</v>
      </c>
      <c r="V9171" s="18" t="s">
        <v>25383</v>
      </c>
      <c r="Y9171" t="s">
        <v>3140</v>
      </c>
      <c r="AA9171" t="s">
        <v>115</v>
      </c>
      <c r="AB9171" t="s">
        <v>3140</v>
      </c>
    </row>
    <row r="9172" ht="15" customHeight="1" spans="1:22" x14ac:dyDescent="0.25">
      <c r="A9172" s="17" t="s">
        <v>25384</v>
      </c>
      <c r="B9172" s="17" t="s">
        <v>70</v>
      </c>
      <c r="C9172" s="17" t="s">
        <v>71</v>
      </c>
      <c r="D9172" t="s">
        <v>16235</v>
      </c>
      <c r="F9172" t="s">
        <v>23450</v>
      </c>
      <c r="K9172" s="18">
        <f>6282213357239</f>
        <v>6282213357239</v>
      </c>
      <c r="N9172" s="17" t="s">
        <v>77</v>
      </c>
      <c r="V9172" s="18">
        <f>6282213357239</f>
        <v>6282213357239</v>
      </c>
    </row>
    <row r="9173" ht="15" customHeight="1" spans="1:28" x14ac:dyDescent="0.25">
      <c r="A9173" s="17" t="s">
        <v>25385</v>
      </c>
      <c r="B9173" s="17" t="s">
        <v>70</v>
      </c>
      <c r="C9173" s="17" t="s">
        <v>71</v>
      </c>
      <c r="D9173" t="s">
        <v>16235</v>
      </c>
      <c r="F9173" t="s">
        <v>15085</v>
      </c>
      <c r="J9173" t="s">
        <v>115</v>
      </c>
      <c r="K9173" s="18" t="s">
        <v>25386</v>
      </c>
      <c r="N9173" s="17" t="s">
        <v>77</v>
      </c>
      <c r="O9173" t="s">
        <v>489</v>
      </c>
      <c r="V9173" s="18" t="s">
        <v>25386</v>
      </c>
      <c r="Y9173" t="s">
        <v>3140</v>
      </c>
      <c r="AA9173" t="s">
        <v>115</v>
      </c>
      <c r="AB9173" t="s">
        <v>3140</v>
      </c>
    </row>
    <row r="9174" ht="15" customHeight="1" spans="1:28" x14ac:dyDescent="0.25">
      <c r="A9174" s="17" t="s">
        <v>25387</v>
      </c>
      <c r="B9174" s="17" t="s">
        <v>70</v>
      </c>
      <c r="C9174" s="17" t="s">
        <v>71</v>
      </c>
      <c r="D9174" t="s">
        <v>25388</v>
      </c>
      <c r="F9174" t="s">
        <v>25389</v>
      </c>
      <c r="J9174" s="17" t="s">
        <v>25390</v>
      </c>
      <c r="K9174" s="18" t="s">
        <v>25391</v>
      </c>
      <c r="N9174" s="17" t="s">
        <v>77</v>
      </c>
      <c r="O9174" t="s">
        <v>117</v>
      </c>
      <c r="V9174" s="18" t="s">
        <v>25391</v>
      </c>
      <c r="Y9174" t="s">
        <v>115</v>
      </c>
      <c r="AA9174" t="s">
        <v>115</v>
      </c>
      <c r="AB9174" t="s">
        <v>3140</v>
      </c>
    </row>
    <row r="9175" ht="15" customHeight="1" spans="1:28" x14ac:dyDescent="0.25">
      <c r="A9175" s="17" t="s">
        <v>25392</v>
      </c>
      <c r="B9175" s="17" t="s">
        <v>70</v>
      </c>
      <c r="C9175" s="17" t="s">
        <v>71</v>
      </c>
      <c r="D9175" t="s">
        <v>16235</v>
      </c>
      <c r="F9175" t="s">
        <v>7414</v>
      </c>
      <c r="J9175" s="17" t="s">
        <v>25393</v>
      </c>
      <c r="K9175" s="18" t="s">
        <v>25394</v>
      </c>
      <c r="N9175" s="17" t="s">
        <v>77</v>
      </c>
      <c r="O9175" t="s">
        <v>117</v>
      </c>
      <c r="U9175" s="17"/>
      <c r="V9175" s="18" t="s">
        <v>25394</v>
      </c>
      <c r="W9175" t="s">
        <v>3140</v>
      </c>
      <c r="Y9175" t="s">
        <v>115</v>
      </c>
      <c r="AA9175" t="s">
        <v>115</v>
      </c>
      <c r="AB9175" t="s">
        <v>119</v>
      </c>
    </row>
    <row r="9176" ht="15" customHeight="1" spans="1:22" x14ac:dyDescent="0.25">
      <c r="A9176" s="17" t="s">
        <v>25395</v>
      </c>
      <c r="B9176" s="17" t="s">
        <v>70</v>
      </c>
      <c r="C9176" s="17" t="s">
        <v>71</v>
      </c>
      <c r="D9176" t="s">
        <v>25396</v>
      </c>
      <c r="F9176" t="s">
        <v>1679</v>
      </c>
      <c r="K9176" s="18">
        <f>62816737889</f>
        <v>62816737889</v>
      </c>
      <c r="N9176" s="17" t="s">
        <v>81</v>
      </c>
      <c r="V9176" s="18">
        <f>62816737889</f>
        <v>62816737889</v>
      </c>
    </row>
    <row r="9177" ht="15" customHeight="1" spans="1:22" x14ac:dyDescent="0.25">
      <c r="A9177" s="17" t="s">
        <v>25397</v>
      </c>
      <c r="B9177" s="17" t="s">
        <v>70</v>
      </c>
      <c r="C9177" s="17" t="s">
        <v>71</v>
      </c>
      <c r="D9177" t="s">
        <v>25398</v>
      </c>
      <c r="F9177" t="s">
        <v>1679</v>
      </c>
      <c r="K9177" s="18">
        <f>628111099205</f>
        <v>628111099205</v>
      </c>
      <c r="N9177" s="17" t="s">
        <v>81</v>
      </c>
      <c r="V9177" s="18">
        <f>628111099205</f>
        <v>628111099205</v>
      </c>
    </row>
    <row r="9178" ht="15" customHeight="1" spans="1:25" x14ac:dyDescent="0.25">
      <c r="A9178" s="17" t="s">
        <v>25399</v>
      </c>
      <c r="B9178" s="17" t="s">
        <v>70</v>
      </c>
      <c r="C9178" s="17" t="s">
        <v>71</v>
      </c>
      <c r="D9178" t="s">
        <v>25400</v>
      </c>
      <c r="F9178" t="s">
        <v>618</v>
      </c>
      <c r="K9178" s="18">
        <f>62816900705</f>
        <v>62816900705</v>
      </c>
      <c r="N9178" s="17" t="s">
        <v>81</v>
      </c>
      <c r="U9178" s="17"/>
      <c r="V9178" s="18">
        <f>62816900705</f>
        <v>62816900705</v>
      </c>
      <c r="W9178" t="s">
        <v>25401</v>
      </c>
      <c r="Y9178" s="17" t="s">
        <v>90</v>
      </c>
    </row>
    <row r="9179" ht="15" customHeight="1" spans="1:22" x14ac:dyDescent="0.25">
      <c r="A9179" s="17" t="s">
        <v>25402</v>
      </c>
      <c r="B9179" s="17" t="s">
        <v>70</v>
      </c>
      <c r="C9179" s="17" t="s">
        <v>71</v>
      </c>
      <c r="D9179" t="s">
        <v>25400</v>
      </c>
      <c r="F9179" t="s">
        <v>2533</v>
      </c>
      <c r="K9179" s="18">
        <f>6281329999128</f>
        <v>6281329999128</v>
      </c>
      <c r="N9179" s="17" t="s">
        <v>74</v>
      </c>
      <c r="V9179" s="18">
        <f>6281329999128</f>
        <v>6281329999128</v>
      </c>
    </row>
    <row r="9180" ht="15" customHeight="1" spans="1:22" x14ac:dyDescent="0.25">
      <c r="A9180" s="17" t="s">
        <v>25403</v>
      </c>
      <c r="B9180" s="17" t="s">
        <v>70</v>
      </c>
      <c r="C9180" s="17" t="s">
        <v>71</v>
      </c>
      <c r="D9180" t="s">
        <v>25400</v>
      </c>
      <c r="F9180" t="s">
        <v>5564</v>
      </c>
      <c r="K9180" s="18">
        <f>628122112882</f>
        <v>628122112882</v>
      </c>
      <c r="N9180" s="17" t="s">
        <v>81</v>
      </c>
      <c r="V9180" s="18">
        <f>628122112882</f>
        <v>628122112882</v>
      </c>
    </row>
    <row r="9181" ht="15" customHeight="1" spans="1:22" x14ac:dyDescent="0.25">
      <c r="A9181" s="17" t="s">
        <v>25404</v>
      </c>
      <c r="B9181" s="17" t="s">
        <v>70</v>
      </c>
      <c r="C9181" s="17" t="s">
        <v>71</v>
      </c>
      <c r="D9181" t="s">
        <v>25400</v>
      </c>
      <c r="F9181" t="s">
        <v>25405</v>
      </c>
      <c r="K9181" s="18">
        <f>62811956224</f>
        <v>62811956224</v>
      </c>
      <c r="N9181" s="17" t="s">
        <v>77</v>
      </c>
      <c r="V9181" s="18">
        <f>62811956224</f>
        <v>62811956224</v>
      </c>
    </row>
    <row r="9182" ht="15" customHeight="1" spans="1:22" x14ac:dyDescent="0.25">
      <c r="A9182" s="17" t="s">
        <v>25406</v>
      </c>
      <c r="B9182" s="17" t="s">
        <v>70</v>
      </c>
      <c r="C9182" s="17" t="s">
        <v>71</v>
      </c>
      <c r="D9182" t="s">
        <v>12805</v>
      </c>
      <c r="F9182" t="s">
        <v>12805</v>
      </c>
      <c r="K9182" s="18">
        <v>86905010</v>
      </c>
      <c r="N9182" s="17" t="s">
        <v>77</v>
      </c>
      <c r="V9182" s="18">
        <v>86905010</v>
      </c>
    </row>
    <row r="9183" ht="15" customHeight="1" spans="1:23" x14ac:dyDescent="0.25">
      <c r="A9183" s="17" t="s">
        <v>25407</v>
      </c>
      <c r="B9183" s="17" t="s">
        <v>70</v>
      </c>
      <c r="C9183" s="17" t="s">
        <v>71</v>
      </c>
      <c r="D9183" t="s">
        <v>12805</v>
      </c>
      <c r="F9183" t="s">
        <v>25408</v>
      </c>
      <c r="J9183" s="17" t="s">
        <v>25409</v>
      </c>
      <c r="K9183" s="18">
        <f>6281315791258</f>
        <v>6281315791258</v>
      </c>
      <c r="N9183" s="17" t="s">
        <v>81</v>
      </c>
      <c r="U9183" s="17"/>
      <c r="V9183" s="18">
        <f>6281315791258</f>
        <v>6281315791258</v>
      </c>
      <c r="W9183" t="s">
        <v>25410</v>
      </c>
    </row>
    <row r="9184" ht="15" customHeight="1" spans="1:22" x14ac:dyDescent="0.25">
      <c r="A9184" s="17" t="s">
        <v>25411</v>
      </c>
      <c r="B9184" s="17" t="s">
        <v>70</v>
      </c>
      <c r="C9184" s="17" t="s">
        <v>71</v>
      </c>
      <c r="D9184" t="s">
        <v>12805</v>
      </c>
      <c r="F9184" t="s">
        <v>212</v>
      </c>
      <c r="K9184" s="18">
        <f>62878932311463</f>
        <v>62878932311463</v>
      </c>
      <c r="N9184" s="17" t="s">
        <v>77</v>
      </c>
      <c r="V9184" s="18">
        <f>62878932311463</f>
        <v>62878932311463</v>
      </c>
    </row>
    <row r="9185" ht="15" customHeight="1" spans="1:22" x14ac:dyDescent="0.25">
      <c r="A9185" s="17" t="s">
        <v>25412</v>
      </c>
      <c r="B9185" s="17" t="s">
        <v>70</v>
      </c>
      <c r="C9185" s="17" t="s">
        <v>71</v>
      </c>
      <c r="D9185" t="s">
        <v>12805</v>
      </c>
      <c r="F9185" t="s">
        <v>25413</v>
      </c>
      <c r="K9185" s="18">
        <f>62818166285</f>
        <v>62818166285</v>
      </c>
      <c r="N9185" s="17" t="s">
        <v>81</v>
      </c>
      <c r="V9185" s="18">
        <f>62818166285</f>
        <v>62818166285</v>
      </c>
    </row>
    <row r="9186" ht="15" customHeight="1" spans="1:22" x14ac:dyDescent="0.25">
      <c r="A9186" s="17" t="s">
        <v>25414</v>
      </c>
      <c r="B9186" s="17" t="s">
        <v>70</v>
      </c>
      <c r="C9186" s="17" t="s">
        <v>71</v>
      </c>
      <c r="D9186" t="s">
        <v>5032</v>
      </c>
      <c r="F9186" t="s">
        <v>25415</v>
      </c>
      <c r="K9186" s="18">
        <f>62982132411818</f>
        <v>62982132411818</v>
      </c>
      <c r="N9186" s="17" t="s">
        <v>81</v>
      </c>
      <c r="V9186" s="18">
        <f>62982132411818</f>
        <v>62982132411818</v>
      </c>
    </row>
    <row r="9187" ht="15" customHeight="1" spans="1:27" x14ac:dyDescent="0.25">
      <c r="A9187" s="17" t="s">
        <v>25416</v>
      </c>
      <c r="B9187" s="17" t="s">
        <v>70</v>
      </c>
      <c r="C9187" s="17" t="s">
        <v>71</v>
      </c>
      <c r="D9187" t="s">
        <v>5032</v>
      </c>
      <c r="F9187" t="s">
        <v>25417</v>
      </c>
      <c r="J9187" s="17" t="s">
        <v>25418</v>
      </c>
      <c r="K9187" s="18">
        <f>6281905193688</f>
        <v>6281905193688</v>
      </c>
      <c r="N9187" s="17" t="s">
        <v>81</v>
      </c>
      <c r="U9187" s="17"/>
      <c r="V9187" s="18">
        <f>6281905193688</f>
        <v>6281905193688</v>
      </c>
      <c r="W9187" t="s">
        <v>25419</v>
      </c>
      <c r="AA9187" s="17">
        <v>16143</v>
      </c>
    </row>
    <row r="9188" ht="15" customHeight="1" spans="1:23" x14ac:dyDescent="0.25">
      <c r="A9188" s="17" t="s">
        <v>25420</v>
      </c>
      <c r="B9188" s="17" t="s">
        <v>70</v>
      </c>
      <c r="C9188" s="17" t="s">
        <v>71</v>
      </c>
      <c r="D9188" t="s">
        <v>5032</v>
      </c>
      <c r="F9188" t="s">
        <v>1564</v>
      </c>
      <c r="J9188" s="17" t="s">
        <v>25421</v>
      </c>
      <c r="K9188" s="18">
        <f>62818600006</f>
        <v>62818600006</v>
      </c>
      <c r="N9188" s="17" t="s">
        <v>81</v>
      </c>
      <c r="U9188" s="17"/>
      <c r="V9188" s="18">
        <f>62818600006</f>
        <v>62818600006</v>
      </c>
      <c r="W9188" t="s">
        <v>25422</v>
      </c>
    </row>
    <row r="9189" ht="15" customHeight="1" spans="1:23" x14ac:dyDescent="0.25">
      <c r="A9189" s="17" t="s">
        <v>25423</v>
      </c>
      <c r="B9189" s="17" t="s">
        <v>70</v>
      </c>
      <c r="C9189" s="17" t="s">
        <v>71</v>
      </c>
      <c r="D9189" t="s">
        <v>5032</v>
      </c>
      <c r="F9189" t="s">
        <v>8099</v>
      </c>
      <c r="J9189" s="17" t="s">
        <v>25424</v>
      </c>
      <c r="K9189" s="18">
        <f>6287782228333</f>
        <v>6287782228333</v>
      </c>
      <c r="N9189" s="17" t="s">
        <v>81</v>
      </c>
      <c r="U9189" s="17"/>
      <c r="V9189" s="18">
        <f>6287782228333</f>
        <v>6287782228333</v>
      </c>
      <c r="W9189" t="s">
        <v>25425</v>
      </c>
    </row>
    <row r="9190" ht="15" customHeight="1" spans="1:25" x14ac:dyDescent="0.25">
      <c r="A9190" s="17" t="s">
        <v>25426</v>
      </c>
      <c r="B9190" s="17" t="s">
        <v>70</v>
      </c>
      <c r="C9190" s="17" t="s">
        <v>71</v>
      </c>
      <c r="D9190" t="s">
        <v>25427</v>
      </c>
      <c r="F9190" t="s">
        <v>25428</v>
      </c>
      <c r="J9190" s="17" t="s">
        <v>25429</v>
      </c>
      <c r="K9190" s="18">
        <f>62811238678</f>
        <v>62811238678</v>
      </c>
      <c r="N9190" s="17" t="s">
        <v>81</v>
      </c>
      <c r="U9190" s="17"/>
      <c r="V9190" s="18">
        <f>62811238678</f>
        <v>62811238678</v>
      </c>
      <c r="W9190" t="s">
        <v>25430</v>
      </c>
      <c r="Y9190" s="17" t="s">
        <v>397</v>
      </c>
    </row>
    <row r="9191" ht="15" customHeight="1" spans="1:23" x14ac:dyDescent="0.25">
      <c r="A9191" s="17" t="s">
        <v>25431</v>
      </c>
      <c r="B9191" s="17" t="s">
        <v>70</v>
      </c>
      <c r="C9191" s="17" t="s">
        <v>71</v>
      </c>
      <c r="D9191" t="s">
        <v>25432</v>
      </c>
      <c r="F9191" t="s">
        <v>25432</v>
      </c>
      <c r="J9191" s="17" t="s">
        <v>25433</v>
      </c>
      <c r="K9191" s="18">
        <f>628161933344</f>
        <v>628161933344</v>
      </c>
      <c r="N9191" s="17" t="s">
        <v>77</v>
      </c>
      <c r="U9191" s="17"/>
      <c r="V9191" s="18">
        <f>628161933344</f>
        <v>628161933344</v>
      </c>
      <c r="W9191" t="s">
        <v>25434</v>
      </c>
    </row>
    <row r="9192" ht="15" customHeight="1" spans="1:22" x14ac:dyDescent="0.25">
      <c r="A9192" s="17" t="s">
        <v>25435</v>
      </c>
      <c r="B9192" s="17" t="s">
        <v>70</v>
      </c>
      <c r="C9192" s="17" t="s">
        <v>71</v>
      </c>
      <c r="D9192" t="s">
        <v>25432</v>
      </c>
      <c r="F9192" t="s">
        <v>25432</v>
      </c>
      <c r="J9192" s="17" t="s">
        <v>25436</v>
      </c>
      <c r="K9192" s="18">
        <f>628111710028</f>
        <v>628111710028</v>
      </c>
      <c r="N9192" s="17" t="s">
        <v>77</v>
      </c>
      <c r="V9192" s="18">
        <f>628111710028</f>
        <v>628111710028</v>
      </c>
    </row>
    <row r="9193" ht="15" customHeight="1" spans="1:22" x14ac:dyDescent="0.25">
      <c r="A9193" s="17" t="s">
        <v>25437</v>
      </c>
      <c r="B9193" s="17" t="s">
        <v>70</v>
      </c>
      <c r="C9193" s="17" t="s">
        <v>71</v>
      </c>
      <c r="D9193" t="s">
        <v>25432</v>
      </c>
      <c r="F9193" t="s">
        <v>25432</v>
      </c>
      <c r="K9193" s="18">
        <f>62215213056</f>
        <v>62215213056</v>
      </c>
      <c r="N9193" s="17" t="s">
        <v>77</v>
      </c>
      <c r="V9193" s="18">
        <f>62215213056</f>
        <v>62215213056</v>
      </c>
    </row>
    <row r="9194" ht="15" customHeight="1" spans="1:22" x14ac:dyDescent="0.25">
      <c r="A9194" s="17" t="s">
        <v>25438</v>
      </c>
      <c r="B9194" s="17" t="s">
        <v>70</v>
      </c>
      <c r="C9194" s="17" t="s">
        <v>71</v>
      </c>
      <c r="D9194" t="s">
        <v>25439</v>
      </c>
      <c r="F9194" t="s">
        <v>25440</v>
      </c>
      <c r="K9194" s="18">
        <f>628161998850</f>
        <v>628161998850</v>
      </c>
      <c r="N9194" s="17" t="s">
        <v>77</v>
      </c>
      <c r="V9194" s="18">
        <f>628161998850</f>
        <v>628161998850</v>
      </c>
    </row>
    <row r="9195" ht="15" customHeight="1" spans="1:22" x14ac:dyDescent="0.25">
      <c r="A9195" s="17" t="s">
        <v>25441</v>
      </c>
      <c r="B9195" s="17" t="s">
        <v>70</v>
      </c>
      <c r="C9195" s="17" t="s">
        <v>71</v>
      </c>
      <c r="D9195" t="s">
        <v>25442</v>
      </c>
      <c r="F9195" t="s">
        <v>25442</v>
      </c>
      <c r="K9195" s="18">
        <f>628129406002</f>
        <v>628129406002</v>
      </c>
      <c r="N9195" s="17" t="s">
        <v>81</v>
      </c>
      <c r="V9195" s="18">
        <f>628129406002</f>
        <v>628129406002</v>
      </c>
    </row>
    <row r="9196" ht="15" customHeight="1" spans="1:22" x14ac:dyDescent="0.25">
      <c r="A9196" s="17" t="s">
        <v>25443</v>
      </c>
      <c r="B9196" s="17" t="s">
        <v>70</v>
      </c>
      <c r="C9196" s="17" t="s">
        <v>71</v>
      </c>
      <c r="D9196" t="s">
        <v>25444</v>
      </c>
      <c r="F9196" t="s">
        <v>25444</v>
      </c>
      <c r="K9196" s="18">
        <f>628161134177</f>
        <v>628161134177</v>
      </c>
      <c r="N9196" s="17" t="s">
        <v>77</v>
      </c>
      <c r="V9196" s="18">
        <f>628161134177</f>
        <v>628161134177</v>
      </c>
    </row>
    <row r="9197" ht="15" customHeight="1" spans="1:22" x14ac:dyDescent="0.25">
      <c r="A9197" s="17" t="s">
        <v>25445</v>
      </c>
      <c r="B9197" s="17" t="s">
        <v>70</v>
      </c>
      <c r="C9197" s="17" t="s">
        <v>71</v>
      </c>
      <c r="D9197" t="s">
        <v>25444</v>
      </c>
      <c r="F9197" t="s">
        <v>25444</v>
      </c>
      <c r="K9197" s="18">
        <f>6281287992288</f>
        <v>6281287992288</v>
      </c>
      <c r="N9197" s="17" t="s">
        <v>74</v>
      </c>
      <c r="V9197" s="18">
        <f>6281287992288</f>
        <v>6281287992288</v>
      </c>
    </row>
    <row r="9198" ht="15" customHeight="1" spans="1:22" x14ac:dyDescent="0.25">
      <c r="A9198" s="17" t="s">
        <v>25446</v>
      </c>
      <c r="B9198" s="17" t="s">
        <v>70</v>
      </c>
      <c r="C9198" s="17" t="s">
        <v>71</v>
      </c>
      <c r="D9198" t="s">
        <v>25444</v>
      </c>
      <c r="F9198" t="s">
        <v>25444</v>
      </c>
      <c r="K9198" s="18">
        <f>628587333369</f>
        <v>628587333369</v>
      </c>
      <c r="N9198" s="17" t="s">
        <v>81</v>
      </c>
      <c r="V9198" s="18">
        <f>628587333369</f>
        <v>628587333369</v>
      </c>
    </row>
    <row r="9199" ht="15" customHeight="1" spans="1:22" x14ac:dyDescent="0.25">
      <c r="A9199" s="17" t="s">
        <v>25447</v>
      </c>
      <c r="B9199" s="17" t="s">
        <v>70</v>
      </c>
      <c r="C9199" s="17" t="s">
        <v>71</v>
      </c>
      <c r="D9199" t="s">
        <v>25444</v>
      </c>
      <c r="F9199" t="s">
        <v>25448</v>
      </c>
      <c r="K9199" s="18">
        <f>62811843523</f>
        <v>62811843523</v>
      </c>
      <c r="N9199" s="17" t="s">
        <v>77</v>
      </c>
      <c r="V9199" s="18">
        <f>62811843523</f>
        <v>62811843523</v>
      </c>
    </row>
    <row r="9200" ht="15" customHeight="1" spans="1:22" x14ac:dyDescent="0.25">
      <c r="A9200" s="17" t="s">
        <v>25449</v>
      </c>
      <c r="B9200" s="17" t="s">
        <v>70</v>
      </c>
      <c r="C9200" s="17" t="s">
        <v>71</v>
      </c>
      <c r="D9200" t="s">
        <v>25444</v>
      </c>
      <c r="F9200" t="s">
        <v>25450</v>
      </c>
      <c r="K9200" s="18">
        <f>628128008888</f>
        <v>628128008888</v>
      </c>
      <c r="N9200" s="17" t="s">
        <v>77</v>
      </c>
      <c r="V9200" s="18">
        <f>628128008888</f>
        <v>628128008888</v>
      </c>
    </row>
    <row r="9201" ht="15" customHeight="1" spans="1:22" x14ac:dyDescent="0.25">
      <c r="A9201" s="17" t="s">
        <v>25451</v>
      </c>
      <c r="B9201" s="17" t="s">
        <v>70</v>
      </c>
      <c r="C9201" s="17" t="s">
        <v>71</v>
      </c>
      <c r="D9201" t="s">
        <v>25452</v>
      </c>
      <c r="F9201" t="s">
        <v>25452</v>
      </c>
      <c r="K9201" s="18">
        <f>6281289929292</f>
        <v>6281289929292</v>
      </c>
      <c r="N9201" s="17" t="s">
        <v>77</v>
      </c>
      <c r="V9201" s="18">
        <f>6281289929292</f>
        <v>6281289929292</v>
      </c>
    </row>
    <row r="9202" ht="15" customHeight="1" spans="1:22" x14ac:dyDescent="0.25">
      <c r="A9202" s="17" t="s">
        <v>25453</v>
      </c>
      <c r="B9202" s="17" t="s">
        <v>70</v>
      </c>
      <c r="C9202" s="17" t="s">
        <v>71</v>
      </c>
      <c r="D9202" t="s">
        <v>25454</v>
      </c>
      <c r="F9202" t="s">
        <v>25455</v>
      </c>
      <c r="K9202" s="18">
        <f>628111121177</f>
        <v>628111121177</v>
      </c>
      <c r="N9202" s="17" t="s">
        <v>77</v>
      </c>
      <c r="V9202" s="18">
        <f>628111121177</f>
        <v>628111121177</v>
      </c>
    </row>
    <row r="9203" ht="15" customHeight="1" spans="1:22" x14ac:dyDescent="0.25">
      <c r="A9203" s="17" t="s">
        <v>25456</v>
      </c>
      <c r="B9203" s="17" t="s">
        <v>70</v>
      </c>
      <c r="C9203" s="17" t="s">
        <v>71</v>
      </c>
      <c r="D9203" t="s">
        <v>25457</v>
      </c>
      <c r="F9203" t="s">
        <v>25457</v>
      </c>
      <c r="K9203" s="18">
        <f>628111992980</f>
        <v>628111992980</v>
      </c>
      <c r="N9203" s="17" t="s">
        <v>77</v>
      </c>
      <c r="V9203" s="18">
        <f>628111992980</f>
        <v>628111992980</v>
      </c>
    </row>
    <row r="9204" ht="15" customHeight="1" spans="1:22" x14ac:dyDescent="0.25">
      <c r="A9204" s="17" t="s">
        <v>25458</v>
      </c>
      <c r="B9204" s="17" t="s">
        <v>70</v>
      </c>
      <c r="C9204" s="17" t="s">
        <v>71</v>
      </c>
      <c r="D9204" t="s">
        <v>25457</v>
      </c>
      <c r="F9204" t="s">
        <v>25459</v>
      </c>
      <c r="K9204" s="18">
        <f>62816885688</f>
        <v>62816885688</v>
      </c>
      <c r="N9204" s="17" t="s">
        <v>81</v>
      </c>
      <c r="V9204" s="18">
        <f>62816885688</f>
        <v>62816885688</v>
      </c>
    </row>
    <row r="9205" ht="15" customHeight="1" spans="1:23" x14ac:dyDescent="0.25">
      <c r="A9205" s="17" t="s">
        <v>25460</v>
      </c>
      <c r="B9205" s="17" t="s">
        <v>70</v>
      </c>
      <c r="C9205" s="17" t="s">
        <v>71</v>
      </c>
      <c r="D9205" t="s">
        <v>25461</v>
      </c>
      <c r="F9205" t="s">
        <v>25462</v>
      </c>
      <c r="K9205" s="18">
        <f>6281519971576</f>
        <v>6281519971576</v>
      </c>
      <c r="N9205" s="17" t="s">
        <v>77</v>
      </c>
      <c r="U9205" s="17"/>
      <c r="V9205" s="18">
        <f>6281519971576</f>
        <v>6281519971576</v>
      </c>
      <c r="W9205" t="s">
        <v>25463</v>
      </c>
    </row>
    <row r="9206" ht="15" customHeight="1" spans="1:22" x14ac:dyDescent="0.25">
      <c r="A9206" s="17" t="s">
        <v>25464</v>
      </c>
      <c r="B9206" s="17" t="s">
        <v>70</v>
      </c>
      <c r="C9206" s="17" t="s">
        <v>71</v>
      </c>
      <c r="D9206" t="s">
        <v>25465</v>
      </c>
      <c r="F9206" t="s">
        <v>25465</v>
      </c>
      <c r="K9206" s="18">
        <f>628119595985</f>
        <v>628119595985</v>
      </c>
      <c r="N9206" s="17" t="s">
        <v>77</v>
      </c>
      <c r="V9206" s="18">
        <f>628119595985</f>
        <v>628119595985</v>
      </c>
    </row>
    <row r="9207" ht="15" customHeight="1" spans="1:22" x14ac:dyDescent="0.25">
      <c r="A9207" s="17" t="s">
        <v>25466</v>
      </c>
      <c r="B9207" s="17" t="s">
        <v>70</v>
      </c>
      <c r="C9207" s="17" t="s">
        <v>71</v>
      </c>
      <c r="D9207" t="s">
        <v>25465</v>
      </c>
      <c r="F9207" t="s">
        <v>25467</v>
      </c>
      <c r="K9207" s="18">
        <f>6281802050757</f>
        <v>6281802050757</v>
      </c>
      <c r="N9207" s="17" t="s">
        <v>81</v>
      </c>
      <c r="V9207" s="18">
        <f>6281802050757</f>
        <v>6281802050757</v>
      </c>
    </row>
    <row r="9208" ht="15" customHeight="1" spans="1:25" x14ac:dyDescent="0.25">
      <c r="A9208" s="17" t="s">
        <v>25468</v>
      </c>
      <c r="B9208" s="17" t="s">
        <v>70</v>
      </c>
      <c r="C9208" s="17" t="s">
        <v>71</v>
      </c>
      <c r="D9208" t="s">
        <v>25465</v>
      </c>
      <c r="F9208" t="s">
        <v>15884</v>
      </c>
      <c r="K9208" s="18">
        <f>628128648790</f>
        <v>628128648790</v>
      </c>
      <c r="N9208" s="17" t="s">
        <v>77</v>
      </c>
      <c r="U9208" s="17"/>
      <c r="V9208" s="18">
        <f>628128648790</f>
        <v>628128648790</v>
      </c>
      <c r="W9208" t="s">
        <v>25469</v>
      </c>
      <c r="Y9208" s="17" t="s">
        <v>96</v>
      </c>
    </row>
    <row r="9209" ht="15" customHeight="1" spans="1:23" x14ac:dyDescent="0.25">
      <c r="A9209" s="17" t="s">
        <v>25470</v>
      </c>
      <c r="B9209" s="17" t="s">
        <v>70</v>
      </c>
      <c r="C9209" s="17" t="s">
        <v>71</v>
      </c>
      <c r="D9209" t="s">
        <v>25471</v>
      </c>
      <c r="F9209" t="s">
        <v>2987</v>
      </c>
      <c r="K9209" s="18">
        <f>62811961210</f>
        <v>62811961210</v>
      </c>
      <c r="N9209" s="17" t="s">
        <v>77</v>
      </c>
      <c r="U9209" s="17"/>
      <c r="V9209" s="18">
        <f>62811961210</f>
        <v>62811961210</v>
      </c>
      <c r="W9209" t="s">
        <v>25472</v>
      </c>
    </row>
    <row r="9210" ht="15" customHeight="1" spans="1:22" x14ac:dyDescent="0.25">
      <c r="A9210" s="17" t="s">
        <v>25473</v>
      </c>
      <c r="B9210" s="17" t="s">
        <v>70</v>
      </c>
      <c r="C9210" s="17" t="s">
        <v>71</v>
      </c>
      <c r="D9210" t="s">
        <v>25474</v>
      </c>
      <c r="F9210" t="s">
        <v>25474</v>
      </c>
      <c r="K9210" s="18">
        <f>628111041135</f>
        <v>628111041135</v>
      </c>
      <c r="N9210" s="17" t="s">
        <v>81</v>
      </c>
      <c r="V9210" s="18">
        <f>628111041135</f>
        <v>628111041135</v>
      </c>
    </row>
    <row r="9211" ht="15" customHeight="1" spans="1:23" x14ac:dyDescent="0.25">
      <c r="A9211" s="17" t="s">
        <v>25475</v>
      </c>
      <c r="B9211" s="17" t="s">
        <v>70</v>
      </c>
      <c r="C9211" s="17" t="s">
        <v>71</v>
      </c>
      <c r="D9211" t="s">
        <v>25476</v>
      </c>
      <c r="F9211" t="s">
        <v>25477</v>
      </c>
      <c r="K9211" s="18">
        <f>4915222978431</f>
        <v>4915222978431</v>
      </c>
      <c r="N9211" s="17" t="s">
        <v>77</v>
      </c>
      <c r="U9211" s="17"/>
      <c r="V9211" s="18">
        <f>4915222978431</f>
        <v>4915222978431</v>
      </c>
      <c r="W9211" t="s">
        <v>15121</v>
      </c>
    </row>
    <row r="9212" ht="15" customHeight="1" spans="1:22" x14ac:dyDescent="0.25">
      <c r="A9212" s="17" t="s">
        <v>25478</v>
      </c>
      <c r="B9212" s="17" t="s">
        <v>70</v>
      </c>
      <c r="C9212" s="17" t="s">
        <v>71</v>
      </c>
      <c r="D9212" t="s">
        <v>25479</v>
      </c>
      <c r="F9212" t="s">
        <v>25480</v>
      </c>
      <c r="K9212" s="18">
        <f>6281332446399</f>
        <v>6281332446399</v>
      </c>
      <c r="N9212" s="17" t="s">
        <v>81</v>
      </c>
      <c r="V9212" s="18">
        <f>6281332446399</f>
        <v>6281332446399</v>
      </c>
    </row>
    <row r="9213" ht="15" customHeight="1" spans="1:22" x14ac:dyDescent="0.25">
      <c r="A9213" s="17" t="s">
        <v>25481</v>
      </c>
      <c r="B9213" s="17" t="s">
        <v>70</v>
      </c>
      <c r="C9213" s="17" t="s">
        <v>71</v>
      </c>
      <c r="D9213" t="s">
        <v>25482</v>
      </c>
      <c r="F9213" t="s">
        <v>7304</v>
      </c>
      <c r="K9213" s="18">
        <f>6287886577000</f>
        <v>6287886577000</v>
      </c>
      <c r="N9213" s="17" t="s">
        <v>77</v>
      </c>
      <c r="V9213" s="18">
        <f>6287886577000</f>
        <v>6287886577000</v>
      </c>
    </row>
    <row r="9214" ht="15" customHeight="1" spans="1:22" x14ac:dyDescent="0.25">
      <c r="A9214" s="17" t="s">
        <v>25483</v>
      </c>
      <c r="B9214" s="17" t="s">
        <v>70</v>
      </c>
      <c r="C9214" s="17" t="s">
        <v>71</v>
      </c>
      <c r="D9214" t="s">
        <v>25482</v>
      </c>
      <c r="F9214" t="s">
        <v>25484</v>
      </c>
      <c r="J9214" s="17" t="s">
        <v>25485</v>
      </c>
      <c r="K9214" s="18">
        <f>85577716868</f>
        <v>85577716868</v>
      </c>
      <c r="N9214" s="17" t="s">
        <v>81</v>
      </c>
      <c r="V9214" s="18">
        <f>85577716868</f>
        <v>85577716868</v>
      </c>
    </row>
    <row r="9215" ht="15" customHeight="1" spans="1:28" x14ac:dyDescent="0.25">
      <c r="A9215" s="17" t="s">
        <v>25486</v>
      </c>
      <c r="B9215" s="17" t="s">
        <v>70</v>
      </c>
      <c r="C9215" s="17" t="s">
        <v>71</v>
      </c>
      <c r="D9215" t="s">
        <v>25487</v>
      </c>
      <c r="F9215" t="s">
        <v>25487</v>
      </c>
      <c r="J9215" t="s">
        <v>115</v>
      </c>
      <c r="K9215" s="18" t="s">
        <v>25488</v>
      </c>
      <c r="N9215" s="17" t="s">
        <v>81</v>
      </c>
      <c r="O9215" t="s">
        <v>261</v>
      </c>
      <c r="U9215" s="17"/>
      <c r="V9215" s="18" t="s">
        <v>25488</v>
      </c>
      <c r="W9215" t="s">
        <v>25489</v>
      </c>
      <c r="Y9215" t="s">
        <v>217</v>
      </c>
      <c r="AA9215" t="s">
        <v>218</v>
      </c>
      <c r="AB9215" t="s">
        <v>119</v>
      </c>
    </row>
    <row r="9216" ht="15" customHeight="1" spans="1:22" x14ac:dyDescent="0.25">
      <c r="A9216" s="17" t="s">
        <v>25490</v>
      </c>
      <c r="B9216" s="17" t="s">
        <v>70</v>
      </c>
      <c r="C9216" s="17" t="s">
        <v>71</v>
      </c>
      <c r="D9216" t="s">
        <v>25491</v>
      </c>
      <c r="F9216" t="s">
        <v>25491</v>
      </c>
      <c r="K9216" s="18">
        <f>6282114525888</f>
        <v>6282114525888</v>
      </c>
      <c r="N9216" s="17" t="s">
        <v>81</v>
      </c>
      <c r="V9216" s="18">
        <f>6282114525888</f>
        <v>6282114525888</v>
      </c>
    </row>
    <row r="9217" ht="15" customHeight="1" spans="1:22" x14ac:dyDescent="0.25">
      <c r="A9217" s="17" t="s">
        <v>25492</v>
      </c>
      <c r="B9217" s="17" t="s">
        <v>70</v>
      </c>
      <c r="C9217" s="17" t="s">
        <v>71</v>
      </c>
      <c r="D9217" t="s">
        <v>25491</v>
      </c>
      <c r="F9217" t="s">
        <v>25491</v>
      </c>
      <c r="K9217" s="18">
        <f>62811188807</f>
        <v>62811188807</v>
      </c>
      <c r="N9217" s="17" t="s">
        <v>81</v>
      </c>
      <c r="V9217" s="18">
        <f>62811188807</f>
        <v>62811188807</v>
      </c>
    </row>
    <row r="9218" ht="15" customHeight="1" spans="1:28" x14ac:dyDescent="0.25">
      <c r="A9218" s="17" t="s">
        <v>25493</v>
      </c>
      <c r="B9218" s="17" t="s">
        <v>70</v>
      </c>
      <c r="C9218" s="17" t="s">
        <v>71</v>
      </c>
      <c r="D9218" t="s">
        <v>25491</v>
      </c>
      <c r="F9218" t="s">
        <v>25491</v>
      </c>
      <c r="J9218" t="s">
        <v>115</v>
      </c>
      <c r="K9218" s="18" t="s">
        <v>25494</v>
      </c>
      <c r="N9218" s="17" t="s">
        <v>81</v>
      </c>
      <c r="O9218" t="s">
        <v>117</v>
      </c>
      <c r="V9218" s="18" t="s">
        <v>25494</v>
      </c>
      <c r="Y9218" t="s">
        <v>190</v>
      </c>
      <c r="AA9218" t="s">
        <v>118</v>
      </c>
      <c r="AB9218" t="s">
        <v>119</v>
      </c>
    </row>
    <row r="9219" ht="15" customHeight="1" spans="1:22" x14ac:dyDescent="0.25">
      <c r="A9219" s="17" t="s">
        <v>25495</v>
      </c>
      <c r="B9219" s="17" t="s">
        <v>70</v>
      </c>
      <c r="C9219" s="17" t="s">
        <v>71</v>
      </c>
      <c r="D9219" t="s">
        <v>25491</v>
      </c>
      <c r="F9219" t="s">
        <v>25496</v>
      </c>
      <c r="K9219" s="18">
        <f>62817183018</f>
        <v>62817183018</v>
      </c>
      <c r="N9219" s="17" t="s">
        <v>81</v>
      </c>
      <c r="V9219" s="18">
        <f>62817183018</f>
        <v>62817183018</v>
      </c>
    </row>
    <row r="9220" ht="15" customHeight="1" spans="1:28" x14ac:dyDescent="0.25">
      <c r="A9220" s="17" t="s">
        <v>25497</v>
      </c>
      <c r="B9220" s="17" t="s">
        <v>70</v>
      </c>
      <c r="C9220" s="17" t="s">
        <v>71</v>
      </c>
      <c r="D9220" t="s">
        <v>25491</v>
      </c>
      <c r="F9220" t="s">
        <v>25498</v>
      </c>
      <c r="J9220" s="17" t="s">
        <v>25499</v>
      </c>
      <c r="K9220" s="18" t="s">
        <v>25500</v>
      </c>
      <c r="N9220" s="17" t="s">
        <v>77</v>
      </c>
      <c r="O9220" t="s">
        <v>145</v>
      </c>
      <c r="U9220" s="17"/>
      <c r="V9220" s="18" t="s">
        <v>25500</v>
      </c>
      <c r="W9220" t="s">
        <v>25501</v>
      </c>
      <c r="Y9220" s="17" t="s">
        <v>96</v>
      </c>
      <c r="AA9220" t="s">
        <v>693</v>
      </c>
      <c r="AB9220" t="s">
        <v>119</v>
      </c>
    </row>
    <row r="9221" ht="15" customHeight="1" spans="1:27" x14ac:dyDescent="0.25">
      <c r="A9221" s="17" t="s">
        <v>25502</v>
      </c>
      <c r="B9221" s="17" t="s">
        <v>70</v>
      </c>
      <c r="C9221" s="17" t="s">
        <v>71</v>
      </c>
      <c r="D9221" t="s">
        <v>25491</v>
      </c>
      <c r="F9221" t="s">
        <v>14511</v>
      </c>
      <c r="K9221" s="18">
        <f>62811107882</f>
        <v>62811107882</v>
      </c>
      <c r="N9221" s="17" t="s">
        <v>81</v>
      </c>
      <c r="U9221" s="17"/>
      <c r="V9221" s="18">
        <f>62811107882</f>
        <v>62811107882</v>
      </c>
      <c r="W9221" t="s">
        <v>25503</v>
      </c>
      <c r="AA9221" s="17">
        <v>11510</v>
      </c>
    </row>
    <row r="9222" ht="15" customHeight="1" spans="1:28" x14ac:dyDescent="0.25">
      <c r="A9222" s="17" t="s">
        <v>25504</v>
      </c>
      <c r="B9222" s="17" t="s">
        <v>70</v>
      </c>
      <c r="C9222" s="17" t="s">
        <v>71</v>
      </c>
      <c r="D9222" t="s">
        <v>25505</v>
      </c>
      <c r="F9222" t="s">
        <v>5264</v>
      </c>
      <c r="J9222" t="s">
        <v>115</v>
      </c>
      <c r="K9222" s="18" t="s">
        <v>25506</v>
      </c>
      <c r="N9222" s="17" t="s">
        <v>77</v>
      </c>
      <c r="O9222" t="s">
        <v>199</v>
      </c>
      <c r="U9222" s="17"/>
      <c r="V9222" s="18" t="s">
        <v>25506</v>
      </c>
      <c r="W9222" t="s">
        <v>25507</v>
      </c>
      <c r="Y9222" t="s">
        <v>1084</v>
      </c>
      <c r="AA9222" t="s">
        <v>3146</v>
      </c>
      <c r="AB9222" t="s">
        <v>119</v>
      </c>
    </row>
    <row r="9223" ht="15" customHeight="1" spans="1:28" x14ac:dyDescent="0.25">
      <c r="A9223" s="17" t="s">
        <v>25508</v>
      </c>
      <c r="B9223" s="17" t="s">
        <v>70</v>
      </c>
      <c r="C9223" s="17" t="s">
        <v>71</v>
      </c>
      <c r="D9223" t="s">
        <v>25491</v>
      </c>
      <c r="F9223" t="s">
        <v>25509</v>
      </c>
      <c r="J9223" s="17" t="s">
        <v>25510</v>
      </c>
      <c r="K9223" s="18" t="s">
        <v>25511</v>
      </c>
      <c r="N9223" s="17" t="s">
        <v>81</v>
      </c>
      <c r="O9223" t="s">
        <v>145</v>
      </c>
      <c r="V9223" s="18" t="s">
        <v>25511</v>
      </c>
      <c r="Y9223" t="s">
        <v>190</v>
      </c>
      <c r="AA9223" t="s">
        <v>118</v>
      </c>
      <c r="AB9223" t="s">
        <v>119</v>
      </c>
    </row>
    <row r="9224" ht="15" customHeight="1" spans="1:22" x14ac:dyDescent="0.25">
      <c r="A9224" s="17" t="s">
        <v>25512</v>
      </c>
      <c r="B9224" s="17" t="s">
        <v>70</v>
      </c>
      <c r="C9224" s="17" t="s">
        <v>71</v>
      </c>
      <c r="D9224" t="s">
        <v>25491</v>
      </c>
      <c r="F9224" t="s">
        <v>755</v>
      </c>
      <c r="K9224" s="18">
        <f>6281219079894</f>
        <v>6281219079894</v>
      </c>
      <c r="N9224" s="17" t="s">
        <v>81</v>
      </c>
      <c r="V9224" s="18">
        <f>6281219079894</f>
        <v>6281219079894</v>
      </c>
    </row>
    <row r="9225" ht="15" customHeight="1" spans="1:22" x14ac:dyDescent="0.25">
      <c r="A9225" s="17" t="s">
        <v>25513</v>
      </c>
      <c r="B9225" s="17" t="s">
        <v>70</v>
      </c>
      <c r="C9225" s="17" t="s">
        <v>71</v>
      </c>
      <c r="D9225" t="s">
        <v>25491</v>
      </c>
      <c r="F9225" t="s">
        <v>1208</v>
      </c>
      <c r="K9225" s="18">
        <f>6282260007995</f>
        <v>6282260007995</v>
      </c>
      <c r="N9225" s="17" t="s">
        <v>81</v>
      </c>
      <c r="V9225" s="18">
        <f>6282260007995</f>
        <v>6282260007995</v>
      </c>
    </row>
    <row r="9226" ht="15" customHeight="1" spans="1:25" x14ac:dyDescent="0.25">
      <c r="A9226" s="17" t="s">
        <v>25514</v>
      </c>
      <c r="B9226" s="17" t="s">
        <v>70</v>
      </c>
      <c r="C9226" s="17" t="s">
        <v>71</v>
      </c>
      <c r="D9226" t="s">
        <v>25491</v>
      </c>
      <c r="F9226" t="s">
        <v>282</v>
      </c>
      <c r="K9226" s="18">
        <f>628123037821</f>
        <v>628123037821</v>
      </c>
      <c r="N9226" s="17" t="s">
        <v>77</v>
      </c>
      <c r="U9226" s="17"/>
      <c r="V9226" s="18">
        <f>628123037821</f>
        <v>628123037821</v>
      </c>
      <c r="W9226" t="s">
        <v>25515</v>
      </c>
      <c r="Y9226" s="17" t="s">
        <v>3320</v>
      </c>
    </row>
    <row r="9227" ht="15" customHeight="1" spans="1:22" x14ac:dyDescent="0.25">
      <c r="A9227" s="17" t="s">
        <v>25516</v>
      </c>
      <c r="B9227" s="17" t="s">
        <v>70</v>
      </c>
      <c r="C9227" s="17" t="s">
        <v>71</v>
      </c>
      <c r="D9227" t="s">
        <v>25491</v>
      </c>
      <c r="F9227" t="s">
        <v>3181</v>
      </c>
      <c r="K9227" s="18">
        <f>6281294656863</f>
        <v>6281294656863</v>
      </c>
      <c r="N9227" s="17" t="s">
        <v>77</v>
      </c>
      <c r="V9227" s="18">
        <f>6281294656863</f>
        <v>6281294656863</v>
      </c>
    </row>
    <row r="9228" ht="15" customHeight="1" spans="1:22" x14ac:dyDescent="0.25">
      <c r="A9228" s="17" t="s">
        <v>25517</v>
      </c>
      <c r="B9228" s="17" t="s">
        <v>70</v>
      </c>
      <c r="C9228" s="17" t="s">
        <v>71</v>
      </c>
      <c r="D9228" t="s">
        <v>25491</v>
      </c>
      <c r="F9228" t="s">
        <v>8873</v>
      </c>
      <c r="K9228" s="18">
        <f>6281398344661</f>
        <v>6281398344661</v>
      </c>
      <c r="N9228" s="17" t="s">
        <v>77</v>
      </c>
      <c r="V9228" s="18">
        <f>6281398344661</f>
        <v>6281398344661</v>
      </c>
    </row>
    <row r="9229" ht="15" customHeight="1" spans="1:22" x14ac:dyDescent="0.25">
      <c r="A9229" s="17" t="s">
        <v>25518</v>
      </c>
      <c r="B9229" s="17" t="s">
        <v>70</v>
      </c>
      <c r="C9229" s="17" t="s">
        <v>71</v>
      </c>
      <c r="D9229" t="s">
        <v>25519</v>
      </c>
      <c r="F9229" t="s">
        <v>25520</v>
      </c>
      <c r="K9229" s="18">
        <f>6282150645688</f>
        <v>6282150645688</v>
      </c>
      <c r="N9229" s="17" t="s">
        <v>81</v>
      </c>
      <c r="V9229" s="18">
        <f>6282150645688</f>
        <v>6282150645688</v>
      </c>
    </row>
    <row r="9230" ht="15" customHeight="1" spans="1:22" x14ac:dyDescent="0.25">
      <c r="A9230" s="17" t="s">
        <v>25521</v>
      </c>
      <c r="B9230" s="17" t="s">
        <v>70</v>
      </c>
      <c r="C9230" s="17" t="s">
        <v>71</v>
      </c>
      <c r="D9230" t="s">
        <v>25522</v>
      </c>
      <c r="F9230" t="s">
        <v>25523</v>
      </c>
      <c r="K9230" s="18">
        <f>622191542794</f>
        <v>622191542794</v>
      </c>
      <c r="N9230" s="17" t="s">
        <v>77</v>
      </c>
      <c r="V9230" s="18">
        <f>622191542794</f>
        <v>622191542794</v>
      </c>
    </row>
    <row r="9231" ht="15" customHeight="1" spans="1:28" x14ac:dyDescent="0.25">
      <c r="A9231" s="17" t="s">
        <v>25524</v>
      </c>
      <c r="B9231" s="17" t="s">
        <v>70</v>
      </c>
      <c r="C9231" s="17" t="s">
        <v>71</v>
      </c>
      <c r="D9231" t="s">
        <v>25525</v>
      </c>
      <c r="F9231" t="s">
        <v>25405</v>
      </c>
      <c r="J9231" t="s">
        <v>25526</v>
      </c>
      <c r="K9231" s="18" t="s">
        <v>25527</v>
      </c>
      <c r="N9231" s="17" t="s">
        <v>81</v>
      </c>
      <c r="O9231" t="s">
        <v>1188</v>
      </c>
      <c r="U9231" s="17"/>
      <c r="V9231" s="18" t="s">
        <v>25527</v>
      </c>
      <c r="W9231" t="s">
        <v>25528</v>
      </c>
      <c r="Y9231" t="s">
        <v>190</v>
      </c>
      <c r="AA9231" t="s">
        <v>118</v>
      </c>
      <c r="AB9231" t="s">
        <v>119</v>
      </c>
    </row>
    <row r="9232" ht="15" customHeight="1" spans="1:25" x14ac:dyDescent="0.25">
      <c r="A9232" s="17" t="s">
        <v>25529</v>
      </c>
      <c r="B9232" s="17" t="s">
        <v>70</v>
      </c>
      <c r="C9232" s="17" t="s">
        <v>71</v>
      </c>
      <c r="D9232" t="s">
        <v>25530</v>
      </c>
      <c r="F9232" t="s">
        <v>6753</v>
      </c>
      <c r="K9232" s="18">
        <f>6281231865500</f>
        <v>6281231865500</v>
      </c>
      <c r="N9232" s="17" t="s">
        <v>77</v>
      </c>
      <c r="U9232" s="17"/>
      <c r="V9232" s="18">
        <f>6281231865500</f>
        <v>6281231865500</v>
      </c>
      <c r="W9232" t="s">
        <v>25531</v>
      </c>
      <c r="Y9232" s="17" t="s">
        <v>90</v>
      </c>
    </row>
    <row r="9233" ht="15" customHeight="1" spans="1:25" x14ac:dyDescent="0.25">
      <c r="A9233" s="17" t="s">
        <v>25532</v>
      </c>
      <c r="B9233" s="17" t="s">
        <v>70</v>
      </c>
      <c r="C9233" s="17" t="s">
        <v>71</v>
      </c>
      <c r="D9233" t="s">
        <v>25530</v>
      </c>
      <c r="F9233" t="s">
        <v>25533</v>
      </c>
      <c r="K9233" s="18">
        <f>628116330806</f>
        <v>628116330806</v>
      </c>
      <c r="N9233" s="17" t="s">
        <v>77</v>
      </c>
      <c r="U9233" s="17"/>
      <c r="V9233" s="18">
        <f>628116330806</f>
        <v>628116330806</v>
      </c>
      <c r="W9233" t="s">
        <v>25534</v>
      </c>
      <c r="Y9233" s="17" t="s">
        <v>1084</v>
      </c>
    </row>
    <row r="9234" ht="15" customHeight="1" spans="1:28" x14ac:dyDescent="0.25">
      <c r="A9234" s="17" t="s">
        <v>25535</v>
      </c>
      <c r="B9234" s="17" t="s">
        <v>70</v>
      </c>
      <c r="C9234" s="17" t="s">
        <v>71</v>
      </c>
      <c r="D9234" t="s">
        <v>25530</v>
      </c>
      <c r="F9234" t="s">
        <v>2688</v>
      </c>
      <c r="J9234" t="s">
        <v>115</v>
      </c>
      <c r="K9234" s="18" t="s">
        <v>25536</v>
      </c>
      <c r="N9234" s="17" t="s">
        <v>77</v>
      </c>
      <c r="O9234" t="s">
        <v>199</v>
      </c>
      <c r="V9234" s="18" t="s">
        <v>25536</v>
      </c>
      <c r="Y9234" t="s">
        <v>78</v>
      </c>
      <c r="AA9234" t="s">
        <v>115</v>
      </c>
      <c r="AB9234" t="s">
        <v>119</v>
      </c>
    </row>
    <row r="9235" ht="15" customHeight="1" spans="1:22" x14ac:dyDescent="0.25">
      <c r="A9235" s="17" t="s">
        <v>25537</v>
      </c>
      <c r="B9235" s="17" t="s">
        <v>70</v>
      </c>
      <c r="C9235" s="17" t="s">
        <v>71</v>
      </c>
      <c r="D9235" t="s">
        <v>25538</v>
      </c>
      <c r="F9235" t="s">
        <v>25538</v>
      </c>
      <c r="K9235" s="18">
        <f>628111678888</f>
        <v>628111678888</v>
      </c>
      <c r="N9235" s="17" t="s">
        <v>74</v>
      </c>
      <c r="V9235" s="18">
        <f>628111678888</f>
        <v>628111678888</v>
      </c>
    </row>
    <row r="9236" ht="15" customHeight="1" spans="1:28" x14ac:dyDescent="0.25">
      <c r="A9236" s="17" t="s">
        <v>25539</v>
      </c>
      <c r="B9236" s="17" t="s">
        <v>70</v>
      </c>
      <c r="C9236" s="17" t="s">
        <v>71</v>
      </c>
      <c r="D9236" t="s">
        <v>25540</v>
      </c>
      <c r="F9236" t="s">
        <v>1690</v>
      </c>
      <c r="J9236" t="s">
        <v>115</v>
      </c>
      <c r="K9236" s="18" t="s">
        <v>25541</v>
      </c>
      <c r="N9236" s="17" t="s">
        <v>81</v>
      </c>
      <c r="O9236" t="s">
        <v>145</v>
      </c>
      <c r="V9236" s="18" t="s">
        <v>25541</v>
      </c>
      <c r="Y9236" t="s">
        <v>90</v>
      </c>
      <c r="AA9236" t="s">
        <v>118</v>
      </c>
      <c r="AB9236" t="s">
        <v>119</v>
      </c>
    </row>
    <row r="9237" ht="15" customHeight="1" spans="1:22" x14ac:dyDescent="0.25">
      <c r="A9237" s="17" t="s">
        <v>25542</v>
      </c>
      <c r="B9237" s="17" t="s">
        <v>70</v>
      </c>
      <c r="C9237" s="17" t="s">
        <v>71</v>
      </c>
      <c r="D9237" t="s">
        <v>25543</v>
      </c>
      <c r="F9237" t="s">
        <v>25544</v>
      </c>
      <c r="K9237" s="18">
        <f>62811177100</f>
        <v>62811177100</v>
      </c>
      <c r="N9237" s="17" t="s">
        <v>77</v>
      </c>
      <c r="V9237" s="18">
        <f>62811177100</f>
        <v>62811177100</v>
      </c>
    </row>
    <row r="9238" ht="15" customHeight="1" spans="1:28" x14ac:dyDescent="0.25">
      <c r="A9238" s="17" t="s">
        <v>25545</v>
      </c>
      <c r="B9238" s="17" t="s">
        <v>70</v>
      </c>
      <c r="C9238" s="17" t="s">
        <v>71</v>
      </c>
      <c r="D9238" t="s">
        <v>25546</v>
      </c>
      <c r="F9238" t="s">
        <v>150</v>
      </c>
      <c r="J9238" s="17" t="s">
        <v>25547</v>
      </c>
      <c r="K9238" s="18" t="s">
        <v>25548</v>
      </c>
      <c r="N9238" s="17" t="s">
        <v>77</v>
      </c>
      <c r="O9238" t="s">
        <v>261</v>
      </c>
      <c r="U9238" s="17"/>
      <c r="V9238" s="18" t="s">
        <v>25548</v>
      </c>
      <c r="W9238" t="s">
        <v>25549</v>
      </c>
      <c r="Y9238" t="s">
        <v>90</v>
      </c>
      <c r="AA9238" t="s">
        <v>118</v>
      </c>
      <c r="AB9238" t="s">
        <v>119</v>
      </c>
    </row>
    <row r="9239" ht="15" customHeight="1" spans="1:25" x14ac:dyDescent="0.25">
      <c r="A9239" s="17" t="s">
        <v>25550</v>
      </c>
      <c r="B9239" s="17" t="s">
        <v>70</v>
      </c>
      <c r="C9239" s="17" t="s">
        <v>71</v>
      </c>
      <c r="D9239" t="s">
        <v>25551</v>
      </c>
      <c r="F9239" t="s">
        <v>301</v>
      </c>
      <c r="K9239" s="18">
        <f>62818986234</f>
        <v>62818986234</v>
      </c>
      <c r="N9239" s="17" t="s">
        <v>77</v>
      </c>
      <c r="U9239" s="17"/>
      <c r="V9239" s="18">
        <f>62818986234</f>
        <v>62818986234</v>
      </c>
      <c r="W9239" t="s">
        <v>25552</v>
      </c>
      <c r="Y9239" s="17" t="s">
        <v>515</v>
      </c>
    </row>
    <row r="9240" ht="15" customHeight="1" spans="1:28" x14ac:dyDescent="0.25">
      <c r="A9240" s="17" t="s">
        <v>25553</v>
      </c>
      <c r="B9240" s="17" t="s">
        <v>70</v>
      </c>
      <c r="C9240" s="17" t="s">
        <v>71</v>
      </c>
      <c r="D9240" t="s">
        <v>6884</v>
      </c>
      <c r="F9240" t="s">
        <v>25554</v>
      </c>
      <c r="J9240" s="17" t="s">
        <v>25555</v>
      </c>
      <c r="K9240" s="18" t="s">
        <v>25556</v>
      </c>
      <c r="N9240" s="17" t="s">
        <v>77</v>
      </c>
      <c r="O9240" t="s">
        <v>117</v>
      </c>
      <c r="U9240" s="17"/>
      <c r="V9240" s="18" t="s">
        <v>25556</v>
      </c>
      <c r="W9240" t="s">
        <v>5542</v>
      </c>
      <c r="Y9240" t="s">
        <v>930</v>
      </c>
      <c r="AA9240" t="s">
        <v>115</v>
      </c>
      <c r="AB9240" t="s">
        <v>930</v>
      </c>
    </row>
    <row r="9241" ht="15" customHeight="1" spans="1:22" x14ac:dyDescent="0.25">
      <c r="A9241" s="17" t="s">
        <v>25557</v>
      </c>
      <c r="B9241" s="17" t="s">
        <v>70</v>
      </c>
      <c r="C9241" s="17" t="s">
        <v>71</v>
      </c>
      <c r="D9241" t="s">
        <v>25558</v>
      </c>
      <c r="F9241" t="s">
        <v>25558</v>
      </c>
      <c r="K9241" s="18">
        <f>6282114607677</f>
        <v>6282114607677</v>
      </c>
      <c r="N9241" s="17" t="s">
        <v>77</v>
      </c>
      <c r="V9241" s="18">
        <f>6282114607677</f>
        <v>6282114607677</v>
      </c>
    </row>
    <row r="9242" ht="15" customHeight="1" spans="1:23" x14ac:dyDescent="0.25">
      <c r="A9242" s="17" t="s">
        <v>25559</v>
      </c>
      <c r="B9242" s="17" t="s">
        <v>70</v>
      </c>
      <c r="C9242" s="17" t="s">
        <v>71</v>
      </c>
      <c r="D9242" t="s">
        <v>25558</v>
      </c>
      <c r="F9242" t="s">
        <v>25560</v>
      </c>
      <c r="K9242" s="18">
        <f>62811188960</f>
        <v>62811188960</v>
      </c>
      <c r="N9242" s="17" t="s">
        <v>81</v>
      </c>
      <c r="U9242" s="17"/>
      <c r="V9242" s="18">
        <f>62811188960</f>
        <v>62811188960</v>
      </c>
      <c r="W9242" t="s">
        <v>25561</v>
      </c>
    </row>
    <row r="9243" ht="15" customHeight="1" spans="1:22" x14ac:dyDescent="0.25">
      <c r="A9243" s="17" t="s">
        <v>25562</v>
      </c>
      <c r="B9243" s="17" t="s">
        <v>70</v>
      </c>
      <c r="C9243" s="17" t="s">
        <v>71</v>
      </c>
      <c r="D9243" t="s">
        <v>25563</v>
      </c>
      <c r="F9243" t="s">
        <v>25564</v>
      </c>
      <c r="K9243" s="18">
        <f>628124230907</f>
        <v>628124230907</v>
      </c>
      <c r="N9243" s="17" t="s">
        <v>74</v>
      </c>
      <c r="V9243" s="18">
        <f>628124230907</f>
        <v>628124230907</v>
      </c>
    </row>
    <row r="9244" ht="15" customHeight="1" spans="1:22" x14ac:dyDescent="0.25">
      <c r="A9244" s="17" t="s">
        <v>25565</v>
      </c>
      <c r="B9244" s="17" t="s">
        <v>70</v>
      </c>
      <c r="C9244" s="17" t="s">
        <v>71</v>
      </c>
      <c r="D9244" t="s">
        <v>355</v>
      </c>
      <c r="F9244" t="s">
        <v>25566</v>
      </c>
      <c r="K9244" s="18">
        <f>6281116802136</f>
        <v>6281116802136</v>
      </c>
      <c r="N9244" s="17" t="s">
        <v>81</v>
      </c>
      <c r="V9244" s="18">
        <f>6281116802136</f>
        <v>6281116802136</v>
      </c>
    </row>
    <row r="9245" ht="15" customHeight="1" spans="1:22" x14ac:dyDescent="0.25">
      <c r="A9245" s="17" t="s">
        <v>25567</v>
      </c>
      <c r="B9245" s="17" t="s">
        <v>70</v>
      </c>
      <c r="C9245" s="17" t="s">
        <v>71</v>
      </c>
      <c r="D9245" t="s">
        <v>355</v>
      </c>
      <c r="F9245" t="s">
        <v>25568</v>
      </c>
      <c r="K9245" s="18">
        <f>62811799999</f>
        <v>62811799999</v>
      </c>
      <c r="N9245" s="17" t="s">
        <v>74</v>
      </c>
      <c r="V9245" s="18">
        <f>62811799999</f>
        <v>62811799999</v>
      </c>
    </row>
    <row r="9246" ht="15" customHeight="1" spans="1:22" x14ac:dyDescent="0.25">
      <c r="A9246" s="17" t="s">
        <v>25569</v>
      </c>
      <c r="B9246" s="17" t="s">
        <v>70</v>
      </c>
      <c r="C9246" s="17" t="s">
        <v>71</v>
      </c>
      <c r="D9246" t="s">
        <v>355</v>
      </c>
      <c r="F9246" t="s">
        <v>25570</v>
      </c>
      <c r="K9246" s="18">
        <f>628114618881</f>
        <v>628114618881</v>
      </c>
      <c r="N9246" s="17" t="s">
        <v>81</v>
      </c>
      <c r="V9246" s="18">
        <f>628114618881</f>
        <v>628114618881</v>
      </c>
    </row>
    <row r="9247" ht="15" customHeight="1" spans="1:22" x14ac:dyDescent="0.25">
      <c r="A9247" s="17" t="s">
        <v>25571</v>
      </c>
      <c r="B9247" s="17" t="s">
        <v>70</v>
      </c>
      <c r="C9247" s="17" t="s">
        <v>71</v>
      </c>
      <c r="D9247" t="s">
        <v>355</v>
      </c>
      <c r="F9247" t="s">
        <v>9334</v>
      </c>
      <c r="K9247" s="18">
        <f>6285881187000</f>
        <v>6285881187000</v>
      </c>
      <c r="N9247" s="17" t="s">
        <v>77</v>
      </c>
      <c r="V9247" s="18">
        <f>6285881187000</f>
        <v>6285881187000</v>
      </c>
    </row>
    <row r="9248" ht="15" customHeight="1" spans="1:22" x14ac:dyDescent="0.25">
      <c r="A9248" s="17" t="s">
        <v>25572</v>
      </c>
      <c r="B9248" s="17" t="s">
        <v>70</v>
      </c>
      <c r="C9248" s="17" t="s">
        <v>71</v>
      </c>
      <c r="D9248" t="s">
        <v>355</v>
      </c>
      <c r="F9248" t="s">
        <v>7041</v>
      </c>
      <c r="K9248" s="18">
        <f>62811993999</f>
        <v>62811993999</v>
      </c>
      <c r="N9248" s="17" t="s">
        <v>77</v>
      </c>
      <c r="V9248" s="18">
        <f>62811993999</f>
        <v>62811993999</v>
      </c>
    </row>
    <row r="9249" ht="15" customHeight="1" spans="1:22" x14ac:dyDescent="0.25">
      <c r="A9249" s="17" t="s">
        <v>25573</v>
      </c>
      <c r="B9249" s="17" t="s">
        <v>70</v>
      </c>
      <c r="C9249" s="17" t="s">
        <v>71</v>
      </c>
      <c r="D9249" t="s">
        <v>355</v>
      </c>
      <c r="F9249" t="s">
        <v>25574</v>
      </c>
      <c r="K9249" s="18">
        <f>6281346634193</f>
        <v>6281346634193</v>
      </c>
      <c r="N9249" s="17" t="s">
        <v>77</v>
      </c>
      <c r="V9249" s="18">
        <f>6281346634193</f>
        <v>6281346634193</v>
      </c>
    </row>
    <row r="9250" ht="15" customHeight="1" spans="1:22" x14ac:dyDescent="0.25">
      <c r="A9250" s="17" t="s">
        <v>25575</v>
      </c>
      <c r="B9250" s="17" t="s">
        <v>70</v>
      </c>
      <c r="C9250" s="17" t="s">
        <v>71</v>
      </c>
      <c r="D9250" t="s">
        <v>355</v>
      </c>
      <c r="F9250" t="s">
        <v>13288</v>
      </c>
      <c r="K9250" s="18">
        <f>628119208137</f>
        <v>628119208137</v>
      </c>
      <c r="N9250" s="17" t="s">
        <v>74</v>
      </c>
      <c r="V9250" s="18">
        <f>628119208137</f>
        <v>628119208137</v>
      </c>
    </row>
    <row r="9251" ht="15" customHeight="1" spans="1:22" x14ac:dyDescent="0.25">
      <c r="A9251" s="17" t="s">
        <v>25576</v>
      </c>
      <c r="B9251" s="17" t="s">
        <v>70</v>
      </c>
      <c r="C9251" s="17" t="s">
        <v>71</v>
      </c>
      <c r="D9251" t="s">
        <v>355</v>
      </c>
      <c r="F9251" t="s">
        <v>6041</v>
      </c>
      <c r="K9251" s="18">
        <f>6285261361988</f>
        <v>6285261361988</v>
      </c>
      <c r="N9251" s="17" t="s">
        <v>77</v>
      </c>
      <c r="V9251" s="18">
        <f>6285261361988</f>
        <v>6285261361988</v>
      </c>
    </row>
    <row r="9252" ht="15" customHeight="1" spans="1:23" x14ac:dyDescent="0.25">
      <c r="A9252" s="17" t="s">
        <v>25577</v>
      </c>
      <c r="B9252" s="17" t="s">
        <v>70</v>
      </c>
      <c r="C9252" s="17" t="s">
        <v>71</v>
      </c>
      <c r="D9252" t="s">
        <v>25578</v>
      </c>
      <c r="F9252" t="s">
        <v>25578</v>
      </c>
      <c r="K9252" s="18">
        <f>6281317314553</f>
        <v>6281317314553</v>
      </c>
      <c r="N9252" s="17" t="s">
        <v>77</v>
      </c>
      <c r="U9252" s="17"/>
      <c r="V9252" s="18">
        <f>6281317314553</f>
        <v>6281317314553</v>
      </c>
      <c r="W9252" t="s">
        <v>25579</v>
      </c>
    </row>
    <row r="9253" ht="15" customHeight="1" spans="1:22" x14ac:dyDescent="0.25">
      <c r="A9253" s="17" t="s">
        <v>25580</v>
      </c>
      <c r="B9253" s="17" t="s">
        <v>70</v>
      </c>
      <c r="C9253" s="17" t="s">
        <v>71</v>
      </c>
      <c r="D9253" t="s">
        <v>25581</v>
      </c>
      <c r="F9253" t="s">
        <v>2141</v>
      </c>
      <c r="K9253" s="18">
        <v>77826826</v>
      </c>
      <c r="N9253" s="17" t="s">
        <v>77</v>
      </c>
      <c r="V9253" s="18">
        <v>77826826</v>
      </c>
    </row>
    <row r="9254" ht="15" customHeight="1" spans="1:25" x14ac:dyDescent="0.25">
      <c r="A9254" s="17" t="s">
        <v>25582</v>
      </c>
      <c r="B9254" s="17" t="s">
        <v>70</v>
      </c>
      <c r="C9254" s="17" t="s">
        <v>71</v>
      </c>
      <c r="D9254" t="s">
        <v>25581</v>
      </c>
      <c r="F9254" t="s">
        <v>11295</v>
      </c>
      <c r="K9254" s="18">
        <f>6281330890718</f>
        <v>6281330890718</v>
      </c>
      <c r="N9254" s="17" t="s">
        <v>77</v>
      </c>
      <c r="U9254" s="17"/>
      <c r="V9254" s="18">
        <f>6281330890718</f>
        <v>6281330890718</v>
      </c>
      <c r="W9254" t="s">
        <v>25583</v>
      </c>
      <c r="Y9254" s="17" t="s">
        <v>704</v>
      </c>
    </row>
    <row r="9255" ht="15" customHeight="1" spans="1:28" x14ac:dyDescent="0.25">
      <c r="A9255" s="17" t="s">
        <v>25584</v>
      </c>
      <c r="B9255" s="17" t="s">
        <v>70</v>
      </c>
      <c r="C9255" s="17" t="s">
        <v>71</v>
      </c>
      <c r="D9255" t="s">
        <v>25585</v>
      </c>
      <c r="F9255" t="s">
        <v>4378</v>
      </c>
      <c r="J9255" t="s">
        <v>115</v>
      </c>
      <c r="K9255" s="18" t="s">
        <v>25586</v>
      </c>
      <c r="N9255" s="17" t="s">
        <v>77</v>
      </c>
      <c r="O9255" t="s">
        <v>117</v>
      </c>
      <c r="V9255" s="18" t="s">
        <v>25586</v>
      </c>
      <c r="Y9255" t="s">
        <v>1247</v>
      </c>
      <c r="AA9255" t="s">
        <v>115</v>
      </c>
      <c r="AB9255" t="s">
        <v>119</v>
      </c>
    </row>
    <row r="9256" ht="15" customHeight="1" spans="1:22" x14ac:dyDescent="0.25">
      <c r="A9256" s="17" t="s">
        <v>25587</v>
      </c>
      <c r="B9256" s="17" t="s">
        <v>70</v>
      </c>
      <c r="C9256" s="17" t="s">
        <v>71</v>
      </c>
      <c r="D9256" t="s">
        <v>25581</v>
      </c>
      <c r="F9256" t="s">
        <v>4554</v>
      </c>
      <c r="K9256" s="18">
        <f>62811854614</f>
        <v>62811854614</v>
      </c>
      <c r="N9256" s="17" t="s">
        <v>77</v>
      </c>
      <c r="V9256" s="18">
        <f>62811854614</f>
        <v>62811854614</v>
      </c>
    </row>
    <row r="9257" ht="15" customHeight="1" spans="1:22" x14ac:dyDescent="0.25">
      <c r="A9257" s="17" t="s">
        <v>25588</v>
      </c>
      <c r="B9257" s="17" t="s">
        <v>70</v>
      </c>
      <c r="C9257" s="17" t="s">
        <v>71</v>
      </c>
      <c r="D9257" t="s">
        <v>25581</v>
      </c>
      <c r="F9257" t="s">
        <v>1024</v>
      </c>
      <c r="K9257" s="18">
        <f>6281380742644</f>
        <v>6281380742644</v>
      </c>
      <c r="N9257" s="17" t="s">
        <v>81</v>
      </c>
      <c r="V9257" s="18">
        <f>6281380742644</f>
        <v>6281380742644</v>
      </c>
    </row>
    <row r="9258" ht="15" customHeight="1" spans="1:22" x14ac:dyDescent="0.25">
      <c r="A9258" s="17" t="s">
        <v>25589</v>
      </c>
      <c r="B9258" s="17" t="s">
        <v>70</v>
      </c>
      <c r="C9258" s="17" t="s">
        <v>71</v>
      </c>
      <c r="D9258" t="s">
        <v>25581</v>
      </c>
      <c r="F9258" t="s">
        <v>13247</v>
      </c>
      <c r="K9258" s="18">
        <f>6285311214213</f>
        <v>6285311214213</v>
      </c>
      <c r="N9258" s="17" t="s">
        <v>77</v>
      </c>
      <c r="V9258" s="18">
        <f>6285311214213</f>
        <v>6285311214213</v>
      </c>
    </row>
    <row r="9259" ht="15" customHeight="1" spans="1:22" x14ac:dyDescent="0.25">
      <c r="A9259" s="17" t="s">
        <v>25590</v>
      </c>
      <c r="B9259" s="17" t="s">
        <v>70</v>
      </c>
      <c r="C9259" s="17" t="s">
        <v>71</v>
      </c>
      <c r="D9259" t="s">
        <v>25581</v>
      </c>
      <c r="F9259" t="s">
        <v>25591</v>
      </c>
      <c r="K9259" s="18">
        <f>6281347727221</f>
        <v>6281347727221</v>
      </c>
      <c r="N9259" s="17" t="s">
        <v>77</v>
      </c>
      <c r="V9259" s="18">
        <f>6281347727221</f>
        <v>6281347727221</v>
      </c>
    </row>
    <row r="9260" ht="15" customHeight="1" spans="1:25" x14ac:dyDescent="0.25">
      <c r="A9260" s="17" t="s">
        <v>25592</v>
      </c>
      <c r="B9260" s="17" t="s">
        <v>70</v>
      </c>
      <c r="C9260" s="17" t="s">
        <v>71</v>
      </c>
      <c r="D9260" t="s">
        <v>25581</v>
      </c>
      <c r="F9260" t="s">
        <v>17228</v>
      </c>
      <c r="K9260" s="18">
        <f>62811881105</f>
        <v>62811881105</v>
      </c>
      <c r="N9260" s="17" t="s">
        <v>77</v>
      </c>
      <c r="U9260" s="17"/>
      <c r="V9260" s="18">
        <f>62811881105</f>
        <v>62811881105</v>
      </c>
      <c r="W9260" t="s">
        <v>25593</v>
      </c>
      <c r="Y9260" s="17" t="s">
        <v>90</v>
      </c>
    </row>
    <row r="9261" ht="15" customHeight="1" spans="1:22" x14ac:dyDescent="0.25">
      <c r="A9261" s="17" t="s">
        <v>25594</v>
      </c>
      <c r="B9261" s="17" t="s">
        <v>70</v>
      </c>
      <c r="C9261" s="17" t="s">
        <v>71</v>
      </c>
      <c r="D9261" t="s">
        <v>25581</v>
      </c>
      <c r="F9261" t="s">
        <v>1070</v>
      </c>
      <c r="K9261" s="18">
        <f>6281240592329</f>
        <v>6281240592329</v>
      </c>
      <c r="N9261" s="17" t="s">
        <v>77</v>
      </c>
      <c r="V9261" s="18">
        <f>6281240592329</f>
        <v>6281240592329</v>
      </c>
    </row>
    <row r="9262" ht="15" customHeight="1" spans="1:23" x14ac:dyDescent="0.25">
      <c r="A9262" s="17" t="s">
        <v>25595</v>
      </c>
      <c r="B9262" s="17" t="s">
        <v>70</v>
      </c>
      <c r="C9262" s="17" t="s">
        <v>71</v>
      </c>
      <c r="D9262" t="s">
        <v>25581</v>
      </c>
      <c r="F9262" t="s">
        <v>25596</v>
      </c>
      <c r="K9262" s="18">
        <f>6281318708326</f>
        <v>6281318708326</v>
      </c>
      <c r="N9262" s="17" t="s">
        <v>77</v>
      </c>
      <c r="U9262" s="17"/>
      <c r="V9262" s="18">
        <f>6281318708326</f>
        <v>6281318708326</v>
      </c>
      <c r="W9262" t="s">
        <v>25597</v>
      </c>
    </row>
    <row r="9263" ht="15" customHeight="1" spans="1:23" x14ac:dyDescent="0.25">
      <c r="A9263" s="17" t="s">
        <v>25598</v>
      </c>
      <c r="B9263" s="17" t="s">
        <v>70</v>
      </c>
      <c r="C9263" s="17" t="s">
        <v>71</v>
      </c>
      <c r="D9263" t="s">
        <v>25581</v>
      </c>
      <c r="F9263" t="s">
        <v>18102</v>
      </c>
      <c r="K9263" s="18">
        <f>62818662013</f>
        <v>62818662013</v>
      </c>
      <c r="N9263" s="17" t="s">
        <v>77</v>
      </c>
      <c r="U9263" s="17"/>
      <c r="V9263" s="18">
        <f>62818662013</f>
        <v>62818662013</v>
      </c>
      <c r="W9263" t="s">
        <v>25599</v>
      </c>
    </row>
    <row r="9264" ht="15" customHeight="1" spans="1:28" x14ac:dyDescent="0.25">
      <c r="A9264" s="17" t="s">
        <v>25600</v>
      </c>
      <c r="B9264" s="17" t="s">
        <v>70</v>
      </c>
      <c r="C9264" s="17" t="s">
        <v>71</v>
      </c>
      <c r="D9264" t="s">
        <v>25601</v>
      </c>
      <c r="F9264" t="s">
        <v>25602</v>
      </c>
      <c r="J9264" t="s">
        <v>115</v>
      </c>
      <c r="K9264" s="18" t="s">
        <v>25603</v>
      </c>
      <c r="N9264" s="17" t="s">
        <v>77</v>
      </c>
      <c r="O9264" t="s">
        <v>117</v>
      </c>
      <c r="V9264" s="18" t="s">
        <v>25603</v>
      </c>
      <c r="Y9264" t="s">
        <v>190</v>
      </c>
      <c r="AA9264" t="s">
        <v>118</v>
      </c>
      <c r="AB9264" t="s">
        <v>119</v>
      </c>
    </row>
    <row r="9265" ht="15" customHeight="1" spans="1:25" x14ac:dyDescent="0.25">
      <c r="A9265" s="17" t="s">
        <v>25604</v>
      </c>
      <c r="B9265" s="17" t="s">
        <v>70</v>
      </c>
      <c r="C9265" s="17" t="s">
        <v>71</v>
      </c>
      <c r="D9265" t="s">
        <v>25581</v>
      </c>
      <c r="F9265" t="s">
        <v>1412</v>
      </c>
      <c r="K9265" s="18">
        <f>6285210868222</f>
        <v>6285210868222</v>
      </c>
      <c r="N9265" s="17" t="s">
        <v>77</v>
      </c>
      <c r="U9265" s="17"/>
      <c r="V9265" s="18">
        <f>6285210868222</f>
        <v>6285210868222</v>
      </c>
      <c r="W9265" t="s">
        <v>25605</v>
      </c>
      <c r="Y9265" s="17" t="s">
        <v>96</v>
      </c>
    </row>
    <row r="9266" ht="15" customHeight="1" spans="1:22" x14ac:dyDescent="0.25">
      <c r="A9266" s="17" t="s">
        <v>25606</v>
      </c>
      <c r="B9266" s="17" t="s">
        <v>70</v>
      </c>
      <c r="C9266" s="17" t="s">
        <v>71</v>
      </c>
      <c r="D9266" t="s">
        <v>25581</v>
      </c>
      <c r="F9266" t="s">
        <v>19098</v>
      </c>
      <c r="K9266" s="18">
        <f>6285714069950</f>
        <v>6285714069950</v>
      </c>
      <c r="N9266" s="17" t="s">
        <v>81</v>
      </c>
      <c r="V9266" s="18">
        <f>6285714069950</f>
        <v>6285714069950</v>
      </c>
    </row>
    <row r="9267" ht="15" customHeight="1" spans="1:22" x14ac:dyDescent="0.25">
      <c r="A9267" s="17" t="s">
        <v>25607</v>
      </c>
      <c r="B9267" s="17" t="s">
        <v>70</v>
      </c>
      <c r="C9267" s="17" t="s">
        <v>71</v>
      </c>
      <c r="D9267" t="s">
        <v>25581</v>
      </c>
      <c r="F9267" t="s">
        <v>25608</v>
      </c>
      <c r="K9267" s="18">
        <f>6281349113077</f>
        <v>6281349113077</v>
      </c>
      <c r="N9267" s="17" t="s">
        <v>77</v>
      </c>
      <c r="V9267" s="18">
        <f>6281349113077</f>
        <v>6281349113077</v>
      </c>
    </row>
    <row r="9268" ht="15" customHeight="1" spans="1:28" x14ac:dyDescent="0.25">
      <c r="A9268" s="17" t="s">
        <v>25609</v>
      </c>
      <c r="B9268" s="17" t="s">
        <v>70</v>
      </c>
      <c r="C9268" s="17" t="s">
        <v>71</v>
      </c>
      <c r="D9268" t="s">
        <v>25610</v>
      </c>
      <c r="F9268" t="s">
        <v>25611</v>
      </c>
      <c r="J9268" t="s">
        <v>115</v>
      </c>
      <c r="K9268" s="18" t="s">
        <v>25612</v>
      </c>
      <c r="N9268" s="17" t="s">
        <v>77</v>
      </c>
      <c r="O9268" t="s">
        <v>117</v>
      </c>
      <c r="V9268" s="18" t="s">
        <v>25612</v>
      </c>
      <c r="Y9268" t="s">
        <v>190</v>
      </c>
      <c r="AA9268" t="s">
        <v>118</v>
      </c>
      <c r="AB9268" t="s">
        <v>119</v>
      </c>
    </row>
    <row r="9269" ht="15" customHeight="1" spans="1:23" x14ac:dyDescent="0.25">
      <c r="A9269" s="17" t="s">
        <v>25613</v>
      </c>
      <c r="B9269" s="17" t="s">
        <v>70</v>
      </c>
      <c r="C9269" s="17" t="s">
        <v>71</v>
      </c>
      <c r="D9269" t="s">
        <v>25581</v>
      </c>
      <c r="F9269" t="s">
        <v>25614</v>
      </c>
      <c r="K9269" s="18">
        <f>62816972227</f>
        <v>62816972227</v>
      </c>
      <c r="N9269" s="17" t="s">
        <v>77</v>
      </c>
      <c r="U9269" s="17"/>
      <c r="V9269" s="18">
        <f>62816972227</f>
        <v>62816972227</v>
      </c>
      <c r="W9269" t="s">
        <v>25615</v>
      </c>
    </row>
    <row r="9270" ht="15" customHeight="1" spans="1:22" x14ac:dyDescent="0.25">
      <c r="A9270" s="17" t="s">
        <v>25616</v>
      </c>
      <c r="B9270" s="17" t="s">
        <v>70</v>
      </c>
      <c r="C9270" s="17" t="s">
        <v>71</v>
      </c>
      <c r="D9270" t="s">
        <v>25581</v>
      </c>
      <c r="F9270" t="s">
        <v>25617</v>
      </c>
      <c r="K9270" s="18">
        <f>62811516509</f>
        <v>62811516509</v>
      </c>
      <c r="N9270" s="17" t="s">
        <v>77</v>
      </c>
      <c r="V9270" s="18">
        <f>62811516509</f>
        <v>62811516509</v>
      </c>
    </row>
    <row r="9271" ht="15" customHeight="1" spans="1:23" x14ac:dyDescent="0.25">
      <c r="A9271" s="17" t="s">
        <v>25618</v>
      </c>
      <c r="B9271" s="17" t="s">
        <v>70</v>
      </c>
      <c r="C9271" s="17" t="s">
        <v>71</v>
      </c>
      <c r="D9271" t="s">
        <v>25581</v>
      </c>
      <c r="F9271" t="s">
        <v>4356</v>
      </c>
      <c r="K9271" s="18">
        <f>6282234236332</f>
        <v>6282234236332</v>
      </c>
      <c r="N9271" s="17" t="s">
        <v>77</v>
      </c>
      <c r="U9271" s="17"/>
      <c r="V9271" s="18">
        <f>6282234236332</f>
        <v>6282234236332</v>
      </c>
      <c r="W9271" t="s">
        <v>25619</v>
      </c>
    </row>
    <row r="9272" ht="15" customHeight="1" spans="1:28" x14ac:dyDescent="0.25">
      <c r="A9272" s="17" t="s">
        <v>25620</v>
      </c>
      <c r="B9272" s="17" t="s">
        <v>70</v>
      </c>
      <c r="C9272" s="17" t="s">
        <v>71</v>
      </c>
      <c r="D9272" t="s">
        <v>25621</v>
      </c>
      <c r="F9272" t="s">
        <v>25622</v>
      </c>
      <c r="J9272" t="s">
        <v>115</v>
      </c>
      <c r="K9272" s="18" t="s">
        <v>25623</v>
      </c>
      <c r="N9272" s="17" t="s">
        <v>77</v>
      </c>
      <c r="O9272" t="s">
        <v>117</v>
      </c>
      <c r="V9272" s="18" t="s">
        <v>25623</v>
      </c>
      <c r="Y9272" t="s">
        <v>90</v>
      </c>
      <c r="AA9272" t="s">
        <v>118</v>
      </c>
      <c r="AB9272" t="s">
        <v>119</v>
      </c>
    </row>
    <row r="9273" ht="15" customHeight="1" spans="1:25" x14ac:dyDescent="0.25">
      <c r="A9273" s="17" t="s">
        <v>25624</v>
      </c>
      <c r="B9273" s="17" t="s">
        <v>70</v>
      </c>
      <c r="C9273" s="17" t="s">
        <v>71</v>
      </c>
      <c r="D9273" t="s">
        <v>25581</v>
      </c>
      <c r="F9273" t="s">
        <v>1269</v>
      </c>
      <c r="K9273" s="18">
        <f>62811682099</f>
        <v>62811682099</v>
      </c>
      <c r="N9273" s="17" t="s">
        <v>77</v>
      </c>
      <c r="V9273" s="18">
        <f>62811682099</f>
        <v>62811682099</v>
      </c>
      <c r="Y9273" s="17" t="s">
        <v>90</v>
      </c>
    </row>
    <row r="9274" ht="15" customHeight="1" spans="1:27" x14ac:dyDescent="0.25">
      <c r="A9274" s="17" t="s">
        <v>25625</v>
      </c>
      <c r="B9274" s="17" t="s">
        <v>70</v>
      </c>
      <c r="C9274" s="17" t="s">
        <v>71</v>
      </c>
      <c r="D9274" t="s">
        <v>25581</v>
      </c>
      <c r="F9274" t="s">
        <v>13358</v>
      </c>
      <c r="K9274" s="18">
        <f>62811999882</f>
        <v>62811999882</v>
      </c>
      <c r="N9274" s="17" t="s">
        <v>77</v>
      </c>
      <c r="U9274" s="17"/>
      <c r="V9274" s="18">
        <f>62811999882</f>
        <v>62811999882</v>
      </c>
      <c r="W9274" t="s">
        <v>25626</v>
      </c>
      <c r="Y9274" s="17" t="s">
        <v>515</v>
      </c>
      <c r="AA9274" s="17" t="s">
        <v>24292</v>
      </c>
    </row>
    <row r="9275" ht="15" customHeight="1" spans="1:28" x14ac:dyDescent="0.25">
      <c r="A9275" s="17" t="s">
        <v>25627</v>
      </c>
      <c r="B9275" s="17" t="s">
        <v>70</v>
      </c>
      <c r="C9275" s="17" t="s">
        <v>71</v>
      </c>
      <c r="D9275" t="s">
        <v>25628</v>
      </c>
      <c r="F9275" t="s">
        <v>2730</v>
      </c>
      <c r="J9275" s="17" t="s">
        <v>25629</v>
      </c>
      <c r="K9275" s="18" t="s">
        <v>25630</v>
      </c>
      <c r="N9275" s="17" t="s">
        <v>77</v>
      </c>
      <c r="O9275" t="s">
        <v>117</v>
      </c>
      <c r="V9275" s="18" t="s">
        <v>25630</v>
      </c>
      <c r="Y9275" t="s">
        <v>90</v>
      </c>
      <c r="AA9275" t="s">
        <v>118</v>
      </c>
      <c r="AB9275" t="s">
        <v>119</v>
      </c>
    </row>
    <row r="9276" ht="15" customHeight="1" spans="1:28" x14ac:dyDescent="0.25">
      <c r="A9276" s="17" t="s">
        <v>25631</v>
      </c>
      <c r="B9276" s="17" t="s">
        <v>70</v>
      </c>
      <c r="C9276" s="17" t="s">
        <v>71</v>
      </c>
      <c r="D9276" t="s">
        <v>25632</v>
      </c>
      <c r="F9276" t="s">
        <v>6668</v>
      </c>
      <c r="J9276" t="s">
        <v>25633</v>
      </c>
      <c r="K9276" s="18" t="s">
        <v>25634</v>
      </c>
      <c r="N9276" s="17" t="s">
        <v>77</v>
      </c>
      <c r="O9276" t="s">
        <v>117</v>
      </c>
      <c r="V9276" s="18" t="s">
        <v>25634</v>
      </c>
      <c r="Y9276" t="s">
        <v>190</v>
      </c>
      <c r="AA9276" t="s">
        <v>118</v>
      </c>
      <c r="AB9276" t="s">
        <v>119</v>
      </c>
    </row>
    <row r="9277" ht="15" customHeight="1" spans="1:22" x14ac:dyDescent="0.25">
      <c r="A9277" s="17" t="s">
        <v>25635</v>
      </c>
      <c r="B9277" s="17" t="s">
        <v>70</v>
      </c>
      <c r="C9277" s="17" t="s">
        <v>71</v>
      </c>
      <c r="D9277" t="s">
        <v>25636</v>
      </c>
      <c r="F9277" t="s">
        <v>2478</v>
      </c>
      <c r="K9277" s="18">
        <f>628116203698</f>
        <v>628116203698</v>
      </c>
      <c r="N9277" s="17" t="s">
        <v>81</v>
      </c>
      <c r="V9277" s="18">
        <f>628116203698</f>
        <v>628116203698</v>
      </c>
    </row>
    <row r="9278" ht="15" customHeight="1" spans="1:28" x14ac:dyDescent="0.25">
      <c r="A9278" s="17" t="s">
        <v>25637</v>
      </c>
      <c r="B9278" s="17" t="s">
        <v>70</v>
      </c>
      <c r="C9278" s="17" t="s">
        <v>71</v>
      </c>
      <c r="D9278" t="s">
        <v>25638</v>
      </c>
      <c r="F9278" t="s">
        <v>25639</v>
      </c>
      <c r="J9278" t="s">
        <v>115</v>
      </c>
      <c r="K9278" s="18" t="s">
        <v>25640</v>
      </c>
      <c r="N9278" s="17" t="s">
        <v>81</v>
      </c>
      <c r="O9278" t="s">
        <v>117</v>
      </c>
      <c r="U9278" s="17"/>
      <c r="V9278" s="18" t="s">
        <v>25640</v>
      </c>
      <c r="W9278" t="s">
        <v>25641</v>
      </c>
      <c r="Y9278" s="17" t="s">
        <v>90</v>
      </c>
      <c r="AA9278" t="s">
        <v>118</v>
      </c>
      <c r="AB9278" t="s">
        <v>119</v>
      </c>
    </row>
    <row r="9279" ht="15" customHeight="1" spans="1:23" x14ac:dyDescent="0.25">
      <c r="A9279" s="17" t="s">
        <v>25642</v>
      </c>
      <c r="B9279" s="17" t="s">
        <v>70</v>
      </c>
      <c r="C9279" s="17" t="s">
        <v>71</v>
      </c>
      <c r="D9279" t="s">
        <v>25643</v>
      </c>
      <c r="F9279" t="s">
        <v>25644</v>
      </c>
      <c r="J9279" s="17" t="s">
        <v>25645</v>
      </c>
      <c r="K9279" s="18">
        <f>6281291259200</f>
        <v>6281291259200</v>
      </c>
      <c r="N9279" s="17" t="s">
        <v>77</v>
      </c>
      <c r="U9279" s="17"/>
      <c r="V9279" s="18">
        <f>6281291259200</f>
        <v>6281291259200</v>
      </c>
      <c r="W9279" t="s">
        <v>90</v>
      </c>
    </row>
    <row r="9280" ht="15" customHeight="1" spans="1:28" x14ac:dyDescent="0.25">
      <c r="A9280" s="17" t="s">
        <v>25646</v>
      </c>
      <c r="B9280" s="17" t="s">
        <v>70</v>
      </c>
      <c r="C9280" s="17" t="s">
        <v>71</v>
      </c>
      <c r="D9280" t="s">
        <v>25647</v>
      </c>
      <c r="F9280" t="s">
        <v>1690</v>
      </c>
      <c r="J9280" t="s">
        <v>115</v>
      </c>
      <c r="K9280" s="18" t="s">
        <v>25648</v>
      </c>
      <c r="N9280" s="17" t="s">
        <v>77</v>
      </c>
      <c r="O9280" t="s">
        <v>117</v>
      </c>
      <c r="U9280" s="17"/>
      <c r="V9280" s="18" t="s">
        <v>25648</v>
      </c>
      <c r="W9280" t="s">
        <v>25649</v>
      </c>
      <c r="Y9280" t="s">
        <v>90</v>
      </c>
      <c r="AA9280" t="s">
        <v>118</v>
      </c>
      <c r="AB9280" t="s">
        <v>119</v>
      </c>
    </row>
    <row r="9281" ht="15" customHeight="1" spans="1:22" x14ac:dyDescent="0.25">
      <c r="A9281" s="17" t="s">
        <v>25650</v>
      </c>
      <c r="B9281" s="17" t="s">
        <v>70</v>
      </c>
      <c r="C9281" s="17" t="s">
        <v>71</v>
      </c>
      <c r="D9281" t="s">
        <v>25651</v>
      </c>
      <c r="F9281" t="s">
        <v>106</v>
      </c>
      <c r="K9281" s="18">
        <f>6281363813717</f>
        <v>6281363813717</v>
      </c>
      <c r="N9281" s="17" t="s">
        <v>81</v>
      </c>
      <c r="V9281" s="18">
        <f>6281363813717</f>
        <v>6281363813717</v>
      </c>
    </row>
    <row r="9282" ht="15" customHeight="1" spans="1:28" x14ac:dyDescent="0.25">
      <c r="A9282" s="17" t="s">
        <v>25652</v>
      </c>
      <c r="B9282" s="17" t="s">
        <v>70</v>
      </c>
      <c r="C9282" s="17" t="s">
        <v>71</v>
      </c>
      <c r="D9282" t="s">
        <v>19272</v>
      </c>
      <c r="F9282" t="s">
        <v>106</v>
      </c>
      <c r="J9282" t="s">
        <v>115</v>
      </c>
      <c r="K9282" s="18" t="s">
        <v>25653</v>
      </c>
      <c r="N9282" s="17" t="s">
        <v>81</v>
      </c>
      <c r="O9282" t="s">
        <v>117</v>
      </c>
      <c r="V9282" s="18" t="s">
        <v>25653</v>
      </c>
      <c r="Y9282" t="s">
        <v>190</v>
      </c>
      <c r="AA9282" t="s">
        <v>118</v>
      </c>
      <c r="AB9282" t="s">
        <v>119</v>
      </c>
    </row>
    <row r="9283" ht="15" customHeight="1" spans="1:22" x14ac:dyDescent="0.25">
      <c r="A9283" s="17" t="s">
        <v>25654</v>
      </c>
      <c r="B9283" s="17" t="s">
        <v>70</v>
      </c>
      <c r="C9283" s="17" t="s">
        <v>71</v>
      </c>
      <c r="D9283" t="s">
        <v>25655</v>
      </c>
      <c r="F9283" t="s">
        <v>25656</v>
      </c>
      <c r="K9283" s="18">
        <f>628129946081</f>
        <v>628129946081</v>
      </c>
      <c r="N9283" s="17" t="s">
        <v>77</v>
      </c>
      <c r="V9283" s="18">
        <f>628129946081</f>
        <v>628129946081</v>
      </c>
    </row>
    <row r="9284" ht="15" customHeight="1" spans="1:25" x14ac:dyDescent="0.25">
      <c r="A9284" s="17" t="s">
        <v>25657</v>
      </c>
      <c r="B9284" s="17" t="s">
        <v>70</v>
      </c>
      <c r="C9284" s="17" t="s">
        <v>71</v>
      </c>
      <c r="D9284" t="s">
        <v>25658</v>
      </c>
      <c r="F9284" t="s">
        <v>25659</v>
      </c>
      <c r="K9284" s="18">
        <f>628121080903</f>
        <v>628121080903</v>
      </c>
      <c r="N9284" s="17" t="s">
        <v>77</v>
      </c>
      <c r="U9284" s="17"/>
      <c r="V9284" s="18">
        <f>628121080903</f>
        <v>628121080903</v>
      </c>
      <c r="W9284" t="s">
        <v>25660</v>
      </c>
      <c r="Y9284" s="17" t="s">
        <v>378</v>
      </c>
    </row>
    <row r="9285" ht="15" customHeight="1" spans="1:22" x14ac:dyDescent="0.25">
      <c r="A9285" s="17" t="s">
        <v>25661</v>
      </c>
      <c r="B9285" s="17" t="s">
        <v>70</v>
      </c>
      <c r="C9285" s="17" t="s">
        <v>71</v>
      </c>
      <c r="D9285" t="s">
        <v>25662</v>
      </c>
      <c r="F9285" t="s">
        <v>25663</v>
      </c>
      <c r="K9285" s="18">
        <f>6281311113309</f>
        <v>6281311113309</v>
      </c>
      <c r="N9285" s="17" t="s">
        <v>77</v>
      </c>
      <c r="V9285" s="18">
        <f>6281311113309</f>
        <v>6281311113309</v>
      </c>
    </row>
    <row r="9286" ht="15" customHeight="1" spans="1:22" x14ac:dyDescent="0.25">
      <c r="A9286" s="17" t="s">
        <v>25664</v>
      </c>
      <c r="B9286" s="17" t="s">
        <v>70</v>
      </c>
      <c r="C9286" s="17" t="s">
        <v>71</v>
      </c>
      <c r="D9286" t="s">
        <v>25665</v>
      </c>
      <c r="F9286" t="s">
        <v>25665</v>
      </c>
      <c r="K9286" s="18">
        <f>6282152742366</f>
        <v>6282152742366</v>
      </c>
      <c r="N9286" s="17" t="s">
        <v>81</v>
      </c>
      <c r="V9286" s="18">
        <f>6282152742366</f>
        <v>6282152742366</v>
      </c>
    </row>
    <row r="9287" ht="15" customHeight="1" spans="1:22" x14ac:dyDescent="0.25">
      <c r="A9287" s="17" t="s">
        <v>25666</v>
      </c>
      <c r="B9287" s="17" t="s">
        <v>70</v>
      </c>
      <c r="C9287" s="17" t="s">
        <v>71</v>
      </c>
      <c r="D9287" t="s">
        <v>25667</v>
      </c>
      <c r="F9287" t="s">
        <v>25667</v>
      </c>
      <c r="K9287" s="18">
        <f>62811882993</f>
        <v>62811882993</v>
      </c>
      <c r="N9287" s="17" t="s">
        <v>81</v>
      </c>
      <c r="V9287" s="18">
        <f>62811882993</f>
        <v>62811882993</v>
      </c>
    </row>
    <row r="9288" ht="15" customHeight="1" spans="1:25" x14ac:dyDescent="0.25">
      <c r="A9288" s="17" t="s">
        <v>25668</v>
      </c>
      <c r="B9288" s="17" t="s">
        <v>70</v>
      </c>
      <c r="C9288" s="17" t="s">
        <v>71</v>
      </c>
      <c r="D9288" t="s">
        <v>25669</v>
      </c>
      <c r="F9288" t="s">
        <v>25669</v>
      </c>
      <c r="K9288" s="18">
        <f>628166107178</f>
        <v>628166107178</v>
      </c>
      <c r="N9288" s="17" t="s">
        <v>81</v>
      </c>
      <c r="U9288" s="17"/>
      <c r="V9288" s="18">
        <f>628166107178</f>
        <v>628166107178</v>
      </c>
      <c r="W9288" t="s">
        <v>25670</v>
      </c>
      <c r="Y9288" s="17" t="s">
        <v>96</v>
      </c>
    </row>
    <row r="9289" ht="15" customHeight="1" spans="1:22" x14ac:dyDescent="0.25">
      <c r="A9289" s="17" t="s">
        <v>25671</v>
      </c>
      <c r="B9289" s="17" t="s">
        <v>70</v>
      </c>
      <c r="C9289" s="17" t="s">
        <v>71</v>
      </c>
      <c r="D9289" t="s">
        <v>25672</v>
      </c>
      <c r="F9289" t="s">
        <v>25672</v>
      </c>
      <c r="K9289" s="18">
        <f>6281274906095</f>
        <v>6281274906095</v>
      </c>
      <c r="N9289" s="17" t="s">
        <v>77</v>
      </c>
      <c r="V9289" s="18">
        <f>6281274906095</f>
        <v>6281274906095</v>
      </c>
    </row>
    <row r="9290" ht="15" customHeight="1" spans="1:25" x14ac:dyDescent="0.25">
      <c r="A9290" s="17" t="s">
        <v>25673</v>
      </c>
      <c r="B9290" s="17" t="s">
        <v>70</v>
      </c>
      <c r="C9290" s="17" t="s">
        <v>71</v>
      </c>
      <c r="D9290" t="s">
        <v>25674</v>
      </c>
      <c r="F9290" t="s">
        <v>25675</v>
      </c>
      <c r="J9290" s="17" t="s">
        <v>25676</v>
      </c>
      <c r="K9290" s="18" t="s">
        <v>25677</v>
      </c>
      <c r="N9290" s="17" t="s">
        <v>77</v>
      </c>
      <c r="U9290" s="17"/>
      <c r="V9290" s="18" t="s">
        <v>25677</v>
      </c>
      <c r="W9290" t="s">
        <v>251</v>
      </c>
      <c r="Y9290" s="17" t="s">
        <v>22392</v>
      </c>
    </row>
    <row r="9291" ht="15" customHeight="1" spans="1:28" x14ac:dyDescent="0.25">
      <c r="A9291" s="17" t="s">
        <v>25678</v>
      </c>
      <c r="B9291" s="17" t="s">
        <v>70</v>
      </c>
      <c r="C9291" s="17" t="s">
        <v>71</v>
      </c>
      <c r="D9291" t="s">
        <v>25679</v>
      </c>
      <c r="F9291" t="s">
        <v>3869</v>
      </c>
      <c r="J9291" s="17" t="s">
        <v>25680</v>
      </c>
      <c r="K9291" s="18" t="s">
        <v>25681</v>
      </c>
      <c r="N9291" s="17" t="s">
        <v>77</v>
      </c>
      <c r="O9291" t="s">
        <v>261</v>
      </c>
      <c r="U9291" s="17"/>
      <c r="V9291" s="18" t="s">
        <v>25681</v>
      </c>
      <c r="W9291" t="s">
        <v>25682</v>
      </c>
      <c r="Y9291" s="17" t="s">
        <v>90</v>
      </c>
      <c r="AA9291" s="17" t="s">
        <v>118</v>
      </c>
      <c r="AB9291" t="s">
        <v>119</v>
      </c>
    </row>
    <row r="9292" ht="15" customHeight="1" spans="1:23" x14ac:dyDescent="0.25">
      <c r="A9292" s="17" t="s">
        <v>25683</v>
      </c>
      <c r="B9292" s="17" t="s">
        <v>70</v>
      </c>
      <c r="C9292" s="17" t="s">
        <v>71</v>
      </c>
      <c r="D9292" t="s">
        <v>17750</v>
      </c>
      <c r="F9292" t="s">
        <v>25684</v>
      </c>
      <c r="K9292" s="18">
        <f>8613818092847</f>
        <v>8613818092847</v>
      </c>
      <c r="N9292" s="17" t="s">
        <v>77</v>
      </c>
      <c r="U9292" s="17"/>
      <c r="V9292" s="18">
        <f>8613818092847</f>
        <v>8613818092847</v>
      </c>
      <c r="W9292" t="s">
        <v>3140</v>
      </c>
    </row>
    <row r="9293" ht="15" customHeight="1" spans="1:28" x14ac:dyDescent="0.25">
      <c r="A9293" s="17" t="s">
        <v>25685</v>
      </c>
      <c r="B9293" s="17" t="s">
        <v>70</v>
      </c>
      <c r="C9293" s="17" t="s">
        <v>71</v>
      </c>
      <c r="D9293" t="s">
        <v>25686</v>
      </c>
      <c r="F9293" t="s">
        <v>25687</v>
      </c>
      <c r="J9293" t="s">
        <v>115</v>
      </c>
      <c r="K9293" s="18" t="s">
        <v>25688</v>
      </c>
      <c r="N9293" s="17" t="s">
        <v>77</v>
      </c>
      <c r="O9293" t="s">
        <v>117</v>
      </c>
      <c r="V9293" s="18" t="s">
        <v>25688</v>
      </c>
      <c r="Y9293" t="s">
        <v>190</v>
      </c>
      <c r="AA9293" t="s">
        <v>118</v>
      </c>
      <c r="AB9293" t="s">
        <v>119</v>
      </c>
    </row>
    <row r="9294" ht="15" customHeight="1" spans="1:25" x14ac:dyDescent="0.25">
      <c r="A9294" s="17" t="s">
        <v>25689</v>
      </c>
      <c r="B9294" s="17" t="s">
        <v>70</v>
      </c>
      <c r="C9294" s="17" t="s">
        <v>71</v>
      </c>
      <c r="D9294" t="s">
        <v>17750</v>
      </c>
      <c r="F9294" t="s">
        <v>25690</v>
      </c>
      <c r="J9294" s="17" t="s">
        <v>25691</v>
      </c>
      <c r="K9294" s="18">
        <v>13537105777</v>
      </c>
      <c r="N9294" s="17" t="s">
        <v>77</v>
      </c>
      <c r="V9294" s="18">
        <v>13537105777</v>
      </c>
      <c r="Y9294" s="17" t="s">
        <v>25692</v>
      </c>
    </row>
    <row r="9295" ht="15" customHeight="1" spans="1:23" x14ac:dyDescent="0.25">
      <c r="A9295" s="17" t="s">
        <v>25693</v>
      </c>
      <c r="B9295" s="17" t="s">
        <v>70</v>
      </c>
      <c r="C9295" s="17" t="s">
        <v>71</v>
      </c>
      <c r="D9295" t="s">
        <v>25694</v>
      </c>
      <c r="F9295" t="s">
        <v>17575</v>
      </c>
      <c r="J9295" s="17" t="s">
        <v>25695</v>
      </c>
      <c r="K9295" s="18">
        <f>8613652328509</f>
        <v>8613652328509</v>
      </c>
      <c r="N9295" s="17" t="s">
        <v>77</v>
      </c>
      <c r="U9295" s="17"/>
      <c r="V9295" s="18">
        <f>8613652328509</f>
        <v>8613652328509</v>
      </c>
      <c r="W9295" t="s">
        <v>3140</v>
      </c>
    </row>
    <row r="9296" ht="15" customHeight="1" spans="1:28" x14ac:dyDescent="0.25">
      <c r="A9296" s="17" t="s">
        <v>25696</v>
      </c>
      <c r="B9296" s="17" t="s">
        <v>70</v>
      </c>
      <c r="C9296" s="17" t="s">
        <v>71</v>
      </c>
      <c r="D9296" t="s">
        <v>17750</v>
      </c>
      <c r="F9296" t="s">
        <v>25697</v>
      </c>
      <c r="J9296" s="17" t="s">
        <v>25698</v>
      </c>
      <c r="K9296" s="18" t="s">
        <v>25699</v>
      </c>
      <c r="N9296" s="17" t="s">
        <v>77</v>
      </c>
      <c r="O9296" t="s">
        <v>117</v>
      </c>
      <c r="V9296" s="18" t="s">
        <v>25699</v>
      </c>
      <c r="Y9296" s="17" t="s">
        <v>148</v>
      </c>
      <c r="AA9296" t="s">
        <v>115</v>
      </c>
      <c r="AB9296" t="s">
        <v>148</v>
      </c>
    </row>
    <row r="9297" ht="15" customHeight="1" spans="1:28" x14ac:dyDescent="0.25">
      <c r="A9297" s="17" t="s">
        <v>25700</v>
      </c>
      <c r="B9297" s="17" t="s">
        <v>70</v>
      </c>
      <c r="C9297" s="17" t="s">
        <v>71</v>
      </c>
      <c r="D9297" t="s">
        <v>17750</v>
      </c>
      <c r="F9297" t="s">
        <v>25701</v>
      </c>
      <c r="J9297" s="17" t="s">
        <v>25702</v>
      </c>
      <c r="K9297" s="18" t="s">
        <v>25703</v>
      </c>
      <c r="N9297" s="17" t="s">
        <v>77</v>
      </c>
      <c r="O9297" t="s">
        <v>117</v>
      </c>
      <c r="U9297" s="17"/>
      <c r="V9297" s="18" t="s">
        <v>25703</v>
      </c>
      <c r="W9297" t="s">
        <v>3140</v>
      </c>
      <c r="Y9297" t="s">
        <v>115</v>
      </c>
      <c r="AA9297" t="s">
        <v>115</v>
      </c>
      <c r="AB9297" t="s">
        <v>3140</v>
      </c>
    </row>
    <row r="9298" ht="15" customHeight="1" spans="1:28" x14ac:dyDescent="0.25">
      <c r="A9298" s="17" t="s">
        <v>25704</v>
      </c>
      <c r="B9298" s="17" t="s">
        <v>70</v>
      </c>
      <c r="C9298" s="17" t="s">
        <v>71</v>
      </c>
      <c r="D9298" t="s">
        <v>25705</v>
      </c>
      <c r="F9298" t="s">
        <v>17750</v>
      </c>
      <c r="J9298" s="17" t="s">
        <v>25706</v>
      </c>
      <c r="K9298" s="18" t="s">
        <v>25707</v>
      </c>
      <c r="N9298" s="17" t="s">
        <v>77</v>
      </c>
      <c r="O9298" t="s">
        <v>117</v>
      </c>
      <c r="V9298" s="18" t="s">
        <v>25707</v>
      </c>
      <c r="Y9298" t="s">
        <v>115</v>
      </c>
      <c r="AA9298" t="s">
        <v>115</v>
      </c>
      <c r="AB9298" t="s">
        <v>3140</v>
      </c>
    </row>
    <row r="9299" ht="15" customHeight="1" spans="1:25" x14ac:dyDescent="0.25">
      <c r="A9299" s="17" t="s">
        <v>25708</v>
      </c>
      <c r="B9299" s="17" t="s">
        <v>70</v>
      </c>
      <c r="C9299" s="17" t="s">
        <v>71</v>
      </c>
      <c r="D9299" t="s">
        <v>25709</v>
      </c>
      <c r="F9299" t="s">
        <v>25710</v>
      </c>
      <c r="K9299" s="18">
        <f>6281288992435</f>
        <v>6281288992435</v>
      </c>
      <c r="N9299" s="17" t="s">
        <v>77</v>
      </c>
      <c r="U9299" s="17"/>
      <c r="V9299" s="18">
        <f>6281288992435</f>
        <v>6281288992435</v>
      </c>
      <c r="W9299" t="s">
        <v>25711</v>
      </c>
      <c r="Y9299" s="17" t="s">
        <v>3320</v>
      </c>
    </row>
    <row r="9300" ht="15" customHeight="1" spans="1:22" x14ac:dyDescent="0.25">
      <c r="A9300" s="17" t="s">
        <v>25712</v>
      </c>
      <c r="B9300" s="17" t="s">
        <v>70</v>
      </c>
      <c r="C9300" s="17" t="s">
        <v>71</v>
      </c>
      <c r="D9300" t="s">
        <v>25713</v>
      </c>
      <c r="F9300" t="s">
        <v>25714</v>
      </c>
      <c r="K9300" s="18">
        <f>62816842677</f>
        <v>62816842677</v>
      </c>
      <c r="N9300" s="17" t="s">
        <v>77</v>
      </c>
      <c r="V9300" s="18">
        <f>62816842677</f>
        <v>62816842677</v>
      </c>
    </row>
    <row r="9301" ht="15" customHeight="1" spans="1:28" x14ac:dyDescent="0.25">
      <c r="A9301" s="17" t="s">
        <v>25715</v>
      </c>
      <c r="B9301" s="17" t="s">
        <v>70</v>
      </c>
      <c r="C9301" s="17" t="s">
        <v>71</v>
      </c>
      <c r="D9301" t="s">
        <v>25716</v>
      </c>
      <c r="F9301" t="s">
        <v>25717</v>
      </c>
      <c r="J9301" s="17" t="s">
        <v>25718</v>
      </c>
      <c r="K9301" s="18" t="s">
        <v>25719</v>
      </c>
      <c r="N9301" s="17" t="s">
        <v>77</v>
      </c>
      <c r="O9301" t="s">
        <v>199</v>
      </c>
      <c r="V9301" s="18" t="s">
        <v>25719</v>
      </c>
      <c r="Y9301" t="s">
        <v>930</v>
      </c>
      <c r="AA9301" t="s">
        <v>115</v>
      </c>
      <c r="AB9301" t="s">
        <v>930</v>
      </c>
    </row>
    <row r="9302" ht="15" customHeight="1" spans="1:28" x14ac:dyDescent="0.25">
      <c r="A9302" s="17" t="s">
        <v>25720</v>
      </c>
      <c r="B9302" s="17" t="s">
        <v>70</v>
      </c>
      <c r="C9302" s="17" t="s">
        <v>71</v>
      </c>
      <c r="D9302" t="s">
        <v>25721</v>
      </c>
      <c r="F9302" t="s">
        <v>25722</v>
      </c>
      <c r="J9302" t="s">
        <v>115</v>
      </c>
      <c r="K9302" s="18" t="s">
        <v>25723</v>
      </c>
      <c r="N9302" s="17" t="s">
        <v>77</v>
      </c>
      <c r="O9302" t="s">
        <v>117</v>
      </c>
      <c r="U9302" s="17"/>
      <c r="V9302" s="18" t="s">
        <v>25723</v>
      </c>
      <c r="W9302" t="s">
        <v>25724</v>
      </c>
      <c r="Y9302" s="17" t="s">
        <v>378</v>
      </c>
      <c r="AA9302" s="17" t="s">
        <v>118</v>
      </c>
      <c r="AB9302" t="s">
        <v>119</v>
      </c>
    </row>
    <row r="9303" ht="15" customHeight="1" spans="1:22" x14ac:dyDescent="0.25">
      <c r="A9303" s="17" t="s">
        <v>25725</v>
      </c>
      <c r="B9303" s="17" t="s">
        <v>70</v>
      </c>
      <c r="C9303" s="17" t="s">
        <v>71</v>
      </c>
      <c r="D9303" t="s">
        <v>25726</v>
      </c>
      <c r="F9303" t="s">
        <v>25727</v>
      </c>
      <c r="K9303" s="18">
        <f>628119697393</f>
        <v>628119697393</v>
      </c>
      <c r="N9303" s="17" t="s">
        <v>74</v>
      </c>
      <c r="V9303" s="18">
        <f>628119697393</f>
        <v>628119697393</v>
      </c>
    </row>
    <row r="9304" ht="15" customHeight="1" spans="1:22" x14ac:dyDescent="0.25">
      <c r="A9304" s="17" t="s">
        <v>25728</v>
      </c>
      <c r="B9304" s="17" t="s">
        <v>70</v>
      </c>
      <c r="C9304" s="17" t="s">
        <v>71</v>
      </c>
      <c r="D9304" t="s">
        <v>8403</v>
      </c>
      <c r="F9304" t="s">
        <v>8403</v>
      </c>
      <c r="K9304" s="18">
        <f>6282145997989</f>
        <v>6282145997989</v>
      </c>
      <c r="N9304" s="17" t="s">
        <v>77</v>
      </c>
      <c r="V9304" s="18">
        <f>6282145997989</f>
        <v>6282145997989</v>
      </c>
    </row>
    <row r="9305" ht="15" customHeight="1" spans="1:22" x14ac:dyDescent="0.25">
      <c r="A9305" s="17" t="s">
        <v>25729</v>
      </c>
      <c r="B9305" s="17" t="s">
        <v>70</v>
      </c>
      <c r="C9305" s="17" t="s">
        <v>71</v>
      </c>
      <c r="D9305" t="s">
        <v>8403</v>
      </c>
      <c r="F9305" t="s">
        <v>6671</v>
      </c>
      <c r="K9305" s="18">
        <f>62811334563</f>
        <v>62811334563</v>
      </c>
      <c r="N9305" s="17" t="s">
        <v>81</v>
      </c>
      <c r="V9305" s="18">
        <f>62811334563</f>
        <v>62811334563</v>
      </c>
    </row>
    <row r="9306" ht="15" customHeight="1" spans="1:23" x14ac:dyDescent="0.25">
      <c r="A9306" s="17" t="s">
        <v>25730</v>
      </c>
      <c r="B9306" s="17" t="s">
        <v>70</v>
      </c>
      <c r="C9306" s="17" t="s">
        <v>71</v>
      </c>
      <c r="D9306" t="s">
        <v>8403</v>
      </c>
      <c r="F9306" t="s">
        <v>25731</v>
      </c>
      <c r="K9306" s="18">
        <f>6281345988000</f>
        <v>6281345988000</v>
      </c>
      <c r="N9306" s="17" t="s">
        <v>74</v>
      </c>
      <c r="U9306" s="17"/>
      <c r="V9306" s="18">
        <f>6281345988000</f>
        <v>6281345988000</v>
      </c>
      <c r="W9306" t="s">
        <v>25732</v>
      </c>
    </row>
    <row r="9307" ht="15" customHeight="1" spans="1:22" x14ac:dyDescent="0.25">
      <c r="A9307" s="17" t="s">
        <v>25733</v>
      </c>
      <c r="B9307" s="17" t="s">
        <v>70</v>
      </c>
      <c r="C9307" s="17" t="s">
        <v>71</v>
      </c>
      <c r="D9307" t="s">
        <v>8403</v>
      </c>
      <c r="F9307" t="s">
        <v>4869</v>
      </c>
      <c r="K9307" s="18">
        <f>811811374</f>
        <v>811811374</v>
      </c>
      <c r="N9307" s="17" t="s">
        <v>81</v>
      </c>
      <c r="V9307" s="18">
        <f>811811374</f>
        <v>811811374</v>
      </c>
    </row>
    <row r="9308" ht="15" customHeight="1" spans="1:22" x14ac:dyDescent="0.25">
      <c r="A9308" s="17" t="s">
        <v>25734</v>
      </c>
      <c r="B9308" s="17" t="s">
        <v>70</v>
      </c>
      <c r="C9308" s="17" t="s">
        <v>71</v>
      </c>
      <c r="D9308" t="s">
        <v>8403</v>
      </c>
      <c r="F9308" t="s">
        <v>3605</v>
      </c>
      <c r="K9308" s="18">
        <f>62818850758</f>
        <v>62818850758</v>
      </c>
      <c r="N9308" s="17" t="s">
        <v>77</v>
      </c>
      <c r="V9308" s="18">
        <f>62818850758</f>
        <v>62818850758</v>
      </c>
    </row>
    <row r="9309" ht="15" customHeight="1" spans="1:28" x14ac:dyDescent="0.25">
      <c r="A9309" s="17" t="s">
        <v>25735</v>
      </c>
      <c r="B9309" s="17" t="s">
        <v>70</v>
      </c>
      <c r="C9309" s="17" t="s">
        <v>71</v>
      </c>
      <c r="D9309" t="s">
        <v>8403</v>
      </c>
      <c r="F9309" t="s">
        <v>25736</v>
      </c>
      <c r="J9309" s="17" t="s">
        <v>25737</v>
      </c>
      <c r="K9309" s="18" t="s">
        <v>25738</v>
      </c>
      <c r="N9309" s="17" t="s">
        <v>77</v>
      </c>
      <c r="O9309" t="s">
        <v>145</v>
      </c>
      <c r="U9309" s="17"/>
      <c r="V9309" s="18" t="s">
        <v>25738</v>
      </c>
      <c r="W9309" t="s">
        <v>25739</v>
      </c>
      <c r="Y9309" s="17" t="s">
        <v>1119</v>
      </c>
      <c r="AA9309" t="s">
        <v>115</v>
      </c>
      <c r="AB9309" t="s">
        <v>119</v>
      </c>
    </row>
    <row r="9310" ht="15" customHeight="1" spans="1:23" x14ac:dyDescent="0.25">
      <c r="A9310" s="17" t="s">
        <v>25740</v>
      </c>
      <c r="B9310" s="17" t="s">
        <v>70</v>
      </c>
      <c r="C9310" s="17" t="s">
        <v>71</v>
      </c>
      <c r="D9310" t="s">
        <v>8403</v>
      </c>
      <c r="F9310" t="s">
        <v>25741</v>
      </c>
      <c r="J9310" s="17" t="s">
        <v>25742</v>
      </c>
      <c r="K9310" s="18">
        <f>628123840537</f>
        <v>628123840537</v>
      </c>
      <c r="N9310" s="17" t="s">
        <v>77</v>
      </c>
      <c r="U9310" s="17"/>
      <c r="V9310" s="18">
        <f>628123840537</f>
        <v>628123840537</v>
      </c>
      <c r="W9310" t="s">
        <v>25743</v>
      </c>
    </row>
    <row r="9311" ht="15" customHeight="1" spans="1:28" x14ac:dyDescent="0.25">
      <c r="A9311" s="17" t="s">
        <v>25744</v>
      </c>
      <c r="B9311" s="17" t="s">
        <v>70</v>
      </c>
      <c r="C9311" s="17" t="s">
        <v>71</v>
      </c>
      <c r="D9311" t="s">
        <v>25745</v>
      </c>
      <c r="F9311" t="s">
        <v>25746</v>
      </c>
      <c r="J9311" s="17" t="s">
        <v>25747</v>
      </c>
      <c r="K9311" s="18" t="s">
        <v>25748</v>
      </c>
      <c r="N9311" s="17" t="s">
        <v>77</v>
      </c>
      <c r="O9311" t="s">
        <v>145</v>
      </c>
      <c r="U9311" s="17"/>
      <c r="V9311" s="18" t="s">
        <v>25748</v>
      </c>
      <c r="W9311" t="s">
        <v>25749</v>
      </c>
      <c r="Y9311" s="17" t="s">
        <v>181</v>
      </c>
      <c r="AA9311" t="s">
        <v>1672</v>
      </c>
      <c r="AB9311" t="s">
        <v>119</v>
      </c>
    </row>
    <row r="9312" ht="15" customHeight="1" spans="1:23" x14ac:dyDescent="0.25">
      <c r="A9312" s="17" t="s">
        <v>25750</v>
      </c>
      <c r="B9312" s="17" t="s">
        <v>70</v>
      </c>
      <c r="C9312" s="17" t="s">
        <v>71</v>
      </c>
      <c r="D9312" t="s">
        <v>8403</v>
      </c>
      <c r="F9312" t="s">
        <v>25751</v>
      </c>
      <c r="K9312" s="18">
        <f>6285237898898</f>
        <v>6285237898898</v>
      </c>
      <c r="N9312" s="17" t="s">
        <v>81</v>
      </c>
      <c r="U9312" s="17"/>
      <c r="V9312" s="18">
        <f>6285237898898</f>
        <v>6285237898898</v>
      </c>
      <c r="W9312" t="s">
        <v>181</v>
      </c>
    </row>
    <row r="9313" ht="15" customHeight="1" spans="1:23" x14ac:dyDescent="0.25">
      <c r="A9313" s="17" t="s">
        <v>25752</v>
      </c>
      <c r="B9313" s="17" t="s">
        <v>70</v>
      </c>
      <c r="C9313" s="17" t="s">
        <v>71</v>
      </c>
      <c r="D9313" t="s">
        <v>8403</v>
      </c>
      <c r="F9313" t="s">
        <v>25753</v>
      </c>
      <c r="K9313" s="18">
        <f>62811318333</f>
        <v>62811318333</v>
      </c>
      <c r="N9313" s="17" t="s">
        <v>81</v>
      </c>
      <c r="U9313" s="17"/>
      <c r="V9313" s="18">
        <f>62811318333</f>
        <v>62811318333</v>
      </c>
      <c r="W9313" t="s">
        <v>25754</v>
      </c>
    </row>
    <row r="9314" ht="15" customHeight="1" spans="1:22" x14ac:dyDescent="0.25">
      <c r="A9314" s="17" t="s">
        <v>25755</v>
      </c>
      <c r="B9314" s="17" t="s">
        <v>70</v>
      </c>
      <c r="C9314" s="17" t="s">
        <v>71</v>
      </c>
      <c r="D9314" t="s">
        <v>8403</v>
      </c>
      <c r="F9314" t="s">
        <v>25756</v>
      </c>
      <c r="K9314" s="18">
        <f>628557800724</f>
        <v>628557800724</v>
      </c>
      <c r="N9314" s="17" t="s">
        <v>77</v>
      </c>
      <c r="V9314" s="18">
        <f>628557800724</f>
        <v>628557800724</v>
      </c>
    </row>
    <row r="9315" ht="15" customHeight="1" spans="1:22" x14ac:dyDescent="0.25">
      <c r="A9315" s="17" t="s">
        <v>25757</v>
      </c>
      <c r="B9315" s="17" t="s">
        <v>70</v>
      </c>
      <c r="C9315" s="17" t="s">
        <v>71</v>
      </c>
      <c r="D9315" t="s">
        <v>8403</v>
      </c>
      <c r="F9315" t="s">
        <v>25758</v>
      </c>
      <c r="K9315" s="18">
        <f>6281294847641</f>
        <v>6281294847641</v>
      </c>
      <c r="N9315" s="17" t="s">
        <v>81</v>
      </c>
      <c r="V9315" s="18">
        <f>6281294847641</f>
        <v>6281294847641</v>
      </c>
    </row>
    <row r="9316" ht="15" customHeight="1" spans="1:28" x14ac:dyDescent="0.25">
      <c r="A9316" s="17" t="s">
        <v>25759</v>
      </c>
      <c r="B9316" s="17" t="s">
        <v>70</v>
      </c>
      <c r="C9316" s="17" t="s">
        <v>71</v>
      </c>
      <c r="D9316" t="s">
        <v>25760</v>
      </c>
      <c r="F9316" t="s">
        <v>25761</v>
      </c>
      <c r="J9316" s="17" t="s">
        <v>25762</v>
      </c>
      <c r="K9316" s="18" t="s">
        <v>25763</v>
      </c>
      <c r="N9316" s="17" t="s">
        <v>74</v>
      </c>
      <c r="O9316" t="s">
        <v>489</v>
      </c>
      <c r="V9316" s="18" t="s">
        <v>25763</v>
      </c>
      <c r="Y9316" t="s">
        <v>90</v>
      </c>
      <c r="AA9316" t="s">
        <v>118</v>
      </c>
      <c r="AB9316" t="s">
        <v>119</v>
      </c>
    </row>
    <row r="9317" ht="15" customHeight="1" spans="1:28" x14ac:dyDescent="0.25">
      <c r="A9317" s="17" t="s">
        <v>25764</v>
      </c>
      <c r="B9317" s="17" t="s">
        <v>70</v>
      </c>
      <c r="C9317" s="17" t="s">
        <v>71</v>
      </c>
      <c r="D9317" t="s">
        <v>25760</v>
      </c>
      <c r="F9317" t="s">
        <v>2159</v>
      </c>
      <c r="J9317" t="s">
        <v>115</v>
      </c>
      <c r="K9317" s="18" t="s">
        <v>25765</v>
      </c>
      <c r="N9317" s="17" t="s">
        <v>74</v>
      </c>
      <c r="O9317" t="s">
        <v>261</v>
      </c>
      <c r="U9317" s="17"/>
      <c r="V9317" s="18" t="s">
        <v>25765</v>
      </c>
      <c r="W9317" t="s">
        <v>25766</v>
      </c>
      <c r="Y9317" s="17" t="s">
        <v>90</v>
      </c>
      <c r="AA9317" t="s">
        <v>118</v>
      </c>
      <c r="AB9317" t="s">
        <v>119</v>
      </c>
    </row>
    <row r="9318" ht="15" customHeight="1" spans="1:22" x14ac:dyDescent="0.25">
      <c r="A9318" s="17" t="s">
        <v>25767</v>
      </c>
      <c r="B9318" s="17" t="s">
        <v>70</v>
      </c>
      <c r="C9318" s="17" t="s">
        <v>71</v>
      </c>
      <c r="D9318" t="s">
        <v>25768</v>
      </c>
      <c r="F9318" t="s">
        <v>25769</v>
      </c>
      <c r="K9318" s="18">
        <f>6287786381159</f>
        <v>6287786381159</v>
      </c>
      <c r="N9318" s="17" t="s">
        <v>81</v>
      </c>
      <c r="V9318" s="18">
        <f>6287786381159</f>
        <v>6287786381159</v>
      </c>
    </row>
    <row r="9319" ht="15" customHeight="1" spans="1:28" x14ac:dyDescent="0.25">
      <c r="A9319" s="17" t="s">
        <v>25770</v>
      </c>
      <c r="B9319" s="17" t="s">
        <v>70</v>
      </c>
      <c r="C9319" s="17" t="s">
        <v>71</v>
      </c>
      <c r="D9319" t="s">
        <v>25771</v>
      </c>
      <c r="F9319" t="s">
        <v>25772</v>
      </c>
      <c r="J9319" t="s">
        <v>25773</v>
      </c>
      <c r="K9319" s="18" t="s">
        <v>25774</v>
      </c>
      <c r="N9319" s="17" t="s">
        <v>77</v>
      </c>
      <c r="O9319" t="s">
        <v>199</v>
      </c>
      <c r="U9319" s="17"/>
      <c r="V9319" s="18" t="s">
        <v>25774</v>
      </c>
      <c r="W9319" t="s">
        <v>25775</v>
      </c>
      <c r="Y9319" s="17" t="s">
        <v>90</v>
      </c>
      <c r="AA9319" t="s">
        <v>118</v>
      </c>
      <c r="AB9319" t="s">
        <v>119</v>
      </c>
    </row>
    <row r="9320" ht="15" customHeight="1" spans="1:22" x14ac:dyDescent="0.25">
      <c r="A9320" s="17" t="s">
        <v>25776</v>
      </c>
      <c r="B9320" s="17" t="s">
        <v>70</v>
      </c>
      <c r="C9320" s="17" t="s">
        <v>71</v>
      </c>
      <c r="D9320" t="s">
        <v>25777</v>
      </c>
      <c r="F9320" t="s">
        <v>8552</v>
      </c>
      <c r="K9320" s="18">
        <f>814066916951</f>
        <v>814066916951</v>
      </c>
      <c r="N9320" s="17" t="s">
        <v>81</v>
      </c>
      <c r="V9320" s="18">
        <f>814066916951</f>
        <v>814066916951</v>
      </c>
    </row>
    <row r="9321" ht="15" customHeight="1" spans="1:28" x14ac:dyDescent="0.25">
      <c r="A9321" s="17" t="s">
        <v>25778</v>
      </c>
      <c r="B9321" s="17" t="s">
        <v>70</v>
      </c>
      <c r="C9321" s="17" t="s">
        <v>71</v>
      </c>
      <c r="D9321" t="s">
        <v>25779</v>
      </c>
      <c r="F9321" t="s">
        <v>8778</v>
      </c>
      <c r="J9321" s="17" t="s">
        <v>25780</v>
      </c>
      <c r="K9321" s="18" t="s">
        <v>25781</v>
      </c>
      <c r="N9321" s="17" t="s">
        <v>77</v>
      </c>
      <c r="O9321" t="s">
        <v>489</v>
      </c>
      <c r="V9321" s="18" t="s">
        <v>25781</v>
      </c>
      <c r="Y9321" t="s">
        <v>96</v>
      </c>
      <c r="AA9321" t="s">
        <v>693</v>
      </c>
      <c r="AB9321" t="s">
        <v>119</v>
      </c>
    </row>
    <row r="9322" ht="15" customHeight="1" spans="1:25" x14ac:dyDescent="0.25">
      <c r="A9322" s="17" t="s">
        <v>25782</v>
      </c>
      <c r="B9322" s="17" t="s">
        <v>70</v>
      </c>
      <c r="C9322" s="17" t="s">
        <v>71</v>
      </c>
      <c r="D9322" t="s">
        <v>25783</v>
      </c>
      <c r="F9322" t="s">
        <v>10879</v>
      </c>
      <c r="K9322" s="18">
        <f>62811983878</f>
        <v>62811983878</v>
      </c>
      <c r="N9322" s="17" t="s">
        <v>77</v>
      </c>
      <c r="U9322" s="17"/>
      <c r="V9322" s="18">
        <f>62811983878</f>
        <v>62811983878</v>
      </c>
      <c r="W9322" t="s">
        <v>25784</v>
      </c>
      <c r="Y9322" s="17" t="s">
        <v>90</v>
      </c>
    </row>
    <row r="9323" ht="15" customHeight="1" spans="1:25" x14ac:dyDescent="0.25">
      <c r="A9323" s="17" t="s">
        <v>25785</v>
      </c>
      <c r="B9323" s="17" t="s">
        <v>70</v>
      </c>
      <c r="C9323" s="17" t="s">
        <v>71</v>
      </c>
      <c r="D9323" t="s">
        <v>25786</v>
      </c>
      <c r="F9323" t="s">
        <v>25786</v>
      </c>
      <c r="K9323" s="18">
        <f>628129923377</f>
        <v>628129923377</v>
      </c>
      <c r="N9323" s="17" t="s">
        <v>77</v>
      </c>
      <c r="U9323" s="17"/>
      <c r="V9323" s="18">
        <f>628129923377</f>
        <v>628129923377</v>
      </c>
      <c r="W9323" t="s">
        <v>25787</v>
      </c>
      <c r="Y9323" s="17" t="s">
        <v>217</v>
      </c>
    </row>
    <row r="9324" ht="15" customHeight="1" spans="1:28" x14ac:dyDescent="0.25">
      <c r="A9324" s="17" t="s">
        <v>25788</v>
      </c>
      <c r="B9324" s="17" t="s">
        <v>70</v>
      </c>
      <c r="C9324" s="17" t="s">
        <v>71</v>
      </c>
      <c r="D9324" t="s">
        <v>5115</v>
      </c>
      <c r="F9324" t="s">
        <v>14651</v>
      </c>
      <c r="J9324" t="s">
        <v>115</v>
      </c>
      <c r="K9324" s="18" t="s">
        <v>25789</v>
      </c>
      <c r="N9324" s="17" t="s">
        <v>77</v>
      </c>
      <c r="O9324" t="s">
        <v>117</v>
      </c>
      <c r="V9324" s="18" t="s">
        <v>25789</v>
      </c>
      <c r="Y9324" s="17" t="s">
        <v>626</v>
      </c>
      <c r="AA9324" s="17" t="s">
        <v>3090</v>
      </c>
      <c r="AB9324" t="s">
        <v>119</v>
      </c>
    </row>
    <row r="9325" ht="15" customHeight="1" spans="1:27" x14ac:dyDescent="0.25">
      <c r="A9325" s="17" t="s">
        <v>25790</v>
      </c>
      <c r="B9325" s="17" t="s">
        <v>70</v>
      </c>
      <c r="C9325" s="17" t="s">
        <v>71</v>
      </c>
      <c r="D9325" t="s">
        <v>5115</v>
      </c>
      <c r="F9325" t="s">
        <v>25791</v>
      </c>
      <c r="J9325" s="17" t="s">
        <v>25792</v>
      </c>
      <c r="K9325" s="18">
        <f>62816816875</f>
        <v>62816816875</v>
      </c>
      <c r="N9325" s="17" t="s">
        <v>77</v>
      </c>
      <c r="U9325" s="17"/>
      <c r="V9325" s="18">
        <f>62816816875</f>
        <v>62816816875</v>
      </c>
      <c r="W9325" t="s">
        <v>25793</v>
      </c>
      <c r="Y9325" s="17" t="s">
        <v>515</v>
      </c>
      <c r="AA9325" s="17">
        <v>13450</v>
      </c>
    </row>
    <row r="9326" ht="15" customHeight="1" spans="1:22" x14ac:dyDescent="0.25">
      <c r="A9326" s="17" t="s">
        <v>25794</v>
      </c>
      <c r="B9326" s="17" t="s">
        <v>70</v>
      </c>
      <c r="C9326" s="17" t="s">
        <v>71</v>
      </c>
      <c r="D9326" t="s">
        <v>5115</v>
      </c>
      <c r="F9326" t="s">
        <v>25795</v>
      </c>
      <c r="K9326" s="18">
        <f>6281908200482</f>
        <v>6281908200482</v>
      </c>
      <c r="N9326" s="17" t="s">
        <v>77</v>
      </c>
      <c r="V9326" s="18">
        <f>6281908200482</f>
        <v>6281908200482</v>
      </c>
    </row>
    <row r="9327" ht="15" customHeight="1" spans="1:23" x14ac:dyDescent="0.25">
      <c r="A9327" s="17" t="s">
        <v>25796</v>
      </c>
      <c r="B9327" s="17" t="s">
        <v>70</v>
      </c>
      <c r="C9327" s="17" t="s">
        <v>71</v>
      </c>
      <c r="D9327" t="s">
        <v>5115</v>
      </c>
      <c r="F9327" t="s">
        <v>3581</v>
      </c>
      <c r="K9327" s="18">
        <f>62811795881</f>
        <v>62811795881</v>
      </c>
      <c r="N9327" s="17" t="s">
        <v>74</v>
      </c>
      <c r="U9327" s="17"/>
      <c r="V9327" s="18">
        <f>62811795881</f>
        <v>62811795881</v>
      </c>
      <c r="W9327" t="s">
        <v>25797</v>
      </c>
    </row>
    <row r="9328" ht="15" customHeight="1" spans="1:28" x14ac:dyDescent="0.25">
      <c r="A9328" s="17" t="s">
        <v>25798</v>
      </c>
      <c r="B9328" s="17" t="s">
        <v>70</v>
      </c>
      <c r="C9328" s="17" t="s">
        <v>71</v>
      </c>
      <c r="D9328" t="s">
        <v>25799</v>
      </c>
      <c r="F9328" t="s">
        <v>25800</v>
      </c>
      <c r="J9328" t="s">
        <v>25801</v>
      </c>
      <c r="K9328" s="18" t="s">
        <v>25802</v>
      </c>
      <c r="N9328" s="17" t="s">
        <v>81</v>
      </c>
      <c r="O9328" t="s">
        <v>489</v>
      </c>
      <c r="V9328" s="18" t="s">
        <v>25802</v>
      </c>
      <c r="Y9328" t="s">
        <v>90</v>
      </c>
      <c r="AA9328" t="s">
        <v>118</v>
      </c>
      <c r="AB9328" t="s">
        <v>119</v>
      </c>
    </row>
    <row r="9329" ht="15" customHeight="1" spans="1:22" x14ac:dyDescent="0.25">
      <c r="A9329" s="17" t="s">
        <v>25803</v>
      </c>
      <c r="B9329" s="17" t="s">
        <v>70</v>
      </c>
      <c r="C9329" s="17" t="s">
        <v>71</v>
      </c>
      <c r="D9329" t="s">
        <v>25804</v>
      </c>
      <c r="F9329" t="s">
        <v>25804</v>
      </c>
      <c r="K9329" s="18">
        <f>6281585288888</f>
        <v>6281585288888</v>
      </c>
      <c r="N9329" s="17" t="s">
        <v>77</v>
      </c>
      <c r="V9329" s="18">
        <f>6281585288888</f>
        <v>6281585288888</v>
      </c>
    </row>
    <row r="9330" ht="15" customHeight="1" spans="1:22" x14ac:dyDescent="0.25">
      <c r="A9330" s="17" t="s">
        <v>25805</v>
      </c>
      <c r="B9330" s="17" t="s">
        <v>70</v>
      </c>
      <c r="C9330" s="17" t="s">
        <v>71</v>
      </c>
      <c r="D9330" t="s">
        <v>25804</v>
      </c>
      <c r="F9330" t="s">
        <v>25806</v>
      </c>
      <c r="K9330" s="18">
        <f>6281998000188</f>
        <v>6281998000188</v>
      </c>
      <c r="N9330" s="17" t="s">
        <v>77</v>
      </c>
      <c r="V9330" s="18">
        <f>6281998000188</f>
        <v>6281998000188</v>
      </c>
    </row>
    <row r="9331" ht="15" customHeight="1" spans="1:28" x14ac:dyDescent="0.25">
      <c r="A9331" s="17" t="s">
        <v>25807</v>
      </c>
      <c r="B9331" s="17" t="s">
        <v>70</v>
      </c>
      <c r="C9331" s="17" t="s">
        <v>71</v>
      </c>
      <c r="D9331" t="s">
        <v>25804</v>
      </c>
      <c r="F9331" t="s">
        <v>2087</v>
      </c>
      <c r="J9331" s="17" t="s">
        <v>25808</v>
      </c>
      <c r="K9331" s="18" t="s">
        <v>25809</v>
      </c>
      <c r="N9331" s="17" t="s">
        <v>77</v>
      </c>
      <c r="O9331" t="s">
        <v>117</v>
      </c>
      <c r="U9331" s="17"/>
      <c r="V9331" s="18" t="s">
        <v>25809</v>
      </c>
      <c r="W9331" t="s">
        <v>25810</v>
      </c>
      <c r="Y9331" t="s">
        <v>90</v>
      </c>
      <c r="AA9331" t="s">
        <v>118</v>
      </c>
      <c r="AB9331" t="s">
        <v>119</v>
      </c>
    </row>
    <row r="9332" ht="15" customHeight="1" spans="1:22" x14ac:dyDescent="0.25">
      <c r="A9332" s="17" t="s">
        <v>25811</v>
      </c>
      <c r="B9332" s="17" t="s">
        <v>70</v>
      </c>
      <c r="C9332" s="17" t="s">
        <v>71</v>
      </c>
      <c r="D9332" t="s">
        <v>25804</v>
      </c>
      <c r="F9332" t="s">
        <v>1024</v>
      </c>
      <c r="K9332" s="18">
        <f>62811988565</f>
        <v>62811988565</v>
      </c>
      <c r="N9332" s="17" t="s">
        <v>74</v>
      </c>
      <c r="V9332" s="18">
        <f>62811988565</f>
        <v>62811988565</v>
      </c>
    </row>
    <row r="9333" ht="15" customHeight="1" spans="1:23" x14ac:dyDescent="0.25">
      <c r="A9333" s="17" t="s">
        <v>25812</v>
      </c>
      <c r="B9333" s="17" t="s">
        <v>70</v>
      </c>
      <c r="C9333" s="17" t="s">
        <v>71</v>
      </c>
      <c r="D9333" t="s">
        <v>25804</v>
      </c>
      <c r="F9333" t="s">
        <v>20684</v>
      </c>
      <c r="K9333" s="18">
        <f>6281232218769</f>
        <v>6281232218769</v>
      </c>
      <c r="N9333" s="17" t="s">
        <v>81</v>
      </c>
      <c r="U9333" s="17"/>
      <c r="V9333" s="18">
        <f>6281232218769</f>
        <v>6281232218769</v>
      </c>
      <c r="W9333" t="s">
        <v>25813</v>
      </c>
    </row>
    <row r="9334" ht="15" customHeight="1" spans="1:28" x14ac:dyDescent="0.25">
      <c r="A9334" s="17" t="s">
        <v>25814</v>
      </c>
      <c r="B9334" s="17" t="s">
        <v>70</v>
      </c>
      <c r="C9334" s="17" t="s">
        <v>71</v>
      </c>
      <c r="D9334" t="s">
        <v>25815</v>
      </c>
      <c r="F9334" t="s">
        <v>25816</v>
      </c>
      <c r="J9334" s="17" t="s">
        <v>25817</v>
      </c>
      <c r="K9334" s="18" t="s">
        <v>25818</v>
      </c>
      <c r="N9334" s="17" t="s">
        <v>77</v>
      </c>
      <c r="O9334" t="s">
        <v>145</v>
      </c>
      <c r="V9334" s="18" t="s">
        <v>25818</v>
      </c>
      <c r="Y9334" t="s">
        <v>1042</v>
      </c>
      <c r="AA9334" t="s">
        <v>115</v>
      </c>
      <c r="AB9334" t="s">
        <v>119</v>
      </c>
    </row>
    <row r="9335" ht="15" customHeight="1" spans="1:22" x14ac:dyDescent="0.25">
      <c r="A9335" s="17" t="s">
        <v>25819</v>
      </c>
      <c r="B9335" s="17" t="s">
        <v>70</v>
      </c>
      <c r="C9335" s="17" t="s">
        <v>71</v>
      </c>
      <c r="D9335" t="s">
        <v>25820</v>
      </c>
      <c r="F9335" t="s">
        <v>25820</v>
      </c>
      <c r="K9335" s="18">
        <f>6281280685658</f>
        <v>6281280685658</v>
      </c>
      <c r="N9335" s="17" t="s">
        <v>77</v>
      </c>
      <c r="V9335" s="18">
        <f>6281280685658</f>
        <v>6281280685658</v>
      </c>
    </row>
    <row r="9336" ht="15" customHeight="1" spans="1:28" x14ac:dyDescent="0.25">
      <c r="A9336" s="17" t="s">
        <v>25821</v>
      </c>
      <c r="B9336" s="17" t="s">
        <v>70</v>
      </c>
      <c r="C9336" s="17" t="s">
        <v>71</v>
      </c>
      <c r="D9336" t="s">
        <v>25822</v>
      </c>
      <c r="F9336" t="s">
        <v>25823</v>
      </c>
      <c r="J9336" t="s">
        <v>115</v>
      </c>
      <c r="K9336" s="18" t="s">
        <v>25824</v>
      </c>
      <c r="N9336" s="17" t="s">
        <v>77</v>
      </c>
      <c r="O9336" t="s">
        <v>145</v>
      </c>
      <c r="U9336" s="17"/>
      <c r="V9336" s="18" t="s">
        <v>25824</v>
      </c>
      <c r="W9336" t="s">
        <v>25825</v>
      </c>
      <c r="Y9336" t="s">
        <v>920</v>
      </c>
      <c r="AA9336" t="s">
        <v>115</v>
      </c>
      <c r="AB9336" t="s">
        <v>920</v>
      </c>
    </row>
    <row r="9337" ht="15" customHeight="1" spans="1:27" x14ac:dyDescent="0.25">
      <c r="A9337" s="17" t="s">
        <v>25826</v>
      </c>
      <c r="B9337" s="17" t="s">
        <v>70</v>
      </c>
      <c r="C9337" s="17" t="s">
        <v>71</v>
      </c>
      <c r="D9337" t="s">
        <v>25827</v>
      </c>
      <c r="F9337" t="s">
        <v>25828</v>
      </c>
      <c r="J9337" s="17" t="s">
        <v>25829</v>
      </c>
      <c r="K9337" s="18">
        <f>628111291111</f>
        <v>628111291111</v>
      </c>
      <c r="N9337" s="17" t="s">
        <v>74</v>
      </c>
      <c r="U9337" s="17"/>
      <c r="V9337" s="18">
        <f>628111291111</f>
        <v>628111291111</v>
      </c>
      <c r="W9337" t="s">
        <v>25830</v>
      </c>
      <c r="Y9337" s="17" t="s">
        <v>90</v>
      </c>
      <c r="AA9337" s="17">
        <v>12190</v>
      </c>
    </row>
    <row r="9338" ht="15" customHeight="1" spans="1:22" x14ac:dyDescent="0.25">
      <c r="A9338" s="17" t="s">
        <v>25831</v>
      </c>
      <c r="B9338" s="17" t="s">
        <v>70</v>
      </c>
      <c r="C9338" s="17" t="s">
        <v>71</v>
      </c>
      <c r="D9338" t="s">
        <v>1385</v>
      </c>
      <c r="F9338" t="s">
        <v>1385</v>
      </c>
      <c r="K9338" s="18">
        <f>6281222400772</f>
        <v>6281222400772</v>
      </c>
      <c r="N9338" s="17" t="s">
        <v>77</v>
      </c>
      <c r="V9338" s="18">
        <f>6281222400772</f>
        <v>6281222400772</v>
      </c>
    </row>
    <row r="9339" ht="15" customHeight="1" spans="1:28" x14ac:dyDescent="0.25">
      <c r="A9339" s="17" t="s">
        <v>25832</v>
      </c>
      <c r="B9339" s="17" t="s">
        <v>70</v>
      </c>
      <c r="C9339" s="17" t="s">
        <v>71</v>
      </c>
      <c r="D9339" t="s">
        <v>25833</v>
      </c>
      <c r="F9339" t="s">
        <v>6671</v>
      </c>
      <c r="J9339" s="17" t="s">
        <v>25834</v>
      </c>
      <c r="K9339" s="18" t="s">
        <v>25835</v>
      </c>
      <c r="N9339" s="17" t="s">
        <v>77</v>
      </c>
      <c r="O9339" t="s">
        <v>489</v>
      </c>
      <c r="V9339" s="18" t="s">
        <v>25835</v>
      </c>
      <c r="Y9339" s="17" t="s">
        <v>90</v>
      </c>
      <c r="AA9339" t="s">
        <v>118</v>
      </c>
      <c r="AB9339" t="s">
        <v>119</v>
      </c>
    </row>
    <row r="9340" ht="15" customHeight="1" spans="1:22" x14ac:dyDescent="0.25">
      <c r="A9340" s="17" t="s">
        <v>25836</v>
      </c>
      <c r="B9340" s="17" t="s">
        <v>70</v>
      </c>
      <c r="C9340" s="17" t="s">
        <v>71</v>
      </c>
      <c r="D9340" t="s">
        <v>14514</v>
      </c>
      <c r="F9340" t="s">
        <v>2345</v>
      </c>
      <c r="K9340" s="18">
        <f>62817867734</f>
        <v>62817867734</v>
      </c>
      <c r="N9340" s="17" t="s">
        <v>81</v>
      </c>
      <c r="V9340" s="18">
        <f>62817867734</f>
        <v>62817867734</v>
      </c>
    </row>
    <row r="9341" ht="15" customHeight="1" spans="1:28" x14ac:dyDescent="0.25">
      <c r="A9341" s="17" t="s">
        <v>25837</v>
      </c>
      <c r="B9341" s="17" t="s">
        <v>70</v>
      </c>
      <c r="C9341" s="17" t="s">
        <v>71</v>
      </c>
      <c r="D9341" t="s">
        <v>25838</v>
      </c>
      <c r="F9341" t="s">
        <v>4107</v>
      </c>
      <c r="J9341" t="s">
        <v>115</v>
      </c>
      <c r="K9341" s="18" t="s">
        <v>25839</v>
      </c>
      <c r="N9341" s="17" t="s">
        <v>77</v>
      </c>
      <c r="O9341" t="s">
        <v>489</v>
      </c>
      <c r="V9341" s="18" t="s">
        <v>25839</v>
      </c>
      <c r="Y9341" t="s">
        <v>190</v>
      </c>
      <c r="AA9341" t="s">
        <v>118</v>
      </c>
      <c r="AB9341" t="s">
        <v>119</v>
      </c>
    </row>
    <row r="9342" ht="15" customHeight="1" spans="1:23" x14ac:dyDescent="0.25">
      <c r="A9342" s="17" t="s">
        <v>25840</v>
      </c>
      <c r="B9342" s="17" t="s">
        <v>70</v>
      </c>
      <c r="C9342" s="17" t="s">
        <v>71</v>
      </c>
      <c r="D9342" t="s">
        <v>25841</v>
      </c>
      <c r="F9342" t="s">
        <v>25842</v>
      </c>
      <c r="K9342" s="18">
        <f>8801713002020</f>
        <v>8801713002020</v>
      </c>
      <c r="N9342" s="17" t="s">
        <v>77</v>
      </c>
      <c r="U9342" s="17"/>
      <c r="V9342" s="18">
        <f>8801713002020</f>
        <v>8801713002020</v>
      </c>
      <c r="W9342" t="s">
        <v>25843</v>
      </c>
    </row>
    <row r="9343" ht="15" customHeight="1" spans="1:22" x14ac:dyDescent="0.25">
      <c r="A9343" s="17" t="s">
        <v>25844</v>
      </c>
      <c r="B9343" s="17" t="s">
        <v>70</v>
      </c>
      <c r="C9343" s="17" t="s">
        <v>71</v>
      </c>
      <c r="D9343" t="s">
        <v>25845</v>
      </c>
      <c r="F9343" t="s">
        <v>25845</v>
      </c>
      <c r="K9343" s="18">
        <v>97455177255</v>
      </c>
      <c r="N9343" s="17" t="s">
        <v>81</v>
      </c>
      <c r="V9343" s="18">
        <v>97455177255</v>
      </c>
    </row>
    <row r="9344" ht="15" customHeight="1" spans="1:25" x14ac:dyDescent="0.25">
      <c r="A9344" s="17" t="s">
        <v>25846</v>
      </c>
      <c r="B9344" s="17" t="s">
        <v>70</v>
      </c>
      <c r="C9344" s="17" t="s">
        <v>71</v>
      </c>
      <c r="D9344" t="s">
        <v>25847</v>
      </c>
      <c r="F9344" t="s">
        <v>6439</v>
      </c>
      <c r="K9344" s="18">
        <v>78840507</v>
      </c>
      <c r="N9344" s="17" t="s">
        <v>77</v>
      </c>
      <c r="U9344" s="17"/>
      <c r="V9344" s="18">
        <v>78840507</v>
      </c>
      <c r="W9344" t="s">
        <v>25848</v>
      </c>
      <c r="Y9344" s="17" t="s">
        <v>96</v>
      </c>
    </row>
    <row r="9345" ht="15" customHeight="1" spans="1:22" x14ac:dyDescent="0.25">
      <c r="A9345" s="17" t="s">
        <v>25849</v>
      </c>
      <c r="B9345" s="17" t="s">
        <v>70</v>
      </c>
      <c r="C9345" s="17" t="s">
        <v>71</v>
      </c>
      <c r="D9345" t="s">
        <v>25850</v>
      </c>
      <c r="F9345" t="s">
        <v>13538</v>
      </c>
      <c r="K9345" s="18">
        <f>62818888225</f>
        <v>62818888225</v>
      </c>
      <c r="N9345" s="17" t="s">
        <v>81</v>
      </c>
      <c r="V9345" s="18">
        <f>62818888225</f>
        <v>62818888225</v>
      </c>
    </row>
    <row r="9346" ht="15" customHeight="1" spans="1:22" x14ac:dyDescent="0.25">
      <c r="A9346" s="17" t="s">
        <v>25851</v>
      </c>
      <c r="B9346" s="17" t="s">
        <v>70</v>
      </c>
      <c r="C9346" s="17" t="s">
        <v>71</v>
      </c>
      <c r="D9346" t="s">
        <v>25852</v>
      </c>
      <c r="F9346" t="s">
        <v>25853</v>
      </c>
      <c r="K9346" s="18">
        <f>6737190290</f>
        <v>6737190290</v>
      </c>
      <c r="N9346" s="17" t="s">
        <v>77</v>
      </c>
      <c r="V9346" s="18">
        <f>6737190290</f>
        <v>6737190290</v>
      </c>
    </row>
    <row r="9347" ht="15" customHeight="1" spans="1:27" x14ac:dyDescent="0.25">
      <c r="A9347" s="17" t="s">
        <v>25854</v>
      </c>
      <c r="B9347" s="17" t="s">
        <v>70</v>
      </c>
      <c r="C9347" s="17" t="s">
        <v>71</v>
      </c>
      <c r="D9347" t="s">
        <v>25855</v>
      </c>
      <c r="F9347" t="s">
        <v>25856</v>
      </c>
      <c r="J9347" s="17" t="s">
        <v>25857</v>
      </c>
      <c r="K9347" s="18">
        <f>62811810514</f>
        <v>62811810514</v>
      </c>
      <c r="N9347" s="17" t="s">
        <v>77</v>
      </c>
      <c r="U9347" s="17"/>
      <c r="V9347" s="18">
        <f>62811810514</f>
        <v>62811810514</v>
      </c>
      <c r="W9347" t="s">
        <v>25858</v>
      </c>
      <c r="Y9347" s="17" t="s">
        <v>96</v>
      </c>
      <c r="AA9347" s="17">
        <v>13430</v>
      </c>
    </row>
    <row r="9348" ht="15" customHeight="1" spans="1:22" x14ac:dyDescent="0.25">
      <c r="A9348" s="17" t="s">
        <v>25859</v>
      </c>
      <c r="B9348" s="17" t="s">
        <v>70</v>
      </c>
      <c r="C9348" s="17" t="s">
        <v>71</v>
      </c>
      <c r="D9348" t="s">
        <v>25860</v>
      </c>
      <c r="F9348" t="s">
        <v>25860</v>
      </c>
      <c r="K9348" s="18">
        <f>6281319495250</f>
        <v>6281319495250</v>
      </c>
      <c r="N9348" s="17" t="s">
        <v>77</v>
      </c>
      <c r="V9348" s="18">
        <f>6281319495250</f>
        <v>6281319495250</v>
      </c>
    </row>
    <row r="9349" ht="15" customHeight="1" spans="1:22" x14ac:dyDescent="0.25">
      <c r="A9349" s="17" t="s">
        <v>25861</v>
      </c>
      <c r="B9349" s="17" t="s">
        <v>70</v>
      </c>
      <c r="C9349" s="17" t="s">
        <v>71</v>
      </c>
      <c r="D9349" t="s">
        <v>25860</v>
      </c>
      <c r="F9349" t="s">
        <v>25862</v>
      </c>
      <c r="K9349" s="18">
        <f>62818741239</f>
        <v>62818741239</v>
      </c>
      <c r="N9349" s="17" t="s">
        <v>77</v>
      </c>
      <c r="V9349" s="18">
        <f>62818741239</f>
        <v>62818741239</v>
      </c>
    </row>
    <row r="9350" ht="15" customHeight="1" spans="1:22" x14ac:dyDescent="0.25">
      <c r="A9350" s="17" t="s">
        <v>25863</v>
      </c>
      <c r="B9350" s="17" t="s">
        <v>70</v>
      </c>
      <c r="C9350" s="17" t="s">
        <v>71</v>
      </c>
      <c r="D9350" t="s">
        <v>25860</v>
      </c>
      <c r="F9350" t="s">
        <v>25864</v>
      </c>
      <c r="K9350" s="18">
        <f>6281314396678</f>
        <v>6281314396678</v>
      </c>
      <c r="N9350" s="17" t="s">
        <v>77</v>
      </c>
      <c r="V9350" s="18">
        <f>6281314396678</f>
        <v>6281314396678</v>
      </c>
    </row>
    <row r="9351" ht="15" customHeight="1" spans="1:28" x14ac:dyDescent="0.25">
      <c r="A9351" s="17" t="s">
        <v>25865</v>
      </c>
      <c r="B9351" s="17" t="s">
        <v>70</v>
      </c>
      <c r="C9351" s="17" t="s">
        <v>71</v>
      </c>
      <c r="D9351" t="s">
        <v>25866</v>
      </c>
      <c r="F9351" t="s">
        <v>25866</v>
      </c>
      <c r="J9351" t="s">
        <v>25867</v>
      </c>
      <c r="K9351" s="18" t="s">
        <v>25868</v>
      </c>
      <c r="N9351" s="17" t="s">
        <v>77</v>
      </c>
      <c r="O9351" t="s">
        <v>145</v>
      </c>
      <c r="V9351" s="18" t="s">
        <v>25868</v>
      </c>
      <c r="Y9351" t="s">
        <v>410</v>
      </c>
      <c r="AA9351" t="s">
        <v>5299</v>
      </c>
      <c r="AB9351" t="s">
        <v>119</v>
      </c>
    </row>
    <row r="9352" ht="15" customHeight="1" spans="1:22" x14ac:dyDescent="0.25">
      <c r="A9352" s="17" t="s">
        <v>25869</v>
      </c>
      <c r="B9352" s="17" t="s">
        <v>70</v>
      </c>
      <c r="C9352" s="17" t="s">
        <v>71</v>
      </c>
      <c r="D9352" t="s">
        <v>25870</v>
      </c>
      <c r="F9352" t="s">
        <v>25871</v>
      </c>
      <c r="K9352" s="18">
        <f>62811891505</f>
        <v>62811891505</v>
      </c>
      <c r="N9352" s="17" t="s">
        <v>77</v>
      </c>
      <c r="V9352" s="18">
        <f>62811891505</f>
        <v>62811891505</v>
      </c>
    </row>
    <row r="9353" ht="15" customHeight="1" spans="1:23" x14ac:dyDescent="0.25">
      <c r="A9353" s="17" t="s">
        <v>25872</v>
      </c>
      <c r="B9353" s="17" t="s">
        <v>70</v>
      </c>
      <c r="C9353" s="17" t="s">
        <v>71</v>
      </c>
      <c r="D9353" t="s">
        <v>25873</v>
      </c>
      <c r="F9353" t="s">
        <v>25874</v>
      </c>
      <c r="K9353" s="18">
        <f>628166701291</f>
        <v>628166701291</v>
      </c>
      <c r="N9353" s="17" t="s">
        <v>77</v>
      </c>
      <c r="U9353" s="17"/>
      <c r="V9353" s="18">
        <f>628166701291</f>
        <v>628166701291</v>
      </c>
      <c r="W9353" t="s">
        <v>25875</v>
      </c>
    </row>
    <row r="9354" ht="15" customHeight="1" spans="1:25" x14ac:dyDescent="0.25">
      <c r="A9354" s="17" t="s">
        <v>25876</v>
      </c>
      <c r="B9354" s="17" t="s">
        <v>70</v>
      </c>
      <c r="C9354" s="17" t="s">
        <v>71</v>
      </c>
      <c r="D9354" t="s">
        <v>1370</v>
      </c>
      <c r="F9354" t="s">
        <v>25877</v>
      </c>
      <c r="J9354" s="17" t="s">
        <v>25878</v>
      </c>
      <c r="K9354" s="18">
        <f>6281212637844</f>
        <v>6281212637844</v>
      </c>
      <c r="N9354" s="17" t="s">
        <v>77</v>
      </c>
      <c r="U9354" s="17"/>
      <c r="V9354" s="18">
        <f>6281212637844</f>
        <v>6281212637844</v>
      </c>
      <c r="W9354" t="s">
        <v>25879</v>
      </c>
      <c r="Y9354" s="17" t="s">
        <v>626</v>
      </c>
    </row>
    <row r="9355" ht="15" customHeight="1" spans="1:28" x14ac:dyDescent="0.25">
      <c r="A9355" s="17" t="s">
        <v>25880</v>
      </c>
      <c r="B9355" s="17" t="s">
        <v>70</v>
      </c>
      <c r="C9355" s="17" t="s">
        <v>71</v>
      </c>
      <c r="D9355" t="s">
        <v>25881</v>
      </c>
      <c r="F9355" t="s">
        <v>230</v>
      </c>
      <c r="J9355" t="s">
        <v>115</v>
      </c>
      <c r="K9355" s="18" t="s">
        <v>25882</v>
      </c>
      <c r="N9355" s="17" t="s">
        <v>77</v>
      </c>
      <c r="O9355" t="s">
        <v>117</v>
      </c>
      <c r="U9355" s="17"/>
      <c r="V9355" s="18" t="s">
        <v>25882</v>
      </c>
      <c r="W9355" t="s">
        <v>25883</v>
      </c>
      <c r="Y9355" t="s">
        <v>190</v>
      </c>
      <c r="AA9355" s="17" t="s">
        <v>118</v>
      </c>
      <c r="AB9355" t="s">
        <v>119</v>
      </c>
    </row>
    <row r="9356" ht="15" customHeight="1" spans="1:23" x14ac:dyDescent="0.25">
      <c r="A9356" s="17" t="s">
        <v>25884</v>
      </c>
      <c r="B9356" s="17" t="s">
        <v>70</v>
      </c>
      <c r="C9356" s="17" t="s">
        <v>71</v>
      </c>
      <c r="D9356" t="s">
        <v>25885</v>
      </c>
      <c r="F9356" t="s">
        <v>3587</v>
      </c>
      <c r="K9356" s="18">
        <f>6287788122888</f>
        <v>6287788122888</v>
      </c>
      <c r="N9356" s="17" t="s">
        <v>77</v>
      </c>
      <c r="U9356" s="17"/>
      <c r="V9356" s="18">
        <f>6287788122888</f>
        <v>6287788122888</v>
      </c>
      <c r="W9356" t="s">
        <v>25886</v>
      </c>
    </row>
    <row r="9357" ht="15" customHeight="1" spans="1:23" x14ac:dyDescent="0.25">
      <c r="A9357" s="17" t="s">
        <v>25887</v>
      </c>
      <c r="B9357" s="17" t="s">
        <v>70</v>
      </c>
      <c r="C9357" s="17" t="s">
        <v>71</v>
      </c>
      <c r="D9357" t="s">
        <v>25888</v>
      </c>
      <c r="F9357" t="s">
        <v>25889</v>
      </c>
      <c r="J9357" s="17" t="s">
        <v>25890</v>
      </c>
      <c r="K9357" s="18">
        <f>971507730505</f>
        <v>971507730505</v>
      </c>
      <c r="N9357" s="17" t="s">
        <v>77</v>
      </c>
      <c r="U9357" s="17"/>
      <c r="V9357" s="18">
        <f>971507730505</f>
        <v>971507730505</v>
      </c>
      <c r="W9357" t="s">
        <v>25891</v>
      </c>
    </row>
    <row r="9358" ht="15" customHeight="1" spans="1:22" x14ac:dyDescent="0.25">
      <c r="A9358" s="17" t="s">
        <v>25892</v>
      </c>
      <c r="B9358" s="17" t="s">
        <v>70</v>
      </c>
      <c r="C9358" s="17" t="s">
        <v>71</v>
      </c>
      <c r="D9358" t="s">
        <v>25893</v>
      </c>
      <c r="F9358" t="s">
        <v>25893</v>
      </c>
      <c r="K9358" s="18">
        <f>6281295165580</f>
        <v>6281295165580</v>
      </c>
      <c r="N9358" s="17" t="s">
        <v>81</v>
      </c>
      <c r="V9358" s="18">
        <f>6281295165580</f>
        <v>6281295165580</v>
      </c>
    </row>
    <row r="9359" ht="15" customHeight="1" spans="1:25" x14ac:dyDescent="0.25">
      <c r="A9359" s="17" t="s">
        <v>25894</v>
      </c>
      <c r="B9359" s="17" t="s">
        <v>70</v>
      </c>
      <c r="C9359" s="17" t="s">
        <v>71</v>
      </c>
      <c r="D9359" t="s">
        <v>25895</v>
      </c>
      <c r="F9359" t="s">
        <v>25896</v>
      </c>
      <c r="K9359" s="18">
        <f>8118778817</f>
        <v>8118778817</v>
      </c>
      <c r="N9359" s="17" t="s">
        <v>81</v>
      </c>
      <c r="U9359" s="17"/>
      <c r="V9359" s="18">
        <f>8118778817</f>
        <v>8118778817</v>
      </c>
      <c r="W9359" t="s">
        <v>25897</v>
      </c>
      <c r="Y9359" s="17" t="s">
        <v>2953</v>
      </c>
    </row>
    <row r="9360" ht="15" customHeight="1" spans="1:22" x14ac:dyDescent="0.25">
      <c r="A9360" s="17" t="s">
        <v>25898</v>
      </c>
      <c r="B9360" s="17" t="s">
        <v>70</v>
      </c>
      <c r="C9360" s="17" t="s">
        <v>71</v>
      </c>
      <c r="D9360" t="s">
        <v>25899</v>
      </c>
      <c r="F9360" t="s">
        <v>1401</v>
      </c>
      <c r="K9360" s="18">
        <f>6281586539978</f>
        <v>6281586539978</v>
      </c>
      <c r="N9360" s="17" t="s">
        <v>77</v>
      </c>
      <c r="V9360" s="18">
        <f>6281586539978</f>
        <v>6281586539978</v>
      </c>
    </row>
    <row r="9361" ht="15" customHeight="1" spans="1:23" x14ac:dyDescent="0.25">
      <c r="A9361" s="17" t="s">
        <v>25900</v>
      </c>
      <c r="B9361" s="17" t="s">
        <v>70</v>
      </c>
      <c r="C9361" s="17" t="s">
        <v>71</v>
      </c>
      <c r="D9361" t="s">
        <v>25901</v>
      </c>
      <c r="F9361" t="s">
        <v>8709</v>
      </c>
      <c r="K9361" s="18">
        <f>4917613024043</f>
        <v>4917613024043</v>
      </c>
      <c r="N9361" s="17" t="s">
        <v>77</v>
      </c>
      <c r="U9361" s="17"/>
      <c r="V9361" s="18">
        <f>4917613024043</f>
        <v>4917613024043</v>
      </c>
      <c r="W9361" t="s">
        <v>1908</v>
      </c>
    </row>
    <row r="9362" ht="15" customHeight="1" spans="1:22" x14ac:dyDescent="0.25">
      <c r="A9362" s="17" t="s">
        <v>25902</v>
      </c>
      <c r="B9362" s="17" t="s">
        <v>70</v>
      </c>
      <c r="C9362" s="17" t="s">
        <v>71</v>
      </c>
      <c r="D9362" t="s">
        <v>25903</v>
      </c>
      <c r="F9362" t="s">
        <v>25904</v>
      </c>
      <c r="K9362" s="18">
        <f>6285893433337</f>
        <v>6285893433337</v>
      </c>
      <c r="N9362" s="17" t="s">
        <v>81</v>
      </c>
      <c r="V9362" s="18">
        <f>6285893433337</f>
        <v>6285893433337</v>
      </c>
    </row>
    <row r="9363" ht="15" customHeight="1" spans="1:22" x14ac:dyDescent="0.25">
      <c r="A9363" s="17" t="s">
        <v>25905</v>
      </c>
      <c r="B9363" s="17" t="s">
        <v>70</v>
      </c>
      <c r="C9363" s="17" t="s">
        <v>71</v>
      </c>
      <c r="D9363" t="s">
        <v>25906</v>
      </c>
      <c r="F9363" t="s">
        <v>25907</v>
      </c>
      <c r="K9363" s="18">
        <f>6279298766636</f>
        <v>6279298766636</v>
      </c>
      <c r="N9363" s="17" t="s">
        <v>77</v>
      </c>
      <c r="V9363" s="18">
        <f>6279298766636</f>
        <v>6279298766636</v>
      </c>
    </row>
    <row r="9364" ht="15" customHeight="1" spans="1:22" x14ac:dyDescent="0.25">
      <c r="A9364" s="17" t="s">
        <v>25908</v>
      </c>
      <c r="B9364" s="17" t="s">
        <v>70</v>
      </c>
      <c r="C9364" s="17" t="s">
        <v>71</v>
      </c>
      <c r="D9364" t="s">
        <v>17591</v>
      </c>
      <c r="F9364" t="s">
        <v>25909</v>
      </c>
      <c r="K9364" s="18">
        <f>6281289322209</f>
        <v>6281289322209</v>
      </c>
      <c r="N9364" s="17" t="s">
        <v>77</v>
      </c>
      <c r="V9364" s="18">
        <f>6281289322209</f>
        <v>6281289322209</v>
      </c>
    </row>
    <row r="9365" ht="15" customHeight="1" spans="1:22" x14ac:dyDescent="0.25">
      <c r="A9365" s="17" t="s">
        <v>25910</v>
      </c>
      <c r="B9365" s="17" t="s">
        <v>70</v>
      </c>
      <c r="C9365" s="17" t="s">
        <v>71</v>
      </c>
      <c r="D9365" t="s">
        <v>17591</v>
      </c>
      <c r="F9365" t="s">
        <v>25911</v>
      </c>
      <c r="J9365" s="17" t="s">
        <v>25912</v>
      </c>
      <c r="K9365" s="18">
        <f>81474482644</f>
        <v>81474482644</v>
      </c>
      <c r="N9365" s="17" t="s">
        <v>77</v>
      </c>
      <c r="V9365" s="18">
        <f>81474482644</f>
        <v>81474482644</v>
      </c>
    </row>
    <row r="9366" ht="15" customHeight="1" spans="1:22" x14ac:dyDescent="0.25">
      <c r="A9366" s="17" t="s">
        <v>25913</v>
      </c>
      <c r="B9366" s="17" t="s">
        <v>70</v>
      </c>
      <c r="C9366" s="17" t="s">
        <v>71</v>
      </c>
      <c r="D9366" t="s">
        <v>25914</v>
      </c>
      <c r="F9366" t="s">
        <v>23668</v>
      </c>
      <c r="K9366" s="18">
        <f>6283815296303</f>
        <v>6283815296303</v>
      </c>
      <c r="N9366" s="17" t="s">
        <v>77</v>
      </c>
      <c r="V9366" s="18">
        <f>6283815296303</f>
        <v>6283815296303</v>
      </c>
    </row>
    <row r="9367" ht="15" customHeight="1" spans="1:28" x14ac:dyDescent="0.25">
      <c r="A9367" s="17" t="s">
        <v>25915</v>
      </c>
      <c r="B9367" s="17" t="s">
        <v>70</v>
      </c>
      <c r="C9367" s="17" t="s">
        <v>71</v>
      </c>
      <c r="D9367" t="s">
        <v>25916</v>
      </c>
      <c r="F9367" t="s">
        <v>431</v>
      </c>
      <c r="J9367" s="17" t="s">
        <v>25917</v>
      </c>
      <c r="K9367" s="18" t="s">
        <v>25918</v>
      </c>
      <c r="N9367" s="17" t="s">
        <v>77</v>
      </c>
      <c r="O9367" t="s">
        <v>199</v>
      </c>
      <c r="V9367" s="18" t="s">
        <v>25918</v>
      </c>
      <c r="Y9367" t="s">
        <v>90</v>
      </c>
      <c r="AA9367" t="s">
        <v>118</v>
      </c>
      <c r="AB9367" t="s">
        <v>119</v>
      </c>
    </row>
    <row r="9368" ht="15" customHeight="1" spans="1:28" x14ac:dyDescent="0.25">
      <c r="A9368" s="17" t="s">
        <v>25919</v>
      </c>
      <c r="B9368" s="17" t="s">
        <v>70</v>
      </c>
      <c r="C9368" s="17" t="s">
        <v>71</v>
      </c>
      <c r="D9368" t="s">
        <v>25920</v>
      </c>
      <c r="F9368" t="s">
        <v>25921</v>
      </c>
      <c r="J9368" s="17" t="s">
        <v>25922</v>
      </c>
      <c r="K9368" s="18" t="s">
        <v>25923</v>
      </c>
      <c r="N9368" s="17" t="s">
        <v>77</v>
      </c>
      <c r="O9368" t="s">
        <v>145</v>
      </c>
      <c r="U9368" s="17"/>
      <c r="V9368" s="18" t="s">
        <v>25923</v>
      </c>
      <c r="W9368" t="s">
        <v>25924</v>
      </c>
      <c r="Y9368" t="s">
        <v>90</v>
      </c>
      <c r="AA9368" t="s">
        <v>118</v>
      </c>
      <c r="AB9368" t="s">
        <v>119</v>
      </c>
    </row>
    <row r="9369" ht="15" customHeight="1" spans="1:28" x14ac:dyDescent="0.25">
      <c r="A9369" s="17" t="s">
        <v>25925</v>
      </c>
      <c r="B9369" s="17" t="s">
        <v>70</v>
      </c>
      <c r="C9369" s="17" t="s">
        <v>71</v>
      </c>
      <c r="D9369" t="s">
        <v>25926</v>
      </c>
      <c r="F9369" t="s">
        <v>25927</v>
      </c>
      <c r="J9369" s="17" t="s">
        <v>25928</v>
      </c>
      <c r="K9369" s="18" t="s">
        <v>25929</v>
      </c>
      <c r="N9369" s="17" t="s">
        <v>77</v>
      </c>
      <c r="O9369" t="s">
        <v>145</v>
      </c>
      <c r="U9369" s="17"/>
      <c r="V9369" s="18" t="s">
        <v>25929</v>
      </c>
      <c r="W9369" t="s">
        <v>25930</v>
      </c>
      <c r="Y9369" s="17" t="s">
        <v>25931</v>
      </c>
      <c r="AA9369" t="s">
        <v>115</v>
      </c>
      <c r="AB9369" t="s">
        <v>119</v>
      </c>
    </row>
    <row r="9370" ht="15" customHeight="1" spans="1:28" x14ac:dyDescent="0.25">
      <c r="A9370" s="17" t="s">
        <v>25932</v>
      </c>
      <c r="B9370" s="17" t="s">
        <v>70</v>
      </c>
      <c r="C9370" s="17" t="s">
        <v>71</v>
      </c>
      <c r="D9370" t="s">
        <v>25933</v>
      </c>
      <c r="F9370" t="s">
        <v>25934</v>
      </c>
      <c r="J9370" s="17" t="s">
        <v>25935</v>
      </c>
      <c r="K9370" s="18" t="s">
        <v>25936</v>
      </c>
      <c r="N9370" s="17" t="s">
        <v>77</v>
      </c>
      <c r="O9370" t="s">
        <v>199</v>
      </c>
      <c r="U9370" s="17"/>
      <c r="V9370" s="18" t="s">
        <v>25936</v>
      </c>
      <c r="W9370" t="s">
        <v>25312</v>
      </c>
      <c r="Y9370" t="s">
        <v>251</v>
      </c>
      <c r="AA9370" t="s">
        <v>115</v>
      </c>
      <c r="AB9370" t="s">
        <v>251</v>
      </c>
    </row>
    <row r="9371" ht="15" customHeight="1" spans="1:23" x14ac:dyDescent="0.25">
      <c r="A9371" s="17" t="s">
        <v>25937</v>
      </c>
      <c r="B9371" s="17" t="s">
        <v>70</v>
      </c>
      <c r="C9371" s="17" t="s">
        <v>71</v>
      </c>
      <c r="D9371" t="s">
        <v>25938</v>
      </c>
      <c r="F9371" t="s">
        <v>25939</v>
      </c>
      <c r="K9371" s="18">
        <f>6281218887357</f>
        <v>6281218887357</v>
      </c>
      <c r="N9371" s="17" t="s">
        <v>77</v>
      </c>
      <c r="U9371" s="17"/>
      <c r="V9371" s="18">
        <f>6281218887357</f>
        <v>6281218887357</v>
      </c>
      <c r="W9371" t="s">
        <v>25940</v>
      </c>
    </row>
    <row r="9372" ht="15" customHeight="1" spans="1:22" x14ac:dyDescent="0.25">
      <c r="A9372" s="17" t="s">
        <v>25941</v>
      </c>
      <c r="B9372" s="17" t="s">
        <v>70</v>
      </c>
      <c r="C9372" s="17" t="s">
        <v>71</v>
      </c>
      <c r="D9372" t="s">
        <v>25942</v>
      </c>
      <c r="F9372" t="s">
        <v>25943</v>
      </c>
      <c r="J9372" s="17" t="s">
        <v>25944</v>
      </c>
      <c r="K9372" s="18">
        <f>62811588117</f>
        <v>62811588117</v>
      </c>
      <c r="N9372" s="17" t="s">
        <v>77</v>
      </c>
      <c r="V9372" s="18">
        <f>62811588117</f>
        <v>62811588117</v>
      </c>
    </row>
    <row r="9373" ht="15" customHeight="1" spans="1:28" x14ac:dyDescent="0.25">
      <c r="A9373" s="17" t="s">
        <v>25945</v>
      </c>
      <c r="B9373" s="17" t="s">
        <v>70</v>
      </c>
      <c r="C9373" s="17" t="s">
        <v>71</v>
      </c>
      <c r="D9373" t="s">
        <v>25946</v>
      </c>
      <c r="F9373" t="s">
        <v>25947</v>
      </c>
      <c r="J9373" s="17" t="s">
        <v>25948</v>
      </c>
      <c r="K9373" s="18" t="s">
        <v>25949</v>
      </c>
      <c r="N9373" s="17" t="s">
        <v>77</v>
      </c>
      <c r="O9373" t="s">
        <v>145</v>
      </c>
      <c r="V9373" s="18" t="s">
        <v>25949</v>
      </c>
      <c r="Y9373" s="17" t="s">
        <v>25950</v>
      </c>
      <c r="AA9373" t="s">
        <v>115</v>
      </c>
      <c r="AB9373" t="s">
        <v>451</v>
      </c>
    </row>
    <row r="9374" ht="15" customHeight="1" spans="1:28" x14ac:dyDescent="0.25">
      <c r="A9374" s="17" t="s">
        <v>25951</v>
      </c>
      <c r="B9374" s="17" t="s">
        <v>70</v>
      </c>
      <c r="C9374" s="17" t="s">
        <v>71</v>
      </c>
      <c r="D9374" t="s">
        <v>25952</v>
      </c>
      <c r="F9374" t="s">
        <v>8709</v>
      </c>
      <c r="J9374" s="17" t="s">
        <v>25953</v>
      </c>
      <c r="K9374" s="18" t="s">
        <v>25954</v>
      </c>
      <c r="N9374" s="17" t="s">
        <v>77</v>
      </c>
      <c r="O9374" t="s">
        <v>145</v>
      </c>
      <c r="U9374" s="17"/>
      <c r="V9374" s="18" t="s">
        <v>25954</v>
      </c>
      <c r="W9374" t="s">
        <v>1908</v>
      </c>
      <c r="Y9374" t="s">
        <v>1909</v>
      </c>
      <c r="AA9374" t="s">
        <v>115</v>
      </c>
      <c r="AB9374" t="s">
        <v>1909</v>
      </c>
    </row>
    <row r="9375" ht="15" customHeight="1" spans="1:23" x14ac:dyDescent="0.25">
      <c r="A9375" s="17" t="s">
        <v>25955</v>
      </c>
      <c r="B9375" s="17" t="s">
        <v>70</v>
      </c>
      <c r="C9375" s="17" t="s">
        <v>71</v>
      </c>
      <c r="D9375" t="s">
        <v>25956</v>
      </c>
      <c r="F9375" t="s">
        <v>11878</v>
      </c>
      <c r="K9375" s="18">
        <f>6141823266</f>
        <v>6141823266</v>
      </c>
      <c r="N9375" s="17" t="s">
        <v>77</v>
      </c>
      <c r="U9375" s="17"/>
      <c r="V9375" s="18">
        <f>6141823266</f>
        <v>6141823266</v>
      </c>
      <c r="W9375" t="s">
        <v>1903</v>
      </c>
    </row>
    <row r="9376" ht="15" customHeight="1" spans="1:22" x14ac:dyDescent="0.25">
      <c r="A9376" s="17" t="s">
        <v>25957</v>
      </c>
      <c r="B9376" s="17" t="s">
        <v>70</v>
      </c>
      <c r="C9376" s="17" t="s">
        <v>71</v>
      </c>
      <c r="D9376" t="s">
        <v>25958</v>
      </c>
      <c r="F9376" t="s">
        <v>25958</v>
      </c>
      <c r="K9376" s="18">
        <f>62811181106</f>
        <v>62811181106</v>
      </c>
      <c r="N9376" s="17" t="s">
        <v>77</v>
      </c>
      <c r="V9376" s="18">
        <f>62811181106</f>
        <v>62811181106</v>
      </c>
    </row>
    <row r="9377" ht="15" customHeight="1" spans="1:22" x14ac:dyDescent="0.25">
      <c r="A9377" s="17" t="s">
        <v>25959</v>
      </c>
      <c r="B9377" s="17" t="s">
        <v>70</v>
      </c>
      <c r="C9377" s="17" t="s">
        <v>71</v>
      </c>
      <c r="D9377" t="s">
        <v>25960</v>
      </c>
      <c r="F9377" t="s">
        <v>301</v>
      </c>
      <c r="K9377" s="18">
        <f>6287777780345</f>
        <v>6287777780345</v>
      </c>
      <c r="N9377" s="17" t="s">
        <v>74</v>
      </c>
      <c r="V9377" s="18">
        <f>6287777780345</f>
        <v>6287777780345</v>
      </c>
    </row>
    <row r="9378" ht="15" customHeight="1" spans="1:22" x14ac:dyDescent="0.25">
      <c r="A9378" s="17" t="s">
        <v>25961</v>
      </c>
      <c r="B9378" s="17" t="s">
        <v>70</v>
      </c>
      <c r="C9378" s="17" t="s">
        <v>71</v>
      </c>
      <c r="D9378" t="s">
        <v>25962</v>
      </c>
      <c r="F9378" t="s">
        <v>25962</v>
      </c>
      <c r="K9378" s="18">
        <f>6281387070551</f>
        <v>6281387070551</v>
      </c>
      <c r="N9378" s="17" t="s">
        <v>81</v>
      </c>
      <c r="V9378" s="18">
        <f>6281387070551</f>
        <v>6281387070551</v>
      </c>
    </row>
    <row r="9379" ht="15" customHeight="1" spans="1:28" x14ac:dyDescent="0.25">
      <c r="A9379" s="17" t="s">
        <v>25963</v>
      </c>
      <c r="B9379" s="17" t="s">
        <v>70</v>
      </c>
      <c r="C9379" s="17" t="s">
        <v>71</v>
      </c>
      <c r="D9379" t="s">
        <v>25964</v>
      </c>
      <c r="F9379" t="s">
        <v>25964</v>
      </c>
      <c r="J9379" t="s">
        <v>115</v>
      </c>
      <c r="K9379" s="18" t="s">
        <v>25965</v>
      </c>
      <c r="N9379" s="17" t="s">
        <v>74</v>
      </c>
      <c r="O9379" t="s">
        <v>117</v>
      </c>
      <c r="V9379" s="18" t="s">
        <v>25965</v>
      </c>
      <c r="Y9379" t="s">
        <v>190</v>
      </c>
      <c r="AA9379" t="s">
        <v>118</v>
      </c>
      <c r="AB9379" t="s">
        <v>119</v>
      </c>
    </row>
    <row r="9380" ht="15" customHeight="1" spans="1:22" x14ac:dyDescent="0.25">
      <c r="A9380" s="17" t="s">
        <v>25966</v>
      </c>
      <c r="B9380" s="17" t="s">
        <v>70</v>
      </c>
      <c r="C9380" s="17" t="s">
        <v>71</v>
      </c>
      <c r="D9380" t="s">
        <v>25967</v>
      </c>
      <c r="F9380" t="s">
        <v>25968</v>
      </c>
      <c r="K9380" s="18">
        <f>62818177849</f>
        <v>62818177849</v>
      </c>
      <c r="N9380" s="17" t="s">
        <v>77</v>
      </c>
      <c r="V9380" s="18">
        <f>62818177849</f>
        <v>62818177849</v>
      </c>
    </row>
    <row r="9381" ht="15" customHeight="1" spans="1:23" x14ac:dyDescent="0.25">
      <c r="A9381" s="17" t="s">
        <v>25969</v>
      </c>
      <c r="B9381" s="17" t="s">
        <v>70</v>
      </c>
      <c r="C9381" s="17" t="s">
        <v>71</v>
      </c>
      <c r="D9381" t="s">
        <v>25970</v>
      </c>
      <c r="F9381" t="s">
        <v>3134</v>
      </c>
      <c r="K9381" s="18">
        <f>628128378399</f>
        <v>628128378399</v>
      </c>
      <c r="N9381" s="17" t="s">
        <v>77</v>
      </c>
      <c r="U9381" s="17"/>
      <c r="V9381" s="18">
        <f>628128378399</f>
        <v>628128378399</v>
      </c>
      <c r="W9381" t="s">
        <v>25971</v>
      </c>
    </row>
    <row r="9382" ht="15" customHeight="1" spans="1:22" x14ac:dyDescent="0.25">
      <c r="A9382" s="17" t="s">
        <v>25972</v>
      </c>
      <c r="B9382" s="17" t="s">
        <v>70</v>
      </c>
      <c r="C9382" s="17" t="s">
        <v>71</v>
      </c>
      <c r="D9382" t="s">
        <v>25973</v>
      </c>
      <c r="F9382" t="s">
        <v>25974</v>
      </c>
      <c r="K9382" s="18">
        <f>62811999870</f>
        <v>62811999870</v>
      </c>
      <c r="N9382" s="17" t="s">
        <v>77</v>
      </c>
      <c r="V9382" s="18">
        <f>62811999870</f>
        <v>62811999870</v>
      </c>
    </row>
    <row r="9383" ht="15" customHeight="1" spans="1:22" x14ac:dyDescent="0.25">
      <c r="A9383" s="17" t="s">
        <v>25975</v>
      </c>
      <c r="B9383" s="17" t="s">
        <v>70</v>
      </c>
      <c r="C9383" s="17" t="s">
        <v>71</v>
      </c>
      <c r="D9383" t="s">
        <v>7340</v>
      </c>
      <c r="F9383" t="s">
        <v>7340</v>
      </c>
      <c r="K9383" s="18">
        <f>628186634679</f>
        <v>628186634679</v>
      </c>
      <c r="N9383" s="17" t="s">
        <v>81</v>
      </c>
      <c r="V9383" s="18">
        <f>628186634679</f>
        <v>628186634679</v>
      </c>
    </row>
    <row r="9384" ht="15" customHeight="1" spans="1:22" x14ac:dyDescent="0.25">
      <c r="A9384" s="17" t="s">
        <v>25976</v>
      </c>
      <c r="B9384" s="17" t="s">
        <v>70</v>
      </c>
      <c r="C9384" s="17" t="s">
        <v>71</v>
      </c>
      <c r="D9384" t="s">
        <v>25977</v>
      </c>
      <c r="F9384" t="s">
        <v>25978</v>
      </c>
      <c r="K9384" s="18">
        <f>6281280888199</f>
        <v>6281280888199</v>
      </c>
      <c r="N9384" s="17" t="s">
        <v>81</v>
      </c>
      <c r="V9384" s="18">
        <f>6281280888199</f>
        <v>6281280888199</v>
      </c>
    </row>
    <row r="9385" ht="15" customHeight="1" spans="1:22" x14ac:dyDescent="0.25">
      <c r="A9385" s="17" t="s">
        <v>25979</v>
      </c>
      <c r="B9385" s="17" t="s">
        <v>70</v>
      </c>
      <c r="C9385" s="17" t="s">
        <v>71</v>
      </c>
      <c r="D9385" t="s">
        <v>25980</v>
      </c>
      <c r="F9385" t="s">
        <v>25980</v>
      </c>
      <c r="K9385" s="18">
        <f>6281229789878</f>
        <v>6281229789878</v>
      </c>
      <c r="N9385" s="17" t="s">
        <v>77</v>
      </c>
      <c r="V9385" s="18">
        <f>6281229789878</f>
        <v>6281229789878</v>
      </c>
    </row>
    <row r="9386" ht="15" customHeight="1" spans="1:28" x14ac:dyDescent="0.25">
      <c r="A9386" s="17" t="s">
        <v>25981</v>
      </c>
      <c r="B9386" s="17" t="s">
        <v>70</v>
      </c>
      <c r="C9386" s="17" t="s">
        <v>71</v>
      </c>
      <c r="D9386" t="s">
        <v>25982</v>
      </c>
      <c r="F9386" t="s">
        <v>25983</v>
      </c>
      <c r="J9386" s="17" t="s">
        <v>25984</v>
      </c>
      <c r="K9386" s="18" t="s">
        <v>25985</v>
      </c>
      <c r="N9386" s="17" t="s">
        <v>77</v>
      </c>
      <c r="O9386" t="s">
        <v>489</v>
      </c>
      <c r="V9386" s="18" t="s">
        <v>25985</v>
      </c>
      <c r="Y9386" t="s">
        <v>115</v>
      </c>
      <c r="AA9386" t="s">
        <v>115</v>
      </c>
      <c r="AB9386" t="s">
        <v>2914</v>
      </c>
    </row>
    <row r="9387" ht="15" customHeight="1" spans="1:22" x14ac:dyDescent="0.25">
      <c r="A9387" s="17" t="s">
        <v>25986</v>
      </c>
      <c r="B9387" s="17" t="s">
        <v>70</v>
      </c>
      <c r="C9387" s="17" t="s">
        <v>71</v>
      </c>
      <c r="D9387" t="s">
        <v>25987</v>
      </c>
      <c r="F9387" t="s">
        <v>618</v>
      </c>
      <c r="K9387" s="18">
        <f>62811935116</f>
        <v>62811935116</v>
      </c>
      <c r="N9387" s="17" t="s">
        <v>77</v>
      </c>
      <c r="V9387" s="18">
        <f>62811935116</f>
        <v>62811935116</v>
      </c>
    </row>
    <row r="9388" ht="15" customHeight="1" spans="1:28" x14ac:dyDescent="0.25">
      <c r="A9388" s="17" t="s">
        <v>25988</v>
      </c>
      <c r="B9388" s="17" t="s">
        <v>70</v>
      </c>
      <c r="C9388" s="17" t="s">
        <v>71</v>
      </c>
      <c r="D9388" t="s">
        <v>25989</v>
      </c>
      <c r="F9388" t="s">
        <v>25990</v>
      </c>
      <c r="J9388" s="17" t="s">
        <v>25991</v>
      </c>
      <c r="K9388" s="18" t="s">
        <v>25992</v>
      </c>
      <c r="N9388" s="17" t="s">
        <v>77</v>
      </c>
      <c r="O9388" t="s">
        <v>145</v>
      </c>
      <c r="V9388" s="18" t="s">
        <v>25992</v>
      </c>
      <c r="Y9388" s="17" t="s">
        <v>4036</v>
      </c>
      <c r="AA9388" t="s">
        <v>115</v>
      </c>
      <c r="AB9388" t="s">
        <v>4036</v>
      </c>
    </row>
    <row r="9389" ht="15" customHeight="1" spans="1:25" x14ac:dyDescent="0.25">
      <c r="A9389" s="17" t="s">
        <v>25993</v>
      </c>
      <c r="B9389" s="17" t="s">
        <v>70</v>
      </c>
      <c r="C9389" s="17" t="s">
        <v>71</v>
      </c>
      <c r="D9389" t="s">
        <v>25994</v>
      </c>
      <c r="F9389" t="s">
        <v>2320</v>
      </c>
      <c r="K9389" s="18">
        <f>62816180796</f>
        <v>62816180796</v>
      </c>
      <c r="N9389" s="17" t="s">
        <v>77</v>
      </c>
      <c r="U9389" s="17"/>
      <c r="V9389" s="18">
        <f>62816180796</f>
        <v>62816180796</v>
      </c>
      <c r="W9389" t="s">
        <v>25995</v>
      </c>
      <c r="Y9389" s="17" t="s">
        <v>90</v>
      </c>
    </row>
    <row r="9390" ht="15" customHeight="1" spans="1:22" x14ac:dyDescent="0.25">
      <c r="A9390" s="17" t="s">
        <v>25996</v>
      </c>
      <c r="B9390" s="17" t="s">
        <v>70</v>
      </c>
      <c r="C9390" s="17" t="s">
        <v>71</v>
      </c>
      <c r="D9390" t="s">
        <v>25997</v>
      </c>
      <c r="F9390" t="s">
        <v>14080</v>
      </c>
      <c r="K9390" s="18">
        <f>6281397700136</f>
        <v>6281397700136</v>
      </c>
      <c r="N9390" s="17" t="s">
        <v>77</v>
      </c>
      <c r="V9390" s="18">
        <f>6281397700136</f>
        <v>6281397700136</v>
      </c>
    </row>
    <row r="9391" ht="15" customHeight="1" spans="1:28" x14ac:dyDescent="0.25">
      <c r="A9391" s="17" t="s">
        <v>25998</v>
      </c>
      <c r="B9391" s="17" t="s">
        <v>70</v>
      </c>
      <c r="C9391" s="17" t="s">
        <v>71</v>
      </c>
      <c r="D9391" t="s">
        <v>25999</v>
      </c>
      <c r="F9391" t="s">
        <v>26000</v>
      </c>
      <c r="J9391" s="17" t="s">
        <v>26001</v>
      </c>
      <c r="K9391" s="18" t="s">
        <v>26002</v>
      </c>
      <c r="N9391" s="17" t="s">
        <v>77</v>
      </c>
      <c r="O9391" t="s">
        <v>145</v>
      </c>
      <c r="V9391" s="18" t="s">
        <v>26002</v>
      </c>
      <c r="Y9391" t="s">
        <v>90</v>
      </c>
      <c r="AA9391" t="s">
        <v>118</v>
      </c>
      <c r="AB9391" t="s">
        <v>119</v>
      </c>
    </row>
    <row r="9392" ht="15" customHeight="1" spans="1:28" x14ac:dyDescent="0.25">
      <c r="A9392" s="17" t="s">
        <v>26003</v>
      </c>
      <c r="B9392" s="17" t="s">
        <v>70</v>
      </c>
      <c r="C9392" s="17" t="s">
        <v>71</v>
      </c>
      <c r="D9392" t="s">
        <v>26004</v>
      </c>
      <c r="F9392" t="s">
        <v>26005</v>
      </c>
      <c r="J9392" t="s">
        <v>115</v>
      </c>
      <c r="K9392" s="18" t="s">
        <v>26006</v>
      </c>
      <c r="N9392" s="17" t="s">
        <v>77</v>
      </c>
      <c r="O9392" t="s">
        <v>117</v>
      </c>
      <c r="V9392" s="18" t="s">
        <v>26006</v>
      </c>
      <c r="Y9392" t="s">
        <v>115</v>
      </c>
      <c r="AA9392" t="s">
        <v>115</v>
      </c>
      <c r="AB9392" t="s">
        <v>119</v>
      </c>
    </row>
    <row r="9393" ht="15" customHeight="1" spans="1:22" x14ac:dyDescent="0.25">
      <c r="A9393" s="17" t="s">
        <v>26007</v>
      </c>
      <c r="B9393" s="17" t="s">
        <v>70</v>
      </c>
      <c r="C9393" s="17" t="s">
        <v>71</v>
      </c>
      <c r="D9393" t="s">
        <v>26008</v>
      </c>
      <c r="F9393" t="s">
        <v>7944</v>
      </c>
      <c r="K9393" s="18">
        <f>6282179333666</f>
        <v>6282179333666</v>
      </c>
      <c r="N9393" s="17" t="s">
        <v>77</v>
      </c>
      <c r="V9393" s="18">
        <f>6282179333666</f>
        <v>6282179333666</v>
      </c>
    </row>
    <row r="9394" ht="15" customHeight="1" spans="1:23" x14ac:dyDescent="0.25">
      <c r="A9394" s="17" t="s">
        <v>26009</v>
      </c>
      <c r="B9394" s="17" t="s">
        <v>70</v>
      </c>
      <c r="C9394" s="17" t="s">
        <v>71</v>
      </c>
      <c r="D9394" t="s">
        <v>26010</v>
      </c>
      <c r="F9394" t="s">
        <v>26011</v>
      </c>
      <c r="K9394" s="18">
        <f>9647816100000</f>
        <v>9647816100000</v>
      </c>
      <c r="N9394" s="17" t="s">
        <v>77</v>
      </c>
      <c r="U9394" s="17"/>
      <c r="V9394" s="18">
        <f>9647816100000</f>
        <v>9647816100000</v>
      </c>
      <c r="W9394" t="s">
        <v>13646</v>
      </c>
    </row>
    <row r="9395" ht="15" customHeight="1" spans="1:22" x14ac:dyDescent="0.25">
      <c r="A9395" s="17" t="s">
        <v>26012</v>
      </c>
      <c r="B9395" s="17" t="s">
        <v>70</v>
      </c>
      <c r="C9395" s="17" t="s">
        <v>71</v>
      </c>
      <c r="D9395" t="s">
        <v>26013</v>
      </c>
      <c r="F9395" t="s">
        <v>26014</v>
      </c>
      <c r="K9395" s="18">
        <f>16199640224</f>
        <v>16199640224</v>
      </c>
      <c r="N9395" s="17" t="s">
        <v>74</v>
      </c>
      <c r="V9395" s="18">
        <f>16199640224</f>
        <v>16199640224</v>
      </c>
    </row>
    <row r="9396" ht="15" customHeight="1" spans="1:22" x14ac:dyDescent="0.25">
      <c r="A9396" s="17" t="s">
        <v>26015</v>
      </c>
      <c r="B9396" s="17" t="s">
        <v>70</v>
      </c>
      <c r="C9396" s="17" t="s">
        <v>71</v>
      </c>
      <c r="D9396" t="s">
        <v>26016</v>
      </c>
      <c r="F9396" t="s">
        <v>26016</v>
      </c>
      <c r="K9396" s="18">
        <f>6281314792088</f>
        <v>6281314792088</v>
      </c>
      <c r="N9396" s="17" t="s">
        <v>77</v>
      </c>
      <c r="V9396" s="18">
        <f>6281314792088</f>
        <v>6281314792088</v>
      </c>
    </row>
    <row r="9397" ht="15" customHeight="1" spans="1:28" x14ac:dyDescent="0.25">
      <c r="A9397" s="17" t="s">
        <v>26017</v>
      </c>
      <c r="B9397" s="17" t="s">
        <v>70</v>
      </c>
      <c r="C9397" s="17" t="s">
        <v>71</v>
      </c>
      <c r="D9397" t="s">
        <v>26018</v>
      </c>
      <c r="F9397" t="s">
        <v>26019</v>
      </c>
      <c r="J9397" s="17" t="s">
        <v>26020</v>
      </c>
      <c r="K9397" s="18" t="s">
        <v>26021</v>
      </c>
      <c r="N9397" s="17" t="s">
        <v>77</v>
      </c>
      <c r="O9397" t="s">
        <v>199</v>
      </c>
      <c r="U9397" s="17"/>
      <c r="V9397" s="18" t="s">
        <v>26021</v>
      </c>
      <c r="W9397" t="s">
        <v>26022</v>
      </c>
      <c r="Y9397" t="s">
        <v>26022</v>
      </c>
      <c r="AA9397" t="s">
        <v>115</v>
      </c>
      <c r="AB9397" t="s">
        <v>119</v>
      </c>
    </row>
    <row r="9398" ht="15" customHeight="1" spans="1:22" x14ac:dyDescent="0.25">
      <c r="A9398" s="17" t="s">
        <v>26023</v>
      </c>
      <c r="B9398" s="17" t="s">
        <v>70</v>
      </c>
      <c r="C9398" s="17" t="s">
        <v>71</v>
      </c>
      <c r="D9398" t="s">
        <v>26016</v>
      </c>
      <c r="F9398" t="s">
        <v>26024</v>
      </c>
      <c r="K9398" s="18">
        <f>62818969398</f>
        <v>62818969398</v>
      </c>
      <c r="N9398" s="17" t="s">
        <v>81</v>
      </c>
      <c r="V9398" s="18">
        <f>62818969398</f>
        <v>62818969398</v>
      </c>
    </row>
    <row r="9399" ht="15" customHeight="1" spans="1:28" x14ac:dyDescent="0.25">
      <c r="A9399" s="17" t="s">
        <v>26025</v>
      </c>
      <c r="B9399" s="17" t="s">
        <v>70</v>
      </c>
      <c r="C9399" s="17" t="s">
        <v>71</v>
      </c>
      <c r="D9399" t="s">
        <v>26026</v>
      </c>
      <c r="F9399" t="s">
        <v>26027</v>
      </c>
      <c r="J9399" t="s">
        <v>115</v>
      </c>
      <c r="K9399" s="18" t="s">
        <v>26028</v>
      </c>
      <c r="N9399" s="17" t="s">
        <v>81</v>
      </c>
      <c r="O9399" t="s">
        <v>261</v>
      </c>
      <c r="V9399" s="18" t="s">
        <v>26028</v>
      </c>
      <c r="Y9399" t="s">
        <v>190</v>
      </c>
      <c r="AA9399" t="s">
        <v>118</v>
      </c>
      <c r="AB9399" t="s">
        <v>119</v>
      </c>
    </row>
    <row r="9400" ht="15" customHeight="1" spans="1:22" x14ac:dyDescent="0.25">
      <c r="A9400" s="17" t="s">
        <v>26029</v>
      </c>
      <c r="B9400" s="17" t="s">
        <v>70</v>
      </c>
      <c r="C9400" s="17" t="s">
        <v>71</v>
      </c>
      <c r="D9400" t="s">
        <v>26030</v>
      </c>
      <c r="F9400" t="s">
        <v>26031</v>
      </c>
      <c r="K9400" s="18">
        <f>6281285525858</f>
        <v>6281285525858</v>
      </c>
      <c r="N9400" s="17" t="s">
        <v>81</v>
      </c>
      <c r="V9400" s="18">
        <f>6281285525858</f>
        <v>6281285525858</v>
      </c>
    </row>
    <row r="9401" ht="15" customHeight="1" spans="1:22" x14ac:dyDescent="0.25">
      <c r="A9401" s="17" t="s">
        <v>26032</v>
      </c>
      <c r="B9401" s="17" t="s">
        <v>70</v>
      </c>
      <c r="C9401" s="17" t="s">
        <v>71</v>
      </c>
      <c r="D9401" t="s">
        <v>20162</v>
      </c>
      <c r="F9401" t="s">
        <v>20162</v>
      </c>
      <c r="K9401" s="18">
        <f>6282111118295</f>
        <v>6282111118295</v>
      </c>
      <c r="N9401" s="17" t="s">
        <v>81</v>
      </c>
      <c r="V9401" s="18">
        <f>6282111118295</f>
        <v>6282111118295</v>
      </c>
    </row>
    <row r="9402" ht="15" customHeight="1" spans="1:22" x14ac:dyDescent="0.25">
      <c r="A9402" s="17" t="s">
        <v>26033</v>
      </c>
      <c r="B9402" s="17" t="s">
        <v>70</v>
      </c>
      <c r="C9402" s="17" t="s">
        <v>71</v>
      </c>
      <c r="D9402" t="s">
        <v>20162</v>
      </c>
      <c r="F9402" t="s">
        <v>20162</v>
      </c>
      <c r="K9402" s="18">
        <f>6287782008220</f>
        <v>6287782008220</v>
      </c>
      <c r="N9402" s="17" t="s">
        <v>81</v>
      </c>
      <c r="V9402" s="18">
        <f>6287782008220</f>
        <v>6287782008220</v>
      </c>
    </row>
    <row r="9403" ht="15" customHeight="1" spans="1:22" x14ac:dyDescent="0.25">
      <c r="A9403" s="17" t="s">
        <v>26034</v>
      </c>
      <c r="B9403" s="17" t="s">
        <v>70</v>
      </c>
      <c r="C9403" s="17" t="s">
        <v>71</v>
      </c>
      <c r="D9403" t="s">
        <v>20162</v>
      </c>
      <c r="F9403" t="s">
        <v>5409</v>
      </c>
      <c r="K9403" s="18">
        <f>628121002020</f>
        <v>628121002020</v>
      </c>
      <c r="N9403" s="17" t="s">
        <v>77</v>
      </c>
      <c r="V9403" s="18">
        <f>628121002020</f>
        <v>628121002020</v>
      </c>
    </row>
    <row r="9404" ht="15" customHeight="1" spans="1:23" x14ac:dyDescent="0.25">
      <c r="A9404" s="17" t="s">
        <v>26035</v>
      </c>
      <c r="B9404" s="17" t="s">
        <v>70</v>
      </c>
      <c r="C9404" s="17" t="s">
        <v>71</v>
      </c>
      <c r="D9404" t="s">
        <v>20162</v>
      </c>
      <c r="F9404" t="s">
        <v>2568</v>
      </c>
      <c r="J9404" s="17" t="s">
        <v>26036</v>
      </c>
      <c r="K9404" s="18">
        <f>628567768999</f>
        <v>628567768999</v>
      </c>
      <c r="N9404" s="17" t="s">
        <v>77</v>
      </c>
      <c r="U9404" s="17"/>
      <c r="V9404" s="18">
        <f>628567768999</f>
        <v>628567768999</v>
      </c>
      <c r="W9404" t="s">
        <v>26037</v>
      </c>
    </row>
    <row r="9405" ht="15" customHeight="1" spans="1:22" x14ac:dyDescent="0.25">
      <c r="A9405" s="17" t="s">
        <v>26038</v>
      </c>
      <c r="B9405" s="17" t="s">
        <v>70</v>
      </c>
      <c r="C9405" s="17" t="s">
        <v>71</v>
      </c>
      <c r="D9405" t="s">
        <v>20162</v>
      </c>
      <c r="F9405" t="s">
        <v>4255</v>
      </c>
      <c r="K9405" s="18">
        <f>6281213174772</f>
        <v>6281213174772</v>
      </c>
      <c r="N9405" s="17" t="s">
        <v>81</v>
      </c>
      <c r="V9405" s="18">
        <f>6281213174772</f>
        <v>6281213174772</v>
      </c>
    </row>
    <row r="9406" ht="15" customHeight="1" spans="1:22" x14ac:dyDescent="0.25">
      <c r="A9406" s="17" t="s">
        <v>26039</v>
      </c>
      <c r="B9406" s="17" t="s">
        <v>70</v>
      </c>
      <c r="C9406" s="17" t="s">
        <v>71</v>
      </c>
      <c r="D9406" t="s">
        <v>20162</v>
      </c>
      <c r="F9406" t="s">
        <v>282</v>
      </c>
      <c r="K9406" s="18">
        <f>62811160067</f>
        <v>62811160067</v>
      </c>
      <c r="N9406" s="17" t="s">
        <v>77</v>
      </c>
      <c r="V9406" s="18">
        <f>62811160067</f>
        <v>62811160067</v>
      </c>
    </row>
    <row r="9407" ht="15" customHeight="1" spans="1:22" x14ac:dyDescent="0.25">
      <c r="A9407" s="17" t="s">
        <v>26040</v>
      </c>
      <c r="B9407" s="17" t="s">
        <v>70</v>
      </c>
      <c r="C9407" s="17" t="s">
        <v>71</v>
      </c>
      <c r="D9407" t="s">
        <v>20162</v>
      </c>
      <c r="F9407" t="s">
        <v>672</v>
      </c>
      <c r="K9407" s="18">
        <v>9217971730</v>
      </c>
      <c r="N9407" s="17" t="s">
        <v>77</v>
      </c>
      <c r="V9407" s="18">
        <v>9217971730</v>
      </c>
    </row>
    <row r="9408" ht="15" customHeight="1" spans="1:22" x14ac:dyDescent="0.25">
      <c r="A9408" s="17" t="s">
        <v>26041</v>
      </c>
      <c r="B9408" s="17" t="s">
        <v>70</v>
      </c>
      <c r="C9408" s="17" t="s">
        <v>71</v>
      </c>
      <c r="D9408" t="s">
        <v>20162</v>
      </c>
      <c r="F9408" t="s">
        <v>26042</v>
      </c>
      <c r="K9408" s="18">
        <f>6281218937667</f>
        <v>6281218937667</v>
      </c>
      <c r="N9408" s="17" t="s">
        <v>77</v>
      </c>
      <c r="V9408" s="18">
        <f>6281218937667</f>
        <v>6281218937667</v>
      </c>
    </row>
    <row r="9409" ht="15" customHeight="1" spans="1:22" x14ac:dyDescent="0.25">
      <c r="A9409" s="17" t="s">
        <v>26043</v>
      </c>
      <c r="B9409" s="17" t="s">
        <v>70</v>
      </c>
      <c r="C9409" s="17" t="s">
        <v>71</v>
      </c>
      <c r="D9409" t="s">
        <v>26044</v>
      </c>
      <c r="F9409" t="s">
        <v>26044</v>
      </c>
      <c r="K9409" s="18">
        <f>628118603879</f>
        <v>628118603879</v>
      </c>
      <c r="N9409" s="17" t="s">
        <v>81</v>
      </c>
      <c r="V9409" s="18">
        <f>628118603879</f>
        <v>628118603879</v>
      </c>
    </row>
    <row r="9410" ht="15" customHeight="1" spans="1:22" x14ac:dyDescent="0.25">
      <c r="A9410" s="17" t="s">
        <v>26045</v>
      </c>
      <c r="B9410" s="17" t="s">
        <v>70</v>
      </c>
      <c r="C9410" s="17" t="s">
        <v>71</v>
      </c>
      <c r="D9410" t="s">
        <v>26044</v>
      </c>
      <c r="F9410" t="s">
        <v>26044</v>
      </c>
      <c r="K9410" s="18">
        <f>6285280053233</f>
        <v>6285280053233</v>
      </c>
      <c r="N9410" s="17" t="s">
        <v>81</v>
      </c>
      <c r="V9410" s="18">
        <f>6285280053233</f>
        <v>6285280053233</v>
      </c>
    </row>
    <row r="9411" ht="15" customHeight="1" spans="1:28" x14ac:dyDescent="0.25">
      <c r="A9411" s="17" t="s">
        <v>26046</v>
      </c>
      <c r="B9411" s="17" t="s">
        <v>70</v>
      </c>
      <c r="C9411" s="17" t="s">
        <v>71</v>
      </c>
      <c r="D9411" t="s">
        <v>26047</v>
      </c>
      <c r="F9411" t="s">
        <v>1064</v>
      </c>
      <c r="J9411" t="s">
        <v>115</v>
      </c>
      <c r="K9411" s="18" t="s">
        <v>26048</v>
      </c>
      <c r="N9411" s="17" t="s">
        <v>77</v>
      </c>
      <c r="O9411" t="s">
        <v>199</v>
      </c>
      <c r="V9411" s="18" t="s">
        <v>26048</v>
      </c>
      <c r="Y9411" t="s">
        <v>90</v>
      </c>
      <c r="AA9411" t="s">
        <v>118</v>
      </c>
      <c r="AB9411" t="s">
        <v>119</v>
      </c>
    </row>
    <row r="9412" ht="15" customHeight="1" spans="1:28" x14ac:dyDescent="0.25">
      <c r="A9412" s="17" t="s">
        <v>26049</v>
      </c>
      <c r="B9412" s="17" t="s">
        <v>70</v>
      </c>
      <c r="C9412" s="17" t="s">
        <v>71</v>
      </c>
      <c r="D9412" t="s">
        <v>26050</v>
      </c>
      <c r="F9412" t="s">
        <v>26051</v>
      </c>
      <c r="J9412" t="s">
        <v>115</v>
      </c>
      <c r="K9412" s="18" t="s">
        <v>26052</v>
      </c>
      <c r="N9412" s="17" t="s">
        <v>77</v>
      </c>
      <c r="O9412" t="s">
        <v>145</v>
      </c>
      <c r="V9412" s="18" t="s">
        <v>26052</v>
      </c>
      <c r="Y9412" t="s">
        <v>90</v>
      </c>
      <c r="AA9412" t="s">
        <v>118</v>
      </c>
      <c r="AB9412" t="s">
        <v>119</v>
      </c>
    </row>
    <row r="9413" ht="15" customHeight="1" spans="1:25" x14ac:dyDescent="0.25">
      <c r="A9413" s="17" t="s">
        <v>26053</v>
      </c>
      <c r="B9413" s="17" t="s">
        <v>70</v>
      </c>
      <c r="C9413" s="17" t="s">
        <v>71</v>
      </c>
      <c r="D9413" t="s">
        <v>26054</v>
      </c>
      <c r="F9413" t="s">
        <v>26055</v>
      </c>
      <c r="K9413" s="18">
        <f>6281280996312</f>
        <v>6281280996312</v>
      </c>
      <c r="N9413" s="17" t="s">
        <v>81</v>
      </c>
      <c r="U9413" s="17"/>
      <c r="V9413" s="18">
        <f>6281280996312</f>
        <v>6281280996312</v>
      </c>
      <c r="W9413" t="s">
        <v>26056</v>
      </c>
      <c r="Y9413" s="17" t="s">
        <v>90</v>
      </c>
    </row>
    <row r="9414" ht="15" customHeight="1" spans="1:28" x14ac:dyDescent="0.25">
      <c r="A9414" s="17" t="s">
        <v>26057</v>
      </c>
      <c r="B9414" s="17" t="s">
        <v>70</v>
      </c>
      <c r="C9414" s="17" t="s">
        <v>71</v>
      </c>
      <c r="D9414" t="s">
        <v>26058</v>
      </c>
      <c r="F9414" t="s">
        <v>26059</v>
      </c>
      <c r="J9414" t="s">
        <v>115</v>
      </c>
      <c r="K9414" s="18" t="s">
        <v>26060</v>
      </c>
      <c r="N9414" s="17" t="s">
        <v>81</v>
      </c>
      <c r="O9414" t="s">
        <v>117</v>
      </c>
      <c r="V9414" s="18" t="s">
        <v>26060</v>
      </c>
      <c r="Y9414" t="s">
        <v>90</v>
      </c>
      <c r="AA9414" t="s">
        <v>118</v>
      </c>
      <c r="AB9414" t="s">
        <v>119</v>
      </c>
    </row>
    <row r="9415" ht="15" customHeight="1" spans="1:22" x14ac:dyDescent="0.25">
      <c r="A9415" s="17" t="s">
        <v>26061</v>
      </c>
      <c r="B9415" s="17" t="s">
        <v>70</v>
      </c>
      <c r="C9415" s="17" t="s">
        <v>71</v>
      </c>
      <c r="D9415" t="s">
        <v>26062</v>
      </c>
      <c r="F9415" t="s">
        <v>26062</v>
      </c>
      <c r="K9415" s="18">
        <f>6285921500972</f>
        <v>6285921500972</v>
      </c>
      <c r="N9415" s="17" t="s">
        <v>77</v>
      </c>
      <c r="V9415" s="18">
        <f>6285921500972</f>
        <v>6285921500972</v>
      </c>
    </row>
    <row r="9416" ht="15" customHeight="1" spans="1:22" x14ac:dyDescent="0.25">
      <c r="A9416" s="17" t="s">
        <v>26063</v>
      </c>
      <c r="B9416" s="17" t="s">
        <v>70</v>
      </c>
      <c r="C9416" s="17" t="s">
        <v>71</v>
      </c>
      <c r="D9416" t="s">
        <v>26064</v>
      </c>
      <c r="F9416" t="s">
        <v>26064</v>
      </c>
      <c r="J9416" s="17" t="s">
        <v>26065</v>
      </c>
      <c r="K9416" s="18">
        <f>6282210010026</f>
        <v>6282210010026</v>
      </c>
      <c r="N9416" s="17" t="s">
        <v>77</v>
      </c>
      <c r="V9416" s="18">
        <f>6282210010026</f>
        <v>6282210010026</v>
      </c>
    </row>
    <row r="9417" ht="15" customHeight="1" spans="1:23" x14ac:dyDescent="0.25">
      <c r="A9417" s="17" t="s">
        <v>26066</v>
      </c>
      <c r="B9417" s="17" t="s">
        <v>70</v>
      </c>
      <c r="C9417" s="17" t="s">
        <v>71</v>
      </c>
      <c r="D9417" t="s">
        <v>26067</v>
      </c>
      <c r="F9417" t="s">
        <v>26068</v>
      </c>
      <c r="K9417" s="18">
        <f>62811801999</f>
        <v>62811801999</v>
      </c>
      <c r="N9417" s="17" t="s">
        <v>81</v>
      </c>
      <c r="U9417" s="17"/>
      <c r="V9417" s="18">
        <f>62811801999</f>
        <v>62811801999</v>
      </c>
      <c r="W9417" t="s">
        <v>26069</v>
      </c>
    </row>
    <row r="9418" ht="15" customHeight="1" spans="1:28" x14ac:dyDescent="0.25">
      <c r="A9418" s="17" t="s">
        <v>26070</v>
      </c>
      <c r="B9418" s="17" t="s">
        <v>70</v>
      </c>
      <c r="C9418" s="17" t="s">
        <v>71</v>
      </c>
      <c r="D9418" t="s">
        <v>26067</v>
      </c>
      <c r="F9418" t="s">
        <v>3585</v>
      </c>
      <c r="J9418" s="17" t="s">
        <v>26071</v>
      </c>
      <c r="K9418" s="18" t="s">
        <v>26072</v>
      </c>
      <c r="N9418" s="17" t="s">
        <v>77</v>
      </c>
      <c r="O9418" t="s">
        <v>145</v>
      </c>
      <c r="V9418" s="18" t="s">
        <v>26072</v>
      </c>
      <c r="Y9418" t="s">
        <v>90</v>
      </c>
      <c r="AA9418" t="s">
        <v>118</v>
      </c>
      <c r="AB9418" t="s">
        <v>119</v>
      </c>
    </row>
    <row r="9419" ht="15" customHeight="1" spans="1:22" x14ac:dyDescent="0.25">
      <c r="A9419" s="17" t="s">
        <v>26073</v>
      </c>
      <c r="B9419" s="17" t="s">
        <v>70</v>
      </c>
      <c r="C9419" s="17" t="s">
        <v>71</v>
      </c>
      <c r="D9419" t="s">
        <v>26067</v>
      </c>
      <c r="F9419" t="s">
        <v>26074</v>
      </c>
      <c r="K9419" s="18">
        <f>62818173520</f>
        <v>62818173520</v>
      </c>
      <c r="N9419" s="17" t="s">
        <v>77</v>
      </c>
      <c r="V9419" s="18">
        <f>62818173520</f>
        <v>62818173520</v>
      </c>
    </row>
    <row r="9420" ht="15" customHeight="1" spans="1:22" x14ac:dyDescent="0.25">
      <c r="A9420" s="17" t="s">
        <v>26075</v>
      </c>
      <c r="B9420" s="17" t="s">
        <v>70</v>
      </c>
      <c r="C9420" s="17" t="s">
        <v>71</v>
      </c>
      <c r="D9420" t="s">
        <v>15298</v>
      </c>
      <c r="F9420" t="s">
        <v>15298</v>
      </c>
      <c r="K9420" s="18">
        <f>6281289991234</f>
        <v>6281289991234</v>
      </c>
      <c r="N9420" s="17" t="s">
        <v>81</v>
      </c>
      <c r="V9420" s="18">
        <f>6281289991234</f>
        <v>6281289991234</v>
      </c>
    </row>
    <row r="9421" ht="15" customHeight="1" spans="1:28" x14ac:dyDescent="0.25">
      <c r="A9421" s="17" t="s">
        <v>26076</v>
      </c>
      <c r="B9421" s="17" t="s">
        <v>70</v>
      </c>
      <c r="C9421" s="17" t="s">
        <v>71</v>
      </c>
      <c r="D9421" t="s">
        <v>15298</v>
      </c>
      <c r="F9421" t="s">
        <v>4458</v>
      </c>
      <c r="J9421" t="s">
        <v>26077</v>
      </c>
      <c r="K9421" s="18" t="s">
        <v>26078</v>
      </c>
      <c r="N9421" s="17" t="s">
        <v>77</v>
      </c>
      <c r="O9421" t="s">
        <v>145</v>
      </c>
      <c r="U9421" s="17"/>
      <c r="V9421" s="18" t="s">
        <v>26078</v>
      </c>
      <c r="W9421" t="s">
        <v>26079</v>
      </c>
      <c r="Y9421" t="s">
        <v>90</v>
      </c>
      <c r="AA9421" t="s">
        <v>118</v>
      </c>
      <c r="AB9421" t="s">
        <v>119</v>
      </c>
    </row>
    <row r="9422" ht="15" customHeight="1" spans="1:22" x14ac:dyDescent="0.25">
      <c r="A9422" s="17" t="s">
        <v>26080</v>
      </c>
      <c r="B9422" s="17" t="s">
        <v>70</v>
      </c>
      <c r="C9422" s="17" t="s">
        <v>71</v>
      </c>
      <c r="D9422" t="s">
        <v>15298</v>
      </c>
      <c r="F9422" t="s">
        <v>22787</v>
      </c>
      <c r="K9422" s="18">
        <f>628128881381</f>
        <v>628128881381</v>
      </c>
      <c r="N9422" s="17" t="s">
        <v>77</v>
      </c>
      <c r="V9422" s="18">
        <f>628128881381</f>
        <v>628128881381</v>
      </c>
    </row>
    <row r="9423" ht="15" customHeight="1" spans="1:23" x14ac:dyDescent="0.25">
      <c r="A9423" s="17" t="s">
        <v>26081</v>
      </c>
      <c r="B9423" s="17" t="s">
        <v>70</v>
      </c>
      <c r="C9423" s="17" t="s">
        <v>71</v>
      </c>
      <c r="D9423" t="s">
        <v>15298</v>
      </c>
      <c r="F9423" t="s">
        <v>26082</v>
      </c>
      <c r="K9423" s="18">
        <f>160882022/2</f>
        <v>80441011</v>
      </c>
      <c r="N9423" s="17" t="s">
        <v>77</v>
      </c>
      <c r="U9423" s="17"/>
      <c r="V9423" s="18">
        <f>160882022/2</f>
        <v>80441011</v>
      </c>
      <c r="W9423" t="s">
        <v>5358</v>
      </c>
    </row>
    <row r="9424" ht="15" customHeight="1" spans="1:25" x14ac:dyDescent="0.25">
      <c r="A9424" s="17" t="s">
        <v>26083</v>
      </c>
      <c r="B9424" s="17" t="s">
        <v>70</v>
      </c>
      <c r="C9424" s="17" t="s">
        <v>71</v>
      </c>
      <c r="D9424" t="s">
        <v>15298</v>
      </c>
      <c r="F9424" t="s">
        <v>672</v>
      </c>
      <c r="J9424" s="17" t="s">
        <v>26084</v>
      </c>
      <c r="K9424" s="18">
        <f>6282111888790</f>
        <v>6282111888790</v>
      </c>
      <c r="N9424" s="17" t="s">
        <v>81</v>
      </c>
      <c r="U9424" s="17"/>
      <c r="V9424" s="18">
        <f>6282111888790</f>
        <v>6282111888790</v>
      </c>
      <c r="W9424" t="s">
        <v>26085</v>
      </c>
      <c r="Y9424" s="17" t="s">
        <v>96</v>
      </c>
    </row>
    <row r="9425" ht="15" customHeight="1" spans="1:23" x14ac:dyDescent="0.25">
      <c r="A9425" s="17" t="s">
        <v>26086</v>
      </c>
      <c r="B9425" s="17" t="s">
        <v>70</v>
      </c>
      <c r="C9425" s="17" t="s">
        <v>71</v>
      </c>
      <c r="D9425" t="s">
        <v>26087</v>
      </c>
      <c r="F9425" t="s">
        <v>14579</v>
      </c>
      <c r="K9425" s="18" t="s">
        <v>26088</v>
      </c>
      <c r="N9425" s="17" t="s">
        <v>77</v>
      </c>
      <c r="U9425" s="17"/>
      <c r="V9425" s="18" t="s">
        <v>26088</v>
      </c>
      <c r="W9425" t="s">
        <v>6737</v>
      </c>
    </row>
    <row r="9426" ht="15" customHeight="1" spans="1:22" x14ac:dyDescent="0.25">
      <c r="A9426" s="17" t="s">
        <v>26089</v>
      </c>
      <c r="B9426" s="17" t="s">
        <v>70</v>
      </c>
      <c r="C9426" s="17" t="s">
        <v>71</v>
      </c>
      <c r="D9426" t="s">
        <v>8262</v>
      </c>
      <c r="F9426" t="s">
        <v>8262</v>
      </c>
      <c r="K9426" s="18">
        <f>6281802112323</f>
        <v>6281802112323</v>
      </c>
      <c r="N9426" s="17" t="s">
        <v>81</v>
      </c>
      <c r="V9426" s="18">
        <f>6281802112323</f>
        <v>6281802112323</v>
      </c>
    </row>
    <row r="9427" ht="15" customHeight="1" spans="1:28" x14ac:dyDescent="0.25">
      <c r="A9427" s="17" t="s">
        <v>26090</v>
      </c>
      <c r="B9427" s="17" t="s">
        <v>70</v>
      </c>
      <c r="C9427" s="17" t="s">
        <v>71</v>
      </c>
      <c r="D9427" t="s">
        <v>26091</v>
      </c>
      <c r="F9427" t="s">
        <v>20866</v>
      </c>
      <c r="J9427" s="17" t="s">
        <v>26092</v>
      </c>
      <c r="K9427" s="18" t="s">
        <v>26093</v>
      </c>
      <c r="N9427" s="17" t="s">
        <v>77</v>
      </c>
      <c r="O9427" t="s">
        <v>145</v>
      </c>
      <c r="V9427" s="18" t="s">
        <v>26093</v>
      </c>
      <c r="Y9427" t="s">
        <v>90</v>
      </c>
      <c r="AA9427" t="s">
        <v>118</v>
      </c>
      <c r="AB9427" t="s">
        <v>119</v>
      </c>
    </row>
    <row r="9428" ht="15" customHeight="1" spans="1:28" x14ac:dyDescent="0.25">
      <c r="A9428" s="17" t="s">
        <v>26094</v>
      </c>
      <c r="B9428" s="17" t="s">
        <v>70</v>
      </c>
      <c r="C9428" s="17" t="s">
        <v>71</v>
      </c>
      <c r="D9428" t="s">
        <v>26095</v>
      </c>
      <c r="F9428" t="s">
        <v>26095</v>
      </c>
      <c r="J9428" t="s">
        <v>115</v>
      </c>
      <c r="K9428" s="18" t="s">
        <v>26096</v>
      </c>
      <c r="N9428" s="17" t="s">
        <v>77</v>
      </c>
      <c r="O9428" t="s">
        <v>261</v>
      </c>
      <c r="V9428" s="18" t="s">
        <v>26096</v>
      </c>
      <c r="Y9428" t="s">
        <v>115</v>
      </c>
      <c r="AA9428" t="s">
        <v>115</v>
      </c>
      <c r="AB9428" t="s">
        <v>119</v>
      </c>
    </row>
    <row r="9429" ht="15" customHeight="1" spans="1:23" x14ac:dyDescent="0.25">
      <c r="A9429" s="17" t="s">
        <v>26097</v>
      </c>
      <c r="B9429" s="17" t="s">
        <v>70</v>
      </c>
      <c r="C9429" s="17" t="s">
        <v>71</v>
      </c>
      <c r="D9429" t="s">
        <v>26098</v>
      </c>
      <c r="F9429" t="s">
        <v>26098</v>
      </c>
      <c r="K9429" s="18">
        <f>62811113791</f>
        <v>62811113791</v>
      </c>
      <c r="N9429" s="17" t="s">
        <v>77</v>
      </c>
      <c r="U9429" s="17"/>
      <c r="V9429" s="18">
        <f>62811113791</f>
        <v>62811113791</v>
      </c>
      <c r="W9429" t="s">
        <v>26099</v>
      </c>
    </row>
    <row r="9430" ht="15" customHeight="1" spans="1:28" x14ac:dyDescent="0.25">
      <c r="A9430" s="17" t="s">
        <v>26100</v>
      </c>
      <c r="B9430" s="17" t="s">
        <v>70</v>
      </c>
      <c r="C9430" s="17" t="s">
        <v>71</v>
      </c>
      <c r="D9430" t="s">
        <v>26098</v>
      </c>
      <c r="F9430" t="s">
        <v>672</v>
      </c>
      <c r="J9430" t="s">
        <v>26101</v>
      </c>
      <c r="K9430" s="18" t="s">
        <v>26102</v>
      </c>
      <c r="N9430" s="17" t="s">
        <v>77</v>
      </c>
      <c r="O9430" t="s">
        <v>145</v>
      </c>
      <c r="U9430" s="17"/>
      <c r="V9430" s="18" t="s">
        <v>26102</v>
      </c>
      <c r="W9430" t="s">
        <v>26103</v>
      </c>
      <c r="Y9430" t="s">
        <v>96</v>
      </c>
      <c r="AA9430" t="s">
        <v>693</v>
      </c>
      <c r="AB9430" t="s">
        <v>119</v>
      </c>
    </row>
    <row r="9431" ht="15" customHeight="1" spans="1:22" x14ac:dyDescent="0.25">
      <c r="A9431" s="17" t="s">
        <v>26104</v>
      </c>
      <c r="B9431" s="17" t="s">
        <v>70</v>
      </c>
      <c r="C9431" s="17" t="s">
        <v>71</v>
      </c>
      <c r="D9431" t="s">
        <v>26105</v>
      </c>
      <c r="F9431" t="s">
        <v>26105</v>
      </c>
      <c r="K9431" s="18">
        <f>62811869078</f>
        <v>62811869078</v>
      </c>
      <c r="N9431" s="17" t="s">
        <v>77</v>
      </c>
      <c r="V9431" s="18">
        <f>62811869078</f>
        <v>62811869078</v>
      </c>
    </row>
    <row r="9432" ht="15" customHeight="1" spans="1:28" x14ac:dyDescent="0.25">
      <c r="A9432" s="17" t="s">
        <v>26106</v>
      </c>
      <c r="B9432" s="17" t="s">
        <v>70</v>
      </c>
      <c r="C9432" s="17" t="s">
        <v>71</v>
      </c>
      <c r="D9432" t="s">
        <v>12060</v>
      </c>
      <c r="F9432" t="s">
        <v>26107</v>
      </c>
      <c r="J9432" s="17" t="s">
        <v>26108</v>
      </c>
      <c r="K9432" s="18" t="s">
        <v>26109</v>
      </c>
      <c r="N9432" s="17" t="s">
        <v>77</v>
      </c>
      <c r="O9432" t="s">
        <v>489</v>
      </c>
      <c r="V9432" s="18" t="s">
        <v>26109</v>
      </c>
      <c r="Y9432" t="s">
        <v>115</v>
      </c>
      <c r="AA9432" t="s">
        <v>115</v>
      </c>
      <c r="AB9432" t="s">
        <v>119</v>
      </c>
    </row>
    <row r="9433" ht="15" customHeight="1" spans="1:28" x14ac:dyDescent="0.25">
      <c r="A9433" s="17" t="s">
        <v>26110</v>
      </c>
      <c r="B9433" s="17" t="s">
        <v>70</v>
      </c>
      <c r="C9433" s="17" t="s">
        <v>71</v>
      </c>
      <c r="D9433" t="s">
        <v>26111</v>
      </c>
      <c r="F9433" t="s">
        <v>26112</v>
      </c>
      <c r="J9433" s="17" t="s">
        <v>26113</v>
      </c>
      <c r="K9433" s="18" t="s">
        <v>26114</v>
      </c>
      <c r="N9433" s="17" t="s">
        <v>77</v>
      </c>
      <c r="O9433" t="s">
        <v>199</v>
      </c>
      <c r="V9433" s="18" t="s">
        <v>26114</v>
      </c>
      <c r="Y9433" t="s">
        <v>190</v>
      </c>
      <c r="AA9433" t="s">
        <v>118</v>
      </c>
      <c r="AB9433" t="s">
        <v>119</v>
      </c>
    </row>
    <row r="9434" ht="15" customHeight="1" spans="1:28" x14ac:dyDescent="0.25">
      <c r="A9434" s="17" t="s">
        <v>26115</v>
      </c>
      <c r="B9434" s="17" t="s">
        <v>70</v>
      </c>
      <c r="C9434" s="17" t="s">
        <v>71</v>
      </c>
      <c r="D9434" t="s">
        <v>26116</v>
      </c>
      <c r="F9434" t="s">
        <v>26117</v>
      </c>
      <c r="J9434" t="s">
        <v>115</v>
      </c>
      <c r="K9434" s="18" t="s">
        <v>26118</v>
      </c>
      <c r="N9434" s="17" t="s">
        <v>81</v>
      </c>
      <c r="O9434" t="s">
        <v>117</v>
      </c>
      <c r="U9434" s="17"/>
      <c r="V9434" s="18" t="s">
        <v>26118</v>
      </c>
      <c r="W9434" t="s">
        <v>26119</v>
      </c>
      <c r="Y9434" t="s">
        <v>90</v>
      </c>
      <c r="AA9434" t="s">
        <v>118</v>
      </c>
      <c r="AB9434" t="s">
        <v>119</v>
      </c>
    </row>
    <row r="9435" ht="15" customHeight="1" spans="1:22" x14ac:dyDescent="0.25">
      <c r="A9435" s="17" t="s">
        <v>26120</v>
      </c>
      <c r="B9435" s="17" t="s">
        <v>70</v>
      </c>
      <c r="C9435" s="17" t="s">
        <v>71</v>
      </c>
      <c r="D9435" t="s">
        <v>26121</v>
      </c>
      <c r="F9435" t="s">
        <v>6854</v>
      </c>
      <c r="K9435" s="18">
        <f>6285693339991</f>
        <v>6285693339991</v>
      </c>
      <c r="N9435" s="17" t="s">
        <v>77</v>
      </c>
      <c r="V9435" s="18">
        <f>6285693339991</f>
        <v>6285693339991</v>
      </c>
    </row>
    <row r="9436" ht="15" customHeight="1" spans="1:22" x14ac:dyDescent="0.25">
      <c r="A9436" s="17" t="s">
        <v>26122</v>
      </c>
      <c r="B9436" s="17" t="s">
        <v>70</v>
      </c>
      <c r="C9436" s="17" t="s">
        <v>71</v>
      </c>
      <c r="D9436" t="s">
        <v>26121</v>
      </c>
      <c r="F9436" t="s">
        <v>26123</v>
      </c>
      <c r="K9436" s="18">
        <f>6287780804657</f>
        <v>6287780804657</v>
      </c>
      <c r="N9436" s="17" t="s">
        <v>81</v>
      </c>
      <c r="V9436" s="18">
        <f>6287780804657</f>
        <v>6287780804657</v>
      </c>
    </row>
    <row r="9437" ht="15" customHeight="1" spans="1:22" x14ac:dyDescent="0.25">
      <c r="A9437" s="17" t="s">
        <v>26124</v>
      </c>
      <c r="B9437" s="17" t="s">
        <v>70</v>
      </c>
      <c r="C9437" s="17" t="s">
        <v>71</v>
      </c>
      <c r="D9437" t="s">
        <v>26121</v>
      </c>
      <c r="F9437" t="s">
        <v>26125</v>
      </c>
      <c r="K9437" s="18">
        <f>62817209209</f>
        <v>62817209209</v>
      </c>
      <c r="N9437" s="17" t="s">
        <v>81</v>
      </c>
      <c r="V9437" s="18">
        <f>62817209209</f>
        <v>62817209209</v>
      </c>
    </row>
    <row r="9438" ht="15" customHeight="1" spans="1:28" x14ac:dyDescent="0.25">
      <c r="A9438" s="17" t="s">
        <v>26126</v>
      </c>
      <c r="B9438" s="17" t="s">
        <v>70</v>
      </c>
      <c r="C9438" s="17" t="s">
        <v>71</v>
      </c>
      <c r="D9438" t="s">
        <v>26127</v>
      </c>
      <c r="F9438" t="s">
        <v>20251</v>
      </c>
      <c r="J9438" t="s">
        <v>115</v>
      </c>
      <c r="K9438" s="18" t="s">
        <v>26128</v>
      </c>
      <c r="N9438" s="17" t="s">
        <v>77</v>
      </c>
      <c r="O9438" t="s">
        <v>199</v>
      </c>
      <c r="U9438" s="17"/>
      <c r="V9438" s="18" t="s">
        <v>26128</v>
      </c>
      <c r="W9438" t="s">
        <v>26129</v>
      </c>
      <c r="Y9438" t="s">
        <v>704</v>
      </c>
      <c r="AA9438" t="s">
        <v>705</v>
      </c>
      <c r="AB9438" t="s">
        <v>119</v>
      </c>
    </row>
    <row r="9439" ht="15" customHeight="1" spans="1:25" x14ac:dyDescent="0.25">
      <c r="A9439" s="17" t="s">
        <v>26130</v>
      </c>
      <c r="B9439" s="17" t="s">
        <v>70</v>
      </c>
      <c r="C9439" s="17" t="s">
        <v>71</v>
      </c>
      <c r="D9439" t="s">
        <v>26121</v>
      </c>
      <c r="F9439" t="s">
        <v>26131</v>
      </c>
      <c r="K9439" s="18">
        <f>628159929873</f>
        <v>628159929873</v>
      </c>
      <c r="N9439" s="17" t="s">
        <v>81</v>
      </c>
      <c r="U9439" s="17"/>
      <c r="V9439" s="18">
        <f>628159929873</f>
        <v>628159929873</v>
      </c>
      <c r="W9439" t="s">
        <v>26132</v>
      </c>
      <c r="Y9439" s="17" t="s">
        <v>378</v>
      </c>
    </row>
    <row r="9440" ht="15" customHeight="1" spans="1:22" x14ac:dyDescent="0.25">
      <c r="A9440" s="17" t="s">
        <v>26133</v>
      </c>
      <c r="B9440" s="17" t="s">
        <v>70</v>
      </c>
      <c r="C9440" s="17" t="s">
        <v>71</v>
      </c>
      <c r="D9440" t="s">
        <v>26134</v>
      </c>
      <c r="F9440" t="s">
        <v>26134</v>
      </c>
      <c r="K9440" s="18">
        <f>6281222221038</f>
        <v>6281222221038</v>
      </c>
      <c r="N9440" s="17" t="s">
        <v>77</v>
      </c>
      <c r="V9440" s="18">
        <f>6281222221038</f>
        <v>6281222221038</v>
      </c>
    </row>
    <row r="9441" ht="15" customHeight="1" spans="1:22" x14ac:dyDescent="0.25">
      <c r="A9441" s="17" t="s">
        <v>26135</v>
      </c>
      <c r="B9441" s="17" t="s">
        <v>70</v>
      </c>
      <c r="C9441" s="17" t="s">
        <v>71</v>
      </c>
      <c r="D9441" t="s">
        <v>26136</v>
      </c>
      <c r="F9441" t="s">
        <v>1169</v>
      </c>
      <c r="K9441" s="18">
        <f>62816815000</f>
        <v>62816815000</v>
      </c>
      <c r="N9441" s="17" t="s">
        <v>77</v>
      </c>
      <c r="V9441" s="18">
        <f>62816815000</f>
        <v>62816815000</v>
      </c>
    </row>
    <row r="9442" ht="15" customHeight="1" spans="1:22" x14ac:dyDescent="0.25">
      <c r="A9442" s="17" t="s">
        <v>26137</v>
      </c>
      <c r="B9442" s="17" t="s">
        <v>70</v>
      </c>
      <c r="C9442" s="17" t="s">
        <v>71</v>
      </c>
      <c r="D9442" t="s">
        <v>26138</v>
      </c>
      <c r="F9442" t="s">
        <v>26138</v>
      </c>
      <c r="K9442" s="18">
        <f>6281219055555</f>
        <v>6281219055555</v>
      </c>
      <c r="N9442" s="17" t="s">
        <v>77</v>
      </c>
      <c r="V9442" s="18">
        <f>6281219055555</f>
        <v>6281219055555</v>
      </c>
    </row>
    <row r="9443" ht="15" customHeight="1" spans="1:22" x14ac:dyDescent="0.25">
      <c r="A9443" s="17" t="s">
        <v>26139</v>
      </c>
      <c r="B9443" s="17" t="s">
        <v>70</v>
      </c>
      <c r="C9443" s="17" t="s">
        <v>71</v>
      </c>
      <c r="D9443" t="s">
        <v>26138</v>
      </c>
      <c r="F9443" t="s">
        <v>26140</v>
      </c>
      <c r="K9443" s="18">
        <f>628161115850</f>
        <v>628161115850</v>
      </c>
      <c r="N9443" s="17" t="s">
        <v>77</v>
      </c>
      <c r="V9443" s="18">
        <f>628161115850</f>
        <v>628161115850</v>
      </c>
    </row>
    <row r="9444" ht="15" customHeight="1" spans="1:23" x14ac:dyDescent="0.25">
      <c r="A9444" s="17" t="s">
        <v>26141</v>
      </c>
      <c r="B9444" s="17" t="s">
        <v>70</v>
      </c>
      <c r="C9444" s="17" t="s">
        <v>71</v>
      </c>
      <c r="D9444" t="s">
        <v>26138</v>
      </c>
      <c r="F9444" t="s">
        <v>2892</v>
      </c>
      <c r="K9444" s="18">
        <f>628124483137</f>
        <v>628124483137</v>
      </c>
      <c r="N9444" s="17" t="s">
        <v>81</v>
      </c>
      <c r="U9444" s="17"/>
      <c r="V9444" s="18">
        <f>628124483137</f>
        <v>628124483137</v>
      </c>
      <c r="W9444" t="s">
        <v>6155</v>
      </c>
    </row>
    <row r="9445" ht="15" customHeight="1" spans="1:22" x14ac:dyDescent="0.25">
      <c r="A9445" s="17" t="s">
        <v>26142</v>
      </c>
      <c r="B9445" s="17" t="s">
        <v>70</v>
      </c>
      <c r="C9445" s="17" t="s">
        <v>71</v>
      </c>
      <c r="D9445" t="s">
        <v>26143</v>
      </c>
      <c r="F9445" t="s">
        <v>26144</v>
      </c>
      <c r="K9445" s="18">
        <f>6281310255508</f>
        <v>6281310255508</v>
      </c>
      <c r="N9445" s="17" t="s">
        <v>77</v>
      </c>
      <c r="V9445" s="18">
        <f>6281310255508</f>
        <v>6281310255508</v>
      </c>
    </row>
    <row r="9446" ht="15" customHeight="1" spans="1:22" x14ac:dyDescent="0.25">
      <c r="A9446" s="17" t="s">
        <v>26145</v>
      </c>
      <c r="B9446" s="17" t="s">
        <v>70</v>
      </c>
      <c r="C9446" s="17" t="s">
        <v>71</v>
      </c>
      <c r="D9446" t="s">
        <v>26146</v>
      </c>
      <c r="F9446" t="s">
        <v>26146</v>
      </c>
      <c r="K9446" s="18">
        <f>628161111273</f>
        <v>628161111273</v>
      </c>
      <c r="N9446" s="17" t="s">
        <v>77</v>
      </c>
      <c r="V9446" s="18">
        <f>628161111273</f>
        <v>628161111273</v>
      </c>
    </row>
    <row r="9447" ht="15" customHeight="1" spans="1:28" x14ac:dyDescent="0.25">
      <c r="A9447" s="17" t="s">
        <v>26147</v>
      </c>
      <c r="B9447" s="17" t="s">
        <v>70</v>
      </c>
      <c r="C9447" s="17" t="s">
        <v>71</v>
      </c>
      <c r="D9447" t="s">
        <v>26148</v>
      </c>
      <c r="F9447" t="s">
        <v>26149</v>
      </c>
      <c r="J9447" t="s">
        <v>115</v>
      </c>
      <c r="K9447" s="18" t="s">
        <v>26150</v>
      </c>
      <c r="N9447" s="17" t="s">
        <v>77</v>
      </c>
      <c r="O9447" t="s">
        <v>199</v>
      </c>
      <c r="V9447" s="18" t="s">
        <v>26150</v>
      </c>
      <c r="Y9447" t="s">
        <v>1909</v>
      </c>
      <c r="AA9447" t="s">
        <v>115</v>
      </c>
      <c r="AB9447" t="s">
        <v>1909</v>
      </c>
    </row>
    <row r="9448" ht="15" customHeight="1" spans="1:22" x14ac:dyDescent="0.25">
      <c r="A9448" s="17" t="s">
        <v>26151</v>
      </c>
      <c r="B9448" s="17" t="s">
        <v>70</v>
      </c>
      <c r="C9448" s="17" t="s">
        <v>71</v>
      </c>
      <c r="D9448" t="s">
        <v>26152</v>
      </c>
      <c r="F9448" t="s">
        <v>26152</v>
      </c>
      <c r="K9448" s="18">
        <f>6282113090000</f>
        <v>6282113090000</v>
      </c>
      <c r="N9448" s="17" t="s">
        <v>77</v>
      </c>
      <c r="V9448" s="18">
        <f>6282113090000</f>
        <v>6282113090000</v>
      </c>
    </row>
    <row r="9449" ht="15" customHeight="1" spans="1:25" x14ac:dyDescent="0.25">
      <c r="A9449" s="17" t="s">
        <v>26153</v>
      </c>
      <c r="B9449" s="17" t="s">
        <v>70</v>
      </c>
      <c r="C9449" s="17" t="s">
        <v>71</v>
      </c>
      <c r="D9449" t="s">
        <v>26154</v>
      </c>
      <c r="F9449" t="s">
        <v>17437</v>
      </c>
      <c r="K9449" s="18">
        <f>6281210850643</f>
        <v>6281210850643</v>
      </c>
      <c r="N9449" s="17" t="s">
        <v>77</v>
      </c>
      <c r="U9449" s="17"/>
      <c r="V9449" s="18">
        <f>6281210850643</f>
        <v>6281210850643</v>
      </c>
      <c r="W9449" t="s">
        <v>26155</v>
      </c>
      <c r="Y9449" s="17" t="s">
        <v>90</v>
      </c>
    </row>
    <row r="9450" ht="15" customHeight="1" spans="1:22" x14ac:dyDescent="0.25">
      <c r="A9450" s="17" t="s">
        <v>26156</v>
      </c>
      <c r="B9450" s="17" t="s">
        <v>70</v>
      </c>
      <c r="C9450" s="17" t="s">
        <v>71</v>
      </c>
      <c r="D9450" t="s">
        <v>5783</v>
      </c>
      <c r="F9450" t="s">
        <v>5783</v>
      </c>
      <c r="K9450" s="18">
        <f>6281511310000</f>
        <v>6281511310000</v>
      </c>
      <c r="N9450" s="17" t="s">
        <v>81</v>
      </c>
      <c r="V9450" s="18">
        <f>6281511310000</f>
        <v>6281511310000</v>
      </c>
    </row>
    <row r="9451" ht="15" customHeight="1" spans="1:22" x14ac:dyDescent="0.25">
      <c r="A9451" s="17" t="s">
        <v>26157</v>
      </c>
      <c r="B9451" s="17" t="s">
        <v>70</v>
      </c>
      <c r="C9451" s="17" t="s">
        <v>71</v>
      </c>
      <c r="D9451" t="s">
        <v>5783</v>
      </c>
      <c r="F9451" t="s">
        <v>5783</v>
      </c>
      <c r="K9451" s="18">
        <f>62811978288</f>
        <v>62811978288</v>
      </c>
      <c r="N9451" s="17" t="s">
        <v>81</v>
      </c>
      <c r="V9451" s="18">
        <f>62811978288</f>
        <v>62811978288</v>
      </c>
    </row>
    <row r="9452" ht="15" customHeight="1" spans="1:22" x14ac:dyDescent="0.25">
      <c r="A9452" s="17" t="s">
        <v>26158</v>
      </c>
      <c r="B9452" s="17" t="s">
        <v>70</v>
      </c>
      <c r="C9452" s="17" t="s">
        <v>71</v>
      </c>
      <c r="D9452" t="s">
        <v>5783</v>
      </c>
      <c r="F9452" t="s">
        <v>5783</v>
      </c>
      <c r="K9452" s="18">
        <f>6281314211266</f>
        <v>6281314211266</v>
      </c>
      <c r="N9452" s="17" t="s">
        <v>77</v>
      </c>
      <c r="V9452" s="18">
        <f>6281314211266</f>
        <v>6281314211266</v>
      </c>
    </row>
    <row r="9453" ht="15" customHeight="1" spans="1:22" x14ac:dyDescent="0.25">
      <c r="A9453" s="17" t="s">
        <v>26159</v>
      </c>
      <c r="B9453" s="17" t="s">
        <v>70</v>
      </c>
      <c r="C9453" s="17" t="s">
        <v>71</v>
      </c>
      <c r="D9453" t="s">
        <v>5783</v>
      </c>
      <c r="F9453" t="s">
        <v>5783</v>
      </c>
      <c r="K9453" s="18">
        <f>6281298505368</f>
        <v>6281298505368</v>
      </c>
      <c r="N9453" s="17" t="s">
        <v>77</v>
      </c>
      <c r="V9453" s="18">
        <f>6281298505368</f>
        <v>6281298505368</v>
      </c>
    </row>
    <row r="9454" ht="15" customHeight="1" spans="1:28" x14ac:dyDescent="0.25">
      <c r="A9454" s="17" t="s">
        <v>26160</v>
      </c>
      <c r="B9454" s="17" t="s">
        <v>70</v>
      </c>
      <c r="C9454" s="17" t="s">
        <v>71</v>
      </c>
      <c r="D9454" t="s">
        <v>5783</v>
      </c>
      <c r="F9454" t="s">
        <v>5783</v>
      </c>
      <c r="J9454" t="s">
        <v>115</v>
      </c>
      <c r="K9454" s="18" t="s">
        <v>26161</v>
      </c>
      <c r="N9454" s="17" t="s">
        <v>74</v>
      </c>
      <c r="O9454" t="s">
        <v>117</v>
      </c>
      <c r="V9454" s="18" t="s">
        <v>26161</v>
      </c>
      <c r="Y9454" t="s">
        <v>181</v>
      </c>
      <c r="AA9454" t="s">
        <v>1672</v>
      </c>
      <c r="AB9454" t="s">
        <v>2605</v>
      </c>
    </row>
    <row r="9455" ht="15" customHeight="1" spans="1:22" x14ac:dyDescent="0.25">
      <c r="A9455" s="17" t="s">
        <v>26162</v>
      </c>
      <c r="B9455" s="17" t="s">
        <v>70</v>
      </c>
      <c r="C9455" s="17" t="s">
        <v>71</v>
      </c>
      <c r="D9455" t="s">
        <v>5783</v>
      </c>
      <c r="F9455" t="s">
        <v>26163</v>
      </c>
      <c r="K9455" s="18">
        <f>6281337546295</f>
        <v>6281337546295</v>
      </c>
      <c r="N9455" s="17" t="s">
        <v>77</v>
      </c>
      <c r="V9455" s="18">
        <f>6281337546295</f>
        <v>6281337546295</v>
      </c>
    </row>
    <row r="9456" ht="15" customHeight="1" spans="1:28" x14ac:dyDescent="0.25">
      <c r="A9456" s="17" t="s">
        <v>26164</v>
      </c>
      <c r="B9456" s="17" t="s">
        <v>70</v>
      </c>
      <c r="C9456" s="17" t="s">
        <v>71</v>
      </c>
      <c r="D9456" t="s">
        <v>5783</v>
      </c>
      <c r="F9456" t="s">
        <v>26165</v>
      </c>
      <c r="J9456" s="17" t="s">
        <v>26166</v>
      </c>
      <c r="K9456" s="18" t="s">
        <v>26167</v>
      </c>
      <c r="N9456" s="17" t="s">
        <v>81</v>
      </c>
      <c r="O9456" t="s">
        <v>489</v>
      </c>
      <c r="U9456" s="17"/>
      <c r="V9456" s="18" t="s">
        <v>26167</v>
      </c>
      <c r="W9456" t="s">
        <v>26168</v>
      </c>
      <c r="Y9456" t="s">
        <v>190</v>
      </c>
      <c r="AA9456" t="s">
        <v>118</v>
      </c>
      <c r="AB9456" t="s">
        <v>119</v>
      </c>
    </row>
    <row r="9457" ht="15" customHeight="1" spans="1:25" x14ac:dyDescent="0.25">
      <c r="A9457" s="17" t="s">
        <v>26169</v>
      </c>
      <c r="B9457" s="17" t="s">
        <v>70</v>
      </c>
      <c r="C9457" s="17" t="s">
        <v>71</v>
      </c>
      <c r="D9457" t="s">
        <v>5783</v>
      </c>
      <c r="F9457" t="s">
        <v>989</v>
      </c>
      <c r="K9457" s="18">
        <f>628118890106</f>
        <v>628118890106</v>
      </c>
      <c r="N9457" s="17" t="s">
        <v>77</v>
      </c>
      <c r="U9457" s="17"/>
      <c r="V9457" s="18">
        <f>628118890106</f>
        <v>628118890106</v>
      </c>
      <c r="W9457" t="s">
        <v>26170</v>
      </c>
      <c r="Y9457" s="17" t="s">
        <v>90</v>
      </c>
    </row>
    <row r="9458" ht="15" customHeight="1" spans="1:28" x14ac:dyDescent="0.25">
      <c r="A9458" s="17" t="s">
        <v>26171</v>
      </c>
      <c r="B9458" s="17" t="s">
        <v>70</v>
      </c>
      <c r="C9458" s="17" t="s">
        <v>71</v>
      </c>
      <c r="D9458" t="s">
        <v>5783</v>
      </c>
      <c r="F9458" t="s">
        <v>26172</v>
      </c>
      <c r="J9458" t="s">
        <v>115</v>
      </c>
      <c r="K9458" s="18" t="s">
        <v>26173</v>
      </c>
      <c r="N9458" s="17" t="s">
        <v>74</v>
      </c>
      <c r="O9458" t="s">
        <v>117</v>
      </c>
      <c r="U9458" s="17"/>
      <c r="V9458" s="18" t="s">
        <v>26173</v>
      </c>
      <c r="W9458" t="s">
        <v>26174</v>
      </c>
      <c r="Y9458" s="17" t="s">
        <v>96</v>
      </c>
      <c r="AA9458" s="17" t="s">
        <v>693</v>
      </c>
      <c r="AB9458" t="s">
        <v>119</v>
      </c>
    </row>
    <row r="9459" ht="15" customHeight="1" spans="1:28" x14ac:dyDescent="0.25">
      <c r="A9459" s="17" t="s">
        <v>26175</v>
      </c>
      <c r="B9459" s="17" t="s">
        <v>70</v>
      </c>
      <c r="C9459" s="17" t="s">
        <v>71</v>
      </c>
      <c r="D9459" t="s">
        <v>26176</v>
      </c>
      <c r="F9459" t="s">
        <v>1186</v>
      </c>
      <c r="J9459" t="s">
        <v>26177</v>
      </c>
      <c r="K9459" s="18" t="s">
        <v>26178</v>
      </c>
      <c r="N9459" s="17" t="s">
        <v>77</v>
      </c>
      <c r="O9459" t="s">
        <v>145</v>
      </c>
      <c r="V9459" s="18" t="s">
        <v>26178</v>
      </c>
      <c r="Y9459" t="s">
        <v>90</v>
      </c>
      <c r="AA9459" t="s">
        <v>118</v>
      </c>
      <c r="AB9459" t="s">
        <v>119</v>
      </c>
    </row>
    <row r="9460" ht="15" customHeight="1" spans="1:23" x14ac:dyDescent="0.25">
      <c r="A9460" s="17" t="s">
        <v>26179</v>
      </c>
      <c r="B9460" s="17" t="s">
        <v>70</v>
      </c>
      <c r="C9460" s="17" t="s">
        <v>71</v>
      </c>
      <c r="D9460" t="s">
        <v>5783</v>
      </c>
      <c r="F9460" t="s">
        <v>5202</v>
      </c>
      <c r="K9460" s="18">
        <f>6281213839333</f>
        <v>6281213839333</v>
      </c>
      <c r="N9460" s="17" t="s">
        <v>77</v>
      </c>
      <c r="U9460" s="17"/>
      <c r="V9460" s="18">
        <f>6281213839333</f>
        <v>6281213839333</v>
      </c>
      <c r="W9460" t="s">
        <v>26180</v>
      </c>
    </row>
    <row r="9461" ht="15" customHeight="1" spans="1:28" x14ac:dyDescent="0.25">
      <c r="A9461" s="17" t="s">
        <v>26181</v>
      </c>
      <c r="B9461" s="17" t="s">
        <v>70</v>
      </c>
      <c r="C9461" s="17" t="s">
        <v>71</v>
      </c>
      <c r="D9461" t="s">
        <v>5783</v>
      </c>
      <c r="F9461" t="s">
        <v>26182</v>
      </c>
      <c r="J9461" t="s">
        <v>115</v>
      </c>
      <c r="K9461" s="18" t="s">
        <v>26183</v>
      </c>
      <c r="N9461" s="17" t="s">
        <v>77</v>
      </c>
      <c r="O9461" t="s">
        <v>199</v>
      </c>
      <c r="V9461" s="18" t="s">
        <v>26183</v>
      </c>
      <c r="Y9461" t="s">
        <v>115</v>
      </c>
      <c r="AA9461" t="s">
        <v>115</v>
      </c>
      <c r="AB9461" t="s">
        <v>26184</v>
      </c>
    </row>
    <row r="9462" ht="15" customHeight="1" spans="1:22" x14ac:dyDescent="0.25">
      <c r="A9462" s="17" t="s">
        <v>26185</v>
      </c>
      <c r="B9462" s="17" t="s">
        <v>70</v>
      </c>
      <c r="C9462" s="17" t="s">
        <v>71</v>
      </c>
      <c r="D9462" t="s">
        <v>5783</v>
      </c>
      <c r="F9462" t="s">
        <v>4866</v>
      </c>
      <c r="K9462" s="18">
        <f>628125550737</f>
        <v>628125550737</v>
      </c>
      <c r="N9462" s="17" t="s">
        <v>77</v>
      </c>
      <c r="V9462" s="18">
        <f>628125550737</f>
        <v>628125550737</v>
      </c>
    </row>
    <row r="9463" ht="15" customHeight="1" spans="1:22" x14ac:dyDescent="0.25">
      <c r="A9463" s="17" t="s">
        <v>26186</v>
      </c>
      <c r="B9463" s="17" t="s">
        <v>70</v>
      </c>
      <c r="C9463" s="17" t="s">
        <v>71</v>
      </c>
      <c r="D9463" t="s">
        <v>5783</v>
      </c>
      <c r="F9463" t="s">
        <v>26187</v>
      </c>
      <c r="K9463" s="18">
        <f>6287781015432</f>
        <v>6287781015432</v>
      </c>
      <c r="N9463" s="17" t="s">
        <v>74</v>
      </c>
      <c r="V9463" s="18">
        <f>6287781015432</f>
        <v>6287781015432</v>
      </c>
    </row>
    <row r="9464" ht="15" customHeight="1" spans="1:22" x14ac:dyDescent="0.25">
      <c r="A9464" s="17" t="s">
        <v>26188</v>
      </c>
      <c r="B9464" s="17" t="s">
        <v>70</v>
      </c>
      <c r="C9464" s="17" t="s">
        <v>71</v>
      </c>
      <c r="D9464" t="s">
        <v>5783</v>
      </c>
      <c r="F9464" t="s">
        <v>23968</v>
      </c>
      <c r="K9464" s="18">
        <f>6282112588889</f>
        <v>6282112588889</v>
      </c>
      <c r="N9464" s="17" t="s">
        <v>74</v>
      </c>
      <c r="V9464" s="18">
        <f>6282112588889</f>
        <v>6282112588889</v>
      </c>
    </row>
    <row r="9465" ht="15" customHeight="1" spans="1:22" x14ac:dyDescent="0.25">
      <c r="A9465" s="17" t="s">
        <v>26189</v>
      </c>
      <c r="B9465" s="17" t="s">
        <v>70</v>
      </c>
      <c r="C9465" s="17" t="s">
        <v>71</v>
      </c>
      <c r="D9465" t="s">
        <v>5783</v>
      </c>
      <c r="F9465" t="s">
        <v>4458</v>
      </c>
      <c r="K9465" s="18">
        <f>6287781233001</f>
        <v>6287781233001</v>
      </c>
      <c r="N9465" s="17" t="s">
        <v>77</v>
      </c>
      <c r="V9465" s="18">
        <f>6287781233001</f>
        <v>6287781233001</v>
      </c>
    </row>
    <row r="9466" ht="15" customHeight="1" spans="1:22" x14ac:dyDescent="0.25">
      <c r="A9466" s="17" t="s">
        <v>26190</v>
      </c>
      <c r="B9466" s="17" t="s">
        <v>70</v>
      </c>
      <c r="C9466" s="17" t="s">
        <v>71</v>
      </c>
      <c r="D9466" t="s">
        <v>5783</v>
      </c>
      <c r="F9466" t="s">
        <v>4458</v>
      </c>
      <c r="K9466" s="18">
        <f>628179862823</f>
        <v>628179862823</v>
      </c>
      <c r="N9466" s="17" t="s">
        <v>81</v>
      </c>
      <c r="V9466" s="18">
        <f>628179862823</f>
        <v>628179862823</v>
      </c>
    </row>
    <row r="9467" ht="15" customHeight="1" spans="1:25" x14ac:dyDescent="0.25">
      <c r="A9467" s="17" t="s">
        <v>26191</v>
      </c>
      <c r="B9467" s="17" t="s">
        <v>70</v>
      </c>
      <c r="C9467" s="17" t="s">
        <v>71</v>
      </c>
      <c r="D9467" t="s">
        <v>5783</v>
      </c>
      <c r="F9467" t="s">
        <v>26192</v>
      </c>
      <c r="K9467" s="18">
        <f>6281310727238</f>
        <v>6281310727238</v>
      </c>
      <c r="N9467" s="17" t="s">
        <v>77</v>
      </c>
      <c r="V9467" s="18">
        <f>6281310727238</f>
        <v>6281310727238</v>
      </c>
      <c r="Y9467" s="17" t="s">
        <v>6412</v>
      </c>
    </row>
    <row r="9468" ht="15" customHeight="1" spans="1:28" x14ac:dyDescent="0.25">
      <c r="A9468" s="17" t="s">
        <v>26193</v>
      </c>
      <c r="B9468" s="17" t="s">
        <v>70</v>
      </c>
      <c r="C9468" s="17" t="s">
        <v>71</v>
      </c>
      <c r="D9468" t="s">
        <v>5783</v>
      </c>
      <c r="F9468" t="s">
        <v>26194</v>
      </c>
      <c r="J9468" s="17" t="s">
        <v>26195</v>
      </c>
      <c r="K9468" s="18" t="s">
        <v>26196</v>
      </c>
      <c r="N9468" s="17" t="s">
        <v>77</v>
      </c>
      <c r="O9468" t="s">
        <v>117</v>
      </c>
      <c r="V9468" s="18" t="s">
        <v>26196</v>
      </c>
      <c r="Y9468" t="s">
        <v>90</v>
      </c>
      <c r="AA9468" t="s">
        <v>118</v>
      </c>
      <c r="AB9468" t="s">
        <v>119</v>
      </c>
    </row>
    <row r="9469" ht="15" customHeight="1" spans="1:25" x14ac:dyDescent="0.25">
      <c r="A9469" s="17" t="s">
        <v>26197</v>
      </c>
      <c r="B9469" s="17" t="s">
        <v>70</v>
      </c>
      <c r="C9469" s="17" t="s">
        <v>71</v>
      </c>
      <c r="D9469" t="s">
        <v>5783</v>
      </c>
      <c r="F9469" t="s">
        <v>26198</v>
      </c>
      <c r="K9469" s="18">
        <f>6282128310600</f>
        <v>6282128310600</v>
      </c>
      <c r="N9469" s="17" t="s">
        <v>81</v>
      </c>
      <c r="V9469" s="18">
        <f>6282128310600</f>
        <v>6282128310600</v>
      </c>
      <c r="Y9469" s="17" t="s">
        <v>13662</v>
      </c>
    </row>
    <row r="9470" ht="15" customHeight="1" spans="1:28" x14ac:dyDescent="0.25">
      <c r="A9470" s="17" t="s">
        <v>26199</v>
      </c>
      <c r="B9470" s="17" t="s">
        <v>70</v>
      </c>
      <c r="C9470" s="17" t="s">
        <v>71</v>
      </c>
      <c r="D9470" t="s">
        <v>5783</v>
      </c>
      <c r="F9470" t="s">
        <v>26200</v>
      </c>
      <c r="J9470" t="s">
        <v>115</v>
      </c>
      <c r="K9470" s="18" t="s">
        <v>26201</v>
      </c>
      <c r="N9470" s="17" t="s">
        <v>74</v>
      </c>
      <c r="O9470" t="s">
        <v>117</v>
      </c>
      <c r="U9470" s="17"/>
      <c r="V9470" s="18" t="s">
        <v>26201</v>
      </c>
      <c r="W9470" t="s">
        <v>26202</v>
      </c>
      <c r="Y9470" t="s">
        <v>90</v>
      </c>
      <c r="AA9470" t="s">
        <v>118</v>
      </c>
      <c r="AB9470" t="s">
        <v>119</v>
      </c>
    </row>
    <row r="9471" ht="15" customHeight="1" spans="1:27" x14ac:dyDescent="0.25">
      <c r="A9471" s="17" t="s">
        <v>26203</v>
      </c>
      <c r="B9471" s="17" t="s">
        <v>70</v>
      </c>
      <c r="C9471" s="17" t="s">
        <v>71</v>
      </c>
      <c r="D9471" t="s">
        <v>5783</v>
      </c>
      <c r="F9471" t="s">
        <v>26204</v>
      </c>
      <c r="J9471" s="17" t="s">
        <v>26205</v>
      </c>
      <c r="K9471" s="18">
        <f>62811724998</f>
        <v>62811724998</v>
      </c>
      <c r="N9471" s="17" t="s">
        <v>77</v>
      </c>
      <c r="U9471" s="17"/>
      <c r="V9471" s="18">
        <f>62811724998</f>
        <v>62811724998</v>
      </c>
      <c r="W9471" t="s">
        <v>26206</v>
      </c>
      <c r="Y9471" s="17" t="s">
        <v>596</v>
      </c>
      <c r="AA9471" s="17">
        <v>15325</v>
      </c>
    </row>
    <row r="9472" ht="15" customHeight="1" spans="1:22" x14ac:dyDescent="0.25">
      <c r="A9472" s="17" t="s">
        <v>26207</v>
      </c>
      <c r="B9472" s="17" t="s">
        <v>70</v>
      </c>
      <c r="C9472" s="17" t="s">
        <v>71</v>
      </c>
      <c r="D9472" t="s">
        <v>5783</v>
      </c>
      <c r="F9472" t="s">
        <v>26208</v>
      </c>
      <c r="K9472" s="18">
        <f>62811956060</f>
        <v>62811956060</v>
      </c>
      <c r="N9472" s="17" t="s">
        <v>77</v>
      </c>
      <c r="V9472" s="18">
        <f>62811956060</f>
        <v>62811956060</v>
      </c>
    </row>
    <row r="9473" ht="15" customHeight="1" spans="1:22" x14ac:dyDescent="0.25">
      <c r="A9473" s="17" t="s">
        <v>26209</v>
      </c>
      <c r="B9473" s="17" t="s">
        <v>70</v>
      </c>
      <c r="C9473" s="17" t="s">
        <v>71</v>
      </c>
      <c r="D9473" t="s">
        <v>5783</v>
      </c>
      <c r="F9473" t="s">
        <v>26210</v>
      </c>
      <c r="K9473" s="18">
        <f>6281210020002</f>
        <v>6281210020002</v>
      </c>
      <c r="N9473" s="17" t="s">
        <v>77</v>
      </c>
      <c r="V9473" s="18">
        <f>6281210020002</f>
        <v>6281210020002</v>
      </c>
    </row>
    <row r="9474" ht="15" customHeight="1" spans="1:22" x14ac:dyDescent="0.25">
      <c r="A9474" s="17" t="s">
        <v>26211</v>
      </c>
      <c r="B9474" s="17" t="s">
        <v>70</v>
      </c>
      <c r="C9474" s="17" t="s">
        <v>71</v>
      </c>
      <c r="D9474" t="s">
        <v>5783</v>
      </c>
      <c r="F9474" t="s">
        <v>1848</v>
      </c>
      <c r="K9474" s="18">
        <f>6281317894650</f>
        <v>6281317894650</v>
      </c>
      <c r="N9474" s="17" t="s">
        <v>77</v>
      </c>
      <c r="V9474" s="18">
        <f>6281317894650</f>
        <v>6281317894650</v>
      </c>
    </row>
    <row r="9475" ht="15" customHeight="1" spans="1:23" x14ac:dyDescent="0.25">
      <c r="A9475" s="17" t="s">
        <v>26212</v>
      </c>
      <c r="B9475" s="17" t="s">
        <v>70</v>
      </c>
      <c r="C9475" s="17" t="s">
        <v>71</v>
      </c>
      <c r="D9475" t="s">
        <v>5783</v>
      </c>
      <c r="F9475" t="s">
        <v>3121</v>
      </c>
      <c r="K9475" s="18">
        <f>6285921064410</f>
        <v>6285921064410</v>
      </c>
      <c r="N9475" s="17" t="s">
        <v>77</v>
      </c>
      <c r="U9475" s="17"/>
      <c r="V9475" s="18">
        <f>6285921064410</f>
        <v>6285921064410</v>
      </c>
      <c r="W9475" t="s">
        <v>26213</v>
      </c>
    </row>
    <row r="9476" ht="15" customHeight="1" spans="1:28" x14ac:dyDescent="0.25">
      <c r="A9476" s="17" t="s">
        <v>26214</v>
      </c>
      <c r="B9476" s="17" t="s">
        <v>70</v>
      </c>
      <c r="C9476" s="17" t="s">
        <v>71</v>
      </c>
      <c r="D9476" t="s">
        <v>5783</v>
      </c>
      <c r="F9476" t="s">
        <v>1064</v>
      </c>
      <c r="J9476" t="s">
        <v>115</v>
      </c>
      <c r="K9476" s="18" t="s">
        <v>26215</v>
      </c>
      <c r="N9476" s="17" t="s">
        <v>81</v>
      </c>
      <c r="O9476" t="s">
        <v>117</v>
      </c>
      <c r="V9476" s="18" t="s">
        <v>26215</v>
      </c>
      <c r="Y9476" t="s">
        <v>190</v>
      </c>
      <c r="AA9476" t="s">
        <v>118</v>
      </c>
      <c r="AB9476" t="s">
        <v>119</v>
      </c>
    </row>
    <row r="9477" ht="15" customHeight="1" spans="1:22" x14ac:dyDescent="0.25">
      <c r="A9477" s="17" t="s">
        <v>26216</v>
      </c>
      <c r="B9477" s="17" t="s">
        <v>70</v>
      </c>
      <c r="C9477" s="17" t="s">
        <v>71</v>
      </c>
      <c r="D9477" t="s">
        <v>5783</v>
      </c>
      <c r="F9477" t="s">
        <v>4288</v>
      </c>
      <c r="K9477" s="18">
        <f>628188080132</f>
        <v>628188080132</v>
      </c>
      <c r="N9477" s="17" t="s">
        <v>81</v>
      </c>
      <c r="V9477" s="18">
        <f>628188080132</f>
        <v>628188080132</v>
      </c>
    </row>
    <row r="9478" ht="15" customHeight="1" spans="1:22" x14ac:dyDescent="0.25">
      <c r="A9478" s="17" t="s">
        <v>26217</v>
      </c>
      <c r="B9478" s="17" t="s">
        <v>70</v>
      </c>
      <c r="C9478" s="17" t="s">
        <v>71</v>
      </c>
      <c r="D9478" t="s">
        <v>5783</v>
      </c>
      <c r="F9478" t="s">
        <v>9028</v>
      </c>
      <c r="K9478" s="18">
        <f>6281322967777</f>
        <v>6281322967777</v>
      </c>
      <c r="N9478" s="17" t="s">
        <v>77</v>
      </c>
      <c r="V9478" s="18">
        <f>6281322967777</f>
        <v>6281322967777</v>
      </c>
    </row>
    <row r="9479" ht="15" customHeight="1" spans="1:28" x14ac:dyDescent="0.25">
      <c r="A9479" s="17" t="s">
        <v>26218</v>
      </c>
      <c r="B9479" s="17" t="s">
        <v>70</v>
      </c>
      <c r="C9479" s="17" t="s">
        <v>71</v>
      </c>
      <c r="D9479" t="s">
        <v>5783</v>
      </c>
      <c r="F9479" t="s">
        <v>1754</v>
      </c>
      <c r="J9479" t="s">
        <v>115</v>
      </c>
      <c r="K9479" s="18" t="s">
        <v>26219</v>
      </c>
      <c r="N9479" s="17" t="s">
        <v>77</v>
      </c>
      <c r="O9479" t="s">
        <v>117</v>
      </c>
      <c r="V9479" s="18" t="s">
        <v>26219</v>
      </c>
      <c r="Y9479" t="s">
        <v>190</v>
      </c>
      <c r="AA9479" t="s">
        <v>118</v>
      </c>
      <c r="AB9479" t="s">
        <v>119</v>
      </c>
    </row>
    <row r="9480" ht="15" customHeight="1" spans="1:28" x14ac:dyDescent="0.25">
      <c r="A9480" s="17" t="s">
        <v>26220</v>
      </c>
      <c r="B9480" s="17" t="s">
        <v>70</v>
      </c>
      <c r="C9480" s="17" t="s">
        <v>71</v>
      </c>
      <c r="D9480" t="s">
        <v>5783</v>
      </c>
      <c r="F9480" t="s">
        <v>7276</v>
      </c>
      <c r="J9480" t="s">
        <v>115</v>
      </c>
      <c r="K9480" s="18" t="s">
        <v>26221</v>
      </c>
      <c r="N9480" s="17" t="s">
        <v>77</v>
      </c>
      <c r="O9480" t="s">
        <v>117</v>
      </c>
      <c r="U9480" s="17"/>
      <c r="V9480" s="18" t="s">
        <v>26221</v>
      </c>
      <c r="W9480" t="s">
        <v>26222</v>
      </c>
      <c r="Y9480" t="s">
        <v>626</v>
      </c>
      <c r="AA9480" t="s">
        <v>3090</v>
      </c>
      <c r="AB9480" t="s">
        <v>119</v>
      </c>
    </row>
    <row r="9481" ht="15" customHeight="1" spans="1:22" x14ac:dyDescent="0.25">
      <c r="A9481" s="17" t="s">
        <v>26223</v>
      </c>
      <c r="B9481" s="17" t="s">
        <v>70</v>
      </c>
      <c r="C9481" s="17" t="s">
        <v>71</v>
      </c>
      <c r="D9481" t="s">
        <v>5783</v>
      </c>
      <c r="F9481" t="s">
        <v>2141</v>
      </c>
      <c r="K9481" s="18">
        <f>628129995322</f>
        <v>628129995322</v>
      </c>
      <c r="N9481" s="17" t="s">
        <v>81</v>
      </c>
      <c r="V9481" s="18">
        <f>628129995322</f>
        <v>628129995322</v>
      </c>
    </row>
    <row r="9482" ht="15" customHeight="1" spans="1:28" x14ac:dyDescent="0.25">
      <c r="A9482" s="17" t="s">
        <v>26224</v>
      </c>
      <c r="B9482" s="17" t="s">
        <v>70</v>
      </c>
      <c r="C9482" s="17" t="s">
        <v>71</v>
      </c>
      <c r="D9482" t="s">
        <v>5783</v>
      </c>
      <c r="F9482" t="s">
        <v>16190</v>
      </c>
      <c r="J9482" s="17" t="s">
        <v>26225</v>
      </c>
      <c r="K9482" s="18" t="s">
        <v>26226</v>
      </c>
      <c r="N9482" s="17" t="s">
        <v>77</v>
      </c>
      <c r="O9482" t="s">
        <v>145</v>
      </c>
      <c r="V9482" s="18" t="s">
        <v>26226</v>
      </c>
      <c r="Y9482" t="s">
        <v>190</v>
      </c>
      <c r="AA9482" t="s">
        <v>118</v>
      </c>
      <c r="AB9482" t="s">
        <v>119</v>
      </c>
    </row>
    <row r="9483" ht="15" customHeight="1" spans="1:22" x14ac:dyDescent="0.25">
      <c r="A9483" s="17" t="s">
        <v>26227</v>
      </c>
      <c r="B9483" s="17" t="s">
        <v>70</v>
      </c>
      <c r="C9483" s="17" t="s">
        <v>71</v>
      </c>
      <c r="D9483" t="s">
        <v>5783</v>
      </c>
      <c r="F9483" t="s">
        <v>3025</v>
      </c>
      <c r="K9483" s="18">
        <f>6281586100975</f>
        <v>6281586100975</v>
      </c>
      <c r="N9483" s="17" t="s">
        <v>77</v>
      </c>
      <c r="V9483" s="18">
        <f>6281586100975</f>
        <v>6281586100975</v>
      </c>
    </row>
    <row r="9484" ht="15" customHeight="1" spans="1:23" x14ac:dyDescent="0.25">
      <c r="A9484" s="17" t="s">
        <v>26228</v>
      </c>
      <c r="B9484" s="17" t="s">
        <v>70</v>
      </c>
      <c r="C9484" s="17" t="s">
        <v>71</v>
      </c>
      <c r="D9484" t="s">
        <v>5783</v>
      </c>
      <c r="F9484" t="s">
        <v>26229</v>
      </c>
      <c r="K9484" s="18">
        <f>62811118275</f>
        <v>62811118275</v>
      </c>
      <c r="N9484" s="17" t="s">
        <v>77</v>
      </c>
      <c r="U9484" s="17"/>
      <c r="V9484" s="18">
        <f>62811118275</f>
        <v>62811118275</v>
      </c>
      <c r="W9484" t="s">
        <v>26230</v>
      </c>
    </row>
    <row r="9485" ht="15" customHeight="1" spans="1:25" x14ac:dyDescent="0.25">
      <c r="A9485" s="17" t="s">
        <v>26231</v>
      </c>
      <c r="B9485" s="17" t="s">
        <v>70</v>
      </c>
      <c r="C9485" s="17" t="s">
        <v>71</v>
      </c>
      <c r="D9485" t="s">
        <v>5783</v>
      </c>
      <c r="F9485" t="s">
        <v>5115</v>
      </c>
      <c r="K9485" s="18">
        <f>6281227186097</f>
        <v>6281227186097</v>
      </c>
      <c r="N9485" s="17" t="s">
        <v>81</v>
      </c>
      <c r="U9485" s="17"/>
      <c r="V9485" s="18">
        <f>6281227186097</f>
        <v>6281227186097</v>
      </c>
      <c r="W9485" t="s">
        <v>26232</v>
      </c>
      <c r="Y9485" s="17" t="s">
        <v>26233</v>
      </c>
    </row>
    <row r="9486" ht="15" customHeight="1" spans="1:22" x14ac:dyDescent="0.25">
      <c r="A9486" s="17" t="s">
        <v>26234</v>
      </c>
      <c r="B9486" s="17" t="s">
        <v>70</v>
      </c>
      <c r="C9486" s="17" t="s">
        <v>71</v>
      </c>
      <c r="D9486" t="s">
        <v>5783</v>
      </c>
      <c r="F9486" t="s">
        <v>26235</v>
      </c>
      <c r="K9486" s="18">
        <f>62811887484</f>
        <v>62811887484</v>
      </c>
      <c r="N9486" s="17" t="s">
        <v>77</v>
      </c>
      <c r="V9486" s="18">
        <f>62811887484</f>
        <v>62811887484</v>
      </c>
    </row>
    <row r="9487" ht="15" customHeight="1" spans="1:23" x14ac:dyDescent="0.25">
      <c r="A9487" s="17" t="s">
        <v>26236</v>
      </c>
      <c r="B9487" s="17" t="s">
        <v>70</v>
      </c>
      <c r="C9487" s="17" t="s">
        <v>71</v>
      </c>
      <c r="D9487" t="s">
        <v>5783</v>
      </c>
      <c r="F9487" t="s">
        <v>26237</v>
      </c>
      <c r="K9487" s="18">
        <f>62811136203</f>
        <v>62811136203</v>
      </c>
      <c r="N9487" s="17" t="s">
        <v>77</v>
      </c>
      <c r="U9487" s="17"/>
      <c r="V9487" s="18">
        <f>62811136203</f>
        <v>62811136203</v>
      </c>
      <c r="W9487" t="s">
        <v>26238</v>
      </c>
    </row>
    <row r="9488" ht="15" customHeight="1" spans="1:28" x14ac:dyDescent="0.25">
      <c r="A9488" s="17" t="s">
        <v>26239</v>
      </c>
      <c r="B9488" s="17" t="s">
        <v>70</v>
      </c>
      <c r="C9488" s="17" t="s">
        <v>71</v>
      </c>
      <c r="D9488" t="s">
        <v>5783</v>
      </c>
      <c r="F9488" t="s">
        <v>26240</v>
      </c>
      <c r="J9488" t="s">
        <v>115</v>
      </c>
      <c r="K9488" s="18" t="s">
        <v>26241</v>
      </c>
      <c r="N9488" s="17" t="s">
        <v>77</v>
      </c>
      <c r="O9488" t="s">
        <v>117</v>
      </c>
      <c r="V9488" s="18" t="s">
        <v>26241</v>
      </c>
      <c r="Y9488" t="s">
        <v>190</v>
      </c>
      <c r="AA9488" t="s">
        <v>118</v>
      </c>
      <c r="AB9488" t="s">
        <v>119</v>
      </c>
    </row>
    <row r="9489" ht="15" customHeight="1" spans="1:28" x14ac:dyDescent="0.25">
      <c r="A9489" s="17" t="s">
        <v>26242</v>
      </c>
      <c r="B9489" s="17" t="s">
        <v>70</v>
      </c>
      <c r="C9489" s="17" t="s">
        <v>71</v>
      </c>
      <c r="D9489" t="s">
        <v>5783</v>
      </c>
      <c r="F9489" t="s">
        <v>26243</v>
      </c>
      <c r="J9489" t="s">
        <v>115</v>
      </c>
      <c r="K9489" s="18" t="s">
        <v>26244</v>
      </c>
      <c r="N9489" s="17" t="s">
        <v>77</v>
      </c>
      <c r="O9489" t="s">
        <v>199</v>
      </c>
      <c r="V9489" s="18" t="s">
        <v>26244</v>
      </c>
      <c r="Y9489" t="s">
        <v>190</v>
      </c>
      <c r="AA9489" t="s">
        <v>118</v>
      </c>
      <c r="AB9489" t="s">
        <v>119</v>
      </c>
    </row>
    <row r="9490" ht="15" customHeight="1" spans="1:27" x14ac:dyDescent="0.25">
      <c r="A9490" s="17" t="s">
        <v>26245</v>
      </c>
      <c r="B9490" s="17" t="s">
        <v>70</v>
      </c>
      <c r="C9490" s="17" t="s">
        <v>71</v>
      </c>
      <c r="D9490" t="s">
        <v>5783</v>
      </c>
      <c r="F9490" t="s">
        <v>26246</v>
      </c>
      <c r="K9490" s="18">
        <f>62217183172</f>
        <v>62217183172</v>
      </c>
      <c r="N9490" s="17" t="s">
        <v>77</v>
      </c>
      <c r="U9490" s="17"/>
      <c r="V9490" s="18">
        <f>62217183172</f>
        <v>62217183172</v>
      </c>
      <c r="W9490" t="s">
        <v>26247</v>
      </c>
      <c r="Y9490" s="17" t="s">
        <v>96</v>
      </c>
      <c r="AA9490" s="17" t="s">
        <v>4845</v>
      </c>
    </row>
    <row r="9491" ht="15" customHeight="1" spans="1:28" x14ac:dyDescent="0.25">
      <c r="A9491" s="17" t="s">
        <v>26248</v>
      </c>
      <c r="B9491" s="17" t="s">
        <v>70</v>
      </c>
      <c r="C9491" s="17" t="s">
        <v>71</v>
      </c>
      <c r="D9491" t="s">
        <v>26249</v>
      </c>
      <c r="F9491" t="s">
        <v>5783</v>
      </c>
      <c r="J9491" s="17" t="s">
        <v>26250</v>
      </c>
      <c r="K9491" s="18" t="s">
        <v>26251</v>
      </c>
      <c r="N9491" s="17" t="s">
        <v>77</v>
      </c>
      <c r="O9491" t="s">
        <v>145</v>
      </c>
      <c r="U9491" s="17"/>
      <c r="V9491" s="18" t="s">
        <v>26251</v>
      </c>
      <c r="W9491" t="s">
        <v>1908</v>
      </c>
      <c r="Y9491" t="s">
        <v>115</v>
      </c>
      <c r="AA9491" t="s">
        <v>115</v>
      </c>
      <c r="AB9491" t="s">
        <v>2605</v>
      </c>
    </row>
    <row r="9492" ht="15" customHeight="1" spans="1:22" x14ac:dyDescent="0.25">
      <c r="A9492" s="17" t="s">
        <v>26252</v>
      </c>
      <c r="B9492" s="17" t="s">
        <v>70</v>
      </c>
      <c r="C9492" s="17" t="s">
        <v>71</v>
      </c>
      <c r="D9492" t="s">
        <v>5783</v>
      </c>
      <c r="F9492" t="s">
        <v>26253</v>
      </c>
      <c r="K9492" s="18">
        <f>6281238500182</f>
        <v>6281238500182</v>
      </c>
      <c r="N9492" s="17" t="s">
        <v>81</v>
      </c>
      <c r="V9492" s="18">
        <f>6281238500182</f>
        <v>6281238500182</v>
      </c>
    </row>
    <row r="9493" ht="15" customHeight="1" spans="1:23" x14ac:dyDescent="0.25">
      <c r="A9493" s="17" t="s">
        <v>26254</v>
      </c>
      <c r="B9493" s="17" t="s">
        <v>70</v>
      </c>
      <c r="C9493" s="17" t="s">
        <v>71</v>
      </c>
      <c r="D9493" t="s">
        <v>5783</v>
      </c>
      <c r="F9493" t="s">
        <v>16748</v>
      </c>
      <c r="K9493" s="18">
        <f>628111042797</f>
        <v>628111042797</v>
      </c>
      <c r="N9493" s="17" t="s">
        <v>81</v>
      </c>
      <c r="U9493" s="17"/>
      <c r="V9493" s="18">
        <f>628111042797</f>
        <v>628111042797</v>
      </c>
      <c r="W9493" t="s">
        <v>26255</v>
      </c>
    </row>
    <row r="9494" ht="15" customHeight="1" spans="1:28" x14ac:dyDescent="0.25">
      <c r="A9494" s="17" t="s">
        <v>26256</v>
      </c>
      <c r="B9494" s="17" t="s">
        <v>70</v>
      </c>
      <c r="C9494" s="17" t="s">
        <v>71</v>
      </c>
      <c r="D9494" t="s">
        <v>5783</v>
      </c>
      <c r="F9494" t="s">
        <v>26257</v>
      </c>
      <c r="J9494" t="s">
        <v>26258</v>
      </c>
      <c r="K9494" s="18" t="s">
        <v>26259</v>
      </c>
      <c r="N9494" s="17" t="s">
        <v>77</v>
      </c>
      <c r="O9494" t="s">
        <v>145</v>
      </c>
      <c r="U9494" s="17"/>
      <c r="V9494" s="18" t="s">
        <v>26259</v>
      </c>
      <c r="W9494" t="s">
        <v>26260</v>
      </c>
      <c r="Y9494" s="17" t="s">
        <v>11496</v>
      </c>
      <c r="AA9494" t="s">
        <v>1969</v>
      </c>
      <c r="AB9494" t="s">
        <v>119</v>
      </c>
    </row>
    <row r="9495" ht="15" customHeight="1" spans="1:23" x14ac:dyDescent="0.25">
      <c r="A9495" s="17" t="s">
        <v>26261</v>
      </c>
      <c r="B9495" s="17" t="s">
        <v>70</v>
      </c>
      <c r="C9495" s="17" t="s">
        <v>71</v>
      </c>
      <c r="D9495" t="s">
        <v>5783</v>
      </c>
      <c r="F9495" t="s">
        <v>26262</v>
      </c>
      <c r="K9495" s="18">
        <f>6281283213036</f>
        <v>6281283213036</v>
      </c>
      <c r="N9495" s="17" t="s">
        <v>74</v>
      </c>
      <c r="U9495" s="17"/>
      <c r="V9495" s="18">
        <f>6281283213036</f>
        <v>6281283213036</v>
      </c>
      <c r="W9495" t="s">
        <v>26263</v>
      </c>
    </row>
    <row r="9496" ht="15" customHeight="1" spans="1:28" x14ac:dyDescent="0.25">
      <c r="A9496" s="17" t="s">
        <v>26264</v>
      </c>
      <c r="B9496" s="17" t="s">
        <v>70</v>
      </c>
      <c r="C9496" s="17" t="s">
        <v>71</v>
      </c>
      <c r="D9496" t="s">
        <v>5783</v>
      </c>
      <c r="F9496" t="s">
        <v>12949</v>
      </c>
      <c r="J9496" s="17" t="s">
        <v>26265</v>
      </c>
      <c r="K9496" s="18" t="s">
        <v>26266</v>
      </c>
      <c r="N9496" s="17" t="s">
        <v>77</v>
      </c>
      <c r="O9496" t="s">
        <v>199</v>
      </c>
      <c r="U9496" s="17"/>
      <c r="V9496" s="18" t="s">
        <v>26266</v>
      </c>
      <c r="W9496" t="s">
        <v>26267</v>
      </c>
      <c r="Y9496" t="s">
        <v>96</v>
      </c>
      <c r="AA9496" s="17" t="s">
        <v>693</v>
      </c>
      <c r="AB9496" t="s">
        <v>119</v>
      </c>
    </row>
    <row r="9497" ht="15" customHeight="1" spans="1:22" x14ac:dyDescent="0.25">
      <c r="A9497" s="17" t="s">
        <v>26268</v>
      </c>
      <c r="B9497" s="17" t="s">
        <v>70</v>
      </c>
      <c r="C9497" s="17" t="s">
        <v>71</v>
      </c>
      <c r="D9497" t="s">
        <v>5783</v>
      </c>
      <c r="F9497" t="s">
        <v>26269</v>
      </c>
      <c r="K9497" s="18">
        <f>628567756788</f>
        <v>628567756788</v>
      </c>
      <c r="N9497" s="17" t="s">
        <v>77</v>
      </c>
      <c r="V9497" s="18">
        <f>628567756788</f>
        <v>628567756788</v>
      </c>
    </row>
    <row r="9498" ht="15" customHeight="1" spans="1:28" x14ac:dyDescent="0.25">
      <c r="A9498" s="17" t="s">
        <v>26270</v>
      </c>
      <c r="B9498" s="17" t="s">
        <v>70</v>
      </c>
      <c r="C9498" s="17" t="s">
        <v>71</v>
      </c>
      <c r="D9498" t="s">
        <v>5783</v>
      </c>
      <c r="F9498" t="s">
        <v>26271</v>
      </c>
      <c r="J9498" s="17" t="s">
        <v>26272</v>
      </c>
      <c r="K9498" s="18" t="s">
        <v>26273</v>
      </c>
      <c r="N9498" s="17" t="s">
        <v>74</v>
      </c>
      <c r="O9498" t="s">
        <v>145</v>
      </c>
      <c r="V9498" s="18" t="s">
        <v>26273</v>
      </c>
      <c r="Y9498" t="s">
        <v>90</v>
      </c>
      <c r="AA9498" t="s">
        <v>118</v>
      </c>
      <c r="AB9498" t="s">
        <v>119</v>
      </c>
    </row>
    <row r="9499" ht="15" customHeight="1" spans="1:22" x14ac:dyDescent="0.25">
      <c r="A9499" s="17" t="s">
        <v>26274</v>
      </c>
      <c r="B9499" s="17" t="s">
        <v>70</v>
      </c>
      <c r="C9499" s="17" t="s">
        <v>71</v>
      </c>
      <c r="D9499" t="s">
        <v>5783</v>
      </c>
      <c r="F9499" t="s">
        <v>12679</v>
      </c>
      <c r="K9499" s="18">
        <f>6281315129936</f>
        <v>6281315129936</v>
      </c>
      <c r="N9499" s="17" t="s">
        <v>77</v>
      </c>
      <c r="V9499" s="18">
        <f>6281315129936</f>
        <v>6281315129936</v>
      </c>
    </row>
    <row r="9500" ht="15" customHeight="1" spans="1:22" x14ac:dyDescent="0.25">
      <c r="A9500" s="17" t="s">
        <v>26275</v>
      </c>
      <c r="B9500" s="17" t="s">
        <v>70</v>
      </c>
      <c r="C9500" s="17" t="s">
        <v>71</v>
      </c>
      <c r="D9500" t="s">
        <v>5783</v>
      </c>
      <c r="F9500" t="s">
        <v>26276</v>
      </c>
      <c r="K9500" s="18">
        <f>62817456760</f>
        <v>62817456760</v>
      </c>
      <c r="N9500" s="17" t="s">
        <v>74</v>
      </c>
      <c r="V9500" s="18">
        <f>62817456760</f>
        <v>62817456760</v>
      </c>
    </row>
    <row r="9501" ht="15" customHeight="1" spans="1:23" x14ac:dyDescent="0.25">
      <c r="A9501" s="17" t="s">
        <v>26277</v>
      </c>
      <c r="B9501" s="17" t="s">
        <v>70</v>
      </c>
      <c r="C9501" s="17" t="s">
        <v>71</v>
      </c>
      <c r="D9501" t="s">
        <v>5783</v>
      </c>
      <c r="F9501" t="s">
        <v>26278</v>
      </c>
      <c r="K9501" s="18">
        <f>625366349480</f>
        <v>625366349480</v>
      </c>
      <c r="N9501" s="17" t="s">
        <v>77</v>
      </c>
      <c r="U9501" s="17"/>
      <c r="V9501" s="18">
        <f>625366349480</f>
        <v>625366349480</v>
      </c>
      <c r="W9501" t="s">
        <v>26279</v>
      </c>
    </row>
    <row r="9502" ht="15" customHeight="1" spans="1:23" x14ac:dyDescent="0.25">
      <c r="A9502" s="17" t="s">
        <v>26280</v>
      </c>
      <c r="B9502" s="17" t="s">
        <v>70</v>
      </c>
      <c r="C9502" s="17" t="s">
        <v>71</v>
      </c>
      <c r="D9502" t="s">
        <v>5783</v>
      </c>
      <c r="F9502" t="s">
        <v>26281</v>
      </c>
      <c r="K9502" s="18">
        <f>6287774109088</f>
        <v>6287774109088</v>
      </c>
      <c r="N9502" s="17" t="s">
        <v>77</v>
      </c>
      <c r="U9502" s="17"/>
      <c r="V9502" s="18">
        <f>6287774109088</f>
        <v>6287774109088</v>
      </c>
      <c r="W9502" t="s">
        <v>4993</v>
      </c>
    </row>
    <row r="9503" ht="15" customHeight="1" spans="1:28" x14ac:dyDescent="0.25">
      <c r="A9503" s="17" t="s">
        <v>26282</v>
      </c>
      <c r="B9503" s="17" t="s">
        <v>70</v>
      </c>
      <c r="C9503" s="17" t="s">
        <v>71</v>
      </c>
      <c r="D9503" t="s">
        <v>3661</v>
      </c>
      <c r="F9503" t="s">
        <v>672</v>
      </c>
      <c r="J9503" s="17" t="s">
        <v>26283</v>
      </c>
      <c r="K9503" s="18" t="s">
        <v>26284</v>
      </c>
      <c r="N9503" s="17" t="s">
        <v>77</v>
      </c>
      <c r="O9503" t="s">
        <v>117</v>
      </c>
      <c r="V9503" s="18" t="s">
        <v>26284</v>
      </c>
      <c r="Y9503" t="s">
        <v>490</v>
      </c>
      <c r="AA9503" t="s">
        <v>115</v>
      </c>
      <c r="AB9503" t="s">
        <v>119</v>
      </c>
    </row>
    <row r="9504" ht="15" customHeight="1" spans="1:22" x14ac:dyDescent="0.25">
      <c r="A9504" s="17" t="s">
        <v>26285</v>
      </c>
      <c r="B9504" s="17" t="s">
        <v>70</v>
      </c>
      <c r="C9504" s="17" t="s">
        <v>71</v>
      </c>
      <c r="D9504" t="s">
        <v>26286</v>
      </c>
      <c r="F9504" t="s">
        <v>26286</v>
      </c>
      <c r="K9504" s="18">
        <f>6281219992989</f>
        <v>6281219992989</v>
      </c>
      <c r="N9504" s="17" t="s">
        <v>81</v>
      </c>
      <c r="V9504" s="18">
        <f>6281219992989</f>
        <v>6281219992989</v>
      </c>
    </row>
    <row r="9505" ht="15" customHeight="1" spans="1:22" x14ac:dyDescent="0.25">
      <c r="A9505" s="17" t="s">
        <v>26287</v>
      </c>
      <c r="B9505" s="17" t="s">
        <v>70</v>
      </c>
      <c r="C9505" s="17" t="s">
        <v>71</v>
      </c>
      <c r="D9505" t="s">
        <v>26288</v>
      </c>
      <c r="F9505" t="s">
        <v>26288</v>
      </c>
      <c r="K9505" s="18">
        <f>6281282772011</f>
        <v>6281282772011</v>
      </c>
      <c r="N9505" s="17" t="s">
        <v>81</v>
      </c>
      <c r="V9505" s="18">
        <f>6281282772011</f>
        <v>6281282772011</v>
      </c>
    </row>
    <row r="9506" ht="15" customHeight="1" spans="1:22" x14ac:dyDescent="0.25">
      <c r="A9506" s="17" t="s">
        <v>26289</v>
      </c>
      <c r="B9506" s="17" t="s">
        <v>70</v>
      </c>
      <c r="C9506" s="17" t="s">
        <v>71</v>
      </c>
      <c r="D9506" t="s">
        <v>26288</v>
      </c>
      <c r="F9506" t="s">
        <v>26290</v>
      </c>
      <c r="K9506" s="18">
        <f>6287825742454</f>
        <v>6287825742454</v>
      </c>
      <c r="N9506" s="17" t="s">
        <v>77</v>
      </c>
      <c r="V9506" s="18">
        <f>6287825742454</f>
        <v>6287825742454</v>
      </c>
    </row>
    <row r="9507" ht="15" customHeight="1" spans="1:23" x14ac:dyDescent="0.25">
      <c r="A9507" s="17" t="s">
        <v>26291</v>
      </c>
      <c r="B9507" s="17" t="s">
        <v>70</v>
      </c>
      <c r="C9507" s="17" t="s">
        <v>71</v>
      </c>
      <c r="D9507" t="s">
        <v>26288</v>
      </c>
      <c r="F9507" t="s">
        <v>26292</v>
      </c>
      <c r="K9507" s="18">
        <f>4366565782818</f>
        <v>4366565782818</v>
      </c>
      <c r="N9507" s="17" t="s">
        <v>77</v>
      </c>
      <c r="U9507" s="17"/>
      <c r="V9507" s="18">
        <f>4366565782818</f>
        <v>4366565782818</v>
      </c>
      <c r="W9507" t="s">
        <v>26293</v>
      </c>
    </row>
    <row r="9508" ht="15" customHeight="1" spans="1:22" x14ac:dyDescent="0.25">
      <c r="A9508" s="17" t="s">
        <v>26294</v>
      </c>
      <c r="B9508" s="17" t="s">
        <v>70</v>
      </c>
      <c r="C9508" s="17" t="s">
        <v>71</v>
      </c>
      <c r="D9508" t="s">
        <v>3661</v>
      </c>
      <c r="F9508" t="s">
        <v>3661</v>
      </c>
      <c r="K9508" s="18">
        <f>62811136205</f>
        <v>62811136205</v>
      </c>
      <c r="N9508" s="17" t="s">
        <v>77</v>
      </c>
      <c r="V9508" s="18">
        <f>62811136205</f>
        <v>62811136205</v>
      </c>
    </row>
    <row r="9509" ht="15" customHeight="1" spans="1:28" x14ac:dyDescent="0.25">
      <c r="A9509" s="17" t="s">
        <v>26295</v>
      </c>
      <c r="B9509" s="17" t="s">
        <v>70</v>
      </c>
      <c r="C9509" s="17" t="s">
        <v>71</v>
      </c>
      <c r="D9509" t="s">
        <v>26296</v>
      </c>
      <c r="F9509" t="s">
        <v>1064</v>
      </c>
      <c r="J9509" t="s">
        <v>115</v>
      </c>
      <c r="K9509" s="18" t="s">
        <v>26297</v>
      </c>
      <c r="N9509" s="17" t="s">
        <v>74</v>
      </c>
      <c r="O9509" t="s">
        <v>1188</v>
      </c>
      <c r="U9509" s="17"/>
      <c r="V9509" s="18" t="s">
        <v>26297</v>
      </c>
      <c r="W9509" t="s">
        <v>26298</v>
      </c>
      <c r="Y9509" t="s">
        <v>1084</v>
      </c>
      <c r="AA9509" t="s">
        <v>3146</v>
      </c>
      <c r="AB9509" t="s">
        <v>119</v>
      </c>
    </row>
    <row r="9510" ht="15" customHeight="1" spans="1:28" x14ac:dyDescent="0.25">
      <c r="A9510" s="17" t="s">
        <v>26299</v>
      </c>
      <c r="B9510" s="17" t="s">
        <v>70</v>
      </c>
      <c r="C9510" s="17" t="s">
        <v>71</v>
      </c>
      <c r="D9510" t="s">
        <v>3661</v>
      </c>
      <c r="F9510" t="s">
        <v>3099</v>
      </c>
      <c r="J9510" t="s">
        <v>115</v>
      </c>
      <c r="K9510" s="18" t="s">
        <v>26300</v>
      </c>
      <c r="N9510" s="17" t="s">
        <v>77</v>
      </c>
      <c r="O9510" t="s">
        <v>145</v>
      </c>
      <c r="V9510" s="18" t="s">
        <v>26300</v>
      </c>
      <c r="Y9510" t="s">
        <v>190</v>
      </c>
      <c r="AA9510" t="s">
        <v>118</v>
      </c>
      <c r="AB9510" t="s">
        <v>119</v>
      </c>
    </row>
    <row r="9511" ht="15" customHeight="1" spans="1:22" x14ac:dyDescent="0.25">
      <c r="A9511" s="17" t="s">
        <v>26301</v>
      </c>
      <c r="B9511" s="17" t="s">
        <v>70</v>
      </c>
      <c r="C9511" s="17" t="s">
        <v>71</v>
      </c>
      <c r="D9511" t="s">
        <v>3661</v>
      </c>
      <c r="F9511" t="s">
        <v>4708</v>
      </c>
      <c r="K9511" s="18">
        <f>6281511288832</f>
        <v>6281511288832</v>
      </c>
      <c r="N9511" s="17" t="s">
        <v>77</v>
      </c>
      <c r="V9511" s="18">
        <f>6281511288832</f>
        <v>6281511288832</v>
      </c>
    </row>
    <row r="9512" ht="15" customHeight="1" spans="1:25" x14ac:dyDescent="0.25">
      <c r="A9512" s="17" t="s">
        <v>26302</v>
      </c>
      <c r="B9512" s="17" t="s">
        <v>70</v>
      </c>
      <c r="C9512" s="17" t="s">
        <v>71</v>
      </c>
      <c r="D9512" t="s">
        <v>18384</v>
      </c>
      <c r="F9512" t="s">
        <v>18384</v>
      </c>
      <c r="J9512" s="17" t="s">
        <v>26303</v>
      </c>
      <c r="K9512" s="18">
        <f>6281316886836</f>
        <v>6281316886836</v>
      </c>
      <c r="N9512" s="17" t="s">
        <v>77</v>
      </c>
      <c r="U9512" s="17"/>
      <c r="V9512" s="18">
        <f>6281316886836</f>
        <v>6281316886836</v>
      </c>
      <c r="W9512" t="s">
        <v>26304</v>
      </c>
      <c r="Y9512" s="17" t="s">
        <v>1084</v>
      </c>
    </row>
    <row r="9513" ht="15" customHeight="1" spans="1:22" x14ac:dyDescent="0.25">
      <c r="A9513" s="17" t="s">
        <v>26305</v>
      </c>
      <c r="B9513" s="17" t="s">
        <v>70</v>
      </c>
      <c r="C9513" s="17" t="s">
        <v>71</v>
      </c>
      <c r="D9513" t="s">
        <v>18384</v>
      </c>
      <c r="F9513" t="s">
        <v>18384</v>
      </c>
      <c r="K9513" s="18">
        <f>628170888835</f>
        <v>628170888835</v>
      </c>
      <c r="N9513" s="17" t="s">
        <v>77</v>
      </c>
      <c r="V9513" s="18">
        <f>628170888835</f>
        <v>628170888835</v>
      </c>
    </row>
    <row r="9514" ht="15" customHeight="1" spans="1:27" x14ac:dyDescent="0.25">
      <c r="A9514" s="17" t="s">
        <v>26306</v>
      </c>
      <c r="B9514" s="17" t="s">
        <v>70</v>
      </c>
      <c r="C9514" s="17" t="s">
        <v>71</v>
      </c>
      <c r="D9514" t="s">
        <v>18384</v>
      </c>
      <c r="F9514" t="s">
        <v>1064</v>
      </c>
      <c r="K9514" s="18">
        <v>54200805</v>
      </c>
      <c r="N9514" s="17" t="s">
        <v>77</v>
      </c>
      <c r="U9514" s="17"/>
      <c r="V9514" s="18">
        <v>54200805</v>
      </c>
      <c r="W9514" t="s">
        <v>16869</v>
      </c>
      <c r="Y9514" s="17" t="s">
        <v>217</v>
      </c>
      <c r="AA9514" s="17" t="s">
        <v>8658</v>
      </c>
    </row>
    <row r="9515" ht="15" customHeight="1" spans="1:28" x14ac:dyDescent="0.25">
      <c r="A9515" s="17" t="s">
        <v>26307</v>
      </c>
      <c r="B9515" s="17" t="s">
        <v>70</v>
      </c>
      <c r="C9515" s="17" t="s">
        <v>71</v>
      </c>
      <c r="D9515" t="s">
        <v>18384</v>
      </c>
      <c r="F9515" t="s">
        <v>18384</v>
      </c>
      <c r="J9515" t="s">
        <v>115</v>
      </c>
      <c r="K9515" s="18" t="s">
        <v>26308</v>
      </c>
      <c r="N9515" s="17" t="s">
        <v>77</v>
      </c>
      <c r="O9515" t="s">
        <v>117</v>
      </c>
      <c r="V9515" s="18" t="s">
        <v>26308</v>
      </c>
      <c r="Y9515" t="s">
        <v>90</v>
      </c>
      <c r="AA9515" t="s">
        <v>118</v>
      </c>
      <c r="AB9515" t="s">
        <v>119</v>
      </c>
    </row>
    <row r="9516" ht="15" customHeight="1" spans="1:28" x14ac:dyDescent="0.25">
      <c r="A9516" s="17" t="s">
        <v>26309</v>
      </c>
      <c r="B9516" s="17" t="s">
        <v>70</v>
      </c>
      <c r="C9516" s="17" t="s">
        <v>71</v>
      </c>
      <c r="D9516" t="s">
        <v>18384</v>
      </c>
      <c r="F9516" t="s">
        <v>26310</v>
      </c>
      <c r="J9516" t="s">
        <v>115</v>
      </c>
      <c r="K9516" s="18" t="s">
        <v>26311</v>
      </c>
      <c r="N9516" s="17" t="s">
        <v>77</v>
      </c>
      <c r="O9516" t="s">
        <v>117</v>
      </c>
      <c r="U9516" s="17"/>
      <c r="V9516" s="18" t="s">
        <v>26311</v>
      </c>
      <c r="W9516" t="s">
        <v>26312</v>
      </c>
      <c r="Y9516" t="s">
        <v>90</v>
      </c>
      <c r="AA9516" t="s">
        <v>118</v>
      </c>
      <c r="AB9516" t="s">
        <v>119</v>
      </c>
    </row>
    <row r="9517" ht="15" customHeight="1" spans="1:22" x14ac:dyDescent="0.25">
      <c r="A9517" s="17" t="s">
        <v>26313</v>
      </c>
      <c r="B9517" s="17" t="s">
        <v>70</v>
      </c>
      <c r="C9517" s="17" t="s">
        <v>71</v>
      </c>
      <c r="D9517" t="s">
        <v>26314</v>
      </c>
      <c r="F9517" t="s">
        <v>26314</v>
      </c>
      <c r="K9517" s="18">
        <f>62812653688</f>
        <v>62812653688</v>
      </c>
      <c r="N9517" s="17" t="s">
        <v>74</v>
      </c>
      <c r="V9517" s="18">
        <f>62812653688</f>
        <v>62812653688</v>
      </c>
    </row>
    <row r="9518" ht="15" customHeight="1" spans="1:22" x14ac:dyDescent="0.25">
      <c r="A9518" s="17" t="s">
        <v>26315</v>
      </c>
      <c r="B9518" s="17" t="s">
        <v>70</v>
      </c>
      <c r="C9518" s="17" t="s">
        <v>71</v>
      </c>
      <c r="D9518" t="s">
        <v>26314</v>
      </c>
      <c r="F9518" t="s">
        <v>26314</v>
      </c>
      <c r="K9518" s="18">
        <f>628126536889</f>
        <v>628126536889</v>
      </c>
      <c r="N9518" s="17" t="s">
        <v>77</v>
      </c>
      <c r="V9518" s="18">
        <f>628126536889</f>
        <v>628126536889</v>
      </c>
    </row>
    <row r="9519" ht="15" customHeight="1" spans="1:22" x14ac:dyDescent="0.25">
      <c r="A9519" s="17" t="s">
        <v>26316</v>
      </c>
      <c r="B9519" s="17" t="s">
        <v>70</v>
      </c>
      <c r="C9519" s="17" t="s">
        <v>71</v>
      </c>
      <c r="D9519" t="s">
        <v>26310</v>
      </c>
      <c r="F9519" t="s">
        <v>26310</v>
      </c>
      <c r="K9519" s="18">
        <f>6281289252993</f>
        <v>6281289252993</v>
      </c>
      <c r="N9519" s="17" t="s">
        <v>74</v>
      </c>
      <c r="V9519" s="18">
        <f>6281289252993</f>
        <v>6281289252993</v>
      </c>
    </row>
    <row r="9520" ht="15" customHeight="1" spans="1:22" x14ac:dyDescent="0.25">
      <c r="A9520" s="17" t="s">
        <v>26317</v>
      </c>
      <c r="B9520" s="17" t="s">
        <v>70</v>
      </c>
      <c r="C9520" s="17" t="s">
        <v>71</v>
      </c>
      <c r="D9520" t="s">
        <v>26310</v>
      </c>
      <c r="F9520" t="s">
        <v>26318</v>
      </c>
      <c r="K9520" s="18">
        <f>62816817134</f>
        <v>62816817134</v>
      </c>
      <c r="N9520" s="17" t="s">
        <v>81</v>
      </c>
      <c r="V9520" s="18">
        <f>62816817134</f>
        <v>62816817134</v>
      </c>
    </row>
    <row r="9521" ht="15" customHeight="1" spans="1:22" x14ac:dyDescent="0.25">
      <c r="A9521" s="17" t="s">
        <v>26319</v>
      </c>
      <c r="B9521" s="17" t="s">
        <v>70</v>
      </c>
      <c r="C9521" s="17" t="s">
        <v>71</v>
      </c>
      <c r="D9521" t="s">
        <v>26320</v>
      </c>
      <c r="F9521" t="s">
        <v>26321</v>
      </c>
      <c r="K9521" s="18">
        <f>6281335141113</f>
        <v>6281335141113</v>
      </c>
      <c r="N9521" s="17" t="s">
        <v>77</v>
      </c>
      <c r="V9521" s="18">
        <f>6281335141113</f>
        <v>6281335141113</v>
      </c>
    </row>
    <row r="9522" ht="15" customHeight="1" spans="1:28" x14ac:dyDescent="0.25">
      <c r="A9522" s="17" t="s">
        <v>26322</v>
      </c>
      <c r="B9522" s="17" t="s">
        <v>70</v>
      </c>
      <c r="C9522" s="17" t="s">
        <v>71</v>
      </c>
      <c r="D9522" t="s">
        <v>26323</v>
      </c>
      <c r="F9522" t="s">
        <v>3618</v>
      </c>
      <c r="J9522" t="s">
        <v>115</v>
      </c>
      <c r="K9522" s="18" t="s">
        <v>26324</v>
      </c>
      <c r="N9522" s="17" t="s">
        <v>77</v>
      </c>
      <c r="O9522" t="s">
        <v>145</v>
      </c>
      <c r="V9522" s="18" t="s">
        <v>26324</v>
      </c>
      <c r="Y9522" t="s">
        <v>190</v>
      </c>
      <c r="AA9522" t="s">
        <v>118</v>
      </c>
      <c r="AB9522" t="s">
        <v>1349</v>
      </c>
    </row>
    <row r="9523" ht="15" customHeight="1" spans="1:28" x14ac:dyDescent="0.25">
      <c r="A9523" s="17" t="s">
        <v>26325</v>
      </c>
      <c r="B9523" s="17" t="s">
        <v>70</v>
      </c>
      <c r="C9523" s="17" t="s">
        <v>71</v>
      </c>
      <c r="D9523" t="s">
        <v>26326</v>
      </c>
      <c r="F9523" t="s">
        <v>26327</v>
      </c>
      <c r="J9523" t="s">
        <v>115</v>
      </c>
      <c r="K9523" s="18" t="s">
        <v>26328</v>
      </c>
      <c r="N9523" s="17" t="s">
        <v>77</v>
      </c>
      <c r="O9523" t="s">
        <v>145</v>
      </c>
      <c r="U9523" s="17"/>
      <c r="V9523" s="18" t="s">
        <v>26328</v>
      </c>
      <c r="W9523" t="s">
        <v>26329</v>
      </c>
      <c r="Y9523" s="17" t="s">
        <v>500</v>
      </c>
      <c r="AA9523" t="s">
        <v>501</v>
      </c>
      <c r="AB9523" t="s">
        <v>119</v>
      </c>
    </row>
    <row r="9524" ht="15" customHeight="1" spans="1:22" x14ac:dyDescent="0.25">
      <c r="A9524" s="17" t="s">
        <v>26330</v>
      </c>
      <c r="B9524" s="17" t="s">
        <v>70</v>
      </c>
      <c r="C9524" s="17" t="s">
        <v>71</v>
      </c>
      <c r="D9524" t="s">
        <v>10659</v>
      </c>
      <c r="F9524" t="s">
        <v>26331</v>
      </c>
      <c r="K9524" s="18">
        <f>6281383757180</f>
        <v>6281383757180</v>
      </c>
      <c r="N9524" s="17" t="s">
        <v>81</v>
      </c>
      <c r="V9524" s="18">
        <f>6281383757180</f>
        <v>6281383757180</v>
      </c>
    </row>
    <row r="9525" ht="15" customHeight="1" spans="1:22" x14ac:dyDescent="0.25">
      <c r="A9525" s="17" t="s">
        <v>26332</v>
      </c>
      <c r="B9525" s="17" t="s">
        <v>70</v>
      </c>
      <c r="C9525" s="17" t="s">
        <v>71</v>
      </c>
      <c r="D9525" t="s">
        <v>26333</v>
      </c>
      <c r="F9525" t="s">
        <v>1125</v>
      </c>
      <c r="K9525" s="18">
        <f>62818133161</f>
        <v>62818133161</v>
      </c>
      <c r="N9525" s="17" t="s">
        <v>77</v>
      </c>
      <c r="V9525" s="18">
        <f>62818133161</f>
        <v>62818133161</v>
      </c>
    </row>
    <row r="9526" ht="15" customHeight="1" spans="1:22" x14ac:dyDescent="0.25">
      <c r="A9526" s="17" t="s">
        <v>26334</v>
      </c>
      <c r="B9526" s="17" t="s">
        <v>70</v>
      </c>
      <c r="C9526" s="17" t="s">
        <v>71</v>
      </c>
      <c r="D9526" t="s">
        <v>5264</v>
      </c>
      <c r="F9526" t="s">
        <v>5264</v>
      </c>
      <c r="K9526" s="18">
        <f>6281380632009</f>
        <v>6281380632009</v>
      </c>
      <c r="N9526" s="17" t="s">
        <v>81</v>
      </c>
      <c r="V9526" s="18">
        <f>6281380632009</f>
        <v>6281380632009</v>
      </c>
    </row>
    <row r="9527" ht="15" customHeight="1" spans="1:28" x14ac:dyDescent="0.25">
      <c r="A9527" s="17" t="s">
        <v>26335</v>
      </c>
      <c r="B9527" s="17" t="s">
        <v>70</v>
      </c>
      <c r="C9527" s="17" t="s">
        <v>71</v>
      </c>
      <c r="D9527" t="s">
        <v>5264</v>
      </c>
      <c r="F9527" t="s">
        <v>5622</v>
      </c>
      <c r="J9527" s="17" t="s">
        <v>26336</v>
      </c>
      <c r="K9527" s="18" t="s">
        <v>26337</v>
      </c>
      <c r="N9527" s="17" t="s">
        <v>77</v>
      </c>
      <c r="O9527" t="s">
        <v>261</v>
      </c>
      <c r="U9527" s="17"/>
      <c r="V9527" s="18" t="s">
        <v>26337</v>
      </c>
      <c r="W9527" t="s">
        <v>26338</v>
      </c>
      <c r="Y9527" t="s">
        <v>3536</v>
      </c>
      <c r="AA9527" t="s">
        <v>115</v>
      </c>
      <c r="AB9527" t="s">
        <v>119</v>
      </c>
    </row>
    <row r="9528" ht="15" customHeight="1" spans="1:22" x14ac:dyDescent="0.25">
      <c r="A9528" s="17" t="s">
        <v>26339</v>
      </c>
      <c r="B9528" s="17" t="s">
        <v>70</v>
      </c>
      <c r="C9528" s="17" t="s">
        <v>71</v>
      </c>
      <c r="D9528" t="s">
        <v>5264</v>
      </c>
      <c r="F9528" t="s">
        <v>5263</v>
      </c>
      <c r="K9528" s="18">
        <f>62818896781</f>
        <v>62818896781</v>
      </c>
      <c r="N9528" s="17" t="s">
        <v>77</v>
      </c>
      <c r="V9528" s="18">
        <f>62818896781</f>
        <v>62818896781</v>
      </c>
    </row>
    <row r="9529" ht="15" customHeight="1" spans="1:23" x14ac:dyDescent="0.25">
      <c r="A9529" s="17" t="s">
        <v>26340</v>
      </c>
      <c r="B9529" s="17" t="s">
        <v>70</v>
      </c>
      <c r="C9529" s="17" t="s">
        <v>71</v>
      </c>
      <c r="D9529" t="s">
        <v>5264</v>
      </c>
      <c r="F9529" t="s">
        <v>3661</v>
      </c>
      <c r="K9529" s="18">
        <f>628558000223</f>
        <v>628558000223</v>
      </c>
      <c r="N9529" s="17" t="s">
        <v>77</v>
      </c>
      <c r="U9529" s="17"/>
      <c r="V9529" s="18">
        <f>628558000223</f>
        <v>628558000223</v>
      </c>
      <c r="W9529" t="s">
        <v>26341</v>
      </c>
    </row>
    <row r="9530" ht="15" customHeight="1" spans="1:28" x14ac:dyDescent="0.25">
      <c r="A9530" s="17" t="s">
        <v>26342</v>
      </c>
      <c r="B9530" s="17" t="s">
        <v>70</v>
      </c>
      <c r="C9530" s="17" t="s">
        <v>71</v>
      </c>
      <c r="D9530" t="s">
        <v>5264</v>
      </c>
      <c r="F9530" t="s">
        <v>26343</v>
      </c>
      <c r="J9530" s="17" t="s">
        <v>26344</v>
      </c>
      <c r="K9530" s="18" t="s">
        <v>26345</v>
      </c>
      <c r="N9530" s="17" t="s">
        <v>77</v>
      </c>
      <c r="O9530" t="s">
        <v>145</v>
      </c>
      <c r="V9530" s="18" t="s">
        <v>26345</v>
      </c>
      <c r="Y9530" t="s">
        <v>115</v>
      </c>
      <c r="AA9530" t="s">
        <v>115</v>
      </c>
      <c r="AB9530" t="s">
        <v>2605</v>
      </c>
    </row>
    <row r="9531" ht="15" customHeight="1" spans="1:28" x14ac:dyDescent="0.25">
      <c r="A9531" s="17" t="s">
        <v>26346</v>
      </c>
      <c r="B9531" s="17" t="s">
        <v>70</v>
      </c>
      <c r="C9531" s="17" t="s">
        <v>71</v>
      </c>
      <c r="D9531" t="s">
        <v>5264</v>
      </c>
      <c r="F9531" t="s">
        <v>26347</v>
      </c>
      <c r="J9531" s="17" t="s">
        <v>26348</v>
      </c>
      <c r="K9531" s="18" t="s">
        <v>26349</v>
      </c>
      <c r="N9531" s="17" t="s">
        <v>81</v>
      </c>
      <c r="O9531" t="s">
        <v>117</v>
      </c>
      <c r="V9531" s="18" t="s">
        <v>26349</v>
      </c>
      <c r="Y9531" t="s">
        <v>90</v>
      </c>
      <c r="AA9531" t="s">
        <v>118</v>
      </c>
      <c r="AB9531" t="s">
        <v>119</v>
      </c>
    </row>
    <row r="9532" ht="15" customHeight="1" spans="1:25" x14ac:dyDescent="0.25">
      <c r="A9532" s="17" t="s">
        <v>26350</v>
      </c>
      <c r="B9532" s="17" t="s">
        <v>70</v>
      </c>
      <c r="C9532" s="17" t="s">
        <v>71</v>
      </c>
      <c r="D9532" t="s">
        <v>26351</v>
      </c>
      <c r="F9532" t="s">
        <v>26351</v>
      </c>
      <c r="J9532" s="17" t="s">
        <v>26352</v>
      </c>
      <c r="K9532" s="18">
        <f>628176318989</f>
        <v>628176318989</v>
      </c>
      <c r="N9532" s="17" t="s">
        <v>81</v>
      </c>
      <c r="U9532" s="17"/>
      <c r="V9532" s="18">
        <f>628176318989</f>
        <v>628176318989</v>
      </c>
      <c r="W9532" t="s">
        <v>26353</v>
      </c>
      <c r="Y9532" s="17" t="s">
        <v>1084</v>
      </c>
    </row>
    <row r="9533" ht="15" customHeight="1" spans="1:27" x14ac:dyDescent="0.25">
      <c r="A9533" s="17" t="s">
        <v>26354</v>
      </c>
      <c r="B9533" s="17" t="s">
        <v>70</v>
      </c>
      <c r="C9533" s="17" t="s">
        <v>71</v>
      </c>
      <c r="D9533" t="s">
        <v>26351</v>
      </c>
      <c r="F9533" t="s">
        <v>26351</v>
      </c>
      <c r="K9533" s="18">
        <f>6281316228888</f>
        <v>6281316228888</v>
      </c>
      <c r="N9533" s="17" t="s">
        <v>77</v>
      </c>
      <c r="U9533" s="17"/>
      <c r="V9533" s="18">
        <f>6281316228888</f>
        <v>6281316228888</v>
      </c>
      <c r="W9533" t="s">
        <v>26355</v>
      </c>
      <c r="Y9533" s="17" t="s">
        <v>1084</v>
      </c>
      <c r="AA9533" s="17">
        <v>11450</v>
      </c>
    </row>
    <row r="9534" ht="15" customHeight="1" spans="1:22" x14ac:dyDescent="0.25">
      <c r="A9534" s="17" t="s">
        <v>26356</v>
      </c>
      <c r="B9534" s="17" t="s">
        <v>70</v>
      </c>
      <c r="C9534" s="17" t="s">
        <v>71</v>
      </c>
      <c r="D9534" t="s">
        <v>26357</v>
      </c>
      <c r="F9534" t="s">
        <v>26357</v>
      </c>
      <c r="K9534" s="18">
        <f>62811903701</f>
        <v>62811903701</v>
      </c>
      <c r="N9534" s="17" t="s">
        <v>77</v>
      </c>
      <c r="V9534" s="18">
        <f>62811903701</f>
        <v>62811903701</v>
      </c>
    </row>
    <row r="9535" ht="15" customHeight="1" spans="1:22" x14ac:dyDescent="0.25">
      <c r="A9535" s="17" t="s">
        <v>26358</v>
      </c>
      <c r="B9535" s="17" t="s">
        <v>70</v>
      </c>
      <c r="C9535" s="17" t="s">
        <v>71</v>
      </c>
      <c r="D9535" t="s">
        <v>26359</v>
      </c>
      <c r="F9535" t="s">
        <v>26359</v>
      </c>
      <c r="K9535" s="18">
        <f>6281391877775</f>
        <v>6281391877775</v>
      </c>
      <c r="N9535" s="17" t="s">
        <v>74</v>
      </c>
      <c r="V9535" s="18">
        <f>6281391877775</f>
        <v>6281391877775</v>
      </c>
    </row>
    <row r="9536" ht="15" customHeight="1" spans="1:23" x14ac:dyDescent="0.25">
      <c r="A9536" s="17" t="s">
        <v>26360</v>
      </c>
      <c r="B9536" s="17" t="s">
        <v>70</v>
      </c>
      <c r="C9536" s="17" t="s">
        <v>71</v>
      </c>
      <c r="D9536" t="s">
        <v>26359</v>
      </c>
      <c r="F9536" t="s">
        <v>4136</v>
      </c>
      <c r="J9536" s="17" t="s">
        <v>26361</v>
      </c>
      <c r="K9536" s="18">
        <f>6285717133135</f>
        <v>6285717133135</v>
      </c>
      <c r="N9536" s="17" t="s">
        <v>81</v>
      </c>
      <c r="U9536" s="17"/>
      <c r="V9536" s="18">
        <f>6285717133135</f>
        <v>6285717133135</v>
      </c>
      <c r="W9536" t="s">
        <v>26362</v>
      </c>
    </row>
    <row r="9537" ht="15" customHeight="1" spans="1:27" x14ac:dyDescent="0.25">
      <c r="A9537" s="17" t="s">
        <v>26363</v>
      </c>
      <c r="B9537" s="17" t="s">
        <v>70</v>
      </c>
      <c r="C9537" s="17" t="s">
        <v>71</v>
      </c>
      <c r="D9537" t="s">
        <v>26359</v>
      </c>
      <c r="F9537" t="s">
        <v>26364</v>
      </c>
      <c r="K9537" s="18">
        <f>62816958818</f>
        <v>62816958818</v>
      </c>
      <c r="N9537" s="17" t="s">
        <v>74</v>
      </c>
      <c r="U9537" s="17"/>
      <c r="V9537" s="18">
        <f>62816958818</f>
        <v>62816958818</v>
      </c>
      <c r="W9537" t="s">
        <v>26365</v>
      </c>
      <c r="Y9537" s="17" t="s">
        <v>96</v>
      </c>
      <c r="AA9537" s="17" t="s">
        <v>133</v>
      </c>
    </row>
    <row r="9538" ht="15" customHeight="1" spans="1:23" x14ac:dyDescent="0.25">
      <c r="A9538" s="17" t="s">
        <v>26366</v>
      </c>
      <c r="B9538" s="17" t="s">
        <v>70</v>
      </c>
      <c r="C9538" s="17" t="s">
        <v>71</v>
      </c>
      <c r="D9538" t="s">
        <v>26359</v>
      </c>
      <c r="F9538" t="s">
        <v>26367</v>
      </c>
      <c r="J9538" s="17" t="s">
        <v>26368</v>
      </c>
      <c r="K9538" s="18">
        <f>6262811944599</f>
        <v>6262811944599</v>
      </c>
      <c r="N9538" s="17" t="s">
        <v>77</v>
      </c>
      <c r="U9538" s="17"/>
      <c r="V9538" s="18">
        <f>6262811944599</f>
        <v>6262811944599</v>
      </c>
      <c r="W9538" t="s">
        <v>26369</v>
      </c>
    </row>
    <row r="9539" ht="15" customHeight="1" spans="1:22" x14ac:dyDescent="0.25">
      <c r="A9539" s="17" t="s">
        <v>26370</v>
      </c>
      <c r="B9539" s="17" t="s">
        <v>70</v>
      </c>
      <c r="C9539" s="17" t="s">
        <v>71</v>
      </c>
      <c r="D9539" t="s">
        <v>26359</v>
      </c>
      <c r="F9539" t="s">
        <v>26371</v>
      </c>
      <c r="K9539" s="18">
        <f>6281211278249</f>
        <v>6281211278249</v>
      </c>
      <c r="N9539" s="17" t="s">
        <v>74</v>
      </c>
      <c r="V9539" s="18">
        <f>6281211278249</f>
        <v>6281211278249</v>
      </c>
    </row>
    <row r="9540" ht="15" customHeight="1" spans="1:28" x14ac:dyDescent="0.25">
      <c r="A9540" s="17" t="s">
        <v>26372</v>
      </c>
      <c r="B9540" s="17" t="s">
        <v>70</v>
      </c>
      <c r="C9540" s="17" t="s">
        <v>71</v>
      </c>
      <c r="D9540" t="s">
        <v>26359</v>
      </c>
      <c r="F9540" t="s">
        <v>9188</v>
      </c>
      <c r="J9540" t="s">
        <v>115</v>
      </c>
      <c r="K9540" s="18" t="s">
        <v>26373</v>
      </c>
      <c r="N9540" s="17" t="s">
        <v>77</v>
      </c>
      <c r="O9540" t="s">
        <v>489</v>
      </c>
      <c r="V9540" s="18" t="s">
        <v>26373</v>
      </c>
      <c r="Y9540" t="s">
        <v>90</v>
      </c>
      <c r="AA9540" t="s">
        <v>118</v>
      </c>
      <c r="AB9540" t="s">
        <v>119</v>
      </c>
    </row>
    <row r="9541" ht="15" customHeight="1" spans="1:28" x14ac:dyDescent="0.25">
      <c r="A9541" s="17" t="s">
        <v>26374</v>
      </c>
      <c r="B9541" s="17" t="s">
        <v>70</v>
      </c>
      <c r="C9541" s="17" t="s">
        <v>71</v>
      </c>
      <c r="D9541" t="s">
        <v>26359</v>
      </c>
      <c r="F9541" t="s">
        <v>913</v>
      </c>
      <c r="J9541" t="s">
        <v>26375</v>
      </c>
      <c r="K9541" s="18" t="s">
        <v>26376</v>
      </c>
      <c r="N9541" s="17" t="s">
        <v>77</v>
      </c>
      <c r="O9541" t="s">
        <v>199</v>
      </c>
      <c r="U9541" s="17"/>
      <c r="V9541" s="18" t="s">
        <v>26376</v>
      </c>
      <c r="W9541" t="s">
        <v>26377</v>
      </c>
      <c r="Y9541" s="17" t="s">
        <v>90</v>
      </c>
      <c r="AA9541" t="s">
        <v>118</v>
      </c>
      <c r="AB9541" t="s">
        <v>119</v>
      </c>
    </row>
    <row r="9542" ht="15" customHeight="1" spans="1:22" x14ac:dyDescent="0.25">
      <c r="A9542" s="17" t="s">
        <v>26378</v>
      </c>
      <c r="B9542" s="17" t="s">
        <v>70</v>
      </c>
      <c r="C9542" s="17" t="s">
        <v>71</v>
      </c>
      <c r="D9542" t="s">
        <v>26359</v>
      </c>
      <c r="F9542" t="s">
        <v>7172</v>
      </c>
      <c r="K9542" s="18">
        <f>628129059999</f>
        <v>628129059999</v>
      </c>
      <c r="N9542" s="17" t="s">
        <v>77</v>
      </c>
      <c r="V9542" s="18">
        <f>628129059999</f>
        <v>628129059999</v>
      </c>
    </row>
    <row r="9543" ht="15" customHeight="1" spans="1:22" x14ac:dyDescent="0.25">
      <c r="A9543" s="17" t="s">
        <v>26379</v>
      </c>
      <c r="B9543" s="17" t="s">
        <v>70</v>
      </c>
      <c r="C9543" s="17" t="s">
        <v>71</v>
      </c>
      <c r="D9543" t="s">
        <v>26380</v>
      </c>
      <c r="F9543" t="s">
        <v>26380</v>
      </c>
      <c r="K9543" s="18">
        <f>628119872557</f>
        <v>628119872557</v>
      </c>
      <c r="N9543" s="17" t="s">
        <v>81</v>
      </c>
      <c r="V9543" s="18">
        <f>628119872557</f>
        <v>628119872557</v>
      </c>
    </row>
    <row r="9544" ht="15" customHeight="1" spans="1:28" x14ac:dyDescent="0.25">
      <c r="A9544" s="17" t="s">
        <v>26381</v>
      </c>
      <c r="B9544" s="17" t="s">
        <v>70</v>
      </c>
      <c r="C9544" s="17" t="s">
        <v>71</v>
      </c>
      <c r="D9544" t="s">
        <v>26380</v>
      </c>
      <c r="F9544" t="s">
        <v>9023</v>
      </c>
      <c r="J9544" s="17" t="s">
        <v>26382</v>
      </c>
      <c r="K9544" s="18" t="s">
        <v>26383</v>
      </c>
      <c r="N9544" s="17" t="s">
        <v>77</v>
      </c>
      <c r="O9544" t="s">
        <v>145</v>
      </c>
      <c r="U9544" s="17"/>
      <c r="V9544" s="18" t="s">
        <v>26383</v>
      </c>
      <c r="W9544" t="s">
        <v>26384</v>
      </c>
      <c r="Y9544" t="s">
        <v>90</v>
      </c>
      <c r="AA9544" t="s">
        <v>118</v>
      </c>
      <c r="AB9544" t="s">
        <v>119</v>
      </c>
    </row>
    <row r="9545" ht="15" customHeight="1" spans="1:28" x14ac:dyDescent="0.25">
      <c r="A9545" s="17" t="s">
        <v>26385</v>
      </c>
      <c r="B9545" s="17" t="s">
        <v>70</v>
      </c>
      <c r="C9545" s="17" t="s">
        <v>71</v>
      </c>
      <c r="D9545" t="s">
        <v>26386</v>
      </c>
      <c r="F9545" t="s">
        <v>3503</v>
      </c>
      <c r="J9545" t="s">
        <v>115</v>
      </c>
      <c r="K9545" s="18" t="s">
        <v>26387</v>
      </c>
      <c r="N9545" s="17" t="s">
        <v>74</v>
      </c>
      <c r="O9545" t="s">
        <v>145</v>
      </c>
      <c r="V9545" s="18" t="s">
        <v>26387</v>
      </c>
      <c r="Y9545" t="s">
        <v>90</v>
      </c>
      <c r="AA9545" t="s">
        <v>118</v>
      </c>
      <c r="AB9545" t="s">
        <v>119</v>
      </c>
    </row>
    <row r="9546" ht="15" customHeight="1" spans="1:27" x14ac:dyDescent="0.25">
      <c r="A9546" s="17" t="s">
        <v>26388</v>
      </c>
      <c r="B9546" s="17" t="s">
        <v>70</v>
      </c>
      <c r="C9546" s="17" t="s">
        <v>71</v>
      </c>
      <c r="D9546" t="s">
        <v>26389</v>
      </c>
      <c r="F9546" t="s">
        <v>26390</v>
      </c>
      <c r="K9546" s="18">
        <f>628558871100</f>
        <v>628558871100</v>
      </c>
      <c r="N9546" s="17" t="s">
        <v>77</v>
      </c>
      <c r="U9546" s="17"/>
      <c r="V9546" s="18">
        <f>628558871100</f>
        <v>628558871100</v>
      </c>
      <c r="W9546" t="s">
        <v>26391</v>
      </c>
      <c r="Y9546" s="17" t="s">
        <v>378</v>
      </c>
      <c r="AA9546" s="17" t="s">
        <v>7565</v>
      </c>
    </row>
    <row r="9547" ht="15" customHeight="1" spans="1:22" x14ac:dyDescent="0.25">
      <c r="A9547" s="17" t="s">
        <v>26392</v>
      </c>
      <c r="B9547" s="17" t="s">
        <v>70</v>
      </c>
      <c r="C9547" s="17" t="s">
        <v>71</v>
      </c>
      <c r="D9547" t="s">
        <v>26393</v>
      </c>
      <c r="F9547" t="s">
        <v>26393</v>
      </c>
      <c r="K9547" s="18">
        <f>6281905593933</f>
        <v>6281905593933</v>
      </c>
      <c r="N9547" s="17" t="s">
        <v>74</v>
      </c>
      <c r="V9547" s="18">
        <f>6281905593933</f>
        <v>6281905593933</v>
      </c>
    </row>
    <row r="9548" ht="15" customHeight="1" spans="1:27" x14ac:dyDescent="0.25">
      <c r="A9548" s="17" t="s">
        <v>26394</v>
      </c>
      <c r="B9548" s="17" t="s">
        <v>70</v>
      </c>
      <c r="C9548" s="17" t="s">
        <v>71</v>
      </c>
      <c r="D9548" t="s">
        <v>26393</v>
      </c>
      <c r="F9548" t="s">
        <v>11995</v>
      </c>
      <c r="K9548" s="18">
        <f>628129227389</f>
        <v>628129227389</v>
      </c>
      <c r="N9548" s="17" t="s">
        <v>77</v>
      </c>
      <c r="U9548" s="17"/>
      <c r="V9548" s="18">
        <f>628129227389</f>
        <v>628129227389</v>
      </c>
      <c r="W9548" t="s">
        <v>26395</v>
      </c>
      <c r="Y9548" s="17" t="s">
        <v>626</v>
      </c>
      <c r="AA9548" s="17" t="s">
        <v>26396</v>
      </c>
    </row>
    <row r="9549" ht="15" customHeight="1" spans="1:22" x14ac:dyDescent="0.25">
      <c r="A9549" s="17" t="s">
        <v>26397</v>
      </c>
      <c r="B9549" s="17" t="s">
        <v>70</v>
      </c>
      <c r="C9549" s="17" t="s">
        <v>71</v>
      </c>
      <c r="D9549" t="s">
        <v>26393</v>
      </c>
      <c r="F9549" t="s">
        <v>26398</v>
      </c>
      <c r="K9549" s="18">
        <f>628111801385</f>
        <v>628111801385</v>
      </c>
      <c r="N9549" s="17" t="s">
        <v>81</v>
      </c>
      <c r="V9549" s="18">
        <f>628111801385</f>
        <v>628111801385</v>
      </c>
    </row>
    <row r="9550" ht="15" customHeight="1" spans="1:28" x14ac:dyDescent="0.25">
      <c r="A9550" s="17" t="s">
        <v>26399</v>
      </c>
      <c r="B9550" s="17" t="s">
        <v>70</v>
      </c>
      <c r="C9550" s="17" t="s">
        <v>71</v>
      </c>
      <c r="D9550" t="s">
        <v>26393</v>
      </c>
      <c r="F9550" t="s">
        <v>8178</v>
      </c>
      <c r="J9550" t="s">
        <v>115</v>
      </c>
      <c r="K9550" s="18" t="s">
        <v>26400</v>
      </c>
      <c r="N9550" s="17" t="s">
        <v>77</v>
      </c>
      <c r="O9550" t="s">
        <v>117</v>
      </c>
      <c r="V9550" s="18" t="s">
        <v>26400</v>
      </c>
      <c r="Y9550" t="s">
        <v>90</v>
      </c>
      <c r="AA9550" t="s">
        <v>118</v>
      </c>
      <c r="AB9550" t="s">
        <v>119</v>
      </c>
    </row>
    <row r="9551" ht="15" customHeight="1" spans="1:22" x14ac:dyDescent="0.25">
      <c r="A9551" s="17" t="s">
        <v>26401</v>
      </c>
      <c r="B9551" s="17" t="s">
        <v>70</v>
      </c>
      <c r="C9551" s="17" t="s">
        <v>71</v>
      </c>
      <c r="D9551" t="s">
        <v>26393</v>
      </c>
      <c r="F9551" t="s">
        <v>26402</v>
      </c>
      <c r="K9551" s="18">
        <f>6281932621200</f>
        <v>6281932621200</v>
      </c>
      <c r="N9551" s="17" t="s">
        <v>77</v>
      </c>
      <c r="V9551" s="18">
        <f>6281932621200</f>
        <v>6281932621200</v>
      </c>
    </row>
    <row r="9552" ht="15" customHeight="1" spans="1:23" x14ac:dyDescent="0.25">
      <c r="A9552" s="17" t="s">
        <v>26403</v>
      </c>
      <c r="B9552" s="17" t="s">
        <v>70</v>
      </c>
      <c r="C9552" s="17" t="s">
        <v>71</v>
      </c>
      <c r="D9552" t="s">
        <v>25509</v>
      </c>
      <c r="F9552" t="s">
        <v>22268</v>
      </c>
      <c r="K9552" s="18">
        <f>6281286127857</f>
        <v>6281286127857</v>
      </c>
      <c r="N9552" s="17" t="s">
        <v>81</v>
      </c>
      <c r="U9552" s="17"/>
      <c r="V9552" s="18">
        <f>6281286127857</f>
        <v>6281286127857</v>
      </c>
      <c r="W9552" t="s">
        <v>26404</v>
      </c>
    </row>
    <row r="9553" ht="15" customHeight="1" spans="1:28" x14ac:dyDescent="0.25">
      <c r="A9553" s="17" t="s">
        <v>26405</v>
      </c>
      <c r="B9553" s="17" t="s">
        <v>70</v>
      </c>
      <c r="C9553" s="17" t="s">
        <v>71</v>
      </c>
      <c r="D9553" t="s">
        <v>25509</v>
      </c>
      <c r="F9553" t="s">
        <v>26406</v>
      </c>
      <c r="J9553" t="s">
        <v>115</v>
      </c>
      <c r="K9553" s="18" t="s">
        <v>26407</v>
      </c>
      <c r="N9553" s="17" t="s">
        <v>81</v>
      </c>
      <c r="O9553" t="s">
        <v>117</v>
      </c>
      <c r="U9553" s="17"/>
      <c r="V9553" s="18" t="s">
        <v>26407</v>
      </c>
      <c r="W9553" t="s">
        <v>26408</v>
      </c>
      <c r="Y9553" s="17" t="s">
        <v>78</v>
      </c>
      <c r="AA9553" t="s">
        <v>115</v>
      </c>
      <c r="AB9553" t="s">
        <v>119</v>
      </c>
    </row>
    <row r="9554" ht="15" customHeight="1" spans="1:28" x14ac:dyDescent="0.25">
      <c r="A9554" s="17" t="s">
        <v>26409</v>
      </c>
      <c r="B9554" s="17" t="s">
        <v>70</v>
      </c>
      <c r="C9554" s="17" t="s">
        <v>71</v>
      </c>
      <c r="D9554" t="s">
        <v>26410</v>
      </c>
      <c r="F9554" t="s">
        <v>1485</v>
      </c>
      <c r="J9554" t="s">
        <v>115</v>
      </c>
      <c r="K9554" s="18" t="s">
        <v>26411</v>
      </c>
      <c r="N9554" s="17" t="s">
        <v>74</v>
      </c>
      <c r="O9554" t="s">
        <v>117</v>
      </c>
      <c r="V9554" s="18" t="s">
        <v>26411</v>
      </c>
      <c r="Y9554" t="s">
        <v>90</v>
      </c>
      <c r="AA9554" t="s">
        <v>118</v>
      </c>
      <c r="AB9554" t="s">
        <v>119</v>
      </c>
    </row>
    <row r="9555" ht="15" customHeight="1" spans="1:22" x14ac:dyDescent="0.25">
      <c r="A9555" s="17" t="s">
        <v>26412</v>
      </c>
      <c r="B9555" s="17" t="s">
        <v>70</v>
      </c>
      <c r="C9555" s="17" t="s">
        <v>71</v>
      </c>
      <c r="D9555" t="s">
        <v>26413</v>
      </c>
      <c r="F9555" t="s">
        <v>913</v>
      </c>
      <c r="K9555" s="18">
        <f>6281574568777</f>
        <v>6281574568777</v>
      </c>
      <c r="N9555" s="17" t="s">
        <v>74</v>
      </c>
      <c r="V9555" s="18">
        <f>6281574568777</f>
        <v>6281574568777</v>
      </c>
    </row>
    <row r="9556" ht="15" customHeight="1" spans="1:22" x14ac:dyDescent="0.25">
      <c r="A9556" s="17" t="s">
        <v>26414</v>
      </c>
      <c r="B9556" s="17" t="s">
        <v>70</v>
      </c>
      <c r="C9556" s="17" t="s">
        <v>71</v>
      </c>
      <c r="D9556" t="s">
        <v>13146</v>
      </c>
      <c r="F9556" t="s">
        <v>18836</v>
      </c>
      <c r="K9556" s="18">
        <f>62628158449016</f>
        <v>62628158449016</v>
      </c>
      <c r="N9556" s="17" t="s">
        <v>77</v>
      </c>
      <c r="V9556" s="18">
        <f>62628158449016</f>
        <v>62628158449016</v>
      </c>
    </row>
    <row r="9557" ht="15" customHeight="1" spans="1:22" x14ac:dyDescent="0.25">
      <c r="A9557" s="17" t="s">
        <v>26415</v>
      </c>
      <c r="B9557" s="17" t="s">
        <v>70</v>
      </c>
      <c r="C9557" s="17" t="s">
        <v>71</v>
      </c>
      <c r="D9557" t="s">
        <v>2513</v>
      </c>
      <c r="F9557" t="s">
        <v>26416</v>
      </c>
      <c r="K9557" s="18">
        <f>628111890528</f>
        <v>628111890528</v>
      </c>
      <c r="N9557" s="17" t="s">
        <v>77</v>
      </c>
      <c r="V9557" s="18">
        <f>628111890528</f>
        <v>628111890528</v>
      </c>
    </row>
    <row r="9558" ht="15" customHeight="1" spans="1:22" x14ac:dyDescent="0.25">
      <c r="A9558" s="17" t="s">
        <v>26417</v>
      </c>
      <c r="B9558" s="17" t="s">
        <v>70</v>
      </c>
      <c r="C9558" s="17" t="s">
        <v>71</v>
      </c>
      <c r="D9558" t="s">
        <v>26418</v>
      </c>
      <c r="F9558" t="s">
        <v>4291</v>
      </c>
      <c r="K9558" s="18">
        <f>62816910607</f>
        <v>62816910607</v>
      </c>
      <c r="N9558" s="17" t="s">
        <v>77</v>
      </c>
      <c r="V9558" s="18">
        <f>62816910607</f>
        <v>62816910607</v>
      </c>
    </row>
    <row r="9559" ht="15" customHeight="1" spans="1:22" x14ac:dyDescent="0.25">
      <c r="A9559" s="17" t="s">
        <v>26419</v>
      </c>
      <c r="B9559" s="17" t="s">
        <v>70</v>
      </c>
      <c r="C9559" s="17" t="s">
        <v>71</v>
      </c>
      <c r="D9559" t="s">
        <v>26420</v>
      </c>
      <c r="F9559" t="s">
        <v>26420</v>
      </c>
      <c r="K9559" s="18">
        <f>628161820578</f>
        <v>628161820578</v>
      </c>
      <c r="N9559" s="17" t="s">
        <v>77</v>
      </c>
      <c r="V9559" s="18">
        <f>628161820578</f>
        <v>628161820578</v>
      </c>
    </row>
    <row r="9560" ht="15" customHeight="1" spans="1:23" x14ac:dyDescent="0.25">
      <c r="A9560" s="17" t="s">
        <v>26421</v>
      </c>
      <c r="B9560" s="17" t="s">
        <v>70</v>
      </c>
      <c r="C9560" s="17" t="s">
        <v>71</v>
      </c>
      <c r="D9560" t="s">
        <v>26420</v>
      </c>
      <c r="F9560" t="s">
        <v>26422</v>
      </c>
      <c r="K9560" s="18">
        <f>62818403143</f>
        <v>62818403143</v>
      </c>
      <c r="N9560" s="17" t="s">
        <v>81</v>
      </c>
      <c r="U9560" s="17"/>
      <c r="V9560" s="18">
        <f>62818403143</f>
        <v>62818403143</v>
      </c>
      <c r="W9560" t="s">
        <v>26423</v>
      </c>
    </row>
    <row r="9561" ht="15" customHeight="1" spans="1:23" x14ac:dyDescent="0.25">
      <c r="A9561" s="17" t="s">
        <v>26424</v>
      </c>
      <c r="B9561" s="17" t="s">
        <v>70</v>
      </c>
      <c r="C9561" s="17" t="s">
        <v>71</v>
      </c>
      <c r="D9561" t="s">
        <v>26420</v>
      </c>
      <c r="F9561" t="s">
        <v>212</v>
      </c>
      <c r="J9561" s="17" t="s">
        <v>26425</v>
      </c>
      <c r="K9561" s="18">
        <f>62816707695</f>
        <v>62816707695</v>
      </c>
      <c r="N9561" s="17" t="s">
        <v>77</v>
      </c>
      <c r="U9561" s="17"/>
      <c r="V9561" s="18">
        <f>62816707695</f>
        <v>62816707695</v>
      </c>
      <c r="W9561" t="s">
        <v>26426</v>
      </c>
    </row>
    <row r="9562" ht="15" customHeight="1" spans="1:22" x14ac:dyDescent="0.25">
      <c r="A9562" s="17" t="s">
        <v>26427</v>
      </c>
      <c r="B9562" s="17" t="s">
        <v>70</v>
      </c>
      <c r="C9562" s="17" t="s">
        <v>71</v>
      </c>
      <c r="D9562" t="s">
        <v>26420</v>
      </c>
      <c r="F9562" t="s">
        <v>26428</v>
      </c>
      <c r="K9562" s="18">
        <f>628121062323</f>
        <v>628121062323</v>
      </c>
      <c r="N9562" s="17" t="s">
        <v>77</v>
      </c>
      <c r="V9562" s="18">
        <f>628121062323</f>
        <v>628121062323</v>
      </c>
    </row>
    <row r="9563" ht="15" customHeight="1" spans="1:22" x14ac:dyDescent="0.25">
      <c r="A9563" s="17" t="s">
        <v>26429</v>
      </c>
      <c r="B9563" s="17" t="s">
        <v>70</v>
      </c>
      <c r="C9563" s="17" t="s">
        <v>71</v>
      </c>
      <c r="D9563" t="s">
        <v>8445</v>
      </c>
      <c r="F9563" t="s">
        <v>11454</v>
      </c>
      <c r="K9563" s="18">
        <f>62818846789</f>
        <v>62818846789</v>
      </c>
      <c r="N9563" s="17" t="s">
        <v>81</v>
      </c>
      <c r="V9563" s="18">
        <f>62818846789</f>
        <v>62818846789</v>
      </c>
    </row>
    <row r="9564" ht="15" customHeight="1" spans="1:28" x14ac:dyDescent="0.25">
      <c r="A9564" s="17" t="s">
        <v>26430</v>
      </c>
      <c r="B9564" s="17" t="s">
        <v>70</v>
      </c>
      <c r="C9564" s="17" t="s">
        <v>71</v>
      </c>
      <c r="D9564" t="s">
        <v>8445</v>
      </c>
      <c r="F9564" t="s">
        <v>26431</v>
      </c>
      <c r="J9564" t="s">
        <v>115</v>
      </c>
      <c r="K9564" s="18" t="s">
        <v>26432</v>
      </c>
      <c r="N9564" s="17" t="s">
        <v>77</v>
      </c>
      <c r="O9564" t="s">
        <v>145</v>
      </c>
      <c r="V9564" s="18" t="s">
        <v>26432</v>
      </c>
      <c r="Y9564" t="s">
        <v>90</v>
      </c>
      <c r="AA9564" t="s">
        <v>118</v>
      </c>
      <c r="AB9564" t="s">
        <v>119</v>
      </c>
    </row>
    <row r="9565" ht="15" customHeight="1" spans="1:25" x14ac:dyDescent="0.25">
      <c r="A9565" s="17" t="s">
        <v>26433</v>
      </c>
      <c r="B9565" s="17" t="s">
        <v>70</v>
      </c>
      <c r="C9565" s="17" t="s">
        <v>71</v>
      </c>
      <c r="D9565" t="s">
        <v>26434</v>
      </c>
      <c r="F9565" t="s">
        <v>26435</v>
      </c>
      <c r="K9565" s="18">
        <f>6282144541111</f>
        <v>6282144541111</v>
      </c>
      <c r="N9565" s="17" t="s">
        <v>77</v>
      </c>
      <c r="U9565" s="17"/>
      <c r="V9565" s="18">
        <f>6282144541111</f>
        <v>6282144541111</v>
      </c>
      <c r="W9565" t="s">
        <v>26436</v>
      </c>
      <c r="Y9565" s="17" t="s">
        <v>500</v>
      </c>
    </row>
    <row r="9566" ht="15" customHeight="1" spans="1:28" x14ac:dyDescent="0.25">
      <c r="A9566" s="17" t="s">
        <v>26437</v>
      </c>
      <c r="B9566" s="17" t="s">
        <v>70</v>
      </c>
      <c r="C9566" s="17" t="s">
        <v>71</v>
      </c>
      <c r="D9566" t="s">
        <v>26438</v>
      </c>
      <c r="F9566" t="s">
        <v>26439</v>
      </c>
      <c r="J9566" s="17" t="s">
        <v>26440</v>
      </c>
      <c r="K9566" s="18" t="s">
        <v>26441</v>
      </c>
      <c r="N9566" s="17" t="s">
        <v>77</v>
      </c>
      <c r="O9566" t="s">
        <v>117</v>
      </c>
      <c r="U9566" s="17"/>
      <c r="V9566" s="18" t="s">
        <v>26441</v>
      </c>
      <c r="W9566" t="s">
        <v>26442</v>
      </c>
      <c r="Y9566" t="s">
        <v>6937</v>
      </c>
      <c r="AA9566" s="17" t="s">
        <v>597</v>
      </c>
      <c r="AB9566" t="s">
        <v>6937</v>
      </c>
    </row>
    <row r="9567" ht="15" customHeight="1" spans="1:27" x14ac:dyDescent="0.25">
      <c r="A9567" s="17" t="s">
        <v>26443</v>
      </c>
      <c r="B9567" s="17" t="s">
        <v>70</v>
      </c>
      <c r="C9567" s="17" t="s">
        <v>71</v>
      </c>
      <c r="D9567" t="s">
        <v>26444</v>
      </c>
      <c r="F9567" t="s">
        <v>3346</v>
      </c>
      <c r="K9567" s="18">
        <f>628161180635</f>
        <v>628161180635</v>
      </c>
      <c r="N9567" s="17" t="s">
        <v>77</v>
      </c>
      <c r="U9567" s="17"/>
      <c r="V9567" s="18">
        <f>628161180635</f>
        <v>628161180635</v>
      </c>
      <c r="W9567" t="s">
        <v>26445</v>
      </c>
      <c r="Y9567" s="17" t="s">
        <v>26446</v>
      </c>
      <c r="AA9567" s="17">
        <v>13430</v>
      </c>
    </row>
    <row r="9568" ht="15" customHeight="1" spans="1:22" x14ac:dyDescent="0.25">
      <c r="A9568" s="17" t="s">
        <v>26447</v>
      </c>
      <c r="B9568" s="17" t="s">
        <v>70</v>
      </c>
      <c r="C9568" s="17" t="s">
        <v>71</v>
      </c>
      <c r="D9568" t="s">
        <v>23668</v>
      </c>
      <c r="F9568" t="s">
        <v>23668</v>
      </c>
      <c r="K9568" s="18">
        <f>62818727057</f>
        <v>62818727057</v>
      </c>
      <c r="N9568" s="17" t="s">
        <v>81</v>
      </c>
      <c r="V9568" s="18">
        <f>62818727057</f>
        <v>62818727057</v>
      </c>
    </row>
    <row r="9569" ht="15" customHeight="1" spans="1:22" x14ac:dyDescent="0.25">
      <c r="A9569" s="17" t="s">
        <v>26448</v>
      </c>
      <c r="B9569" s="17" t="s">
        <v>70</v>
      </c>
      <c r="C9569" s="17" t="s">
        <v>71</v>
      </c>
      <c r="D9569" t="s">
        <v>23668</v>
      </c>
      <c r="F9569" t="s">
        <v>23668</v>
      </c>
      <c r="K9569" s="18">
        <f>628124304555</f>
        <v>628124304555</v>
      </c>
      <c r="N9569" s="17" t="s">
        <v>77</v>
      </c>
      <c r="V9569" s="18">
        <f>628124304555</f>
        <v>628124304555</v>
      </c>
    </row>
    <row r="9570" ht="15" customHeight="1" spans="1:22" x14ac:dyDescent="0.25">
      <c r="A9570" s="17" t="s">
        <v>26449</v>
      </c>
      <c r="B9570" s="17" t="s">
        <v>70</v>
      </c>
      <c r="C9570" s="17" t="s">
        <v>71</v>
      </c>
      <c r="D9570" t="s">
        <v>23668</v>
      </c>
      <c r="F9570" t="s">
        <v>2320</v>
      </c>
      <c r="K9570" s="18">
        <f>62811611615</f>
        <v>62811611615</v>
      </c>
      <c r="N9570" s="17" t="s">
        <v>77</v>
      </c>
      <c r="V9570" s="18">
        <f>62811611615</f>
        <v>62811611615</v>
      </c>
    </row>
    <row r="9571" ht="15" customHeight="1" spans="1:23" x14ac:dyDescent="0.25">
      <c r="A9571" s="17" t="s">
        <v>26450</v>
      </c>
      <c r="B9571" s="17" t="s">
        <v>70</v>
      </c>
      <c r="C9571" s="17" t="s">
        <v>71</v>
      </c>
      <c r="D9571" t="s">
        <v>23668</v>
      </c>
      <c r="F9571" t="s">
        <v>21416</v>
      </c>
      <c r="J9571" s="17" t="s">
        <v>26451</v>
      </c>
      <c r="K9571" s="18">
        <f>628129418075</f>
        <v>628129418075</v>
      </c>
      <c r="N9571" s="17" t="s">
        <v>77</v>
      </c>
      <c r="U9571" s="17"/>
      <c r="V9571" s="18">
        <f>628129418075</f>
        <v>628129418075</v>
      </c>
      <c r="W9571" t="s">
        <v>26452</v>
      </c>
    </row>
    <row r="9572" ht="15" customHeight="1" spans="1:22" x14ac:dyDescent="0.25">
      <c r="A9572" s="17" t="s">
        <v>26453</v>
      </c>
      <c r="B9572" s="17" t="s">
        <v>70</v>
      </c>
      <c r="C9572" s="17" t="s">
        <v>71</v>
      </c>
      <c r="D9572" t="s">
        <v>26454</v>
      </c>
      <c r="F9572" t="s">
        <v>26454</v>
      </c>
      <c r="K9572" s="18">
        <f>62816825855</f>
        <v>62816825855</v>
      </c>
      <c r="N9572" s="17" t="s">
        <v>77</v>
      </c>
      <c r="V9572" s="18">
        <f>62816825855</f>
        <v>62816825855</v>
      </c>
    </row>
    <row r="9573" ht="15" customHeight="1" spans="1:28" x14ac:dyDescent="0.25">
      <c r="A9573" s="17" t="s">
        <v>26455</v>
      </c>
      <c r="B9573" s="17" t="s">
        <v>70</v>
      </c>
      <c r="C9573" s="17" t="s">
        <v>71</v>
      </c>
      <c r="D9573" t="s">
        <v>26456</v>
      </c>
      <c r="F9573" t="s">
        <v>3346</v>
      </c>
      <c r="J9573" t="s">
        <v>115</v>
      </c>
      <c r="K9573" s="18" t="s">
        <v>26457</v>
      </c>
      <c r="N9573" s="17" t="s">
        <v>81</v>
      </c>
      <c r="O9573" t="s">
        <v>489</v>
      </c>
      <c r="V9573" s="18" t="s">
        <v>26457</v>
      </c>
      <c r="Y9573" t="s">
        <v>90</v>
      </c>
      <c r="AA9573" t="s">
        <v>118</v>
      </c>
      <c r="AB9573" t="s">
        <v>119</v>
      </c>
    </row>
    <row r="9574" ht="15" customHeight="1" spans="1:23" x14ac:dyDescent="0.25">
      <c r="A9574" s="17" t="s">
        <v>26458</v>
      </c>
      <c r="B9574" s="17" t="s">
        <v>70</v>
      </c>
      <c r="C9574" s="17" t="s">
        <v>71</v>
      </c>
      <c r="D9574" t="s">
        <v>26459</v>
      </c>
      <c r="F9574" t="s">
        <v>26459</v>
      </c>
      <c r="K9574" s="18">
        <f>62811611211</f>
        <v>62811611211</v>
      </c>
      <c r="N9574" s="17" t="s">
        <v>77</v>
      </c>
      <c r="U9574" s="17"/>
      <c r="V9574" s="18">
        <f>62811611211</f>
        <v>62811611211</v>
      </c>
      <c r="W9574" t="s">
        <v>26460</v>
      </c>
    </row>
    <row r="9575" ht="15" customHeight="1" spans="1:22" x14ac:dyDescent="0.25">
      <c r="A9575" s="17" t="s">
        <v>26461</v>
      </c>
      <c r="B9575" s="17" t="s">
        <v>70</v>
      </c>
      <c r="C9575" s="17" t="s">
        <v>71</v>
      </c>
      <c r="D9575" t="s">
        <v>26462</v>
      </c>
      <c r="F9575" t="s">
        <v>26463</v>
      </c>
      <c r="K9575" s="18">
        <f>628113804738</f>
        <v>628113804738</v>
      </c>
      <c r="N9575" s="17" t="s">
        <v>77</v>
      </c>
      <c r="V9575" s="18">
        <f>628113804738</f>
        <v>628113804738</v>
      </c>
    </row>
    <row r="9576" ht="15" customHeight="1" spans="1:28" x14ac:dyDescent="0.25">
      <c r="A9576" s="17" t="s">
        <v>26464</v>
      </c>
      <c r="B9576" s="17" t="s">
        <v>70</v>
      </c>
      <c r="C9576" s="17" t="s">
        <v>71</v>
      </c>
      <c r="D9576" t="s">
        <v>26465</v>
      </c>
      <c r="F9576" t="s">
        <v>26466</v>
      </c>
      <c r="J9576" t="s">
        <v>26467</v>
      </c>
      <c r="K9576" s="18" t="s">
        <v>26468</v>
      </c>
      <c r="N9576" s="17" t="s">
        <v>77</v>
      </c>
      <c r="O9576" t="s">
        <v>117</v>
      </c>
      <c r="U9576" s="17"/>
      <c r="V9576" s="18" t="s">
        <v>26468</v>
      </c>
      <c r="W9576" t="s">
        <v>26469</v>
      </c>
      <c r="Y9576" s="17" t="s">
        <v>90</v>
      </c>
      <c r="AA9576" t="s">
        <v>118</v>
      </c>
      <c r="AB9576" t="s">
        <v>119</v>
      </c>
    </row>
    <row r="9577" ht="15" customHeight="1" spans="1:22" x14ac:dyDescent="0.25">
      <c r="A9577" s="17" t="s">
        <v>26470</v>
      </c>
      <c r="B9577" s="17" t="s">
        <v>70</v>
      </c>
      <c r="C9577" s="17" t="s">
        <v>71</v>
      </c>
      <c r="D9577" t="s">
        <v>26471</v>
      </c>
      <c r="F9577" t="s">
        <v>26472</v>
      </c>
      <c r="K9577" s="18">
        <f>79267820556</f>
        <v>79267820556</v>
      </c>
      <c r="N9577" s="17" t="s">
        <v>81</v>
      </c>
      <c r="V9577" s="18">
        <f>79267820556</f>
        <v>79267820556</v>
      </c>
    </row>
    <row r="9578" ht="15" customHeight="1" spans="1:23" x14ac:dyDescent="0.25">
      <c r="A9578" s="17" t="s">
        <v>26473</v>
      </c>
      <c r="B9578" s="17" t="s">
        <v>70</v>
      </c>
      <c r="C9578" s="17" t="s">
        <v>71</v>
      </c>
      <c r="D9578" t="s">
        <v>26474</v>
      </c>
      <c r="F9578" t="s">
        <v>3264</v>
      </c>
      <c r="J9578" s="17" t="s">
        <v>26475</v>
      </c>
      <c r="K9578" s="18">
        <v>8170161989</v>
      </c>
      <c r="N9578" s="17" t="s">
        <v>77</v>
      </c>
      <c r="U9578" s="17"/>
      <c r="V9578" s="18">
        <v>8170161989</v>
      </c>
      <c r="W9578" t="s">
        <v>26476</v>
      </c>
    </row>
    <row r="9579" ht="15" customHeight="1" spans="1:22" x14ac:dyDescent="0.25">
      <c r="A9579" s="17" t="s">
        <v>26477</v>
      </c>
      <c r="B9579" s="17" t="s">
        <v>70</v>
      </c>
      <c r="C9579" s="17" t="s">
        <v>71</v>
      </c>
      <c r="D9579" t="s">
        <v>1912</v>
      </c>
      <c r="F9579" t="s">
        <v>1912</v>
      </c>
      <c r="K9579" s="18">
        <f>62811110031</f>
        <v>62811110031</v>
      </c>
      <c r="N9579" s="17" t="s">
        <v>74</v>
      </c>
      <c r="V9579" s="18">
        <f>62811110031</f>
        <v>62811110031</v>
      </c>
    </row>
    <row r="9580" ht="15" customHeight="1" spans="1:27" x14ac:dyDescent="0.25">
      <c r="A9580" s="17" t="s">
        <v>26478</v>
      </c>
      <c r="B9580" s="17" t="s">
        <v>70</v>
      </c>
      <c r="C9580" s="17" t="s">
        <v>71</v>
      </c>
      <c r="D9580" t="s">
        <v>26479</v>
      </c>
      <c r="F9580" t="s">
        <v>26479</v>
      </c>
      <c r="J9580" s="17" t="s">
        <v>26480</v>
      </c>
      <c r="K9580" s="18">
        <f>6281802297033</f>
        <v>6281802297033</v>
      </c>
      <c r="N9580" s="17" t="s">
        <v>77</v>
      </c>
      <c r="U9580" s="17"/>
      <c r="V9580" s="18">
        <f>6281802297033</f>
        <v>6281802297033</v>
      </c>
      <c r="W9580" t="s">
        <v>26481</v>
      </c>
      <c r="Y9580" s="17" t="s">
        <v>1084</v>
      </c>
      <c r="AA9580" s="17">
        <v>14240</v>
      </c>
    </row>
    <row r="9581" ht="15" customHeight="1" spans="1:28" x14ac:dyDescent="0.25">
      <c r="A9581" s="17" t="s">
        <v>26482</v>
      </c>
      <c r="B9581" s="17" t="s">
        <v>70</v>
      </c>
      <c r="C9581" s="17" t="s">
        <v>71</v>
      </c>
      <c r="D9581" t="s">
        <v>26479</v>
      </c>
      <c r="F9581" t="s">
        <v>26479</v>
      </c>
      <c r="J9581" t="s">
        <v>115</v>
      </c>
      <c r="K9581" s="18" t="s">
        <v>26483</v>
      </c>
      <c r="N9581" s="17" t="s">
        <v>77</v>
      </c>
      <c r="O9581" t="s">
        <v>117</v>
      </c>
      <c r="V9581" s="18" t="s">
        <v>26483</v>
      </c>
      <c r="Y9581" t="s">
        <v>190</v>
      </c>
      <c r="AA9581" t="s">
        <v>118</v>
      </c>
      <c r="AB9581" t="s">
        <v>119</v>
      </c>
    </row>
    <row r="9582" ht="15" customHeight="1" spans="1:27" x14ac:dyDescent="0.25">
      <c r="A9582" s="17" t="s">
        <v>26484</v>
      </c>
      <c r="B9582" s="17" t="s">
        <v>70</v>
      </c>
      <c r="C9582" s="17" t="s">
        <v>71</v>
      </c>
      <c r="D9582" t="s">
        <v>26479</v>
      </c>
      <c r="F9582" t="s">
        <v>26485</v>
      </c>
      <c r="K9582" s="18">
        <f>6281285939813</f>
        <v>6281285939813</v>
      </c>
      <c r="N9582" s="17" t="s">
        <v>77</v>
      </c>
      <c r="U9582" s="17"/>
      <c r="V9582" s="18">
        <f>6281285939813</f>
        <v>6281285939813</v>
      </c>
      <c r="W9582" t="s">
        <v>26486</v>
      </c>
      <c r="AA9582" s="17">
        <v>16968</v>
      </c>
    </row>
    <row r="9583" ht="15" customHeight="1" spans="1:23" x14ac:dyDescent="0.25">
      <c r="A9583" s="17" t="s">
        <v>26487</v>
      </c>
      <c r="B9583" s="17" t="s">
        <v>70</v>
      </c>
      <c r="C9583" s="17" t="s">
        <v>71</v>
      </c>
      <c r="D9583" t="s">
        <v>26479</v>
      </c>
      <c r="F9583" t="s">
        <v>26488</v>
      </c>
      <c r="K9583" s="18">
        <f>628122872017</f>
        <v>628122872017</v>
      </c>
      <c r="N9583" s="17" t="s">
        <v>81</v>
      </c>
      <c r="U9583" s="17"/>
      <c r="V9583" s="18">
        <f>628122872017</f>
        <v>628122872017</v>
      </c>
      <c r="W9583" t="s">
        <v>26489</v>
      </c>
    </row>
    <row r="9584" ht="15" customHeight="1" spans="1:22" x14ac:dyDescent="0.25">
      <c r="A9584" s="17" t="s">
        <v>26490</v>
      </c>
      <c r="B9584" s="17" t="s">
        <v>70</v>
      </c>
      <c r="C9584" s="17" t="s">
        <v>71</v>
      </c>
      <c r="D9584" t="s">
        <v>26479</v>
      </c>
      <c r="F9584" t="s">
        <v>26491</v>
      </c>
      <c r="K9584" s="18">
        <f>6281280669881</f>
        <v>6281280669881</v>
      </c>
      <c r="N9584" s="17" t="s">
        <v>81</v>
      </c>
      <c r="V9584" s="18">
        <f>6281280669881</f>
        <v>6281280669881</v>
      </c>
    </row>
    <row r="9585" ht="15" customHeight="1" spans="1:23" x14ac:dyDescent="0.25">
      <c r="A9585" s="17" t="s">
        <v>26492</v>
      </c>
      <c r="B9585" s="17" t="s">
        <v>70</v>
      </c>
      <c r="C9585" s="17" t="s">
        <v>71</v>
      </c>
      <c r="D9585" t="s">
        <v>26479</v>
      </c>
      <c r="F9585" t="s">
        <v>26493</v>
      </c>
      <c r="J9585" s="17" t="s">
        <v>26494</v>
      </c>
      <c r="K9585" s="18">
        <f>628179999244</f>
        <v>628179999244</v>
      </c>
      <c r="N9585" s="17" t="s">
        <v>81</v>
      </c>
      <c r="U9585" s="17"/>
      <c r="V9585" s="18">
        <f>628179999244</f>
        <v>628179999244</v>
      </c>
      <c r="W9585" t="s">
        <v>26495</v>
      </c>
    </row>
    <row r="9586" ht="15" customHeight="1" spans="1:28" x14ac:dyDescent="0.25">
      <c r="A9586" s="17" t="s">
        <v>26496</v>
      </c>
      <c r="B9586" s="17" t="s">
        <v>70</v>
      </c>
      <c r="C9586" s="17" t="s">
        <v>71</v>
      </c>
      <c r="D9586" t="s">
        <v>26479</v>
      </c>
      <c r="F9586" t="s">
        <v>26497</v>
      </c>
      <c r="J9586" t="s">
        <v>26498</v>
      </c>
      <c r="K9586" s="18" t="s">
        <v>26499</v>
      </c>
      <c r="N9586" s="17" t="s">
        <v>81</v>
      </c>
      <c r="O9586" t="s">
        <v>117</v>
      </c>
      <c r="V9586" s="18" t="s">
        <v>26499</v>
      </c>
      <c r="Y9586" t="s">
        <v>190</v>
      </c>
      <c r="AA9586" t="s">
        <v>118</v>
      </c>
      <c r="AB9586" t="s">
        <v>119</v>
      </c>
    </row>
    <row r="9587" ht="15" customHeight="1" spans="1:28" x14ac:dyDescent="0.25">
      <c r="A9587" s="17" t="s">
        <v>26500</v>
      </c>
      <c r="B9587" s="17" t="s">
        <v>70</v>
      </c>
      <c r="C9587" s="17" t="s">
        <v>71</v>
      </c>
      <c r="D9587" t="s">
        <v>26501</v>
      </c>
      <c r="F9587" t="s">
        <v>23728</v>
      </c>
      <c r="J9587" s="17" t="s">
        <v>26502</v>
      </c>
      <c r="K9587" s="18" t="s">
        <v>26503</v>
      </c>
      <c r="N9587" s="17" t="s">
        <v>77</v>
      </c>
      <c r="O9587" t="s">
        <v>261</v>
      </c>
      <c r="V9587" s="18" t="s">
        <v>26503</v>
      </c>
      <c r="Y9587" t="s">
        <v>90</v>
      </c>
      <c r="AA9587" t="s">
        <v>118</v>
      </c>
      <c r="AB9587" t="s">
        <v>119</v>
      </c>
    </row>
    <row r="9588" ht="15" customHeight="1" spans="1:25" x14ac:dyDescent="0.25">
      <c r="A9588" s="17" t="s">
        <v>26504</v>
      </c>
      <c r="B9588" s="17" t="s">
        <v>70</v>
      </c>
      <c r="C9588" s="17" t="s">
        <v>71</v>
      </c>
      <c r="D9588" t="s">
        <v>6828</v>
      </c>
      <c r="F9588" t="s">
        <v>6235</v>
      </c>
      <c r="K9588" s="18">
        <f>628151999911</f>
        <v>628151999911</v>
      </c>
      <c r="N9588" s="17" t="s">
        <v>77</v>
      </c>
      <c r="U9588" s="17"/>
      <c r="V9588" s="18">
        <f>628151999911</f>
        <v>628151999911</v>
      </c>
      <c r="W9588" t="s">
        <v>26505</v>
      </c>
      <c r="Y9588" s="17" t="s">
        <v>1084</v>
      </c>
    </row>
    <row r="9589" ht="15" customHeight="1" spans="1:28" x14ac:dyDescent="0.25">
      <c r="A9589" s="17" t="s">
        <v>26506</v>
      </c>
      <c r="B9589" s="17" t="s">
        <v>70</v>
      </c>
      <c r="C9589" s="17" t="s">
        <v>71</v>
      </c>
      <c r="D9589" t="s">
        <v>6828</v>
      </c>
      <c r="F9589" t="s">
        <v>26507</v>
      </c>
      <c r="J9589" t="s">
        <v>115</v>
      </c>
      <c r="K9589" s="18" t="s">
        <v>26508</v>
      </c>
      <c r="N9589" s="17" t="s">
        <v>81</v>
      </c>
      <c r="O9589" t="s">
        <v>261</v>
      </c>
      <c r="U9589" s="17"/>
      <c r="V9589" s="18" t="s">
        <v>26508</v>
      </c>
      <c r="W9589" t="s">
        <v>26509</v>
      </c>
      <c r="Y9589" t="s">
        <v>1084</v>
      </c>
      <c r="AA9589" t="s">
        <v>3146</v>
      </c>
      <c r="AB9589" t="s">
        <v>119</v>
      </c>
    </row>
    <row r="9590" ht="15" customHeight="1" spans="1:25" x14ac:dyDescent="0.25">
      <c r="A9590" s="17" t="s">
        <v>26510</v>
      </c>
      <c r="B9590" s="17" t="s">
        <v>70</v>
      </c>
      <c r="C9590" s="17" t="s">
        <v>71</v>
      </c>
      <c r="D9590" t="s">
        <v>6828</v>
      </c>
      <c r="F9590" t="s">
        <v>26511</v>
      </c>
      <c r="K9590" s="18">
        <f>62811248294</f>
        <v>62811248294</v>
      </c>
      <c r="N9590" s="17" t="s">
        <v>77</v>
      </c>
      <c r="U9590" s="17"/>
      <c r="V9590" s="18">
        <f>62811248294</f>
        <v>62811248294</v>
      </c>
      <c r="W9590" t="s">
        <v>26512</v>
      </c>
      <c r="Y9590" s="17" t="s">
        <v>96</v>
      </c>
    </row>
    <row r="9591" ht="15" customHeight="1" spans="1:27" x14ac:dyDescent="0.25">
      <c r="A9591" s="17" t="s">
        <v>26513</v>
      </c>
      <c r="B9591" s="17" t="s">
        <v>70</v>
      </c>
      <c r="C9591" s="17" t="s">
        <v>71</v>
      </c>
      <c r="D9591" t="s">
        <v>26514</v>
      </c>
      <c r="F9591" t="s">
        <v>1064</v>
      </c>
      <c r="K9591" s="18">
        <f>628117512288</f>
        <v>628117512288</v>
      </c>
      <c r="N9591" s="17" t="s">
        <v>81</v>
      </c>
      <c r="U9591" s="17"/>
      <c r="V9591" s="18">
        <f>628117512288</f>
        <v>628117512288</v>
      </c>
      <c r="W9591" t="s">
        <v>26515</v>
      </c>
      <c r="Y9591" s="17" t="s">
        <v>26516</v>
      </c>
      <c r="AA9591" s="17">
        <v>28292</v>
      </c>
    </row>
    <row r="9592" ht="15" customHeight="1" spans="1:22" x14ac:dyDescent="0.25">
      <c r="A9592" s="17" t="s">
        <v>26517</v>
      </c>
      <c r="B9592" s="17" t="s">
        <v>70</v>
      </c>
      <c r="C9592" s="17" t="s">
        <v>71</v>
      </c>
      <c r="D9592" t="s">
        <v>26518</v>
      </c>
      <c r="F9592" t="s">
        <v>26519</v>
      </c>
      <c r="K9592" s="18">
        <f>6282111111351</f>
        <v>6282111111351</v>
      </c>
      <c r="N9592" s="17" t="s">
        <v>74</v>
      </c>
      <c r="V9592" s="18">
        <f>6282111111351</f>
        <v>6282111111351</v>
      </c>
    </row>
    <row r="9593" ht="15" customHeight="1" spans="1:23" x14ac:dyDescent="0.25">
      <c r="A9593" s="17" t="s">
        <v>26520</v>
      </c>
      <c r="B9593" s="17" t="s">
        <v>70</v>
      </c>
      <c r="C9593" s="17" t="s">
        <v>71</v>
      </c>
      <c r="D9593" t="s">
        <v>26521</v>
      </c>
      <c r="F9593" t="s">
        <v>26522</v>
      </c>
      <c r="K9593" s="18">
        <f>6281381203606</f>
        <v>6281381203606</v>
      </c>
      <c r="N9593" s="17" t="s">
        <v>81</v>
      </c>
      <c r="U9593" s="17"/>
      <c r="V9593" s="18">
        <f>6281381203606</f>
        <v>6281381203606</v>
      </c>
      <c r="W9593" t="s">
        <v>26523</v>
      </c>
    </row>
    <row r="9594" ht="15" customHeight="1" spans="1:23" x14ac:dyDescent="0.25">
      <c r="A9594" s="17" t="s">
        <v>26524</v>
      </c>
      <c r="B9594" s="17" t="s">
        <v>70</v>
      </c>
      <c r="C9594" s="17" t="s">
        <v>71</v>
      </c>
      <c r="D9594" t="s">
        <v>26525</v>
      </c>
      <c r="F9594" t="s">
        <v>26526</v>
      </c>
      <c r="J9594" s="17" t="s">
        <v>26527</v>
      </c>
      <c r="K9594" s="18">
        <f>6281352717171</f>
        <v>6281352717171</v>
      </c>
      <c r="N9594" s="17" t="s">
        <v>81</v>
      </c>
      <c r="U9594" s="17"/>
      <c r="V9594" s="18">
        <f>6281352717171</f>
        <v>6281352717171</v>
      </c>
      <c r="W9594" t="s">
        <v>26528</v>
      </c>
    </row>
    <row r="9595" ht="15" customHeight="1" spans="1:22" x14ac:dyDescent="0.25">
      <c r="A9595" s="17" t="s">
        <v>26529</v>
      </c>
      <c r="B9595" s="17" t="s">
        <v>70</v>
      </c>
      <c r="C9595" s="17" t="s">
        <v>71</v>
      </c>
      <c r="D9595" t="s">
        <v>26525</v>
      </c>
      <c r="F9595" t="s">
        <v>26530</v>
      </c>
      <c r="K9595" s="18">
        <f>62811839683</f>
        <v>62811839683</v>
      </c>
      <c r="N9595" s="17" t="s">
        <v>81</v>
      </c>
      <c r="V9595" s="18">
        <f>62811839683</f>
        <v>62811839683</v>
      </c>
    </row>
    <row r="9596" ht="15" customHeight="1" spans="1:22" x14ac:dyDescent="0.25">
      <c r="A9596" s="17" t="s">
        <v>26531</v>
      </c>
      <c r="B9596" s="17" t="s">
        <v>70</v>
      </c>
      <c r="C9596" s="17" t="s">
        <v>71</v>
      </c>
      <c r="D9596" t="s">
        <v>26525</v>
      </c>
      <c r="F9596" t="s">
        <v>26532</v>
      </c>
      <c r="K9596" s="18">
        <f>6281286012777</f>
        <v>6281286012777</v>
      </c>
      <c r="N9596" s="17" t="s">
        <v>77</v>
      </c>
      <c r="V9596" s="18">
        <f>6281286012777</f>
        <v>6281286012777</v>
      </c>
    </row>
    <row r="9597" ht="15" customHeight="1" spans="1:22" x14ac:dyDescent="0.25">
      <c r="A9597" s="17" t="s">
        <v>26533</v>
      </c>
      <c r="B9597" s="17" t="s">
        <v>70</v>
      </c>
      <c r="C9597" s="17" t="s">
        <v>71</v>
      </c>
      <c r="D9597" t="s">
        <v>26525</v>
      </c>
      <c r="F9597" t="s">
        <v>9975</v>
      </c>
      <c r="K9597" s="18">
        <f>6281317132832</f>
        <v>6281317132832</v>
      </c>
      <c r="N9597" s="17" t="s">
        <v>77</v>
      </c>
      <c r="V9597" s="18">
        <f>6281317132832</f>
        <v>6281317132832</v>
      </c>
    </row>
    <row r="9598" ht="15" customHeight="1" spans="1:22" x14ac:dyDescent="0.25">
      <c r="A9598" s="17" t="s">
        <v>26534</v>
      </c>
      <c r="B9598" s="17" t="s">
        <v>70</v>
      </c>
      <c r="C9598" s="17" t="s">
        <v>71</v>
      </c>
      <c r="D9598" t="s">
        <v>26535</v>
      </c>
      <c r="F9598" t="s">
        <v>26535</v>
      </c>
      <c r="K9598" s="18">
        <f>628151800800</f>
        <v>628151800800</v>
      </c>
      <c r="N9598" s="17" t="s">
        <v>77</v>
      </c>
      <c r="V9598" s="18">
        <f>628151800800</f>
        <v>628151800800</v>
      </c>
    </row>
    <row r="9599" ht="15" customHeight="1" spans="1:22" x14ac:dyDescent="0.25">
      <c r="A9599" s="17" t="s">
        <v>26536</v>
      </c>
      <c r="B9599" s="17" t="s">
        <v>70</v>
      </c>
      <c r="C9599" s="17" t="s">
        <v>71</v>
      </c>
      <c r="D9599" t="s">
        <v>26535</v>
      </c>
      <c r="F9599" t="s">
        <v>26537</v>
      </c>
      <c r="K9599" s="18">
        <f>628111511144</f>
        <v>628111511144</v>
      </c>
      <c r="N9599" s="17" t="s">
        <v>77</v>
      </c>
      <c r="V9599" s="18">
        <f>628111511144</f>
        <v>628111511144</v>
      </c>
    </row>
    <row r="9600" ht="15" customHeight="1" spans="1:27" x14ac:dyDescent="0.25">
      <c r="A9600" s="17" t="s">
        <v>26538</v>
      </c>
      <c r="B9600" s="17" t="s">
        <v>70</v>
      </c>
      <c r="C9600" s="17" t="s">
        <v>71</v>
      </c>
      <c r="D9600" t="s">
        <v>26535</v>
      </c>
      <c r="F9600" t="s">
        <v>618</v>
      </c>
      <c r="K9600" s="18">
        <f>62851800800</f>
        <v>62851800800</v>
      </c>
      <c r="N9600" s="17" t="s">
        <v>74</v>
      </c>
      <c r="U9600" s="17"/>
      <c r="V9600" s="18">
        <f>62851800800</f>
        <v>62851800800</v>
      </c>
      <c r="W9600" t="s">
        <v>26539</v>
      </c>
      <c r="Y9600" s="17" t="s">
        <v>378</v>
      </c>
      <c r="AA9600" s="17" t="s">
        <v>26540</v>
      </c>
    </row>
    <row r="9601" ht="15" customHeight="1" spans="1:25" x14ac:dyDescent="0.25">
      <c r="A9601" s="17" t="s">
        <v>26541</v>
      </c>
      <c r="B9601" s="17" t="s">
        <v>70</v>
      </c>
      <c r="C9601" s="17" t="s">
        <v>71</v>
      </c>
      <c r="D9601" t="s">
        <v>26542</v>
      </c>
      <c r="F9601" t="s">
        <v>26542</v>
      </c>
      <c r="K9601" s="18">
        <f>62816934545</f>
        <v>62816934545</v>
      </c>
      <c r="N9601" s="17" t="s">
        <v>77</v>
      </c>
      <c r="U9601" s="17"/>
      <c r="V9601" s="18">
        <f>62816934545</f>
        <v>62816934545</v>
      </c>
      <c r="W9601" t="s">
        <v>26543</v>
      </c>
      <c r="Y9601" s="17" t="s">
        <v>96</v>
      </c>
    </row>
    <row r="9602" ht="15" customHeight="1" spans="1:27" x14ac:dyDescent="0.25">
      <c r="A9602" s="17" t="s">
        <v>26544</v>
      </c>
      <c r="B9602" s="17" t="s">
        <v>70</v>
      </c>
      <c r="C9602" s="17" t="s">
        <v>71</v>
      </c>
      <c r="D9602" t="s">
        <v>26545</v>
      </c>
      <c r="F9602" t="s">
        <v>26545</v>
      </c>
      <c r="K9602" s="18">
        <f>62818122844</f>
        <v>62818122844</v>
      </c>
      <c r="N9602" s="17" t="s">
        <v>77</v>
      </c>
      <c r="U9602" s="17"/>
      <c r="V9602" s="18">
        <f>62818122844</f>
        <v>62818122844</v>
      </c>
      <c r="W9602" t="s">
        <v>26546</v>
      </c>
      <c r="Y9602" s="17" t="s">
        <v>626</v>
      </c>
      <c r="AA9602" s="17" t="s">
        <v>26547</v>
      </c>
    </row>
    <row r="9603" ht="15" customHeight="1" spans="1:22" x14ac:dyDescent="0.25">
      <c r="A9603" s="17" t="s">
        <v>26548</v>
      </c>
      <c r="B9603" s="17" t="s">
        <v>70</v>
      </c>
      <c r="C9603" s="17" t="s">
        <v>71</v>
      </c>
      <c r="D9603" t="s">
        <v>26549</v>
      </c>
      <c r="F9603" t="s">
        <v>26549</v>
      </c>
      <c r="K9603" s="18">
        <f>628128042484</f>
        <v>628128042484</v>
      </c>
      <c r="N9603" s="17" t="s">
        <v>77</v>
      </c>
      <c r="V9603" s="18">
        <f>628128042484</f>
        <v>628128042484</v>
      </c>
    </row>
    <row r="9604" ht="15" customHeight="1" spans="1:22" x14ac:dyDescent="0.25">
      <c r="A9604" s="17" t="s">
        <v>26550</v>
      </c>
      <c r="B9604" s="17" t="s">
        <v>70</v>
      </c>
      <c r="C9604" s="17" t="s">
        <v>71</v>
      </c>
      <c r="D9604" t="s">
        <v>22186</v>
      </c>
      <c r="F9604" t="s">
        <v>22186</v>
      </c>
      <c r="K9604" s="18">
        <f>628111100386</f>
        <v>628111100386</v>
      </c>
      <c r="N9604" s="17" t="s">
        <v>81</v>
      </c>
      <c r="V9604" s="18">
        <f>628111100386</f>
        <v>628111100386</v>
      </c>
    </row>
    <row r="9605" ht="15" customHeight="1" spans="1:25" x14ac:dyDescent="0.25">
      <c r="A9605" s="17" t="s">
        <v>26551</v>
      </c>
      <c r="B9605" s="17" t="s">
        <v>70</v>
      </c>
      <c r="C9605" s="17" t="s">
        <v>71</v>
      </c>
      <c r="D9605" t="s">
        <v>22186</v>
      </c>
      <c r="F9605" t="s">
        <v>150</v>
      </c>
      <c r="K9605" s="18">
        <f>6281316519000</f>
        <v>6281316519000</v>
      </c>
      <c r="N9605" s="17" t="s">
        <v>77</v>
      </c>
      <c r="U9605" s="17"/>
      <c r="V9605" s="18">
        <f>6281316519000</f>
        <v>6281316519000</v>
      </c>
      <c r="W9605" t="s">
        <v>26552</v>
      </c>
      <c r="Y9605" s="17" t="s">
        <v>96</v>
      </c>
    </row>
    <row r="9606" ht="15" customHeight="1" spans="1:22" x14ac:dyDescent="0.25">
      <c r="A9606" s="17" t="s">
        <v>26553</v>
      </c>
      <c r="B9606" s="17" t="s">
        <v>70</v>
      </c>
      <c r="C9606" s="17" t="s">
        <v>71</v>
      </c>
      <c r="D9606" t="s">
        <v>22186</v>
      </c>
      <c r="F9606" t="s">
        <v>26554</v>
      </c>
      <c r="K9606" s="18">
        <f>6281210055688</f>
        <v>6281210055688</v>
      </c>
      <c r="N9606" s="17" t="s">
        <v>77</v>
      </c>
      <c r="V9606" s="18">
        <f>6281210055688</f>
        <v>6281210055688</v>
      </c>
    </row>
    <row r="9607" ht="15" customHeight="1" spans="1:22" x14ac:dyDescent="0.25">
      <c r="A9607" s="17" t="s">
        <v>26555</v>
      </c>
      <c r="B9607" s="17" t="s">
        <v>70</v>
      </c>
      <c r="C9607" s="17" t="s">
        <v>71</v>
      </c>
      <c r="D9607" t="s">
        <v>22186</v>
      </c>
      <c r="F9607" t="s">
        <v>3111</v>
      </c>
      <c r="J9607" s="17" t="s">
        <v>26556</v>
      </c>
      <c r="K9607" s="18">
        <f>62811179728</f>
        <v>62811179728</v>
      </c>
      <c r="N9607" s="17" t="s">
        <v>81</v>
      </c>
      <c r="V9607" s="18">
        <f>62811179728</f>
        <v>62811179728</v>
      </c>
    </row>
    <row r="9608" ht="15" customHeight="1" spans="1:22" x14ac:dyDescent="0.25">
      <c r="A9608" s="17" t="s">
        <v>26557</v>
      </c>
      <c r="B9608" s="17" t="s">
        <v>70</v>
      </c>
      <c r="C9608" s="17" t="s">
        <v>71</v>
      </c>
      <c r="D9608" t="s">
        <v>22186</v>
      </c>
      <c r="F9608" t="s">
        <v>913</v>
      </c>
      <c r="K9608" s="18">
        <f>628114902288</f>
        <v>628114902288</v>
      </c>
      <c r="N9608" s="17" t="s">
        <v>77</v>
      </c>
      <c r="V9608" s="18">
        <f>628114902288</f>
        <v>628114902288</v>
      </c>
    </row>
    <row r="9609" ht="15" customHeight="1" spans="1:28" x14ac:dyDescent="0.25">
      <c r="A9609" s="17" t="s">
        <v>26558</v>
      </c>
      <c r="B9609" s="17" t="s">
        <v>70</v>
      </c>
      <c r="C9609" s="17" t="s">
        <v>71</v>
      </c>
      <c r="D9609" t="s">
        <v>26559</v>
      </c>
      <c r="F9609" t="s">
        <v>2508</v>
      </c>
      <c r="J9609" t="s">
        <v>115</v>
      </c>
      <c r="K9609" s="18" t="s">
        <v>26560</v>
      </c>
      <c r="N9609" s="17" t="s">
        <v>77</v>
      </c>
      <c r="O9609" t="s">
        <v>145</v>
      </c>
      <c r="V9609" s="18" t="s">
        <v>26560</v>
      </c>
      <c r="Y9609" t="s">
        <v>115</v>
      </c>
      <c r="AA9609" t="s">
        <v>115</v>
      </c>
      <c r="AB9609" t="s">
        <v>119</v>
      </c>
    </row>
    <row r="9610" ht="15" customHeight="1" spans="1:27" x14ac:dyDescent="0.25">
      <c r="A9610" s="17" t="s">
        <v>26561</v>
      </c>
      <c r="B9610" s="17" t="s">
        <v>70</v>
      </c>
      <c r="C9610" s="17" t="s">
        <v>71</v>
      </c>
      <c r="D9610" t="s">
        <v>26559</v>
      </c>
      <c r="F9610" t="s">
        <v>19643</v>
      </c>
      <c r="K9610" s="18">
        <f>6287877327446</f>
        <v>6287877327446</v>
      </c>
      <c r="N9610" s="17" t="s">
        <v>74</v>
      </c>
      <c r="U9610" s="17"/>
      <c r="V9610" s="18">
        <f>6287877327446</f>
        <v>6287877327446</v>
      </c>
      <c r="W9610" t="s">
        <v>26562</v>
      </c>
      <c r="Y9610" s="17" t="s">
        <v>96</v>
      </c>
      <c r="AA9610" s="17">
        <v>12110</v>
      </c>
    </row>
    <row r="9611" ht="15" customHeight="1" spans="1:22" x14ac:dyDescent="0.25">
      <c r="A9611" s="17" t="s">
        <v>26563</v>
      </c>
      <c r="B9611" s="17" t="s">
        <v>70</v>
      </c>
      <c r="C9611" s="17" t="s">
        <v>71</v>
      </c>
      <c r="D9611" t="s">
        <v>26559</v>
      </c>
      <c r="F9611" t="s">
        <v>5681</v>
      </c>
      <c r="K9611" s="18">
        <f>62818916369</f>
        <v>62818916369</v>
      </c>
      <c r="N9611" s="17" t="s">
        <v>81</v>
      </c>
      <c r="V9611" s="18">
        <f>62818916369</f>
        <v>62818916369</v>
      </c>
    </row>
    <row r="9612" ht="15" customHeight="1" spans="1:22" x14ac:dyDescent="0.25">
      <c r="A9612" s="17" t="s">
        <v>26564</v>
      </c>
      <c r="B9612" s="17" t="s">
        <v>70</v>
      </c>
      <c r="C9612" s="17" t="s">
        <v>71</v>
      </c>
      <c r="D9612" t="s">
        <v>26559</v>
      </c>
      <c r="F9612" t="s">
        <v>7824</v>
      </c>
      <c r="K9612" s="18">
        <f>628125120598</f>
        <v>628125120598</v>
      </c>
      <c r="N9612" s="17" t="s">
        <v>81</v>
      </c>
      <c r="V9612" s="18">
        <f>628125120598</f>
        <v>628125120598</v>
      </c>
    </row>
    <row r="9613" ht="15" customHeight="1" spans="1:22" x14ac:dyDescent="0.25">
      <c r="A9613" s="17" t="s">
        <v>26565</v>
      </c>
      <c r="B9613" s="17" t="s">
        <v>70</v>
      </c>
      <c r="C9613" s="17" t="s">
        <v>71</v>
      </c>
      <c r="D9613" t="s">
        <v>26559</v>
      </c>
      <c r="F9613" t="s">
        <v>26566</v>
      </c>
      <c r="K9613" s="18">
        <f>6281398689857</f>
        <v>6281398689857</v>
      </c>
      <c r="N9613" s="17" t="s">
        <v>77</v>
      </c>
      <c r="V9613" s="18">
        <f>6281398689857</f>
        <v>6281398689857</v>
      </c>
    </row>
    <row r="9614" ht="15" customHeight="1" spans="1:22" x14ac:dyDescent="0.25">
      <c r="A9614" s="17" t="s">
        <v>26567</v>
      </c>
      <c r="B9614" s="17" t="s">
        <v>70</v>
      </c>
      <c r="C9614" s="17" t="s">
        <v>71</v>
      </c>
      <c r="D9614" t="s">
        <v>26507</v>
      </c>
      <c r="F9614" t="s">
        <v>26568</v>
      </c>
      <c r="K9614" s="18">
        <f>628159003283</f>
        <v>628159003283</v>
      </c>
      <c r="N9614" s="17" t="s">
        <v>81</v>
      </c>
      <c r="V9614" s="18">
        <f>628159003283</f>
        <v>628159003283</v>
      </c>
    </row>
    <row r="9615" ht="15" customHeight="1" spans="1:28" x14ac:dyDescent="0.25">
      <c r="A9615" s="17" t="s">
        <v>26569</v>
      </c>
      <c r="B9615" s="17" t="s">
        <v>70</v>
      </c>
      <c r="C9615" s="17" t="s">
        <v>71</v>
      </c>
      <c r="D9615" t="s">
        <v>26507</v>
      </c>
      <c r="F9615" t="s">
        <v>135</v>
      </c>
      <c r="J9615" t="s">
        <v>115</v>
      </c>
      <c r="K9615" s="18" t="s">
        <v>26570</v>
      </c>
      <c r="N9615" s="17" t="s">
        <v>77</v>
      </c>
      <c r="O9615" t="s">
        <v>489</v>
      </c>
      <c r="U9615" s="17"/>
      <c r="V9615" s="18" t="s">
        <v>26570</v>
      </c>
      <c r="W9615" t="s">
        <v>26571</v>
      </c>
      <c r="Y9615" t="s">
        <v>90</v>
      </c>
      <c r="AA9615" t="s">
        <v>118</v>
      </c>
      <c r="AB9615" t="s">
        <v>119</v>
      </c>
    </row>
    <row r="9616" ht="15" customHeight="1" spans="1:23" x14ac:dyDescent="0.25">
      <c r="A9616" s="17" t="s">
        <v>26572</v>
      </c>
      <c r="B9616" s="17" t="s">
        <v>70</v>
      </c>
      <c r="C9616" s="17" t="s">
        <v>71</v>
      </c>
      <c r="D9616" t="s">
        <v>26507</v>
      </c>
      <c r="F9616" t="s">
        <v>26573</v>
      </c>
      <c r="K9616" s="18">
        <f>6281211632633</f>
        <v>6281211632633</v>
      </c>
      <c r="N9616" s="17" t="s">
        <v>81</v>
      </c>
      <c r="U9616" s="17"/>
      <c r="V9616" s="18">
        <f>6281211632633</f>
        <v>6281211632633</v>
      </c>
      <c r="W9616" t="s">
        <v>26574</v>
      </c>
    </row>
    <row r="9617" ht="15" customHeight="1" spans="1:22" x14ac:dyDescent="0.25">
      <c r="A9617" s="17" t="s">
        <v>26575</v>
      </c>
      <c r="B9617" s="17" t="s">
        <v>70</v>
      </c>
      <c r="C9617" s="17" t="s">
        <v>71</v>
      </c>
      <c r="D9617" t="s">
        <v>26576</v>
      </c>
      <c r="F9617" t="s">
        <v>25795</v>
      </c>
      <c r="K9617" s="18">
        <f>628124838007</f>
        <v>628124838007</v>
      </c>
      <c r="N9617" s="17" t="s">
        <v>77</v>
      </c>
      <c r="V9617" s="18">
        <f>628124838007</f>
        <v>628124838007</v>
      </c>
    </row>
    <row r="9618" ht="15" customHeight="1" spans="1:22" x14ac:dyDescent="0.25">
      <c r="A9618" s="17" t="s">
        <v>26577</v>
      </c>
      <c r="B9618" s="17" t="s">
        <v>70</v>
      </c>
      <c r="C9618" s="17" t="s">
        <v>71</v>
      </c>
      <c r="D9618" t="s">
        <v>26578</v>
      </c>
      <c r="F9618" t="s">
        <v>6242</v>
      </c>
      <c r="K9618" s="18">
        <f>6281316534063</f>
        <v>6281316534063</v>
      </c>
      <c r="N9618" s="17" t="s">
        <v>77</v>
      </c>
      <c r="V9618" s="18">
        <f>6281316534063</f>
        <v>6281316534063</v>
      </c>
    </row>
    <row r="9619" ht="15" customHeight="1" spans="1:22" x14ac:dyDescent="0.25">
      <c r="A9619" s="17" t="s">
        <v>26579</v>
      </c>
      <c r="B9619" s="17" t="s">
        <v>70</v>
      </c>
      <c r="C9619" s="17" t="s">
        <v>71</v>
      </c>
      <c r="D9619" t="s">
        <v>26580</v>
      </c>
      <c r="F9619" t="s">
        <v>26581</v>
      </c>
      <c r="K9619" s="18">
        <f>48500111306</f>
        <v>48500111306</v>
      </c>
      <c r="N9619" s="17" t="s">
        <v>81</v>
      </c>
      <c r="V9619" s="18">
        <f>48500111306</f>
        <v>48500111306</v>
      </c>
    </row>
    <row r="9620" ht="15" customHeight="1" spans="1:28" x14ac:dyDescent="0.25">
      <c r="A9620" s="17" t="s">
        <v>26582</v>
      </c>
      <c r="B9620" s="17" t="s">
        <v>70</v>
      </c>
      <c r="C9620" s="17" t="s">
        <v>71</v>
      </c>
      <c r="D9620" t="s">
        <v>26583</v>
      </c>
      <c r="F9620" t="s">
        <v>26584</v>
      </c>
      <c r="J9620" t="s">
        <v>115</v>
      </c>
      <c r="K9620" s="18" t="s">
        <v>26585</v>
      </c>
      <c r="N9620" s="17" t="s">
        <v>77</v>
      </c>
      <c r="O9620" t="s">
        <v>261</v>
      </c>
      <c r="U9620" s="17"/>
      <c r="V9620" s="18" t="s">
        <v>26585</v>
      </c>
      <c r="W9620" t="s">
        <v>90</v>
      </c>
      <c r="Y9620" t="s">
        <v>90</v>
      </c>
      <c r="AA9620" t="s">
        <v>118</v>
      </c>
      <c r="AB9620" t="s">
        <v>119</v>
      </c>
    </row>
    <row r="9621" ht="15" customHeight="1" spans="1:28" x14ac:dyDescent="0.25">
      <c r="A9621" s="17" t="s">
        <v>26586</v>
      </c>
      <c r="B9621" s="17" t="s">
        <v>70</v>
      </c>
      <c r="C9621" s="17" t="s">
        <v>71</v>
      </c>
      <c r="D9621" t="s">
        <v>26587</v>
      </c>
      <c r="F9621" t="s">
        <v>26588</v>
      </c>
      <c r="J9621" s="17" t="s">
        <v>26589</v>
      </c>
      <c r="K9621" s="18" t="s">
        <v>26590</v>
      </c>
      <c r="N9621" s="17" t="s">
        <v>77</v>
      </c>
      <c r="O9621" t="s">
        <v>145</v>
      </c>
      <c r="V9621" s="18" t="s">
        <v>26590</v>
      </c>
      <c r="Y9621" t="s">
        <v>217</v>
      </c>
      <c r="AA9621" t="s">
        <v>218</v>
      </c>
      <c r="AB9621" t="s">
        <v>119</v>
      </c>
    </row>
    <row r="9622" ht="15" customHeight="1" spans="1:28" x14ac:dyDescent="0.25">
      <c r="A9622" s="17" t="s">
        <v>26591</v>
      </c>
      <c r="B9622" s="17" t="s">
        <v>70</v>
      </c>
      <c r="C9622" s="17" t="s">
        <v>71</v>
      </c>
      <c r="D9622" t="s">
        <v>26592</v>
      </c>
      <c r="F9622" t="s">
        <v>26593</v>
      </c>
      <c r="J9622" s="17" t="s">
        <v>26594</v>
      </c>
      <c r="K9622" s="18" t="s">
        <v>26595</v>
      </c>
      <c r="N9622" s="17" t="s">
        <v>77</v>
      </c>
      <c r="O9622" t="s">
        <v>199</v>
      </c>
      <c r="U9622" s="17"/>
      <c r="V9622" s="18" t="s">
        <v>26595</v>
      </c>
      <c r="W9622" t="s">
        <v>26596</v>
      </c>
      <c r="Y9622" s="17" t="s">
        <v>6246</v>
      </c>
      <c r="AA9622" t="s">
        <v>115</v>
      </c>
      <c r="AB9622" t="s">
        <v>119</v>
      </c>
    </row>
    <row r="9623" ht="15" customHeight="1" spans="1:22" x14ac:dyDescent="0.25">
      <c r="A9623" s="17" t="s">
        <v>26597</v>
      </c>
      <c r="B9623" s="17" t="s">
        <v>70</v>
      </c>
      <c r="C9623" s="17" t="s">
        <v>71</v>
      </c>
      <c r="D9623" t="s">
        <v>26598</v>
      </c>
      <c r="F9623" t="s">
        <v>10192</v>
      </c>
      <c r="K9623" s="18">
        <f>62811175234</f>
        <v>62811175234</v>
      </c>
      <c r="N9623" s="17" t="s">
        <v>77</v>
      </c>
      <c r="V9623" s="18">
        <f>62811175234</f>
        <v>62811175234</v>
      </c>
    </row>
    <row r="9624" ht="15" customHeight="1" spans="1:22" x14ac:dyDescent="0.25">
      <c r="A9624" s="17" t="s">
        <v>26599</v>
      </c>
      <c r="B9624" s="17" t="s">
        <v>70</v>
      </c>
      <c r="C9624" s="17" t="s">
        <v>71</v>
      </c>
      <c r="D9624" t="s">
        <v>26472</v>
      </c>
      <c r="F9624" t="s">
        <v>26472</v>
      </c>
      <c r="K9624" s="18">
        <f>6282360114893</f>
        <v>6282360114893</v>
      </c>
      <c r="N9624" s="17" t="s">
        <v>81</v>
      </c>
      <c r="V9624" s="18">
        <f>6282360114893</f>
        <v>6282360114893</v>
      </c>
    </row>
    <row r="9625" ht="15" customHeight="1" spans="1:28" x14ac:dyDescent="0.25">
      <c r="A9625" s="17" t="s">
        <v>26600</v>
      </c>
      <c r="B9625" s="17" t="s">
        <v>70</v>
      </c>
      <c r="C9625" s="17" t="s">
        <v>71</v>
      </c>
      <c r="D9625" t="s">
        <v>26601</v>
      </c>
      <c r="F9625" t="s">
        <v>26602</v>
      </c>
      <c r="J9625" t="s">
        <v>115</v>
      </c>
      <c r="K9625" s="18" t="s">
        <v>26603</v>
      </c>
      <c r="N9625" s="17" t="s">
        <v>74</v>
      </c>
      <c r="O9625" t="s">
        <v>117</v>
      </c>
      <c r="V9625" s="18" t="s">
        <v>26603</v>
      </c>
      <c r="Y9625" t="s">
        <v>90</v>
      </c>
      <c r="AA9625" t="s">
        <v>118</v>
      </c>
      <c r="AB9625" t="s">
        <v>119</v>
      </c>
    </row>
    <row r="9626" ht="15" customHeight="1" spans="1:22" x14ac:dyDescent="0.25">
      <c r="A9626" s="17" t="s">
        <v>26604</v>
      </c>
      <c r="B9626" s="17" t="s">
        <v>70</v>
      </c>
      <c r="C9626" s="17" t="s">
        <v>71</v>
      </c>
      <c r="D9626" t="s">
        <v>26472</v>
      </c>
      <c r="F9626" t="s">
        <v>4980</v>
      </c>
      <c r="K9626" s="18">
        <f>628121038903</f>
        <v>628121038903</v>
      </c>
      <c r="N9626" s="17" t="s">
        <v>77</v>
      </c>
      <c r="V9626" s="18">
        <f>628121038903</f>
        <v>628121038903</v>
      </c>
    </row>
    <row r="9627" ht="15" customHeight="1" spans="1:23" x14ac:dyDescent="0.25">
      <c r="A9627" s="17" t="s">
        <v>26605</v>
      </c>
      <c r="B9627" s="17" t="s">
        <v>70</v>
      </c>
      <c r="C9627" s="17" t="s">
        <v>71</v>
      </c>
      <c r="D9627" t="s">
        <v>26472</v>
      </c>
      <c r="F9627" t="s">
        <v>26606</v>
      </c>
      <c r="J9627" s="17" t="s">
        <v>26607</v>
      </c>
      <c r="K9627" s="18">
        <f>622156999057</f>
        <v>622156999057</v>
      </c>
      <c r="N9627" s="17" t="s">
        <v>77</v>
      </c>
      <c r="U9627" s="17"/>
      <c r="V9627" s="18">
        <f>622156999057</f>
        <v>622156999057</v>
      </c>
      <c r="W9627" t="s">
        <v>26608</v>
      </c>
    </row>
    <row r="9628" ht="15" customHeight="1" spans="1:28" x14ac:dyDescent="0.25">
      <c r="A9628" s="17" t="s">
        <v>26609</v>
      </c>
      <c r="B9628" s="17" t="s">
        <v>70</v>
      </c>
      <c r="C9628" s="17" t="s">
        <v>71</v>
      </c>
      <c r="D9628" t="s">
        <v>26610</v>
      </c>
      <c r="F9628" t="s">
        <v>26611</v>
      </c>
      <c r="J9628" t="s">
        <v>115</v>
      </c>
      <c r="K9628" s="18" t="s">
        <v>26612</v>
      </c>
      <c r="N9628" s="17" t="s">
        <v>77</v>
      </c>
      <c r="O9628" t="s">
        <v>489</v>
      </c>
      <c r="V9628" s="18" t="s">
        <v>26612</v>
      </c>
      <c r="Y9628" t="s">
        <v>1042</v>
      </c>
      <c r="AA9628" t="s">
        <v>115</v>
      </c>
      <c r="AB9628" t="s">
        <v>119</v>
      </c>
    </row>
    <row r="9629" ht="15" customHeight="1" spans="1:23" x14ac:dyDescent="0.25">
      <c r="A9629" s="17" t="s">
        <v>26613</v>
      </c>
      <c r="B9629" s="17" t="s">
        <v>70</v>
      </c>
      <c r="C9629" s="17" t="s">
        <v>71</v>
      </c>
      <c r="D9629" t="s">
        <v>26614</v>
      </c>
      <c r="F9629" t="s">
        <v>26614</v>
      </c>
      <c r="K9629" s="18">
        <f>6281210083893</f>
        <v>6281210083893</v>
      </c>
      <c r="N9629" s="17" t="s">
        <v>77</v>
      </c>
      <c r="U9629" s="17"/>
      <c r="V9629" s="18">
        <f>6281210083893</f>
        <v>6281210083893</v>
      </c>
      <c r="W9629" t="s">
        <v>26615</v>
      </c>
    </row>
    <row r="9630" ht="15" customHeight="1" spans="1:22" x14ac:dyDescent="0.25">
      <c r="A9630" s="17" t="s">
        <v>26616</v>
      </c>
      <c r="B9630" s="17" t="s">
        <v>70</v>
      </c>
      <c r="C9630" s="17" t="s">
        <v>71</v>
      </c>
      <c r="D9630" t="s">
        <v>26617</v>
      </c>
      <c r="F9630" t="s">
        <v>13245</v>
      </c>
      <c r="K9630" s="18">
        <f>6281289807798</f>
        <v>6281289807798</v>
      </c>
      <c r="N9630" s="17" t="s">
        <v>77</v>
      </c>
      <c r="V9630" s="18">
        <f>6281289807798</f>
        <v>6281289807798</v>
      </c>
    </row>
    <row r="9631" ht="15" customHeight="1" spans="1:23" x14ac:dyDescent="0.25">
      <c r="A9631" s="17" t="s">
        <v>26618</v>
      </c>
      <c r="B9631" s="17" t="s">
        <v>70</v>
      </c>
      <c r="C9631" s="17" t="s">
        <v>71</v>
      </c>
      <c r="D9631" t="s">
        <v>26617</v>
      </c>
      <c r="F9631" t="s">
        <v>26619</v>
      </c>
      <c r="K9631" s="18">
        <f>6281296332043</f>
        <v>6281296332043</v>
      </c>
      <c r="N9631" s="17" t="s">
        <v>81</v>
      </c>
      <c r="U9631" s="17"/>
      <c r="V9631" s="18">
        <f>6281296332043</f>
        <v>6281296332043</v>
      </c>
      <c r="W9631" t="s">
        <v>26620</v>
      </c>
    </row>
    <row r="9632" ht="15" customHeight="1" spans="1:25" x14ac:dyDescent="0.25">
      <c r="A9632" s="17" t="s">
        <v>26621</v>
      </c>
      <c r="B9632" s="17" t="s">
        <v>70</v>
      </c>
      <c r="C9632" s="17" t="s">
        <v>71</v>
      </c>
      <c r="D9632" t="s">
        <v>26617</v>
      </c>
      <c r="F9632" t="s">
        <v>26622</v>
      </c>
      <c r="K9632" s="18">
        <f>62818184111</f>
        <v>62818184111</v>
      </c>
      <c r="N9632" s="17" t="s">
        <v>81</v>
      </c>
      <c r="U9632" s="17"/>
      <c r="V9632" s="18">
        <f>62818184111</f>
        <v>62818184111</v>
      </c>
      <c r="W9632" t="s">
        <v>26623</v>
      </c>
      <c r="Y9632" s="17" t="s">
        <v>384</v>
      </c>
    </row>
    <row r="9633" ht="15" customHeight="1" spans="1:28" x14ac:dyDescent="0.25">
      <c r="A9633" s="17" t="s">
        <v>26624</v>
      </c>
      <c r="B9633" s="17" t="s">
        <v>70</v>
      </c>
      <c r="C9633" s="17" t="s">
        <v>71</v>
      </c>
      <c r="D9633" t="s">
        <v>26625</v>
      </c>
      <c r="F9633" t="s">
        <v>26625</v>
      </c>
      <c r="J9633" t="s">
        <v>115</v>
      </c>
      <c r="K9633" s="18" t="s">
        <v>26626</v>
      </c>
      <c r="N9633" s="17" t="s">
        <v>74</v>
      </c>
      <c r="O9633" t="s">
        <v>261</v>
      </c>
      <c r="U9633" s="17"/>
      <c r="V9633" s="18" t="s">
        <v>26626</v>
      </c>
      <c r="W9633" t="s">
        <v>26627</v>
      </c>
      <c r="Y9633" s="17" t="s">
        <v>217</v>
      </c>
      <c r="AA9633" t="s">
        <v>218</v>
      </c>
      <c r="AB9633" t="s">
        <v>119</v>
      </c>
    </row>
    <row r="9634" ht="15" customHeight="1" spans="1:27" x14ac:dyDescent="0.25">
      <c r="A9634" s="17" t="s">
        <v>26628</v>
      </c>
      <c r="B9634" s="17" t="s">
        <v>70</v>
      </c>
      <c r="C9634" s="17" t="s">
        <v>71</v>
      </c>
      <c r="D9634" t="s">
        <v>26629</v>
      </c>
      <c r="F9634" t="s">
        <v>26629</v>
      </c>
      <c r="J9634" s="17" t="s">
        <v>26630</v>
      </c>
      <c r="K9634" s="18">
        <f>6287889197706</f>
        <v>6287889197706</v>
      </c>
      <c r="N9634" s="17" t="s">
        <v>77</v>
      </c>
      <c r="U9634" s="17"/>
      <c r="V9634" s="18">
        <f>6287889197706</f>
        <v>6287889197706</v>
      </c>
      <c r="W9634" t="s">
        <v>26631</v>
      </c>
      <c r="Y9634" s="17" t="s">
        <v>96</v>
      </c>
      <c r="AA9634" s="17">
        <v>12310</v>
      </c>
    </row>
    <row r="9635" ht="15" customHeight="1" spans="1:28" x14ac:dyDescent="0.25">
      <c r="A9635" s="17" t="s">
        <v>26632</v>
      </c>
      <c r="B9635" s="17" t="s">
        <v>70</v>
      </c>
      <c r="C9635" s="17" t="s">
        <v>71</v>
      </c>
      <c r="D9635" t="s">
        <v>26633</v>
      </c>
      <c r="F9635" t="s">
        <v>26633</v>
      </c>
      <c r="J9635" s="17" t="s">
        <v>26634</v>
      </c>
      <c r="K9635" s="18" t="s">
        <v>26635</v>
      </c>
      <c r="N9635" s="17" t="s">
        <v>77</v>
      </c>
      <c r="O9635" t="s">
        <v>199</v>
      </c>
      <c r="V9635" s="18" t="s">
        <v>26635</v>
      </c>
      <c r="Y9635" t="s">
        <v>115</v>
      </c>
      <c r="AA9635" t="s">
        <v>115</v>
      </c>
      <c r="AB9635" t="s">
        <v>119</v>
      </c>
    </row>
    <row r="9636" ht="15" customHeight="1" spans="1:28" x14ac:dyDescent="0.25">
      <c r="A9636" s="17" t="s">
        <v>26636</v>
      </c>
      <c r="B9636" s="17" t="s">
        <v>70</v>
      </c>
      <c r="C9636" s="17" t="s">
        <v>71</v>
      </c>
      <c r="D9636" t="s">
        <v>26633</v>
      </c>
      <c r="F9636" t="s">
        <v>618</v>
      </c>
      <c r="J9636" t="s">
        <v>115</v>
      </c>
      <c r="K9636" s="18" t="s">
        <v>26637</v>
      </c>
      <c r="N9636" s="17" t="s">
        <v>77</v>
      </c>
      <c r="O9636" t="s">
        <v>117</v>
      </c>
      <c r="V9636" s="18" t="s">
        <v>26637</v>
      </c>
      <c r="Y9636" t="s">
        <v>90</v>
      </c>
      <c r="AA9636" t="s">
        <v>118</v>
      </c>
      <c r="AB9636" t="s">
        <v>119</v>
      </c>
    </row>
    <row r="9637" ht="15" customHeight="1" spans="1:22" x14ac:dyDescent="0.25">
      <c r="A9637" s="17" t="s">
        <v>26638</v>
      </c>
      <c r="B9637" s="17" t="s">
        <v>70</v>
      </c>
      <c r="C9637" s="17" t="s">
        <v>71</v>
      </c>
      <c r="D9637" t="s">
        <v>26633</v>
      </c>
      <c r="F9637" t="s">
        <v>4566</v>
      </c>
      <c r="K9637" s="18">
        <f>628129256490</f>
        <v>628129256490</v>
      </c>
      <c r="N9637" s="17" t="s">
        <v>81</v>
      </c>
      <c r="V9637" s="18">
        <f>628129256490</f>
        <v>628129256490</v>
      </c>
    </row>
    <row r="9638" ht="15" customHeight="1" spans="1:28" x14ac:dyDescent="0.25">
      <c r="A9638" s="17" t="s">
        <v>26639</v>
      </c>
      <c r="B9638" s="17" t="s">
        <v>70</v>
      </c>
      <c r="C9638" s="17" t="s">
        <v>71</v>
      </c>
      <c r="D9638" t="s">
        <v>5783</v>
      </c>
      <c r="F9638" t="s">
        <v>26640</v>
      </c>
      <c r="J9638" t="s">
        <v>115</v>
      </c>
      <c r="K9638" s="18" t="s">
        <v>26641</v>
      </c>
      <c r="N9638" s="17" t="s">
        <v>77</v>
      </c>
      <c r="O9638" t="s">
        <v>117</v>
      </c>
      <c r="V9638" s="18" t="s">
        <v>26641</v>
      </c>
      <c r="Y9638" t="s">
        <v>115</v>
      </c>
      <c r="AA9638" t="s">
        <v>115</v>
      </c>
      <c r="AB9638" t="s">
        <v>2605</v>
      </c>
    </row>
    <row r="9639" ht="15" customHeight="1" spans="1:22" x14ac:dyDescent="0.25">
      <c r="A9639" s="17" t="s">
        <v>26642</v>
      </c>
      <c r="B9639" s="17" t="s">
        <v>70</v>
      </c>
      <c r="C9639" s="17" t="s">
        <v>71</v>
      </c>
      <c r="D9639" t="s">
        <v>10485</v>
      </c>
      <c r="F9639" t="s">
        <v>1024</v>
      </c>
      <c r="K9639" s="18">
        <f>628175497868</f>
        <v>628175497868</v>
      </c>
      <c r="N9639" s="17" t="s">
        <v>81</v>
      </c>
      <c r="V9639" s="18">
        <f>628175497868</f>
        <v>628175497868</v>
      </c>
    </row>
    <row r="9640" ht="15" customHeight="1" spans="1:22" x14ac:dyDescent="0.25">
      <c r="A9640" s="17" t="s">
        <v>26643</v>
      </c>
      <c r="B9640" s="17" t="s">
        <v>70</v>
      </c>
      <c r="C9640" s="17" t="s">
        <v>71</v>
      </c>
      <c r="D9640" t="s">
        <v>26644</v>
      </c>
      <c r="F9640" t="s">
        <v>1309</v>
      </c>
      <c r="K9640" s="18">
        <f>41796203820</f>
        <v>41796203820</v>
      </c>
      <c r="N9640" s="17" t="s">
        <v>77</v>
      </c>
      <c r="V9640" s="18">
        <f>41796203820</f>
        <v>41796203820</v>
      </c>
    </row>
    <row r="9641" ht="15" customHeight="1" spans="1:22" x14ac:dyDescent="0.25">
      <c r="A9641" s="17" t="s">
        <v>26645</v>
      </c>
      <c r="B9641" s="17" t="s">
        <v>70</v>
      </c>
      <c r="C9641" s="17" t="s">
        <v>71</v>
      </c>
      <c r="D9641" t="s">
        <v>26646</v>
      </c>
      <c r="F9641" t="s">
        <v>2029</v>
      </c>
      <c r="J9641" s="17" t="s">
        <v>26647</v>
      </c>
      <c r="K9641" s="18">
        <f>6281213440688</f>
        <v>6281213440688</v>
      </c>
      <c r="N9641" s="17" t="s">
        <v>81</v>
      </c>
      <c r="V9641" s="18">
        <f>6281213440688</f>
        <v>6281213440688</v>
      </c>
    </row>
    <row r="9642" ht="15" customHeight="1" spans="1:22" x14ac:dyDescent="0.25">
      <c r="A9642" s="17" t="s">
        <v>26648</v>
      </c>
      <c r="B9642" s="17" t="s">
        <v>70</v>
      </c>
      <c r="C9642" s="17" t="s">
        <v>71</v>
      </c>
      <c r="D9642" t="s">
        <v>26649</v>
      </c>
      <c r="F9642" t="s">
        <v>26649</v>
      </c>
      <c r="K9642" s="18">
        <f>62811502113</f>
        <v>62811502113</v>
      </c>
      <c r="N9642" s="17" t="s">
        <v>77</v>
      </c>
      <c r="V9642" s="18">
        <f>62811502113</f>
        <v>62811502113</v>
      </c>
    </row>
    <row r="9643" ht="15" customHeight="1" spans="1:27" x14ac:dyDescent="0.25">
      <c r="A9643" s="17" t="s">
        <v>26650</v>
      </c>
      <c r="B9643" s="17" t="s">
        <v>70</v>
      </c>
      <c r="C9643" s="17" t="s">
        <v>71</v>
      </c>
      <c r="D9643" t="s">
        <v>26651</v>
      </c>
      <c r="F9643" t="s">
        <v>26652</v>
      </c>
      <c r="K9643" s="18">
        <v>57901820</v>
      </c>
      <c r="N9643" s="17" t="s">
        <v>74</v>
      </c>
      <c r="U9643" s="17"/>
      <c r="V9643" s="18">
        <v>57901820</v>
      </c>
      <c r="W9643" t="s">
        <v>26653</v>
      </c>
      <c r="Y9643" s="17" t="s">
        <v>96</v>
      </c>
      <c r="AA9643" s="17" t="s">
        <v>26654</v>
      </c>
    </row>
    <row r="9644" ht="15" customHeight="1" spans="1:22" x14ac:dyDescent="0.25">
      <c r="A9644" s="17" t="s">
        <v>26655</v>
      </c>
      <c r="B9644" s="17" t="s">
        <v>70</v>
      </c>
      <c r="C9644" s="17" t="s">
        <v>71</v>
      </c>
      <c r="D9644" t="s">
        <v>26656</v>
      </c>
      <c r="F9644" t="s">
        <v>26657</v>
      </c>
      <c r="K9644" s="18">
        <f>628024449342</f>
        <v>628024449342</v>
      </c>
      <c r="N9644" s="17" t="s">
        <v>77</v>
      </c>
      <c r="V9644" s="18">
        <f>628024449342</f>
        <v>628024449342</v>
      </c>
    </row>
    <row r="9645" ht="15" customHeight="1" spans="1:22" x14ac:dyDescent="0.25">
      <c r="A9645" s="17" t="s">
        <v>26658</v>
      </c>
      <c r="B9645" s="17" t="s">
        <v>70</v>
      </c>
      <c r="C9645" s="17" t="s">
        <v>71</v>
      </c>
      <c r="D9645" t="s">
        <v>26659</v>
      </c>
      <c r="F9645" t="s">
        <v>26659</v>
      </c>
      <c r="K9645" s="18">
        <f>6281511377906</f>
        <v>6281511377906</v>
      </c>
      <c r="N9645" s="17" t="s">
        <v>77</v>
      </c>
      <c r="V9645" s="18">
        <f>6281511377906</f>
        <v>6281511377906</v>
      </c>
    </row>
    <row r="9646" ht="15" customHeight="1" spans="1:28" x14ac:dyDescent="0.25">
      <c r="A9646" s="17" t="s">
        <v>26660</v>
      </c>
      <c r="B9646" s="17" t="s">
        <v>70</v>
      </c>
      <c r="C9646" s="17" t="s">
        <v>71</v>
      </c>
      <c r="D9646" t="s">
        <v>26661</v>
      </c>
      <c r="F9646" t="s">
        <v>26662</v>
      </c>
      <c r="J9646" s="17" t="s">
        <v>26663</v>
      </c>
      <c r="K9646" s="18" t="s">
        <v>26664</v>
      </c>
      <c r="N9646" s="17" t="s">
        <v>77</v>
      </c>
      <c r="O9646" t="s">
        <v>117</v>
      </c>
      <c r="U9646" s="17"/>
      <c r="V9646" s="18" t="s">
        <v>26664</v>
      </c>
      <c r="W9646" t="s">
        <v>26665</v>
      </c>
      <c r="Y9646" s="17" t="s">
        <v>515</v>
      </c>
      <c r="AA9646" s="17" t="s">
        <v>1614</v>
      </c>
      <c r="AB9646" t="s">
        <v>119</v>
      </c>
    </row>
    <row r="9647" ht="15" customHeight="1" spans="1:22" x14ac:dyDescent="0.25">
      <c r="A9647" s="17" t="s">
        <v>26666</v>
      </c>
      <c r="B9647" s="17" t="s">
        <v>70</v>
      </c>
      <c r="C9647" s="17" t="s">
        <v>71</v>
      </c>
      <c r="D9647" t="s">
        <v>26667</v>
      </c>
      <c r="F9647" t="s">
        <v>26668</v>
      </c>
      <c r="K9647" s="18">
        <f>628111636285</f>
        <v>628111636285</v>
      </c>
      <c r="N9647" s="17" t="s">
        <v>77</v>
      </c>
      <c r="V9647" s="18">
        <f>628111636285</f>
        <v>628111636285</v>
      </c>
    </row>
    <row r="9648" ht="15" customHeight="1" spans="1:22" x14ac:dyDescent="0.25">
      <c r="A9648" s="17" t="s">
        <v>26669</v>
      </c>
      <c r="B9648" s="17" t="s">
        <v>70</v>
      </c>
      <c r="C9648" s="17" t="s">
        <v>71</v>
      </c>
      <c r="D9648" t="s">
        <v>26670</v>
      </c>
      <c r="F9648" t="s">
        <v>14166</v>
      </c>
      <c r="K9648" s="18">
        <f>628118715446</f>
        <v>628118715446</v>
      </c>
      <c r="N9648" s="17" t="s">
        <v>74</v>
      </c>
      <c r="V9648" s="18">
        <f>628118715446</f>
        <v>628118715446</v>
      </c>
    </row>
    <row r="9649" ht="15" customHeight="1" spans="1:28" x14ac:dyDescent="0.25">
      <c r="A9649" s="17" t="s">
        <v>26671</v>
      </c>
      <c r="B9649" s="17" t="s">
        <v>70</v>
      </c>
      <c r="C9649" s="17" t="s">
        <v>71</v>
      </c>
      <c r="D9649" t="s">
        <v>26672</v>
      </c>
      <c r="F9649" t="s">
        <v>26673</v>
      </c>
      <c r="J9649" t="s">
        <v>115</v>
      </c>
      <c r="K9649" s="18" t="s">
        <v>26674</v>
      </c>
      <c r="N9649" s="17" t="s">
        <v>77</v>
      </c>
      <c r="O9649" t="s">
        <v>117</v>
      </c>
      <c r="V9649" s="18" t="s">
        <v>26674</v>
      </c>
      <c r="Y9649" t="s">
        <v>3028</v>
      </c>
      <c r="AA9649" t="s">
        <v>9062</v>
      </c>
      <c r="AB9649" t="s">
        <v>119</v>
      </c>
    </row>
    <row r="9650" ht="15" customHeight="1" spans="1:23" x14ac:dyDescent="0.25">
      <c r="A9650" s="17" t="s">
        <v>26675</v>
      </c>
      <c r="B9650" s="17" t="s">
        <v>70</v>
      </c>
      <c r="C9650" s="17" t="s">
        <v>71</v>
      </c>
      <c r="D9650" t="s">
        <v>26676</v>
      </c>
      <c r="F9650" t="s">
        <v>23727</v>
      </c>
      <c r="K9650" s="18">
        <f>628170152818</f>
        <v>628170152818</v>
      </c>
      <c r="N9650" s="17" t="s">
        <v>77</v>
      </c>
      <c r="U9650" s="17"/>
      <c r="V9650" s="18">
        <f>628170152818</f>
        <v>628170152818</v>
      </c>
      <c r="W9650" t="s">
        <v>26677</v>
      </c>
    </row>
    <row r="9651" ht="15" customHeight="1" spans="1:23" x14ac:dyDescent="0.25">
      <c r="A9651" s="17" t="s">
        <v>26678</v>
      </c>
      <c r="B9651" s="17" t="s">
        <v>70</v>
      </c>
      <c r="C9651" s="17" t="s">
        <v>71</v>
      </c>
      <c r="D9651" t="s">
        <v>26679</v>
      </c>
      <c r="F9651" t="s">
        <v>2320</v>
      </c>
      <c r="K9651" s="18">
        <f>6281510570055</f>
        <v>6281510570055</v>
      </c>
      <c r="N9651" s="17" t="s">
        <v>77</v>
      </c>
      <c r="U9651" s="17"/>
      <c r="V9651" s="18">
        <f>6281510570055</f>
        <v>6281510570055</v>
      </c>
      <c r="W9651" t="s">
        <v>26680</v>
      </c>
    </row>
    <row r="9652" ht="15" customHeight="1" spans="1:22" x14ac:dyDescent="0.25">
      <c r="A9652" s="17" t="s">
        <v>26681</v>
      </c>
      <c r="B9652" s="17" t="s">
        <v>70</v>
      </c>
      <c r="C9652" s="17" t="s">
        <v>71</v>
      </c>
      <c r="D9652" t="s">
        <v>26682</v>
      </c>
      <c r="F9652" t="s">
        <v>26682</v>
      </c>
      <c r="K9652" s="18">
        <f>6281210191386</f>
        <v>6281210191386</v>
      </c>
      <c r="N9652" s="17" t="s">
        <v>77</v>
      </c>
      <c r="V9652" s="18">
        <f>6281210191386</f>
        <v>6281210191386</v>
      </c>
    </row>
    <row r="9653" ht="15" customHeight="1" spans="1:22" x14ac:dyDescent="0.25">
      <c r="A9653" s="17" t="s">
        <v>26683</v>
      </c>
      <c r="B9653" s="17" t="s">
        <v>70</v>
      </c>
      <c r="C9653" s="17" t="s">
        <v>71</v>
      </c>
      <c r="D9653" t="s">
        <v>26684</v>
      </c>
      <c r="F9653" t="s">
        <v>26685</v>
      </c>
      <c r="K9653" s="18">
        <f>79605565057</f>
        <v>79605565057</v>
      </c>
      <c r="N9653" s="17" t="s">
        <v>81</v>
      </c>
      <c r="V9653" s="18">
        <f>79605565057</f>
        <v>79605565057</v>
      </c>
    </row>
    <row r="9654" ht="15" customHeight="1" spans="1:25" x14ac:dyDescent="0.25">
      <c r="A9654" s="17" t="s">
        <v>26686</v>
      </c>
      <c r="B9654" s="17" t="s">
        <v>70</v>
      </c>
      <c r="C9654" s="17" t="s">
        <v>71</v>
      </c>
      <c r="D9654" t="s">
        <v>26687</v>
      </c>
      <c r="F9654" t="s">
        <v>26687</v>
      </c>
      <c r="K9654" s="18">
        <f>62811554827</f>
        <v>62811554827</v>
      </c>
      <c r="N9654" s="17" t="s">
        <v>77</v>
      </c>
      <c r="U9654" s="17"/>
      <c r="V9654" s="18">
        <f>62811554827</f>
        <v>62811554827</v>
      </c>
      <c r="W9654" t="s">
        <v>26688</v>
      </c>
      <c r="Y9654" s="17" t="s">
        <v>378</v>
      </c>
    </row>
    <row r="9655" ht="15" customHeight="1" spans="1:28" x14ac:dyDescent="0.25">
      <c r="A9655" s="17" t="s">
        <v>26689</v>
      </c>
      <c r="B9655" s="17" t="s">
        <v>70</v>
      </c>
      <c r="C9655" s="17" t="s">
        <v>71</v>
      </c>
      <c r="D9655" t="s">
        <v>26690</v>
      </c>
      <c r="F9655" t="s">
        <v>26691</v>
      </c>
      <c r="J9655" t="s">
        <v>115</v>
      </c>
      <c r="K9655" s="18" t="s">
        <v>26692</v>
      </c>
      <c r="N9655" s="17" t="s">
        <v>77</v>
      </c>
      <c r="O9655" t="s">
        <v>117</v>
      </c>
      <c r="V9655" s="18" t="s">
        <v>26692</v>
      </c>
      <c r="Y9655" t="s">
        <v>3028</v>
      </c>
      <c r="AA9655" t="s">
        <v>9062</v>
      </c>
      <c r="AB9655" t="s">
        <v>119</v>
      </c>
    </row>
    <row r="9656" ht="15" customHeight="1" spans="1:23" x14ac:dyDescent="0.25">
      <c r="A9656" s="17" t="s">
        <v>26693</v>
      </c>
      <c r="B9656" s="17" t="s">
        <v>70</v>
      </c>
      <c r="C9656" s="17" t="s">
        <v>71</v>
      </c>
      <c r="D9656" t="s">
        <v>26694</v>
      </c>
      <c r="F9656" t="s">
        <v>26695</v>
      </c>
      <c r="K9656" s="18">
        <f>6281218435984</f>
        <v>6281218435984</v>
      </c>
      <c r="N9656" s="17" t="s">
        <v>81</v>
      </c>
      <c r="U9656" s="17"/>
      <c r="V9656" s="18">
        <f>6281218435984</f>
        <v>6281218435984</v>
      </c>
      <c r="W9656" t="s">
        <v>26696</v>
      </c>
    </row>
    <row r="9657" ht="15" customHeight="1" spans="1:23" x14ac:dyDescent="0.25">
      <c r="A9657" s="17" t="s">
        <v>26697</v>
      </c>
      <c r="B9657" s="17" t="s">
        <v>70</v>
      </c>
      <c r="C9657" s="17" t="s">
        <v>71</v>
      </c>
      <c r="D9657" t="s">
        <v>26698</v>
      </c>
      <c r="F9657" t="s">
        <v>509</v>
      </c>
      <c r="K9657" s="18">
        <f>62816905030</f>
        <v>62816905030</v>
      </c>
      <c r="N9657" s="17" t="s">
        <v>81</v>
      </c>
      <c r="U9657" s="17"/>
      <c r="V9657" s="18">
        <f>62816905030</f>
        <v>62816905030</v>
      </c>
      <c r="W9657" t="s">
        <v>26699</v>
      </c>
    </row>
    <row r="9658" ht="15" customHeight="1" spans="1:22" x14ac:dyDescent="0.25">
      <c r="A9658" s="17" t="s">
        <v>26700</v>
      </c>
      <c r="B9658" s="17" t="s">
        <v>70</v>
      </c>
      <c r="C9658" s="17" t="s">
        <v>71</v>
      </c>
      <c r="D9658" t="s">
        <v>26701</v>
      </c>
      <c r="F9658" t="s">
        <v>153</v>
      </c>
      <c r="K9658" s="18">
        <f>628558099900</f>
        <v>628558099900</v>
      </c>
      <c r="N9658" s="17" t="s">
        <v>77</v>
      </c>
      <c r="V9658" s="18">
        <f>628558099900</f>
        <v>628558099900</v>
      </c>
    </row>
    <row r="9659" ht="15" customHeight="1" spans="1:22" x14ac:dyDescent="0.25">
      <c r="A9659" s="17" t="s">
        <v>26702</v>
      </c>
      <c r="B9659" s="17" t="s">
        <v>70</v>
      </c>
      <c r="C9659" s="17" t="s">
        <v>71</v>
      </c>
      <c r="D9659" t="s">
        <v>26703</v>
      </c>
      <c r="F9659" t="s">
        <v>26703</v>
      </c>
      <c r="K9659" s="18">
        <f>24042022</f>
        <v>24042022</v>
      </c>
      <c r="N9659" s="17" t="s">
        <v>81</v>
      </c>
      <c r="V9659" s="18">
        <f>24042022</f>
        <v>24042022</v>
      </c>
    </row>
    <row r="9660" ht="15" customHeight="1" spans="1:22" x14ac:dyDescent="0.25">
      <c r="A9660" s="17" t="s">
        <v>26704</v>
      </c>
      <c r="B9660" s="17" t="s">
        <v>70</v>
      </c>
      <c r="C9660" s="17" t="s">
        <v>71</v>
      </c>
      <c r="D9660" t="s">
        <v>26705</v>
      </c>
      <c r="F9660" t="s">
        <v>26705</v>
      </c>
      <c r="K9660" s="18">
        <f>628111902384</f>
        <v>628111902384</v>
      </c>
      <c r="N9660" s="17" t="s">
        <v>77</v>
      </c>
      <c r="V9660" s="18">
        <f>628111902384</f>
        <v>628111902384</v>
      </c>
    </row>
    <row r="9661" ht="15" customHeight="1" spans="1:22" x14ac:dyDescent="0.25">
      <c r="A9661" s="17" t="s">
        <v>26706</v>
      </c>
      <c r="B9661" s="17" t="s">
        <v>70</v>
      </c>
      <c r="C9661" s="17" t="s">
        <v>71</v>
      </c>
      <c r="D9661" t="s">
        <v>26707</v>
      </c>
      <c r="F9661" t="s">
        <v>26708</v>
      </c>
      <c r="K9661" s="18">
        <f>6281510900831</f>
        <v>6281510900831</v>
      </c>
      <c r="N9661" s="17" t="s">
        <v>77</v>
      </c>
      <c r="V9661" s="18">
        <f>6281510900831</f>
        <v>6281510900831</v>
      </c>
    </row>
    <row r="9662" ht="15" customHeight="1" spans="1:22" x14ac:dyDescent="0.25">
      <c r="A9662" s="17" t="s">
        <v>26709</v>
      </c>
      <c r="B9662" s="17" t="s">
        <v>70</v>
      </c>
      <c r="C9662" s="17" t="s">
        <v>71</v>
      </c>
      <c r="D9662" t="s">
        <v>26710</v>
      </c>
      <c r="F9662" t="s">
        <v>26710</v>
      </c>
      <c r="K9662" s="18">
        <f>393314375653</f>
        <v>393314375653</v>
      </c>
      <c r="N9662" s="17" t="s">
        <v>81</v>
      </c>
      <c r="V9662" s="18">
        <f>393314375653</f>
        <v>393314375653</v>
      </c>
    </row>
    <row r="9663" ht="15" customHeight="1" spans="1:28" x14ac:dyDescent="0.25">
      <c r="A9663" s="17" t="s">
        <v>26711</v>
      </c>
      <c r="B9663" s="17" t="s">
        <v>70</v>
      </c>
      <c r="C9663" s="17" t="s">
        <v>71</v>
      </c>
      <c r="D9663" t="s">
        <v>6324</v>
      </c>
      <c r="F9663" t="s">
        <v>6324</v>
      </c>
      <c r="J9663" t="s">
        <v>115</v>
      </c>
      <c r="K9663" s="18" t="s">
        <v>26712</v>
      </c>
      <c r="N9663" s="17" t="s">
        <v>77</v>
      </c>
      <c r="O9663" t="s">
        <v>117</v>
      </c>
      <c r="U9663" s="17"/>
      <c r="V9663" s="18" t="s">
        <v>26712</v>
      </c>
      <c r="W9663" t="s">
        <v>26713</v>
      </c>
      <c r="Y9663" t="s">
        <v>148</v>
      </c>
      <c r="AA9663" t="s">
        <v>115</v>
      </c>
      <c r="AB9663" t="s">
        <v>148</v>
      </c>
    </row>
    <row r="9664" ht="15" customHeight="1" spans="1:28" x14ac:dyDescent="0.25">
      <c r="A9664" s="17" t="s">
        <v>26714</v>
      </c>
      <c r="B9664" s="17" t="s">
        <v>70</v>
      </c>
      <c r="C9664" s="17" t="s">
        <v>71</v>
      </c>
      <c r="D9664" t="s">
        <v>6324</v>
      </c>
      <c r="F9664" t="s">
        <v>26715</v>
      </c>
      <c r="J9664" s="17" t="s">
        <v>26716</v>
      </c>
      <c r="K9664" s="18" t="s">
        <v>26717</v>
      </c>
      <c r="N9664" s="17" t="s">
        <v>81</v>
      </c>
      <c r="O9664" t="s">
        <v>117</v>
      </c>
      <c r="U9664" s="17"/>
      <c r="V9664" s="18" t="s">
        <v>26717</v>
      </c>
      <c r="W9664" t="s">
        <v>26718</v>
      </c>
      <c r="Y9664" t="s">
        <v>90</v>
      </c>
      <c r="AA9664" t="s">
        <v>118</v>
      </c>
      <c r="AB9664" t="s">
        <v>119</v>
      </c>
    </row>
    <row r="9665" ht="15" customHeight="1" spans="1:22" x14ac:dyDescent="0.25">
      <c r="A9665" s="17" t="s">
        <v>26719</v>
      </c>
      <c r="B9665" s="17" t="s">
        <v>70</v>
      </c>
      <c r="C9665" s="17" t="s">
        <v>71</v>
      </c>
      <c r="D9665" t="s">
        <v>6324</v>
      </c>
      <c r="F9665" t="s">
        <v>26720</v>
      </c>
      <c r="K9665" s="18">
        <f>628119770021</f>
        <v>628119770021</v>
      </c>
      <c r="N9665" s="17" t="s">
        <v>77</v>
      </c>
      <c r="V9665" s="18">
        <f>628119770021</f>
        <v>628119770021</v>
      </c>
    </row>
    <row r="9666" ht="15" customHeight="1" spans="1:22" x14ac:dyDescent="0.25">
      <c r="A9666" s="17" t="s">
        <v>26721</v>
      </c>
      <c r="B9666" s="17" t="s">
        <v>70</v>
      </c>
      <c r="C9666" s="17" t="s">
        <v>71</v>
      </c>
      <c r="D9666" t="s">
        <v>26722</v>
      </c>
      <c r="F9666" t="s">
        <v>26723</v>
      </c>
      <c r="K9666" s="18">
        <f>12039126482</f>
        <v>12039126482</v>
      </c>
      <c r="N9666" s="17" t="s">
        <v>77</v>
      </c>
      <c r="V9666" s="18">
        <f>12039126482</f>
        <v>12039126482</v>
      </c>
    </row>
    <row r="9667" ht="15" customHeight="1" spans="1:23" x14ac:dyDescent="0.25">
      <c r="A9667" s="17" t="s">
        <v>26724</v>
      </c>
      <c r="B9667" s="17" t="s">
        <v>70</v>
      </c>
      <c r="C9667" s="17" t="s">
        <v>71</v>
      </c>
      <c r="D9667" t="s">
        <v>26725</v>
      </c>
      <c r="F9667" t="s">
        <v>26726</v>
      </c>
      <c r="K9667" s="18">
        <f>491786144075</f>
        <v>491786144075</v>
      </c>
      <c r="N9667" s="17" t="s">
        <v>77</v>
      </c>
      <c r="U9667" s="17"/>
      <c r="V9667" s="18">
        <f>491786144075</f>
        <v>491786144075</v>
      </c>
      <c r="W9667" t="s">
        <v>26727</v>
      </c>
    </row>
    <row r="9668" ht="15" customHeight="1" spans="1:22" x14ac:dyDescent="0.25">
      <c r="A9668" s="17" t="s">
        <v>26728</v>
      </c>
      <c r="B9668" s="17" t="s">
        <v>70</v>
      </c>
      <c r="C9668" s="17" t="s">
        <v>71</v>
      </c>
      <c r="D9668" t="s">
        <v>26729</v>
      </c>
      <c r="F9668" t="s">
        <v>5266</v>
      </c>
      <c r="K9668" s="18">
        <f>628161380744</f>
        <v>628161380744</v>
      </c>
      <c r="N9668" s="17" t="s">
        <v>81</v>
      </c>
      <c r="V9668" s="18">
        <f>628161380744</f>
        <v>628161380744</v>
      </c>
    </row>
    <row r="9669" ht="15" customHeight="1" spans="1:23" x14ac:dyDescent="0.25">
      <c r="A9669" s="17" t="s">
        <v>26730</v>
      </c>
      <c r="B9669" s="17" t="s">
        <v>70</v>
      </c>
      <c r="C9669" s="17" t="s">
        <v>71</v>
      </c>
      <c r="D9669" t="s">
        <v>744</v>
      </c>
      <c r="F9669" t="s">
        <v>18201</v>
      </c>
      <c r="K9669" s="18">
        <f>622127651881</f>
        <v>622127651881</v>
      </c>
      <c r="N9669" s="17" t="s">
        <v>81</v>
      </c>
      <c r="U9669" s="17"/>
      <c r="V9669" s="18">
        <f>622127651881</f>
        <v>622127651881</v>
      </c>
      <c r="W9669" t="s">
        <v>26731</v>
      </c>
    </row>
    <row r="9670" ht="15" customHeight="1" spans="1:22" x14ac:dyDescent="0.25">
      <c r="A9670" s="17" t="s">
        <v>26732</v>
      </c>
      <c r="B9670" s="17" t="s">
        <v>70</v>
      </c>
      <c r="C9670" s="17" t="s">
        <v>71</v>
      </c>
      <c r="D9670" t="s">
        <v>26733</v>
      </c>
      <c r="F9670" t="s">
        <v>9718</v>
      </c>
      <c r="K9670" s="18">
        <f>6281381500887</f>
        <v>6281381500887</v>
      </c>
      <c r="N9670" s="17" t="s">
        <v>77</v>
      </c>
      <c r="V9670" s="18">
        <f>6281381500887</f>
        <v>6281381500887</v>
      </c>
    </row>
    <row r="9671" ht="15" customHeight="1" spans="1:22" x14ac:dyDescent="0.25">
      <c r="A9671" s="17" t="s">
        <v>26734</v>
      </c>
      <c r="B9671" s="17" t="s">
        <v>70</v>
      </c>
      <c r="C9671" s="17" t="s">
        <v>71</v>
      </c>
      <c r="D9671" t="s">
        <v>26735</v>
      </c>
      <c r="F9671" t="s">
        <v>26735</v>
      </c>
      <c r="K9671" s="18">
        <f>628161164500</f>
        <v>628161164500</v>
      </c>
      <c r="N9671" s="17" t="s">
        <v>81</v>
      </c>
      <c r="V9671" s="18">
        <f>628161164500</f>
        <v>628161164500</v>
      </c>
    </row>
    <row r="9672" ht="15" customHeight="1" spans="1:22" x14ac:dyDescent="0.25">
      <c r="A9672" s="17" t="s">
        <v>26736</v>
      </c>
      <c r="B9672" s="17" t="s">
        <v>70</v>
      </c>
      <c r="C9672" s="17" t="s">
        <v>71</v>
      </c>
      <c r="D9672" t="s">
        <v>26735</v>
      </c>
      <c r="F9672" t="s">
        <v>26735</v>
      </c>
      <c r="K9672" s="18">
        <f>628158770305</f>
        <v>628158770305</v>
      </c>
      <c r="N9672" s="17" t="s">
        <v>81</v>
      </c>
      <c r="V9672" s="18">
        <f>628158770305</f>
        <v>628158770305</v>
      </c>
    </row>
    <row r="9673" ht="15" customHeight="1" spans="1:23" x14ac:dyDescent="0.25">
      <c r="A9673" s="17" t="s">
        <v>26737</v>
      </c>
      <c r="B9673" s="17" t="s">
        <v>70</v>
      </c>
      <c r="C9673" s="17" t="s">
        <v>71</v>
      </c>
      <c r="D9673" t="s">
        <v>26735</v>
      </c>
      <c r="F9673" t="s">
        <v>14153</v>
      </c>
      <c r="K9673" s="18">
        <f>6281316646256</f>
        <v>6281316646256</v>
      </c>
      <c r="N9673" s="17" t="s">
        <v>81</v>
      </c>
      <c r="U9673" s="17"/>
      <c r="V9673" s="18">
        <f>6281316646256</f>
        <v>6281316646256</v>
      </c>
      <c r="W9673" t="s">
        <v>26738</v>
      </c>
    </row>
    <row r="9674" ht="15" customHeight="1" spans="1:25" x14ac:dyDescent="0.25">
      <c r="A9674" s="17" t="s">
        <v>26739</v>
      </c>
      <c r="B9674" s="17" t="s">
        <v>70</v>
      </c>
      <c r="C9674" s="17" t="s">
        <v>71</v>
      </c>
      <c r="D9674" t="s">
        <v>26735</v>
      </c>
      <c r="F9674" t="s">
        <v>26740</v>
      </c>
      <c r="K9674" s="18">
        <f>62817114181</f>
        <v>62817114181</v>
      </c>
      <c r="N9674" s="17" t="s">
        <v>77</v>
      </c>
      <c r="U9674" s="17"/>
      <c r="V9674" s="18">
        <f>62817114181</f>
        <v>62817114181</v>
      </c>
      <c r="W9674" t="s">
        <v>26741</v>
      </c>
      <c r="Y9674" s="17" t="s">
        <v>378</v>
      </c>
    </row>
    <row r="9675" ht="15" customHeight="1" spans="1:28" x14ac:dyDescent="0.25">
      <c r="A9675" s="17" t="s">
        <v>26742</v>
      </c>
      <c r="B9675" s="17" t="s">
        <v>70</v>
      </c>
      <c r="C9675" s="17" t="s">
        <v>71</v>
      </c>
      <c r="D9675" t="s">
        <v>26743</v>
      </c>
      <c r="F9675" t="s">
        <v>1208</v>
      </c>
      <c r="J9675" t="s">
        <v>26744</v>
      </c>
      <c r="K9675" s="18" t="s">
        <v>26745</v>
      </c>
      <c r="N9675" s="17" t="s">
        <v>77</v>
      </c>
      <c r="O9675" t="s">
        <v>199</v>
      </c>
      <c r="U9675" s="17"/>
      <c r="V9675" s="18" t="s">
        <v>26745</v>
      </c>
      <c r="W9675" t="s">
        <v>26746</v>
      </c>
      <c r="Y9675" t="s">
        <v>190</v>
      </c>
      <c r="AA9675" t="s">
        <v>118</v>
      </c>
      <c r="AB9675" t="s">
        <v>119</v>
      </c>
    </row>
    <row r="9676" ht="15" customHeight="1" spans="1:25" x14ac:dyDescent="0.25">
      <c r="A9676" s="17" t="s">
        <v>26747</v>
      </c>
      <c r="B9676" s="17" t="s">
        <v>70</v>
      </c>
      <c r="C9676" s="17" t="s">
        <v>71</v>
      </c>
      <c r="D9676" t="s">
        <v>26748</v>
      </c>
      <c r="F9676" t="s">
        <v>26748</v>
      </c>
      <c r="K9676" s="18">
        <f>6281905555507</f>
        <v>6281905555507</v>
      </c>
      <c r="N9676" s="17" t="s">
        <v>74</v>
      </c>
      <c r="V9676" s="18">
        <f>6281905555507</f>
        <v>6281905555507</v>
      </c>
      <c r="Y9676" s="17" t="s">
        <v>90</v>
      </c>
    </row>
    <row r="9677" ht="15" customHeight="1" spans="1:27" x14ac:dyDescent="0.25">
      <c r="A9677" s="17" t="s">
        <v>26749</v>
      </c>
      <c r="B9677" s="17" t="s">
        <v>70</v>
      </c>
      <c r="C9677" s="17" t="s">
        <v>71</v>
      </c>
      <c r="D9677" t="s">
        <v>26750</v>
      </c>
      <c r="F9677" t="s">
        <v>26750</v>
      </c>
      <c r="K9677" s="18">
        <f>62811989840</f>
        <v>62811989840</v>
      </c>
      <c r="N9677" s="17" t="s">
        <v>77</v>
      </c>
      <c r="U9677" s="17"/>
      <c r="V9677" s="18">
        <f>62811989840</f>
        <v>62811989840</v>
      </c>
      <c r="W9677" t="s">
        <v>26751</v>
      </c>
      <c r="Y9677" s="17" t="s">
        <v>96</v>
      </c>
      <c r="AA9677" s="17" t="s">
        <v>26752</v>
      </c>
    </row>
    <row r="9678" ht="15" customHeight="1" spans="1:23" x14ac:dyDescent="0.25">
      <c r="A9678" s="17" t="s">
        <v>26753</v>
      </c>
      <c r="B9678" s="17" t="s">
        <v>70</v>
      </c>
      <c r="C9678" s="17" t="s">
        <v>71</v>
      </c>
      <c r="D9678" t="s">
        <v>26754</v>
      </c>
      <c r="F9678" t="s">
        <v>26755</v>
      </c>
      <c r="J9678" s="17" t="s">
        <v>26756</v>
      </c>
      <c r="K9678" s="18">
        <f>62811140676</f>
        <v>62811140676</v>
      </c>
      <c r="N9678" s="17" t="s">
        <v>81</v>
      </c>
      <c r="U9678" s="17"/>
      <c r="V9678" s="18">
        <f>62811140676</f>
        <v>62811140676</v>
      </c>
      <c r="W9678" t="s">
        <v>26757</v>
      </c>
    </row>
    <row r="9679" ht="15" customHeight="1" spans="1:22" x14ac:dyDescent="0.25">
      <c r="A9679" s="17" t="s">
        <v>26758</v>
      </c>
      <c r="B9679" s="17" t="s">
        <v>70</v>
      </c>
      <c r="C9679" s="17" t="s">
        <v>71</v>
      </c>
      <c r="D9679" t="s">
        <v>26759</v>
      </c>
      <c r="F9679" t="s">
        <v>26760</v>
      </c>
      <c r="K9679" s="18">
        <f>62811823027</f>
        <v>62811823027</v>
      </c>
      <c r="N9679" s="17" t="s">
        <v>74</v>
      </c>
      <c r="V9679" s="18">
        <f>62811823027</f>
        <v>62811823027</v>
      </c>
    </row>
    <row r="9680" ht="15" customHeight="1" spans="1:28" x14ac:dyDescent="0.25">
      <c r="A9680" s="17" t="s">
        <v>26761</v>
      </c>
      <c r="B9680" s="17" t="s">
        <v>70</v>
      </c>
      <c r="C9680" s="17" t="s">
        <v>71</v>
      </c>
      <c r="D9680" t="s">
        <v>26762</v>
      </c>
      <c r="F9680" t="s">
        <v>26763</v>
      </c>
      <c r="J9680" s="17" t="s">
        <v>26764</v>
      </c>
      <c r="K9680" s="18" t="s">
        <v>26765</v>
      </c>
      <c r="N9680" s="17" t="s">
        <v>77</v>
      </c>
      <c r="O9680" t="s">
        <v>199</v>
      </c>
      <c r="U9680" s="17"/>
      <c r="V9680" s="18" t="s">
        <v>26765</v>
      </c>
      <c r="W9680" t="s">
        <v>930</v>
      </c>
      <c r="Y9680" t="s">
        <v>115</v>
      </c>
      <c r="AA9680" t="s">
        <v>115</v>
      </c>
      <c r="AB9680" t="s">
        <v>451</v>
      </c>
    </row>
    <row r="9681" ht="15" customHeight="1" spans="1:23" x14ac:dyDescent="0.25">
      <c r="A9681" s="17" t="s">
        <v>26766</v>
      </c>
      <c r="B9681" s="17" t="s">
        <v>70</v>
      </c>
      <c r="C9681" s="17" t="s">
        <v>71</v>
      </c>
      <c r="D9681" t="s">
        <v>26767</v>
      </c>
      <c r="F9681" t="s">
        <v>26768</v>
      </c>
      <c r="J9681" s="17" t="s">
        <v>26769</v>
      </c>
      <c r="K9681" s="18">
        <f>6282335332712</f>
        <v>6282335332712</v>
      </c>
      <c r="N9681" s="17" t="s">
        <v>77</v>
      </c>
      <c r="U9681" s="17"/>
      <c r="V9681" s="18">
        <f>6282335332712</f>
        <v>6282335332712</v>
      </c>
      <c r="W9681" t="s">
        <v>26770</v>
      </c>
    </row>
    <row r="9682" ht="15" customHeight="1" spans="1:23" x14ac:dyDescent="0.25">
      <c r="A9682" s="17" t="s">
        <v>26771</v>
      </c>
      <c r="B9682" s="17" t="s">
        <v>70</v>
      </c>
      <c r="C9682" s="17" t="s">
        <v>71</v>
      </c>
      <c r="D9682" t="s">
        <v>26767</v>
      </c>
      <c r="F9682" t="s">
        <v>26772</v>
      </c>
      <c r="K9682" s="18">
        <f>6282297611818</f>
        <v>6282297611818</v>
      </c>
      <c r="N9682" s="17" t="s">
        <v>81</v>
      </c>
      <c r="U9682" s="17"/>
      <c r="V9682" s="18">
        <f>6282297611818</f>
        <v>6282297611818</v>
      </c>
      <c r="W9682" t="s">
        <v>26773</v>
      </c>
    </row>
    <row r="9683" ht="15" customHeight="1" spans="1:25" x14ac:dyDescent="0.25">
      <c r="A9683" s="17" t="s">
        <v>26774</v>
      </c>
      <c r="B9683" s="17" t="s">
        <v>70</v>
      </c>
      <c r="C9683" s="17" t="s">
        <v>71</v>
      </c>
      <c r="D9683" t="s">
        <v>26767</v>
      </c>
      <c r="F9683" t="s">
        <v>23857</v>
      </c>
      <c r="J9683" s="17" t="s">
        <v>26775</v>
      </c>
      <c r="K9683" s="18">
        <f>628179976967</f>
        <v>628179976967</v>
      </c>
      <c r="N9683" s="17" t="s">
        <v>81</v>
      </c>
      <c r="U9683" s="17"/>
      <c r="V9683" s="18">
        <f>628179976967</f>
        <v>628179976967</v>
      </c>
      <c r="W9683" t="s">
        <v>26776</v>
      </c>
      <c r="Y9683" s="17" t="s">
        <v>26777</v>
      </c>
    </row>
    <row r="9684" ht="15" customHeight="1" spans="1:22" x14ac:dyDescent="0.25">
      <c r="A9684" s="17" t="s">
        <v>26778</v>
      </c>
      <c r="B9684" s="17" t="s">
        <v>70</v>
      </c>
      <c r="C9684" s="17" t="s">
        <v>71</v>
      </c>
      <c r="D9684" t="s">
        <v>26767</v>
      </c>
      <c r="F9684" t="s">
        <v>26779</v>
      </c>
      <c r="K9684" s="18">
        <f>6281386363339</f>
        <v>6281386363339</v>
      </c>
      <c r="N9684" s="17" t="s">
        <v>77</v>
      </c>
      <c r="V9684" s="18">
        <f>6281386363339</f>
        <v>6281386363339</v>
      </c>
    </row>
    <row r="9685" ht="15" customHeight="1" spans="1:22" x14ac:dyDescent="0.25">
      <c r="A9685" s="17" t="s">
        <v>26780</v>
      </c>
      <c r="B9685" s="17" t="s">
        <v>70</v>
      </c>
      <c r="C9685" s="17" t="s">
        <v>71</v>
      </c>
      <c r="D9685" t="s">
        <v>5121</v>
      </c>
      <c r="F9685" t="s">
        <v>106</v>
      </c>
      <c r="K9685" s="18">
        <f>62811683730</f>
        <v>62811683730</v>
      </c>
      <c r="N9685" s="17" t="s">
        <v>81</v>
      </c>
      <c r="V9685" s="18">
        <f>62811683730</f>
        <v>62811683730</v>
      </c>
    </row>
    <row r="9686" ht="15" customHeight="1" spans="1:28" x14ac:dyDescent="0.25">
      <c r="A9686" s="17" t="s">
        <v>26781</v>
      </c>
      <c r="B9686" s="17" t="s">
        <v>70</v>
      </c>
      <c r="C9686" s="17" t="s">
        <v>71</v>
      </c>
      <c r="D9686" t="s">
        <v>26782</v>
      </c>
      <c r="F9686" t="s">
        <v>212</v>
      </c>
      <c r="J9686" t="s">
        <v>115</v>
      </c>
      <c r="K9686" s="18" t="s">
        <v>26783</v>
      </c>
      <c r="N9686" s="17" t="s">
        <v>81</v>
      </c>
      <c r="O9686" t="s">
        <v>117</v>
      </c>
      <c r="U9686" s="17"/>
      <c r="V9686" s="18" t="s">
        <v>26783</v>
      </c>
      <c r="W9686" t="s">
        <v>26784</v>
      </c>
      <c r="Y9686" t="s">
        <v>90</v>
      </c>
      <c r="AA9686" t="s">
        <v>118</v>
      </c>
      <c r="AB9686" t="s">
        <v>119</v>
      </c>
    </row>
    <row r="9687" ht="15" customHeight="1" spans="1:22" x14ac:dyDescent="0.25">
      <c r="A9687" s="17" t="s">
        <v>26785</v>
      </c>
      <c r="B9687" s="17" t="s">
        <v>70</v>
      </c>
      <c r="C9687" s="17" t="s">
        <v>71</v>
      </c>
      <c r="D9687" t="s">
        <v>17093</v>
      </c>
      <c r="F9687" t="s">
        <v>17093</v>
      </c>
      <c r="K9687" s="18">
        <f>6281330379999</f>
        <v>6281330379999</v>
      </c>
      <c r="N9687" s="17" t="s">
        <v>81</v>
      </c>
      <c r="V9687" s="18">
        <f>6281330379999</f>
        <v>6281330379999</v>
      </c>
    </row>
    <row r="9688" ht="15" customHeight="1" spans="1:22" x14ac:dyDescent="0.25">
      <c r="A9688" s="17" t="s">
        <v>26786</v>
      </c>
      <c r="B9688" s="17" t="s">
        <v>70</v>
      </c>
      <c r="C9688" s="17" t="s">
        <v>71</v>
      </c>
      <c r="D9688" t="s">
        <v>17093</v>
      </c>
      <c r="F9688" t="s">
        <v>26787</v>
      </c>
      <c r="K9688" s="18">
        <f>6282121212180</f>
        <v>6282121212180</v>
      </c>
      <c r="N9688" s="17" t="s">
        <v>77</v>
      </c>
      <c r="V9688" s="18">
        <f>6282121212180</f>
        <v>6282121212180</v>
      </c>
    </row>
    <row r="9689" ht="15" customHeight="1" spans="1:23" x14ac:dyDescent="0.25">
      <c r="A9689" s="17" t="s">
        <v>26788</v>
      </c>
      <c r="B9689" s="17" t="s">
        <v>70</v>
      </c>
      <c r="C9689" s="17" t="s">
        <v>71</v>
      </c>
      <c r="D9689" t="s">
        <v>17093</v>
      </c>
      <c r="F9689" t="s">
        <v>23362</v>
      </c>
      <c r="K9689" s="18">
        <f>62811174975</f>
        <v>62811174975</v>
      </c>
      <c r="N9689" s="17" t="s">
        <v>77</v>
      </c>
      <c r="U9689" s="17"/>
      <c r="V9689" s="18">
        <f>62811174975</f>
        <v>62811174975</v>
      </c>
      <c r="W9689" t="s">
        <v>26789</v>
      </c>
    </row>
    <row r="9690" ht="15" customHeight="1" spans="1:28" x14ac:dyDescent="0.25">
      <c r="A9690" s="17" t="s">
        <v>26790</v>
      </c>
      <c r="B9690" s="17" t="s">
        <v>70</v>
      </c>
      <c r="C9690" s="17" t="s">
        <v>71</v>
      </c>
      <c r="D9690" t="s">
        <v>26791</v>
      </c>
      <c r="F9690" t="s">
        <v>15286</v>
      </c>
      <c r="J9690" t="s">
        <v>115</v>
      </c>
      <c r="K9690" s="18" t="s">
        <v>26792</v>
      </c>
      <c r="N9690" s="17" t="s">
        <v>77</v>
      </c>
      <c r="O9690" t="s">
        <v>117</v>
      </c>
      <c r="V9690" s="18" t="s">
        <v>26792</v>
      </c>
      <c r="Y9690" t="s">
        <v>115</v>
      </c>
      <c r="AA9690" t="s">
        <v>115</v>
      </c>
      <c r="AB9690" t="s">
        <v>119</v>
      </c>
    </row>
    <row r="9691" ht="15" customHeight="1" spans="1:27" x14ac:dyDescent="0.25">
      <c r="A9691" s="17" t="s">
        <v>26793</v>
      </c>
      <c r="B9691" s="17" t="s">
        <v>70</v>
      </c>
      <c r="C9691" s="17" t="s">
        <v>71</v>
      </c>
      <c r="D9691" t="s">
        <v>26794</v>
      </c>
      <c r="F9691" t="s">
        <v>26795</v>
      </c>
      <c r="K9691" s="18">
        <f>79163504445</f>
        <v>79163504445</v>
      </c>
      <c r="N9691" s="17" t="s">
        <v>77</v>
      </c>
      <c r="U9691" s="17"/>
      <c r="V9691" s="18">
        <f>79163504445</f>
        <v>79163504445</v>
      </c>
      <c r="W9691" t="s">
        <v>1908</v>
      </c>
      <c r="AA9691" s="17">
        <v>763765630</v>
      </c>
    </row>
    <row r="9692" ht="15" customHeight="1" spans="1:28" x14ac:dyDescent="0.25">
      <c r="A9692" s="17" t="s">
        <v>26796</v>
      </c>
      <c r="B9692" s="17" t="s">
        <v>70</v>
      </c>
      <c r="C9692" s="17" t="s">
        <v>71</v>
      </c>
      <c r="D9692" t="s">
        <v>26797</v>
      </c>
      <c r="F9692" t="s">
        <v>997</v>
      </c>
      <c r="J9692" t="s">
        <v>115</v>
      </c>
      <c r="K9692" s="18" t="s">
        <v>26798</v>
      </c>
      <c r="N9692" s="17" t="s">
        <v>77</v>
      </c>
      <c r="O9692" t="s">
        <v>117</v>
      </c>
      <c r="U9692" s="17"/>
      <c r="V9692" s="18" t="s">
        <v>26798</v>
      </c>
      <c r="W9692" t="s">
        <v>26799</v>
      </c>
      <c r="Y9692" s="17" t="s">
        <v>90</v>
      </c>
      <c r="AA9692" t="s">
        <v>118</v>
      </c>
      <c r="AB9692" t="s">
        <v>119</v>
      </c>
    </row>
    <row r="9693" ht="15" customHeight="1" spans="1:22" x14ac:dyDescent="0.25">
      <c r="A9693" s="17" t="s">
        <v>26800</v>
      </c>
      <c r="B9693" s="17" t="s">
        <v>70</v>
      </c>
      <c r="C9693" s="17" t="s">
        <v>71</v>
      </c>
      <c r="D9693" t="s">
        <v>26797</v>
      </c>
      <c r="F9693" t="s">
        <v>26801</v>
      </c>
      <c r="K9693" s="18">
        <f>6281283303303</f>
        <v>6281283303303</v>
      </c>
      <c r="N9693" s="17" t="s">
        <v>77</v>
      </c>
      <c r="V9693" s="18">
        <f>6281283303303</f>
        <v>6281283303303</v>
      </c>
    </row>
    <row r="9694" ht="15" customHeight="1" spans="1:22" x14ac:dyDescent="0.25">
      <c r="A9694" s="17" t="s">
        <v>26802</v>
      </c>
      <c r="B9694" s="17" t="s">
        <v>70</v>
      </c>
      <c r="C9694" s="17" t="s">
        <v>71</v>
      </c>
      <c r="D9694" t="s">
        <v>10551</v>
      </c>
      <c r="F9694" t="s">
        <v>10551</v>
      </c>
      <c r="K9694" s="18">
        <f>6287781101806</f>
        <v>6287781101806</v>
      </c>
      <c r="N9694" s="17" t="s">
        <v>77</v>
      </c>
      <c r="V9694" s="18">
        <f>6287781101806</f>
        <v>6287781101806</v>
      </c>
    </row>
    <row r="9695" ht="15" customHeight="1" spans="1:22" x14ac:dyDescent="0.25">
      <c r="A9695" s="17" t="s">
        <v>26803</v>
      </c>
      <c r="B9695" s="17" t="s">
        <v>70</v>
      </c>
      <c r="C9695" s="17" t="s">
        <v>71</v>
      </c>
      <c r="D9695" t="s">
        <v>10551</v>
      </c>
      <c r="F9695" t="s">
        <v>10551</v>
      </c>
      <c r="K9695" s="18">
        <f>628161817828</f>
        <v>628161817828</v>
      </c>
      <c r="N9695" s="17" t="s">
        <v>74</v>
      </c>
      <c r="V9695" s="18">
        <f>628161817828</f>
        <v>628161817828</v>
      </c>
    </row>
    <row r="9696" ht="15" customHeight="1" spans="1:25" x14ac:dyDescent="0.25">
      <c r="A9696" s="17" t="s">
        <v>26804</v>
      </c>
      <c r="B9696" s="17" t="s">
        <v>70</v>
      </c>
      <c r="C9696" s="17" t="s">
        <v>71</v>
      </c>
      <c r="D9696" t="s">
        <v>10551</v>
      </c>
      <c r="F9696" t="s">
        <v>789</v>
      </c>
      <c r="K9696" s="18">
        <f>622179199043</f>
        <v>622179199043</v>
      </c>
      <c r="N9696" s="17" t="s">
        <v>74</v>
      </c>
      <c r="U9696" s="17"/>
      <c r="V9696" s="18">
        <f>622179199043</f>
        <v>622179199043</v>
      </c>
      <c r="W9696" t="s">
        <v>26805</v>
      </c>
      <c r="Y9696" s="17" t="s">
        <v>96</v>
      </c>
    </row>
    <row r="9697" ht="15" customHeight="1" spans="1:22" x14ac:dyDescent="0.25">
      <c r="A9697" s="17" t="s">
        <v>26806</v>
      </c>
      <c r="B9697" s="17" t="s">
        <v>70</v>
      </c>
      <c r="C9697" s="17" t="s">
        <v>71</v>
      </c>
      <c r="D9697" t="s">
        <v>10551</v>
      </c>
      <c r="F9697" t="s">
        <v>2279</v>
      </c>
      <c r="K9697" s="18">
        <f>6281215141301</f>
        <v>6281215141301</v>
      </c>
      <c r="N9697" s="17" t="s">
        <v>77</v>
      </c>
      <c r="V9697" s="18">
        <f>6281215141301</f>
        <v>6281215141301</v>
      </c>
    </row>
    <row r="9698" ht="15" customHeight="1" spans="1:25" x14ac:dyDescent="0.25">
      <c r="A9698" s="17" t="s">
        <v>26807</v>
      </c>
      <c r="B9698" s="17" t="s">
        <v>70</v>
      </c>
      <c r="C9698" s="17" t="s">
        <v>71</v>
      </c>
      <c r="D9698" t="s">
        <v>10551</v>
      </c>
      <c r="F9698" t="s">
        <v>4997</v>
      </c>
      <c r="K9698" s="18">
        <f>62818622162888</f>
        <v>62818622162888</v>
      </c>
      <c r="N9698" s="17" t="s">
        <v>77</v>
      </c>
      <c r="U9698" s="17"/>
      <c r="V9698" s="18">
        <f>62818622162888</f>
        <v>62818622162888</v>
      </c>
      <c r="W9698" t="s">
        <v>26808</v>
      </c>
      <c r="Y9698" s="17" t="s">
        <v>500</v>
      </c>
    </row>
    <row r="9699" ht="15" customHeight="1" spans="1:22" x14ac:dyDescent="0.25">
      <c r="A9699" s="17" t="s">
        <v>26809</v>
      </c>
      <c r="B9699" s="17" t="s">
        <v>70</v>
      </c>
      <c r="C9699" s="17" t="s">
        <v>71</v>
      </c>
      <c r="D9699" t="s">
        <v>10551</v>
      </c>
      <c r="F9699" t="s">
        <v>26810</v>
      </c>
      <c r="K9699" s="18">
        <f>628129039379</f>
        <v>628129039379</v>
      </c>
      <c r="N9699" s="17" t="s">
        <v>81</v>
      </c>
      <c r="V9699" s="18">
        <f>628129039379</f>
        <v>628129039379</v>
      </c>
    </row>
    <row r="9700" ht="15" customHeight="1" spans="1:23" x14ac:dyDescent="0.25">
      <c r="A9700" s="17" t="s">
        <v>26811</v>
      </c>
      <c r="B9700" s="17" t="s">
        <v>70</v>
      </c>
      <c r="C9700" s="17" t="s">
        <v>71</v>
      </c>
      <c r="D9700" t="s">
        <v>10551</v>
      </c>
      <c r="F9700" t="s">
        <v>26812</v>
      </c>
      <c r="K9700" s="18">
        <f>62811855733</f>
        <v>62811855733</v>
      </c>
      <c r="N9700" s="17" t="s">
        <v>77</v>
      </c>
      <c r="U9700" s="17"/>
      <c r="V9700" s="18">
        <f>62811855733</f>
        <v>62811855733</v>
      </c>
      <c r="W9700" t="s">
        <v>26813</v>
      </c>
    </row>
    <row r="9701" ht="15" customHeight="1" spans="1:22" x14ac:dyDescent="0.25">
      <c r="A9701" s="17" t="s">
        <v>26814</v>
      </c>
      <c r="B9701" s="17" t="s">
        <v>70</v>
      </c>
      <c r="C9701" s="17" t="s">
        <v>71</v>
      </c>
      <c r="D9701" t="s">
        <v>10551</v>
      </c>
      <c r="F9701" t="s">
        <v>6671</v>
      </c>
      <c r="K9701" s="18">
        <f>628158304832</f>
        <v>628158304832</v>
      </c>
      <c r="N9701" s="17" t="s">
        <v>81</v>
      </c>
      <c r="V9701" s="18">
        <f>628158304832</f>
        <v>628158304832</v>
      </c>
    </row>
    <row r="9702" ht="15" customHeight="1" spans="1:28" x14ac:dyDescent="0.25">
      <c r="A9702" s="17" t="s">
        <v>26815</v>
      </c>
      <c r="B9702" s="17" t="s">
        <v>70</v>
      </c>
      <c r="C9702" s="17" t="s">
        <v>71</v>
      </c>
      <c r="D9702" t="s">
        <v>10551</v>
      </c>
      <c r="F9702" t="s">
        <v>4458</v>
      </c>
      <c r="J9702" t="s">
        <v>115</v>
      </c>
      <c r="K9702" s="18" t="s">
        <v>26816</v>
      </c>
      <c r="N9702" s="17" t="s">
        <v>81</v>
      </c>
      <c r="O9702" t="s">
        <v>117</v>
      </c>
      <c r="V9702" s="18" t="s">
        <v>26816</v>
      </c>
      <c r="Y9702" t="s">
        <v>90</v>
      </c>
      <c r="AA9702" t="s">
        <v>118</v>
      </c>
      <c r="AB9702" t="s">
        <v>119</v>
      </c>
    </row>
    <row r="9703" ht="15" customHeight="1" spans="1:23" x14ac:dyDescent="0.25">
      <c r="A9703" s="17" t="s">
        <v>26817</v>
      </c>
      <c r="B9703" s="17" t="s">
        <v>70</v>
      </c>
      <c r="C9703" s="17" t="s">
        <v>71</v>
      </c>
      <c r="D9703" t="s">
        <v>10551</v>
      </c>
      <c r="F9703" t="s">
        <v>15803</v>
      </c>
      <c r="J9703" s="17" t="s">
        <v>26818</v>
      </c>
      <c r="K9703" s="18">
        <f>628111586999</f>
        <v>628111586999</v>
      </c>
      <c r="N9703" s="17" t="s">
        <v>77</v>
      </c>
      <c r="U9703" s="17"/>
      <c r="V9703" s="18">
        <f>628111586999</f>
        <v>628111586999</v>
      </c>
      <c r="W9703" t="s">
        <v>26819</v>
      </c>
    </row>
    <row r="9704" ht="15" customHeight="1" spans="1:25" x14ac:dyDescent="0.25">
      <c r="A9704" s="17" t="s">
        <v>26820</v>
      </c>
      <c r="B9704" s="17" t="s">
        <v>70</v>
      </c>
      <c r="C9704" s="17" t="s">
        <v>71</v>
      </c>
      <c r="D9704" t="s">
        <v>10551</v>
      </c>
      <c r="F9704" t="s">
        <v>3121</v>
      </c>
      <c r="J9704" s="17" t="s">
        <v>26821</v>
      </c>
      <c r="K9704" s="18">
        <f>628118811700</f>
        <v>628118811700</v>
      </c>
      <c r="N9704" s="17" t="s">
        <v>77</v>
      </c>
      <c r="V9704" s="18">
        <f>628118811700</f>
        <v>628118811700</v>
      </c>
      <c r="Y9704" s="17" t="s">
        <v>90</v>
      </c>
    </row>
    <row r="9705" ht="15" customHeight="1" spans="1:27" x14ac:dyDescent="0.25">
      <c r="A9705" s="17" t="s">
        <v>26822</v>
      </c>
      <c r="B9705" s="17" t="s">
        <v>70</v>
      </c>
      <c r="C9705" s="17" t="s">
        <v>71</v>
      </c>
      <c r="D9705" t="s">
        <v>10551</v>
      </c>
      <c r="F9705" t="s">
        <v>25070</v>
      </c>
      <c r="K9705" s="18">
        <f>6281761999</f>
        <v>6281761999</v>
      </c>
      <c r="N9705" s="17" t="s">
        <v>77</v>
      </c>
      <c r="U9705" s="17"/>
      <c r="V9705" s="18">
        <f>6281761999</f>
        <v>6281761999</v>
      </c>
      <c r="W9705" t="s">
        <v>26823</v>
      </c>
      <c r="Y9705" s="17" t="s">
        <v>626</v>
      </c>
      <c r="AA9705" s="17" t="s">
        <v>26824</v>
      </c>
    </row>
    <row r="9706" ht="15" customHeight="1" spans="1:28" x14ac:dyDescent="0.25">
      <c r="A9706" s="17" t="s">
        <v>26825</v>
      </c>
      <c r="B9706" s="17" t="s">
        <v>70</v>
      </c>
      <c r="C9706" s="17" t="s">
        <v>71</v>
      </c>
      <c r="D9706" t="s">
        <v>10551</v>
      </c>
      <c r="F9706" t="s">
        <v>629</v>
      </c>
      <c r="J9706" t="s">
        <v>115</v>
      </c>
      <c r="K9706" s="18" t="s">
        <v>26826</v>
      </c>
      <c r="N9706" s="17" t="s">
        <v>81</v>
      </c>
      <c r="O9706" t="s">
        <v>117</v>
      </c>
      <c r="U9706" s="17"/>
      <c r="V9706" s="18" t="s">
        <v>26826</v>
      </c>
      <c r="W9706" t="s">
        <v>26827</v>
      </c>
      <c r="Y9706" t="s">
        <v>90</v>
      </c>
      <c r="AA9706" t="s">
        <v>118</v>
      </c>
      <c r="AB9706" t="s">
        <v>119</v>
      </c>
    </row>
    <row r="9707" ht="15" customHeight="1" spans="1:23" x14ac:dyDescent="0.25">
      <c r="A9707" s="17" t="s">
        <v>26828</v>
      </c>
      <c r="B9707" s="17" t="s">
        <v>70</v>
      </c>
      <c r="C9707" s="17" t="s">
        <v>71</v>
      </c>
      <c r="D9707" t="s">
        <v>10551</v>
      </c>
      <c r="F9707" t="s">
        <v>26829</v>
      </c>
      <c r="K9707" s="18">
        <f>6281219987777</f>
        <v>6281219987777</v>
      </c>
      <c r="N9707" s="17" t="s">
        <v>77</v>
      </c>
      <c r="U9707" s="17"/>
      <c r="V9707" s="18">
        <f>6281219987777</f>
        <v>6281219987777</v>
      </c>
      <c r="W9707" t="s">
        <v>26830</v>
      </c>
    </row>
    <row r="9708" ht="15" customHeight="1" spans="1:22" x14ac:dyDescent="0.25">
      <c r="A9708" s="17" t="s">
        <v>26831</v>
      </c>
      <c r="B9708" s="17" t="s">
        <v>70</v>
      </c>
      <c r="C9708" s="17" t="s">
        <v>71</v>
      </c>
      <c r="D9708" t="s">
        <v>10551</v>
      </c>
      <c r="F9708" t="s">
        <v>26136</v>
      </c>
      <c r="K9708" s="18">
        <f>628129133838</f>
        <v>628129133838</v>
      </c>
      <c r="N9708" s="17" t="s">
        <v>77</v>
      </c>
      <c r="V9708" s="18">
        <f>628129133838</f>
        <v>628129133838</v>
      </c>
    </row>
    <row r="9709" ht="15" customHeight="1" spans="1:22" x14ac:dyDescent="0.25">
      <c r="A9709" s="17" t="s">
        <v>26832</v>
      </c>
      <c r="B9709" s="17" t="s">
        <v>70</v>
      </c>
      <c r="C9709" s="17" t="s">
        <v>71</v>
      </c>
      <c r="D9709" t="s">
        <v>10551</v>
      </c>
      <c r="F9709" t="s">
        <v>26833</v>
      </c>
      <c r="J9709" s="17" t="s">
        <v>26834</v>
      </c>
      <c r="K9709" s="18">
        <f>6281336789383</f>
        <v>6281336789383</v>
      </c>
      <c r="N9709" s="17" t="s">
        <v>77</v>
      </c>
      <c r="V9709" s="18">
        <f>6281336789383</f>
        <v>6281336789383</v>
      </c>
    </row>
    <row r="9710" ht="15" customHeight="1" spans="1:25" x14ac:dyDescent="0.25">
      <c r="A9710" s="17" t="s">
        <v>26835</v>
      </c>
      <c r="B9710" s="17" t="s">
        <v>70</v>
      </c>
      <c r="C9710" s="17" t="s">
        <v>71</v>
      </c>
      <c r="D9710" t="s">
        <v>10551</v>
      </c>
      <c r="F9710" t="s">
        <v>1569</v>
      </c>
      <c r="J9710" s="17" t="s">
        <v>26836</v>
      </c>
      <c r="K9710" s="18">
        <f>6281330062828</f>
        <v>6281330062828</v>
      </c>
      <c r="N9710" s="17" t="s">
        <v>77</v>
      </c>
      <c r="U9710" s="17"/>
      <c r="V9710" s="18">
        <f>6281330062828</f>
        <v>6281330062828</v>
      </c>
      <c r="W9710" t="s">
        <v>26837</v>
      </c>
      <c r="Y9710" s="17" t="s">
        <v>26838</v>
      </c>
    </row>
    <row r="9711" ht="15" customHeight="1" spans="1:23" x14ac:dyDescent="0.25">
      <c r="A9711" s="17" t="s">
        <v>26839</v>
      </c>
      <c r="B9711" s="17" t="s">
        <v>70</v>
      </c>
      <c r="C9711" s="17" t="s">
        <v>71</v>
      </c>
      <c r="D9711" t="s">
        <v>10551</v>
      </c>
      <c r="F9711" t="s">
        <v>26840</v>
      </c>
      <c r="K9711" s="18">
        <f>62811170903</f>
        <v>62811170903</v>
      </c>
      <c r="N9711" s="17" t="s">
        <v>77</v>
      </c>
      <c r="U9711" s="17"/>
      <c r="V9711" s="18">
        <f>62811170903</f>
        <v>62811170903</v>
      </c>
      <c r="W9711" t="s">
        <v>26841</v>
      </c>
    </row>
    <row r="9712" ht="15" customHeight="1" spans="1:28" x14ac:dyDescent="0.25">
      <c r="A9712" s="17" t="s">
        <v>26842</v>
      </c>
      <c r="B9712" s="17" t="s">
        <v>70</v>
      </c>
      <c r="C9712" s="17" t="s">
        <v>71</v>
      </c>
      <c r="D9712" t="s">
        <v>10551</v>
      </c>
      <c r="F9712" t="s">
        <v>1286</v>
      </c>
      <c r="J9712" t="s">
        <v>115</v>
      </c>
      <c r="K9712" s="18" t="s">
        <v>26843</v>
      </c>
      <c r="N9712" s="17" t="s">
        <v>81</v>
      </c>
      <c r="O9712" t="s">
        <v>117</v>
      </c>
      <c r="V9712" s="18" t="s">
        <v>26843</v>
      </c>
      <c r="Y9712" t="s">
        <v>90</v>
      </c>
      <c r="AA9712" t="s">
        <v>118</v>
      </c>
      <c r="AB9712" t="s">
        <v>119</v>
      </c>
    </row>
    <row r="9713" ht="15" customHeight="1" spans="1:22" x14ac:dyDescent="0.25">
      <c r="A9713" s="17" t="s">
        <v>26844</v>
      </c>
      <c r="B9713" s="17" t="s">
        <v>70</v>
      </c>
      <c r="C9713" s="17" t="s">
        <v>71</v>
      </c>
      <c r="D9713" t="s">
        <v>10551</v>
      </c>
      <c r="F9713" t="s">
        <v>26845</v>
      </c>
      <c r="K9713" s="18">
        <f>628128393337</f>
        <v>628128393337</v>
      </c>
      <c r="N9713" s="17" t="s">
        <v>77</v>
      </c>
      <c r="V9713" s="18">
        <f>628128393337</f>
        <v>628128393337</v>
      </c>
    </row>
    <row r="9714" ht="15" customHeight="1" spans="1:25" x14ac:dyDescent="0.25">
      <c r="A9714" s="17" t="s">
        <v>26846</v>
      </c>
      <c r="B9714" s="17" t="s">
        <v>70</v>
      </c>
      <c r="C9714" s="17" t="s">
        <v>71</v>
      </c>
      <c r="D9714" t="s">
        <v>10551</v>
      </c>
      <c r="F9714" t="s">
        <v>26847</v>
      </c>
      <c r="J9714" s="17" t="s">
        <v>26848</v>
      </c>
      <c r="K9714" s="18">
        <f>6281289393539</f>
        <v>6281289393539</v>
      </c>
      <c r="N9714" s="17" t="s">
        <v>77</v>
      </c>
      <c r="U9714" s="17"/>
      <c r="V9714" s="18">
        <f>6281289393539</f>
        <v>6281289393539</v>
      </c>
      <c r="W9714" t="s">
        <v>26849</v>
      </c>
      <c r="Y9714" s="17" t="s">
        <v>96</v>
      </c>
    </row>
    <row r="9715" ht="15" customHeight="1" spans="1:22" x14ac:dyDescent="0.25">
      <c r="A9715" s="17" t="s">
        <v>26850</v>
      </c>
      <c r="B9715" s="17" t="s">
        <v>70</v>
      </c>
      <c r="C9715" s="17" t="s">
        <v>71</v>
      </c>
      <c r="D9715" t="s">
        <v>10551</v>
      </c>
      <c r="F9715" t="s">
        <v>26851</v>
      </c>
      <c r="K9715" s="18">
        <f>628118088246</f>
        <v>628118088246</v>
      </c>
      <c r="N9715" s="17" t="s">
        <v>81</v>
      </c>
      <c r="V9715" s="18">
        <f>628118088246</f>
        <v>628118088246</v>
      </c>
    </row>
    <row r="9716" ht="15" customHeight="1" spans="1:28" x14ac:dyDescent="0.25">
      <c r="A9716" s="17" t="s">
        <v>26852</v>
      </c>
      <c r="B9716" s="17" t="s">
        <v>70</v>
      </c>
      <c r="C9716" s="17" t="s">
        <v>71</v>
      </c>
      <c r="D9716" t="s">
        <v>10551</v>
      </c>
      <c r="F9716" t="s">
        <v>4858</v>
      </c>
      <c r="J9716" t="s">
        <v>115</v>
      </c>
      <c r="K9716" s="18" t="s">
        <v>26853</v>
      </c>
      <c r="N9716" s="17" t="s">
        <v>77</v>
      </c>
      <c r="O9716" t="s">
        <v>489</v>
      </c>
      <c r="V9716" s="18" t="s">
        <v>26853</v>
      </c>
      <c r="Y9716" t="s">
        <v>500</v>
      </c>
      <c r="AA9716" t="s">
        <v>501</v>
      </c>
      <c r="AB9716" t="s">
        <v>119</v>
      </c>
    </row>
    <row r="9717" ht="15" customHeight="1" spans="1:22" x14ac:dyDescent="0.25">
      <c r="A9717" s="17" t="s">
        <v>26854</v>
      </c>
      <c r="B9717" s="17" t="s">
        <v>70</v>
      </c>
      <c r="C9717" s="17" t="s">
        <v>71</v>
      </c>
      <c r="D9717" t="s">
        <v>10551</v>
      </c>
      <c r="F9717" t="s">
        <v>26855</v>
      </c>
      <c r="K9717" s="18">
        <f>6287884567848</f>
        <v>6287884567848</v>
      </c>
      <c r="N9717" s="17" t="s">
        <v>77</v>
      </c>
      <c r="V9717" s="18">
        <f>6287884567848</f>
        <v>6287884567848</v>
      </c>
    </row>
    <row r="9718" ht="15" customHeight="1" spans="1:22" x14ac:dyDescent="0.25">
      <c r="A9718" s="17" t="s">
        <v>26856</v>
      </c>
      <c r="B9718" s="17" t="s">
        <v>70</v>
      </c>
      <c r="C9718" s="17" t="s">
        <v>71</v>
      </c>
      <c r="D9718" t="s">
        <v>26857</v>
      </c>
      <c r="F9718" t="s">
        <v>26857</v>
      </c>
      <c r="K9718" s="18">
        <f>62811167834</f>
        <v>62811167834</v>
      </c>
      <c r="N9718" s="17" t="s">
        <v>81</v>
      </c>
      <c r="V9718" s="18">
        <f>62811167834</f>
        <v>62811167834</v>
      </c>
    </row>
    <row r="9719" ht="15" customHeight="1" spans="1:25" x14ac:dyDescent="0.25">
      <c r="A9719" s="17" t="s">
        <v>26858</v>
      </c>
      <c r="B9719" s="17" t="s">
        <v>70</v>
      </c>
      <c r="C9719" s="17" t="s">
        <v>71</v>
      </c>
      <c r="D9719" t="s">
        <v>26859</v>
      </c>
      <c r="F9719" t="s">
        <v>26859</v>
      </c>
      <c r="J9719" s="17" t="s">
        <v>26860</v>
      </c>
      <c r="K9719" s="18">
        <f>62878862210805</f>
        <v>62878862210805</v>
      </c>
      <c r="N9719" s="17" t="s">
        <v>81</v>
      </c>
      <c r="U9719" s="17"/>
      <c r="V9719" s="18">
        <f>62878862210805</f>
        <v>62878862210805</v>
      </c>
      <c r="W9719" t="s">
        <v>26861</v>
      </c>
      <c r="Y9719" s="17" t="s">
        <v>1084</v>
      </c>
    </row>
    <row r="9720" ht="15" customHeight="1" spans="1:23" x14ac:dyDescent="0.25">
      <c r="A9720" s="17" t="s">
        <v>26862</v>
      </c>
      <c r="B9720" s="17" t="s">
        <v>70</v>
      </c>
      <c r="C9720" s="17" t="s">
        <v>71</v>
      </c>
      <c r="D9720" t="s">
        <v>26863</v>
      </c>
      <c r="F9720" t="s">
        <v>2258</v>
      </c>
      <c r="K9720" s="18">
        <f>628129376676</f>
        <v>628129376676</v>
      </c>
      <c r="N9720" s="17" t="s">
        <v>77</v>
      </c>
      <c r="U9720" s="17"/>
      <c r="V9720" s="18">
        <f>628129376676</f>
        <v>628129376676</v>
      </c>
      <c r="W9720" t="s">
        <v>26864</v>
      </c>
    </row>
    <row r="9721" ht="15" customHeight="1" spans="1:22" x14ac:dyDescent="0.25">
      <c r="A9721" s="17" t="s">
        <v>26865</v>
      </c>
      <c r="B9721" s="17" t="s">
        <v>70</v>
      </c>
      <c r="C9721" s="17" t="s">
        <v>71</v>
      </c>
      <c r="D9721" t="s">
        <v>26863</v>
      </c>
      <c r="F9721" t="s">
        <v>12050</v>
      </c>
      <c r="K9721" s="18">
        <f>628161433030</f>
        <v>628161433030</v>
      </c>
      <c r="N9721" s="17" t="s">
        <v>81</v>
      </c>
      <c r="V9721" s="18">
        <f>628161433030</f>
        <v>628161433030</v>
      </c>
    </row>
    <row r="9722" ht="15" customHeight="1" spans="1:23" x14ac:dyDescent="0.25">
      <c r="A9722" s="17" t="s">
        <v>26866</v>
      </c>
      <c r="B9722" s="17" t="s">
        <v>70</v>
      </c>
      <c r="C9722" s="17" t="s">
        <v>71</v>
      </c>
      <c r="D9722" t="s">
        <v>26863</v>
      </c>
      <c r="F9722" t="s">
        <v>26867</v>
      </c>
      <c r="J9722" s="17" t="s">
        <v>26868</v>
      </c>
      <c r="K9722" s="18">
        <f>6281276958886</f>
        <v>6281276958886</v>
      </c>
      <c r="N9722" s="17" t="s">
        <v>77</v>
      </c>
      <c r="U9722" s="17"/>
      <c r="V9722" s="18">
        <f>6281276958886</f>
        <v>6281276958886</v>
      </c>
      <c r="W9722" t="s">
        <v>26869</v>
      </c>
    </row>
    <row r="9723" ht="15" customHeight="1" spans="1:22" x14ac:dyDescent="0.25">
      <c r="A9723" s="17" t="s">
        <v>26870</v>
      </c>
      <c r="B9723" s="17" t="s">
        <v>70</v>
      </c>
      <c r="C9723" s="17" t="s">
        <v>71</v>
      </c>
      <c r="D9723" t="s">
        <v>26871</v>
      </c>
      <c r="F9723" t="s">
        <v>2258</v>
      </c>
      <c r="K9723" s="18">
        <f>62811988070</f>
        <v>62811988070</v>
      </c>
      <c r="N9723" s="17" t="s">
        <v>81</v>
      </c>
      <c r="V9723" s="18">
        <f>62811988070</f>
        <v>62811988070</v>
      </c>
    </row>
    <row r="9724" ht="15" customHeight="1" spans="1:22" x14ac:dyDescent="0.25">
      <c r="A9724" s="17" t="s">
        <v>26872</v>
      </c>
      <c r="B9724" s="17" t="s">
        <v>70</v>
      </c>
      <c r="C9724" s="17" t="s">
        <v>71</v>
      </c>
      <c r="D9724" t="s">
        <v>18386</v>
      </c>
      <c r="F9724" t="s">
        <v>672</v>
      </c>
      <c r="K9724" s="18">
        <f>6283892141774</f>
        <v>6283892141774</v>
      </c>
      <c r="N9724" s="17" t="s">
        <v>77</v>
      </c>
      <c r="V9724" s="18">
        <f>6283892141774</f>
        <v>6283892141774</v>
      </c>
    </row>
    <row r="9725" ht="15" customHeight="1" spans="1:22" x14ac:dyDescent="0.25">
      <c r="A9725" s="17" t="s">
        <v>26873</v>
      </c>
      <c r="B9725" s="17" t="s">
        <v>70</v>
      </c>
      <c r="C9725" s="17" t="s">
        <v>71</v>
      </c>
      <c r="D9725" t="s">
        <v>26874</v>
      </c>
      <c r="F9725" t="s">
        <v>826</v>
      </c>
      <c r="K9725" s="18">
        <f>62818859956</f>
        <v>62818859956</v>
      </c>
      <c r="N9725" s="17" t="s">
        <v>81</v>
      </c>
      <c r="V9725" s="18">
        <f>62818859956</f>
        <v>62818859956</v>
      </c>
    </row>
    <row r="9726" ht="15" customHeight="1" spans="1:22" x14ac:dyDescent="0.25">
      <c r="A9726" s="17" t="s">
        <v>26875</v>
      </c>
      <c r="B9726" s="17" t="s">
        <v>70</v>
      </c>
      <c r="C9726" s="17" t="s">
        <v>71</v>
      </c>
      <c r="D9726" t="s">
        <v>26876</v>
      </c>
      <c r="F9726" t="s">
        <v>13633</v>
      </c>
      <c r="K9726" s="18">
        <f>628127513393</f>
        <v>628127513393</v>
      </c>
      <c r="N9726" s="17" t="s">
        <v>77</v>
      </c>
      <c r="V9726" s="18">
        <f>628127513393</f>
        <v>628127513393</v>
      </c>
    </row>
    <row r="9727" ht="15" customHeight="1" spans="1:22" x14ac:dyDescent="0.25">
      <c r="A9727" s="17" t="s">
        <v>26877</v>
      </c>
      <c r="B9727" s="17" t="s">
        <v>70</v>
      </c>
      <c r="C9727" s="17" t="s">
        <v>71</v>
      </c>
      <c r="D9727" t="s">
        <v>26878</v>
      </c>
      <c r="F9727" t="s">
        <v>26879</v>
      </c>
      <c r="K9727" s="18">
        <f>62816726180</f>
        <v>62816726180</v>
      </c>
      <c r="N9727" s="17" t="s">
        <v>81</v>
      </c>
      <c r="V9727" s="18">
        <f>62816726180</f>
        <v>62816726180</v>
      </c>
    </row>
    <row r="9728" ht="15" customHeight="1" spans="1:22" x14ac:dyDescent="0.25">
      <c r="A9728" s="17" t="s">
        <v>26880</v>
      </c>
      <c r="B9728" s="17" t="s">
        <v>70</v>
      </c>
      <c r="C9728" s="17" t="s">
        <v>71</v>
      </c>
      <c r="D9728" t="s">
        <v>26881</v>
      </c>
      <c r="F9728" t="s">
        <v>26881</v>
      </c>
      <c r="K9728" s="18">
        <f>628121045375</f>
        <v>628121045375</v>
      </c>
      <c r="N9728" s="17" t="s">
        <v>77</v>
      </c>
      <c r="V9728" s="18">
        <f>628121045375</f>
        <v>628121045375</v>
      </c>
    </row>
    <row r="9729" ht="15" customHeight="1" spans="1:22" x14ac:dyDescent="0.25">
      <c r="A9729" s="17" t="s">
        <v>26882</v>
      </c>
      <c r="B9729" s="17" t="s">
        <v>70</v>
      </c>
      <c r="C9729" s="17" t="s">
        <v>71</v>
      </c>
      <c r="D9729" t="s">
        <v>26883</v>
      </c>
      <c r="F9729" t="s">
        <v>26884</v>
      </c>
      <c r="K9729" s="18">
        <f>628179969399</f>
        <v>628179969399</v>
      </c>
      <c r="N9729" s="17" t="s">
        <v>81</v>
      </c>
      <c r="V9729" s="18">
        <f>628179969399</f>
        <v>628179969399</v>
      </c>
    </row>
    <row r="9730" ht="15" customHeight="1" spans="1:22" x14ac:dyDescent="0.25">
      <c r="A9730" s="17" t="s">
        <v>26885</v>
      </c>
      <c r="B9730" s="17" t="s">
        <v>70</v>
      </c>
      <c r="C9730" s="17" t="s">
        <v>71</v>
      </c>
      <c r="D9730" t="s">
        <v>26886</v>
      </c>
      <c r="F9730" t="s">
        <v>7571</v>
      </c>
      <c r="K9730" s="18">
        <f>628111637582</f>
        <v>628111637582</v>
      </c>
      <c r="N9730" s="17" t="s">
        <v>81</v>
      </c>
      <c r="V9730" s="18">
        <f>628111637582</f>
        <v>628111637582</v>
      </c>
    </row>
    <row r="9731" ht="15" customHeight="1" spans="1:27" x14ac:dyDescent="0.25">
      <c r="A9731" s="17" t="s">
        <v>26887</v>
      </c>
      <c r="B9731" s="17" t="s">
        <v>70</v>
      </c>
      <c r="C9731" s="17" t="s">
        <v>71</v>
      </c>
      <c r="D9731" t="s">
        <v>26888</v>
      </c>
      <c r="F9731" t="s">
        <v>26889</v>
      </c>
      <c r="K9731" s="18">
        <f>62816860249</f>
        <v>62816860249</v>
      </c>
      <c r="N9731" s="17" t="s">
        <v>77</v>
      </c>
      <c r="U9731" s="17"/>
      <c r="V9731" s="18">
        <f>62816860249</f>
        <v>62816860249</v>
      </c>
      <c r="W9731" t="s">
        <v>26890</v>
      </c>
      <c r="Y9731" s="17" t="s">
        <v>626</v>
      </c>
      <c r="AA9731" s="17" t="s">
        <v>26891</v>
      </c>
    </row>
    <row r="9732" ht="15" customHeight="1" spans="1:28" x14ac:dyDescent="0.25">
      <c r="A9732" s="17" t="s">
        <v>26892</v>
      </c>
      <c r="B9732" s="17" t="s">
        <v>70</v>
      </c>
      <c r="C9732" s="17" t="s">
        <v>71</v>
      </c>
      <c r="D9732" t="s">
        <v>26893</v>
      </c>
      <c r="F9732" t="s">
        <v>26894</v>
      </c>
      <c r="J9732" t="s">
        <v>115</v>
      </c>
      <c r="K9732" s="18" t="s">
        <v>26895</v>
      </c>
      <c r="N9732" s="17" t="s">
        <v>77</v>
      </c>
      <c r="O9732" t="s">
        <v>145</v>
      </c>
      <c r="V9732" s="18" t="s">
        <v>26895</v>
      </c>
      <c r="Y9732" t="s">
        <v>115</v>
      </c>
      <c r="AA9732" t="s">
        <v>115</v>
      </c>
      <c r="AB9732" t="s">
        <v>22396</v>
      </c>
    </row>
    <row r="9733" ht="15" customHeight="1" spans="1:22" x14ac:dyDescent="0.25">
      <c r="A9733" s="17" t="s">
        <v>26896</v>
      </c>
      <c r="B9733" s="17" t="s">
        <v>70</v>
      </c>
      <c r="C9733" s="17" t="s">
        <v>71</v>
      </c>
      <c r="D9733" t="s">
        <v>26897</v>
      </c>
      <c r="F9733" t="s">
        <v>13228</v>
      </c>
      <c r="J9733" s="17" t="s">
        <v>26898</v>
      </c>
      <c r="K9733" s="18">
        <f>6281210773522</f>
        <v>6281210773522</v>
      </c>
      <c r="N9733" s="17" t="s">
        <v>77</v>
      </c>
      <c r="V9733" s="18">
        <f>6281210773522</f>
        <v>6281210773522</v>
      </c>
    </row>
    <row r="9734" ht="15" customHeight="1" spans="1:22" x14ac:dyDescent="0.25">
      <c r="A9734" s="17" t="s">
        <v>26899</v>
      </c>
      <c r="B9734" s="17" t="s">
        <v>70</v>
      </c>
      <c r="C9734" s="17" t="s">
        <v>71</v>
      </c>
      <c r="D9734" t="s">
        <v>26900</v>
      </c>
      <c r="F9734" t="s">
        <v>26901</v>
      </c>
      <c r="K9734" s="18">
        <v>173651575</v>
      </c>
      <c r="N9734" s="17" t="s">
        <v>81</v>
      </c>
      <c r="V9734" s="18">
        <v>173651575</v>
      </c>
    </row>
    <row r="9735" ht="15" customHeight="1" spans="1:28" x14ac:dyDescent="0.25">
      <c r="A9735" s="17" t="s">
        <v>26902</v>
      </c>
      <c r="B9735" s="17" t="s">
        <v>70</v>
      </c>
      <c r="C9735" s="17" t="s">
        <v>71</v>
      </c>
      <c r="D9735" t="s">
        <v>26903</v>
      </c>
      <c r="F9735" t="s">
        <v>26904</v>
      </c>
      <c r="J9735" s="17" t="s">
        <v>26905</v>
      </c>
      <c r="K9735" s="18" t="s">
        <v>26906</v>
      </c>
      <c r="N9735" s="17" t="s">
        <v>77</v>
      </c>
      <c r="O9735" t="s">
        <v>199</v>
      </c>
      <c r="U9735" s="17"/>
      <c r="V9735" s="18" t="s">
        <v>26906</v>
      </c>
      <c r="W9735" t="s">
        <v>26907</v>
      </c>
      <c r="Y9735" t="s">
        <v>26022</v>
      </c>
      <c r="AA9735" t="s">
        <v>115</v>
      </c>
      <c r="AB9735" t="s">
        <v>119</v>
      </c>
    </row>
    <row r="9736" ht="15" customHeight="1" spans="1:23" x14ac:dyDescent="0.25">
      <c r="A9736" s="17" t="s">
        <v>26908</v>
      </c>
      <c r="B9736" s="17" t="s">
        <v>70</v>
      </c>
      <c r="C9736" s="17" t="s">
        <v>71</v>
      </c>
      <c r="D9736" t="s">
        <v>26909</v>
      </c>
      <c r="F9736" t="s">
        <v>21399</v>
      </c>
      <c r="J9736" s="17" t="s">
        <v>26910</v>
      </c>
      <c r="K9736" s="18">
        <f>628179890738</f>
        <v>628179890738</v>
      </c>
      <c r="N9736" s="17" t="s">
        <v>77</v>
      </c>
      <c r="U9736" s="17"/>
      <c r="V9736" s="18">
        <f>628179890738</f>
        <v>628179890738</v>
      </c>
      <c r="W9736" t="s">
        <v>26911</v>
      </c>
    </row>
    <row r="9737" ht="15" customHeight="1" spans="1:28" x14ac:dyDescent="0.25">
      <c r="A9737" s="17" t="s">
        <v>26912</v>
      </c>
      <c r="B9737" s="17" t="s">
        <v>70</v>
      </c>
      <c r="C9737" s="17" t="s">
        <v>71</v>
      </c>
      <c r="D9737" t="s">
        <v>8403</v>
      </c>
      <c r="F9737" t="s">
        <v>4231</v>
      </c>
      <c r="J9737" t="s">
        <v>115</v>
      </c>
      <c r="K9737" s="18" t="s">
        <v>26913</v>
      </c>
      <c r="N9737" s="17" t="s">
        <v>77</v>
      </c>
      <c r="O9737" t="s">
        <v>117</v>
      </c>
      <c r="V9737" s="18" t="s">
        <v>26913</v>
      </c>
      <c r="Y9737" t="s">
        <v>96</v>
      </c>
      <c r="AA9737" t="s">
        <v>693</v>
      </c>
      <c r="AB9737" t="s">
        <v>119</v>
      </c>
    </row>
    <row r="9738" ht="15" customHeight="1" spans="1:22" x14ac:dyDescent="0.25">
      <c r="A9738" s="17" t="s">
        <v>26914</v>
      </c>
      <c r="B9738" s="17" t="s">
        <v>70</v>
      </c>
      <c r="C9738" s="17" t="s">
        <v>71</v>
      </c>
      <c r="D9738" t="s">
        <v>26915</v>
      </c>
      <c r="F9738" t="s">
        <v>672</v>
      </c>
      <c r="J9738" s="17" t="s">
        <v>26916</v>
      </c>
      <c r="K9738" s="18">
        <f>6282161066719</f>
        <v>6282161066719</v>
      </c>
      <c r="N9738" s="17" t="s">
        <v>77</v>
      </c>
      <c r="V9738" s="18">
        <f>6282161066719</f>
        <v>6282161066719</v>
      </c>
    </row>
    <row r="9739" ht="15" customHeight="1" spans="1:22" x14ac:dyDescent="0.25">
      <c r="A9739" s="17" t="s">
        <v>26917</v>
      </c>
      <c r="B9739" s="17" t="s">
        <v>70</v>
      </c>
      <c r="C9739" s="17" t="s">
        <v>71</v>
      </c>
      <c r="D9739" t="s">
        <v>26918</v>
      </c>
      <c r="F9739" t="s">
        <v>26919</v>
      </c>
      <c r="K9739" s="18">
        <f>62811138878</f>
        <v>62811138878</v>
      </c>
      <c r="N9739" s="17" t="s">
        <v>77</v>
      </c>
      <c r="V9739" s="18">
        <f>62811138878</f>
        <v>62811138878</v>
      </c>
    </row>
    <row r="9740" ht="15" customHeight="1" spans="1:22" x14ac:dyDescent="0.25">
      <c r="A9740" s="17" t="s">
        <v>26920</v>
      </c>
      <c r="B9740" s="17" t="s">
        <v>70</v>
      </c>
      <c r="C9740" s="17" t="s">
        <v>71</v>
      </c>
      <c r="D9740" t="s">
        <v>26921</v>
      </c>
      <c r="F9740" t="s">
        <v>26921</v>
      </c>
      <c r="K9740" s="18">
        <f>62811130665</f>
        <v>62811130665</v>
      </c>
      <c r="N9740" s="17" t="s">
        <v>77</v>
      </c>
      <c r="V9740" s="18">
        <f>62811130665</f>
        <v>62811130665</v>
      </c>
    </row>
    <row r="9741" ht="15" customHeight="1" spans="1:22" x14ac:dyDescent="0.25">
      <c r="A9741" s="17" t="s">
        <v>26922</v>
      </c>
      <c r="B9741" s="17" t="s">
        <v>70</v>
      </c>
      <c r="C9741" s="17" t="s">
        <v>71</v>
      </c>
      <c r="D9741" t="s">
        <v>26921</v>
      </c>
      <c r="F9741" t="s">
        <v>1499</v>
      </c>
      <c r="K9741" s="18">
        <f>6281212421185</f>
        <v>6281212421185</v>
      </c>
      <c r="N9741" s="17" t="s">
        <v>81</v>
      </c>
      <c r="V9741" s="18">
        <f>6281212421185</f>
        <v>6281212421185</v>
      </c>
    </row>
    <row r="9742" ht="15" customHeight="1" spans="1:22" x14ac:dyDescent="0.25">
      <c r="A9742" s="17" t="s">
        <v>26923</v>
      </c>
      <c r="B9742" s="17" t="s">
        <v>70</v>
      </c>
      <c r="C9742" s="17" t="s">
        <v>71</v>
      </c>
      <c r="D9742" t="s">
        <v>26921</v>
      </c>
      <c r="F9742" t="s">
        <v>8630</v>
      </c>
      <c r="K9742" s="18">
        <f>6281298664848</f>
        <v>6281298664848</v>
      </c>
      <c r="N9742" s="17" t="s">
        <v>81</v>
      </c>
      <c r="V9742" s="18">
        <f>6281298664848</f>
        <v>6281298664848</v>
      </c>
    </row>
    <row r="9743" ht="15" customHeight="1" spans="1:23" x14ac:dyDescent="0.25">
      <c r="A9743" s="17" t="s">
        <v>26924</v>
      </c>
      <c r="B9743" s="17" t="s">
        <v>70</v>
      </c>
      <c r="C9743" s="17" t="s">
        <v>71</v>
      </c>
      <c r="D9743" t="s">
        <v>26921</v>
      </c>
      <c r="F9743" t="s">
        <v>26925</v>
      </c>
      <c r="K9743" s="18">
        <f>6282112600115</f>
        <v>6282112600115</v>
      </c>
      <c r="N9743" s="17" t="s">
        <v>81</v>
      </c>
      <c r="U9743" s="17"/>
      <c r="V9743" s="18">
        <f>6282112600115</f>
        <v>6282112600115</v>
      </c>
      <c r="W9743" t="s">
        <v>26926</v>
      </c>
    </row>
    <row r="9744" ht="15" customHeight="1" spans="1:27" x14ac:dyDescent="0.25">
      <c r="A9744" s="17" t="s">
        <v>26927</v>
      </c>
      <c r="B9744" s="17" t="s">
        <v>70</v>
      </c>
      <c r="C9744" s="17" t="s">
        <v>71</v>
      </c>
      <c r="D9744" t="s">
        <v>26928</v>
      </c>
      <c r="F9744" t="s">
        <v>9363</v>
      </c>
      <c r="J9744" s="17" t="s">
        <v>26929</v>
      </c>
      <c r="K9744" s="18">
        <f>62811140888</f>
        <v>62811140888</v>
      </c>
      <c r="N9744" s="17" t="s">
        <v>81</v>
      </c>
      <c r="U9744" s="17"/>
      <c r="V9744" s="18">
        <f>62811140888</f>
        <v>62811140888</v>
      </c>
      <c r="W9744" t="s">
        <v>26930</v>
      </c>
      <c r="Y9744" s="17" t="s">
        <v>622</v>
      </c>
      <c r="AA9744" s="17">
        <v>16158</v>
      </c>
    </row>
    <row r="9745" ht="15" customHeight="1" spans="1:25" x14ac:dyDescent="0.25">
      <c r="A9745" s="17" t="s">
        <v>26931</v>
      </c>
      <c r="B9745" s="17" t="s">
        <v>70</v>
      </c>
      <c r="C9745" s="17" t="s">
        <v>71</v>
      </c>
      <c r="D9745" t="s">
        <v>26932</v>
      </c>
      <c r="F9745" t="s">
        <v>3869</v>
      </c>
      <c r="J9745" s="17" t="s">
        <v>26933</v>
      </c>
      <c r="K9745" s="18">
        <f>62811185198</f>
        <v>62811185198</v>
      </c>
      <c r="N9745" s="17" t="s">
        <v>77</v>
      </c>
      <c r="U9745" s="17"/>
      <c r="V9745" s="18">
        <f>62811185198</f>
        <v>62811185198</v>
      </c>
      <c r="W9745" t="s">
        <v>26934</v>
      </c>
      <c r="Y9745" s="17" t="s">
        <v>90</v>
      </c>
    </row>
    <row r="9746" ht="15" customHeight="1" spans="1:22" x14ac:dyDescent="0.25">
      <c r="A9746" s="17" t="s">
        <v>26935</v>
      </c>
      <c r="B9746" s="17" t="s">
        <v>70</v>
      </c>
      <c r="C9746" s="17" t="s">
        <v>71</v>
      </c>
      <c r="D9746" t="s">
        <v>26932</v>
      </c>
      <c r="F9746" t="s">
        <v>8308</v>
      </c>
      <c r="K9746" s="18">
        <f>6281219090699</f>
        <v>6281219090699</v>
      </c>
      <c r="N9746" s="17" t="s">
        <v>77</v>
      </c>
      <c r="V9746" s="18">
        <f>6281219090699</f>
        <v>6281219090699</v>
      </c>
    </row>
    <row r="9747" ht="15" customHeight="1" spans="1:22" x14ac:dyDescent="0.25">
      <c r="A9747" s="17" t="s">
        <v>26936</v>
      </c>
      <c r="B9747" s="17" t="s">
        <v>70</v>
      </c>
      <c r="C9747" s="17" t="s">
        <v>71</v>
      </c>
      <c r="D9747" t="s">
        <v>26937</v>
      </c>
      <c r="F9747" t="s">
        <v>26937</v>
      </c>
      <c r="K9747" s="18">
        <f>62818178958</f>
        <v>62818178958</v>
      </c>
      <c r="N9747" s="17" t="s">
        <v>81</v>
      </c>
      <c r="V9747" s="18">
        <f>62818178958</f>
        <v>62818178958</v>
      </c>
    </row>
    <row r="9748" ht="15" customHeight="1" spans="1:23" x14ac:dyDescent="0.25">
      <c r="A9748" s="17" t="s">
        <v>26938</v>
      </c>
      <c r="B9748" s="17" t="s">
        <v>70</v>
      </c>
      <c r="C9748" s="17" t="s">
        <v>71</v>
      </c>
      <c r="D9748" t="s">
        <v>26939</v>
      </c>
      <c r="F9748" t="s">
        <v>26940</v>
      </c>
      <c r="K9748" s="18">
        <f>971508133660</f>
        <v>971508133660</v>
      </c>
      <c r="N9748" s="17" t="s">
        <v>77</v>
      </c>
      <c r="U9748" s="17"/>
      <c r="V9748" s="18">
        <f>971508133660</f>
        <v>971508133660</v>
      </c>
      <c r="W9748" t="s">
        <v>26941</v>
      </c>
    </row>
    <row r="9749" ht="15" customHeight="1" spans="1:22" x14ac:dyDescent="0.25">
      <c r="A9749" s="17" t="s">
        <v>26942</v>
      </c>
      <c r="B9749" s="17" t="s">
        <v>70</v>
      </c>
      <c r="C9749" s="17" t="s">
        <v>71</v>
      </c>
      <c r="D9749" t="s">
        <v>8178</v>
      </c>
      <c r="F9749" t="s">
        <v>8178</v>
      </c>
      <c r="K9749" s="18">
        <f>6287883865409</f>
        <v>6287883865409</v>
      </c>
      <c r="N9749" s="17" t="s">
        <v>77</v>
      </c>
      <c r="V9749" s="18">
        <f>6287883865409</f>
        <v>6287883865409</v>
      </c>
    </row>
    <row r="9750" ht="15" customHeight="1" spans="1:28" x14ac:dyDescent="0.25">
      <c r="A9750" s="17" t="s">
        <v>26943</v>
      </c>
      <c r="B9750" s="17" t="s">
        <v>70</v>
      </c>
      <c r="C9750" s="17" t="s">
        <v>71</v>
      </c>
      <c r="D9750" t="s">
        <v>8178</v>
      </c>
      <c r="F9750" t="s">
        <v>8178</v>
      </c>
      <c r="J9750" t="s">
        <v>115</v>
      </c>
      <c r="K9750" s="18" t="s">
        <v>26944</v>
      </c>
      <c r="N9750" s="17" t="s">
        <v>81</v>
      </c>
      <c r="O9750" t="s">
        <v>117</v>
      </c>
      <c r="U9750" s="17"/>
      <c r="V9750" s="18" t="s">
        <v>26944</v>
      </c>
      <c r="W9750" t="s">
        <v>26945</v>
      </c>
      <c r="Y9750" t="s">
        <v>115</v>
      </c>
      <c r="AA9750" t="s">
        <v>115</v>
      </c>
      <c r="AB9750" t="s">
        <v>119</v>
      </c>
    </row>
    <row r="9751" ht="15" customHeight="1" spans="1:22" x14ac:dyDescent="0.25">
      <c r="A9751" s="17" t="s">
        <v>26946</v>
      </c>
      <c r="B9751" s="17" t="s">
        <v>70</v>
      </c>
      <c r="C9751" s="17" t="s">
        <v>71</v>
      </c>
      <c r="D9751" t="s">
        <v>8178</v>
      </c>
      <c r="F9751" t="s">
        <v>196</v>
      </c>
      <c r="K9751" s="18">
        <f>6281212707088</f>
        <v>6281212707088</v>
      </c>
      <c r="N9751" s="17" t="s">
        <v>77</v>
      </c>
      <c r="V9751" s="18">
        <f>6281212707088</f>
        <v>6281212707088</v>
      </c>
    </row>
    <row r="9752" ht="15" customHeight="1" spans="1:27" x14ac:dyDescent="0.25">
      <c r="A9752" s="17" t="s">
        <v>26947</v>
      </c>
      <c r="B9752" s="17" t="s">
        <v>70</v>
      </c>
      <c r="C9752" s="17" t="s">
        <v>71</v>
      </c>
      <c r="D9752" t="s">
        <v>8178</v>
      </c>
      <c r="F9752" t="s">
        <v>26948</v>
      </c>
      <c r="J9752" s="17" t="s">
        <v>26949</v>
      </c>
      <c r="K9752" s="18">
        <f>62811146830</f>
        <v>62811146830</v>
      </c>
      <c r="N9752" s="17" t="s">
        <v>77</v>
      </c>
      <c r="U9752" s="17"/>
      <c r="V9752" s="18">
        <f>62811146830</f>
        <v>62811146830</v>
      </c>
      <c r="W9752" t="s">
        <v>26950</v>
      </c>
      <c r="Y9752" s="17" t="s">
        <v>96</v>
      </c>
      <c r="AA9752" s="17">
        <v>12730</v>
      </c>
    </row>
    <row r="9753" ht="15" customHeight="1" spans="1:23" x14ac:dyDescent="0.25">
      <c r="A9753" s="17" t="s">
        <v>26951</v>
      </c>
      <c r="B9753" s="17" t="s">
        <v>70</v>
      </c>
      <c r="C9753" s="17" t="s">
        <v>71</v>
      </c>
      <c r="D9753" t="s">
        <v>8178</v>
      </c>
      <c r="F9753" t="s">
        <v>3767</v>
      </c>
      <c r="K9753" s="18">
        <f>628129031896</f>
        <v>628129031896</v>
      </c>
      <c r="N9753" s="17" t="s">
        <v>81</v>
      </c>
      <c r="U9753" s="17"/>
      <c r="V9753" s="18">
        <f>628129031896</f>
        <v>628129031896</v>
      </c>
      <c r="W9753" t="s">
        <v>397</v>
      </c>
    </row>
    <row r="9754" ht="15" customHeight="1" spans="1:22" x14ac:dyDescent="0.25">
      <c r="A9754" s="17" t="s">
        <v>26952</v>
      </c>
      <c r="B9754" s="17" t="s">
        <v>70</v>
      </c>
      <c r="C9754" s="17" t="s">
        <v>71</v>
      </c>
      <c r="D9754" t="s">
        <v>8178</v>
      </c>
      <c r="F9754" t="s">
        <v>5153</v>
      </c>
      <c r="K9754" s="18">
        <f>62816972701</f>
        <v>62816972701</v>
      </c>
      <c r="N9754" s="17" t="s">
        <v>77</v>
      </c>
      <c r="V9754" s="18">
        <f>62816972701</f>
        <v>62816972701</v>
      </c>
    </row>
    <row r="9755" ht="15" customHeight="1" spans="1:22" x14ac:dyDescent="0.25">
      <c r="A9755" s="17" t="s">
        <v>26953</v>
      </c>
      <c r="B9755" s="17" t="s">
        <v>70</v>
      </c>
      <c r="C9755" s="17" t="s">
        <v>71</v>
      </c>
      <c r="D9755" t="s">
        <v>8178</v>
      </c>
      <c r="F9755" t="s">
        <v>24843</v>
      </c>
      <c r="K9755" s="18">
        <f>62811833522</f>
        <v>62811833522</v>
      </c>
      <c r="N9755" s="17" t="s">
        <v>81</v>
      </c>
      <c r="V9755" s="18">
        <f>62811833522</f>
        <v>62811833522</v>
      </c>
    </row>
    <row r="9756" ht="15" customHeight="1" spans="1:22" x14ac:dyDescent="0.25">
      <c r="A9756" s="17" t="s">
        <v>26954</v>
      </c>
      <c r="B9756" s="17" t="s">
        <v>70</v>
      </c>
      <c r="C9756" s="17" t="s">
        <v>71</v>
      </c>
      <c r="D9756" t="s">
        <v>8178</v>
      </c>
      <c r="F9756" t="s">
        <v>5032</v>
      </c>
      <c r="K9756" s="18">
        <f>6281288289211</f>
        <v>6281288289211</v>
      </c>
      <c r="N9756" s="17" t="s">
        <v>77</v>
      </c>
      <c r="V9756" s="18">
        <f>6281288289211</f>
        <v>6281288289211</v>
      </c>
    </row>
    <row r="9757" ht="15" customHeight="1" spans="1:28" x14ac:dyDescent="0.25">
      <c r="A9757" s="17" t="s">
        <v>26955</v>
      </c>
      <c r="B9757" s="17" t="s">
        <v>70</v>
      </c>
      <c r="C9757" s="17" t="s">
        <v>71</v>
      </c>
      <c r="D9757" t="s">
        <v>8178</v>
      </c>
      <c r="F9757" t="s">
        <v>6276</v>
      </c>
      <c r="J9757" t="s">
        <v>115</v>
      </c>
      <c r="K9757" s="18" t="s">
        <v>26956</v>
      </c>
      <c r="N9757" s="17" t="s">
        <v>77</v>
      </c>
      <c r="O9757" t="s">
        <v>145</v>
      </c>
      <c r="V9757" s="18" t="s">
        <v>26956</v>
      </c>
      <c r="Y9757" t="s">
        <v>115</v>
      </c>
      <c r="AA9757" t="s">
        <v>115</v>
      </c>
      <c r="AB9757" t="s">
        <v>119</v>
      </c>
    </row>
    <row r="9758" ht="15" customHeight="1" spans="1:22" x14ac:dyDescent="0.25">
      <c r="A9758" s="17" t="s">
        <v>26957</v>
      </c>
      <c r="B9758" s="17" t="s">
        <v>70</v>
      </c>
      <c r="C9758" s="17" t="s">
        <v>71</v>
      </c>
      <c r="D9758" t="s">
        <v>8178</v>
      </c>
      <c r="F9758" t="s">
        <v>3176</v>
      </c>
      <c r="K9758" s="18">
        <f>6285711438838</f>
        <v>6285711438838</v>
      </c>
      <c r="N9758" s="17" t="s">
        <v>77</v>
      </c>
      <c r="V9758" s="18">
        <f>6285711438838</f>
        <v>6285711438838</v>
      </c>
    </row>
    <row r="9759" ht="15" customHeight="1" spans="1:28" x14ac:dyDescent="0.25">
      <c r="A9759" s="17" t="s">
        <v>26958</v>
      </c>
      <c r="B9759" s="17" t="s">
        <v>70</v>
      </c>
      <c r="C9759" s="17" t="s">
        <v>71</v>
      </c>
      <c r="D9759" t="s">
        <v>8178</v>
      </c>
      <c r="F9759" t="s">
        <v>322</v>
      </c>
      <c r="J9759" t="s">
        <v>26959</v>
      </c>
      <c r="K9759" s="18" t="s">
        <v>26960</v>
      </c>
      <c r="N9759" s="17" t="s">
        <v>81</v>
      </c>
      <c r="O9759" t="s">
        <v>117</v>
      </c>
      <c r="U9759" s="17"/>
      <c r="V9759" s="18" t="s">
        <v>26960</v>
      </c>
      <c r="W9759" t="s">
        <v>26961</v>
      </c>
      <c r="Y9759" t="s">
        <v>90</v>
      </c>
      <c r="AA9759" t="s">
        <v>118</v>
      </c>
      <c r="AB9759" t="s">
        <v>119</v>
      </c>
    </row>
    <row r="9760" ht="15" customHeight="1" spans="1:22" x14ac:dyDescent="0.25">
      <c r="A9760" s="17" t="s">
        <v>26962</v>
      </c>
      <c r="B9760" s="17" t="s">
        <v>70</v>
      </c>
      <c r="C9760" s="17" t="s">
        <v>71</v>
      </c>
      <c r="D9760" t="s">
        <v>8178</v>
      </c>
      <c r="F9760" t="s">
        <v>2258</v>
      </c>
      <c r="K9760" s="18">
        <f>62818116825</f>
        <v>62818116825</v>
      </c>
      <c r="N9760" s="17" t="s">
        <v>77</v>
      </c>
      <c r="V9760" s="18">
        <f>62818116825</f>
        <v>62818116825</v>
      </c>
    </row>
    <row r="9761" ht="15" customHeight="1" spans="1:28" x14ac:dyDescent="0.25">
      <c r="A9761" s="17" t="s">
        <v>26963</v>
      </c>
      <c r="B9761" s="17" t="s">
        <v>70</v>
      </c>
      <c r="C9761" s="17" t="s">
        <v>71</v>
      </c>
      <c r="D9761" t="s">
        <v>8178</v>
      </c>
      <c r="F9761" t="s">
        <v>2004</v>
      </c>
      <c r="J9761" s="17" t="s">
        <v>26964</v>
      </c>
      <c r="K9761" s="18" t="s">
        <v>26965</v>
      </c>
      <c r="N9761" s="17" t="s">
        <v>77</v>
      </c>
      <c r="O9761" t="s">
        <v>145</v>
      </c>
      <c r="V9761" s="18" t="s">
        <v>26965</v>
      </c>
      <c r="Y9761" t="s">
        <v>96</v>
      </c>
      <c r="AA9761" t="s">
        <v>693</v>
      </c>
      <c r="AB9761" t="s">
        <v>119</v>
      </c>
    </row>
    <row r="9762" ht="15" customHeight="1" spans="1:22" x14ac:dyDescent="0.25">
      <c r="A9762" s="17" t="s">
        <v>26966</v>
      </c>
      <c r="B9762" s="17" t="s">
        <v>70</v>
      </c>
      <c r="C9762" s="17" t="s">
        <v>71</v>
      </c>
      <c r="D9762" t="s">
        <v>8178</v>
      </c>
      <c r="F9762" t="s">
        <v>8252</v>
      </c>
      <c r="K9762" s="18">
        <f>6282111255897</f>
        <v>6282111255897</v>
      </c>
      <c r="N9762" s="17" t="s">
        <v>81</v>
      </c>
      <c r="V9762" s="18">
        <f>6282111255897</f>
        <v>6282111255897</v>
      </c>
    </row>
    <row r="9763" ht="15" customHeight="1" spans="1:22" x14ac:dyDescent="0.25">
      <c r="A9763" s="17" t="s">
        <v>26967</v>
      </c>
      <c r="B9763" s="17" t="s">
        <v>70</v>
      </c>
      <c r="C9763" s="17" t="s">
        <v>71</v>
      </c>
      <c r="D9763" t="s">
        <v>26968</v>
      </c>
      <c r="F9763" t="s">
        <v>2412</v>
      </c>
      <c r="K9763" s="18">
        <f>628128554991</f>
        <v>628128554991</v>
      </c>
      <c r="N9763" s="17" t="s">
        <v>74</v>
      </c>
      <c r="V9763" s="18">
        <f>628128554991</f>
        <v>628128554991</v>
      </c>
    </row>
    <row r="9764" ht="15" customHeight="1" spans="1:28" x14ac:dyDescent="0.25">
      <c r="A9764" s="17" t="s">
        <v>26969</v>
      </c>
      <c r="B9764" s="17" t="s">
        <v>70</v>
      </c>
      <c r="C9764" s="17" t="s">
        <v>71</v>
      </c>
      <c r="D9764" t="s">
        <v>3564</v>
      </c>
      <c r="F9764" t="s">
        <v>3564</v>
      </c>
      <c r="J9764" t="s">
        <v>115</v>
      </c>
      <c r="K9764" s="18" t="s">
        <v>26970</v>
      </c>
      <c r="N9764" s="17" t="s">
        <v>77</v>
      </c>
      <c r="O9764" t="s">
        <v>145</v>
      </c>
      <c r="V9764" s="18" t="s">
        <v>26970</v>
      </c>
      <c r="Y9764" t="s">
        <v>115</v>
      </c>
      <c r="AA9764" t="s">
        <v>115</v>
      </c>
      <c r="AB9764" t="s">
        <v>119</v>
      </c>
    </row>
    <row r="9765" ht="15" customHeight="1" spans="1:28" x14ac:dyDescent="0.25">
      <c r="A9765" s="17" t="s">
        <v>26971</v>
      </c>
      <c r="B9765" s="17" t="s">
        <v>70</v>
      </c>
      <c r="C9765" s="17" t="s">
        <v>71</v>
      </c>
      <c r="D9765" t="s">
        <v>3564</v>
      </c>
      <c r="F9765" t="s">
        <v>3564</v>
      </c>
      <c r="J9765" t="s">
        <v>115</v>
      </c>
      <c r="K9765" s="18" t="s">
        <v>26972</v>
      </c>
      <c r="N9765" s="17" t="s">
        <v>81</v>
      </c>
      <c r="O9765" t="s">
        <v>145</v>
      </c>
      <c r="V9765" s="18" t="s">
        <v>26972</v>
      </c>
      <c r="Y9765" t="s">
        <v>90</v>
      </c>
      <c r="AA9765" t="s">
        <v>118</v>
      </c>
      <c r="AB9765" t="s">
        <v>119</v>
      </c>
    </row>
    <row r="9766" ht="15" customHeight="1" spans="1:28" x14ac:dyDescent="0.25">
      <c r="A9766" s="17" t="s">
        <v>26973</v>
      </c>
      <c r="B9766" s="17" t="s">
        <v>70</v>
      </c>
      <c r="C9766" s="17" t="s">
        <v>71</v>
      </c>
      <c r="D9766" t="s">
        <v>3564</v>
      </c>
      <c r="F9766" t="s">
        <v>26974</v>
      </c>
      <c r="J9766" s="17" t="s">
        <v>26975</v>
      </c>
      <c r="K9766" s="18" t="s">
        <v>26976</v>
      </c>
      <c r="N9766" s="17" t="s">
        <v>77</v>
      </c>
      <c r="O9766" t="s">
        <v>117</v>
      </c>
      <c r="U9766" s="17"/>
      <c r="V9766" s="18" t="s">
        <v>26976</v>
      </c>
      <c r="W9766" t="s">
        <v>26977</v>
      </c>
      <c r="Y9766" s="17" t="s">
        <v>90</v>
      </c>
      <c r="AA9766" s="17" t="s">
        <v>118</v>
      </c>
      <c r="AB9766" t="s">
        <v>119</v>
      </c>
    </row>
    <row r="9767" ht="15" customHeight="1" spans="1:22" x14ac:dyDescent="0.25">
      <c r="A9767" s="17" t="s">
        <v>26978</v>
      </c>
      <c r="B9767" s="17" t="s">
        <v>70</v>
      </c>
      <c r="C9767" s="17" t="s">
        <v>71</v>
      </c>
      <c r="D9767" t="s">
        <v>26979</v>
      </c>
      <c r="F9767" t="s">
        <v>26980</v>
      </c>
      <c r="K9767" s="18">
        <f>62811841803</f>
        <v>62811841803</v>
      </c>
      <c r="N9767" s="17" t="s">
        <v>77</v>
      </c>
      <c r="V9767" s="18">
        <f>62811841803</f>
        <v>62811841803</v>
      </c>
    </row>
    <row r="9768" ht="15" customHeight="1" spans="1:22" x14ac:dyDescent="0.25">
      <c r="A9768" s="17" t="s">
        <v>26981</v>
      </c>
      <c r="B9768" s="17" t="s">
        <v>70</v>
      </c>
      <c r="C9768" s="17" t="s">
        <v>71</v>
      </c>
      <c r="D9768" t="s">
        <v>26982</v>
      </c>
      <c r="F9768" t="s">
        <v>26982</v>
      </c>
      <c r="K9768" s="18">
        <f>6287687987678</f>
        <v>6287687987678</v>
      </c>
      <c r="N9768" s="17" t="s">
        <v>77</v>
      </c>
      <c r="V9768" s="18">
        <f>6287687987678</f>
        <v>6287687987678</v>
      </c>
    </row>
    <row r="9769" ht="15" customHeight="1" spans="1:22" x14ac:dyDescent="0.25">
      <c r="A9769" s="17" t="s">
        <v>26983</v>
      </c>
      <c r="B9769" s="17" t="s">
        <v>70</v>
      </c>
      <c r="C9769" s="17" t="s">
        <v>71</v>
      </c>
      <c r="D9769" t="s">
        <v>26982</v>
      </c>
      <c r="F9769" t="s">
        <v>26982</v>
      </c>
      <c r="K9769" s="18">
        <f>6287887987678</f>
        <v>6287887987678</v>
      </c>
      <c r="N9769" s="17" t="s">
        <v>77</v>
      </c>
      <c r="V9769" s="18">
        <f>6287887987678</f>
        <v>6287887987678</v>
      </c>
    </row>
    <row r="9770" ht="15" customHeight="1" spans="1:22" x14ac:dyDescent="0.25">
      <c r="A9770" s="17" t="s">
        <v>26984</v>
      </c>
      <c r="B9770" s="17" t="s">
        <v>70</v>
      </c>
      <c r="C9770" s="17" t="s">
        <v>71</v>
      </c>
      <c r="D9770" t="s">
        <v>14588</v>
      </c>
      <c r="F9770" t="s">
        <v>14588</v>
      </c>
      <c r="K9770" s="18">
        <f>6281808100989</f>
        <v>6281808100989</v>
      </c>
      <c r="N9770" s="17" t="s">
        <v>77</v>
      </c>
      <c r="V9770" s="18">
        <f>6281808100989</f>
        <v>6281808100989</v>
      </c>
    </row>
    <row r="9771" ht="15" customHeight="1" spans="1:28" x14ac:dyDescent="0.25">
      <c r="A9771" s="17" t="s">
        <v>26985</v>
      </c>
      <c r="B9771" s="17" t="s">
        <v>70</v>
      </c>
      <c r="C9771" s="17" t="s">
        <v>71</v>
      </c>
      <c r="D9771" t="s">
        <v>14588</v>
      </c>
      <c r="F9771" t="s">
        <v>26986</v>
      </c>
      <c r="J9771" t="s">
        <v>115</v>
      </c>
      <c r="K9771" s="18" t="s">
        <v>26987</v>
      </c>
      <c r="N9771" s="17" t="s">
        <v>77</v>
      </c>
      <c r="O9771" t="s">
        <v>199</v>
      </c>
      <c r="V9771" s="18" t="s">
        <v>26987</v>
      </c>
      <c r="Y9771" t="s">
        <v>3140</v>
      </c>
      <c r="AA9771" t="s">
        <v>115</v>
      </c>
      <c r="AB9771" t="s">
        <v>3140</v>
      </c>
    </row>
    <row r="9772" ht="15" customHeight="1" spans="1:27" x14ac:dyDescent="0.25">
      <c r="A9772" s="17" t="s">
        <v>26988</v>
      </c>
      <c r="B9772" s="17" t="s">
        <v>70</v>
      </c>
      <c r="C9772" s="17" t="s">
        <v>71</v>
      </c>
      <c r="D9772" t="s">
        <v>14588</v>
      </c>
      <c r="F9772" t="s">
        <v>26989</v>
      </c>
      <c r="J9772" s="17" t="s">
        <v>26990</v>
      </c>
      <c r="K9772" s="18">
        <f>628181288886</f>
        <v>628181288886</v>
      </c>
      <c r="N9772" s="17" t="s">
        <v>74</v>
      </c>
      <c r="U9772" s="17"/>
      <c r="V9772" s="18">
        <f>628181288886</f>
        <v>628181288886</v>
      </c>
      <c r="W9772" t="s">
        <v>26991</v>
      </c>
      <c r="AA9772" s="17">
        <v>14240</v>
      </c>
    </row>
    <row r="9773" ht="15" customHeight="1" spans="1:28" x14ac:dyDescent="0.25">
      <c r="A9773" s="17" t="s">
        <v>26992</v>
      </c>
      <c r="B9773" s="17" t="s">
        <v>70</v>
      </c>
      <c r="C9773" s="17" t="s">
        <v>71</v>
      </c>
      <c r="D9773" t="s">
        <v>14588</v>
      </c>
      <c r="F9773" t="s">
        <v>26993</v>
      </c>
      <c r="J9773" s="17" t="s">
        <v>26994</v>
      </c>
      <c r="K9773" s="18" t="s">
        <v>26995</v>
      </c>
      <c r="N9773" s="17" t="s">
        <v>77</v>
      </c>
      <c r="O9773" t="s">
        <v>145</v>
      </c>
      <c r="V9773" s="18" t="s">
        <v>26995</v>
      </c>
      <c r="Y9773" t="s">
        <v>115</v>
      </c>
      <c r="AA9773" t="s">
        <v>115</v>
      </c>
      <c r="AB9773" t="s">
        <v>451</v>
      </c>
    </row>
    <row r="9774" ht="15" customHeight="1" spans="1:28" x14ac:dyDescent="0.25">
      <c r="A9774" s="17" t="s">
        <v>26996</v>
      </c>
      <c r="B9774" s="17" t="s">
        <v>70</v>
      </c>
      <c r="C9774" s="17" t="s">
        <v>71</v>
      </c>
      <c r="D9774" t="s">
        <v>26997</v>
      </c>
      <c r="F9774" t="s">
        <v>26998</v>
      </c>
      <c r="J9774" t="s">
        <v>115</v>
      </c>
      <c r="K9774" s="18" t="s">
        <v>26999</v>
      </c>
      <c r="N9774" s="17" t="s">
        <v>77</v>
      </c>
      <c r="O9774" t="s">
        <v>117</v>
      </c>
      <c r="V9774" s="18" t="s">
        <v>26999</v>
      </c>
      <c r="Y9774" t="s">
        <v>115</v>
      </c>
      <c r="AA9774" t="s">
        <v>115</v>
      </c>
      <c r="AB9774" t="s">
        <v>119</v>
      </c>
    </row>
    <row r="9775" ht="15" customHeight="1" spans="1:25" x14ac:dyDescent="0.25">
      <c r="A9775" s="17" t="s">
        <v>27000</v>
      </c>
      <c r="B9775" s="17" t="s">
        <v>70</v>
      </c>
      <c r="C9775" s="17" t="s">
        <v>71</v>
      </c>
      <c r="D9775" t="s">
        <v>26997</v>
      </c>
      <c r="F9775" t="s">
        <v>15855</v>
      </c>
      <c r="J9775" s="17" t="s">
        <v>27001</v>
      </c>
      <c r="K9775" s="18">
        <f>6282111086240</f>
        <v>6282111086240</v>
      </c>
      <c r="N9775" s="17" t="s">
        <v>81</v>
      </c>
      <c r="U9775" s="17"/>
      <c r="V9775" s="18">
        <f>6282111086240</f>
        <v>6282111086240</v>
      </c>
      <c r="W9775" t="s">
        <v>27002</v>
      </c>
      <c r="Y9775" s="17" t="s">
        <v>626</v>
      </c>
    </row>
    <row r="9776" ht="15" customHeight="1" spans="1:25" x14ac:dyDescent="0.25">
      <c r="A9776" s="17" t="s">
        <v>27003</v>
      </c>
      <c r="B9776" s="17" t="s">
        <v>70</v>
      </c>
      <c r="C9776" s="17" t="s">
        <v>71</v>
      </c>
      <c r="D9776" t="s">
        <v>27004</v>
      </c>
      <c r="F9776" t="s">
        <v>26698</v>
      </c>
      <c r="K9776" s="18">
        <f>628161629296</f>
        <v>628161629296</v>
      </c>
      <c r="N9776" s="17" t="s">
        <v>77</v>
      </c>
      <c r="U9776" s="17"/>
      <c r="V9776" s="18">
        <f>628161629296</f>
        <v>628161629296</v>
      </c>
      <c r="W9776" t="s">
        <v>27005</v>
      </c>
      <c r="Y9776" s="17" t="s">
        <v>5678</v>
      </c>
    </row>
    <row r="9777" ht="15" customHeight="1" spans="1:23" x14ac:dyDescent="0.25">
      <c r="A9777" s="17" t="s">
        <v>27006</v>
      </c>
      <c r="B9777" s="17" t="s">
        <v>70</v>
      </c>
      <c r="C9777" s="17" t="s">
        <v>71</v>
      </c>
      <c r="D9777" t="s">
        <v>27007</v>
      </c>
      <c r="F9777" t="s">
        <v>27008</v>
      </c>
      <c r="K9777" s="18">
        <f>62811841184</f>
        <v>62811841184</v>
      </c>
      <c r="N9777" s="17" t="s">
        <v>77</v>
      </c>
      <c r="U9777" s="17"/>
      <c r="V9777" s="18">
        <f>62811841184</f>
        <v>62811841184</v>
      </c>
      <c r="W9777" t="s">
        <v>27009</v>
      </c>
    </row>
    <row r="9778" ht="15" customHeight="1" spans="1:22" x14ac:dyDescent="0.25">
      <c r="A9778" s="17" t="s">
        <v>27010</v>
      </c>
      <c r="B9778" s="17" t="s">
        <v>70</v>
      </c>
      <c r="C9778" s="17" t="s">
        <v>71</v>
      </c>
      <c r="D9778" t="s">
        <v>27007</v>
      </c>
      <c r="F9778" t="s">
        <v>27011</v>
      </c>
      <c r="K9778" s="18">
        <f>6281214470070</f>
        <v>6281214470070</v>
      </c>
      <c r="N9778" s="17" t="s">
        <v>77</v>
      </c>
      <c r="V9778" s="18">
        <f>6281214470070</f>
        <v>6281214470070</v>
      </c>
    </row>
    <row r="9779" ht="15" customHeight="1" spans="1:22" x14ac:dyDescent="0.25">
      <c r="A9779" s="17" t="s">
        <v>27012</v>
      </c>
      <c r="B9779" s="17" t="s">
        <v>70</v>
      </c>
      <c r="C9779" s="17" t="s">
        <v>71</v>
      </c>
      <c r="D9779" t="s">
        <v>27013</v>
      </c>
      <c r="F9779" t="s">
        <v>27014</v>
      </c>
      <c r="K9779" s="18">
        <f>628161986415</f>
        <v>628161986415</v>
      </c>
      <c r="N9779" s="17" t="s">
        <v>77</v>
      </c>
      <c r="V9779" s="18">
        <f>628161986415</f>
        <v>628161986415</v>
      </c>
    </row>
    <row r="9780" ht="15" customHeight="1" spans="1:28" x14ac:dyDescent="0.25">
      <c r="A9780" s="17" t="s">
        <v>27015</v>
      </c>
      <c r="B9780" s="17" t="s">
        <v>70</v>
      </c>
      <c r="C9780" s="17" t="s">
        <v>71</v>
      </c>
      <c r="D9780" t="s">
        <v>27016</v>
      </c>
      <c r="F9780" t="s">
        <v>27017</v>
      </c>
      <c r="J9780" t="s">
        <v>27018</v>
      </c>
      <c r="K9780" s="18" t="s">
        <v>27019</v>
      </c>
      <c r="N9780" s="17" t="s">
        <v>77</v>
      </c>
      <c r="O9780" t="s">
        <v>117</v>
      </c>
      <c r="U9780" s="17"/>
      <c r="V9780" s="18" t="s">
        <v>27019</v>
      </c>
      <c r="W9780" t="s">
        <v>27020</v>
      </c>
      <c r="Y9780" t="s">
        <v>4959</v>
      </c>
      <c r="AA9780" t="s">
        <v>115</v>
      </c>
      <c r="AB9780" t="s">
        <v>119</v>
      </c>
    </row>
    <row r="9781" ht="15" customHeight="1" spans="1:25" x14ac:dyDescent="0.25">
      <c r="A9781" s="17" t="s">
        <v>27021</v>
      </c>
      <c r="B9781" s="17" t="s">
        <v>70</v>
      </c>
      <c r="C9781" s="17" t="s">
        <v>71</v>
      </c>
      <c r="D9781" t="s">
        <v>27022</v>
      </c>
      <c r="F9781" t="s">
        <v>27022</v>
      </c>
      <c r="K9781" s="18">
        <f>6282178759580</f>
        <v>6282178759580</v>
      </c>
      <c r="N9781" s="17" t="s">
        <v>81</v>
      </c>
      <c r="U9781" s="17"/>
      <c r="V9781" s="18">
        <f>6282178759580</f>
        <v>6282178759580</v>
      </c>
      <c r="W9781" t="s">
        <v>27023</v>
      </c>
      <c r="Y9781" s="17" t="s">
        <v>1255</v>
      </c>
    </row>
    <row r="9782" ht="15" customHeight="1" spans="1:25" x14ac:dyDescent="0.25">
      <c r="A9782" s="17" t="s">
        <v>27024</v>
      </c>
      <c r="B9782" s="17" t="s">
        <v>70</v>
      </c>
      <c r="C9782" s="17" t="s">
        <v>71</v>
      </c>
      <c r="D9782" t="s">
        <v>27022</v>
      </c>
      <c r="F9782" t="s">
        <v>27025</v>
      </c>
      <c r="K9782" s="18">
        <f>6281344307780</f>
        <v>6281344307780</v>
      </c>
      <c r="N9782" s="17" t="s">
        <v>77</v>
      </c>
      <c r="U9782" s="17"/>
      <c r="V9782" s="18">
        <f>6281344307780</f>
        <v>6281344307780</v>
      </c>
      <c r="W9782" t="s">
        <v>27026</v>
      </c>
      <c r="Y9782" s="17" t="s">
        <v>4640</v>
      </c>
    </row>
    <row r="9783" ht="15" customHeight="1" spans="1:28" x14ac:dyDescent="0.25">
      <c r="A9783" s="17" t="s">
        <v>27027</v>
      </c>
      <c r="B9783" s="17" t="s">
        <v>70</v>
      </c>
      <c r="C9783" s="17" t="s">
        <v>71</v>
      </c>
      <c r="D9783" t="s">
        <v>27028</v>
      </c>
      <c r="F9783" t="s">
        <v>2714</v>
      </c>
      <c r="J9783" s="17" t="s">
        <v>27029</v>
      </c>
      <c r="K9783" s="18" t="s">
        <v>27030</v>
      </c>
      <c r="N9783" s="17" t="s">
        <v>74</v>
      </c>
      <c r="O9783" t="s">
        <v>489</v>
      </c>
      <c r="U9783" s="17"/>
      <c r="V9783" s="18" t="s">
        <v>27030</v>
      </c>
      <c r="W9783" t="s">
        <v>27031</v>
      </c>
      <c r="Y9783" t="s">
        <v>190</v>
      </c>
      <c r="AA9783" t="s">
        <v>118</v>
      </c>
      <c r="AB9783" t="s">
        <v>119</v>
      </c>
    </row>
    <row r="9784" ht="15" customHeight="1" spans="1:28" x14ac:dyDescent="0.25">
      <c r="A9784" s="17" t="s">
        <v>27032</v>
      </c>
      <c r="B9784" s="17" t="s">
        <v>70</v>
      </c>
      <c r="C9784" s="17" t="s">
        <v>71</v>
      </c>
      <c r="D9784" t="s">
        <v>27033</v>
      </c>
      <c r="F9784" t="s">
        <v>3481</v>
      </c>
      <c r="J9784" t="s">
        <v>115</v>
      </c>
      <c r="K9784" s="18" t="s">
        <v>27034</v>
      </c>
      <c r="N9784" s="17" t="s">
        <v>77</v>
      </c>
      <c r="O9784" t="s">
        <v>145</v>
      </c>
      <c r="U9784" s="17"/>
      <c r="V9784" s="18" t="s">
        <v>27034</v>
      </c>
      <c r="W9784" t="s">
        <v>27035</v>
      </c>
      <c r="Y9784" t="s">
        <v>190</v>
      </c>
      <c r="AA9784" s="17" t="s">
        <v>118</v>
      </c>
      <c r="AB9784" t="s">
        <v>119</v>
      </c>
    </row>
    <row r="9785" ht="15" customHeight="1" spans="1:22" x14ac:dyDescent="0.25">
      <c r="A9785" s="17" t="s">
        <v>27036</v>
      </c>
      <c r="B9785" s="17" t="s">
        <v>70</v>
      </c>
      <c r="C9785" s="17" t="s">
        <v>71</v>
      </c>
      <c r="D9785" t="s">
        <v>27037</v>
      </c>
      <c r="F9785" t="s">
        <v>27037</v>
      </c>
      <c r="K9785" s="18">
        <f>6281513068675</f>
        <v>6281513068675</v>
      </c>
      <c r="N9785" s="17" t="s">
        <v>74</v>
      </c>
      <c r="V9785" s="18">
        <f>6281513068675</f>
        <v>6281513068675</v>
      </c>
    </row>
    <row r="9786" ht="15" customHeight="1" spans="1:28" x14ac:dyDescent="0.25">
      <c r="A9786" s="17" t="s">
        <v>27038</v>
      </c>
      <c r="B9786" s="17" t="s">
        <v>70</v>
      </c>
      <c r="C9786" s="17" t="s">
        <v>71</v>
      </c>
      <c r="D9786" t="s">
        <v>27039</v>
      </c>
      <c r="F9786" t="s">
        <v>27040</v>
      </c>
      <c r="J9786" s="17" t="s">
        <v>27041</v>
      </c>
      <c r="K9786" s="18" t="s">
        <v>27042</v>
      </c>
      <c r="N9786" s="17" t="s">
        <v>77</v>
      </c>
      <c r="O9786" t="s">
        <v>117</v>
      </c>
      <c r="U9786" s="17"/>
      <c r="V9786" s="18" t="s">
        <v>27042</v>
      </c>
      <c r="W9786" t="s">
        <v>27043</v>
      </c>
      <c r="Y9786" s="17" t="s">
        <v>190</v>
      </c>
      <c r="AA9786" t="s">
        <v>118</v>
      </c>
      <c r="AB9786" t="s">
        <v>119</v>
      </c>
    </row>
    <row r="9787" ht="15" customHeight="1" spans="1:25" x14ac:dyDescent="0.25">
      <c r="A9787" s="17" t="s">
        <v>27044</v>
      </c>
      <c r="B9787" s="17" t="s">
        <v>70</v>
      </c>
      <c r="C9787" s="17" t="s">
        <v>71</v>
      </c>
      <c r="D9787" t="s">
        <v>27039</v>
      </c>
      <c r="F9787" t="s">
        <v>672</v>
      </c>
      <c r="K9787" s="18">
        <f>81931318899</f>
        <v>81931318899</v>
      </c>
      <c r="N9787" s="17" t="s">
        <v>81</v>
      </c>
      <c r="U9787" s="17"/>
      <c r="V9787" s="18">
        <f>81931318899</f>
        <v>81931318899</v>
      </c>
      <c r="W9787" t="s">
        <v>27045</v>
      </c>
      <c r="Y9787" s="17" t="s">
        <v>27046</v>
      </c>
    </row>
    <row r="9788" ht="15" customHeight="1" spans="1:23" x14ac:dyDescent="0.25">
      <c r="A9788" s="17" t="s">
        <v>27047</v>
      </c>
      <c r="B9788" s="17" t="s">
        <v>70</v>
      </c>
      <c r="C9788" s="17" t="s">
        <v>71</v>
      </c>
      <c r="D9788" t="s">
        <v>27048</v>
      </c>
      <c r="F9788" t="s">
        <v>27048</v>
      </c>
      <c r="J9788" s="17" t="s">
        <v>27049</v>
      </c>
      <c r="K9788" s="18">
        <f>62816916800</f>
        <v>62816916800</v>
      </c>
      <c r="N9788" s="17" t="s">
        <v>81</v>
      </c>
      <c r="U9788" s="17"/>
      <c r="V9788" s="18">
        <f>62816916800</f>
        <v>62816916800</v>
      </c>
      <c r="W9788" t="s">
        <v>27050</v>
      </c>
    </row>
    <row r="9789" ht="15" customHeight="1" spans="1:23" x14ac:dyDescent="0.25">
      <c r="A9789" s="17" t="s">
        <v>27051</v>
      </c>
      <c r="B9789" s="17" t="s">
        <v>70</v>
      </c>
      <c r="C9789" s="17" t="s">
        <v>71</v>
      </c>
      <c r="D9789" t="s">
        <v>27048</v>
      </c>
      <c r="F9789" t="s">
        <v>27052</v>
      </c>
      <c r="K9789" s="18">
        <f>628111673703</f>
        <v>628111673703</v>
      </c>
      <c r="N9789" s="17" t="s">
        <v>77</v>
      </c>
      <c r="U9789" s="17"/>
      <c r="V9789" s="18">
        <f>628111673703</f>
        <v>628111673703</v>
      </c>
      <c r="W9789" t="s">
        <v>27053</v>
      </c>
    </row>
    <row r="9790" ht="15" customHeight="1" spans="1:22" x14ac:dyDescent="0.25">
      <c r="A9790" s="17" t="s">
        <v>27054</v>
      </c>
      <c r="B9790" s="17" t="s">
        <v>70</v>
      </c>
      <c r="C9790" s="17" t="s">
        <v>71</v>
      </c>
      <c r="D9790" t="s">
        <v>27048</v>
      </c>
      <c r="F9790" t="s">
        <v>1337</v>
      </c>
      <c r="K9790" s="18">
        <f>6282110797121</f>
        <v>6282110797121</v>
      </c>
      <c r="N9790" s="17" t="s">
        <v>77</v>
      </c>
      <c r="V9790" s="18">
        <f>6282110797121</f>
        <v>6282110797121</v>
      </c>
    </row>
    <row r="9791" ht="15" customHeight="1" spans="1:22" x14ac:dyDescent="0.25">
      <c r="A9791" s="17" t="s">
        <v>27055</v>
      </c>
      <c r="B9791" s="17" t="s">
        <v>70</v>
      </c>
      <c r="C9791" s="17" t="s">
        <v>71</v>
      </c>
      <c r="D9791" t="s">
        <v>27056</v>
      </c>
      <c r="F9791" t="s">
        <v>27056</v>
      </c>
      <c r="K9791" s="18">
        <f>62811967878</f>
        <v>62811967878</v>
      </c>
      <c r="N9791" s="17" t="s">
        <v>77</v>
      </c>
      <c r="V9791" s="18">
        <f>62811967878</f>
        <v>62811967878</v>
      </c>
    </row>
    <row r="9792" ht="15" customHeight="1" spans="1:22" x14ac:dyDescent="0.25">
      <c r="A9792" s="17" t="s">
        <v>27057</v>
      </c>
      <c r="B9792" s="17" t="s">
        <v>70</v>
      </c>
      <c r="C9792" s="17" t="s">
        <v>71</v>
      </c>
      <c r="D9792" t="s">
        <v>27058</v>
      </c>
      <c r="F9792" t="s">
        <v>27058</v>
      </c>
      <c r="K9792" s="18">
        <f>62811324889</f>
        <v>62811324889</v>
      </c>
      <c r="N9792" s="17" t="s">
        <v>77</v>
      </c>
      <c r="V9792" s="18">
        <f>62811324889</f>
        <v>62811324889</v>
      </c>
    </row>
    <row r="9793" ht="15" customHeight="1" spans="1:28" x14ac:dyDescent="0.25">
      <c r="A9793" s="17" t="s">
        <v>27059</v>
      </c>
      <c r="B9793" s="17" t="s">
        <v>70</v>
      </c>
      <c r="C9793" s="17" t="s">
        <v>71</v>
      </c>
      <c r="D9793" t="s">
        <v>27060</v>
      </c>
      <c r="F9793" t="s">
        <v>27061</v>
      </c>
      <c r="J9793" t="s">
        <v>27062</v>
      </c>
      <c r="K9793" s="18" t="s">
        <v>27063</v>
      </c>
      <c r="N9793" s="17" t="s">
        <v>77</v>
      </c>
      <c r="O9793" t="s">
        <v>117</v>
      </c>
      <c r="V9793" s="18" t="s">
        <v>27063</v>
      </c>
      <c r="Y9793" t="s">
        <v>90</v>
      </c>
      <c r="AA9793" t="s">
        <v>118</v>
      </c>
      <c r="AB9793" t="s">
        <v>119</v>
      </c>
    </row>
    <row r="9794" ht="15" customHeight="1" spans="1:22" x14ac:dyDescent="0.25">
      <c r="A9794" s="17" t="s">
        <v>27064</v>
      </c>
      <c r="B9794" s="17" t="s">
        <v>70</v>
      </c>
      <c r="C9794" s="17" t="s">
        <v>71</v>
      </c>
      <c r="D9794" t="s">
        <v>27060</v>
      </c>
      <c r="F9794" t="s">
        <v>27065</v>
      </c>
      <c r="K9794" s="18">
        <f>6285813686781</f>
        <v>6285813686781</v>
      </c>
      <c r="N9794" s="17" t="s">
        <v>81</v>
      </c>
      <c r="V9794" s="18">
        <f>6285813686781</f>
        <v>6285813686781</v>
      </c>
    </row>
    <row r="9795" ht="15" customHeight="1" spans="1:27" x14ac:dyDescent="0.25">
      <c r="A9795" s="17" t="s">
        <v>27066</v>
      </c>
      <c r="B9795" s="17" t="s">
        <v>70</v>
      </c>
      <c r="C9795" s="17" t="s">
        <v>71</v>
      </c>
      <c r="D9795" t="s">
        <v>27067</v>
      </c>
      <c r="F9795" t="s">
        <v>27067</v>
      </c>
      <c r="J9795" s="17" t="s">
        <v>27068</v>
      </c>
      <c r="K9795" s="18">
        <f>628179191168</f>
        <v>628179191168</v>
      </c>
      <c r="N9795" s="17" t="s">
        <v>81</v>
      </c>
      <c r="U9795" s="17"/>
      <c r="V9795" s="18">
        <f>628179191168</f>
        <v>628179191168</v>
      </c>
      <c r="W9795" t="s">
        <v>27069</v>
      </c>
      <c r="AA9795" s="17">
        <v>15320</v>
      </c>
    </row>
    <row r="9796" ht="15" customHeight="1" spans="1:22" x14ac:dyDescent="0.25">
      <c r="A9796" s="17" t="s">
        <v>27070</v>
      </c>
      <c r="B9796" s="17" t="s">
        <v>70</v>
      </c>
      <c r="C9796" s="17" t="s">
        <v>71</v>
      </c>
      <c r="D9796" t="s">
        <v>27071</v>
      </c>
      <c r="F9796" t="s">
        <v>14080</v>
      </c>
      <c r="J9796" s="17" t="s">
        <v>27072</v>
      </c>
      <c r="K9796" s="18">
        <f>6285221156463</f>
        <v>6285221156463</v>
      </c>
      <c r="N9796" s="17" t="s">
        <v>77</v>
      </c>
      <c r="V9796" s="18">
        <f>6285221156463</f>
        <v>6285221156463</v>
      </c>
    </row>
    <row r="9797" ht="15" customHeight="1" spans="1:22" x14ac:dyDescent="0.25">
      <c r="A9797" s="17" t="s">
        <v>27073</v>
      </c>
      <c r="B9797" s="17" t="s">
        <v>70</v>
      </c>
      <c r="C9797" s="17" t="s">
        <v>71</v>
      </c>
      <c r="D9797" t="s">
        <v>27071</v>
      </c>
      <c r="F9797" t="s">
        <v>27074</v>
      </c>
      <c r="K9797" s="18">
        <f>628161817928</f>
        <v>628161817928</v>
      </c>
      <c r="N9797" s="17" t="s">
        <v>81</v>
      </c>
      <c r="V9797" s="18">
        <f>628161817928</f>
        <v>628161817928</v>
      </c>
    </row>
    <row r="9798" ht="15" customHeight="1" spans="1:25" x14ac:dyDescent="0.25">
      <c r="A9798" s="17" t="s">
        <v>27075</v>
      </c>
      <c r="B9798" s="17" t="s">
        <v>70</v>
      </c>
      <c r="C9798" s="17" t="s">
        <v>71</v>
      </c>
      <c r="D9798" t="s">
        <v>7307</v>
      </c>
      <c r="F9798" t="s">
        <v>1470</v>
      </c>
      <c r="J9798" s="17" t="s">
        <v>27076</v>
      </c>
      <c r="K9798" s="18">
        <f>6281215593466</f>
        <v>6281215593466</v>
      </c>
      <c r="N9798" s="17" t="s">
        <v>77</v>
      </c>
      <c r="U9798" s="17"/>
      <c r="V9798" s="18">
        <f>6281215593466</f>
        <v>6281215593466</v>
      </c>
      <c r="W9798" t="s">
        <v>27077</v>
      </c>
      <c r="Y9798" s="17" t="s">
        <v>410</v>
      </c>
    </row>
    <row r="9799" ht="15" customHeight="1" spans="1:23" x14ac:dyDescent="0.25">
      <c r="A9799" s="17" t="s">
        <v>27078</v>
      </c>
      <c r="B9799" s="17" t="s">
        <v>70</v>
      </c>
      <c r="C9799" s="17" t="s">
        <v>71</v>
      </c>
      <c r="D9799" t="s">
        <v>27079</v>
      </c>
      <c r="F9799" t="s">
        <v>27079</v>
      </c>
      <c r="K9799" s="18">
        <f>6281381027000</f>
        <v>6281381027000</v>
      </c>
      <c r="N9799" s="17" t="s">
        <v>81</v>
      </c>
      <c r="U9799" s="17"/>
      <c r="V9799" s="18">
        <f>6281381027000</f>
        <v>6281381027000</v>
      </c>
      <c r="W9799" t="s">
        <v>27080</v>
      </c>
    </row>
    <row r="9800" ht="15" customHeight="1" spans="1:28" x14ac:dyDescent="0.25">
      <c r="A9800" s="17" t="s">
        <v>27081</v>
      </c>
      <c r="B9800" s="17" t="s">
        <v>70</v>
      </c>
      <c r="C9800" s="17" t="s">
        <v>71</v>
      </c>
      <c r="D9800" t="s">
        <v>27082</v>
      </c>
      <c r="F9800" t="s">
        <v>7148</v>
      </c>
      <c r="J9800" t="s">
        <v>115</v>
      </c>
      <c r="K9800" s="18" t="s">
        <v>27083</v>
      </c>
      <c r="N9800" s="17" t="s">
        <v>77</v>
      </c>
      <c r="O9800" t="s">
        <v>489</v>
      </c>
      <c r="U9800" s="17"/>
      <c r="V9800" s="18" t="s">
        <v>27083</v>
      </c>
      <c r="W9800" t="s">
        <v>27084</v>
      </c>
      <c r="Y9800" t="s">
        <v>7151</v>
      </c>
      <c r="AA9800" t="s">
        <v>115</v>
      </c>
      <c r="AB9800" t="s">
        <v>119</v>
      </c>
    </row>
    <row r="9801" ht="15" customHeight="1" spans="1:22" x14ac:dyDescent="0.25">
      <c r="A9801" s="17" t="s">
        <v>27085</v>
      </c>
      <c r="B9801" s="17" t="s">
        <v>70</v>
      </c>
      <c r="C9801" s="17" t="s">
        <v>71</v>
      </c>
      <c r="D9801" t="s">
        <v>27086</v>
      </c>
      <c r="F9801" t="s">
        <v>27086</v>
      </c>
      <c r="K9801" s="18">
        <f>6282111599958</f>
        <v>6282111599958</v>
      </c>
      <c r="N9801" s="17" t="s">
        <v>77</v>
      </c>
      <c r="V9801" s="18">
        <f>6282111599958</f>
        <v>6282111599958</v>
      </c>
    </row>
    <row r="9802" ht="15" customHeight="1" spans="1:28" x14ac:dyDescent="0.25">
      <c r="A9802" s="17" t="s">
        <v>27087</v>
      </c>
      <c r="B9802" s="17" t="s">
        <v>70</v>
      </c>
      <c r="C9802" s="17" t="s">
        <v>71</v>
      </c>
      <c r="D9802" t="s">
        <v>27088</v>
      </c>
      <c r="F9802" t="s">
        <v>27089</v>
      </c>
      <c r="J9802" s="17" t="s">
        <v>27090</v>
      </c>
      <c r="K9802" s="18" t="s">
        <v>27091</v>
      </c>
      <c r="N9802" s="17" t="s">
        <v>77</v>
      </c>
      <c r="O9802" t="s">
        <v>489</v>
      </c>
      <c r="U9802" s="17"/>
      <c r="V9802" s="18" t="s">
        <v>27091</v>
      </c>
      <c r="W9802" t="s">
        <v>27092</v>
      </c>
      <c r="Y9802" t="s">
        <v>90</v>
      </c>
      <c r="AA9802" s="17" t="s">
        <v>118</v>
      </c>
      <c r="AB9802" t="s">
        <v>119</v>
      </c>
    </row>
    <row r="9803" ht="15" customHeight="1" spans="1:22" x14ac:dyDescent="0.25">
      <c r="A9803" s="17" t="s">
        <v>27093</v>
      </c>
      <c r="B9803" s="17" t="s">
        <v>70</v>
      </c>
      <c r="C9803" s="17" t="s">
        <v>71</v>
      </c>
      <c r="D9803" t="s">
        <v>27094</v>
      </c>
      <c r="F9803" t="s">
        <v>27040</v>
      </c>
      <c r="K9803" s="18">
        <f>6287887936326</f>
        <v>6287887936326</v>
      </c>
      <c r="N9803" s="17" t="s">
        <v>77</v>
      </c>
      <c r="V9803" s="18">
        <f>6287887936326</f>
        <v>6287887936326</v>
      </c>
    </row>
    <row r="9804" ht="15" customHeight="1" spans="1:28" x14ac:dyDescent="0.25">
      <c r="A9804" s="17" t="s">
        <v>27095</v>
      </c>
      <c r="B9804" s="17" t="s">
        <v>70</v>
      </c>
      <c r="C9804" s="17" t="s">
        <v>71</v>
      </c>
      <c r="D9804" t="s">
        <v>27096</v>
      </c>
      <c r="F9804" t="s">
        <v>27097</v>
      </c>
      <c r="J9804" t="s">
        <v>115</v>
      </c>
      <c r="K9804" s="18" t="s">
        <v>27098</v>
      </c>
      <c r="N9804" s="17" t="s">
        <v>81</v>
      </c>
      <c r="O9804" t="s">
        <v>199</v>
      </c>
      <c r="V9804" s="18" t="s">
        <v>27098</v>
      </c>
      <c r="Y9804" t="s">
        <v>90</v>
      </c>
      <c r="AA9804" t="s">
        <v>118</v>
      </c>
      <c r="AB9804" t="s">
        <v>119</v>
      </c>
    </row>
    <row r="9805" ht="15" customHeight="1" spans="1:22" x14ac:dyDescent="0.25">
      <c r="A9805" s="17" t="s">
        <v>27099</v>
      </c>
      <c r="B9805" s="17" t="s">
        <v>70</v>
      </c>
      <c r="C9805" s="17" t="s">
        <v>71</v>
      </c>
      <c r="D9805" t="s">
        <v>27100</v>
      </c>
      <c r="F9805" t="s">
        <v>27101</v>
      </c>
      <c r="K9805" s="18">
        <f>628129499288</f>
        <v>628129499288</v>
      </c>
      <c r="N9805" s="17" t="s">
        <v>77</v>
      </c>
      <c r="V9805" s="18">
        <f>628129499288</f>
        <v>628129499288</v>
      </c>
    </row>
    <row r="9806" ht="15" customHeight="1" spans="1:28" x14ac:dyDescent="0.25">
      <c r="A9806" s="17" t="s">
        <v>27102</v>
      </c>
      <c r="B9806" s="17" t="s">
        <v>70</v>
      </c>
      <c r="C9806" s="17" t="s">
        <v>71</v>
      </c>
      <c r="D9806" t="s">
        <v>27100</v>
      </c>
      <c r="F9806" t="s">
        <v>25237</v>
      </c>
      <c r="J9806" t="s">
        <v>115</v>
      </c>
      <c r="K9806" s="18" t="s">
        <v>27103</v>
      </c>
      <c r="N9806" s="17" t="s">
        <v>77</v>
      </c>
      <c r="O9806" t="s">
        <v>117</v>
      </c>
      <c r="V9806" s="18" t="s">
        <v>27103</v>
      </c>
      <c r="Y9806" t="s">
        <v>90</v>
      </c>
      <c r="AA9806" t="s">
        <v>118</v>
      </c>
      <c r="AB9806" t="s">
        <v>119</v>
      </c>
    </row>
    <row r="9807" ht="15" customHeight="1" spans="1:22" x14ac:dyDescent="0.25">
      <c r="A9807" s="17" t="s">
        <v>27104</v>
      </c>
      <c r="B9807" s="17" t="s">
        <v>70</v>
      </c>
      <c r="C9807" s="17" t="s">
        <v>71</v>
      </c>
      <c r="D9807" t="s">
        <v>27105</v>
      </c>
      <c r="F9807" t="s">
        <v>27105</v>
      </c>
      <c r="K9807" s="18">
        <f>628192190220</f>
        <v>628192190220</v>
      </c>
      <c r="N9807" s="17" t="s">
        <v>77</v>
      </c>
      <c r="V9807" s="18">
        <f>628192190220</f>
        <v>628192190220</v>
      </c>
    </row>
    <row r="9808" ht="15" customHeight="1" spans="1:22" x14ac:dyDescent="0.25">
      <c r="A9808" s="17" t="s">
        <v>27106</v>
      </c>
      <c r="B9808" s="17" t="s">
        <v>70</v>
      </c>
      <c r="C9808" s="17" t="s">
        <v>71</v>
      </c>
      <c r="D9808" t="s">
        <v>27107</v>
      </c>
      <c r="F9808" t="s">
        <v>9868</v>
      </c>
      <c r="K9808" s="18">
        <f>62811130450</f>
        <v>62811130450</v>
      </c>
      <c r="N9808" s="17" t="s">
        <v>77</v>
      </c>
      <c r="V9808" s="18">
        <f>62811130450</f>
        <v>62811130450</v>
      </c>
    </row>
    <row r="9809" ht="15" customHeight="1" spans="1:28" x14ac:dyDescent="0.25">
      <c r="A9809" s="17" t="s">
        <v>27108</v>
      </c>
      <c r="B9809" s="17" t="s">
        <v>70</v>
      </c>
      <c r="C9809" s="17" t="s">
        <v>71</v>
      </c>
      <c r="D9809" t="s">
        <v>27109</v>
      </c>
      <c r="F9809" t="s">
        <v>6870</v>
      </c>
      <c r="J9809" t="s">
        <v>115</v>
      </c>
      <c r="K9809" s="18" t="s">
        <v>27110</v>
      </c>
      <c r="N9809" s="17" t="s">
        <v>74</v>
      </c>
      <c r="O9809" t="s">
        <v>261</v>
      </c>
      <c r="U9809" s="17"/>
      <c r="V9809" s="18" t="s">
        <v>27110</v>
      </c>
      <c r="W9809" t="s">
        <v>27111</v>
      </c>
      <c r="Y9809" t="s">
        <v>1084</v>
      </c>
      <c r="AA9809" t="s">
        <v>3146</v>
      </c>
      <c r="AB9809" t="s">
        <v>119</v>
      </c>
    </row>
    <row r="9810" ht="15" customHeight="1" spans="1:28" x14ac:dyDescent="0.25">
      <c r="A9810" s="17" t="s">
        <v>27112</v>
      </c>
      <c r="B9810" s="17" t="s">
        <v>70</v>
      </c>
      <c r="C9810" s="17" t="s">
        <v>71</v>
      </c>
      <c r="D9810" t="s">
        <v>27113</v>
      </c>
      <c r="F9810" t="s">
        <v>4858</v>
      </c>
      <c r="J9810" t="s">
        <v>115</v>
      </c>
      <c r="K9810" s="18" t="s">
        <v>27114</v>
      </c>
      <c r="N9810" s="17" t="s">
        <v>81</v>
      </c>
      <c r="O9810" t="s">
        <v>261</v>
      </c>
      <c r="V9810" s="18" t="s">
        <v>27114</v>
      </c>
      <c r="Y9810" t="s">
        <v>190</v>
      </c>
      <c r="AA9810" t="s">
        <v>118</v>
      </c>
      <c r="AB9810" t="s">
        <v>119</v>
      </c>
    </row>
    <row r="9811" ht="15" customHeight="1" spans="1:28" x14ac:dyDescent="0.25">
      <c r="A9811" s="17" t="s">
        <v>27115</v>
      </c>
      <c r="B9811" s="17" t="s">
        <v>70</v>
      </c>
      <c r="C9811" s="17" t="s">
        <v>71</v>
      </c>
      <c r="D9811" t="s">
        <v>27116</v>
      </c>
      <c r="F9811" t="s">
        <v>27117</v>
      </c>
      <c r="J9811" t="s">
        <v>115</v>
      </c>
      <c r="K9811" s="18" t="s">
        <v>27118</v>
      </c>
      <c r="N9811" s="17" t="s">
        <v>74</v>
      </c>
      <c r="O9811" t="s">
        <v>117</v>
      </c>
      <c r="U9811" s="17"/>
      <c r="V9811" s="18" t="s">
        <v>27118</v>
      </c>
      <c r="W9811" t="s">
        <v>27119</v>
      </c>
      <c r="Y9811" s="17" t="s">
        <v>90</v>
      </c>
      <c r="AA9811" t="s">
        <v>118</v>
      </c>
      <c r="AB9811" t="s">
        <v>119</v>
      </c>
    </row>
    <row r="9812" ht="15" customHeight="1" spans="1:22" x14ac:dyDescent="0.25">
      <c r="A9812" s="17" t="s">
        <v>27120</v>
      </c>
      <c r="B9812" s="17" t="s">
        <v>70</v>
      </c>
      <c r="C9812" s="17" t="s">
        <v>71</v>
      </c>
      <c r="D9812" t="s">
        <v>27121</v>
      </c>
      <c r="F9812" t="s">
        <v>27121</v>
      </c>
      <c r="K9812" s="18">
        <f>6283870788928</f>
        <v>6283870788928</v>
      </c>
      <c r="N9812" s="17" t="s">
        <v>77</v>
      </c>
      <c r="V9812" s="18">
        <f>6283870788928</f>
        <v>6283870788928</v>
      </c>
    </row>
    <row r="9813" ht="15" customHeight="1" spans="1:25" x14ac:dyDescent="0.25">
      <c r="A9813" s="17" t="s">
        <v>27122</v>
      </c>
      <c r="B9813" s="17" t="s">
        <v>70</v>
      </c>
      <c r="C9813" s="17" t="s">
        <v>71</v>
      </c>
      <c r="D9813" t="s">
        <v>27121</v>
      </c>
      <c r="F9813" t="s">
        <v>13778</v>
      </c>
      <c r="J9813" s="17" t="s">
        <v>27123</v>
      </c>
      <c r="K9813" s="18">
        <f>6281325253555</f>
        <v>6281325253555</v>
      </c>
      <c r="N9813" s="17" t="s">
        <v>77</v>
      </c>
      <c r="U9813" s="17"/>
      <c r="V9813" s="18">
        <f>6281325253555</f>
        <v>6281325253555</v>
      </c>
      <c r="W9813" t="s">
        <v>27124</v>
      </c>
      <c r="Y9813" s="17" t="s">
        <v>567</v>
      </c>
    </row>
    <row r="9814" ht="15" customHeight="1" spans="1:28" x14ac:dyDescent="0.25">
      <c r="A9814" s="17" t="s">
        <v>27125</v>
      </c>
      <c r="B9814" s="17" t="s">
        <v>70</v>
      </c>
      <c r="C9814" s="17" t="s">
        <v>71</v>
      </c>
      <c r="D9814" t="s">
        <v>27121</v>
      </c>
      <c r="F9814" t="s">
        <v>21923</v>
      </c>
      <c r="J9814" t="s">
        <v>115</v>
      </c>
      <c r="K9814" s="18" t="s">
        <v>27126</v>
      </c>
      <c r="N9814" s="17" t="s">
        <v>77</v>
      </c>
      <c r="O9814" t="s">
        <v>145</v>
      </c>
      <c r="V9814" s="18" t="s">
        <v>27126</v>
      </c>
      <c r="Y9814" t="s">
        <v>190</v>
      </c>
      <c r="AA9814" t="s">
        <v>118</v>
      </c>
      <c r="AB9814" t="s">
        <v>119</v>
      </c>
    </row>
    <row r="9815" ht="15" customHeight="1" spans="1:28" x14ac:dyDescent="0.25">
      <c r="A9815" s="17" t="s">
        <v>27127</v>
      </c>
      <c r="B9815" s="17" t="s">
        <v>70</v>
      </c>
      <c r="C9815" s="17" t="s">
        <v>71</v>
      </c>
      <c r="D9815" t="s">
        <v>27128</v>
      </c>
      <c r="F9815" t="s">
        <v>27129</v>
      </c>
      <c r="J9815" s="17" t="s">
        <v>27130</v>
      </c>
      <c r="K9815" s="18" t="s">
        <v>27131</v>
      </c>
      <c r="N9815" s="17" t="s">
        <v>81</v>
      </c>
      <c r="O9815" t="s">
        <v>117</v>
      </c>
      <c r="V9815" s="18" t="s">
        <v>27131</v>
      </c>
      <c r="Y9815" t="s">
        <v>90</v>
      </c>
      <c r="AA9815" t="s">
        <v>118</v>
      </c>
      <c r="AB9815" t="s">
        <v>119</v>
      </c>
    </row>
    <row r="9816" ht="15" customHeight="1" spans="1:23" x14ac:dyDescent="0.25">
      <c r="A9816" s="17" t="s">
        <v>27132</v>
      </c>
      <c r="B9816" s="17" t="s">
        <v>70</v>
      </c>
      <c r="C9816" s="17" t="s">
        <v>71</v>
      </c>
      <c r="D9816" t="s">
        <v>27133</v>
      </c>
      <c r="F9816" t="s">
        <v>27134</v>
      </c>
      <c r="K9816" s="18">
        <f>6281553011998</f>
        <v>6281553011998</v>
      </c>
      <c r="N9816" s="17" t="s">
        <v>77</v>
      </c>
      <c r="U9816" s="17"/>
      <c r="V9816" s="18">
        <f>6281553011998</f>
        <v>6281553011998</v>
      </c>
      <c r="W9816" t="s">
        <v>27135</v>
      </c>
    </row>
    <row r="9817" ht="15" customHeight="1" spans="1:22" x14ac:dyDescent="0.25">
      <c r="A9817" s="17" t="s">
        <v>27136</v>
      </c>
      <c r="B9817" s="17" t="s">
        <v>70</v>
      </c>
      <c r="C9817" s="17" t="s">
        <v>71</v>
      </c>
      <c r="D9817" t="s">
        <v>27137</v>
      </c>
      <c r="F9817" t="s">
        <v>27137</v>
      </c>
      <c r="K9817" s="18">
        <f>62818811785</f>
        <v>62818811785</v>
      </c>
      <c r="N9817" s="17" t="s">
        <v>81</v>
      </c>
      <c r="V9817" s="18">
        <f>62818811785</f>
        <v>62818811785</v>
      </c>
    </row>
    <row r="9818" ht="15" customHeight="1" spans="1:28" x14ac:dyDescent="0.25">
      <c r="A9818" s="17" t="s">
        <v>27138</v>
      </c>
      <c r="B9818" s="17" t="s">
        <v>70</v>
      </c>
      <c r="C9818" s="17" t="s">
        <v>71</v>
      </c>
      <c r="D9818" t="s">
        <v>27139</v>
      </c>
      <c r="F9818" t="s">
        <v>27140</v>
      </c>
      <c r="J9818" t="s">
        <v>115</v>
      </c>
      <c r="K9818" s="18" t="s">
        <v>27141</v>
      </c>
      <c r="N9818" s="17" t="s">
        <v>77</v>
      </c>
      <c r="O9818" t="s">
        <v>117</v>
      </c>
      <c r="V9818" s="18" t="s">
        <v>27141</v>
      </c>
      <c r="Y9818" t="s">
        <v>90</v>
      </c>
      <c r="AA9818" t="s">
        <v>118</v>
      </c>
      <c r="AB9818" t="s">
        <v>119</v>
      </c>
    </row>
    <row r="9819" ht="15" customHeight="1" spans="1:22" x14ac:dyDescent="0.25">
      <c r="A9819" s="17" t="s">
        <v>27142</v>
      </c>
      <c r="B9819" s="17" t="s">
        <v>70</v>
      </c>
      <c r="C9819" s="17" t="s">
        <v>71</v>
      </c>
      <c r="D9819" t="s">
        <v>27143</v>
      </c>
      <c r="F9819" t="s">
        <v>27143</v>
      </c>
      <c r="K9819" s="18">
        <f>62818810444</f>
        <v>62818810444</v>
      </c>
      <c r="N9819" s="17" t="s">
        <v>77</v>
      </c>
      <c r="V9819" s="18">
        <f>62818810444</f>
        <v>62818810444</v>
      </c>
    </row>
    <row r="9820" ht="15" customHeight="1" spans="1:28" x14ac:dyDescent="0.25">
      <c r="A9820" s="17" t="s">
        <v>27144</v>
      </c>
      <c r="B9820" s="17" t="s">
        <v>70</v>
      </c>
      <c r="C9820" s="17" t="s">
        <v>71</v>
      </c>
      <c r="D9820" t="s">
        <v>27143</v>
      </c>
      <c r="F9820" t="s">
        <v>27145</v>
      </c>
      <c r="J9820" t="s">
        <v>115</v>
      </c>
      <c r="K9820" s="18" t="s">
        <v>27146</v>
      </c>
      <c r="N9820" s="17" t="s">
        <v>74</v>
      </c>
      <c r="O9820" t="s">
        <v>117</v>
      </c>
      <c r="V9820" s="18" t="s">
        <v>27146</v>
      </c>
      <c r="Y9820" t="s">
        <v>90</v>
      </c>
      <c r="AA9820" t="s">
        <v>118</v>
      </c>
      <c r="AB9820" t="s">
        <v>119</v>
      </c>
    </row>
    <row r="9821" ht="15" customHeight="1" spans="1:22" x14ac:dyDescent="0.25">
      <c r="A9821" s="17" t="s">
        <v>27147</v>
      </c>
      <c r="B9821" s="17" t="s">
        <v>70</v>
      </c>
      <c r="C9821" s="17" t="s">
        <v>71</v>
      </c>
      <c r="D9821" t="s">
        <v>27148</v>
      </c>
      <c r="F9821" t="s">
        <v>27148</v>
      </c>
      <c r="K9821" s="18">
        <f>628161805212</f>
        <v>628161805212</v>
      </c>
      <c r="N9821" s="17" t="s">
        <v>77</v>
      </c>
      <c r="V9821" s="18">
        <f>628161805212</f>
        <v>628161805212</v>
      </c>
    </row>
    <row r="9822" ht="15" customHeight="1" spans="1:28" x14ac:dyDescent="0.25">
      <c r="A9822" s="17" t="s">
        <v>27149</v>
      </c>
      <c r="B9822" s="17" t="s">
        <v>70</v>
      </c>
      <c r="C9822" s="17" t="s">
        <v>71</v>
      </c>
      <c r="D9822" t="s">
        <v>27150</v>
      </c>
      <c r="F9822" t="s">
        <v>27151</v>
      </c>
      <c r="J9822" t="s">
        <v>27152</v>
      </c>
      <c r="K9822" s="18" t="s">
        <v>27153</v>
      </c>
      <c r="N9822" s="17" t="s">
        <v>77</v>
      </c>
      <c r="O9822" t="s">
        <v>117</v>
      </c>
      <c r="V9822" s="18" t="s">
        <v>27153</v>
      </c>
      <c r="Y9822" s="17" t="s">
        <v>1553</v>
      </c>
      <c r="AA9822" t="s">
        <v>115</v>
      </c>
      <c r="AB9822" t="s">
        <v>119</v>
      </c>
    </row>
    <row r="9823" ht="15" customHeight="1" spans="1:22" x14ac:dyDescent="0.25">
      <c r="A9823" s="17" t="s">
        <v>27154</v>
      </c>
      <c r="B9823" s="17" t="s">
        <v>70</v>
      </c>
      <c r="C9823" s="17" t="s">
        <v>71</v>
      </c>
      <c r="D9823" t="s">
        <v>27150</v>
      </c>
      <c r="F9823" t="s">
        <v>27150</v>
      </c>
      <c r="K9823" s="18">
        <f>62628129164338</f>
        <v>62628129164338</v>
      </c>
      <c r="N9823" s="17" t="s">
        <v>77</v>
      </c>
      <c r="V9823" s="18">
        <f>62628129164338</f>
        <v>62628129164338</v>
      </c>
    </row>
    <row r="9824" ht="15" customHeight="1" spans="1:28" x14ac:dyDescent="0.25">
      <c r="A9824" s="17" t="s">
        <v>27155</v>
      </c>
      <c r="B9824" s="17" t="s">
        <v>70</v>
      </c>
      <c r="C9824" s="17" t="s">
        <v>71</v>
      </c>
      <c r="D9824" t="s">
        <v>27150</v>
      </c>
      <c r="F9824" t="s">
        <v>672</v>
      </c>
      <c r="J9824" s="17" t="s">
        <v>27156</v>
      </c>
      <c r="K9824" s="18" t="s">
        <v>27157</v>
      </c>
      <c r="N9824" s="17" t="s">
        <v>77</v>
      </c>
      <c r="O9824" t="s">
        <v>145</v>
      </c>
      <c r="V9824" s="18" t="s">
        <v>27157</v>
      </c>
      <c r="Y9824" t="s">
        <v>190</v>
      </c>
      <c r="AA9824" t="s">
        <v>118</v>
      </c>
      <c r="AB9824" t="s">
        <v>119</v>
      </c>
    </row>
    <row r="9825" ht="15" customHeight="1" spans="1:22" x14ac:dyDescent="0.25">
      <c r="A9825" s="17" t="s">
        <v>27158</v>
      </c>
      <c r="B9825" s="17" t="s">
        <v>70</v>
      </c>
      <c r="C9825" s="17" t="s">
        <v>71</v>
      </c>
      <c r="D9825" t="s">
        <v>27159</v>
      </c>
      <c r="F9825" t="s">
        <v>24672</v>
      </c>
      <c r="K9825" s="18">
        <f>6281313251975</f>
        <v>6281313251975</v>
      </c>
      <c r="N9825" s="17" t="s">
        <v>77</v>
      </c>
      <c r="V9825" s="18">
        <f>6281313251975</f>
        <v>6281313251975</v>
      </c>
    </row>
    <row r="9826" ht="15" customHeight="1" spans="1:22" x14ac:dyDescent="0.25">
      <c r="A9826" s="17" t="s">
        <v>27160</v>
      </c>
      <c r="B9826" s="17" t="s">
        <v>70</v>
      </c>
      <c r="C9826" s="17" t="s">
        <v>71</v>
      </c>
      <c r="D9826" t="s">
        <v>27161</v>
      </c>
      <c r="F9826" t="s">
        <v>27161</v>
      </c>
      <c r="K9826" s="18">
        <f>628111777692</f>
        <v>628111777692</v>
      </c>
      <c r="N9826" s="17" t="s">
        <v>81</v>
      </c>
      <c r="V9826" s="18">
        <f>628111777692</f>
        <v>628111777692</v>
      </c>
    </row>
    <row r="9827" ht="15" customHeight="1" spans="1:22" x14ac:dyDescent="0.25">
      <c r="A9827" s="17" t="s">
        <v>27162</v>
      </c>
      <c r="B9827" s="17" t="s">
        <v>70</v>
      </c>
      <c r="C9827" s="17" t="s">
        <v>71</v>
      </c>
      <c r="D9827" t="s">
        <v>27163</v>
      </c>
      <c r="F9827" t="s">
        <v>27164</v>
      </c>
      <c r="K9827" s="18">
        <f>6281514681710</f>
        <v>6281514681710</v>
      </c>
      <c r="N9827" s="17" t="s">
        <v>81</v>
      </c>
      <c r="V9827" s="18">
        <f>6281514681710</f>
        <v>6281514681710</v>
      </c>
    </row>
    <row r="9828" ht="15" customHeight="1" spans="1:23" x14ac:dyDescent="0.25">
      <c r="A9828" s="17" t="s">
        <v>27165</v>
      </c>
      <c r="B9828" s="17" t="s">
        <v>70</v>
      </c>
      <c r="C9828" s="17" t="s">
        <v>71</v>
      </c>
      <c r="D9828" t="s">
        <v>27163</v>
      </c>
      <c r="F9828" t="s">
        <v>27166</v>
      </c>
      <c r="K9828" s="18">
        <f>6282196760099</f>
        <v>6282196760099</v>
      </c>
      <c r="N9828" s="17" t="s">
        <v>77</v>
      </c>
      <c r="U9828" s="17"/>
      <c r="V9828" s="18">
        <f>6282196760099</f>
        <v>6282196760099</v>
      </c>
      <c r="W9828" t="s">
        <v>7143</v>
      </c>
    </row>
    <row r="9829" ht="15" customHeight="1" spans="1:28" x14ac:dyDescent="0.25">
      <c r="A9829" s="17" t="s">
        <v>27167</v>
      </c>
      <c r="B9829" s="17" t="s">
        <v>70</v>
      </c>
      <c r="C9829" s="17" t="s">
        <v>71</v>
      </c>
      <c r="D9829" t="s">
        <v>27163</v>
      </c>
      <c r="F9829" t="s">
        <v>13790</v>
      </c>
      <c r="J9829" s="17" t="s">
        <v>27168</v>
      </c>
      <c r="K9829" s="18" t="s">
        <v>27169</v>
      </c>
      <c r="N9829" s="17" t="s">
        <v>77</v>
      </c>
      <c r="O9829" t="s">
        <v>199</v>
      </c>
      <c r="V9829" s="18" t="s">
        <v>27169</v>
      </c>
      <c r="Y9829" t="s">
        <v>490</v>
      </c>
      <c r="AA9829" t="s">
        <v>115</v>
      </c>
      <c r="AB9829" t="s">
        <v>119</v>
      </c>
    </row>
    <row r="9830" ht="15" customHeight="1" spans="1:22" x14ac:dyDescent="0.25">
      <c r="A9830" s="17" t="s">
        <v>27170</v>
      </c>
      <c r="B9830" s="17" t="s">
        <v>70</v>
      </c>
      <c r="C9830" s="17" t="s">
        <v>71</v>
      </c>
      <c r="D9830" t="s">
        <v>27171</v>
      </c>
      <c r="F9830" t="s">
        <v>27171</v>
      </c>
      <c r="K9830" s="18">
        <f>6281297976747</f>
        <v>6281297976747</v>
      </c>
      <c r="N9830" s="17" t="s">
        <v>77</v>
      </c>
      <c r="V9830" s="18">
        <f>6281297976747</f>
        <v>6281297976747</v>
      </c>
    </row>
    <row r="9831" ht="15" customHeight="1" spans="1:23" x14ac:dyDescent="0.25">
      <c r="A9831" s="17" t="s">
        <v>27172</v>
      </c>
      <c r="B9831" s="17" t="s">
        <v>70</v>
      </c>
      <c r="C9831" s="17" t="s">
        <v>71</v>
      </c>
      <c r="D9831" t="s">
        <v>27171</v>
      </c>
      <c r="F9831" t="s">
        <v>3193</v>
      </c>
      <c r="K9831" s="18">
        <f>6282133217216</f>
        <v>6282133217216</v>
      </c>
      <c r="N9831" s="17" t="s">
        <v>81</v>
      </c>
      <c r="U9831" s="17"/>
      <c r="V9831" s="18">
        <f>6282133217216</f>
        <v>6282133217216</v>
      </c>
      <c r="W9831" t="s">
        <v>27173</v>
      </c>
    </row>
    <row r="9832" ht="15" customHeight="1" spans="1:22" x14ac:dyDescent="0.25">
      <c r="A9832" s="17" t="s">
        <v>27174</v>
      </c>
      <c r="B9832" s="17" t="s">
        <v>70</v>
      </c>
      <c r="C9832" s="17" t="s">
        <v>71</v>
      </c>
      <c r="D9832" t="s">
        <v>27171</v>
      </c>
      <c r="F9832" t="s">
        <v>7029</v>
      </c>
      <c r="K9832" s="18">
        <f>6281212121981</f>
        <v>6281212121981</v>
      </c>
      <c r="N9832" s="17" t="s">
        <v>81</v>
      </c>
      <c r="V9832" s="18">
        <f>6281212121981</f>
        <v>6281212121981</v>
      </c>
    </row>
    <row r="9833" ht="15" customHeight="1" spans="1:22" x14ac:dyDescent="0.25">
      <c r="A9833" s="17" t="s">
        <v>27175</v>
      </c>
      <c r="B9833" s="17" t="s">
        <v>70</v>
      </c>
      <c r="C9833" s="17" t="s">
        <v>71</v>
      </c>
      <c r="D9833" t="s">
        <v>20344</v>
      </c>
      <c r="F9833" t="s">
        <v>27176</v>
      </c>
      <c r="K9833" s="18">
        <f>62217512837</f>
        <v>62217512837</v>
      </c>
      <c r="N9833" s="17" t="s">
        <v>81</v>
      </c>
      <c r="V9833" s="18">
        <f>62217512837</f>
        <v>62217512837</v>
      </c>
    </row>
    <row r="9834" ht="15" customHeight="1" spans="1:22" x14ac:dyDescent="0.25">
      <c r="A9834" s="17" t="s">
        <v>27177</v>
      </c>
      <c r="B9834" s="17" t="s">
        <v>70</v>
      </c>
      <c r="C9834" s="17" t="s">
        <v>71</v>
      </c>
      <c r="D9834" t="s">
        <v>27178</v>
      </c>
      <c r="F9834" t="s">
        <v>27178</v>
      </c>
      <c r="K9834" s="18">
        <f>6281282523501</f>
        <v>6281282523501</v>
      </c>
      <c r="N9834" s="17" t="s">
        <v>81</v>
      </c>
      <c r="V9834" s="18">
        <f>6281282523501</f>
        <v>6281282523501</v>
      </c>
    </row>
    <row r="9835" ht="15" customHeight="1" spans="1:27" x14ac:dyDescent="0.25">
      <c r="A9835" s="17" t="s">
        <v>27179</v>
      </c>
      <c r="B9835" s="17" t="s">
        <v>70</v>
      </c>
      <c r="C9835" s="17" t="s">
        <v>71</v>
      </c>
      <c r="D9835" t="s">
        <v>27178</v>
      </c>
      <c r="F9835" t="s">
        <v>205</v>
      </c>
      <c r="K9835" s="18">
        <f>628112000388</f>
        <v>628112000388</v>
      </c>
      <c r="N9835" s="17" t="s">
        <v>77</v>
      </c>
      <c r="U9835" s="17"/>
      <c r="V9835" s="18">
        <f>628112000388</f>
        <v>628112000388</v>
      </c>
      <c r="W9835" t="s">
        <v>27180</v>
      </c>
      <c r="AA9835" s="17">
        <v>40559</v>
      </c>
    </row>
    <row r="9836" ht="15" customHeight="1" spans="1:23" x14ac:dyDescent="0.25">
      <c r="A9836" s="17" t="s">
        <v>27181</v>
      </c>
      <c r="B9836" s="17" t="s">
        <v>70</v>
      </c>
      <c r="C9836" s="17" t="s">
        <v>71</v>
      </c>
      <c r="D9836" t="s">
        <v>27178</v>
      </c>
      <c r="F9836" t="s">
        <v>17609</v>
      </c>
      <c r="K9836" s="18">
        <f>6281389668817</f>
        <v>6281389668817</v>
      </c>
      <c r="N9836" s="17" t="s">
        <v>77</v>
      </c>
      <c r="U9836" s="17"/>
      <c r="V9836" s="18">
        <f>6281389668817</f>
        <v>6281389668817</v>
      </c>
      <c r="W9836" t="s">
        <v>90</v>
      </c>
    </row>
    <row r="9837" ht="15" customHeight="1" spans="1:22" x14ac:dyDescent="0.25">
      <c r="A9837" s="17" t="s">
        <v>27182</v>
      </c>
      <c r="B9837" s="17" t="s">
        <v>70</v>
      </c>
      <c r="C9837" s="17" t="s">
        <v>71</v>
      </c>
      <c r="D9837" t="s">
        <v>27183</v>
      </c>
      <c r="F9837" t="s">
        <v>9422</v>
      </c>
      <c r="K9837" s="18">
        <f>628128948284</f>
        <v>628128948284</v>
      </c>
      <c r="N9837" s="17" t="s">
        <v>81</v>
      </c>
      <c r="V9837" s="18">
        <f>628128948284</f>
        <v>628128948284</v>
      </c>
    </row>
    <row r="9838" ht="15" customHeight="1" spans="1:28" x14ac:dyDescent="0.25">
      <c r="A9838" s="17" t="s">
        <v>27184</v>
      </c>
      <c r="B9838" s="17" t="s">
        <v>70</v>
      </c>
      <c r="C9838" s="17" t="s">
        <v>71</v>
      </c>
      <c r="D9838" t="s">
        <v>27185</v>
      </c>
      <c r="F9838" t="s">
        <v>27185</v>
      </c>
      <c r="J9838" t="s">
        <v>115</v>
      </c>
      <c r="K9838" s="18" t="s">
        <v>27186</v>
      </c>
      <c r="N9838" s="17" t="s">
        <v>81</v>
      </c>
      <c r="O9838" t="s">
        <v>117</v>
      </c>
      <c r="V9838" s="18" t="s">
        <v>27186</v>
      </c>
      <c r="Y9838" t="s">
        <v>90</v>
      </c>
      <c r="AA9838" t="s">
        <v>118</v>
      </c>
      <c r="AB9838" t="s">
        <v>119</v>
      </c>
    </row>
    <row r="9839" ht="15" customHeight="1" spans="1:22" x14ac:dyDescent="0.25">
      <c r="A9839" s="17" t="s">
        <v>27187</v>
      </c>
      <c r="B9839" s="17" t="s">
        <v>70</v>
      </c>
      <c r="C9839" s="17" t="s">
        <v>71</v>
      </c>
      <c r="D9839" t="s">
        <v>20330</v>
      </c>
      <c r="F9839" t="s">
        <v>20330</v>
      </c>
      <c r="K9839" s="18">
        <f>6281901011333</f>
        <v>6281901011333</v>
      </c>
      <c r="N9839" s="17" t="s">
        <v>81</v>
      </c>
      <c r="V9839" s="18">
        <f>6281901011333</f>
        <v>6281901011333</v>
      </c>
    </row>
    <row r="9840" ht="15" customHeight="1" spans="1:25" x14ac:dyDescent="0.25">
      <c r="A9840" s="17" t="s">
        <v>27188</v>
      </c>
      <c r="B9840" s="17" t="s">
        <v>70</v>
      </c>
      <c r="C9840" s="17" t="s">
        <v>71</v>
      </c>
      <c r="D9840" t="s">
        <v>20330</v>
      </c>
      <c r="F9840" t="s">
        <v>11889</v>
      </c>
      <c r="K9840" s="18">
        <f>628161959998</f>
        <v>628161959998</v>
      </c>
      <c r="N9840" s="17" t="s">
        <v>81</v>
      </c>
      <c r="U9840" s="17"/>
      <c r="V9840" s="18">
        <f>628161959998</f>
        <v>628161959998</v>
      </c>
      <c r="W9840" t="s">
        <v>27189</v>
      </c>
      <c r="Y9840" s="17" t="s">
        <v>217</v>
      </c>
    </row>
    <row r="9841" ht="15" customHeight="1" spans="1:25" x14ac:dyDescent="0.25">
      <c r="A9841" s="17" t="s">
        <v>27190</v>
      </c>
      <c r="B9841" s="17" t="s">
        <v>70</v>
      </c>
      <c r="C9841" s="17" t="s">
        <v>71</v>
      </c>
      <c r="D9841" t="s">
        <v>20330</v>
      </c>
      <c r="F9841" t="s">
        <v>4918</v>
      </c>
      <c r="J9841" s="17" t="s">
        <v>27191</v>
      </c>
      <c r="K9841" s="18">
        <f>628161440900</f>
        <v>628161440900</v>
      </c>
      <c r="N9841" s="17" t="s">
        <v>77</v>
      </c>
      <c r="U9841" s="17"/>
      <c r="V9841" s="18">
        <f>628161440900</f>
        <v>628161440900</v>
      </c>
      <c r="W9841" t="s">
        <v>27192</v>
      </c>
      <c r="Y9841" s="17" t="s">
        <v>1084</v>
      </c>
    </row>
    <row r="9842" ht="15" customHeight="1" spans="1:22" x14ac:dyDescent="0.25">
      <c r="A9842" s="17" t="s">
        <v>27193</v>
      </c>
      <c r="B9842" s="17" t="s">
        <v>70</v>
      </c>
      <c r="C9842" s="17" t="s">
        <v>71</v>
      </c>
      <c r="D9842" t="s">
        <v>27194</v>
      </c>
      <c r="F9842" t="s">
        <v>27194</v>
      </c>
      <c r="K9842" s="18">
        <f>6289658508058</f>
        <v>6289658508058</v>
      </c>
      <c r="N9842" s="17" t="s">
        <v>77</v>
      </c>
      <c r="V9842" s="18">
        <f>6289658508058</f>
        <v>6289658508058</v>
      </c>
    </row>
    <row r="9843" ht="15" customHeight="1" spans="1:23" x14ac:dyDescent="0.25">
      <c r="A9843" s="17" t="s">
        <v>27195</v>
      </c>
      <c r="B9843" s="17" t="s">
        <v>70</v>
      </c>
      <c r="C9843" s="17" t="s">
        <v>71</v>
      </c>
      <c r="D9843" t="s">
        <v>27194</v>
      </c>
      <c r="F9843" t="s">
        <v>150</v>
      </c>
      <c r="J9843" s="17" t="s">
        <v>27196</v>
      </c>
      <c r="K9843" s="18">
        <f>628123029100</f>
        <v>628123029100</v>
      </c>
      <c r="N9843" s="17" t="s">
        <v>81</v>
      </c>
      <c r="U9843" s="17"/>
      <c r="V9843" s="18">
        <f>628123029100</f>
        <v>628123029100</v>
      </c>
      <c r="W9843" t="s">
        <v>27197</v>
      </c>
    </row>
    <row r="9844" ht="15" customHeight="1" spans="1:23" x14ac:dyDescent="0.25">
      <c r="A9844" s="17" t="s">
        <v>27198</v>
      </c>
      <c r="B9844" s="17" t="s">
        <v>70</v>
      </c>
      <c r="C9844" s="17" t="s">
        <v>71</v>
      </c>
      <c r="D9844" t="s">
        <v>27194</v>
      </c>
      <c r="F9844" t="s">
        <v>1337</v>
      </c>
      <c r="K9844" s="18">
        <f>62817707870</f>
        <v>62817707870</v>
      </c>
      <c r="N9844" s="17" t="s">
        <v>77</v>
      </c>
      <c r="U9844" s="17"/>
      <c r="V9844" s="18">
        <f>62817707870</f>
        <v>62817707870</v>
      </c>
      <c r="W9844" t="s">
        <v>27199</v>
      </c>
    </row>
    <row r="9845" ht="15" customHeight="1" spans="1:22" x14ac:dyDescent="0.25">
      <c r="A9845" s="17" t="s">
        <v>27200</v>
      </c>
      <c r="B9845" s="17" t="s">
        <v>70</v>
      </c>
      <c r="C9845" s="17" t="s">
        <v>71</v>
      </c>
      <c r="D9845" t="s">
        <v>27194</v>
      </c>
      <c r="F9845" t="s">
        <v>1790</v>
      </c>
      <c r="K9845" s="18">
        <f>62217269135</f>
        <v>62217269135</v>
      </c>
      <c r="N9845" s="17" t="s">
        <v>81</v>
      </c>
      <c r="V9845" s="18">
        <f>62217269135</f>
        <v>62217269135</v>
      </c>
    </row>
    <row r="9846" ht="15" customHeight="1" spans="1:23" x14ac:dyDescent="0.25">
      <c r="A9846" s="17" t="s">
        <v>27201</v>
      </c>
      <c r="B9846" s="17" t="s">
        <v>70</v>
      </c>
      <c r="C9846" s="17" t="s">
        <v>71</v>
      </c>
      <c r="D9846" t="s">
        <v>27194</v>
      </c>
      <c r="F9846" t="s">
        <v>558</v>
      </c>
      <c r="K9846" s="18">
        <f>628164800884</f>
        <v>628164800884</v>
      </c>
      <c r="N9846" s="17" t="s">
        <v>77</v>
      </c>
      <c r="U9846" s="17"/>
      <c r="V9846" s="18">
        <f>628164800884</f>
        <v>628164800884</v>
      </c>
      <c r="W9846" t="s">
        <v>27202</v>
      </c>
    </row>
    <row r="9847" ht="15" customHeight="1" spans="1:25" x14ac:dyDescent="0.25">
      <c r="A9847" s="17" t="s">
        <v>27203</v>
      </c>
      <c r="B9847" s="17" t="s">
        <v>70</v>
      </c>
      <c r="C9847" s="17" t="s">
        <v>71</v>
      </c>
      <c r="D9847" t="s">
        <v>27204</v>
      </c>
      <c r="F9847" t="s">
        <v>5826</v>
      </c>
      <c r="K9847" s="18">
        <f>6281322438888</f>
        <v>6281322438888</v>
      </c>
      <c r="N9847" s="17" t="s">
        <v>77</v>
      </c>
      <c r="U9847" s="17"/>
      <c r="V9847" s="18">
        <f>6281322438888</f>
        <v>6281322438888</v>
      </c>
      <c r="W9847" t="s">
        <v>27205</v>
      </c>
      <c r="Y9847" s="17" t="s">
        <v>500</v>
      </c>
    </row>
    <row r="9848" ht="15" customHeight="1" spans="1:28" x14ac:dyDescent="0.25">
      <c r="A9848" s="17" t="s">
        <v>27206</v>
      </c>
      <c r="B9848" s="17" t="s">
        <v>70</v>
      </c>
      <c r="C9848" s="17" t="s">
        <v>71</v>
      </c>
      <c r="D9848" t="s">
        <v>20330</v>
      </c>
      <c r="F9848" t="s">
        <v>2258</v>
      </c>
      <c r="J9848" t="s">
        <v>115</v>
      </c>
      <c r="K9848" s="18" t="s">
        <v>27207</v>
      </c>
      <c r="N9848" s="17" t="s">
        <v>81</v>
      </c>
      <c r="O9848" t="s">
        <v>117</v>
      </c>
      <c r="V9848" s="18" t="s">
        <v>27207</v>
      </c>
      <c r="Y9848" t="s">
        <v>90</v>
      </c>
      <c r="AA9848" t="s">
        <v>118</v>
      </c>
      <c r="AB9848" t="s">
        <v>119</v>
      </c>
    </row>
    <row r="9849" ht="15" customHeight="1" spans="1:28" x14ac:dyDescent="0.25">
      <c r="A9849" s="17" t="s">
        <v>27208</v>
      </c>
      <c r="B9849" s="17" t="s">
        <v>70</v>
      </c>
      <c r="C9849" s="17" t="s">
        <v>71</v>
      </c>
      <c r="D9849" t="s">
        <v>27209</v>
      </c>
      <c r="F9849" t="s">
        <v>150</v>
      </c>
      <c r="J9849" t="s">
        <v>115</v>
      </c>
      <c r="K9849" s="18" t="s">
        <v>27210</v>
      </c>
      <c r="N9849" s="17" t="s">
        <v>77</v>
      </c>
      <c r="O9849" t="s">
        <v>145</v>
      </c>
      <c r="V9849" s="18" t="s">
        <v>27210</v>
      </c>
      <c r="Y9849" t="s">
        <v>190</v>
      </c>
      <c r="AA9849" t="s">
        <v>118</v>
      </c>
      <c r="AB9849" t="s">
        <v>119</v>
      </c>
    </row>
    <row r="9850" ht="15" customHeight="1" spans="1:22" x14ac:dyDescent="0.25">
      <c r="A9850" s="17" t="s">
        <v>27211</v>
      </c>
      <c r="B9850" s="17" t="s">
        <v>70</v>
      </c>
      <c r="C9850" s="17" t="s">
        <v>71</v>
      </c>
      <c r="D9850" t="s">
        <v>14928</v>
      </c>
      <c r="F9850" t="s">
        <v>14928</v>
      </c>
      <c r="K9850" s="18">
        <f>6285920010025</f>
        <v>6285920010025</v>
      </c>
      <c r="N9850" s="17" t="s">
        <v>81</v>
      </c>
      <c r="V9850" s="18">
        <f>6285920010025</f>
        <v>6285920010025</v>
      </c>
    </row>
    <row r="9851" ht="15" customHeight="1" spans="1:22" x14ac:dyDescent="0.25">
      <c r="A9851" s="17" t="s">
        <v>27212</v>
      </c>
      <c r="B9851" s="17" t="s">
        <v>70</v>
      </c>
      <c r="C9851" s="17" t="s">
        <v>71</v>
      </c>
      <c r="D9851" t="s">
        <v>14928</v>
      </c>
      <c r="F9851" t="s">
        <v>13104</v>
      </c>
      <c r="K9851" s="18">
        <f>6282119773000</f>
        <v>6282119773000</v>
      </c>
      <c r="N9851" s="17" t="s">
        <v>81</v>
      </c>
      <c r="V9851" s="18">
        <f>6282119773000</f>
        <v>6282119773000</v>
      </c>
    </row>
    <row r="9852" ht="15" customHeight="1" spans="1:22" x14ac:dyDescent="0.25">
      <c r="A9852" s="17" t="s">
        <v>27213</v>
      </c>
      <c r="B9852" s="17" t="s">
        <v>70</v>
      </c>
      <c r="C9852" s="17" t="s">
        <v>71</v>
      </c>
      <c r="D9852" t="s">
        <v>22969</v>
      </c>
      <c r="F9852" t="s">
        <v>22969</v>
      </c>
      <c r="K9852" s="18">
        <f>62817733077</f>
        <v>62817733077</v>
      </c>
      <c r="N9852" s="17" t="s">
        <v>81</v>
      </c>
      <c r="V9852" s="18">
        <f>62817733077</f>
        <v>62817733077</v>
      </c>
    </row>
    <row r="9853" ht="15" customHeight="1" spans="1:22" x14ac:dyDescent="0.25">
      <c r="A9853" s="17" t="s">
        <v>27214</v>
      </c>
      <c r="B9853" s="17" t="s">
        <v>70</v>
      </c>
      <c r="C9853" s="17" t="s">
        <v>71</v>
      </c>
      <c r="D9853" t="s">
        <v>22969</v>
      </c>
      <c r="F9853" t="s">
        <v>22969</v>
      </c>
      <c r="K9853" s="18">
        <f>62811104455</f>
        <v>62811104455</v>
      </c>
      <c r="N9853" s="17" t="s">
        <v>81</v>
      </c>
      <c r="V9853" s="18">
        <f>62811104455</f>
        <v>62811104455</v>
      </c>
    </row>
    <row r="9854" ht="15" customHeight="1" spans="1:22" x14ac:dyDescent="0.25">
      <c r="A9854" s="17" t="s">
        <v>27215</v>
      </c>
      <c r="B9854" s="17" t="s">
        <v>70</v>
      </c>
      <c r="C9854" s="17" t="s">
        <v>71</v>
      </c>
      <c r="D9854" t="s">
        <v>26243</v>
      </c>
      <c r="F9854" t="s">
        <v>26243</v>
      </c>
      <c r="K9854" s="18">
        <f>6281335108225</f>
        <v>6281335108225</v>
      </c>
      <c r="N9854" s="17" t="s">
        <v>77</v>
      </c>
      <c r="V9854" s="18">
        <f>6281335108225</f>
        <v>6281335108225</v>
      </c>
    </row>
    <row r="9855" ht="15" customHeight="1" spans="1:23" x14ac:dyDescent="0.25">
      <c r="A9855" s="17" t="s">
        <v>27216</v>
      </c>
      <c r="B9855" s="17" t="s">
        <v>70</v>
      </c>
      <c r="C9855" s="17" t="s">
        <v>71</v>
      </c>
      <c r="D9855" t="s">
        <v>26243</v>
      </c>
      <c r="F9855" t="s">
        <v>1064</v>
      </c>
      <c r="K9855" s="18">
        <f>6281931733644</f>
        <v>6281931733644</v>
      </c>
      <c r="N9855" s="17" t="s">
        <v>77</v>
      </c>
      <c r="U9855" s="17"/>
      <c r="V9855" s="18">
        <f>6281931733644</f>
        <v>6281931733644</v>
      </c>
      <c r="W9855" t="s">
        <v>27217</v>
      </c>
    </row>
    <row r="9856" ht="15" customHeight="1" spans="1:28" x14ac:dyDescent="0.25">
      <c r="A9856" s="17" t="s">
        <v>27218</v>
      </c>
      <c r="B9856" s="17" t="s">
        <v>70</v>
      </c>
      <c r="C9856" s="17" t="s">
        <v>71</v>
      </c>
      <c r="D9856" t="s">
        <v>26243</v>
      </c>
      <c r="F9856" t="s">
        <v>26243</v>
      </c>
      <c r="J9856" s="17" t="s">
        <v>27219</v>
      </c>
      <c r="K9856" s="18" t="s">
        <v>27220</v>
      </c>
      <c r="N9856" s="17" t="s">
        <v>77</v>
      </c>
      <c r="O9856" t="s">
        <v>199</v>
      </c>
      <c r="U9856" s="17"/>
      <c r="V9856" s="18" t="s">
        <v>27220</v>
      </c>
      <c r="W9856" t="s">
        <v>27221</v>
      </c>
      <c r="Y9856" s="17" t="s">
        <v>90</v>
      </c>
      <c r="AA9856" t="s">
        <v>118</v>
      </c>
      <c r="AB9856" t="s">
        <v>119</v>
      </c>
    </row>
    <row r="9857" ht="15" customHeight="1" spans="1:22" x14ac:dyDescent="0.25">
      <c r="A9857" s="17" t="s">
        <v>27222</v>
      </c>
      <c r="B9857" s="17" t="s">
        <v>70</v>
      </c>
      <c r="C9857" s="17" t="s">
        <v>71</v>
      </c>
      <c r="D9857" t="s">
        <v>26243</v>
      </c>
      <c r="F9857" t="s">
        <v>4980</v>
      </c>
      <c r="K9857" s="18">
        <f>13478824343</f>
        <v>13478824343</v>
      </c>
      <c r="N9857" s="17" t="s">
        <v>77</v>
      </c>
      <c r="V9857" s="18">
        <f>13478824343</f>
        <v>13478824343</v>
      </c>
    </row>
    <row r="9858" ht="15" customHeight="1" spans="1:28" x14ac:dyDescent="0.25">
      <c r="A9858" s="17" t="s">
        <v>27223</v>
      </c>
      <c r="B9858" s="17" t="s">
        <v>70</v>
      </c>
      <c r="C9858" s="17" t="s">
        <v>71</v>
      </c>
      <c r="D9858" t="s">
        <v>26243</v>
      </c>
      <c r="F9858" t="s">
        <v>27224</v>
      </c>
      <c r="J9858" s="17" t="s">
        <v>27225</v>
      </c>
      <c r="K9858" s="18" t="s">
        <v>27226</v>
      </c>
      <c r="N9858" s="17" t="s">
        <v>77</v>
      </c>
      <c r="O9858" t="s">
        <v>117</v>
      </c>
      <c r="U9858" s="17"/>
      <c r="V9858" s="18" t="s">
        <v>27226</v>
      </c>
      <c r="W9858" t="s">
        <v>704</v>
      </c>
      <c r="Y9858" t="s">
        <v>704</v>
      </c>
      <c r="AA9858" t="s">
        <v>705</v>
      </c>
      <c r="AB9858" t="s">
        <v>119</v>
      </c>
    </row>
    <row r="9859" ht="15" customHeight="1" spans="1:28" x14ac:dyDescent="0.25">
      <c r="A9859" s="17" t="s">
        <v>27227</v>
      </c>
      <c r="B9859" s="17" t="s">
        <v>70</v>
      </c>
      <c r="C9859" s="17" t="s">
        <v>71</v>
      </c>
      <c r="D9859" t="s">
        <v>26243</v>
      </c>
      <c r="F9859" t="s">
        <v>27228</v>
      </c>
      <c r="J9859" s="17" t="s">
        <v>27229</v>
      </c>
      <c r="K9859" s="18" t="s">
        <v>27230</v>
      </c>
      <c r="N9859" s="17" t="s">
        <v>77</v>
      </c>
      <c r="O9859" t="s">
        <v>1188</v>
      </c>
      <c r="U9859" s="17"/>
      <c r="V9859" s="18" t="s">
        <v>27230</v>
      </c>
      <c r="W9859" t="s">
        <v>27231</v>
      </c>
      <c r="Y9859" s="17" t="s">
        <v>3048</v>
      </c>
      <c r="AA9859" t="s">
        <v>115</v>
      </c>
      <c r="AB9859" t="s">
        <v>119</v>
      </c>
    </row>
    <row r="9860" ht="15" customHeight="1" spans="1:25" x14ac:dyDescent="0.25">
      <c r="A9860" s="17" t="s">
        <v>27232</v>
      </c>
      <c r="B9860" s="17" t="s">
        <v>70</v>
      </c>
      <c r="C9860" s="17" t="s">
        <v>71</v>
      </c>
      <c r="D9860" t="s">
        <v>2212</v>
      </c>
      <c r="F9860" t="s">
        <v>1205</v>
      </c>
      <c r="K9860" s="18">
        <f>6281272189168</f>
        <v>6281272189168</v>
      </c>
      <c r="N9860" s="17" t="s">
        <v>77</v>
      </c>
      <c r="U9860" s="17"/>
      <c r="V9860" s="18">
        <f>6281272189168</f>
        <v>6281272189168</v>
      </c>
      <c r="W9860" t="s">
        <v>27233</v>
      </c>
      <c r="Y9860" s="17" t="s">
        <v>90</v>
      </c>
    </row>
    <row r="9861" ht="15" customHeight="1" spans="1:22" x14ac:dyDescent="0.25">
      <c r="A9861" s="17" t="s">
        <v>27234</v>
      </c>
      <c r="B9861" s="17" t="s">
        <v>70</v>
      </c>
      <c r="C9861" s="17" t="s">
        <v>71</v>
      </c>
      <c r="D9861" t="s">
        <v>2212</v>
      </c>
      <c r="F9861" t="s">
        <v>27235</v>
      </c>
      <c r="K9861" s="18">
        <f>6281233318691</f>
        <v>6281233318691</v>
      </c>
      <c r="N9861" s="17" t="s">
        <v>81</v>
      </c>
      <c r="V9861" s="18">
        <f>6281233318691</f>
        <v>6281233318691</v>
      </c>
    </row>
    <row r="9862" ht="15" customHeight="1" spans="1:25" x14ac:dyDescent="0.25">
      <c r="A9862" s="17" t="s">
        <v>27236</v>
      </c>
      <c r="B9862" s="17" t="s">
        <v>70</v>
      </c>
      <c r="C9862" s="17" t="s">
        <v>71</v>
      </c>
      <c r="D9862" t="s">
        <v>2212</v>
      </c>
      <c r="F9862" t="s">
        <v>27237</v>
      </c>
      <c r="K9862" s="18">
        <f>6281347930317</f>
        <v>6281347930317</v>
      </c>
      <c r="N9862" s="17" t="s">
        <v>81</v>
      </c>
      <c r="U9862" s="17"/>
      <c r="V9862" s="18">
        <f>6281347930317</f>
        <v>6281347930317</v>
      </c>
      <c r="W9862" t="s">
        <v>27238</v>
      </c>
      <c r="Y9862" s="17" t="s">
        <v>3195</v>
      </c>
    </row>
    <row r="9863" ht="15" customHeight="1" spans="1:28" x14ac:dyDescent="0.25">
      <c r="A9863" s="17" t="s">
        <v>27239</v>
      </c>
      <c r="B9863" s="17" t="s">
        <v>70</v>
      </c>
      <c r="C9863" s="17" t="s">
        <v>71</v>
      </c>
      <c r="D9863" t="s">
        <v>2212</v>
      </c>
      <c r="F9863" t="s">
        <v>27240</v>
      </c>
      <c r="J9863" t="s">
        <v>115</v>
      </c>
      <c r="K9863" s="18" t="s">
        <v>27241</v>
      </c>
      <c r="N9863" s="17" t="s">
        <v>77</v>
      </c>
      <c r="O9863" t="s">
        <v>199</v>
      </c>
      <c r="V9863" s="18" t="s">
        <v>27241</v>
      </c>
      <c r="Y9863" s="17" t="s">
        <v>90</v>
      </c>
      <c r="AA9863" t="s">
        <v>118</v>
      </c>
      <c r="AB9863" t="s">
        <v>119</v>
      </c>
    </row>
    <row r="9864" ht="15" customHeight="1" spans="1:22" x14ac:dyDescent="0.25">
      <c r="A9864" s="17" t="s">
        <v>27242</v>
      </c>
      <c r="B9864" s="17" t="s">
        <v>70</v>
      </c>
      <c r="C9864" s="17" t="s">
        <v>71</v>
      </c>
      <c r="D9864" t="s">
        <v>2212</v>
      </c>
      <c r="F9864" t="s">
        <v>2730</v>
      </c>
      <c r="K9864" s="18">
        <f>62816888201</f>
        <v>62816888201</v>
      </c>
      <c r="N9864" s="17" t="s">
        <v>77</v>
      </c>
      <c r="V9864" s="18">
        <f>62816888201</f>
        <v>62816888201</v>
      </c>
    </row>
    <row r="9865" ht="15" customHeight="1" spans="1:28" x14ac:dyDescent="0.25">
      <c r="A9865" s="17" t="s">
        <v>27243</v>
      </c>
      <c r="B9865" s="17" t="s">
        <v>70</v>
      </c>
      <c r="C9865" s="17" t="s">
        <v>71</v>
      </c>
      <c r="D9865" t="s">
        <v>2212</v>
      </c>
      <c r="F9865" t="s">
        <v>10204</v>
      </c>
      <c r="J9865" t="s">
        <v>115</v>
      </c>
      <c r="K9865" s="18" t="s">
        <v>27244</v>
      </c>
      <c r="N9865" s="17" t="s">
        <v>81</v>
      </c>
      <c r="O9865" t="s">
        <v>117</v>
      </c>
      <c r="V9865" s="18" t="s">
        <v>27244</v>
      </c>
      <c r="Y9865" t="s">
        <v>90</v>
      </c>
      <c r="AA9865" t="s">
        <v>118</v>
      </c>
      <c r="AB9865" t="s">
        <v>119</v>
      </c>
    </row>
    <row r="9866" ht="15" customHeight="1" spans="1:27" x14ac:dyDescent="0.25">
      <c r="A9866" s="17" t="s">
        <v>27245</v>
      </c>
      <c r="B9866" s="17" t="s">
        <v>70</v>
      </c>
      <c r="C9866" s="17" t="s">
        <v>71</v>
      </c>
      <c r="D9866" t="s">
        <v>2212</v>
      </c>
      <c r="F9866" t="s">
        <v>2730</v>
      </c>
      <c r="J9866" s="17" t="s">
        <v>27246</v>
      </c>
      <c r="K9866" s="18">
        <f>628119110502</f>
        <v>628119110502</v>
      </c>
      <c r="N9866" s="17" t="s">
        <v>77</v>
      </c>
      <c r="U9866" s="17"/>
      <c r="V9866" s="18">
        <f>628119110502</f>
        <v>628119110502</v>
      </c>
      <c r="W9866" t="s">
        <v>27247</v>
      </c>
      <c r="AA9866" s="17">
        <v>16514</v>
      </c>
    </row>
    <row r="9867" ht="15" customHeight="1" spans="1:22" x14ac:dyDescent="0.25">
      <c r="A9867" s="17" t="s">
        <v>27248</v>
      </c>
      <c r="B9867" s="17" t="s">
        <v>70</v>
      </c>
      <c r="C9867" s="17" t="s">
        <v>71</v>
      </c>
      <c r="D9867" t="s">
        <v>27249</v>
      </c>
      <c r="F9867" t="s">
        <v>27249</v>
      </c>
      <c r="K9867" s="18">
        <f>6282120283282</f>
        <v>6282120283282</v>
      </c>
      <c r="N9867" s="17" t="s">
        <v>77</v>
      </c>
      <c r="V9867" s="18">
        <f>6282120283282</f>
        <v>6282120283282</v>
      </c>
    </row>
    <row r="9868" ht="15" customHeight="1" spans="1:28" x14ac:dyDescent="0.25">
      <c r="A9868" s="17" t="s">
        <v>27250</v>
      </c>
      <c r="B9868" s="17" t="s">
        <v>70</v>
      </c>
      <c r="C9868" s="17" t="s">
        <v>71</v>
      </c>
      <c r="D9868" t="s">
        <v>27251</v>
      </c>
      <c r="F9868" t="s">
        <v>27252</v>
      </c>
      <c r="J9868" s="17" t="s">
        <v>27253</v>
      </c>
      <c r="K9868" s="18" t="s">
        <v>27254</v>
      </c>
      <c r="N9868" s="17" t="s">
        <v>77</v>
      </c>
      <c r="O9868" t="s">
        <v>199</v>
      </c>
      <c r="V9868" s="18" t="s">
        <v>27254</v>
      </c>
      <c r="Y9868" t="s">
        <v>490</v>
      </c>
      <c r="AA9868" t="s">
        <v>115</v>
      </c>
      <c r="AB9868" t="s">
        <v>119</v>
      </c>
    </row>
    <row r="9869" ht="15" customHeight="1" spans="1:22" x14ac:dyDescent="0.25">
      <c r="A9869" s="17" t="s">
        <v>27255</v>
      </c>
      <c r="B9869" s="17" t="s">
        <v>70</v>
      </c>
      <c r="C9869" s="17" t="s">
        <v>71</v>
      </c>
      <c r="D9869" t="s">
        <v>27256</v>
      </c>
      <c r="F9869" t="s">
        <v>27256</v>
      </c>
      <c r="K9869" s="18">
        <f>628127120238</f>
        <v>628127120238</v>
      </c>
      <c r="N9869" s="17" t="s">
        <v>77</v>
      </c>
      <c r="V9869" s="18">
        <f>628127120238</f>
        <v>628127120238</v>
      </c>
    </row>
    <row r="9870" ht="15" customHeight="1" spans="1:25" x14ac:dyDescent="0.25">
      <c r="A9870" s="17" t="s">
        <v>27257</v>
      </c>
      <c r="B9870" s="17" t="s">
        <v>70</v>
      </c>
      <c r="C9870" s="17" t="s">
        <v>71</v>
      </c>
      <c r="D9870" t="s">
        <v>27258</v>
      </c>
      <c r="F9870" t="s">
        <v>27259</v>
      </c>
      <c r="K9870" s="18">
        <f>6281534633863</f>
        <v>6281534633863</v>
      </c>
      <c r="N9870" s="17" t="s">
        <v>77</v>
      </c>
      <c r="U9870" s="17"/>
      <c r="V9870" s="18">
        <f>6281534633863</f>
        <v>6281534633863</v>
      </c>
      <c r="W9870" t="s">
        <v>27260</v>
      </c>
      <c r="Y9870" s="17" t="s">
        <v>1157</v>
      </c>
    </row>
    <row r="9871" ht="15" customHeight="1" spans="1:22" x14ac:dyDescent="0.25">
      <c r="A9871" s="17" t="s">
        <v>27261</v>
      </c>
      <c r="B9871" s="17" t="s">
        <v>70</v>
      </c>
      <c r="C9871" s="17" t="s">
        <v>71</v>
      </c>
      <c r="D9871" t="s">
        <v>27262</v>
      </c>
      <c r="F9871" t="s">
        <v>27262</v>
      </c>
      <c r="K9871" s="18">
        <f>62628128131657</f>
        <v>62628128131657</v>
      </c>
      <c r="N9871" s="17" t="s">
        <v>77</v>
      </c>
      <c r="V9871" s="18">
        <f>62628128131657</f>
        <v>62628128131657</v>
      </c>
    </row>
    <row r="9872" ht="15" customHeight="1" spans="1:22" x14ac:dyDescent="0.25">
      <c r="A9872" s="17" t="s">
        <v>27263</v>
      </c>
      <c r="B9872" s="17" t="s">
        <v>70</v>
      </c>
      <c r="C9872" s="17" t="s">
        <v>71</v>
      </c>
      <c r="D9872" t="s">
        <v>27264</v>
      </c>
      <c r="F9872" t="s">
        <v>11058</v>
      </c>
      <c r="K9872" s="18">
        <f>6281289891970</f>
        <v>6281289891970</v>
      </c>
      <c r="N9872" s="17" t="s">
        <v>81</v>
      </c>
      <c r="V9872" s="18">
        <f>6281289891970</f>
        <v>6281289891970</v>
      </c>
    </row>
    <row r="9873" ht="15" customHeight="1" spans="1:28" x14ac:dyDescent="0.25">
      <c r="A9873" s="17" t="s">
        <v>27265</v>
      </c>
      <c r="B9873" s="17" t="s">
        <v>70</v>
      </c>
      <c r="C9873" s="17" t="s">
        <v>71</v>
      </c>
      <c r="D9873" t="s">
        <v>27266</v>
      </c>
      <c r="F9873" t="s">
        <v>19815</v>
      </c>
      <c r="J9873" t="s">
        <v>115</v>
      </c>
      <c r="K9873" s="18" t="s">
        <v>27267</v>
      </c>
      <c r="N9873" s="17" t="s">
        <v>74</v>
      </c>
      <c r="O9873" t="s">
        <v>117</v>
      </c>
      <c r="V9873" s="18" t="s">
        <v>27267</v>
      </c>
      <c r="Y9873" t="s">
        <v>90</v>
      </c>
      <c r="AA9873" t="s">
        <v>118</v>
      </c>
      <c r="AB9873" t="s">
        <v>119</v>
      </c>
    </row>
    <row r="9874" ht="15" customHeight="1" spans="1:22" x14ac:dyDescent="0.25">
      <c r="A9874" s="17" t="s">
        <v>27268</v>
      </c>
      <c r="B9874" s="17" t="s">
        <v>70</v>
      </c>
      <c r="C9874" s="17" t="s">
        <v>71</v>
      </c>
      <c r="D9874" t="s">
        <v>27269</v>
      </c>
      <c r="F9874" t="s">
        <v>27269</v>
      </c>
      <c r="K9874" s="18">
        <f>6281319291708</f>
        <v>6281319291708</v>
      </c>
      <c r="N9874" s="17" t="s">
        <v>81</v>
      </c>
      <c r="V9874" s="18">
        <f>6281319291708</f>
        <v>6281319291708</v>
      </c>
    </row>
    <row r="9875" ht="15" customHeight="1" spans="1:28" x14ac:dyDescent="0.25">
      <c r="A9875" s="17" t="s">
        <v>27270</v>
      </c>
      <c r="B9875" s="17" t="s">
        <v>70</v>
      </c>
      <c r="C9875" s="17" t="s">
        <v>71</v>
      </c>
      <c r="D9875" t="s">
        <v>27269</v>
      </c>
      <c r="F9875" t="s">
        <v>27269</v>
      </c>
      <c r="J9875" t="s">
        <v>115</v>
      </c>
      <c r="K9875" s="18" t="s">
        <v>27271</v>
      </c>
      <c r="N9875" s="17" t="s">
        <v>77</v>
      </c>
      <c r="O9875" t="s">
        <v>117</v>
      </c>
      <c r="V9875" s="18" t="s">
        <v>27271</v>
      </c>
      <c r="Y9875" t="s">
        <v>515</v>
      </c>
      <c r="AA9875" t="s">
        <v>1614</v>
      </c>
      <c r="AB9875" t="s">
        <v>119</v>
      </c>
    </row>
    <row r="9876" ht="15" customHeight="1" spans="1:22" x14ac:dyDescent="0.25">
      <c r="A9876" s="17" t="s">
        <v>27272</v>
      </c>
      <c r="B9876" s="17" t="s">
        <v>70</v>
      </c>
      <c r="C9876" s="17" t="s">
        <v>71</v>
      </c>
      <c r="D9876" t="s">
        <v>27269</v>
      </c>
      <c r="F9876" t="s">
        <v>8166</v>
      </c>
      <c r="K9876" s="18">
        <f>6281646000000</f>
        <v>6281646000000</v>
      </c>
      <c r="N9876" s="17" t="s">
        <v>74</v>
      </c>
      <c r="V9876" s="18">
        <f>6281646000000</f>
        <v>6281646000000</v>
      </c>
    </row>
    <row r="9877" ht="15" customHeight="1" spans="1:22" x14ac:dyDescent="0.25">
      <c r="A9877" s="17" t="s">
        <v>27273</v>
      </c>
      <c r="B9877" s="17" t="s">
        <v>70</v>
      </c>
      <c r="C9877" s="17" t="s">
        <v>71</v>
      </c>
      <c r="D9877" t="s">
        <v>27269</v>
      </c>
      <c r="F9877" t="s">
        <v>6450</v>
      </c>
      <c r="J9877" s="17" t="s">
        <v>27274</v>
      </c>
      <c r="K9877" s="18">
        <f>628111770606</f>
        <v>628111770606</v>
      </c>
      <c r="N9877" s="17" t="s">
        <v>77</v>
      </c>
      <c r="V9877" s="18">
        <f>628111770606</f>
        <v>628111770606</v>
      </c>
    </row>
    <row r="9878" ht="15" customHeight="1" spans="1:22" x14ac:dyDescent="0.25">
      <c r="A9878" s="17" t="s">
        <v>27275</v>
      </c>
      <c r="B9878" s="17" t="s">
        <v>70</v>
      </c>
      <c r="C9878" s="17" t="s">
        <v>71</v>
      </c>
      <c r="D9878" t="s">
        <v>27269</v>
      </c>
      <c r="F9878" t="s">
        <v>27276</v>
      </c>
      <c r="K9878" s="18">
        <f>628121110668</f>
        <v>628121110668</v>
      </c>
      <c r="N9878" s="17" t="s">
        <v>77</v>
      </c>
      <c r="V9878" s="18">
        <f>628121110668</f>
        <v>628121110668</v>
      </c>
    </row>
    <row r="9879" ht="15" customHeight="1" spans="1:23" x14ac:dyDescent="0.25">
      <c r="A9879" s="17" t="s">
        <v>27277</v>
      </c>
      <c r="B9879" s="17" t="s">
        <v>70</v>
      </c>
      <c r="C9879" s="17" t="s">
        <v>71</v>
      </c>
      <c r="D9879" t="s">
        <v>27269</v>
      </c>
      <c r="F9879" t="s">
        <v>7671</v>
      </c>
      <c r="K9879" s="18">
        <f>62817393392</f>
        <v>62817393392</v>
      </c>
      <c r="N9879" s="17" t="s">
        <v>81</v>
      </c>
      <c r="U9879" s="17"/>
      <c r="V9879" s="18">
        <f>62817393392</f>
        <v>62817393392</v>
      </c>
      <c r="W9879" t="s">
        <v>27278</v>
      </c>
    </row>
    <row r="9880" ht="15" customHeight="1" spans="1:22" x14ac:dyDescent="0.25">
      <c r="A9880" s="17" t="s">
        <v>27279</v>
      </c>
      <c r="B9880" s="17" t="s">
        <v>70</v>
      </c>
      <c r="C9880" s="17" t="s">
        <v>71</v>
      </c>
      <c r="D9880" t="s">
        <v>27269</v>
      </c>
      <c r="F9880" t="s">
        <v>27280</v>
      </c>
      <c r="K9880" s="18">
        <f>628122009000</f>
        <v>628122009000</v>
      </c>
      <c r="N9880" s="17" t="s">
        <v>77</v>
      </c>
      <c r="V9880" s="18">
        <f>628122009000</f>
        <v>628122009000</v>
      </c>
    </row>
    <row r="9881" ht="15" customHeight="1" spans="1:28" x14ac:dyDescent="0.25">
      <c r="A9881" s="17" t="s">
        <v>27281</v>
      </c>
      <c r="B9881" s="17" t="s">
        <v>70</v>
      </c>
      <c r="C9881" s="17" t="s">
        <v>71</v>
      </c>
      <c r="D9881" t="s">
        <v>27282</v>
      </c>
      <c r="F9881" t="s">
        <v>27283</v>
      </c>
      <c r="J9881" s="17" t="s">
        <v>27284</v>
      </c>
      <c r="K9881" s="18" t="s">
        <v>27285</v>
      </c>
      <c r="N9881" s="17" t="s">
        <v>77</v>
      </c>
      <c r="O9881" t="s">
        <v>145</v>
      </c>
      <c r="U9881" s="17"/>
      <c r="V9881" s="18" t="s">
        <v>27285</v>
      </c>
      <c r="W9881" t="s">
        <v>27286</v>
      </c>
      <c r="Y9881" s="17" t="s">
        <v>622</v>
      </c>
      <c r="AA9881" s="17" t="s">
        <v>623</v>
      </c>
      <c r="AB9881" t="s">
        <v>119</v>
      </c>
    </row>
    <row r="9882" ht="15" customHeight="1" spans="1:22" x14ac:dyDescent="0.25">
      <c r="A9882" s="17" t="s">
        <v>27287</v>
      </c>
      <c r="B9882" s="17" t="s">
        <v>70</v>
      </c>
      <c r="C9882" s="17" t="s">
        <v>71</v>
      </c>
      <c r="D9882" t="s">
        <v>27288</v>
      </c>
      <c r="F9882" t="s">
        <v>27289</v>
      </c>
      <c r="K9882" s="18">
        <f>6282311039023</f>
        <v>6282311039023</v>
      </c>
      <c r="N9882" s="17" t="s">
        <v>81</v>
      </c>
      <c r="V9882" s="18">
        <f>6282311039023</f>
        <v>6282311039023</v>
      </c>
    </row>
    <row r="9883" ht="15" customHeight="1" spans="1:28" x14ac:dyDescent="0.25">
      <c r="A9883" s="17" t="s">
        <v>27290</v>
      </c>
      <c r="B9883" s="17" t="s">
        <v>70</v>
      </c>
      <c r="C9883" s="17" t="s">
        <v>71</v>
      </c>
      <c r="D9883" t="s">
        <v>27291</v>
      </c>
      <c r="F9883" t="s">
        <v>27292</v>
      </c>
      <c r="J9883" t="s">
        <v>115</v>
      </c>
      <c r="K9883" s="18" t="s">
        <v>27293</v>
      </c>
      <c r="N9883" s="17" t="s">
        <v>77</v>
      </c>
      <c r="O9883" t="s">
        <v>489</v>
      </c>
      <c r="V9883" s="18" t="s">
        <v>27293</v>
      </c>
      <c r="Y9883" t="s">
        <v>3028</v>
      </c>
      <c r="AA9883" t="s">
        <v>9062</v>
      </c>
      <c r="AB9883" t="s">
        <v>119</v>
      </c>
    </row>
    <row r="9884" ht="15" customHeight="1" spans="1:22" x14ac:dyDescent="0.25">
      <c r="A9884" s="17" t="s">
        <v>27294</v>
      </c>
      <c r="B9884" s="17" t="s">
        <v>70</v>
      </c>
      <c r="C9884" s="17" t="s">
        <v>71</v>
      </c>
      <c r="D9884" t="s">
        <v>27295</v>
      </c>
      <c r="F9884" t="s">
        <v>6541</v>
      </c>
      <c r="K9884" s="18">
        <f>62816915538</f>
        <v>62816915538</v>
      </c>
      <c r="N9884" s="17" t="s">
        <v>77</v>
      </c>
      <c r="V9884" s="18">
        <f>62816915538</f>
        <v>62816915538</v>
      </c>
    </row>
    <row r="9885" ht="15" customHeight="1" spans="1:22" x14ac:dyDescent="0.25">
      <c r="A9885" s="17" t="s">
        <v>27296</v>
      </c>
      <c r="B9885" s="17" t="s">
        <v>70</v>
      </c>
      <c r="C9885" s="17" t="s">
        <v>71</v>
      </c>
      <c r="D9885" t="s">
        <v>27297</v>
      </c>
      <c r="F9885" t="s">
        <v>27297</v>
      </c>
      <c r="K9885" s="18">
        <f>628111151111</f>
        <v>628111151111</v>
      </c>
      <c r="N9885" s="17" t="s">
        <v>81</v>
      </c>
      <c r="V9885" s="18">
        <f>628111151111</f>
        <v>628111151111</v>
      </c>
    </row>
    <row r="9886" ht="15" customHeight="1" spans="1:22" x14ac:dyDescent="0.25">
      <c r="A9886" s="17" t="s">
        <v>27298</v>
      </c>
      <c r="B9886" s="17" t="s">
        <v>70</v>
      </c>
      <c r="C9886" s="17" t="s">
        <v>71</v>
      </c>
      <c r="D9886" t="s">
        <v>27297</v>
      </c>
      <c r="F9886" t="s">
        <v>7662</v>
      </c>
      <c r="K9886" s="18">
        <f>6281397292288</f>
        <v>6281397292288</v>
      </c>
      <c r="N9886" s="17" t="s">
        <v>81</v>
      </c>
      <c r="V9886" s="18">
        <f>6281397292288</f>
        <v>6281397292288</v>
      </c>
    </row>
    <row r="9887" ht="15" customHeight="1" spans="1:23" x14ac:dyDescent="0.25">
      <c r="A9887" s="17" t="s">
        <v>27299</v>
      </c>
      <c r="B9887" s="17" t="s">
        <v>70</v>
      </c>
      <c r="C9887" s="17" t="s">
        <v>71</v>
      </c>
      <c r="D9887" t="s">
        <v>27300</v>
      </c>
      <c r="F9887" t="s">
        <v>230</v>
      </c>
      <c r="K9887" s="18">
        <f>6281263134322</f>
        <v>6281263134322</v>
      </c>
      <c r="N9887" s="17" t="s">
        <v>77</v>
      </c>
      <c r="U9887" s="17"/>
      <c r="V9887" s="18">
        <f>6281263134322</f>
        <v>6281263134322</v>
      </c>
      <c r="W9887" t="s">
        <v>27301</v>
      </c>
    </row>
    <row r="9888" ht="15" customHeight="1" spans="1:23" x14ac:dyDescent="0.25">
      <c r="A9888" s="17" t="s">
        <v>27302</v>
      </c>
      <c r="B9888" s="17" t="s">
        <v>70</v>
      </c>
      <c r="C9888" s="17" t="s">
        <v>71</v>
      </c>
      <c r="D9888" t="s">
        <v>27303</v>
      </c>
      <c r="F9888" t="s">
        <v>27304</v>
      </c>
      <c r="K9888" s="18">
        <f>6281353782727</f>
        <v>6281353782727</v>
      </c>
      <c r="N9888" s="17" t="s">
        <v>81</v>
      </c>
      <c r="U9888" s="17"/>
      <c r="V9888" s="18">
        <f>6281353782727</f>
        <v>6281353782727</v>
      </c>
      <c r="W9888" t="s">
        <v>27305</v>
      </c>
    </row>
    <row r="9889" ht="15" customHeight="1" spans="1:28" x14ac:dyDescent="0.25">
      <c r="A9889" s="17" t="s">
        <v>27306</v>
      </c>
      <c r="B9889" s="17" t="s">
        <v>70</v>
      </c>
      <c r="C9889" s="17" t="s">
        <v>71</v>
      </c>
      <c r="D9889" t="s">
        <v>27307</v>
      </c>
      <c r="F9889" t="s">
        <v>27307</v>
      </c>
      <c r="J9889" t="s">
        <v>115</v>
      </c>
      <c r="K9889" s="18" t="s">
        <v>27308</v>
      </c>
      <c r="N9889" s="17" t="s">
        <v>77</v>
      </c>
      <c r="O9889" t="s">
        <v>145</v>
      </c>
      <c r="U9889" s="17"/>
      <c r="V9889" s="18" t="s">
        <v>27308</v>
      </c>
      <c r="W9889" t="s">
        <v>27309</v>
      </c>
      <c r="Y9889" t="s">
        <v>90</v>
      </c>
      <c r="AA9889" t="s">
        <v>118</v>
      </c>
      <c r="AB9889" t="s">
        <v>119</v>
      </c>
    </row>
    <row r="9890" ht="15" customHeight="1" spans="1:23" x14ac:dyDescent="0.25">
      <c r="A9890" s="17" t="s">
        <v>27310</v>
      </c>
      <c r="B9890" s="17" t="s">
        <v>70</v>
      </c>
      <c r="C9890" s="17" t="s">
        <v>71</v>
      </c>
      <c r="D9890" t="s">
        <v>27307</v>
      </c>
      <c r="F9890" t="s">
        <v>27307</v>
      </c>
      <c r="K9890" s="18">
        <f>6287821488652</f>
        <v>6287821488652</v>
      </c>
      <c r="N9890" s="17" t="s">
        <v>81</v>
      </c>
      <c r="U9890" s="17"/>
      <c r="V9890" s="18">
        <f>6287821488652</f>
        <v>6287821488652</v>
      </c>
      <c r="W9890" t="s">
        <v>27311</v>
      </c>
    </row>
    <row r="9891" ht="15" customHeight="1" spans="1:28" x14ac:dyDescent="0.25">
      <c r="A9891" s="17" t="s">
        <v>27312</v>
      </c>
      <c r="B9891" s="17" t="s">
        <v>70</v>
      </c>
      <c r="C9891" s="17" t="s">
        <v>71</v>
      </c>
      <c r="D9891" t="s">
        <v>27307</v>
      </c>
      <c r="F9891" t="s">
        <v>8925</v>
      </c>
      <c r="J9891" t="s">
        <v>115</v>
      </c>
      <c r="K9891" s="18" t="s">
        <v>27313</v>
      </c>
      <c r="N9891" s="17" t="s">
        <v>77</v>
      </c>
      <c r="O9891" t="s">
        <v>261</v>
      </c>
      <c r="U9891" s="17"/>
      <c r="V9891" s="18" t="s">
        <v>27313</v>
      </c>
      <c r="W9891" t="s">
        <v>27314</v>
      </c>
      <c r="Y9891" t="s">
        <v>217</v>
      </c>
      <c r="AA9891" t="s">
        <v>218</v>
      </c>
      <c r="AB9891" t="s">
        <v>119</v>
      </c>
    </row>
    <row r="9892" ht="15" customHeight="1" spans="1:28" x14ac:dyDescent="0.25">
      <c r="A9892" s="17" t="s">
        <v>27315</v>
      </c>
      <c r="B9892" s="17" t="s">
        <v>70</v>
      </c>
      <c r="C9892" s="17" t="s">
        <v>71</v>
      </c>
      <c r="D9892" t="s">
        <v>27316</v>
      </c>
      <c r="F9892" t="s">
        <v>27317</v>
      </c>
      <c r="J9892" t="s">
        <v>115</v>
      </c>
      <c r="K9892" s="18" t="s">
        <v>27318</v>
      </c>
      <c r="N9892" s="17" t="s">
        <v>81</v>
      </c>
      <c r="O9892" t="s">
        <v>117</v>
      </c>
      <c r="V9892" s="18" t="s">
        <v>27318</v>
      </c>
      <c r="Y9892" t="s">
        <v>90</v>
      </c>
      <c r="AA9892" t="s">
        <v>118</v>
      </c>
      <c r="AB9892" t="s">
        <v>119</v>
      </c>
    </row>
    <row r="9893" ht="15" customHeight="1" spans="1:22" x14ac:dyDescent="0.25">
      <c r="A9893" s="17" t="s">
        <v>27319</v>
      </c>
      <c r="B9893" s="17" t="s">
        <v>70</v>
      </c>
      <c r="C9893" s="17" t="s">
        <v>71</v>
      </c>
      <c r="D9893" t="s">
        <v>27320</v>
      </c>
      <c r="F9893" t="s">
        <v>27320</v>
      </c>
      <c r="K9893" s="18">
        <f>6287828282880</f>
        <v>6287828282880</v>
      </c>
      <c r="N9893" s="17" t="s">
        <v>81</v>
      </c>
      <c r="V9893" s="18">
        <f>6287828282880</f>
        <v>6287828282880</v>
      </c>
    </row>
    <row r="9894" ht="15" customHeight="1" spans="1:22" x14ac:dyDescent="0.25">
      <c r="A9894" s="17" t="s">
        <v>27321</v>
      </c>
      <c r="B9894" s="17" t="s">
        <v>70</v>
      </c>
      <c r="C9894" s="17" t="s">
        <v>71</v>
      </c>
      <c r="D9894" t="s">
        <v>27322</v>
      </c>
      <c r="F9894" t="s">
        <v>27323</v>
      </c>
      <c r="K9894" s="18">
        <f>62816827467</f>
        <v>62816827467</v>
      </c>
      <c r="N9894" s="17" t="s">
        <v>77</v>
      </c>
      <c r="V9894" s="18">
        <f>62816827467</f>
        <v>62816827467</v>
      </c>
    </row>
    <row r="9895" ht="15" customHeight="1" spans="1:28" x14ac:dyDescent="0.25">
      <c r="A9895" s="17" t="s">
        <v>27324</v>
      </c>
      <c r="B9895" s="17" t="s">
        <v>70</v>
      </c>
      <c r="C9895" s="17" t="s">
        <v>71</v>
      </c>
      <c r="D9895" t="s">
        <v>27322</v>
      </c>
      <c r="F9895" t="s">
        <v>27325</v>
      </c>
      <c r="J9895" t="s">
        <v>115</v>
      </c>
      <c r="K9895" s="18" t="s">
        <v>27326</v>
      </c>
      <c r="N9895" s="17" t="s">
        <v>77</v>
      </c>
      <c r="O9895" t="s">
        <v>261</v>
      </c>
      <c r="V9895" s="18" t="s">
        <v>27326</v>
      </c>
      <c r="Y9895" t="s">
        <v>90</v>
      </c>
      <c r="AA9895" t="s">
        <v>118</v>
      </c>
      <c r="AB9895" t="s">
        <v>119</v>
      </c>
    </row>
    <row r="9896" ht="15" customHeight="1" spans="1:25" x14ac:dyDescent="0.25">
      <c r="A9896" s="17" t="s">
        <v>27327</v>
      </c>
      <c r="B9896" s="17" t="s">
        <v>70</v>
      </c>
      <c r="C9896" s="17" t="s">
        <v>71</v>
      </c>
      <c r="D9896" t="s">
        <v>27328</v>
      </c>
      <c r="F9896" t="s">
        <v>10541</v>
      </c>
      <c r="K9896" s="18">
        <f>628117211632</f>
        <v>628117211632</v>
      </c>
      <c r="N9896" s="17" t="s">
        <v>77</v>
      </c>
      <c r="V9896" s="18">
        <f>628117211632</f>
        <v>628117211632</v>
      </c>
      <c r="Y9896" s="17" t="s">
        <v>1707</v>
      </c>
    </row>
    <row r="9897" ht="15" customHeight="1" spans="1:23" x14ac:dyDescent="0.25">
      <c r="A9897" s="17" t="s">
        <v>27329</v>
      </c>
      <c r="B9897" s="17" t="s">
        <v>70</v>
      </c>
      <c r="C9897" s="17" t="s">
        <v>71</v>
      </c>
      <c r="D9897" t="s">
        <v>27330</v>
      </c>
      <c r="F9897" t="s">
        <v>27331</v>
      </c>
      <c r="K9897" s="18">
        <f>201272811136</f>
        <v>201272811136</v>
      </c>
      <c r="N9897" s="17" t="s">
        <v>77</v>
      </c>
      <c r="U9897" s="17"/>
      <c r="V9897" s="18">
        <f>201272811136</f>
        <v>201272811136</v>
      </c>
      <c r="W9897" t="s">
        <v>27332</v>
      </c>
    </row>
    <row r="9898" ht="15" customHeight="1" spans="1:28" x14ac:dyDescent="0.25">
      <c r="A9898" s="17" t="s">
        <v>27333</v>
      </c>
      <c r="B9898" s="17" t="s">
        <v>70</v>
      </c>
      <c r="C9898" s="17" t="s">
        <v>71</v>
      </c>
      <c r="D9898" t="s">
        <v>27330</v>
      </c>
      <c r="F9898" t="s">
        <v>27334</v>
      </c>
      <c r="J9898" t="s">
        <v>27335</v>
      </c>
      <c r="K9898" s="18" t="s">
        <v>27336</v>
      </c>
      <c r="N9898" s="17" t="s">
        <v>77</v>
      </c>
      <c r="O9898" t="s">
        <v>261</v>
      </c>
      <c r="U9898" s="17"/>
      <c r="V9898" s="18" t="s">
        <v>27336</v>
      </c>
      <c r="W9898" t="s">
        <v>27337</v>
      </c>
      <c r="Y9898" t="s">
        <v>1084</v>
      </c>
      <c r="AA9898" t="s">
        <v>3146</v>
      </c>
      <c r="AB9898" t="s">
        <v>119</v>
      </c>
    </row>
    <row r="9899" ht="15" customHeight="1" spans="1:22" x14ac:dyDescent="0.25">
      <c r="A9899" s="17" t="s">
        <v>27338</v>
      </c>
      <c r="B9899" s="17" t="s">
        <v>70</v>
      </c>
      <c r="C9899" s="17" t="s">
        <v>71</v>
      </c>
      <c r="D9899" t="s">
        <v>27330</v>
      </c>
      <c r="F9899" t="s">
        <v>26288</v>
      </c>
      <c r="K9899" s="18">
        <f>62811165007</f>
        <v>62811165007</v>
      </c>
      <c r="N9899" s="17" t="s">
        <v>77</v>
      </c>
      <c r="V9899" s="18">
        <f>62811165007</f>
        <v>62811165007</v>
      </c>
    </row>
    <row r="9900" ht="15" customHeight="1" spans="1:22" x14ac:dyDescent="0.25">
      <c r="A9900" s="17" t="s">
        <v>27339</v>
      </c>
      <c r="B9900" s="17" t="s">
        <v>70</v>
      </c>
      <c r="C9900" s="17" t="s">
        <v>71</v>
      </c>
      <c r="D9900" t="s">
        <v>27340</v>
      </c>
      <c r="F9900" t="s">
        <v>27341</v>
      </c>
      <c r="J9900" s="17" t="s">
        <v>27342</v>
      </c>
      <c r="K9900" s="18">
        <f>6281298449580</f>
        <v>6281298449580</v>
      </c>
      <c r="N9900" s="17" t="s">
        <v>77</v>
      </c>
      <c r="V9900" s="18">
        <f>6281298449580</f>
        <v>6281298449580</v>
      </c>
    </row>
    <row r="9901" ht="15" customHeight="1" spans="1:25" x14ac:dyDescent="0.25">
      <c r="A9901" s="17" t="s">
        <v>27343</v>
      </c>
      <c r="B9901" s="17" t="s">
        <v>70</v>
      </c>
      <c r="C9901" s="17" t="s">
        <v>71</v>
      </c>
      <c r="D9901" t="s">
        <v>27344</v>
      </c>
      <c r="F9901" t="s">
        <v>618</v>
      </c>
      <c r="K9901" s="18">
        <v>81311535777</v>
      </c>
      <c r="N9901" s="17" t="s">
        <v>81</v>
      </c>
      <c r="V9901" s="18">
        <v>81311535777</v>
      </c>
      <c r="Y9901" s="17" t="s">
        <v>6412</v>
      </c>
    </row>
    <row r="9902" ht="15" customHeight="1" spans="1:25" x14ac:dyDescent="0.25">
      <c r="A9902" s="17" t="s">
        <v>27345</v>
      </c>
      <c r="B9902" s="17" t="s">
        <v>70</v>
      </c>
      <c r="C9902" s="17" t="s">
        <v>71</v>
      </c>
      <c r="D9902" t="s">
        <v>27344</v>
      </c>
      <c r="F9902" t="s">
        <v>27346</v>
      </c>
      <c r="K9902" s="18">
        <f>62818725936</f>
        <v>62818725936</v>
      </c>
      <c r="N9902" s="17" t="s">
        <v>81</v>
      </c>
      <c r="U9902" s="17"/>
      <c r="V9902" s="18">
        <f>62818725936</f>
        <v>62818725936</v>
      </c>
      <c r="W9902" t="s">
        <v>27347</v>
      </c>
      <c r="Y9902" s="17" t="s">
        <v>90</v>
      </c>
    </row>
    <row r="9903" ht="15" customHeight="1" spans="1:22" x14ac:dyDescent="0.25">
      <c r="A9903" s="17" t="s">
        <v>27348</v>
      </c>
      <c r="B9903" s="17" t="s">
        <v>70</v>
      </c>
      <c r="C9903" s="17" t="s">
        <v>71</v>
      </c>
      <c r="D9903" t="s">
        <v>27349</v>
      </c>
      <c r="F9903" t="s">
        <v>27350</v>
      </c>
      <c r="K9903" s="18">
        <f>628111777059</f>
        <v>628111777059</v>
      </c>
      <c r="N9903" s="17" t="s">
        <v>77</v>
      </c>
      <c r="V9903" s="18">
        <f>628111777059</f>
        <v>628111777059</v>
      </c>
    </row>
    <row r="9904" ht="15" customHeight="1" spans="1:27" x14ac:dyDescent="0.25">
      <c r="A9904" s="17" t="s">
        <v>27351</v>
      </c>
      <c r="B9904" s="17" t="s">
        <v>70</v>
      </c>
      <c r="C9904" s="17" t="s">
        <v>71</v>
      </c>
      <c r="D9904" t="s">
        <v>27352</v>
      </c>
      <c r="F9904" t="s">
        <v>27353</v>
      </c>
      <c r="K9904" s="18">
        <f>26816968805</f>
        <v>26816968805</v>
      </c>
      <c r="N9904" s="17" t="s">
        <v>77</v>
      </c>
      <c r="U9904" s="17"/>
      <c r="V9904" s="18">
        <f>26816968805</f>
        <v>26816968805</v>
      </c>
      <c r="W9904" t="s">
        <v>27354</v>
      </c>
      <c r="Y9904" s="17" t="s">
        <v>217</v>
      </c>
      <c r="AA9904" s="17">
        <v>15810</v>
      </c>
    </row>
    <row r="9905" ht="15" customHeight="1" spans="1:27" x14ac:dyDescent="0.25">
      <c r="A9905" s="17" t="s">
        <v>27355</v>
      </c>
      <c r="B9905" s="17" t="s">
        <v>70</v>
      </c>
      <c r="C9905" s="17" t="s">
        <v>71</v>
      </c>
      <c r="D9905" t="s">
        <v>27356</v>
      </c>
      <c r="F9905" t="s">
        <v>301</v>
      </c>
      <c r="K9905" s="18">
        <f>62818764501</f>
        <v>62818764501</v>
      </c>
      <c r="N9905" s="17" t="s">
        <v>77</v>
      </c>
      <c r="U9905" s="17"/>
      <c r="V9905" s="18">
        <f>62818764501</f>
        <v>62818764501</v>
      </c>
      <c r="W9905" t="s">
        <v>27357</v>
      </c>
      <c r="Y9905" s="17" t="s">
        <v>90</v>
      </c>
      <c r="AA9905" s="17">
        <v>1050</v>
      </c>
    </row>
    <row r="9906" ht="15" customHeight="1" spans="1:28" x14ac:dyDescent="0.25">
      <c r="A9906" s="17" t="s">
        <v>27358</v>
      </c>
      <c r="B9906" s="17" t="s">
        <v>70</v>
      </c>
      <c r="C9906" s="17" t="s">
        <v>71</v>
      </c>
      <c r="D9906" t="s">
        <v>27359</v>
      </c>
      <c r="F9906" t="s">
        <v>139</v>
      </c>
      <c r="J9906" t="s">
        <v>115</v>
      </c>
      <c r="K9906" s="18" t="s">
        <v>27360</v>
      </c>
      <c r="N9906" s="17" t="s">
        <v>81</v>
      </c>
      <c r="O9906" t="s">
        <v>117</v>
      </c>
      <c r="V9906" s="18" t="s">
        <v>27360</v>
      </c>
      <c r="Y9906" t="s">
        <v>90</v>
      </c>
      <c r="AA9906" t="s">
        <v>118</v>
      </c>
      <c r="AB9906" t="s">
        <v>119</v>
      </c>
    </row>
    <row r="9907" ht="15" customHeight="1" spans="1:28" x14ac:dyDescent="0.25">
      <c r="A9907" s="17" t="s">
        <v>27361</v>
      </c>
      <c r="B9907" s="17" t="s">
        <v>70</v>
      </c>
      <c r="C9907" s="17" t="s">
        <v>71</v>
      </c>
      <c r="D9907" t="s">
        <v>27359</v>
      </c>
      <c r="F9907" t="s">
        <v>10488</v>
      </c>
      <c r="J9907" t="s">
        <v>115</v>
      </c>
      <c r="K9907" s="18" t="s">
        <v>27362</v>
      </c>
      <c r="N9907" s="17" t="s">
        <v>81</v>
      </c>
      <c r="O9907" t="s">
        <v>117</v>
      </c>
      <c r="V9907" s="18" t="s">
        <v>27362</v>
      </c>
      <c r="Y9907" t="s">
        <v>500</v>
      </c>
      <c r="AA9907" t="s">
        <v>501</v>
      </c>
      <c r="AB9907" t="s">
        <v>119</v>
      </c>
    </row>
    <row r="9908" ht="15" customHeight="1" spans="1:22" x14ac:dyDescent="0.25">
      <c r="A9908" s="17" t="s">
        <v>27363</v>
      </c>
      <c r="B9908" s="17" t="s">
        <v>70</v>
      </c>
      <c r="C9908" s="17" t="s">
        <v>71</v>
      </c>
      <c r="D9908" t="s">
        <v>27364</v>
      </c>
      <c r="F9908" t="s">
        <v>27365</v>
      </c>
      <c r="K9908" s="18">
        <f>628551141043</f>
        <v>628551141043</v>
      </c>
      <c r="N9908" s="17" t="s">
        <v>81</v>
      </c>
      <c r="V9908" s="18">
        <f>628551141043</f>
        <v>628551141043</v>
      </c>
    </row>
    <row r="9909" ht="15" customHeight="1" spans="1:22" x14ac:dyDescent="0.25">
      <c r="A9909" s="17" t="s">
        <v>27366</v>
      </c>
      <c r="B9909" s="17" t="s">
        <v>70</v>
      </c>
      <c r="C9909" s="17" t="s">
        <v>71</v>
      </c>
      <c r="D9909" t="s">
        <v>27364</v>
      </c>
      <c r="F9909" t="s">
        <v>27367</v>
      </c>
      <c r="K9909" s="18">
        <f>628161340535</f>
        <v>628161340535</v>
      </c>
      <c r="N9909" s="17" t="s">
        <v>77</v>
      </c>
      <c r="V9909" s="18">
        <f>628161340535</f>
        <v>628161340535</v>
      </c>
    </row>
    <row r="9910" ht="15" customHeight="1" spans="1:28" x14ac:dyDescent="0.25">
      <c r="A9910" s="17" t="s">
        <v>27368</v>
      </c>
      <c r="B9910" s="17" t="s">
        <v>70</v>
      </c>
      <c r="C9910" s="17" t="s">
        <v>71</v>
      </c>
      <c r="D9910" t="s">
        <v>27369</v>
      </c>
      <c r="F9910" t="s">
        <v>27369</v>
      </c>
      <c r="J9910" t="s">
        <v>115</v>
      </c>
      <c r="K9910" s="18" t="s">
        <v>27370</v>
      </c>
      <c r="N9910" s="17" t="s">
        <v>81</v>
      </c>
      <c r="O9910" t="s">
        <v>489</v>
      </c>
      <c r="U9910" s="17"/>
      <c r="V9910" s="18" t="s">
        <v>27370</v>
      </c>
      <c r="W9910" t="s">
        <v>27371</v>
      </c>
      <c r="Y9910" t="s">
        <v>90</v>
      </c>
      <c r="AA9910" t="s">
        <v>118</v>
      </c>
      <c r="AB9910" t="s">
        <v>119</v>
      </c>
    </row>
    <row r="9911" ht="15" customHeight="1" spans="1:23" x14ac:dyDescent="0.25">
      <c r="A9911" s="17" t="s">
        <v>27372</v>
      </c>
      <c r="B9911" s="17" t="s">
        <v>70</v>
      </c>
      <c r="C9911" s="17" t="s">
        <v>71</v>
      </c>
      <c r="D9911" t="s">
        <v>27373</v>
      </c>
      <c r="F9911" t="s">
        <v>4566</v>
      </c>
      <c r="K9911" s="18">
        <f>62811883779</f>
        <v>62811883779</v>
      </c>
      <c r="N9911" s="17" t="s">
        <v>74</v>
      </c>
      <c r="U9911" s="17"/>
      <c r="V9911" s="18">
        <f>62811883779</f>
        <v>62811883779</v>
      </c>
      <c r="W9911" t="s">
        <v>27374</v>
      </c>
    </row>
    <row r="9912" ht="15" customHeight="1" spans="1:22" x14ac:dyDescent="0.25">
      <c r="A9912" s="17" t="s">
        <v>27375</v>
      </c>
      <c r="B9912" s="17" t="s">
        <v>70</v>
      </c>
      <c r="C9912" s="17" t="s">
        <v>71</v>
      </c>
      <c r="D9912" t="s">
        <v>27376</v>
      </c>
      <c r="F9912" t="s">
        <v>27376</v>
      </c>
      <c r="K9912" s="18">
        <f>6285710282177</f>
        <v>6285710282177</v>
      </c>
      <c r="N9912" s="17" t="s">
        <v>74</v>
      </c>
      <c r="V9912" s="18">
        <f>6285710282177</f>
        <v>6285710282177</v>
      </c>
    </row>
    <row r="9913" ht="15" customHeight="1" spans="1:22" x14ac:dyDescent="0.25">
      <c r="A9913" s="17" t="s">
        <v>27377</v>
      </c>
      <c r="B9913" s="17" t="s">
        <v>70</v>
      </c>
      <c r="C9913" s="17" t="s">
        <v>71</v>
      </c>
      <c r="D9913" t="s">
        <v>27378</v>
      </c>
      <c r="F9913" t="s">
        <v>27378</v>
      </c>
      <c r="K9913" s="18">
        <f>628118499555</f>
        <v>628118499555</v>
      </c>
      <c r="N9913" s="17" t="s">
        <v>77</v>
      </c>
      <c r="V9913" s="18">
        <f>628118499555</f>
        <v>628118499555</v>
      </c>
    </row>
    <row r="9914" ht="15" customHeight="1" spans="1:25" x14ac:dyDescent="0.25">
      <c r="A9914" s="17" t="s">
        <v>27379</v>
      </c>
      <c r="B9914" s="17" t="s">
        <v>70</v>
      </c>
      <c r="C9914" s="17" t="s">
        <v>71</v>
      </c>
      <c r="D9914" t="s">
        <v>27380</v>
      </c>
      <c r="F9914" t="s">
        <v>27381</v>
      </c>
      <c r="J9914" s="17" t="s">
        <v>27382</v>
      </c>
      <c r="K9914" s="18">
        <f>6281311204102</f>
        <v>6281311204102</v>
      </c>
      <c r="N9914" s="17" t="s">
        <v>77</v>
      </c>
      <c r="U9914" s="17"/>
      <c r="V9914" s="18">
        <f>6281311204102</f>
        <v>6281311204102</v>
      </c>
      <c r="W9914" t="s">
        <v>27383</v>
      </c>
      <c r="Y9914" s="17" t="s">
        <v>90</v>
      </c>
    </row>
    <row r="9915" ht="15" customHeight="1" spans="1:22" x14ac:dyDescent="0.25">
      <c r="A9915" s="17" t="s">
        <v>27384</v>
      </c>
      <c r="B9915" s="17" t="s">
        <v>70</v>
      </c>
      <c r="C9915" s="17" t="s">
        <v>71</v>
      </c>
      <c r="D9915" t="s">
        <v>27385</v>
      </c>
      <c r="F9915" t="s">
        <v>2785</v>
      </c>
      <c r="K9915" s="18">
        <f>628159651798</f>
        <v>628159651798</v>
      </c>
      <c r="N9915" s="17" t="s">
        <v>77</v>
      </c>
      <c r="V9915" s="18">
        <f>628159651798</f>
        <v>628159651798</v>
      </c>
    </row>
    <row r="9916" ht="15" customHeight="1" spans="1:25" x14ac:dyDescent="0.25">
      <c r="A9916" s="17" t="s">
        <v>27386</v>
      </c>
      <c r="B9916" s="17" t="s">
        <v>70</v>
      </c>
      <c r="C9916" s="17" t="s">
        <v>71</v>
      </c>
      <c r="D9916" t="s">
        <v>27387</v>
      </c>
      <c r="F9916" t="s">
        <v>6671</v>
      </c>
      <c r="K9916" s="18">
        <f>6287888283337</f>
        <v>6287888283337</v>
      </c>
      <c r="N9916" s="17" t="s">
        <v>81</v>
      </c>
      <c r="U9916" s="17"/>
      <c r="V9916" s="18">
        <f>6287888283337</f>
        <v>6287888283337</v>
      </c>
      <c r="W9916" t="s">
        <v>27388</v>
      </c>
      <c r="Y9916" s="17" t="s">
        <v>397</v>
      </c>
    </row>
    <row r="9917" ht="15" customHeight="1" spans="1:22" x14ac:dyDescent="0.25">
      <c r="A9917" s="17" t="s">
        <v>27389</v>
      </c>
      <c r="B9917" s="17" t="s">
        <v>70</v>
      </c>
      <c r="C9917" s="17" t="s">
        <v>71</v>
      </c>
      <c r="D9917" t="s">
        <v>27390</v>
      </c>
      <c r="F9917" t="s">
        <v>23592</v>
      </c>
      <c r="K9917" s="18">
        <f>628176841056</f>
        <v>628176841056</v>
      </c>
      <c r="N9917" s="17" t="s">
        <v>74</v>
      </c>
      <c r="V9917" s="18">
        <f>628176841056</f>
        <v>628176841056</v>
      </c>
    </row>
    <row r="9918" ht="15" customHeight="1" spans="1:23" x14ac:dyDescent="0.25">
      <c r="A9918" s="17" t="s">
        <v>27391</v>
      </c>
      <c r="B9918" s="17" t="s">
        <v>70</v>
      </c>
      <c r="C9918" s="17" t="s">
        <v>71</v>
      </c>
      <c r="D9918" t="s">
        <v>27392</v>
      </c>
      <c r="F9918" t="s">
        <v>301</v>
      </c>
      <c r="K9918" s="18">
        <f>19417240555</f>
        <v>19417240555</v>
      </c>
      <c r="N9918" s="17" t="s">
        <v>77</v>
      </c>
      <c r="U9918" s="17"/>
      <c r="V9918" s="18">
        <f>19417240555</f>
        <v>19417240555</v>
      </c>
      <c r="W9918" t="s">
        <v>930</v>
      </c>
    </row>
    <row r="9919" ht="15" customHeight="1" spans="1:22" x14ac:dyDescent="0.25">
      <c r="A9919" s="17" t="s">
        <v>27393</v>
      </c>
      <c r="B9919" s="17" t="s">
        <v>70</v>
      </c>
      <c r="C9919" s="17" t="s">
        <v>71</v>
      </c>
      <c r="D9919" t="s">
        <v>27394</v>
      </c>
      <c r="F9919" t="s">
        <v>27394</v>
      </c>
      <c r="K9919" s="18">
        <f>628888889999</f>
        <v>628888889999</v>
      </c>
      <c r="N9919" s="17" t="s">
        <v>77</v>
      </c>
      <c r="V9919" s="18">
        <f>628888889999</f>
        <v>628888889999</v>
      </c>
    </row>
    <row r="9920" ht="15" customHeight="1" spans="1:22" x14ac:dyDescent="0.25">
      <c r="A9920" s="17" t="s">
        <v>27395</v>
      </c>
      <c r="B9920" s="17" t="s">
        <v>70</v>
      </c>
      <c r="C9920" s="17" t="s">
        <v>71</v>
      </c>
      <c r="D9920" t="s">
        <v>27394</v>
      </c>
      <c r="F9920" t="s">
        <v>27394</v>
      </c>
      <c r="K9920" s="18">
        <f>6282178738555</f>
        <v>6282178738555</v>
      </c>
      <c r="N9920" s="17" t="s">
        <v>77</v>
      </c>
      <c r="V9920" s="18">
        <f>6282178738555</f>
        <v>6282178738555</v>
      </c>
    </row>
    <row r="9921" ht="15" customHeight="1" spans="1:22" x14ac:dyDescent="0.25">
      <c r="A9921" s="17" t="s">
        <v>27396</v>
      </c>
      <c r="B9921" s="17" t="s">
        <v>70</v>
      </c>
      <c r="C9921" s="17" t="s">
        <v>71</v>
      </c>
      <c r="D9921" t="s">
        <v>27394</v>
      </c>
      <c r="F9921" t="s">
        <v>27394</v>
      </c>
      <c r="K9921" s="18">
        <f>628118757522</f>
        <v>628118757522</v>
      </c>
      <c r="N9921" s="17" t="s">
        <v>74</v>
      </c>
      <c r="V9921" s="18">
        <f>628118757522</f>
        <v>628118757522</v>
      </c>
    </row>
    <row r="9922" ht="15" customHeight="1" spans="1:22" x14ac:dyDescent="0.25">
      <c r="A9922" s="17" t="s">
        <v>27397</v>
      </c>
      <c r="B9922" s="17" t="s">
        <v>70</v>
      </c>
      <c r="C9922" s="17" t="s">
        <v>71</v>
      </c>
      <c r="D9922" t="s">
        <v>27394</v>
      </c>
      <c r="F9922" t="s">
        <v>11740</v>
      </c>
      <c r="K9922" s="18">
        <f>6281375330084</f>
        <v>6281375330084</v>
      </c>
      <c r="N9922" s="17" t="s">
        <v>81</v>
      </c>
      <c r="V9922" s="18">
        <f>6281375330084</f>
        <v>6281375330084</v>
      </c>
    </row>
    <row r="9923" ht="15" customHeight="1" spans="1:23" x14ac:dyDescent="0.25">
      <c r="A9923" s="17" t="s">
        <v>27398</v>
      </c>
      <c r="B9923" s="17" t="s">
        <v>70</v>
      </c>
      <c r="C9923" s="17" t="s">
        <v>71</v>
      </c>
      <c r="D9923" t="s">
        <v>27394</v>
      </c>
      <c r="F9923" t="s">
        <v>23603</v>
      </c>
      <c r="K9923" s="18">
        <f>6285921237990</f>
        <v>6285921237990</v>
      </c>
      <c r="N9923" s="17" t="s">
        <v>77</v>
      </c>
      <c r="U9923" s="17"/>
      <c r="V9923" s="18">
        <f>6285921237990</f>
        <v>6285921237990</v>
      </c>
      <c r="W9923" t="s">
        <v>27399</v>
      </c>
    </row>
    <row r="9924" ht="15" customHeight="1" spans="1:22" x14ac:dyDescent="0.25">
      <c r="A9924" s="17" t="s">
        <v>27400</v>
      </c>
      <c r="B9924" s="17" t="s">
        <v>70</v>
      </c>
      <c r="C9924" s="17" t="s">
        <v>71</v>
      </c>
      <c r="D9924" t="s">
        <v>27394</v>
      </c>
      <c r="F9924" t="s">
        <v>15449</v>
      </c>
      <c r="K9924" s="18">
        <f>628128542085</f>
        <v>628128542085</v>
      </c>
      <c r="N9924" s="17" t="s">
        <v>81</v>
      </c>
      <c r="V9924" s="18">
        <f>628128542085</f>
        <v>628128542085</v>
      </c>
    </row>
    <row r="9925" ht="15" customHeight="1" spans="1:23" x14ac:dyDescent="0.25">
      <c r="A9925" s="17" t="s">
        <v>27401</v>
      </c>
      <c r="B9925" s="17" t="s">
        <v>70</v>
      </c>
      <c r="C9925" s="17" t="s">
        <v>71</v>
      </c>
      <c r="D9925" t="s">
        <v>27394</v>
      </c>
      <c r="F9925" t="s">
        <v>13620</v>
      </c>
      <c r="K9925" s="18">
        <f>628121092438</f>
        <v>628121092438</v>
      </c>
      <c r="N9925" s="17" t="s">
        <v>81</v>
      </c>
      <c r="U9925" s="17"/>
      <c r="V9925" s="18">
        <f>628121092438</f>
        <v>628121092438</v>
      </c>
      <c r="W9925" t="s">
        <v>27402</v>
      </c>
    </row>
    <row r="9926" ht="15" customHeight="1" spans="1:27" x14ac:dyDescent="0.25">
      <c r="A9926" s="17" t="s">
        <v>27403</v>
      </c>
      <c r="B9926" s="17" t="s">
        <v>70</v>
      </c>
      <c r="C9926" s="17" t="s">
        <v>71</v>
      </c>
      <c r="D9926" t="s">
        <v>27394</v>
      </c>
      <c r="F9926" t="s">
        <v>27404</v>
      </c>
      <c r="K9926" s="18">
        <v>8414559</v>
      </c>
      <c r="N9926" s="17" t="s">
        <v>77</v>
      </c>
      <c r="U9926" s="17"/>
      <c r="V9926" s="18">
        <v>8414559</v>
      </c>
      <c r="W9926" t="s">
        <v>27405</v>
      </c>
      <c r="Y9926" s="17" t="s">
        <v>515</v>
      </c>
      <c r="AA9926" s="17" t="s">
        <v>27406</v>
      </c>
    </row>
    <row r="9927" ht="15" customHeight="1" spans="1:23" x14ac:dyDescent="0.25">
      <c r="A9927" s="17" t="s">
        <v>27407</v>
      </c>
      <c r="B9927" s="17" t="s">
        <v>70</v>
      </c>
      <c r="C9927" s="17" t="s">
        <v>71</v>
      </c>
      <c r="D9927" t="s">
        <v>27394</v>
      </c>
      <c r="F9927" t="s">
        <v>27408</v>
      </c>
      <c r="K9927" s="18">
        <f>6281219992981</f>
        <v>6281219992981</v>
      </c>
      <c r="N9927" s="17" t="s">
        <v>77</v>
      </c>
      <c r="U9927" s="17"/>
      <c r="V9927" s="18">
        <f>6281219992981</f>
        <v>6281219992981</v>
      </c>
      <c r="W9927" t="s">
        <v>27409</v>
      </c>
    </row>
    <row r="9928" ht="15" customHeight="1" spans="1:22" x14ac:dyDescent="0.25">
      <c r="A9928" s="17" t="s">
        <v>27410</v>
      </c>
      <c r="B9928" s="17" t="s">
        <v>70</v>
      </c>
      <c r="C9928" s="17" t="s">
        <v>71</v>
      </c>
      <c r="D9928" t="s">
        <v>27394</v>
      </c>
      <c r="F9928" t="s">
        <v>27411</v>
      </c>
      <c r="K9928" s="18">
        <f>62812100322048</f>
        <v>62812100322048</v>
      </c>
      <c r="N9928" s="17" t="s">
        <v>81</v>
      </c>
      <c r="V9928" s="18">
        <f>62812100322048</f>
        <v>62812100322048</v>
      </c>
    </row>
    <row r="9929" ht="15" customHeight="1" spans="1:28" x14ac:dyDescent="0.25">
      <c r="A9929" s="17" t="s">
        <v>27412</v>
      </c>
      <c r="B9929" s="17" t="s">
        <v>70</v>
      </c>
      <c r="C9929" s="17" t="s">
        <v>71</v>
      </c>
      <c r="D9929" t="s">
        <v>27394</v>
      </c>
      <c r="F9929" t="s">
        <v>5777</v>
      </c>
      <c r="J9929" t="s">
        <v>115</v>
      </c>
      <c r="K9929" s="18" t="s">
        <v>27413</v>
      </c>
      <c r="N9929" s="17" t="s">
        <v>77</v>
      </c>
      <c r="O9929" t="s">
        <v>117</v>
      </c>
      <c r="V9929" s="18" t="s">
        <v>27413</v>
      </c>
      <c r="Y9929" t="s">
        <v>90</v>
      </c>
      <c r="AA9929" t="s">
        <v>118</v>
      </c>
      <c r="AB9929" t="s">
        <v>119</v>
      </c>
    </row>
    <row r="9930" ht="15" customHeight="1" spans="1:22" x14ac:dyDescent="0.25">
      <c r="A9930" s="17" t="s">
        <v>27414</v>
      </c>
      <c r="B9930" s="17" t="s">
        <v>70</v>
      </c>
      <c r="C9930" s="17" t="s">
        <v>71</v>
      </c>
      <c r="D9930" t="s">
        <v>27394</v>
      </c>
      <c r="F9930" t="s">
        <v>150</v>
      </c>
      <c r="K9930" s="18">
        <f>6282110333505</f>
        <v>6282110333505</v>
      </c>
      <c r="N9930" s="17" t="s">
        <v>81</v>
      </c>
      <c r="V9930" s="18">
        <f>6282110333505</f>
        <v>6282110333505</v>
      </c>
    </row>
    <row r="9931" ht="15" customHeight="1" spans="1:22" x14ac:dyDescent="0.25">
      <c r="A9931" s="17" t="s">
        <v>27415</v>
      </c>
      <c r="B9931" s="17" t="s">
        <v>70</v>
      </c>
      <c r="C9931" s="17" t="s">
        <v>71</v>
      </c>
      <c r="D9931" t="s">
        <v>27394</v>
      </c>
      <c r="F9931" t="s">
        <v>7571</v>
      </c>
      <c r="K9931" s="18">
        <f>628161973380</f>
        <v>628161973380</v>
      </c>
      <c r="N9931" s="17" t="s">
        <v>81</v>
      </c>
      <c r="V9931" s="18">
        <f>628161973380</f>
        <v>628161973380</v>
      </c>
    </row>
    <row r="9932" ht="15" customHeight="1" spans="1:27" x14ac:dyDescent="0.25">
      <c r="A9932" s="17" t="s">
        <v>27416</v>
      </c>
      <c r="B9932" s="17" t="s">
        <v>70</v>
      </c>
      <c r="C9932" s="17" t="s">
        <v>71</v>
      </c>
      <c r="D9932" t="s">
        <v>27394</v>
      </c>
      <c r="F9932" t="s">
        <v>27417</v>
      </c>
      <c r="K9932" s="18">
        <f>62817193678</f>
        <v>62817193678</v>
      </c>
      <c r="N9932" s="17" t="s">
        <v>77</v>
      </c>
      <c r="U9932" s="17"/>
      <c r="V9932" s="18">
        <f>62817193678</f>
        <v>62817193678</v>
      </c>
      <c r="W9932" t="s">
        <v>27418</v>
      </c>
      <c r="Y9932" s="17" t="s">
        <v>378</v>
      </c>
      <c r="AA9932" s="17" t="s">
        <v>27419</v>
      </c>
    </row>
    <row r="9933" ht="15" customHeight="1" spans="1:23" x14ac:dyDescent="0.25">
      <c r="A9933" s="17" t="s">
        <v>27420</v>
      </c>
      <c r="B9933" s="17" t="s">
        <v>70</v>
      </c>
      <c r="C9933" s="17" t="s">
        <v>71</v>
      </c>
      <c r="D9933" t="s">
        <v>27421</v>
      </c>
      <c r="F9933" t="s">
        <v>11897</v>
      </c>
      <c r="K9933" s="18">
        <f>32475418075</f>
        <v>32475418075</v>
      </c>
      <c r="N9933" s="17" t="s">
        <v>77</v>
      </c>
      <c r="U9933" s="17"/>
      <c r="V9933" s="18">
        <f>32475418075</f>
        <v>32475418075</v>
      </c>
      <c r="W9933" t="s">
        <v>13379</v>
      </c>
    </row>
    <row r="9934" ht="15" customHeight="1" spans="1:25" x14ac:dyDescent="0.25">
      <c r="A9934" s="17" t="s">
        <v>27422</v>
      </c>
      <c r="B9934" s="17" t="s">
        <v>70</v>
      </c>
      <c r="C9934" s="17" t="s">
        <v>71</v>
      </c>
      <c r="D9934" t="s">
        <v>27423</v>
      </c>
      <c r="F9934" t="s">
        <v>10033</v>
      </c>
      <c r="K9934" s="18">
        <f>6281388111976</f>
        <v>6281388111976</v>
      </c>
      <c r="N9934" s="17" t="s">
        <v>77</v>
      </c>
      <c r="U9934" s="17"/>
      <c r="V9934" s="18">
        <f>6281388111976</f>
        <v>6281388111976</v>
      </c>
      <c r="W9934" t="s">
        <v>27424</v>
      </c>
      <c r="Y9934" s="17" t="s">
        <v>90</v>
      </c>
    </row>
    <row r="9935" ht="15" customHeight="1" spans="1:22" x14ac:dyDescent="0.25">
      <c r="A9935" s="17" t="s">
        <v>27425</v>
      </c>
      <c r="B9935" s="17" t="s">
        <v>70</v>
      </c>
      <c r="C9935" s="17" t="s">
        <v>71</v>
      </c>
      <c r="D9935" t="s">
        <v>27426</v>
      </c>
      <c r="F9935" t="s">
        <v>1730</v>
      </c>
      <c r="K9935" s="18">
        <f>6281311311807</f>
        <v>6281311311807</v>
      </c>
      <c r="N9935" s="17" t="s">
        <v>81</v>
      </c>
      <c r="V9935" s="18">
        <f>6281311311807</f>
        <v>6281311311807</v>
      </c>
    </row>
    <row r="9936" ht="15" customHeight="1" spans="1:22" x14ac:dyDescent="0.25">
      <c r="A9936" s="17" t="s">
        <v>27427</v>
      </c>
      <c r="B9936" s="17" t="s">
        <v>70</v>
      </c>
      <c r="C9936" s="17" t="s">
        <v>71</v>
      </c>
      <c r="D9936" t="s">
        <v>27428</v>
      </c>
      <c r="F9936" t="s">
        <v>27428</v>
      </c>
      <c r="K9936" s="18">
        <f>628128667888</f>
        <v>628128667888</v>
      </c>
      <c r="N9936" s="17" t="s">
        <v>77</v>
      </c>
      <c r="V9936" s="18">
        <f>628128667888</f>
        <v>628128667888</v>
      </c>
    </row>
    <row r="9937" ht="15" customHeight="1" spans="1:23" x14ac:dyDescent="0.25">
      <c r="A9937" s="17" t="s">
        <v>27429</v>
      </c>
      <c r="B9937" s="17" t="s">
        <v>70</v>
      </c>
      <c r="C9937" s="17" t="s">
        <v>71</v>
      </c>
      <c r="D9937" t="s">
        <v>27428</v>
      </c>
      <c r="F9937" t="s">
        <v>27428</v>
      </c>
      <c r="K9937" s="18">
        <f>15158009696</f>
        <v>15158009696</v>
      </c>
      <c r="N9937" s="17" t="s">
        <v>81</v>
      </c>
      <c r="U9937" s="17"/>
      <c r="V9937" s="18">
        <f>15158009696</f>
        <v>15158009696</v>
      </c>
      <c r="W9937" t="s">
        <v>1157</v>
      </c>
    </row>
    <row r="9938" ht="15" customHeight="1" spans="1:22" x14ac:dyDescent="0.25">
      <c r="A9938" s="17" t="s">
        <v>27430</v>
      </c>
      <c r="B9938" s="17" t="s">
        <v>70</v>
      </c>
      <c r="C9938" s="17" t="s">
        <v>71</v>
      </c>
      <c r="D9938" t="s">
        <v>27428</v>
      </c>
      <c r="F9938" t="s">
        <v>27428</v>
      </c>
      <c r="K9938" s="18">
        <f>6281382939839</f>
        <v>6281382939839</v>
      </c>
      <c r="N9938" s="17" t="s">
        <v>77</v>
      </c>
      <c r="V9938" s="18">
        <f>6281382939839</f>
        <v>6281382939839</v>
      </c>
    </row>
    <row r="9939" ht="15" customHeight="1" spans="1:22" x14ac:dyDescent="0.25">
      <c r="A9939" s="17" t="s">
        <v>27431</v>
      </c>
      <c r="B9939" s="17" t="s">
        <v>70</v>
      </c>
      <c r="C9939" s="17" t="s">
        <v>71</v>
      </c>
      <c r="D9939" t="s">
        <v>27428</v>
      </c>
      <c r="F9939" t="s">
        <v>27428</v>
      </c>
      <c r="K9939" s="18">
        <f>628128767888</f>
        <v>628128767888</v>
      </c>
      <c r="N9939" s="17" t="s">
        <v>77</v>
      </c>
      <c r="V9939" s="18">
        <f>628128767888</f>
        <v>628128767888</v>
      </c>
    </row>
    <row r="9940" ht="15" customHeight="1" spans="1:23" x14ac:dyDescent="0.25">
      <c r="A9940" s="17" t="s">
        <v>27432</v>
      </c>
      <c r="B9940" s="17" t="s">
        <v>70</v>
      </c>
      <c r="C9940" s="17" t="s">
        <v>71</v>
      </c>
      <c r="D9940" t="s">
        <v>27428</v>
      </c>
      <c r="F9940" t="s">
        <v>27433</v>
      </c>
      <c r="K9940" s="18">
        <f>6281318106106</f>
        <v>6281318106106</v>
      </c>
      <c r="N9940" s="17" t="s">
        <v>77</v>
      </c>
      <c r="U9940" s="17"/>
      <c r="V9940" s="18">
        <f>6281318106106</f>
        <v>6281318106106</v>
      </c>
      <c r="W9940" t="s">
        <v>27434</v>
      </c>
    </row>
    <row r="9941" ht="15" customHeight="1" spans="1:22" x14ac:dyDescent="0.25">
      <c r="A9941" s="17" t="s">
        <v>27435</v>
      </c>
      <c r="B9941" s="17" t="s">
        <v>70</v>
      </c>
      <c r="C9941" s="17" t="s">
        <v>71</v>
      </c>
      <c r="D9941" t="s">
        <v>27428</v>
      </c>
      <c r="F9941" t="s">
        <v>27436</v>
      </c>
      <c r="K9941" s="18">
        <f>628129500363</f>
        <v>628129500363</v>
      </c>
      <c r="N9941" s="17" t="s">
        <v>74</v>
      </c>
      <c r="V9941" s="18">
        <f>628129500363</f>
        <v>628129500363</v>
      </c>
    </row>
    <row r="9942" ht="15" customHeight="1" spans="1:23" x14ac:dyDescent="0.25">
      <c r="A9942" s="17" t="s">
        <v>27437</v>
      </c>
      <c r="B9942" s="17" t="s">
        <v>70</v>
      </c>
      <c r="C9942" s="17" t="s">
        <v>71</v>
      </c>
      <c r="D9942" t="s">
        <v>27428</v>
      </c>
      <c r="F9942" t="s">
        <v>3471</v>
      </c>
      <c r="J9942" s="17" t="s">
        <v>27438</v>
      </c>
      <c r="K9942" s="18">
        <f>6282298626765</f>
        <v>6282298626765</v>
      </c>
      <c r="N9942" s="17" t="s">
        <v>77</v>
      </c>
      <c r="U9942" s="17"/>
      <c r="V9942" s="18">
        <f>6282298626765</f>
        <v>6282298626765</v>
      </c>
      <c r="W9942" t="s">
        <v>27439</v>
      </c>
    </row>
    <row r="9943" ht="15" customHeight="1" spans="1:22" x14ac:dyDescent="0.25">
      <c r="A9943" s="17" t="s">
        <v>27440</v>
      </c>
      <c r="B9943" s="17" t="s">
        <v>70</v>
      </c>
      <c r="C9943" s="17" t="s">
        <v>71</v>
      </c>
      <c r="D9943" t="s">
        <v>27428</v>
      </c>
      <c r="F9943" t="s">
        <v>2903</v>
      </c>
      <c r="K9943" s="18">
        <f>6281388338383</f>
        <v>6281388338383</v>
      </c>
      <c r="N9943" s="17" t="s">
        <v>77</v>
      </c>
      <c r="V9943" s="18">
        <f>6281388338383</f>
        <v>6281388338383</v>
      </c>
    </row>
    <row r="9944" ht="15" customHeight="1" spans="1:22" x14ac:dyDescent="0.25">
      <c r="A9944" s="17" t="s">
        <v>27441</v>
      </c>
      <c r="B9944" s="17" t="s">
        <v>70</v>
      </c>
      <c r="C9944" s="17" t="s">
        <v>71</v>
      </c>
      <c r="D9944" t="s">
        <v>27428</v>
      </c>
      <c r="F9944" t="s">
        <v>26525</v>
      </c>
      <c r="K9944" s="18">
        <f>628161193031</f>
        <v>628161193031</v>
      </c>
      <c r="N9944" s="17" t="s">
        <v>77</v>
      </c>
      <c r="V9944" s="18">
        <f>628161193031</f>
        <v>628161193031</v>
      </c>
    </row>
    <row r="9945" ht="15" customHeight="1" spans="1:22" x14ac:dyDescent="0.25">
      <c r="A9945" s="17" t="s">
        <v>27442</v>
      </c>
      <c r="B9945" s="17" t="s">
        <v>70</v>
      </c>
      <c r="C9945" s="17" t="s">
        <v>71</v>
      </c>
      <c r="D9945" t="s">
        <v>27428</v>
      </c>
      <c r="F9945" t="s">
        <v>27428</v>
      </c>
      <c r="K9945" s="18">
        <f>628136111970</f>
        <v>628136111970</v>
      </c>
      <c r="N9945" s="17" t="s">
        <v>77</v>
      </c>
      <c r="V9945" s="18">
        <f>628136111970</f>
        <v>628136111970</v>
      </c>
    </row>
    <row r="9946" ht="15" customHeight="1" spans="1:28" x14ac:dyDescent="0.25">
      <c r="A9946" s="17" t="s">
        <v>27443</v>
      </c>
      <c r="B9946" s="17" t="s">
        <v>70</v>
      </c>
      <c r="C9946" s="17" t="s">
        <v>71</v>
      </c>
      <c r="D9946" t="s">
        <v>27428</v>
      </c>
      <c r="F9946" t="s">
        <v>27444</v>
      </c>
      <c r="J9946" t="s">
        <v>115</v>
      </c>
      <c r="K9946" s="18" t="s">
        <v>27445</v>
      </c>
      <c r="N9946" s="17" t="s">
        <v>74</v>
      </c>
      <c r="O9946" t="s">
        <v>199</v>
      </c>
      <c r="V9946" s="18" t="s">
        <v>27445</v>
      </c>
      <c r="Y9946" t="s">
        <v>90</v>
      </c>
      <c r="AA9946" t="s">
        <v>118</v>
      </c>
      <c r="AB9946" t="s">
        <v>119</v>
      </c>
    </row>
    <row r="9947" ht="15" customHeight="1" spans="1:28" x14ac:dyDescent="0.25">
      <c r="A9947" s="17" t="s">
        <v>27446</v>
      </c>
      <c r="B9947" s="17" t="s">
        <v>70</v>
      </c>
      <c r="C9947" s="17" t="s">
        <v>71</v>
      </c>
      <c r="D9947" t="s">
        <v>27428</v>
      </c>
      <c r="F9947" t="s">
        <v>11591</v>
      </c>
      <c r="J9947" s="17" t="s">
        <v>27447</v>
      </c>
      <c r="K9947" s="18" t="s">
        <v>27448</v>
      </c>
      <c r="N9947" s="17" t="s">
        <v>81</v>
      </c>
      <c r="O9947" t="s">
        <v>117</v>
      </c>
      <c r="U9947" s="17"/>
      <c r="V9947" s="18" t="s">
        <v>27448</v>
      </c>
      <c r="W9947" t="s">
        <v>27449</v>
      </c>
      <c r="Y9947" t="s">
        <v>90</v>
      </c>
      <c r="AA9947" t="s">
        <v>118</v>
      </c>
      <c r="AB9947" t="s">
        <v>119</v>
      </c>
    </row>
    <row r="9948" ht="15" customHeight="1" spans="1:22" x14ac:dyDescent="0.25">
      <c r="A9948" s="17" t="s">
        <v>27450</v>
      </c>
      <c r="B9948" s="17" t="s">
        <v>70</v>
      </c>
      <c r="C9948" s="17" t="s">
        <v>71</v>
      </c>
      <c r="D9948" t="s">
        <v>27428</v>
      </c>
      <c r="F9948" t="s">
        <v>27451</v>
      </c>
      <c r="K9948" s="18">
        <f>6281287490290</f>
        <v>6281287490290</v>
      </c>
      <c r="N9948" s="17" t="s">
        <v>74</v>
      </c>
      <c r="V9948" s="18">
        <f>6281287490290</f>
        <v>6281287490290</v>
      </c>
    </row>
    <row r="9949" ht="15" customHeight="1" spans="1:22" x14ac:dyDescent="0.25">
      <c r="A9949" s="17" t="s">
        <v>27452</v>
      </c>
      <c r="B9949" s="17" t="s">
        <v>70</v>
      </c>
      <c r="C9949" s="17" t="s">
        <v>71</v>
      </c>
      <c r="D9949" t="s">
        <v>27428</v>
      </c>
      <c r="F9949" t="s">
        <v>27453</v>
      </c>
      <c r="K9949" s="18">
        <f>6287886622186</f>
        <v>6287886622186</v>
      </c>
      <c r="N9949" s="17" t="s">
        <v>77</v>
      </c>
      <c r="V9949" s="18">
        <f>6287886622186</f>
        <v>6287886622186</v>
      </c>
    </row>
    <row r="9950" ht="15" customHeight="1" spans="1:22" x14ac:dyDescent="0.25">
      <c r="A9950" s="17" t="s">
        <v>27454</v>
      </c>
      <c r="B9950" s="17" t="s">
        <v>70</v>
      </c>
      <c r="C9950" s="17" t="s">
        <v>71</v>
      </c>
      <c r="D9950" t="s">
        <v>27428</v>
      </c>
      <c r="F9950" t="s">
        <v>27455</v>
      </c>
      <c r="K9950" s="18">
        <f>6281802323957</f>
        <v>6281802323957</v>
      </c>
      <c r="N9950" s="17" t="s">
        <v>81</v>
      </c>
      <c r="V9950" s="18">
        <f>6281802323957</f>
        <v>6281802323957</v>
      </c>
    </row>
    <row r="9951" ht="15" customHeight="1" spans="1:22" x14ac:dyDescent="0.25">
      <c r="A9951" s="17" t="s">
        <v>27456</v>
      </c>
      <c r="B9951" s="17" t="s">
        <v>70</v>
      </c>
      <c r="C9951" s="17" t="s">
        <v>71</v>
      </c>
      <c r="D9951" t="s">
        <v>27428</v>
      </c>
      <c r="F9951" t="s">
        <v>27457</v>
      </c>
      <c r="K9951" s="18">
        <f>628161623957</f>
        <v>628161623957</v>
      </c>
      <c r="N9951" s="17" t="s">
        <v>81</v>
      </c>
      <c r="V9951" s="18">
        <f>628161623957</f>
        <v>628161623957</v>
      </c>
    </row>
    <row r="9952" ht="15" customHeight="1" spans="1:28" x14ac:dyDescent="0.25">
      <c r="A9952" s="17" t="s">
        <v>27458</v>
      </c>
      <c r="B9952" s="17" t="s">
        <v>70</v>
      </c>
      <c r="C9952" s="17" t="s">
        <v>71</v>
      </c>
      <c r="D9952" t="s">
        <v>27394</v>
      </c>
      <c r="F9952" t="s">
        <v>27459</v>
      </c>
      <c r="J9952" t="s">
        <v>115</v>
      </c>
      <c r="K9952" s="18" t="s">
        <v>27460</v>
      </c>
      <c r="N9952" s="17" t="s">
        <v>77</v>
      </c>
      <c r="O9952" t="s">
        <v>261</v>
      </c>
      <c r="U9952" s="17"/>
      <c r="V9952" s="18" t="s">
        <v>27460</v>
      </c>
      <c r="W9952" t="s">
        <v>27461</v>
      </c>
      <c r="Y9952" t="s">
        <v>90</v>
      </c>
      <c r="AA9952" t="s">
        <v>118</v>
      </c>
      <c r="AB9952" t="s">
        <v>119</v>
      </c>
    </row>
    <row r="9953" ht="15" customHeight="1" spans="1:25" x14ac:dyDescent="0.25">
      <c r="A9953" s="17" t="s">
        <v>27462</v>
      </c>
      <c r="B9953" s="17" t="s">
        <v>70</v>
      </c>
      <c r="C9953" s="17" t="s">
        <v>71</v>
      </c>
      <c r="D9953" t="s">
        <v>27463</v>
      </c>
      <c r="F9953" t="s">
        <v>27464</v>
      </c>
      <c r="K9953" s="18">
        <f>62816756500</f>
        <v>62816756500</v>
      </c>
      <c r="N9953" s="17" t="s">
        <v>74</v>
      </c>
      <c r="U9953" s="17"/>
      <c r="V9953" s="18">
        <f>62816756500</f>
        <v>62816756500</v>
      </c>
      <c r="W9953" t="s">
        <v>27465</v>
      </c>
      <c r="Y9953" s="17" t="s">
        <v>1084</v>
      </c>
    </row>
    <row r="9954" ht="15" customHeight="1" spans="1:25" x14ac:dyDescent="0.25">
      <c r="A9954" s="17" t="s">
        <v>27466</v>
      </c>
      <c r="B9954" s="17" t="s">
        <v>70</v>
      </c>
      <c r="C9954" s="17" t="s">
        <v>71</v>
      </c>
      <c r="D9954" t="s">
        <v>27463</v>
      </c>
      <c r="F9954" t="s">
        <v>27467</v>
      </c>
      <c r="K9954" s="18">
        <v>65302557</v>
      </c>
      <c r="N9954" s="17" t="s">
        <v>74</v>
      </c>
      <c r="U9954" s="17"/>
      <c r="V9954" s="18">
        <v>65302557</v>
      </c>
      <c r="W9954" t="s">
        <v>27468</v>
      </c>
      <c r="Y9954" s="17" t="s">
        <v>1084</v>
      </c>
    </row>
    <row r="9955" ht="15" customHeight="1" spans="1:22" x14ac:dyDescent="0.25">
      <c r="A9955" s="17" t="s">
        <v>27469</v>
      </c>
      <c r="B9955" s="17" t="s">
        <v>70</v>
      </c>
      <c r="C9955" s="17" t="s">
        <v>71</v>
      </c>
      <c r="D9955" t="s">
        <v>27470</v>
      </c>
      <c r="F9955" t="s">
        <v>618</v>
      </c>
      <c r="K9955" s="18">
        <f>62818994628</f>
        <v>62818994628</v>
      </c>
      <c r="N9955" s="17" t="s">
        <v>74</v>
      </c>
      <c r="V9955" s="18">
        <f>62818994628</f>
        <v>62818994628</v>
      </c>
    </row>
    <row r="9956" ht="15" customHeight="1" spans="1:22" x14ac:dyDescent="0.25">
      <c r="A9956" s="17" t="s">
        <v>27471</v>
      </c>
      <c r="B9956" s="17" t="s">
        <v>70</v>
      </c>
      <c r="C9956" s="17" t="s">
        <v>71</v>
      </c>
      <c r="D9956" t="s">
        <v>27472</v>
      </c>
      <c r="F9956" t="s">
        <v>27472</v>
      </c>
      <c r="K9956" s="18">
        <f>6281294039140</f>
        <v>6281294039140</v>
      </c>
      <c r="N9956" s="17" t="s">
        <v>81</v>
      </c>
      <c r="V9956" s="18">
        <f>6281294039140</f>
        <v>6281294039140</v>
      </c>
    </row>
    <row r="9957" ht="15" customHeight="1" spans="1:23" x14ac:dyDescent="0.25">
      <c r="A9957" s="17" t="s">
        <v>27473</v>
      </c>
      <c r="B9957" s="17" t="s">
        <v>70</v>
      </c>
      <c r="C9957" s="17" t="s">
        <v>71</v>
      </c>
      <c r="D9957" t="s">
        <v>27474</v>
      </c>
      <c r="F9957" t="s">
        <v>27474</v>
      </c>
      <c r="K9957" s="18">
        <f>6281299076722</f>
        <v>6281299076722</v>
      </c>
      <c r="N9957" s="17" t="s">
        <v>77</v>
      </c>
      <c r="U9957" s="17"/>
      <c r="V9957" s="18">
        <f>6281299076722</f>
        <v>6281299076722</v>
      </c>
      <c r="W9957" t="s">
        <v>27475</v>
      </c>
    </row>
    <row r="9958" ht="15" customHeight="1" spans="1:22" x14ac:dyDescent="0.25">
      <c r="A9958" s="17" t="s">
        <v>27476</v>
      </c>
      <c r="B9958" s="17" t="s">
        <v>70</v>
      </c>
      <c r="C9958" s="17" t="s">
        <v>71</v>
      </c>
      <c r="D9958" t="s">
        <v>27477</v>
      </c>
      <c r="F9958" t="s">
        <v>13598</v>
      </c>
      <c r="K9958" s="18">
        <f>6285222596228</f>
        <v>6285222596228</v>
      </c>
      <c r="N9958" s="17" t="s">
        <v>77</v>
      </c>
      <c r="V9958" s="18">
        <f>6285222596228</f>
        <v>6285222596228</v>
      </c>
    </row>
    <row r="9959" ht="15" customHeight="1" spans="1:22" x14ac:dyDescent="0.25">
      <c r="A9959" s="17" t="s">
        <v>27478</v>
      </c>
      <c r="B9959" s="17" t="s">
        <v>70</v>
      </c>
      <c r="C9959" s="17" t="s">
        <v>71</v>
      </c>
      <c r="D9959" t="s">
        <v>27479</v>
      </c>
      <c r="F9959" t="s">
        <v>27479</v>
      </c>
      <c r="K9959" s="18">
        <f>6281285895205</f>
        <v>6281285895205</v>
      </c>
      <c r="N9959" s="17" t="s">
        <v>77</v>
      </c>
      <c r="V9959" s="18">
        <f>6281285895205</f>
        <v>6281285895205</v>
      </c>
    </row>
    <row r="9960" ht="15" customHeight="1" spans="1:22" x14ac:dyDescent="0.25">
      <c r="A9960" s="17" t="s">
        <v>27480</v>
      </c>
      <c r="B9960" s="17" t="s">
        <v>70</v>
      </c>
      <c r="C9960" s="17" t="s">
        <v>71</v>
      </c>
      <c r="D9960" t="s">
        <v>27479</v>
      </c>
      <c r="F9960" t="s">
        <v>1205</v>
      </c>
      <c r="K9960" s="18">
        <f>6282225300905</f>
        <v>6282225300905</v>
      </c>
      <c r="N9960" s="17" t="s">
        <v>81</v>
      </c>
      <c r="V9960" s="18">
        <f>6282225300905</f>
        <v>6282225300905</v>
      </c>
    </row>
    <row r="9961" ht="15" customHeight="1" spans="1:28" x14ac:dyDescent="0.25">
      <c r="A9961" s="17" t="s">
        <v>27481</v>
      </c>
      <c r="B9961" s="17" t="s">
        <v>70</v>
      </c>
      <c r="C9961" s="17" t="s">
        <v>71</v>
      </c>
      <c r="D9961" t="s">
        <v>27482</v>
      </c>
      <c r="F9961" t="s">
        <v>983</v>
      </c>
      <c r="J9961" t="s">
        <v>115</v>
      </c>
      <c r="K9961" s="18" t="s">
        <v>27483</v>
      </c>
      <c r="N9961" s="17" t="s">
        <v>77</v>
      </c>
      <c r="O9961" t="s">
        <v>489</v>
      </c>
      <c r="V9961" s="18" t="s">
        <v>27483</v>
      </c>
      <c r="Y9961" t="s">
        <v>490</v>
      </c>
      <c r="AA9961" t="s">
        <v>115</v>
      </c>
      <c r="AB9961" t="s">
        <v>119</v>
      </c>
    </row>
    <row r="9962" ht="15" customHeight="1" spans="1:23" x14ac:dyDescent="0.25">
      <c r="A9962" s="17" t="s">
        <v>27484</v>
      </c>
      <c r="B9962" s="17" t="s">
        <v>70</v>
      </c>
      <c r="C9962" s="17" t="s">
        <v>71</v>
      </c>
      <c r="D9962" t="s">
        <v>27485</v>
      </c>
      <c r="F9962" t="s">
        <v>4977</v>
      </c>
      <c r="K9962" s="18">
        <f>41795933001</f>
        <v>41795933001</v>
      </c>
      <c r="N9962" s="17" t="s">
        <v>77</v>
      </c>
      <c r="U9962" s="17"/>
      <c r="V9962" s="18">
        <f>41795933001</f>
        <v>41795933001</v>
      </c>
      <c r="W9962" t="s">
        <v>27486</v>
      </c>
    </row>
    <row r="9963" ht="15" customHeight="1" spans="1:23" x14ac:dyDescent="0.25">
      <c r="A9963" s="17" t="s">
        <v>27487</v>
      </c>
      <c r="B9963" s="17" t="s">
        <v>70</v>
      </c>
      <c r="C9963" s="17" t="s">
        <v>71</v>
      </c>
      <c r="D9963" t="s">
        <v>27488</v>
      </c>
      <c r="F9963" t="s">
        <v>27489</v>
      </c>
      <c r="K9963" s="18">
        <f>62816813875</f>
        <v>62816813875</v>
      </c>
      <c r="N9963" s="17" t="s">
        <v>74</v>
      </c>
      <c r="U9963" s="17"/>
      <c r="V9963" s="18">
        <f>62816813875</f>
        <v>62816813875</v>
      </c>
      <c r="W9963" t="s">
        <v>27490</v>
      </c>
    </row>
    <row r="9964" ht="15" customHeight="1" spans="1:28" x14ac:dyDescent="0.25">
      <c r="A9964" s="17" t="s">
        <v>27491</v>
      </c>
      <c r="B9964" s="17" t="s">
        <v>70</v>
      </c>
      <c r="C9964" s="17" t="s">
        <v>71</v>
      </c>
      <c r="D9964" t="s">
        <v>27492</v>
      </c>
      <c r="F9964" t="s">
        <v>6082</v>
      </c>
      <c r="J9964" s="17" t="s">
        <v>27493</v>
      </c>
      <c r="K9964" s="18" t="s">
        <v>27494</v>
      </c>
      <c r="N9964" s="17" t="s">
        <v>77</v>
      </c>
      <c r="O9964" t="s">
        <v>145</v>
      </c>
      <c r="V9964" s="18" t="s">
        <v>27494</v>
      </c>
      <c r="Y9964" t="s">
        <v>190</v>
      </c>
      <c r="AA9964" t="s">
        <v>118</v>
      </c>
      <c r="AB9964" t="s">
        <v>119</v>
      </c>
    </row>
    <row r="9965" ht="15" customHeight="1" spans="1:25" x14ac:dyDescent="0.25">
      <c r="A9965" s="17" t="s">
        <v>27495</v>
      </c>
      <c r="B9965" s="17" t="s">
        <v>70</v>
      </c>
      <c r="C9965" s="17" t="s">
        <v>71</v>
      </c>
      <c r="D9965" t="s">
        <v>27496</v>
      </c>
      <c r="F9965" t="s">
        <v>27497</v>
      </c>
      <c r="J9965" s="17" t="s">
        <v>27498</v>
      </c>
      <c r="K9965" s="18">
        <f>6281388236900</f>
        <v>6281388236900</v>
      </c>
      <c r="N9965" s="17" t="s">
        <v>81</v>
      </c>
      <c r="U9965" s="17"/>
      <c r="V9965" s="18">
        <f>6281388236900</f>
        <v>6281388236900</v>
      </c>
      <c r="W9965" t="s">
        <v>27499</v>
      </c>
      <c r="Y9965" s="17" t="s">
        <v>27500</v>
      </c>
    </row>
    <row r="9966" ht="15" customHeight="1" spans="1:28" x14ac:dyDescent="0.25">
      <c r="A9966" s="17" t="s">
        <v>27501</v>
      </c>
      <c r="B9966" s="17" t="s">
        <v>70</v>
      </c>
      <c r="C9966" s="17" t="s">
        <v>71</v>
      </c>
      <c r="D9966" t="s">
        <v>27502</v>
      </c>
      <c r="F9966" t="s">
        <v>27503</v>
      </c>
      <c r="J9966" s="17" t="s">
        <v>27504</v>
      </c>
      <c r="K9966" s="18" t="s">
        <v>27505</v>
      </c>
      <c r="N9966" s="17" t="s">
        <v>77</v>
      </c>
      <c r="O9966" t="s">
        <v>145</v>
      </c>
      <c r="V9966" s="18" t="s">
        <v>27505</v>
      </c>
      <c r="Y9966" t="s">
        <v>90</v>
      </c>
      <c r="AA9966" t="s">
        <v>118</v>
      </c>
      <c r="AB9966" t="s">
        <v>119</v>
      </c>
    </row>
    <row r="9967" ht="15" customHeight="1" spans="1:23" x14ac:dyDescent="0.25">
      <c r="A9967" s="17" t="s">
        <v>27506</v>
      </c>
      <c r="B9967" s="17" t="s">
        <v>70</v>
      </c>
      <c r="C9967" s="17" t="s">
        <v>71</v>
      </c>
      <c r="D9967" t="s">
        <v>27507</v>
      </c>
      <c r="F9967" t="s">
        <v>27508</v>
      </c>
      <c r="K9967" s="18">
        <f>62811964927</f>
        <v>62811964927</v>
      </c>
      <c r="N9967" s="17" t="s">
        <v>77</v>
      </c>
      <c r="U9967" s="17"/>
      <c r="V9967" s="18">
        <f>62811964927</f>
        <v>62811964927</v>
      </c>
      <c r="W9967" t="s">
        <v>27509</v>
      </c>
    </row>
    <row r="9968" ht="15" customHeight="1" spans="1:22" x14ac:dyDescent="0.25">
      <c r="A9968" s="17" t="s">
        <v>27510</v>
      </c>
      <c r="B9968" s="17" t="s">
        <v>70</v>
      </c>
      <c r="C9968" s="17" t="s">
        <v>71</v>
      </c>
      <c r="D9968" t="s">
        <v>27511</v>
      </c>
      <c r="F9968" t="s">
        <v>27511</v>
      </c>
      <c r="K9968" s="18">
        <f>62811835011</f>
        <v>62811835011</v>
      </c>
      <c r="N9968" s="17" t="s">
        <v>77</v>
      </c>
      <c r="V9968" s="18">
        <f>62811835011</f>
        <v>62811835011</v>
      </c>
    </row>
    <row r="9969" ht="15" customHeight="1" spans="1:28" x14ac:dyDescent="0.25">
      <c r="A9969" s="17" t="s">
        <v>27512</v>
      </c>
      <c r="B9969" s="17" t="s">
        <v>70</v>
      </c>
      <c r="C9969" s="17" t="s">
        <v>71</v>
      </c>
      <c r="D9969" t="s">
        <v>27511</v>
      </c>
      <c r="F9969" t="s">
        <v>27513</v>
      </c>
      <c r="J9969" t="s">
        <v>115</v>
      </c>
      <c r="K9969" s="18" t="s">
        <v>27514</v>
      </c>
      <c r="N9969" s="17" t="s">
        <v>77</v>
      </c>
      <c r="O9969" t="s">
        <v>117</v>
      </c>
      <c r="V9969" s="18" t="s">
        <v>27514</v>
      </c>
      <c r="Y9969" t="s">
        <v>90</v>
      </c>
      <c r="AA9969" t="s">
        <v>118</v>
      </c>
      <c r="AB9969" t="s">
        <v>119</v>
      </c>
    </row>
    <row r="9970" ht="15" customHeight="1" spans="1:25" x14ac:dyDescent="0.25">
      <c r="A9970" s="17" t="s">
        <v>27515</v>
      </c>
      <c r="B9970" s="17" t="s">
        <v>70</v>
      </c>
      <c r="C9970" s="17" t="s">
        <v>71</v>
      </c>
      <c r="D9970" t="s">
        <v>27516</v>
      </c>
      <c r="F9970" t="s">
        <v>27517</v>
      </c>
      <c r="K9970" s="18">
        <v>8118002343</v>
      </c>
      <c r="N9970" s="17" t="s">
        <v>81</v>
      </c>
      <c r="U9970" s="17"/>
      <c r="V9970" s="18">
        <v>8118002343</v>
      </c>
      <c r="W9970" t="s">
        <v>27518</v>
      </c>
      <c r="Y9970" s="17" t="s">
        <v>96</v>
      </c>
    </row>
    <row r="9971" ht="15" customHeight="1" spans="1:23" x14ac:dyDescent="0.25">
      <c r="A9971" s="17" t="s">
        <v>27519</v>
      </c>
      <c r="B9971" s="17" t="s">
        <v>70</v>
      </c>
      <c r="C9971" s="17" t="s">
        <v>71</v>
      </c>
      <c r="D9971" t="s">
        <v>27520</v>
      </c>
      <c r="F9971" t="s">
        <v>23724</v>
      </c>
      <c r="K9971" s="18">
        <f>6281333310310</f>
        <v>6281333310310</v>
      </c>
      <c r="N9971" s="17" t="s">
        <v>77</v>
      </c>
      <c r="U9971" s="17"/>
      <c r="V9971" s="18">
        <f>6281333310310</f>
        <v>6281333310310</v>
      </c>
      <c r="W9971" t="s">
        <v>27521</v>
      </c>
    </row>
    <row r="9972" ht="15" customHeight="1" spans="1:22" x14ac:dyDescent="0.25">
      <c r="A9972" s="17" t="s">
        <v>27522</v>
      </c>
      <c r="B9972" s="17" t="s">
        <v>70</v>
      </c>
      <c r="C9972" s="17" t="s">
        <v>71</v>
      </c>
      <c r="D9972" t="s">
        <v>27523</v>
      </c>
      <c r="F9972" t="s">
        <v>27523</v>
      </c>
      <c r="K9972" s="18">
        <f>6281387899992</f>
        <v>6281387899992</v>
      </c>
      <c r="N9972" s="17" t="s">
        <v>74</v>
      </c>
      <c r="V9972" s="18">
        <f>6281387899992</f>
        <v>6281387899992</v>
      </c>
    </row>
    <row r="9973" ht="15" customHeight="1" spans="1:28" x14ac:dyDescent="0.25">
      <c r="A9973" s="17" t="s">
        <v>27524</v>
      </c>
      <c r="B9973" s="17" t="s">
        <v>70</v>
      </c>
      <c r="C9973" s="17" t="s">
        <v>71</v>
      </c>
      <c r="D9973" t="s">
        <v>27523</v>
      </c>
      <c r="F9973" t="s">
        <v>27523</v>
      </c>
      <c r="J9973" t="s">
        <v>115</v>
      </c>
      <c r="K9973" s="18" t="s">
        <v>27525</v>
      </c>
      <c r="N9973" s="17" t="s">
        <v>77</v>
      </c>
      <c r="O9973" t="s">
        <v>117</v>
      </c>
      <c r="V9973" s="18" t="s">
        <v>27525</v>
      </c>
      <c r="Y9973" t="s">
        <v>115</v>
      </c>
      <c r="AA9973" t="s">
        <v>115</v>
      </c>
      <c r="AB9973" t="s">
        <v>119</v>
      </c>
    </row>
    <row r="9974" ht="15" customHeight="1" spans="1:23" x14ac:dyDescent="0.25">
      <c r="A9974" s="17" t="s">
        <v>27526</v>
      </c>
      <c r="B9974" s="17" t="s">
        <v>70</v>
      </c>
      <c r="C9974" s="17" t="s">
        <v>71</v>
      </c>
      <c r="D9974" t="s">
        <v>27527</v>
      </c>
      <c r="F9974" t="s">
        <v>27527</v>
      </c>
      <c r="K9974" s="18">
        <f>6281513203337</f>
        <v>6281513203337</v>
      </c>
      <c r="N9974" s="17" t="s">
        <v>77</v>
      </c>
      <c r="U9974" s="17"/>
      <c r="V9974" s="18">
        <f>6281513203337</f>
        <v>6281513203337</v>
      </c>
      <c r="W9974" t="s">
        <v>27528</v>
      </c>
    </row>
    <row r="9975" ht="15" customHeight="1" spans="1:22" x14ac:dyDescent="0.25">
      <c r="A9975" s="17" t="s">
        <v>27529</v>
      </c>
      <c r="B9975" s="17" t="s">
        <v>70</v>
      </c>
      <c r="C9975" s="17" t="s">
        <v>71</v>
      </c>
      <c r="D9975" t="s">
        <v>27527</v>
      </c>
      <c r="F9975" t="s">
        <v>205</v>
      </c>
      <c r="K9975" s="18">
        <f>6281316125266</f>
        <v>6281316125266</v>
      </c>
      <c r="N9975" s="17" t="s">
        <v>77</v>
      </c>
      <c r="V9975" s="18">
        <f>6281316125266</f>
        <v>6281316125266</v>
      </c>
    </row>
    <row r="9976" ht="15" customHeight="1" spans="1:28" x14ac:dyDescent="0.25">
      <c r="A9976" s="17" t="s">
        <v>27530</v>
      </c>
      <c r="B9976" s="17" t="s">
        <v>70</v>
      </c>
      <c r="C9976" s="17" t="s">
        <v>71</v>
      </c>
      <c r="D9976" t="s">
        <v>11534</v>
      </c>
      <c r="F9976" t="s">
        <v>27531</v>
      </c>
      <c r="J9976" t="s">
        <v>27532</v>
      </c>
      <c r="K9976" s="18" t="s">
        <v>27533</v>
      </c>
      <c r="N9976" s="17" t="s">
        <v>77</v>
      </c>
      <c r="O9976" t="s">
        <v>145</v>
      </c>
      <c r="V9976" s="18" t="s">
        <v>27533</v>
      </c>
      <c r="Y9976" t="s">
        <v>115</v>
      </c>
      <c r="AA9976" t="s">
        <v>115</v>
      </c>
      <c r="AB9976" t="s">
        <v>119</v>
      </c>
    </row>
    <row r="9977" ht="15" customHeight="1" spans="1:27" x14ac:dyDescent="0.25">
      <c r="A9977" s="17" t="s">
        <v>27534</v>
      </c>
      <c r="B9977" s="17" t="s">
        <v>70</v>
      </c>
      <c r="C9977" s="17" t="s">
        <v>71</v>
      </c>
      <c r="D9977" t="s">
        <v>27535</v>
      </c>
      <c r="F9977" t="s">
        <v>27535</v>
      </c>
      <c r="K9977" s="18">
        <v>7452101</v>
      </c>
      <c r="N9977" s="17" t="s">
        <v>77</v>
      </c>
      <c r="U9977" s="17"/>
      <c r="V9977" s="18">
        <v>7452101</v>
      </c>
      <c r="W9977" t="s">
        <v>27536</v>
      </c>
      <c r="Y9977" s="17" t="s">
        <v>96</v>
      </c>
      <c r="AA9977" s="17" t="s">
        <v>27537</v>
      </c>
    </row>
    <row r="9978" ht="15" customHeight="1" spans="1:23" x14ac:dyDescent="0.25">
      <c r="A9978" s="17" t="s">
        <v>27538</v>
      </c>
      <c r="B9978" s="17" t="s">
        <v>70</v>
      </c>
      <c r="C9978" s="17" t="s">
        <v>71</v>
      </c>
      <c r="D9978" t="s">
        <v>27539</v>
      </c>
      <c r="F9978" t="s">
        <v>27540</v>
      </c>
      <c r="J9978" s="17" t="s">
        <v>27541</v>
      </c>
      <c r="K9978" s="18">
        <f>628122002428</f>
        <v>628122002428</v>
      </c>
      <c r="N9978" s="17" t="s">
        <v>77</v>
      </c>
      <c r="U9978" s="17"/>
      <c r="V9978" s="18">
        <f>628122002428</f>
        <v>628122002428</v>
      </c>
      <c r="W9978" t="s">
        <v>27542</v>
      </c>
    </row>
    <row r="9979" ht="15" customHeight="1" spans="1:27" x14ac:dyDescent="0.25">
      <c r="A9979" s="17" t="s">
        <v>27543</v>
      </c>
      <c r="B9979" s="17" t="s">
        <v>70</v>
      </c>
      <c r="C9979" s="17" t="s">
        <v>71</v>
      </c>
      <c r="D9979" t="s">
        <v>27544</v>
      </c>
      <c r="F9979" t="s">
        <v>10833</v>
      </c>
      <c r="K9979" s="18">
        <f>6287881401177</f>
        <v>6287881401177</v>
      </c>
      <c r="N9979" s="17" t="s">
        <v>81</v>
      </c>
      <c r="U9979" s="17"/>
      <c r="V9979" s="18">
        <f>6287881401177</f>
        <v>6287881401177</v>
      </c>
      <c r="W9979" t="s">
        <v>27545</v>
      </c>
      <c r="AA9979" s="17">
        <v>15332</v>
      </c>
    </row>
    <row r="9980" ht="15" customHeight="1" spans="1:23" x14ac:dyDescent="0.25">
      <c r="A9980" s="17" t="s">
        <v>27546</v>
      </c>
      <c r="B9980" s="17" t="s">
        <v>70</v>
      </c>
      <c r="C9980" s="17" t="s">
        <v>71</v>
      </c>
      <c r="D9980" t="s">
        <v>27547</v>
      </c>
      <c r="F9980" t="s">
        <v>1217</v>
      </c>
      <c r="J9980" s="17" t="s">
        <v>27548</v>
      </c>
      <c r="K9980" s="18">
        <f>628126111818</f>
        <v>628126111818</v>
      </c>
      <c r="N9980" s="17" t="s">
        <v>81</v>
      </c>
      <c r="U9980" s="17"/>
      <c r="V9980" s="18">
        <f>628126111818</f>
        <v>628126111818</v>
      </c>
      <c r="W9980" t="s">
        <v>27549</v>
      </c>
    </row>
    <row r="9981" ht="15" customHeight="1" spans="1:22" x14ac:dyDescent="0.25">
      <c r="A9981" s="17" t="s">
        <v>27550</v>
      </c>
      <c r="B9981" s="17" t="s">
        <v>70</v>
      </c>
      <c r="C9981" s="17" t="s">
        <v>71</v>
      </c>
      <c r="D9981" t="s">
        <v>27551</v>
      </c>
      <c r="F9981" t="s">
        <v>3920</v>
      </c>
      <c r="K9981" s="18">
        <f>62816834265</f>
        <v>62816834265</v>
      </c>
      <c r="N9981" s="17" t="s">
        <v>77</v>
      </c>
      <c r="V9981" s="18">
        <f>62816834265</f>
        <v>62816834265</v>
      </c>
    </row>
    <row r="9982" ht="15" customHeight="1" spans="1:23" x14ac:dyDescent="0.25">
      <c r="A9982" s="17" t="s">
        <v>27552</v>
      </c>
      <c r="B9982" s="17" t="s">
        <v>70</v>
      </c>
      <c r="C9982" s="17" t="s">
        <v>71</v>
      </c>
      <c r="D9982" t="s">
        <v>27553</v>
      </c>
      <c r="F9982" t="s">
        <v>27554</v>
      </c>
      <c r="K9982" s="18">
        <f>6282165185125</f>
        <v>6282165185125</v>
      </c>
      <c r="N9982" s="17" t="s">
        <v>81</v>
      </c>
      <c r="U9982" s="17"/>
      <c r="V9982" s="18">
        <f>6282165185125</f>
        <v>6282165185125</v>
      </c>
      <c r="W9982" t="s">
        <v>27555</v>
      </c>
    </row>
    <row r="9983" ht="15" customHeight="1" spans="1:23" x14ac:dyDescent="0.25">
      <c r="A9983" s="17" t="s">
        <v>27556</v>
      </c>
      <c r="B9983" s="17" t="s">
        <v>70</v>
      </c>
      <c r="C9983" s="17" t="s">
        <v>71</v>
      </c>
      <c r="D9983" t="s">
        <v>23450</v>
      </c>
      <c r="F9983" t="s">
        <v>3869</v>
      </c>
      <c r="K9983" s="18">
        <f>628121107802</f>
        <v>628121107802</v>
      </c>
      <c r="N9983" s="17" t="s">
        <v>77</v>
      </c>
      <c r="U9983" s="17"/>
      <c r="V9983" s="18">
        <f>628121107802</f>
        <v>628121107802</v>
      </c>
      <c r="W9983" t="s">
        <v>27557</v>
      </c>
    </row>
    <row r="9984" ht="15" customHeight="1" spans="1:28" x14ac:dyDescent="0.25">
      <c r="A9984" s="17" t="s">
        <v>27558</v>
      </c>
      <c r="B9984" s="17" t="s">
        <v>70</v>
      </c>
      <c r="C9984" s="17" t="s">
        <v>71</v>
      </c>
      <c r="D9984" t="s">
        <v>27559</v>
      </c>
      <c r="F9984" t="s">
        <v>3869</v>
      </c>
      <c r="J9984" t="s">
        <v>27560</v>
      </c>
      <c r="K9984" s="18" t="s">
        <v>27561</v>
      </c>
      <c r="N9984" s="17" t="s">
        <v>81</v>
      </c>
      <c r="O9984" t="s">
        <v>261</v>
      </c>
      <c r="V9984" s="18" t="s">
        <v>27561</v>
      </c>
      <c r="Y9984" t="s">
        <v>96</v>
      </c>
      <c r="AA9984" t="s">
        <v>693</v>
      </c>
      <c r="AB9984" t="s">
        <v>119</v>
      </c>
    </row>
    <row r="9985" ht="15" customHeight="1" spans="1:28" x14ac:dyDescent="0.25">
      <c r="A9985" s="17" t="s">
        <v>27562</v>
      </c>
      <c r="B9985" s="17" t="s">
        <v>70</v>
      </c>
      <c r="C9985" s="17" t="s">
        <v>71</v>
      </c>
      <c r="D9985" t="s">
        <v>7124</v>
      </c>
      <c r="F9985" t="s">
        <v>7914</v>
      </c>
      <c r="J9985" t="s">
        <v>115</v>
      </c>
      <c r="K9985" s="18" t="s">
        <v>27563</v>
      </c>
      <c r="N9985" s="17" t="s">
        <v>77</v>
      </c>
      <c r="O9985" t="s">
        <v>117</v>
      </c>
      <c r="V9985" s="18" t="s">
        <v>27563</v>
      </c>
      <c r="Y9985" t="s">
        <v>4993</v>
      </c>
      <c r="AA9985" t="s">
        <v>115</v>
      </c>
      <c r="AB9985" t="s">
        <v>119</v>
      </c>
    </row>
    <row r="9986" ht="15" customHeight="1" spans="1:22" x14ac:dyDescent="0.25">
      <c r="A9986" s="17" t="s">
        <v>27564</v>
      </c>
      <c r="B9986" s="17" t="s">
        <v>70</v>
      </c>
      <c r="C9986" s="17" t="s">
        <v>71</v>
      </c>
      <c r="D9986" t="s">
        <v>27565</v>
      </c>
      <c r="F9986" t="s">
        <v>27565</v>
      </c>
      <c r="K9986" s="18">
        <f>6287885174384</f>
        <v>6287885174384</v>
      </c>
      <c r="N9986" s="17" t="s">
        <v>77</v>
      </c>
      <c r="V9986" s="18">
        <f>6287885174384</f>
        <v>6287885174384</v>
      </c>
    </row>
    <row r="9987" ht="15" customHeight="1" spans="1:28" x14ac:dyDescent="0.25">
      <c r="A9987" s="17" t="s">
        <v>27566</v>
      </c>
      <c r="B9987" s="17" t="s">
        <v>70</v>
      </c>
      <c r="C9987" s="17" t="s">
        <v>71</v>
      </c>
      <c r="D9987" t="s">
        <v>27565</v>
      </c>
      <c r="F9987" t="s">
        <v>27565</v>
      </c>
      <c r="J9987" t="s">
        <v>115</v>
      </c>
      <c r="K9987" s="18" t="s">
        <v>27567</v>
      </c>
      <c r="N9987" s="17" t="s">
        <v>77</v>
      </c>
      <c r="O9987" t="s">
        <v>117</v>
      </c>
      <c r="V9987" s="18" t="s">
        <v>27567</v>
      </c>
      <c r="Y9987" t="s">
        <v>90</v>
      </c>
      <c r="AA9987" t="s">
        <v>118</v>
      </c>
      <c r="AB9987" t="s">
        <v>119</v>
      </c>
    </row>
    <row r="9988" ht="15" customHeight="1" spans="1:28" x14ac:dyDescent="0.25">
      <c r="A9988" s="17" t="s">
        <v>27568</v>
      </c>
      <c r="B9988" s="17" t="s">
        <v>70</v>
      </c>
      <c r="C9988" s="17" t="s">
        <v>71</v>
      </c>
      <c r="D9988" t="s">
        <v>27569</v>
      </c>
      <c r="F9988" t="s">
        <v>9578</v>
      </c>
      <c r="J9988" t="s">
        <v>115</v>
      </c>
      <c r="K9988" s="18" t="s">
        <v>27570</v>
      </c>
      <c r="N9988" s="17" t="s">
        <v>77</v>
      </c>
      <c r="O9988" t="s">
        <v>199</v>
      </c>
      <c r="U9988" s="17"/>
      <c r="V9988" s="18" t="s">
        <v>27570</v>
      </c>
      <c r="W9988" t="s">
        <v>27571</v>
      </c>
      <c r="Y9988" t="s">
        <v>90</v>
      </c>
      <c r="AA9988" t="s">
        <v>118</v>
      </c>
      <c r="AB9988" t="s">
        <v>119</v>
      </c>
    </row>
    <row r="9989" ht="15" customHeight="1" spans="1:25" x14ac:dyDescent="0.25">
      <c r="A9989" s="17" t="s">
        <v>27572</v>
      </c>
      <c r="B9989" s="17" t="s">
        <v>70</v>
      </c>
      <c r="C9989" s="17" t="s">
        <v>71</v>
      </c>
      <c r="D9989" t="s">
        <v>27565</v>
      </c>
      <c r="F9989" t="s">
        <v>27573</v>
      </c>
      <c r="K9989" s="18">
        <f>6281808203083</f>
        <v>6281808203083</v>
      </c>
      <c r="N9989" s="17" t="s">
        <v>77</v>
      </c>
      <c r="V9989" s="18">
        <f>6281808203083</f>
        <v>6281808203083</v>
      </c>
      <c r="Y9989" s="17" t="s">
        <v>90</v>
      </c>
    </row>
    <row r="9990" ht="15" customHeight="1" spans="1:22" x14ac:dyDescent="0.25">
      <c r="A9990" s="17" t="s">
        <v>27574</v>
      </c>
      <c r="B9990" s="17" t="s">
        <v>70</v>
      </c>
      <c r="C9990" s="17" t="s">
        <v>71</v>
      </c>
      <c r="D9990" t="s">
        <v>27565</v>
      </c>
      <c r="F9990" t="s">
        <v>27575</v>
      </c>
      <c r="K9990" s="18">
        <f>622129920000</f>
        <v>622129920000</v>
      </c>
      <c r="N9990" s="17" t="s">
        <v>81</v>
      </c>
      <c r="V9990" s="18">
        <f>622129920000</f>
        <v>622129920000</v>
      </c>
    </row>
    <row r="9991" ht="15" customHeight="1" spans="1:28" x14ac:dyDescent="0.25">
      <c r="A9991" s="17" t="s">
        <v>27576</v>
      </c>
      <c r="B9991" s="17" t="s">
        <v>70</v>
      </c>
      <c r="C9991" s="17" t="s">
        <v>71</v>
      </c>
      <c r="D9991" t="s">
        <v>27565</v>
      </c>
      <c r="F9991" t="s">
        <v>27577</v>
      </c>
      <c r="J9991" t="s">
        <v>115</v>
      </c>
      <c r="K9991" s="18" t="s">
        <v>27578</v>
      </c>
      <c r="N9991" s="17" t="s">
        <v>81</v>
      </c>
      <c r="O9991" t="s">
        <v>261</v>
      </c>
      <c r="V9991" s="18" t="s">
        <v>27578</v>
      </c>
      <c r="Y9991" t="s">
        <v>500</v>
      </c>
      <c r="AA9991" t="s">
        <v>501</v>
      </c>
      <c r="AB9991" t="s">
        <v>119</v>
      </c>
    </row>
    <row r="9992" ht="15" customHeight="1" spans="1:25" x14ac:dyDescent="0.25">
      <c r="A9992" s="17" t="s">
        <v>27579</v>
      </c>
      <c r="B9992" s="17" t="s">
        <v>70</v>
      </c>
      <c r="C9992" s="17" t="s">
        <v>71</v>
      </c>
      <c r="D9992" t="s">
        <v>27565</v>
      </c>
      <c r="F9992" t="s">
        <v>22173</v>
      </c>
      <c r="K9992" s="18">
        <f>62811955222</f>
        <v>62811955222</v>
      </c>
      <c r="N9992" s="17" t="s">
        <v>81</v>
      </c>
      <c r="U9992" s="17"/>
      <c r="V9992" s="18">
        <f>62811955222</f>
        <v>62811955222</v>
      </c>
      <c r="W9992" t="s">
        <v>27580</v>
      </c>
      <c r="Y9992" s="17" t="s">
        <v>90</v>
      </c>
    </row>
    <row r="9993" ht="15" customHeight="1" spans="1:22" x14ac:dyDescent="0.25">
      <c r="A9993" s="17" t="s">
        <v>27581</v>
      </c>
      <c r="B9993" s="17" t="s">
        <v>70</v>
      </c>
      <c r="C9993" s="17" t="s">
        <v>71</v>
      </c>
      <c r="D9993" t="s">
        <v>27565</v>
      </c>
      <c r="F9993" t="s">
        <v>212</v>
      </c>
      <c r="K9993" s="18">
        <f>628111082088</f>
        <v>628111082088</v>
      </c>
      <c r="N9993" s="17" t="s">
        <v>74</v>
      </c>
      <c r="V9993" s="18">
        <f>628111082088</f>
        <v>628111082088</v>
      </c>
    </row>
    <row r="9994" ht="15" customHeight="1" spans="1:22" x14ac:dyDescent="0.25">
      <c r="A9994" s="17" t="s">
        <v>27582</v>
      </c>
      <c r="B9994" s="17" t="s">
        <v>70</v>
      </c>
      <c r="C9994" s="17" t="s">
        <v>71</v>
      </c>
      <c r="D9994" t="s">
        <v>27583</v>
      </c>
      <c r="F9994" t="s">
        <v>184</v>
      </c>
      <c r="K9994" s="18">
        <f>923333231113</f>
        <v>923333231113</v>
      </c>
      <c r="N9994" s="17" t="s">
        <v>81</v>
      </c>
      <c r="V9994" s="18">
        <f>923333231113</f>
        <v>923333231113</v>
      </c>
    </row>
    <row r="9995" ht="15" customHeight="1" spans="1:28" x14ac:dyDescent="0.25">
      <c r="A9995" s="17" t="s">
        <v>27584</v>
      </c>
      <c r="B9995" s="17" t="s">
        <v>70</v>
      </c>
      <c r="C9995" s="17" t="s">
        <v>71</v>
      </c>
      <c r="D9995" t="s">
        <v>27585</v>
      </c>
      <c r="F9995" t="s">
        <v>27585</v>
      </c>
      <c r="J9995" t="s">
        <v>115</v>
      </c>
      <c r="K9995" s="18" t="s">
        <v>27586</v>
      </c>
      <c r="N9995" s="17" t="s">
        <v>77</v>
      </c>
      <c r="O9995" t="s">
        <v>117</v>
      </c>
      <c r="V9995" s="18" t="s">
        <v>27586</v>
      </c>
      <c r="Y9995" t="s">
        <v>90</v>
      </c>
      <c r="AA9995" t="s">
        <v>118</v>
      </c>
      <c r="AB9995" t="s">
        <v>119</v>
      </c>
    </row>
    <row r="9996" ht="15" customHeight="1" spans="1:22" x14ac:dyDescent="0.25">
      <c r="A9996" s="17" t="s">
        <v>27587</v>
      </c>
      <c r="B9996" s="17" t="s">
        <v>70</v>
      </c>
      <c r="C9996" s="17" t="s">
        <v>71</v>
      </c>
      <c r="D9996" t="s">
        <v>27588</v>
      </c>
      <c r="F9996" t="s">
        <v>27589</v>
      </c>
      <c r="K9996" s="18">
        <f>1040922</f>
        <v>1040922</v>
      </c>
      <c r="N9996" s="17" t="s">
        <v>81</v>
      </c>
      <c r="V9996" s="18">
        <f>1040922</f>
        <v>1040922</v>
      </c>
    </row>
    <row r="9997" ht="15" customHeight="1" spans="1:23" x14ac:dyDescent="0.25">
      <c r="A9997" s="17" t="s">
        <v>27590</v>
      </c>
      <c r="B9997" s="17" t="s">
        <v>70</v>
      </c>
      <c r="C9997" s="17" t="s">
        <v>71</v>
      </c>
      <c r="D9997" t="s">
        <v>27591</v>
      </c>
      <c r="F9997" t="s">
        <v>25690</v>
      </c>
      <c r="K9997" s="18">
        <f>8613776969666</f>
        <v>8613776969666</v>
      </c>
      <c r="N9997" s="17" t="s">
        <v>77</v>
      </c>
      <c r="U9997" s="17"/>
      <c r="V9997" s="18">
        <f>8613776969666</f>
        <v>8613776969666</v>
      </c>
      <c r="W9997" t="s">
        <v>3140</v>
      </c>
    </row>
    <row r="9998" ht="15" customHeight="1" spans="1:28" x14ac:dyDescent="0.25">
      <c r="A9998" s="17" t="s">
        <v>27592</v>
      </c>
      <c r="B9998" s="17" t="s">
        <v>70</v>
      </c>
      <c r="C9998" s="17" t="s">
        <v>71</v>
      </c>
      <c r="D9998" t="s">
        <v>27593</v>
      </c>
      <c r="F9998" t="s">
        <v>2897</v>
      </c>
      <c r="J9998" t="s">
        <v>115</v>
      </c>
      <c r="K9998" s="18" t="s">
        <v>27594</v>
      </c>
      <c r="N9998" s="17" t="s">
        <v>77</v>
      </c>
      <c r="O9998" t="s">
        <v>261</v>
      </c>
      <c r="V9998" s="18" t="s">
        <v>27594</v>
      </c>
      <c r="Y9998" t="s">
        <v>3140</v>
      </c>
      <c r="AA9998" t="s">
        <v>115</v>
      </c>
      <c r="AB9998" t="s">
        <v>3140</v>
      </c>
    </row>
    <row r="9999" ht="15" customHeight="1" spans="1:28" x14ac:dyDescent="0.25">
      <c r="A9999" s="17" t="s">
        <v>27595</v>
      </c>
      <c r="B9999" s="17" t="s">
        <v>70</v>
      </c>
      <c r="C9999" s="17" t="s">
        <v>71</v>
      </c>
      <c r="D9999" t="s">
        <v>27596</v>
      </c>
      <c r="F9999" t="s">
        <v>5942</v>
      </c>
      <c r="J9999" s="17" t="s">
        <v>27597</v>
      </c>
      <c r="K9999" s="18" t="s">
        <v>27598</v>
      </c>
      <c r="N9999" s="17" t="s">
        <v>77</v>
      </c>
      <c r="O9999" t="s">
        <v>145</v>
      </c>
      <c r="U9999" s="17"/>
      <c r="V9999" s="18" t="s">
        <v>27598</v>
      </c>
      <c r="W9999" t="s">
        <v>27599</v>
      </c>
      <c r="Y9999" t="s">
        <v>1157</v>
      </c>
      <c r="AA9999" s="17" t="s">
        <v>5957</v>
      </c>
      <c r="AB9999" t="s">
        <v>119</v>
      </c>
    </row>
    <row r="10000" ht="15" customHeight="1" spans="1:22" x14ac:dyDescent="0.25">
      <c r="A10000" s="17" t="s">
        <v>27600</v>
      </c>
      <c r="B10000" s="17" t="s">
        <v>70</v>
      </c>
      <c r="C10000" s="17" t="s">
        <v>71</v>
      </c>
      <c r="D10000" t="s">
        <v>27601</v>
      </c>
      <c r="F10000" t="s">
        <v>27602</v>
      </c>
      <c r="K10000" s="18">
        <f>6287889398789</f>
        <v>6287889398789</v>
      </c>
      <c r="N10000" s="17" t="s">
        <v>81</v>
      </c>
      <c r="V10000" s="18">
        <f>6287889398789</f>
        <v>6287889398789</v>
      </c>
    </row>
    <row r="10001" ht="15" customHeight="1" spans="1:22" x14ac:dyDescent="0.25">
      <c r="A10001" s="17" t="s">
        <v>27603</v>
      </c>
      <c r="B10001" s="17" t="s">
        <v>70</v>
      </c>
      <c r="C10001" s="17" t="s">
        <v>71</v>
      </c>
      <c r="D10001" t="s">
        <v>27601</v>
      </c>
      <c r="F10001" t="s">
        <v>10044</v>
      </c>
      <c r="K10001" s="18">
        <f>6282122918671</f>
        <v>6282122918671</v>
      </c>
      <c r="N10001" s="17" t="s">
        <v>81</v>
      </c>
      <c r="V10001" s="18">
        <f>6282122918671</f>
        <v>6282122918671</v>
      </c>
    </row>
    <row r="10002" ht="15" customHeight="1" spans="1:22" x14ac:dyDescent="0.25">
      <c r="A10002" s="17" t="s">
        <v>27604</v>
      </c>
      <c r="B10002" s="17" t="s">
        <v>70</v>
      </c>
      <c r="C10002" s="17" t="s">
        <v>71</v>
      </c>
      <c r="D10002" t="s">
        <v>14579</v>
      </c>
      <c r="F10002" t="s">
        <v>14579</v>
      </c>
      <c r="K10002" s="18">
        <f>628115809999</f>
        <v>628115809999</v>
      </c>
      <c r="N10002" s="17" t="s">
        <v>81</v>
      </c>
      <c r="V10002" s="18">
        <f>628115809999</f>
        <v>628115809999</v>
      </c>
    </row>
    <row r="10003" ht="15" customHeight="1" spans="1:22" x14ac:dyDescent="0.25">
      <c r="A10003" s="17" t="s">
        <v>27605</v>
      </c>
      <c r="B10003" s="17" t="s">
        <v>70</v>
      </c>
      <c r="C10003" s="17" t="s">
        <v>71</v>
      </c>
      <c r="D10003" t="s">
        <v>14579</v>
      </c>
      <c r="F10003" t="s">
        <v>14579</v>
      </c>
      <c r="K10003" s="18">
        <f>6282177111711</f>
        <v>6282177111711</v>
      </c>
      <c r="N10003" s="17" t="s">
        <v>74</v>
      </c>
      <c r="V10003" s="18">
        <f>6282177111711</f>
        <v>6282177111711</v>
      </c>
    </row>
    <row r="10004" ht="15" customHeight="1" spans="1:22" x14ac:dyDescent="0.25">
      <c r="A10004" s="17" t="s">
        <v>27606</v>
      </c>
      <c r="B10004" s="17" t="s">
        <v>70</v>
      </c>
      <c r="C10004" s="17" t="s">
        <v>71</v>
      </c>
      <c r="D10004" t="s">
        <v>14579</v>
      </c>
      <c r="F10004" t="s">
        <v>14579</v>
      </c>
      <c r="K10004" s="18">
        <f>6285772771949</f>
        <v>6285772771949</v>
      </c>
      <c r="N10004" s="17" t="s">
        <v>81</v>
      </c>
      <c r="V10004" s="18">
        <f>6285772771949</f>
        <v>6285772771949</v>
      </c>
    </row>
    <row r="10005" ht="15" customHeight="1" spans="1:22" x14ac:dyDescent="0.25">
      <c r="A10005" s="17" t="s">
        <v>27607</v>
      </c>
      <c r="B10005" s="17" t="s">
        <v>70</v>
      </c>
      <c r="C10005" s="17" t="s">
        <v>71</v>
      </c>
      <c r="D10005" t="s">
        <v>14579</v>
      </c>
      <c r="F10005" t="s">
        <v>14579</v>
      </c>
      <c r="K10005" s="18">
        <f>628158806688</f>
        <v>628158806688</v>
      </c>
      <c r="N10005" s="17" t="s">
        <v>77</v>
      </c>
      <c r="V10005" s="18">
        <f>628158806688</f>
        <v>628158806688</v>
      </c>
    </row>
    <row r="10006" ht="15" customHeight="1" spans="1:22" x14ac:dyDescent="0.25">
      <c r="A10006" s="17" t="s">
        <v>27608</v>
      </c>
      <c r="B10006" s="17" t="s">
        <v>70</v>
      </c>
      <c r="C10006" s="17" t="s">
        <v>71</v>
      </c>
      <c r="D10006" t="s">
        <v>14579</v>
      </c>
      <c r="F10006" t="s">
        <v>14579</v>
      </c>
      <c r="K10006" s="18">
        <f>6285890400555</f>
        <v>6285890400555</v>
      </c>
      <c r="N10006" s="17" t="s">
        <v>77</v>
      </c>
      <c r="V10006" s="18">
        <f>6285890400555</f>
        <v>6285890400555</v>
      </c>
    </row>
    <row r="10007" ht="15" customHeight="1" spans="1:23" x14ac:dyDescent="0.25">
      <c r="A10007" s="17" t="s">
        <v>27609</v>
      </c>
      <c r="B10007" s="17" t="s">
        <v>70</v>
      </c>
      <c r="C10007" s="17" t="s">
        <v>71</v>
      </c>
      <c r="D10007" t="s">
        <v>14579</v>
      </c>
      <c r="F10007" t="s">
        <v>27610</v>
      </c>
      <c r="K10007" s="18">
        <f>628111046478</f>
        <v>628111046478</v>
      </c>
      <c r="N10007" s="17" t="s">
        <v>77</v>
      </c>
      <c r="U10007" s="17"/>
      <c r="V10007" s="18">
        <f>628111046478</f>
        <v>628111046478</v>
      </c>
      <c r="W10007" t="s">
        <v>27611</v>
      </c>
    </row>
    <row r="10008" ht="15" customHeight="1" spans="1:28" x14ac:dyDescent="0.25">
      <c r="A10008" s="17" t="s">
        <v>27612</v>
      </c>
      <c r="B10008" s="17" t="s">
        <v>70</v>
      </c>
      <c r="C10008" s="17" t="s">
        <v>71</v>
      </c>
      <c r="D10008" t="s">
        <v>14579</v>
      </c>
      <c r="F10008" t="s">
        <v>27613</v>
      </c>
      <c r="J10008" s="17" t="s">
        <v>27614</v>
      </c>
      <c r="K10008" s="18" t="s">
        <v>27615</v>
      </c>
      <c r="N10008" s="17" t="s">
        <v>77</v>
      </c>
      <c r="O10008" t="s">
        <v>145</v>
      </c>
      <c r="V10008" s="18" t="s">
        <v>27615</v>
      </c>
      <c r="Y10008" t="s">
        <v>930</v>
      </c>
      <c r="AA10008" t="s">
        <v>115</v>
      </c>
      <c r="AB10008" t="s">
        <v>930</v>
      </c>
    </row>
    <row r="10009" ht="15" customHeight="1" spans="1:23" x14ac:dyDescent="0.25">
      <c r="A10009" s="17" t="s">
        <v>27616</v>
      </c>
      <c r="B10009" s="17" t="s">
        <v>70</v>
      </c>
      <c r="C10009" s="17" t="s">
        <v>71</v>
      </c>
      <c r="D10009" t="s">
        <v>14579</v>
      </c>
      <c r="F10009" t="s">
        <v>27617</v>
      </c>
      <c r="K10009" s="18">
        <f>628113322212</f>
        <v>628113322212</v>
      </c>
      <c r="N10009" s="17" t="s">
        <v>77</v>
      </c>
      <c r="U10009" s="17"/>
      <c r="V10009" s="18">
        <f>628113322212</f>
        <v>628113322212</v>
      </c>
      <c r="W10009" t="s">
        <v>27618</v>
      </c>
    </row>
    <row r="10010" ht="15" customHeight="1" spans="1:25" x14ac:dyDescent="0.25">
      <c r="A10010" s="17" t="s">
        <v>27619</v>
      </c>
      <c r="B10010" s="17" t="s">
        <v>70</v>
      </c>
      <c r="C10010" s="17" t="s">
        <v>71</v>
      </c>
      <c r="D10010" t="s">
        <v>14579</v>
      </c>
      <c r="F10010" t="s">
        <v>3083</v>
      </c>
      <c r="K10010" s="18">
        <f>62818190909</f>
        <v>62818190909</v>
      </c>
      <c r="N10010" s="17" t="s">
        <v>77</v>
      </c>
      <c r="U10010" s="17"/>
      <c r="V10010" s="18">
        <f>62818190909</f>
        <v>62818190909</v>
      </c>
      <c r="W10010" t="s">
        <v>27620</v>
      </c>
      <c r="Y10010" s="17" t="s">
        <v>217</v>
      </c>
    </row>
    <row r="10011" ht="15" customHeight="1" spans="1:22" x14ac:dyDescent="0.25">
      <c r="A10011" s="17" t="s">
        <v>27621</v>
      </c>
      <c r="B10011" s="17" t="s">
        <v>70</v>
      </c>
      <c r="C10011" s="17" t="s">
        <v>71</v>
      </c>
      <c r="D10011" t="s">
        <v>14579</v>
      </c>
      <c r="F10011" t="s">
        <v>6235</v>
      </c>
      <c r="J10011" s="17" t="s">
        <v>27622</v>
      </c>
      <c r="K10011" s="18">
        <f>628119005525</f>
        <v>628119005525</v>
      </c>
      <c r="N10011" s="17" t="s">
        <v>77</v>
      </c>
      <c r="V10011" s="18">
        <f>628119005525</f>
        <v>628119005525</v>
      </c>
    </row>
    <row r="10012" ht="15" customHeight="1" spans="1:28" x14ac:dyDescent="0.25">
      <c r="A10012" s="17" t="s">
        <v>27623</v>
      </c>
      <c r="B10012" s="17" t="s">
        <v>70</v>
      </c>
      <c r="C10012" s="17" t="s">
        <v>71</v>
      </c>
      <c r="D10012" t="s">
        <v>14579</v>
      </c>
      <c r="F10012" t="s">
        <v>27624</v>
      </c>
      <c r="J10012" t="s">
        <v>115</v>
      </c>
      <c r="K10012" s="18" t="s">
        <v>27625</v>
      </c>
      <c r="N10012" s="17" t="s">
        <v>77</v>
      </c>
      <c r="O10012" t="s">
        <v>261</v>
      </c>
      <c r="U10012" s="17"/>
      <c r="V10012" s="18" t="s">
        <v>27625</v>
      </c>
      <c r="W10012" t="s">
        <v>27626</v>
      </c>
      <c r="Y10012" s="17" t="s">
        <v>90</v>
      </c>
      <c r="AA10012" t="s">
        <v>118</v>
      </c>
      <c r="AB10012" t="s">
        <v>119</v>
      </c>
    </row>
    <row r="10013" ht="15" customHeight="1" spans="1:28" x14ac:dyDescent="0.25">
      <c r="A10013" s="17" t="s">
        <v>27627</v>
      </c>
      <c r="B10013" s="17" t="s">
        <v>70</v>
      </c>
      <c r="C10013" s="17" t="s">
        <v>71</v>
      </c>
      <c r="D10013" t="s">
        <v>27628</v>
      </c>
      <c r="F10013" t="s">
        <v>27629</v>
      </c>
      <c r="J10013" s="17" t="s">
        <v>27630</v>
      </c>
      <c r="K10013" s="18" t="s">
        <v>27631</v>
      </c>
      <c r="N10013" s="17" t="s">
        <v>77</v>
      </c>
      <c r="O10013" t="s">
        <v>199</v>
      </c>
      <c r="V10013" s="18" t="s">
        <v>27631</v>
      </c>
      <c r="Y10013" t="s">
        <v>190</v>
      </c>
      <c r="AA10013" t="s">
        <v>118</v>
      </c>
      <c r="AB10013" t="s">
        <v>119</v>
      </c>
    </row>
    <row r="10014" ht="15" customHeight="1" spans="1:23" x14ac:dyDescent="0.25">
      <c r="A10014" s="17" t="s">
        <v>27632</v>
      </c>
      <c r="B10014" s="17" t="s">
        <v>70</v>
      </c>
      <c r="C10014" s="17" t="s">
        <v>71</v>
      </c>
      <c r="D10014" t="s">
        <v>14579</v>
      </c>
      <c r="F10014" t="s">
        <v>27633</v>
      </c>
      <c r="K10014" s="18">
        <f>6281380007689</f>
        <v>6281380007689</v>
      </c>
      <c r="N10014" s="17" t="s">
        <v>77</v>
      </c>
      <c r="U10014" s="17"/>
      <c r="V10014" s="18">
        <f>6281380007689</f>
        <v>6281380007689</v>
      </c>
      <c r="W10014" t="s">
        <v>27634</v>
      </c>
    </row>
    <row r="10015" ht="15" customHeight="1" spans="1:22" x14ac:dyDescent="0.25">
      <c r="A10015" s="17" t="s">
        <v>27635</v>
      </c>
      <c r="B10015" s="17" t="s">
        <v>70</v>
      </c>
      <c r="C10015" s="17" t="s">
        <v>71</v>
      </c>
      <c r="D10015" t="s">
        <v>14579</v>
      </c>
      <c r="F10015" t="s">
        <v>27636</v>
      </c>
      <c r="K10015" s="18">
        <f>61413008992</f>
        <v>61413008992</v>
      </c>
      <c r="N10015" s="17" t="s">
        <v>77</v>
      </c>
      <c r="V10015" s="18">
        <f>61413008992</f>
        <v>61413008992</v>
      </c>
    </row>
    <row r="10016" ht="15" customHeight="1" spans="1:27" x14ac:dyDescent="0.25">
      <c r="A10016" s="17" t="s">
        <v>27637</v>
      </c>
      <c r="B10016" s="17" t="s">
        <v>70</v>
      </c>
      <c r="C10016" s="17" t="s">
        <v>71</v>
      </c>
      <c r="D10016" t="s">
        <v>14579</v>
      </c>
      <c r="F10016" t="s">
        <v>27638</v>
      </c>
      <c r="J10016" s="17" t="s">
        <v>27639</v>
      </c>
      <c r="K10016" s="18">
        <f>628118558811</f>
        <v>628118558811</v>
      </c>
      <c r="N10016" s="17" t="s">
        <v>81</v>
      </c>
      <c r="U10016" s="17"/>
      <c r="V10016" s="18">
        <f>628118558811</f>
        <v>628118558811</v>
      </c>
      <c r="W10016" t="s">
        <v>27640</v>
      </c>
      <c r="Y10016" s="17" t="s">
        <v>27641</v>
      </c>
      <c r="AA10016" s="17">
        <v>50261</v>
      </c>
    </row>
    <row r="10017" ht="15" customHeight="1" spans="1:22" x14ac:dyDescent="0.25">
      <c r="A10017" s="17" t="s">
        <v>27642</v>
      </c>
      <c r="B10017" s="17" t="s">
        <v>70</v>
      </c>
      <c r="C10017" s="17" t="s">
        <v>71</v>
      </c>
      <c r="D10017" t="s">
        <v>14579</v>
      </c>
      <c r="F10017" t="s">
        <v>9888</v>
      </c>
      <c r="K10017" s="18">
        <f>6289644594459</f>
        <v>6289644594459</v>
      </c>
      <c r="N10017" s="17" t="s">
        <v>77</v>
      </c>
      <c r="V10017" s="18">
        <f>6289644594459</f>
        <v>6289644594459</v>
      </c>
    </row>
    <row r="10018" ht="15" customHeight="1" spans="1:22" x14ac:dyDescent="0.25">
      <c r="A10018" s="17" t="s">
        <v>27643</v>
      </c>
      <c r="B10018" s="17" t="s">
        <v>70</v>
      </c>
      <c r="C10018" s="17" t="s">
        <v>71</v>
      </c>
      <c r="D10018" t="s">
        <v>14579</v>
      </c>
      <c r="F10018" t="s">
        <v>27644</v>
      </c>
      <c r="K10018" s="18">
        <f>628988178614</f>
        <v>628988178614</v>
      </c>
      <c r="N10018" s="17" t="s">
        <v>77</v>
      </c>
      <c r="V10018" s="18">
        <f>628988178614</f>
        <v>628988178614</v>
      </c>
    </row>
    <row r="10019" ht="15" customHeight="1" spans="1:28" x14ac:dyDescent="0.25">
      <c r="A10019" s="17" t="s">
        <v>27645</v>
      </c>
      <c r="B10019" s="17" t="s">
        <v>70</v>
      </c>
      <c r="C10019" s="17" t="s">
        <v>71</v>
      </c>
      <c r="D10019" t="s">
        <v>14579</v>
      </c>
      <c r="F10019" t="s">
        <v>27646</v>
      </c>
      <c r="J10019" s="17" t="s">
        <v>27647</v>
      </c>
      <c r="K10019" s="18" t="s">
        <v>27648</v>
      </c>
      <c r="N10019" s="17" t="s">
        <v>77</v>
      </c>
      <c r="O10019" t="s">
        <v>489</v>
      </c>
      <c r="V10019" s="18" t="s">
        <v>27648</v>
      </c>
      <c r="Y10019" t="s">
        <v>115</v>
      </c>
      <c r="AA10019" t="s">
        <v>115</v>
      </c>
      <c r="AB10019" t="s">
        <v>1298</v>
      </c>
    </row>
    <row r="10020" ht="15" customHeight="1" spans="1:28" x14ac:dyDescent="0.25">
      <c r="A10020" s="17" t="s">
        <v>27649</v>
      </c>
      <c r="B10020" s="17" t="s">
        <v>70</v>
      </c>
      <c r="C10020" s="17" t="s">
        <v>71</v>
      </c>
      <c r="D10020" t="s">
        <v>27650</v>
      </c>
      <c r="F10020" t="s">
        <v>3585</v>
      </c>
      <c r="J10020" s="17" t="s">
        <v>27651</v>
      </c>
      <c r="K10020" s="18" t="s">
        <v>27652</v>
      </c>
      <c r="N10020" s="17" t="s">
        <v>77</v>
      </c>
      <c r="O10020" t="s">
        <v>117</v>
      </c>
      <c r="U10020" s="17"/>
      <c r="V10020" s="18" t="s">
        <v>27652</v>
      </c>
      <c r="W10020" t="s">
        <v>27653</v>
      </c>
      <c r="Y10020" s="17" t="s">
        <v>626</v>
      </c>
      <c r="AA10020" t="s">
        <v>3090</v>
      </c>
      <c r="AB10020" t="s">
        <v>119</v>
      </c>
    </row>
    <row r="10021" ht="15" customHeight="1" spans="1:28" x14ac:dyDescent="0.25">
      <c r="A10021" s="17" t="s">
        <v>27654</v>
      </c>
      <c r="B10021" s="17" t="s">
        <v>70</v>
      </c>
      <c r="C10021" s="17" t="s">
        <v>71</v>
      </c>
      <c r="D10021" t="s">
        <v>14579</v>
      </c>
      <c r="F10021" t="s">
        <v>672</v>
      </c>
      <c r="J10021" t="s">
        <v>115</v>
      </c>
      <c r="K10021" s="18" t="s">
        <v>27655</v>
      </c>
      <c r="N10021" s="17" t="s">
        <v>81</v>
      </c>
      <c r="O10021" t="s">
        <v>117</v>
      </c>
      <c r="V10021" s="18" t="s">
        <v>27655</v>
      </c>
      <c r="Y10021" t="s">
        <v>90</v>
      </c>
      <c r="AA10021" t="s">
        <v>118</v>
      </c>
      <c r="AB10021" t="s">
        <v>119</v>
      </c>
    </row>
    <row r="10022" ht="15" customHeight="1" spans="1:22" x14ac:dyDescent="0.25">
      <c r="A10022" s="17" t="s">
        <v>27656</v>
      </c>
      <c r="B10022" s="17" t="s">
        <v>70</v>
      </c>
      <c r="C10022" s="17" t="s">
        <v>71</v>
      </c>
      <c r="D10022" t="s">
        <v>14579</v>
      </c>
      <c r="F10022" t="s">
        <v>4479</v>
      </c>
      <c r="J10022" s="17" t="s">
        <v>27657</v>
      </c>
      <c r="K10022" s="18">
        <f>6281314605311</f>
        <v>6281314605311</v>
      </c>
      <c r="N10022" s="17" t="s">
        <v>77</v>
      </c>
      <c r="V10022" s="18">
        <f>6281314605311</f>
        <v>6281314605311</v>
      </c>
    </row>
    <row r="10023" ht="15" customHeight="1" spans="1:22" x14ac:dyDescent="0.25">
      <c r="A10023" s="17" t="s">
        <v>27658</v>
      </c>
      <c r="B10023" s="17" t="s">
        <v>70</v>
      </c>
      <c r="C10023" s="17" t="s">
        <v>71</v>
      </c>
      <c r="D10023" t="s">
        <v>14579</v>
      </c>
      <c r="F10023" t="s">
        <v>27659</v>
      </c>
      <c r="K10023" s="18">
        <f>62816601333</f>
        <v>62816601333</v>
      </c>
      <c r="N10023" s="17" t="s">
        <v>74</v>
      </c>
      <c r="V10023" s="18">
        <f>62816601333</f>
        <v>62816601333</v>
      </c>
    </row>
    <row r="10024" ht="15" customHeight="1" spans="1:23" x14ac:dyDescent="0.25">
      <c r="A10024" s="17" t="s">
        <v>27660</v>
      </c>
      <c r="B10024" s="17" t="s">
        <v>70</v>
      </c>
      <c r="C10024" s="17" t="s">
        <v>71</v>
      </c>
      <c r="D10024" t="s">
        <v>14579</v>
      </c>
      <c r="F10024" t="s">
        <v>27661</v>
      </c>
      <c r="K10024" s="18">
        <f>628158637567</f>
        <v>628158637567</v>
      </c>
      <c r="N10024" s="17" t="s">
        <v>81</v>
      </c>
      <c r="U10024" s="17"/>
      <c r="V10024" s="18">
        <f>628158637567</f>
        <v>628158637567</v>
      </c>
      <c r="W10024" t="s">
        <v>27662</v>
      </c>
    </row>
    <row r="10025" ht="15" customHeight="1" spans="1:22" x14ac:dyDescent="0.25">
      <c r="A10025" s="17" t="s">
        <v>27663</v>
      </c>
      <c r="B10025" s="17" t="s">
        <v>70</v>
      </c>
      <c r="C10025" s="17" t="s">
        <v>71</v>
      </c>
      <c r="D10025" t="s">
        <v>14579</v>
      </c>
      <c r="F10025" t="s">
        <v>27664</v>
      </c>
      <c r="K10025" s="18">
        <f>6281410014672</f>
        <v>6281410014672</v>
      </c>
      <c r="N10025" s="17" t="s">
        <v>77</v>
      </c>
      <c r="V10025" s="18">
        <f>6281410014672</f>
        <v>6281410014672</v>
      </c>
    </row>
    <row r="10026" ht="15" customHeight="1" spans="1:28" x14ac:dyDescent="0.25">
      <c r="A10026" s="17" t="s">
        <v>27665</v>
      </c>
      <c r="B10026" s="17" t="s">
        <v>70</v>
      </c>
      <c r="C10026" s="17" t="s">
        <v>71</v>
      </c>
      <c r="D10026" t="s">
        <v>21938</v>
      </c>
      <c r="F10026" t="s">
        <v>27666</v>
      </c>
      <c r="J10026" t="s">
        <v>115</v>
      </c>
      <c r="K10026" s="18" t="s">
        <v>27667</v>
      </c>
      <c r="N10026" s="17" t="s">
        <v>77</v>
      </c>
      <c r="O10026" t="s">
        <v>117</v>
      </c>
      <c r="U10026" s="17"/>
      <c r="V10026" s="18" t="s">
        <v>27667</v>
      </c>
      <c r="W10026" t="s">
        <v>20344</v>
      </c>
      <c r="Y10026" t="s">
        <v>1903</v>
      </c>
      <c r="AA10026" t="s">
        <v>115</v>
      </c>
      <c r="AB10026" t="s">
        <v>1903</v>
      </c>
    </row>
    <row r="10027" ht="15" customHeight="1" spans="1:22" x14ac:dyDescent="0.25">
      <c r="A10027" s="17" t="s">
        <v>27668</v>
      </c>
      <c r="B10027" s="17" t="s">
        <v>70</v>
      </c>
      <c r="C10027" s="17" t="s">
        <v>71</v>
      </c>
      <c r="D10027" t="s">
        <v>14579</v>
      </c>
      <c r="F10027" t="s">
        <v>27669</v>
      </c>
      <c r="K10027" s="18">
        <v>30102023</v>
      </c>
      <c r="N10027" s="17" t="s">
        <v>81</v>
      </c>
      <c r="V10027" s="18">
        <v>30102023</v>
      </c>
    </row>
    <row r="10028" ht="15" customHeight="1" spans="1:22" x14ac:dyDescent="0.25">
      <c r="A10028" s="17" t="s">
        <v>27670</v>
      </c>
      <c r="B10028" s="17" t="s">
        <v>70</v>
      </c>
      <c r="C10028" s="17" t="s">
        <v>71</v>
      </c>
      <c r="D10028" t="s">
        <v>14579</v>
      </c>
      <c r="F10028" t="s">
        <v>10033</v>
      </c>
      <c r="K10028" s="18">
        <f>62816707177</f>
        <v>62816707177</v>
      </c>
      <c r="N10028" s="17" t="s">
        <v>77</v>
      </c>
      <c r="V10028" s="18">
        <f>62816707177</f>
        <v>62816707177</v>
      </c>
    </row>
    <row r="10029" ht="15" customHeight="1" spans="1:22" x14ac:dyDescent="0.25">
      <c r="A10029" s="17" t="s">
        <v>27671</v>
      </c>
      <c r="B10029" s="17" t="s">
        <v>70</v>
      </c>
      <c r="C10029" s="17" t="s">
        <v>71</v>
      </c>
      <c r="D10029" t="s">
        <v>14579</v>
      </c>
      <c r="F10029" t="s">
        <v>10033</v>
      </c>
      <c r="K10029" s="18">
        <f>628161877257</f>
        <v>628161877257</v>
      </c>
      <c r="N10029" s="17" t="s">
        <v>77</v>
      </c>
      <c r="V10029" s="18">
        <f>628161877257</f>
        <v>628161877257</v>
      </c>
    </row>
    <row r="10030" ht="15" customHeight="1" spans="1:25" x14ac:dyDescent="0.25">
      <c r="A10030" s="17" t="s">
        <v>27672</v>
      </c>
      <c r="B10030" s="17" t="s">
        <v>70</v>
      </c>
      <c r="C10030" s="17" t="s">
        <v>71</v>
      </c>
      <c r="D10030" t="s">
        <v>14579</v>
      </c>
      <c r="F10030" t="s">
        <v>1064</v>
      </c>
      <c r="K10030" s="18">
        <f>6281584078035</f>
        <v>6281584078035</v>
      </c>
      <c r="N10030" s="17" t="s">
        <v>81</v>
      </c>
      <c r="U10030" s="17"/>
      <c r="V10030" s="18">
        <f>6281584078035</f>
        <v>6281584078035</v>
      </c>
      <c r="W10030" t="s">
        <v>27673</v>
      </c>
      <c r="Y10030" s="17" t="s">
        <v>378</v>
      </c>
    </row>
    <row r="10031" ht="15" customHeight="1" spans="1:28" x14ac:dyDescent="0.25">
      <c r="A10031" s="17" t="s">
        <v>27674</v>
      </c>
      <c r="B10031" s="17" t="s">
        <v>70</v>
      </c>
      <c r="C10031" s="17" t="s">
        <v>71</v>
      </c>
      <c r="D10031" t="s">
        <v>14579</v>
      </c>
      <c r="F10031" t="s">
        <v>1754</v>
      </c>
      <c r="J10031" t="s">
        <v>27675</v>
      </c>
      <c r="K10031" s="18" t="s">
        <v>27676</v>
      </c>
      <c r="N10031" s="17" t="s">
        <v>77</v>
      </c>
      <c r="O10031" t="s">
        <v>117</v>
      </c>
      <c r="V10031" s="18" t="s">
        <v>27676</v>
      </c>
      <c r="Y10031" t="s">
        <v>90</v>
      </c>
      <c r="AA10031" t="s">
        <v>118</v>
      </c>
      <c r="AB10031" t="s">
        <v>119</v>
      </c>
    </row>
    <row r="10032" ht="15" customHeight="1" spans="1:23" x14ac:dyDescent="0.25">
      <c r="A10032" s="17" t="s">
        <v>27677</v>
      </c>
      <c r="B10032" s="17" t="s">
        <v>70</v>
      </c>
      <c r="C10032" s="17" t="s">
        <v>71</v>
      </c>
      <c r="D10032" t="s">
        <v>14579</v>
      </c>
      <c r="F10032" t="s">
        <v>26014</v>
      </c>
      <c r="K10032" s="18">
        <f>6287880198811</f>
        <v>6287880198811</v>
      </c>
      <c r="N10032" s="17" t="s">
        <v>77</v>
      </c>
      <c r="U10032" s="17"/>
      <c r="V10032" s="18">
        <f>6287880198811</f>
        <v>6287880198811</v>
      </c>
      <c r="W10032" t="s">
        <v>27678</v>
      </c>
    </row>
    <row r="10033" ht="15" customHeight="1" spans="1:22" x14ac:dyDescent="0.25">
      <c r="A10033" s="17" t="s">
        <v>27679</v>
      </c>
      <c r="B10033" s="17" t="s">
        <v>70</v>
      </c>
      <c r="C10033" s="17" t="s">
        <v>71</v>
      </c>
      <c r="D10033" t="s">
        <v>14579</v>
      </c>
      <c r="F10033" t="s">
        <v>27680</v>
      </c>
      <c r="K10033" s="18">
        <f>6281315727752</f>
        <v>6281315727752</v>
      </c>
      <c r="N10033" s="17" t="s">
        <v>77</v>
      </c>
      <c r="V10033" s="18">
        <f>6281315727752</f>
        <v>6281315727752</v>
      </c>
    </row>
    <row r="10034" ht="15" customHeight="1" spans="1:28" x14ac:dyDescent="0.25">
      <c r="A10034" s="17" t="s">
        <v>27681</v>
      </c>
      <c r="B10034" s="17" t="s">
        <v>70</v>
      </c>
      <c r="C10034" s="17" t="s">
        <v>71</v>
      </c>
      <c r="D10034" t="s">
        <v>14579</v>
      </c>
      <c r="F10034" t="s">
        <v>2957</v>
      </c>
      <c r="J10034" t="s">
        <v>115</v>
      </c>
      <c r="K10034" s="18" t="s">
        <v>27682</v>
      </c>
      <c r="N10034" s="17" t="s">
        <v>77</v>
      </c>
      <c r="O10034" t="s">
        <v>117</v>
      </c>
      <c r="V10034" s="18" t="s">
        <v>27682</v>
      </c>
      <c r="Y10034" t="s">
        <v>90</v>
      </c>
      <c r="AA10034" t="s">
        <v>118</v>
      </c>
      <c r="AB10034" t="s">
        <v>119</v>
      </c>
    </row>
    <row r="10035" ht="15" customHeight="1" spans="1:27" x14ac:dyDescent="0.25">
      <c r="A10035" s="17" t="s">
        <v>27683</v>
      </c>
      <c r="B10035" s="17" t="s">
        <v>70</v>
      </c>
      <c r="C10035" s="17" t="s">
        <v>71</v>
      </c>
      <c r="D10035" t="s">
        <v>14579</v>
      </c>
      <c r="F10035" t="s">
        <v>2957</v>
      </c>
      <c r="K10035" s="18">
        <f>6285921513206</f>
        <v>6285921513206</v>
      </c>
      <c r="N10035" s="17" t="s">
        <v>74</v>
      </c>
      <c r="U10035" s="17"/>
      <c r="V10035" s="18">
        <f>6285921513206</f>
        <v>6285921513206</v>
      </c>
      <c r="W10035" t="s">
        <v>27684</v>
      </c>
      <c r="Y10035" s="17" t="s">
        <v>378</v>
      </c>
      <c r="AA10035" s="17" t="s">
        <v>27685</v>
      </c>
    </row>
    <row r="10036" ht="15" customHeight="1" spans="1:22" x14ac:dyDescent="0.25">
      <c r="A10036" s="17" t="s">
        <v>27686</v>
      </c>
      <c r="B10036" s="17" t="s">
        <v>70</v>
      </c>
      <c r="C10036" s="17" t="s">
        <v>71</v>
      </c>
      <c r="D10036" t="s">
        <v>14579</v>
      </c>
      <c r="F10036" t="s">
        <v>27687</v>
      </c>
      <c r="K10036" s="18">
        <f>628161856716</f>
        <v>628161856716</v>
      </c>
      <c r="N10036" s="17" t="s">
        <v>81</v>
      </c>
      <c r="V10036" s="18">
        <f>628161856716</f>
        <v>628161856716</v>
      </c>
    </row>
    <row r="10037" ht="15" customHeight="1" spans="1:22" x14ac:dyDescent="0.25">
      <c r="A10037" s="17" t="s">
        <v>27688</v>
      </c>
      <c r="B10037" s="17" t="s">
        <v>70</v>
      </c>
      <c r="C10037" s="17" t="s">
        <v>71</v>
      </c>
      <c r="D10037" t="s">
        <v>14579</v>
      </c>
      <c r="F10037" t="s">
        <v>3474</v>
      </c>
      <c r="J10037" s="17" t="s">
        <v>27689</v>
      </c>
      <c r="K10037" s="18">
        <f>6281310123725</f>
        <v>6281310123725</v>
      </c>
      <c r="N10037" s="17" t="s">
        <v>77</v>
      </c>
      <c r="V10037" s="18">
        <f>6281310123725</f>
        <v>6281310123725</v>
      </c>
    </row>
    <row r="10038" ht="15" customHeight="1" spans="1:22" x14ac:dyDescent="0.25">
      <c r="A10038" s="17" t="s">
        <v>27690</v>
      </c>
      <c r="B10038" s="17" t="s">
        <v>70</v>
      </c>
      <c r="C10038" s="17" t="s">
        <v>71</v>
      </c>
      <c r="D10038" t="s">
        <v>14579</v>
      </c>
      <c r="F10038" t="s">
        <v>6225</v>
      </c>
      <c r="K10038" s="18">
        <f>62816917659</f>
        <v>62816917659</v>
      </c>
      <c r="N10038" s="17" t="s">
        <v>74</v>
      </c>
      <c r="V10038" s="18">
        <f>62816917659</f>
        <v>62816917659</v>
      </c>
    </row>
    <row r="10039" ht="15" customHeight="1" spans="1:28" x14ac:dyDescent="0.25">
      <c r="A10039" s="17" t="s">
        <v>27691</v>
      </c>
      <c r="B10039" s="17" t="s">
        <v>70</v>
      </c>
      <c r="C10039" s="17" t="s">
        <v>71</v>
      </c>
      <c r="D10039" t="s">
        <v>14579</v>
      </c>
      <c r="F10039" t="s">
        <v>27692</v>
      </c>
      <c r="J10039" s="17" t="s">
        <v>27693</v>
      </c>
      <c r="K10039" s="18" t="s">
        <v>27694</v>
      </c>
      <c r="N10039" s="17" t="s">
        <v>77</v>
      </c>
      <c r="O10039" t="s">
        <v>145</v>
      </c>
      <c r="U10039" s="17"/>
      <c r="V10039" s="18" t="s">
        <v>27694</v>
      </c>
      <c r="W10039" t="s">
        <v>27695</v>
      </c>
      <c r="Y10039" s="17" t="s">
        <v>704</v>
      </c>
      <c r="AA10039" s="17" t="s">
        <v>27696</v>
      </c>
      <c r="AB10039" t="s">
        <v>119</v>
      </c>
    </row>
    <row r="10040" ht="15" customHeight="1" spans="1:22" x14ac:dyDescent="0.25">
      <c r="A10040" s="17" t="s">
        <v>27697</v>
      </c>
      <c r="B10040" s="17" t="s">
        <v>70</v>
      </c>
      <c r="C10040" s="17" t="s">
        <v>71</v>
      </c>
      <c r="D10040" t="s">
        <v>14579</v>
      </c>
      <c r="F10040" t="s">
        <v>27698</v>
      </c>
      <c r="K10040" s="18">
        <f>6281212129889</f>
        <v>6281212129889</v>
      </c>
      <c r="N10040" s="17" t="s">
        <v>77</v>
      </c>
      <c r="V10040" s="18">
        <f>6281212129889</f>
        <v>6281212129889</v>
      </c>
    </row>
    <row r="10041" ht="15" customHeight="1" spans="1:22" x14ac:dyDescent="0.25">
      <c r="A10041" s="17" t="s">
        <v>27699</v>
      </c>
      <c r="B10041" s="17" t="s">
        <v>70</v>
      </c>
      <c r="C10041" s="17" t="s">
        <v>71</v>
      </c>
      <c r="D10041" t="s">
        <v>14579</v>
      </c>
      <c r="F10041" t="s">
        <v>153</v>
      </c>
      <c r="K10041" s="18">
        <f>6281220338888</f>
        <v>6281220338888</v>
      </c>
      <c r="N10041" s="17" t="s">
        <v>77</v>
      </c>
      <c r="V10041" s="18">
        <f>6281220338888</f>
        <v>6281220338888</v>
      </c>
    </row>
    <row r="10042" ht="15" customHeight="1" spans="1:28" x14ac:dyDescent="0.25">
      <c r="A10042" s="17" t="s">
        <v>27700</v>
      </c>
      <c r="B10042" s="17" t="s">
        <v>70</v>
      </c>
      <c r="C10042" s="17" t="s">
        <v>71</v>
      </c>
      <c r="D10042" t="s">
        <v>14579</v>
      </c>
      <c r="F10042" t="s">
        <v>1730</v>
      </c>
      <c r="J10042" t="s">
        <v>115</v>
      </c>
      <c r="K10042" s="18" t="s">
        <v>27701</v>
      </c>
      <c r="N10042" s="17" t="s">
        <v>77</v>
      </c>
      <c r="O10042" t="s">
        <v>117</v>
      </c>
      <c r="U10042" s="17"/>
      <c r="V10042" s="18" t="s">
        <v>27701</v>
      </c>
      <c r="W10042" t="s">
        <v>27702</v>
      </c>
      <c r="Y10042" s="17" t="s">
        <v>90</v>
      </c>
      <c r="AA10042" s="17" t="s">
        <v>118</v>
      </c>
      <c r="AB10042" t="s">
        <v>119</v>
      </c>
    </row>
    <row r="10043" ht="15" customHeight="1" spans="1:22" x14ac:dyDescent="0.25">
      <c r="A10043" s="17" t="s">
        <v>27703</v>
      </c>
      <c r="B10043" s="17" t="s">
        <v>70</v>
      </c>
      <c r="C10043" s="17" t="s">
        <v>71</v>
      </c>
      <c r="D10043" t="s">
        <v>14579</v>
      </c>
      <c r="F10043" t="s">
        <v>27704</v>
      </c>
      <c r="K10043" s="18">
        <f>6287883501797</f>
        <v>6287883501797</v>
      </c>
      <c r="N10043" s="17" t="s">
        <v>81</v>
      </c>
      <c r="V10043" s="18">
        <f>6287883501797</f>
        <v>6287883501797</v>
      </c>
    </row>
    <row r="10044" ht="15" customHeight="1" spans="1:22" x14ac:dyDescent="0.25">
      <c r="A10044" s="17" t="s">
        <v>27705</v>
      </c>
      <c r="B10044" s="17" t="s">
        <v>70</v>
      </c>
      <c r="C10044" s="17" t="s">
        <v>71</v>
      </c>
      <c r="D10044" t="s">
        <v>14579</v>
      </c>
      <c r="F10044" t="s">
        <v>27706</v>
      </c>
      <c r="K10044" s="18">
        <f>6287781710102</f>
        <v>6287781710102</v>
      </c>
      <c r="N10044" s="17" t="s">
        <v>77</v>
      </c>
      <c r="V10044" s="18">
        <f>6287781710102</f>
        <v>6287781710102</v>
      </c>
    </row>
    <row r="10045" ht="15" customHeight="1" spans="1:22" x14ac:dyDescent="0.25">
      <c r="A10045" s="17" t="s">
        <v>27707</v>
      </c>
      <c r="B10045" s="17" t="s">
        <v>70</v>
      </c>
      <c r="C10045" s="17" t="s">
        <v>71</v>
      </c>
      <c r="D10045" t="s">
        <v>14579</v>
      </c>
      <c r="F10045" t="s">
        <v>1166</v>
      </c>
      <c r="K10045" s="18">
        <f>6287832368365</f>
        <v>6287832368365</v>
      </c>
      <c r="N10045" s="17" t="s">
        <v>81</v>
      </c>
      <c r="V10045" s="18">
        <f>6287832368365</f>
        <v>6287832368365</v>
      </c>
    </row>
    <row r="10046" ht="15" customHeight="1" spans="1:22" x14ac:dyDescent="0.25">
      <c r="A10046" s="17" t="s">
        <v>27708</v>
      </c>
      <c r="B10046" s="17" t="s">
        <v>70</v>
      </c>
      <c r="C10046" s="17" t="s">
        <v>71</v>
      </c>
      <c r="D10046" t="s">
        <v>14579</v>
      </c>
      <c r="F10046" t="s">
        <v>18083</v>
      </c>
      <c r="K10046" s="18">
        <f>6281337310830</f>
        <v>6281337310830</v>
      </c>
      <c r="N10046" s="17" t="s">
        <v>81</v>
      </c>
      <c r="V10046" s="18">
        <f>6281337310830</f>
        <v>6281337310830</v>
      </c>
    </row>
    <row r="10047" ht="15" customHeight="1" spans="1:23" x14ac:dyDescent="0.25">
      <c r="A10047" s="17" t="s">
        <v>27709</v>
      </c>
      <c r="B10047" s="17" t="s">
        <v>70</v>
      </c>
      <c r="C10047" s="17" t="s">
        <v>71</v>
      </c>
      <c r="D10047" t="s">
        <v>14579</v>
      </c>
      <c r="F10047" t="s">
        <v>27710</v>
      </c>
      <c r="K10047" s="18">
        <f>6281318116073</f>
        <v>6281318116073</v>
      </c>
      <c r="N10047" s="17" t="s">
        <v>81</v>
      </c>
      <c r="U10047" s="17"/>
      <c r="V10047" s="18">
        <f>6281318116073</f>
        <v>6281318116073</v>
      </c>
      <c r="W10047" t="s">
        <v>27711</v>
      </c>
    </row>
    <row r="10048" ht="15" customHeight="1" spans="1:22" x14ac:dyDescent="0.25">
      <c r="A10048" s="17" t="s">
        <v>27712</v>
      </c>
      <c r="B10048" s="17" t="s">
        <v>70</v>
      </c>
      <c r="C10048" s="17" t="s">
        <v>71</v>
      </c>
      <c r="D10048" t="s">
        <v>27713</v>
      </c>
      <c r="F10048" t="s">
        <v>27713</v>
      </c>
      <c r="K10048" s="18">
        <f>6281316620582</f>
        <v>6281316620582</v>
      </c>
      <c r="N10048" s="17" t="s">
        <v>81</v>
      </c>
      <c r="V10048" s="18">
        <f>6281316620582</f>
        <v>6281316620582</v>
      </c>
    </row>
    <row r="10049" ht="15" customHeight="1" spans="1:22" x14ac:dyDescent="0.25">
      <c r="A10049" s="17" t="s">
        <v>27714</v>
      </c>
      <c r="B10049" s="17" t="s">
        <v>70</v>
      </c>
      <c r="C10049" s="17" t="s">
        <v>71</v>
      </c>
      <c r="D10049" t="s">
        <v>27715</v>
      </c>
      <c r="F10049" t="s">
        <v>27716</v>
      </c>
      <c r="K10049" s="18">
        <f>628119235088</f>
        <v>628119235088</v>
      </c>
      <c r="N10049" s="17" t="s">
        <v>77</v>
      </c>
      <c r="V10049" s="18">
        <f>628119235088</f>
        <v>628119235088</v>
      </c>
    </row>
    <row r="10050" ht="15" customHeight="1" spans="1:22" x14ac:dyDescent="0.25">
      <c r="A10050" s="17" t="s">
        <v>27717</v>
      </c>
      <c r="B10050" s="17" t="s">
        <v>70</v>
      </c>
      <c r="C10050" s="17" t="s">
        <v>71</v>
      </c>
      <c r="D10050" t="s">
        <v>25806</v>
      </c>
      <c r="F10050" t="s">
        <v>27718</v>
      </c>
      <c r="K10050" s="18">
        <f>6287885212175</f>
        <v>6287885212175</v>
      </c>
      <c r="N10050" s="17" t="s">
        <v>81</v>
      </c>
      <c r="V10050" s="18">
        <f>6287885212175</f>
        <v>6287885212175</v>
      </c>
    </row>
    <row r="10051" ht="15" customHeight="1" spans="1:22" x14ac:dyDescent="0.25">
      <c r="A10051" s="17" t="s">
        <v>27719</v>
      </c>
      <c r="B10051" s="17" t="s">
        <v>70</v>
      </c>
      <c r="C10051" s="17" t="s">
        <v>71</v>
      </c>
      <c r="D10051" t="s">
        <v>27720</v>
      </c>
      <c r="F10051" t="s">
        <v>27720</v>
      </c>
      <c r="K10051" s="18">
        <f>62817402311</f>
        <v>62817402311</v>
      </c>
      <c r="N10051" s="17" t="s">
        <v>81</v>
      </c>
      <c r="V10051" s="18">
        <f>62817402311</f>
        <v>62817402311</v>
      </c>
    </row>
    <row r="10052" ht="15" customHeight="1" spans="1:23" x14ac:dyDescent="0.25">
      <c r="A10052" s="17" t="s">
        <v>27721</v>
      </c>
      <c r="B10052" s="17" t="s">
        <v>70</v>
      </c>
      <c r="C10052" s="17" t="s">
        <v>71</v>
      </c>
      <c r="D10052" t="s">
        <v>27720</v>
      </c>
      <c r="F10052" t="s">
        <v>27720</v>
      </c>
      <c r="J10052" s="17" t="s">
        <v>27722</v>
      </c>
      <c r="K10052" s="18">
        <f>628214315496</f>
        <v>628214315496</v>
      </c>
      <c r="N10052" s="17" t="s">
        <v>77</v>
      </c>
      <c r="U10052" s="17"/>
      <c r="V10052" s="18">
        <f>628214315496</f>
        <v>628214315496</v>
      </c>
      <c r="W10052" t="s">
        <v>704</v>
      </c>
    </row>
    <row r="10053" ht="15" customHeight="1" spans="1:22" x14ac:dyDescent="0.25">
      <c r="A10053" s="17" t="s">
        <v>27723</v>
      </c>
      <c r="B10053" s="17" t="s">
        <v>70</v>
      </c>
      <c r="C10053" s="17" t="s">
        <v>71</v>
      </c>
      <c r="D10053" t="s">
        <v>27720</v>
      </c>
      <c r="F10053" t="s">
        <v>27720</v>
      </c>
      <c r="K10053" s="18">
        <f>6281311188858</f>
        <v>6281311188858</v>
      </c>
      <c r="N10053" s="17" t="s">
        <v>77</v>
      </c>
      <c r="V10053" s="18">
        <f>6281311188858</f>
        <v>6281311188858</v>
      </c>
    </row>
    <row r="10054" ht="15" customHeight="1" spans="1:23" x14ac:dyDescent="0.25">
      <c r="A10054" s="17" t="s">
        <v>27724</v>
      </c>
      <c r="B10054" s="17" t="s">
        <v>70</v>
      </c>
      <c r="C10054" s="17" t="s">
        <v>71</v>
      </c>
      <c r="D10054" t="s">
        <v>27720</v>
      </c>
      <c r="F10054" t="s">
        <v>27725</v>
      </c>
      <c r="K10054" s="18">
        <f>6281310502892</f>
        <v>6281310502892</v>
      </c>
      <c r="N10054" s="17" t="s">
        <v>77</v>
      </c>
      <c r="U10054" s="17"/>
      <c r="V10054" s="18">
        <f>6281310502892</f>
        <v>6281310502892</v>
      </c>
      <c r="W10054" t="s">
        <v>27726</v>
      </c>
    </row>
    <row r="10055" ht="15" customHeight="1" spans="1:28" x14ac:dyDescent="0.25">
      <c r="A10055" s="17" t="s">
        <v>27727</v>
      </c>
      <c r="B10055" s="17" t="s">
        <v>70</v>
      </c>
      <c r="C10055" s="17" t="s">
        <v>71</v>
      </c>
      <c r="D10055" t="s">
        <v>27720</v>
      </c>
      <c r="F10055" t="s">
        <v>212</v>
      </c>
      <c r="J10055" t="s">
        <v>115</v>
      </c>
      <c r="K10055" s="18" t="s">
        <v>27728</v>
      </c>
      <c r="N10055" s="17" t="s">
        <v>74</v>
      </c>
      <c r="O10055" t="s">
        <v>261</v>
      </c>
      <c r="U10055" s="17"/>
      <c r="V10055" s="18" t="s">
        <v>27728</v>
      </c>
      <c r="W10055" t="s">
        <v>27729</v>
      </c>
      <c r="Y10055" s="17" t="s">
        <v>96</v>
      </c>
      <c r="AA10055" s="17" t="s">
        <v>693</v>
      </c>
      <c r="AB10055" t="s">
        <v>119</v>
      </c>
    </row>
    <row r="10056" ht="15" customHeight="1" spans="1:28" x14ac:dyDescent="0.25">
      <c r="A10056" s="17" t="s">
        <v>27730</v>
      </c>
      <c r="B10056" s="17" t="s">
        <v>70</v>
      </c>
      <c r="C10056" s="17" t="s">
        <v>71</v>
      </c>
      <c r="D10056" t="s">
        <v>27720</v>
      </c>
      <c r="F10056" t="s">
        <v>7046</v>
      </c>
      <c r="J10056" t="s">
        <v>115</v>
      </c>
      <c r="K10056" s="18" t="s">
        <v>27731</v>
      </c>
      <c r="N10056" s="17" t="s">
        <v>77</v>
      </c>
      <c r="O10056" t="s">
        <v>199</v>
      </c>
      <c r="U10056" s="17"/>
      <c r="V10056" s="18" t="s">
        <v>27731</v>
      </c>
      <c r="W10056" t="s">
        <v>27732</v>
      </c>
      <c r="Y10056" t="s">
        <v>90</v>
      </c>
      <c r="AA10056" t="s">
        <v>118</v>
      </c>
      <c r="AB10056" t="s">
        <v>119</v>
      </c>
    </row>
    <row r="10057" ht="15" customHeight="1" spans="1:22" x14ac:dyDescent="0.25">
      <c r="A10057" s="17" t="s">
        <v>27733</v>
      </c>
      <c r="B10057" s="17" t="s">
        <v>70</v>
      </c>
      <c r="C10057" s="17" t="s">
        <v>71</v>
      </c>
      <c r="D10057" t="s">
        <v>27720</v>
      </c>
      <c r="F10057" t="s">
        <v>27734</v>
      </c>
      <c r="K10057" s="18">
        <f>6281285577589</f>
        <v>6281285577589</v>
      </c>
      <c r="N10057" s="17" t="s">
        <v>81</v>
      </c>
      <c r="V10057" s="18">
        <f>6281285577589</f>
        <v>6281285577589</v>
      </c>
    </row>
    <row r="10058" ht="15" customHeight="1" spans="1:28" x14ac:dyDescent="0.25">
      <c r="A10058" s="17" t="s">
        <v>27735</v>
      </c>
      <c r="B10058" s="17" t="s">
        <v>70</v>
      </c>
      <c r="C10058" s="17" t="s">
        <v>71</v>
      </c>
      <c r="D10058" t="s">
        <v>27720</v>
      </c>
      <c r="F10058" t="s">
        <v>25942</v>
      </c>
      <c r="J10058" t="s">
        <v>115</v>
      </c>
      <c r="K10058" s="18" t="s">
        <v>27736</v>
      </c>
      <c r="N10058" s="17" t="s">
        <v>77</v>
      </c>
      <c r="O10058" t="s">
        <v>145</v>
      </c>
      <c r="V10058" s="18" t="s">
        <v>27736</v>
      </c>
      <c r="Y10058" t="s">
        <v>90</v>
      </c>
      <c r="AA10058" t="s">
        <v>118</v>
      </c>
      <c r="AB10058" t="s">
        <v>119</v>
      </c>
    </row>
    <row r="10059" ht="15" customHeight="1" spans="1:28" x14ac:dyDescent="0.25">
      <c r="A10059" s="17" t="s">
        <v>27737</v>
      </c>
      <c r="B10059" s="17" t="s">
        <v>70</v>
      </c>
      <c r="C10059" s="17" t="s">
        <v>71</v>
      </c>
      <c r="D10059" t="s">
        <v>27720</v>
      </c>
      <c r="F10059" t="s">
        <v>27738</v>
      </c>
      <c r="J10059" t="s">
        <v>115</v>
      </c>
      <c r="K10059" s="18" t="s">
        <v>27739</v>
      </c>
      <c r="N10059" s="17" t="s">
        <v>77</v>
      </c>
      <c r="O10059" t="s">
        <v>199</v>
      </c>
      <c r="U10059" s="17"/>
      <c r="V10059" s="18" t="s">
        <v>27739</v>
      </c>
      <c r="W10059" t="s">
        <v>27740</v>
      </c>
      <c r="Y10059" t="s">
        <v>190</v>
      </c>
      <c r="AA10059" t="s">
        <v>118</v>
      </c>
      <c r="AB10059" t="s">
        <v>119</v>
      </c>
    </row>
    <row r="10060" ht="15" customHeight="1" spans="1:23" x14ac:dyDescent="0.25">
      <c r="A10060" s="17" t="s">
        <v>27741</v>
      </c>
      <c r="B10060" s="17" t="s">
        <v>70</v>
      </c>
      <c r="C10060" s="17" t="s">
        <v>71</v>
      </c>
      <c r="D10060" t="s">
        <v>27720</v>
      </c>
      <c r="F10060" t="s">
        <v>27742</v>
      </c>
      <c r="K10060" s="18">
        <f>628121771888</f>
        <v>628121771888</v>
      </c>
      <c r="N10060" s="17" t="s">
        <v>77</v>
      </c>
      <c r="U10060" s="17"/>
      <c r="V10060" s="18">
        <f>628121771888</f>
        <v>628121771888</v>
      </c>
      <c r="W10060" t="s">
        <v>22178</v>
      </c>
    </row>
    <row r="10061" ht="15" customHeight="1" spans="1:28" x14ac:dyDescent="0.25">
      <c r="A10061" s="17" t="s">
        <v>27743</v>
      </c>
      <c r="B10061" s="17" t="s">
        <v>70</v>
      </c>
      <c r="C10061" s="17" t="s">
        <v>71</v>
      </c>
      <c r="D10061" t="s">
        <v>27720</v>
      </c>
      <c r="F10061" t="s">
        <v>150</v>
      </c>
      <c r="J10061" t="s">
        <v>115</v>
      </c>
      <c r="K10061" s="18" t="s">
        <v>27744</v>
      </c>
      <c r="N10061" s="17" t="s">
        <v>81</v>
      </c>
      <c r="O10061" t="s">
        <v>117</v>
      </c>
      <c r="V10061" s="18" t="s">
        <v>27744</v>
      </c>
      <c r="Y10061" t="s">
        <v>3140</v>
      </c>
      <c r="AA10061" t="s">
        <v>115</v>
      </c>
      <c r="AB10061" t="s">
        <v>3140</v>
      </c>
    </row>
    <row r="10062" ht="15" customHeight="1" spans="1:28" x14ac:dyDescent="0.25">
      <c r="A10062" s="17" t="s">
        <v>27745</v>
      </c>
      <c r="B10062" s="17" t="s">
        <v>70</v>
      </c>
      <c r="C10062" s="17" t="s">
        <v>71</v>
      </c>
      <c r="D10062" t="s">
        <v>27720</v>
      </c>
      <c r="F10062" t="s">
        <v>27746</v>
      </c>
      <c r="J10062" t="s">
        <v>115</v>
      </c>
      <c r="K10062" s="18" t="s">
        <v>27747</v>
      </c>
      <c r="N10062" s="17" t="s">
        <v>77</v>
      </c>
      <c r="O10062" t="s">
        <v>145</v>
      </c>
      <c r="U10062" s="17"/>
      <c r="V10062" s="18" t="s">
        <v>27747</v>
      </c>
      <c r="W10062" t="s">
        <v>27748</v>
      </c>
      <c r="Y10062" s="17" t="s">
        <v>762</v>
      </c>
      <c r="AA10062" t="s">
        <v>115</v>
      </c>
      <c r="AB10062" t="s">
        <v>119</v>
      </c>
    </row>
    <row r="10063" ht="15" customHeight="1" spans="1:22" x14ac:dyDescent="0.25">
      <c r="A10063" s="17" t="s">
        <v>27749</v>
      </c>
      <c r="B10063" s="17" t="s">
        <v>70</v>
      </c>
      <c r="C10063" s="17" t="s">
        <v>71</v>
      </c>
      <c r="D10063" t="s">
        <v>27720</v>
      </c>
      <c r="F10063" t="s">
        <v>27750</v>
      </c>
      <c r="K10063" s="18">
        <f>6281287810888</f>
        <v>6281287810888</v>
      </c>
      <c r="N10063" s="17" t="s">
        <v>81</v>
      </c>
      <c r="V10063" s="18">
        <f>6281287810888</f>
        <v>6281287810888</v>
      </c>
    </row>
    <row r="10064" ht="15" customHeight="1" spans="1:28" x14ac:dyDescent="0.25">
      <c r="A10064" s="17" t="s">
        <v>27751</v>
      </c>
      <c r="B10064" s="17" t="s">
        <v>70</v>
      </c>
      <c r="C10064" s="17" t="s">
        <v>71</v>
      </c>
      <c r="D10064" t="s">
        <v>27720</v>
      </c>
      <c r="F10064" t="s">
        <v>27752</v>
      </c>
      <c r="J10064" t="s">
        <v>115</v>
      </c>
      <c r="K10064" s="18" t="s">
        <v>27753</v>
      </c>
      <c r="N10064" s="17" t="s">
        <v>74</v>
      </c>
      <c r="O10064" t="s">
        <v>117</v>
      </c>
      <c r="V10064" s="18" t="s">
        <v>27753</v>
      </c>
      <c r="Y10064" t="s">
        <v>190</v>
      </c>
      <c r="AA10064" t="s">
        <v>118</v>
      </c>
      <c r="AB10064" t="s">
        <v>119</v>
      </c>
    </row>
    <row r="10065" ht="15" customHeight="1" spans="1:25" x14ac:dyDescent="0.25">
      <c r="A10065" s="17" t="s">
        <v>27754</v>
      </c>
      <c r="B10065" s="17" t="s">
        <v>70</v>
      </c>
      <c r="C10065" s="17" t="s">
        <v>71</v>
      </c>
      <c r="D10065" t="s">
        <v>27720</v>
      </c>
      <c r="F10065" t="s">
        <v>20232</v>
      </c>
      <c r="K10065" s="18">
        <f>6287881270886</f>
        <v>6287881270886</v>
      </c>
      <c r="N10065" s="17" t="s">
        <v>77</v>
      </c>
      <c r="U10065" s="17"/>
      <c r="V10065" s="18">
        <f>6287881270886</f>
        <v>6287881270886</v>
      </c>
      <c r="W10065" t="s">
        <v>27755</v>
      </c>
      <c r="Y10065" s="17" t="s">
        <v>5821</v>
      </c>
    </row>
    <row r="10066" ht="15" customHeight="1" spans="1:22" x14ac:dyDescent="0.25">
      <c r="A10066" s="17" t="s">
        <v>27756</v>
      </c>
      <c r="B10066" s="17" t="s">
        <v>70</v>
      </c>
      <c r="C10066" s="17" t="s">
        <v>71</v>
      </c>
      <c r="D10066" t="s">
        <v>27720</v>
      </c>
      <c r="F10066" t="s">
        <v>27757</v>
      </c>
      <c r="K10066" s="18">
        <f>6285811881212</f>
        <v>6285811881212</v>
      </c>
      <c r="N10066" s="17" t="s">
        <v>77</v>
      </c>
      <c r="V10066" s="18">
        <f>6285811881212</f>
        <v>6285811881212</v>
      </c>
    </row>
    <row r="10067" ht="15" customHeight="1" spans="1:22" x14ac:dyDescent="0.25">
      <c r="A10067" s="17" t="s">
        <v>27758</v>
      </c>
      <c r="B10067" s="17" t="s">
        <v>70</v>
      </c>
      <c r="C10067" s="17" t="s">
        <v>71</v>
      </c>
      <c r="D10067" t="s">
        <v>27759</v>
      </c>
      <c r="F10067" t="s">
        <v>27760</v>
      </c>
      <c r="K10067" s="18">
        <f>6281286057378</f>
        <v>6281286057378</v>
      </c>
      <c r="N10067" s="17" t="s">
        <v>77</v>
      </c>
      <c r="V10067" s="18">
        <f>6281286057378</f>
        <v>6281286057378</v>
      </c>
    </row>
    <row r="10068" ht="15" customHeight="1" spans="1:28" x14ac:dyDescent="0.25">
      <c r="A10068" s="17" t="s">
        <v>27761</v>
      </c>
      <c r="B10068" s="17" t="s">
        <v>70</v>
      </c>
      <c r="C10068" s="17" t="s">
        <v>71</v>
      </c>
      <c r="D10068" t="s">
        <v>27762</v>
      </c>
      <c r="F10068" t="s">
        <v>27763</v>
      </c>
      <c r="J10068" t="s">
        <v>115</v>
      </c>
      <c r="K10068" s="18" t="s">
        <v>27764</v>
      </c>
      <c r="N10068" s="17" t="s">
        <v>74</v>
      </c>
      <c r="O10068" t="s">
        <v>489</v>
      </c>
      <c r="U10068" s="17"/>
      <c r="V10068" s="18" t="s">
        <v>27764</v>
      </c>
      <c r="W10068" t="s">
        <v>27765</v>
      </c>
      <c r="Y10068" t="s">
        <v>90</v>
      </c>
      <c r="AA10068" t="s">
        <v>118</v>
      </c>
      <c r="AB10068" t="s">
        <v>119</v>
      </c>
    </row>
    <row r="10069" ht="15" customHeight="1" spans="1:22" x14ac:dyDescent="0.25">
      <c r="A10069" s="17" t="s">
        <v>27766</v>
      </c>
      <c r="B10069" s="17" t="s">
        <v>70</v>
      </c>
      <c r="C10069" s="17" t="s">
        <v>71</v>
      </c>
      <c r="D10069" t="s">
        <v>27762</v>
      </c>
      <c r="F10069" t="s">
        <v>27767</v>
      </c>
      <c r="K10069" s="18">
        <f>6287875762111</f>
        <v>6287875762111</v>
      </c>
      <c r="N10069" s="17" t="s">
        <v>77</v>
      </c>
      <c r="V10069" s="18">
        <f>6287875762111</f>
        <v>6287875762111</v>
      </c>
    </row>
    <row r="10070" ht="15" customHeight="1" spans="1:25" x14ac:dyDescent="0.25">
      <c r="A10070" s="17" t="s">
        <v>27768</v>
      </c>
      <c r="B10070" s="17" t="s">
        <v>70</v>
      </c>
      <c r="C10070" s="17" t="s">
        <v>71</v>
      </c>
      <c r="D10070" t="s">
        <v>27762</v>
      </c>
      <c r="F10070" t="s">
        <v>27769</v>
      </c>
      <c r="K10070" s="18">
        <f>6281510363558</f>
        <v>6281510363558</v>
      </c>
      <c r="N10070" s="17" t="s">
        <v>77</v>
      </c>
      <c r="U10070" s="17"/>
      <c r="V10070" s="18">
        <f>6281510363558</f>
        <v>6281510363558</v>
      </c>
      <c r="W10070" t="s">
        <v>27770</v>
      </c>
      <c r="Y10070" s="17" t="s">
        <v>90</v>
      </c>
    </row>
    <row r="10071" ht="15" customHeight="1" spans="1:23" x14ac:dyDescent="0.25">
      <c r="A10071" s="17" t="s">
        <v>27771</v>
      </c>
      <c r="B10071" s="17" t="s">
        <v>70</v>
      </c>
      <c r="C10071" s="17" t="s">
        <v>71</v>
      </c>
      <c r="D10071" t="s">
        <v>27762</v>
      </c>
      <c r="F10071" t="s">
        <v>4918</v>
      </c>
      <c r="K10071" s="18">
        <f>62811827787</f>
        <v>62811827787</v>
      </c>
      <c r="N10071" s="17" t="s">
        <v>81</v>
      </c>
      <c r="U10071" s="17"/>
      <c r="V10071" s="18">
        <f>62811827787</f>
        <v>62811827787</v>
      </c>
      <c r="W10071" t="s">
        <v>27772</v>
      </c>
    </row>
    <row r="10072" ht="15" customHeight="1" spans="1:22" x14ac:dyDescent="0.25">
      <c r="A10072" s="17" t="s">
        <v>27773</v>
      </c>
      <c r="B10072" s="17" t="s">
        <v>70</v>
      </c>
      <c r="C10072" s="17" t="s">
        <v>71</v>
      </c>
      <c r="D10072" t="s">
        <v>27774</v>
      </c>
      <c r="F10072" t="s">
        <v>27774</v>
      </c>
      <c r="K10072" s="18">
        <f>628118981817</f>
        <v>628118981817</v>
      </c>
      <c r="N10072" s="17" t="s">
        <v>77</v>
      </c>
      <c r="V10072" s="18">
        <f>628118981817</f>
        <v>628118981817</v>
      </c>
    </row>
    <row r="10073" ht="15" customHeight="1" spans="1:22" x14ac:dyDescent="0.25">
      <c r="A10073" s="17" t="s">
        <v>27775</v>
      </c>
      <c r="B10073" s="17" t="s">
        <v>70</v>
      </c>
      <c r="C10073" s="17" t="s">
        <v>71</v>
      </c>
      <c r="D10073" t="s">
        <v>27776</v>
      </c>
      <c r="F10073" t="s">
        <v>27777</v>
      </c>
      <c r="K10073" s="18">
        <f>62811365274</f>
        <v>62811365274</v>
      </c>
      <c r="N10073" s="17" t="s">
        <v>77</v>
      </c>
      <c r="V10073" s="18">
        <f>62811365274</f>
        <v>62811365274</v>
      </c>
    </row>
    <row r="10074" ht="15" customHeight="1" spans="1:28" x14ac:dyDescent="0.25">
      <c r="A10074" s="17" t="s">
        <v>27778</v>
      </c>
      <c r="B10074" s="17" t="s">
        <v>70</v>
      </c>
      <c r="C10074" s="17" t="s">
        <v>71</v>
      </c>
      <c r="D10074" t="s">
        <v>27779</v>
      </c>
      <c r="F10074" t="s">
        <v>27780</v>
      </c>
      <c r="J10074" t="s">
        <v>27781</v>
      </c>
      <c r="K10074" s="18" t="s">
        <v>27782</v>
      </c>
      <c r="N10074" s="17" t="s">
        <v>77</v>
      </c>
      <c r="O10074" t="s">
        <v>145</v>
      </c>
      <c r="U10074" s="17"/>
      <c r="V10074" s="18" t="s">
        <v>27782</v>
      </c>
      <c r="W10074" t="s">
        <v>704</v>
      </c>
      <c r="Y10074" t="s">
        <v>1091</v>
      </c>
      <c r="AA10074" t="s">
        <v>115</v>
      </c>
      <c r="AB10074" t="s">
        <v>119</v>
      </c>
    </row>
    <row r="10075" ht="15" customHeight="1" spans="1:25" x14ac:dyDescent="0.25">
      <c r="A10075" s="17" t="s">
        <v>27783</v>
      </c>
      <c r="B10075" s="17" t="s">
        <v>70</v>
      </c>
      <c r="C10075" s="17" t="s">
        <v>71</v>
      </c>
      <c r="D10075" t="s">
        <v>20086</v>
      </c>
      <c r="F10075" t="s">
        <v>27784</v>
      </c>
      <c r="K10075" s="18">
        <f>622127505980</f>
        <v>622127505980</v>
      </c>
      <c r="N10075" s="17" t="s">
        <v>77</v>
      </c>
      <c r="U10075" s="17"/>
      <c r="V10075" s="18">
        <f>622127505980</f>
        <v>622127505980</v>
      </c>
      <c r="W10075" t="s">
        <v>27785</v>
      </c>
      <c r="Y10075" s="17" t="s">
        <v>90</v>
      </c>
    </row>
    <row r="10076" ht="15" customHeight="1" spans="1:22" x14ac:dyDescent="0.25">
      <c r="A10076" s="17" t="s">
        <v>27786</v>
      </c>
      <c r="B10076" s="17" t="s">
        <v>70</v>
      </c>
      <c r="C10076" s="17" t="s">
        <v>71</v>
      </c>
      <c r="D10076" t="s">
        <v>27787</v>
      </c>
      <c r="F10076" t="s">
        <v>27787</v>
      </c>
      <c r="K10076" s="18">
        <f>62811859778</f>
        <v>62811859778</v>
      </c>
      <c r="N10076" s="17" t="s">
        <v>81</v>
      </c>
      <c r="V10076" s="18">
        <f>62811859778</f>
        <v>62811859778</v>
      </c>
    </row>
    <row r="10077" ht="15" customHeight="1" spans="1:22" x14ac:dyDescent="0.25">
      <c r="A10077" s="17" t="s">
        <v>27788</v>
      </c>
      <c r="B10077" s="17" t="s">
        <v>70</v>
      </c>
      <c r="C10077" s="17" t="s">
        <v>71</v>
      </c>
      <c r="D10077" t="s">
        <v>27787</v>
      </c>
      <c r="F10077" t="s">
        <v>27789</v>
      </c>
      <c r="K10077" s="18">
        <f>628121225352</f>
        <v>628121225352</v>
      </c>
      <c r="N10077" s="17" t="s">
        <v>77</v>
      </c>
      <c r="V10077" s="18">
        <f>628121225352</f>
        <v>628121225352</v>
      </c>
    </row>
    <row r="10078" ht="15" customHeight="1" spans="1:23" x14ac:dyDescent="0.25">
      <c r="A10078" s="17" t="s">
        <v>27790</v>
      </c>
      <c r="B10078" s="17" t="s">
        <v>70</v>
      </c>
      <c r="C10078" s="17" t="s">
        <v>71</v>
      </c>
      <c r="D10078" t="s">
        <v>27787</v>
      </c>
      <c r="F10078" t="s">
        <v>27791</v>
      </c>
      <c r="K10078" s="18">
        <f>6281316697667</f>
        <v>6281316697667</v>
      </c>
      <c r="N10078" s="17" t="s">
        <v>77</v>
      </c>
      <c r="U10078" s="17"/>
      <c r="V10078" s="18">
        <f>6281316697667</f>
        <v>6281316697667</v>
      </c>
      <c r="W10078" t="s">
        <v>27792</v>
      </c>
    </row>
    <row r="10079" ht="15" customHeight="1" spans="1:25" x14ac:dyDescent="0.25">
      <c r="A10079" s="17" t="s">
        <v>27793</v>
      </c>
      <c r="B10079" s="17" t="s">
        <v>70</v>
      </c>
      <c r="C10079" s="17" t="s">
        <v>71</v>
      </c>
      <c r="D10079" t="s">
        <v>27794</v>
      </c>
      <c r="F10079" t="s">
        <v>14193</v>
      </c>
      <c r="K10079" s="18">
        <f>62812910000028</f>
        <v>62812910000028</v>
      </c>
      <c r="N10079" s="17" t="s">
        <v>81</v>
      </c>
      <c r="U10079" s="17"/>
      <c r="V10079" s="18">
        <f>62812910000028</f>
        <v>62812910000028</v>
      </c>
      <c r="W10079" t="s">
        <v>27795</v>
      </c>
      <c r="Y10079" s="17" t="s">
        <v>96</v>
      </c>
    </row>
    <row r="10080" ht="15" customHeight="1" spans="1:28" x14ac:dyDescent="0.25">
      <c r="A10080" s="17" t="s">
        <v>27796</v>
      </c>
      <c r="B10080" s="17" t="s">
        <v>70</v>
      </c>
      <c r="C10080" s="17" t="s">
        <v>71</v>
      </c>
      <c r="D10080" t="s">
        <v>27794</v>
      </c>
      <c r="F10080" t="s">
        <v>14193</v>
      </c>
      <c r="J10080" t="s">
        <v>115</v>
      </c>
      <c r="K10080" s="18" t="s">
        <v>27797</v>
      </c>
      <c r="N10080" s="17" t="s">
        <v>77</v>
      </c>
      <c r="O10080" t="s">
        <v>489</v>
      </c>
      <c r="V10080" s="18" t="s">
        <v>27797</v>
      </c>
      <c r="Y10080" t="s">
        <v>190</v>
      </c>
      <c r="AA10080" t="s">
        <v>118</v>
      </c>
      <c r="AB10080" t="s">
        <v>119</v>
      </c>
    </row>
    <row r="10081" ht="15" customHeight="1" spans="1:23" x14ac:dyDescent="0.25">
      <c r="A10081" s="17" t="s">
        <v>27798</v>
      </c>
      <c r="B10081" s="17" t="s">
        <v>70</v>
      </c>
      <c r="C10081" s="17" t="s">
        <v>71</v>
      </c>
      <c r="D10081" t="s">
        <v>27799</v>
      </c>
      <c r="F10081" t="s">
        <v>27800</v>
      </c>
      <c r="K10081" s="18">
        <f>6282117118148</f>
        <v>6282117118148</v>
      </c>
      <c r="N10081" s="17" t="s">
        <v>77</v>
      </c>
      <c r="U10081" s="17"/>
      <c r="V10081" s="18">
        <f>6282117118148</f>
        <v>6282117118148</v>
      </c>
      <c r="W10081" t="s">
        <v>1736</v>
      </c>
    </row>
    <row r="10082" ht="15" customHeight="1" spans="1:22" x14ac:dyDescent="0.25">
      <c r="A10082" s="17" t="s">
        <v>27801</v>
      </c>
      <c r="B10082" s="17" t="s">
        <v>70</v>
      </c>
      <c r="C10082" s="17" t="s">
        <v>71</v>
      </c>
      <c r="D10082" t="s">
        <v>27802</v>
      </c>
      <c r="F10082" t="s">
        <v>27803</v>
      </c>
      <c r="K10082" s="18">
        <f>62811868531</f>
        <v>62811868531</v>
      </c>
      <c r="N10082" s="17" t="s">
        <v>81</v>
      </c>
      <c r="V10082" s="18">
        <f>62811868531</f>
        <v>62811868531</v>
      </c>
    </row>
    <row r="10083" ht="15" customHeight="1" spans="1:23" x14ac:dyDescent="0.25">
      <c r="A10083" s="17" t="s">
        <v>27804</v>
      </c>
      <c r="B10083" s="17" t="s">
        <v>70</v>
      </c>
      <c r="C10083" s="17" t="s">
        <v>71</v>
      </c>
      <c r="D10083" t="s">
        <v>27805</v>
      </c>
      <c r="F10083" t="s">
        <v>27806</v>
      </c>
      <c r="K10083" s="18">
        <f>6285811111585</f>
        <v>6285811111585</v>
      </c>
      <c r="N10083" s="17" t="s">
        <v>77</v>
      </c>
      <c r="U10083" s="17"/>
      <c r="V10083" s="18">
        <f>6285811111585</f>
        <v>6285811111585</v>
      </c>
      <c r="W10083" t="s">
        <v>27807</v>
      </c>
    </row>
    <row r="10084" ht="15" customHeight="1" spans="1:28" x14ac:dyDescent="0.25">
      <c r="A10084" s="17" t="s">
        <v>27808</v>
      </c>
      <c r="B10084" s="17" t="s">
        <v>70</v>
      </c>
      <c r="C10084" s="17" t="s">
        <v>71</v>
      </c>
      <c r="D10084" t="s">
        <v>27809</v>
      </c>
      <c r="F10084" t="s">
        <v>27810</v>
      </c>
      <c r="J10084" s="17" t="s">
        <v>27811</v>
      </c>
      <c r="K10084" s="18" t="s">
        <v>27812</v>
      </c>
      <c r="N10084" s="17" t="s">
        <v>77</v>
      </c>
      <c r="O10084" t="s">
        <v>145</v>
      </c>
      <c r="U10084" s="17"/>
      <c r="V10084" s="18" t="s">
        <v>27812</v>
      </c>
      <c r="W10084" t="s">
        <v>27813</v>
      </c>
      <c r="Y10084" s="17" t="s">
        <v>27814</v>
      </c>
      <c r="AA10084" t="s">
        <v>115</v>
      </c>
      <c r="AB10084" t="s">
        <v>1744</v>
      </c>
    </row>
    <row r="10085" ht="15" customHeight="1" spans="1:22" x14ac:dyDescent="0.25">
      <c r="A10085" s="17" t="s">
        <v>27815</v>
      </c>
      <c r="B10085" s="17" t="s">
        <v>70</v>
      </c>
      <c r="C10085" s="17" t="s">
        <v>71</v>
      </c>
      <c r="D10085" t="s">
        <v>27816</v>
      </c>
      <c r="F10085" t="s">
        <v>27817</v>
      </c>
      <c r="K10085" s="18">
        <f>628161989988</f>
        <v>628161989988</v>
      </c>
      <c r="N10085" s="17" t="s">
        <v>81</v>
      </c>
      <c r="V10085" s="18">
        <f>628161989988</f>
        <v>628161989988</v>
      </c>
    </row>
    <row r="10086" ht="15" customHeight="1" spans="1:28" x14ac:dyDescent="0.25">
      <c r="A10086" s="17" t="s">
        <v>27818</v>
      </c>
      <c r="B10086" s="17" t="s">
        <v>70</v>
      </c>
      <c r="C10086" s="17" t="s">
        <v>71</v>
      </c>
      <c r="D10086" t="s">
        <v>27819</v>
      </c>
      <c r="F10086" t="s">
        <v>11376</v>
      </c>
      <c r="J10086" t="s">
        <v>115</v>
      </c>
      <c r="K10086" s="18" t="s">
        <v>27820</v>
      </c>
      <c r="N10086" s="17" t="s">
        <v>77</v>
      </c>
      <c r="O10086" t="s">
        <v>145</v>
      </c>
      <c r="U10086" s="17"/>
      <c r="V10086" s="18" t="s">
        <v>27820</v>
      </c>
      <c r="W10086" t="s">
        <v>27821</v>
      </c>
      <c r="Y10086" s="17" t="s">
        <v>622</v>
      </c>
      <c r="AA10086" t="s">
        <v>623</v>
      </c>
      <c r="AB10086" t="s">
        <v>119</v>
      </c>
    </row>
    <row r="10087" ht="15" customHeight="1" spans="1:28" x14ac:dyDescent="0.25">
      <c r="A10087" s="17" t="s">
        <v>27822</v>
      </c>
      <c r="B10087" s="17" t="s">
        <v>70</v>
      </c>
      <c r="C10087" s="17" t="s">
        <v>71</v>
      </c>
      <c r="D10087" t="s">
        <v>27823</v>
      </c>
      <c r="F10087" t="s">
        <v>27824</v>
      </c>
      <c r="J10087" s="17" t="s">
        <v>27825</v>
      </c>
      <c r="K10087" s="18" t="s">
        <v>27826</v>
      </c>
      <c r="N10087" s="17" t="s">
        <v>77</v>
      </c>
      <c r="O10087" t="s">
        <v>199</v>
      </c>
      <c r="V10087" s="18" t="s">
        <v>27826</v>
      </c>
      <c r="Y10087" t="s">
        <v>115</v>
      </c>
      <c r="AA10087" t="s">
        <v>115</v>
      </c>
      <c r="AB10087" t="s">
        <v>2500</v>
      </c>
    </row>
    <row r="10088" ht="15" customHeight="1" spans="1:22" x14ac:dyDescent="0.25">
      <c r="A10088" s="17" t="s">
        <v>27827</v>
      </c>
      <c r="B10088" s="17" t="s">
        <v>70</v>
      </c>
      <c r="C10088" s="17" t="s">
        <v>71</v>
      </c>
      <c r="D10088" t="s">
        <v>27828</v>
      </c>
      <c r="F10088" t="s">
        <v>7089</v>
      </c>
      <c r="K10088" s="18">
        <f>6281211901412</f>
        <v>6281211901412</v>
      </c>
      <c r="N10088" s="17" t="s">
        <v>81</v>
      </c>
      <c r="V10088" s="18">
        <f>6281211901412</f>
        <v>6281211901412</v>
      </c>
    </row>
    <row r="10089" ht="15" customHeight="1" spans="1:22" x14ac:dyDescent="0.25">
      <c r="A10089" s="17" t="s">
        <v>27829</v>
      </c>
      <c r="B10089" s="17" t="s">
        <v>70</v>
      </c>
      <c r="C10089" s="17" t="s">
        <v>71</v>
      </c>
      <c r="D10089" t="s">
        <v>27830</v>
      </c>
      <c r="F10089" t="s">
        <v>27830</v>
      </c>
      <c r="K10089" s="18">
        <f>62822258885588</f>
        <v>62822258885588</v>
      </c>
      <c r="N10089" s="17" t="s">
        <v>81</v>
      </c>
      <c r="V10089" s="18">
        <f>62822258885588</f>
        <v>62822258885588</v>
      </c>
    </row>
    <row r="10090" ht="15" customHeight="1" spans="1:28" x14ac:dyDescent="0.25">
      <c r="A10090" s="17" t="s">
        <v>27831</v>
      </c>
      <c r="B10090" s="17" t="s">
        <v>70</v>
      </c>
      <c r="C10090" s="17" t="s">
        <v>71</v>
      </c>
      <c r="D10090" t="s">
        <v>26390</v>
      </c>
      <c r="F10090" t="s">
        <v>4443</v>
      </c>
      <c r="J10090" t="s">
        <v>115</v>
      </c>
      <c r="K10090" s="18" t="s">
        <v>27832</v>
      </c>
      <c r="N10090" s="17" t="s">
        <v>77</v>
      </c>
      <c r="O10090" t="s">
        <v>199</v>
      </c>
      <c r="V10090" s="18" t="s">
        <v>27832</v>
      </c>
      <c r="Y10090" t="s">
        <v>3028</v>
      </c>
      <c r="AA10090" t="s">
        <v>9062</v>
      </c>
      <c r="AB10090" t="s">
        <v>119</v>
      </c>
    </row>
    <row r="10091" ht="15" customHeight="1" spans="1:22" x14ac:dyDescent="0.25">
      <c r="A10091" s="17" t="s">
        <v>27833</v>
      </c>
      <c r="B10091" s="17" t="s">
        <v>70</v>
      </c>
      <c r="C10091" s="17" t="s">
        <v>71</v>
      </c>
      <c r="D10091" t="s">
        <v>26390</v>
      </c>
      <c r="F10091" t="s">
        <v>4941</v>
      </c>
      <c r="K10091" s="18">
        <f>62215854277</f>
        <v>62215854277</v>
      </c>
      <c r="N10091" s="17" t="s">
        <v>77</v>
      </c>
      <c r="V10091" s="18">
        <f>62215854277</f>
        <v>62215854277</v>
      </c>
    </row>
    <row r="10092" ht="15" customHeight="1" spans="1:22" x14ac:dyDescent="0.25">
      <c r="A10092" s="17" t="s">
        <v>27834</v>
      </c>
      <c r="B10092" s="17" t="s">
        <v>70</v>
      </c>
      <c r="C10092" s="17" t="s">
        <v>71</v>
      </c>
      <c r="D10092" t="s">
        <v>26390</v>
      </c>
      <c r="F10092" t="s">
        <v>27835</v>
      </c>
      <c r="K10092" s="18">
        <f>628113543972</f>
        <v>628113543972</v>
      </c>
      <c r="N10092" s="17" t="s">
        <v>77</v>
      </c>
      <c r="V10092" s="18">
        <f>628113543972</f>
        <v>628113543972</v>
      </c>
    </row>
    <row r="10093" ht="15" customHeight="1" spans="1:23" x14ac:dyDescent="0.25">
      <c r="A10093" s="17" t="s">
        <v>27836</v>
      </c>
      <c r="B10093" s="17" t="s">
        <v>70</v>
      </c>
      <c r="C10093" s="17" t="s">
        <v>71</v>
      </c>
      <c r="D10093" t="s">
        <v>27837</v>
      </c>
      <c r="F10093" t="s">
        <v>27838</v>
      </c>
      <c r="K10093" s="18">
        <f>6282178720111</f>
        <v>6282178720111</v>
      </c>
      <c r="N10093" s="17" t="s">
        <v>74</v>
      </c>
      <c r="U10093" s="17"/>
      <c r="V10093" s="18">
        <f>6282178720111</f>
        <v>6282178720111</v>
      </c>
      <c r="W10093" t="s">
        <v>27839</v>
      </c>
    </row>
    <row r="10094" ht="15" customHeight="1" spans="1:27" x14ac:dyDescent="0.25">
      <c r="A10094" s="17" t="s">
        <v>27840</v>
      </c>
      <c r="B10094" s="17" t="s">
        <v>70</v>
      </c>
      <c r="C10094" s="17" t="s">
        <v>71</v>
      </c>
      <c r="D10094" t="s">
        <v>27841</v>
      </c>
      <c r="F10094" t="s">
        <v>27842</v>
      </c>
      <c r="K10094" s="18">
        <v>78830909</v>
      </c>
      <c r="N10094" s="17" t="s">
        <v>77</v>
      </c>
      <c r="U10094" s="17"/>
      <c r="V10094" s="18">
        <v>78830909</v>
      </c>
      <c r="W10094" t="s">
        <v>27843</v>
      </c>
      <c r="Y10094" s="17" t="s">
        <v>96</v>
      </c>
      <c r="AA10094" s="17" t="s">
        <v>27844</v>
      </c>
    </row>
    <row r="10095" ht="15" customHeight="1" spans="1:22" x14ac:dyDescent="0.25">
      <c r="A10095" s="17" t="s">
        <v>27845</v>
      </c>
      <c r="B10095" s="17" t="s">
        <v>70</v>
      </c>
      <c r="C10095" s="17" t="s">
        <v>71</v>
      </c>
      <c r="D10095" t="s">
        <v>27846</v>
      </c>
      <c r="F10095" t="s">
        <v>27846</v>
      </c>
      <c r="K10095" s="18">
        <f>6287888116553</f>
        <v>6287888116553</v>
      </c>
      <c r="N10095" s="17" t="s">
        <v>81</v>
      </c>
      <c r="V10095" s="18">
        <f>6287888116553</f>
        <v>6287888116553</v>
      </c>
    </row>
    <row r="10096" ht="15" customHeight="1" spans="1:22" x14ac:dyDescent="0.25">
      <c r="A10096" s="17" t="s">
        <v>27847</v>
      </c>
      <c r="B10096" s="17" t="s">
        <v>70</v>
      </c>
      <c r="C10096" s="17" t="s">
        <v>71</v>
      </c>
      <c r="D10096" t="s">
        <v>27846</v>
      </c>
      <c r="F10096" t="s">
        <v>10889</v>
      </c>
      <c r="K10096" s="18">
        <f>622199080442</f>
        <v>622199080442</v>
      </c>
      <c r="N10096" s="17" t="s">
        <v>77</v>
      </c>
      <c r="V10096" s="18">
        <f>622199080442</f>
        <v>622199080442</v>
      </c>
    </row>
    <row r="10097" ht="15" customHeight="1" spans="1:28" x14ac:dyDescent="0.25">
      <c r="A10097" s="17" t="s">
        <v>27848</v>
      </c>
      <c r="B10097" s="17" t="s">
        <v>70</v>
      </c>
      <c r="C10097" s="17" t="s">
        <v>71</v>
      </c>
      <c r="D10097" t="s">
        <v>27846</v>
      </c>
      <c r="F10097" t="s">
        <v>879</v>
      </c>
      <c r="J10097" s="17" t="s">
        <v>27849</v>
      </c>
      <c r="K10097" s="18" t="s">
        <v>27850</v>
      </c>
      <c r="N10097" s="17" t="s">
        <v>77</v>
      </c>
      <c r="O10097" t="s">
        <v>145</v>
      </c>
      <c r="U10097" s="17"/>
      <c r="V10097" s="18" t="s">
        <v>27850</v>
      </c>
      <c r="W10097" t="s">
        <v>704</v>
      </c>
      <c r="Y10097" s="17" t="s">
        <v>704</v>
      </c>
      <c r="AA10097" t="s">
        <v>705</v>
      </c>
      <c r="AB10097" t="s">
        <v>119</v>
      </c>
    </row>
    <row r="10098" ht="15" customHeight="1" spans="1:28" x14ac:dyDescent="0.25">
      <c r="A10098" s="17" t="s">
        <v>27851</v>
      </c>
      <c r="B10098" s="17" t="s">
        <v>70</v>
      </c>
      <c r="C10098" s="17" t="s">
        <v>71</v>
      </c>
      <c r="D10098" t="s">
        <v>27846</v>
      </c>
      <c r="F10098" t="s">
        <v>27852</v>
      </c>
      <c r="J10098" t="s">
        <v>115</v>
      </c>
      <c r="K10098" s="18" t="s">
        <v>27853</v>
      </c>
      <c r="N10098" s="17" t="s">
        <v>77</v>
      </c>
      <c r="O10098" t="s">
        <v>199</v>
      </c>
      <c r="V10098" s="18" t="s">
        <v>27853</v>
      </c>
      <c r="Y10098" t="s">
        <v>115</v>
      </c>
      <c r="AA10098" t="s">
        <v>115</v>
      </c>
      <c r="AB10098" t="s">
        <v>5358</v>
      </c>
    </row>
    <row r="10099" ht="15" customHeight="1" spans="1:25" x14ac:dyDescent="0.25">
      <c r="A10099" s="17" t="s">
        <v>27854</v>
      </c>
      <c r="B10099" s="17" t="s">
        <v>70</v>
      </c>
      <c r="C10099" s="17" t="s">
        <v>71</v>
      </c>
      <c r="D10099" t="s">
        <v>27846</v>
      </c>
      <c r="F10099" t="s">
        <v>27855</v>
      </c>
      <c r="K10099" s="18">
        <f>622178837113</f>
        <v>622178837113</v>
      </c>
      <c r="N10099" s="17" t="s">
        <v>77</v>
      </c>
      <c r="U10099" s="17"/>
      <c r="V10099" s="18">
        <f>622178837113</f>
        <v>622178837113</v>
      </c>
      <c r="W10099" t="s">
        <v>27856</v>
      </c>
      <c r="Y10099" s="17" t="s">
        <v>96</v>
      </c>
    </row>
    <row r="10100" ht="15" customHeight="1" spans="1:22" x14ac:dyDescent="0.25">
      <c r="A10100" s="17" t="s">
        <v>27857</v>
      </c>
      <c r="B10100" s="17" t="s">
        <v>70</v>
      </c>
      <c r="C10100" s="17" t="s">
        <v>71</v>
      </c>
      <c r="D10100" t="s">
        <v>27858</v>
      </c>
      <c r="F10100" t="s">
        <v>6843</v>
      </c>
      <c r="K10100" s="18">
        <f>62817888900</f>
        <v>62817888900</v>
      </c>
      <c r="N10100" s="17" t="s">
        <v>74</v>
      </c>
      <c r="V10100" s="18">
        <f>62817888900</f>
        <v>62817888900</v>
      </c>
    </row>
    <row r="10101" ht="15" customHeight="1" spans="1:22" x14ac:dyDescent="0.25">
      <c r="A10101" s="17" t="s">
        <v>27859</v>
      </c>
      <c r="B10101" s="17" t="s">
        <v>70</v>
      </c>
      <c r="C10101" s="17" t="s">
        <v>71</v>
      </c>
      <c r="D10101" t="s">
        <v>3898</v>
      </c>
      <c r="F10101" t="s">
        <v>27860</v>
      </c>
      <c r="K10101" s="18">
        <f>6282344761798</f>
        <v>6282344761798</v>
      </c>
      <c r="N10101" s="17" t="s">
        <v>81</v>
      </c>
      <c r="V10101" s="18">
        <f>6282344761798</f>
        <v>6282344761798</v>
      </c>
    </row>
    <row r="10102" ht="15" customHeight="1" spans="1:23" x14ac:dyDescent="0.25">
      <c r="A10102" s="17" t="s">
        <v>27861</v>
      </c>
      <c r="B10102" s="17" t="s">
        <v>70</v>
      </c>
      <c r="C10102" s="17" t="s">
        <v>71</v>
      </c>
      <c r="D10102" t="s">
        <v>27862</v>
      </c>
      <c r="F10102" t="s">
        <v>672</v>
      </c>
      <c r="J10102" s="17" t="s">
        <v>27863</v>
      </c>
      <c r="K10102" s="18">
        <f>628118821299</f>
        <v>628118821299</v>
      </c>
      <c r="N10102" s="17" t="s">
        <v>77</v>
      </c>
      <c r="U10102" s="17"/>
      <c r="V10102" s="18">
        <f>628118821299</f>
        <v>628118821299</v>
      </c>
      <c r="W10102" t="s">
        <v>27864</v>
      </c>
    </row>
    <row r="10103" ht="15" customHeight="1" spans="1:23" x14ac:dyDescent="0.25">
      <c r="A10103" s="17" t="s">
        <v>27865</v>
      </c>
      <c r="B10103" s="17" t="s">
        <v>70</v>
      </c>
      <c r="C10103" s="17" t="s">
        <v>71</v>
      </c>
      <c r="D10103" t="s">
        <v>27866</v>
      </c>
      <c r="F10103" t="s">
        <v>14852</v>
      </c>
      <c r="K10103" s="18">
        <f>818011532480</f>
        <v>818011532480</v>
      </c>
      <c r="N10103" s="17" t="s">
        <v>77</v>
      </c>
      <c r="U10103" s="17"/>
      <c r="V10103" s="18">
        <f>818011532480</f>
        <v>818011532480</v>
      </c>
      <c r="W10103" t="s">
        <v>2500</v>
      </c>
    </row>
    <row r="10104" ht="15" customHeight="1" spans="1:22" x14ac:dyDescent="0.25">
      <c r="A10104" s="17" t="s">
        <v>27867</v>
      </c>
      <c r="B10104" s="17" t="s">
        <v>70</v>
      </c>
      <c r="C10104" s="17" t="s">
        <v>71</v>
      </c>
      <c r="D10104" t="s">
        <v>27866</v>
      </c>
      <c r="F10104" t="s">
        <v>4669</v>
      </c>
      <c r="K10104" s="18">
        <f>6285691551415</f>
        <v>6285691551415</v>
      </c>
      <c r="N10104" s="17" t="s">
        <v>77</v>
      </c>
      <c r="V10104" s="18">
        <f>6285691551415</f>
        <v>6285691551415</v>
      </c>
    </row>
    <row r="10105" ht="15" customHeight="1" spans="1:22" x14ac:dyDescent="0.25">
      <c r="A10105" s="17" t="s">
        <v>27868</v>
      </c>
      <c r="B10105" s="17" t="s">
        <v>70</v>
      </c>
      <c r="C10105" s="17" t="s">
        <v>71</v>
      </c>
      <c r="D10105" t="s">
        <v>27866</v>
      </c>
      <c r="F10105" t="s">
        <v>27869</v>
      </c>
      <c r="K10105" s="18">
        <f>628125622220</f>
        <v>628125622220</v>
      </c>
      <c r="N10105" s="17" t="s">
        <v>77</v>
      </c>
      <c r="V10105" s="18">
        <f>628125622220</f>
        <v>628125622220</v>
      </c>
    </row>
    <row r="10106" ht="15" customHeight="1" spans="1:23" x14ac:dyDescent="0.25">
      <c r="A10106" s="17" t="s">
        <v>27870</v>
      </c>
      <c r="B10106" s="17" t="s">
        <v>70</v>
      </c>
      <c r="C10106" s="17" t="s">
        <v>71</v>
      </c>
      <c r="D10106" t="s">
        <v>27871</v>
      </c>
      <c r="F10106" t="s">
        <v>27872</v>
      </c>
      <c r="J10106" s="17" t="s">
        <v>27873</v>
      </c>
      <c r="K10106" s="18">
        <f>17184961702</f>
        <v>17184961702</v>
      </c>
      <c r="N10106" s="17" t="s">
        <v>77</v>
      </c>
      <c r="U10106" s="17"/>
      <c r="V10106" s="18">
        <f>17184961702</f>
        <v>17184961702</v>
      </c>
      <c r="W10106" t="s">
        <v>1315</v>
      </c>
    </row>
    <row r="10107" ht="15" customHeight="1" spans="1:22" x14ac:dyDescent="0.25">
      <c r="A10107" s="17" t="s">
        <v>27874</v>
      </c>
      <c r="B10107" s="17" t="s">
        <v>70</v>
      </c>
      <c r="C10107" s="17" t="s">
        <v>71</v>
      </c>
      <c r="D10107" t="s">
        <v>27875</v>
      </c>
      <c r="F10107" t="s">
        <v>27876</v>
      </c>
      <c r="K10107" s="18">
        <f>6285261072721</f>
        <v>6285261072721</v>
      </c>
      <c r="N10107" s="17" t="s">
        <v>77</v>
      </c>
      <c r="V10107" s="18">
        <f>6285261072721</f>
        <v>6285261072721</v>
      </c>
    </row>
    <row r="10108" ht="15" customHeight="1" spans="1:25" x14ac:dyDescent="0.25">
      <c r="A10108" s="17" t="s">
        <v>27877</v>
      </c>
      <c r="B10108" s="17" t="s">
        <v>70</v>
      </c>
      <c r="C10108" s="17" t="s">
        <v>71</v>
      </c>
      <c r="D10108" t="s">
        <v>27878</v>
      </c>
      <c r="F10108" t="s">
        <v>27878</v>
      </c>
      <c r="K10108" s="18">
        <f>6281218893977</f>
        <v>6281218893977</v>
      </c>
      <c r="N10108" s="17" t="s">
        <v>81</v>
      </c>
      <c r="U10108" s="17"/>
      <c r="V10108" s="18">
        <f>6281218893977</f>
        <v>6281218893977</v>
      </c>
      <c r="W10108" t="s">
        <v>27879</v>
      </c>
      <c r="Y10108" s="17" t="s">
        <v>378</v>
      </c>
    </row>
    <row r="10109" ht="15" customHeight="1" spans="1:22" x14ac:dyDescent="0.25">
      <c r="A10109" s="17" t="s">
        <v>27880</v>
      </c>
      <c r="B10109" s="17" t="s">
        <v>70</v>
      </c>
      <c r="C10109" s="17" t="s">
        <v>71</v>
      </c>
      <c r="D10109" t="s">
        <v>27878</v>
      </c>
      <c r="F10109" t="s">
        <v>205</v>
      </c>
      <c r="K10109" s="18">
        <f>62811121339</f>
        <v>62811121339</v>
      </c>
      <c r="N10109" s="17" t="s">
        <v>81</v>
      </c>
      <c r="V10109" s="18">
        <f>62811121339</f>
        <v>62811121339</v>
      </c>
    </row>
    <row r="10110" ht="15" customHeight="1" spans="1:22" x14ac:dyDescent="0.25">
      <c r="A10110" s="17" t="s">
        <v>27881</v>
      </c>
      <c r="B10110" s="17" t="s">
        <v>70</v>
      </c>
      <c r="C10110" s="17" t="s">
        <v>71</v>
      </c>
      <c r="D10110" t="s">
        <v>27878</v>
      </c>
      <c r="F10110" t="s">
        <v>27882</v>
      </c>
      <c r="K10110" s="18">
        <f>62811947877</f>
        <v>62811947877</v>
      </c>
      <c r="N10110" s="17" t="s">
        <v>77</v>
      </c>
      <c r="V10110" s="18">
        <f>62811947877</f>
        <v>62811947877</v>
      </c>
    </row>
    <row r="10111" ht="15" customHeight="1" spans="1:28" x14ac:dyDescent="0.25">
      <c r="A10111" s="17" t="s">
        <v>27883</v>
      </c>
      <c r="B10111" s="17" t="s">
        <v>70</v>
      </c>
      <c r="C10111" s="17" t="s">
        <v>71</v>
      </c>
      <c r="D10111" t="s">
        <v>27878</v>
      </c>
      <c r="F10111" t="s">
        <v>27884</v>
      </c>
      <c r="J10111" s="17" t="s">
        <v>27885</v>
      </c>
      <c r="K10111" s="18" t="s">
        <v>27886</v>
      </c>
      <c r="N10111" s="17" t="s">
        <v>77</v>
      </c>
      <c r="O10111" t="s">
        <v>145</v>
      </c>
      <c r="V10111" s="18" t="s">
        <v>27886</v>
      </c>
      <c r="Y10111" t="s">
        <v>90</v>
      </c>
      <c r="AA10111" t="s">
        <v>118</v>
      </c>
      <c r="AB10111" t="s">
        <v>119</v>
      </c>
    </row>
    <row r="10112" ht="15" customHeight="1" spans="1:23" x14ac:dyDescent="0.25">
      <c r="A10112" s="17" t="s">
        <v>27887</v>
      </c>
      <c r="B10112" s="17" t="s">
        <v>70</v>
      </c>
      <c r="C10112" s="17" t="s">
        <v>71</v>
      </c>
      <c r="D10112" t="s">
        <v>27878</v>
      </c>
      <c r="F10112" t="s">
        <v>5070</v>
      </c>
      <c r="K10112" s="18">
        <f>6287883861968</f>
        <v>6287883861968</v>
      </c>
      <c r="N10112" s="17" t="s">
        <v>81</v>
      </c>
      <c r="U10112" s="17"/>
      <c r="V10112" s="18">
        <f>6287883861968</f>
        <v>6287883861968</v>
      </c>
      <c r="W10112" t="s">
        <v>27888</v>
      </c>
    </row>
    <row r="10113" ht="15" customHeight="1" spans="1:28" x14ac:dyDescent="0.25">
      <c r="A10113" s="17" t="s">
        <v>27889</v>
      </c>
      <c r="B10113" s="17" t="s">
        <v>70</v>
      </c>
      <c r="C10113" s="17" t="s">
        <v>71</v>
      </c>
      <c r="D10113" t="s">
        <v>27878</v>
      </c>
      <c r="F10113" t="s">
        <v>27890</v>
      </c>
      <c r="J10113" t="s">
        <v>115</v>
      </c>
      <c r="K10113" s="18" t="s">
        <v>27891</v>
      </c>
      <c r="N10113" s="17" t="s">
        <v>77</v>
      </c>
      <c r="O10113" t="s">
        <v>1188</v>
      </c>
      <c r="U10113" s="17"/>
      <c r="V10113" s="18" t="s">
        <v>27891</v>
      </c>
      <c r="W10113" t="s">
        <v>27892</v>
      </c>
      <c r="Y10113" t="s">
        <v>490</v>
      </c>
      <c r="AA10113" s="17" t="s">
        <v>27893</v>
      </c>
      <c r="AB10113" t="s">
        <v>119</v>
      </c>
    </row>
    <row r="10114" ht="15" customHeight="1" spans="1:22" x14ac:dyDescent="0.25">
      <c r="A10114" s="17" t="s">
        <v>27894</v>
      </c>
      <c r="B10114" s="17" t="s">
        <v>70</v>
      </c>
      <c r="C10114" s="17" t="s">
        <v>71</v>
      </c>
      <c r="D10114" t="s">
        <v>27878</v>
      </c>
      <c r="F10114" t="s">
        <v>131</v>
      </c>
      <c r="K10114" s="18">
        <f>628161971555</f>
        <v>628161971555</v>
      </c>
      <c r="N10114" s="17" t="s">
        <v>77</v>
      </c>
      <c r="V10114" s="18">
        <f>628161971555</f>
        <v>628161971555</v>
      </c>
    </row>
    <row r="10115" ht="15" customHeight="1" spans="1:28" x14ac:dyDescent="0.25">
      <c r="A10115" s="17" t="s">
        <v>27895</v>
      </c>
      <c r="B10115" s="17" t="s">
        <v>70</v>
      </c>
      <c r="C10115" s="17" t="s">
        <v>71</v>
      </c>
      <c r="D10115" t="s">
        <v>27896</v>
      </c>
      <c r="F10115" t="s">
        <v>2517</v>
      </c>
      <c r="J10115" t="s">
        <v>115</v>
      </c>
      <c r="K10115" s="18" t="s">
        <v>27897</v>
      </c>
      <c r="N10115" s="17" t="s">
        <v>77</v>
      </c>
      <c r="O10115" t="s">
        <v>145</v>
      </c>
      <c r="V10115" s="18" t="s">
        <v>27897</v>
      </c>
      <c r="Y10115" s="17" t="s">
        <v>90</v>
      </c>
      <c r="AA10115" t="s">
        <v>118</v>
      </c>
      <c r="AB10115" t="s">
        <v>119</v>
      </c>
    </row>
    <row r="10116" ht="15" customHeight="1" spans="1:28" x14ac:dyDescent="0.25">
      <c r="A10116" s="17" t="s">
        <v>27898</v>
      </c>
      <c r="B10116" s="17" t="s">
        <v>70</v>
      </c>
      <c r="C10116" s="17" t="s">
        <v>71</v>
      </c>
      <c r="D10116" t="s">
        <v>27899</v>
      </c>
      <c r="F10116" t="s">
        <v>9197</v>
      </c>
      <c r="J10116" t="s">
        <v>115</v>
      </c>
      <c r="K10116" s="18" t="s">
        <v>27900</v>
      </c>
      <c r="N10116" s="17" t="s">
        <v>77</v>
      </c>
      <c r="O10116" t="s">
        <v>145</v>
      </c>
      <c r="V10116" s="18" t="s">
        <v>27900</v>
      </c>
      <c r="Y10116" t="s">
        <v>90</v>
      </c>
      <c r="AA10116" t="s">
        <v>118</v>
      </c>
      <c r="AB10116" t="s">
        <v>119</v>
      </c>
    </row>
    <row r="10117" ht="15" customHeight="1" spans="1:23" x14ac:dyDescent="0.25">
      <c r="A10117" s="17" t="s">
        <v>27901</v>
      </c>
      <c r="B10117" s="17" t="s">
        <v>70</v>
      </c>
      <c r="C10117" s="17" t="s">
        <v>71</v>
      </c>
      <c r="D10117" t="s">
        <v>25428</v>
      </c>
      <c r="F10117" t="s">
        <v>25428</v>
      </c>
      <c r="J10117" s="17" t="s">
        <v>27902</v>
      </c>
      <c r="K10117" s="18">
        <f>6281212847695</f>
        <v>6281212847695</v>
      </c>
      <c r="N10117" s="17" t="s">
        <v>77</v>
      </c>
      <c r="U10117" s="17"/>
      <c r="V10117" s="18">
        <f>6281212847695</f>
        <v>6281212847695</v>
      </c>
      <c r="W10117" t="s">
        <v>27903</v>
      </c>
    </row>
    <row r="10118" ht="15" customHeight="1" spans="1:22" x14ac:dyDescent="0.25">
      <c r="A10118" s="17" t="s">
        <v>27904</v>
      </c>
      <c r="B10118" s="17" t="s">
        <v>70</v>
      </c>
      <c r="C10118" s="17" t="s">
        <v>71</v>
      </c>
      <c r="D10118" t="s">
        <v>27905</v>
      </c>
      <c r="F10118" t="s">
        <v>27905</v>
      </c>
      <c r="K10118" s="18">
        <f>628119255633</f>
        <v>628119255633</v>
      </c>
      <c r="N10118" s="17" t="s">
        <v>77</v>
      </c>
      <c r="V10118" s="18">
        <f>628119255633</f>
        <v>628119255633</v>
      </c>
    </row>
    <row r="10119" ht="15" customHeight="1" spans="1:23" x14ac:dyDescent="0.25">
      <c r="A10119" s="17" t="s">
        <v>27906</v>
      </c>
      <c r="B10119" s="17" t="s">
        <v>70</v>
      </c>
      <c r="C10119" s="17" t="s">
        <v>71</v>
      </c>
      <c r="D10119" t="s">
        <v>27907</v>
      </c>
      <c r="F10119" t="s">
        <v>150</v>
      </c>
      <c r="K10119" s="18">
        <f>62811212136</f>
        <v>62811212136</v>
      </c>
      <c r="N10119" s="17" t="s">
        <v>77</v>
      </c>
      <c r="U10119" s="17"/>
      <c r="V10119" s="18">
        <f>62811212136</f>
        <v>62811212136</v>
      </c>
      <c r="W10119" t="s">
        <v>27908</v>
      </c>
    </row>
    <row r="10120" ht="15" customHeight="1" spans="1:22" x14ac:dyDescent="0.25">
      <c r="A10120" s="17" t="s">
        <v>27909</v>
      </c>
      <c r="B10120" s="17" t="s">
        <v>70</v>
      </c>
      <c r="C10120" s="17" t="s">
        <v>71</v>
      </c>
      <c r="D10120" t="s">
        <v>27910</v>
      </c>
      <c r="F10120" t="s">
        <v>17806</v>
      </c>
      <c r="K10120" s="18">
        <f>6281957330627</f>
        <v>6281957330627</v>
      </c>
      <c r="N10120" s="17" t="s">
        <v>81</v>
      </c>
      <c r="V10120" s="18">
        <f>6281957330627</f>
        <v>6281957330627</v>
      </c>
    </row>
    <row r="10121" ht="15" customHeight="1" spans="1:22" x14ac:dyDescent="0.25">
      <c r="A10121" s="17" t="s">
        <v>27911</v>
      </c>
      <c r="B10121" s="17" t="s">
        <v>70</v>
      </c>
      <c r="C10121" s="17" t="s">
        <v>71</v>
      </c>
      <c r="D10121" t="s">
        <v>27912</v>
      </c>
      <c r="F10121" t="s">
        <v>27912</v>
      </c>
      <c r="K10121" s="18">
        <f>628119208617</f>
        <v>628119208617</v>
      </c>
      <c r="N10121" s="17" t="s">
        <v>77</v>
      </c>
      <c r="V10121" s="18">
        <f>628119208617</f>
        <v>628119208617</v>
      </c>
    </row>
    <row r="10122" ht="15" customHeight="1" spans="1:28" x14ac:dyDescent="0.25">
      <c r="A10122" s="17" t="s">
        <v>27913</v>
      </c>
      <c r="B10122" s="17" t="s">
        <v>70</v>
      </c>
      <c r="C10122" s="17" t="s">
        <v>71</v>
      </c>
      <c r="D10122" t="s">
        <v>27912</v>
      </c>
      <c r="F10122" t="s">
        <v>3763</v>
      </c>
      <c r="J10122" t="s">
        <v>115</v>
      </c>
      <c r="K10122" s="18" t="s">
        <v>27914</v>
      </c>
      <c r="N10122" s="17" t="s">
        <v>74</v>
      </c>
      <c r="O10122" t="s">
        <v>199</v>
      </c>
      <c r="V10122" s="18" t="s">
        <v>27914</v>
      </c>
      <c r="Y10122" t="s">
        <v>96</v>
      </c>
      <c r="AA10122" t="s">
        <v>693</v>
      </c>
      <c r="AB10122" t="s">
        <v>119</v>
      </c>
    </row>
    <row r="10123" ht="15" customHeight="1" spans="1:28" x14ac:dyDescent="0.25">
      <c r="A10123" s="17" t="s">
        <v>27915</v>
      </c>
      <c r="B10123" s="17" t="s">
        <v>70</v>
      </c>
      <c r="C10123" s="17" t="s">
        <v>71</v>
      </c>
      <c r="D10123" t="s">
        <v>27916</v>
      </c>
      <c r="F10123" t="s">
        <v>27917</v>
      </c>
      <c r="J10123" s="17" t="s">
        <v>27918</v>
      </c>
      <c r="K10123" s="18" t="s">
        <v>27919</v>
      </c>
      <c r="N10123" s="17" t="s">
        <v>77</v>
      </c>
      <c r="O10123" t="s">
        <v>199</v>
      </c>
      <c r="U10123" s="17"/>
      <c r="V10123" s="18" t="s">
        <v>27919</v>
      </c>
      <c r="W10123" t="s">
        <v>2456</v>
      </c>
      <c r="Y10123" t="s">
        <v>115</v>
      </c>
      <c r="AA10123" t="s">
        <v>115</v>
      </c>
      <c r="AB10123" t="s">
        <v>451</v>
      </c>
    </row>
    <row r="10124" ht="15" customHeight="1" spans="1:22" x14ac:dyDescent="0.25">
      <c r="A10124" s="17" t="s">
        <v>27920</v>
      </c>
      <c r="B10124" s="17" t="s">
        <v>70</v>
      </c>
      <c r="C10124" s="17" t="s">
        <v>71</v>
      </c>
      <c r="D10124" t="s">
        <v>27921</v>
      </c>
      <c r="F10124" t="s">
        <v>3025</v>
      </c>
      <c r="K10124" s="18">
        <f>62213151421</f>
        <v>62213151421</v>
      </c>
      <c r="N10124" s="17" t="s">
        <v>77</v>
      </c>
      <c r="V10124" s="18">
        <f>62213151421</f>
        <v>62213151421</v>
      </c>
    </row>
    <row r="10125" ht="15" customHeight="1" spans="1:22" x14ac:dyDescent="0.25">
      <c r="A10125" s="17" t="s">
        <v>27922</v>
      </c>
      <c r="B10125" s="17" t="s">
        <v>70</v>
      </c>
      <c r="C10125" s="17" t="s">
        <v>71</v>
      </c>
      <c r="D10125" t="s">
        <v>27921</v>
      </c>
      <c r="F10125" t="s">
        <v>7599</v>
      </c>
      <c r="K10125" s="18">
        <f>622131906838</f>
        <v>622131906838</v>
      </c>
      <c r="N10125" s="17" t="s">
        <v>77</v>
      </c>
      <c r="V10125" s="18">
        <f>622131906838</f>
        <v>622131906838</v>
      </c>
    </row>
    <row r="10126" ht="15" customHeight="1" spans="1:28" x14ac:dyDescent="0.25">
      <c r="A10126" s="17" t="s">
        <v>27923</v>
      </c>
      <c r="B10126" s="17" t="s">
        <v>70</v>
      </c>
      <c r="C10126" s="17" t="s">
        <v>71</v>
      </c>
      <c r="D10126" t="s">
        <v>27924</v>
      </c>
      <c r="F10126" t="s">
        <v>2386</v>
      </c>
      <c r="J10126" t="s">
        <v>115</v>
      </c>
      <c r="K10126" s="18" t="s">
        <v>27925</v>
      </c>
      <c r="N10126" s="17" t="s">
        <v>74</v>
      </c>
      <c r="O10126" t="s">
        <v>261</v>
      </c>
      <c r="U10126" s="17"/>
      <c r="V10126" s="18" t="s">
        <v>27925</v>
      </c>
      <c r="W10126" t="s">
        <v>27926</v>
      </c>
      <c r="Y10126" t="s">
        <v>90</v>
      </c>
      <c r="AA10126" s="17" t="s">
        <v>118</v>
      </c>
      <c r="AB10126" t="s">
        <v>119</v>
      </c>
    </row>
    <row r="10127" ht="15" customHeight="1" spans="1:22" x14ac:dyDescent="0.25">
      <c r="A10127" s="17" t="s">
        <v>27927</v>
      </c>
      <c r="B10127" s="17" t="s">
        <v>70</v>
      </c>
      <c r="C10127" s="17" t="s">
        <v>71</v>
      </c>
      <c r="D10127" t="s">
        <v>27928</v>
      </c>
      <c r="F10127" t="s">
        <v>27928</v>
      </c>
      <c r="K10127" s="18">
        <f>62811967030</f>
        <v>62811967030</v>
      </c>
      <c r="N10127" s="17" t="s">
        <v>77</v>
      </c>
      <c r="V10127" s="18">
        <f>62811967030</f>
        <v>62811967030</v>
      </c>
    </row>
    <row r="10128" ht="15" customHeight="1" spans="1:28" x14ac:dyDescent="0.25">
      <c r="A10128" s="17" t="s">
        <v>27929</v>
      </c>
      <c r="B10128" s="17" t="s">
        <v>70</v>
      </c>
      <c r="C10128" s="17" t="s">
        <v>71</v>
      </c>
      <c r="D10128" t="s">
        <v>27930</v>
      </c>
      <c r="F10128" t="s">
        <v>27930</v>
      </c>
      <c r="J10128" t="s">
        <v>115</v>
      </c>
      <c r="K10128" s="18" t="s">
        <v>27931</v>
      </c>
      <c r="N10128" s="17" t="s">
        <v>77</v>
      </c>
      <c r="O10128" t="s">
        <v>117</v>
      </c>
      <c r="V10128" s="18" t="s">
        <v>27931</v>
      </c>
      <c r="Y10128" t="s">
        <v>190</v>
      </c>
      <c r="AA10128" t="s">
        <v>118</v>
      </c>
      <c r="AB10128" t="s">
        <v>119</v>
      </c>
    </row>
    <row r="10129" ht="15" customHeight="1" spans="1:22" x14ac:dyDescent="0.25">
      <c r="A10129" s="17" t="s">
        <v>27932</v>
      </c>
      <c r="B10129" s="17" t="s">
        <v>70</v>
      </c>
      <c r="C10129" s="17" t="s">
        <v>71</v>
      </c>
      <c r="D10129" t="s">
        <v>27930</v>
      </c>
      <c r="F10129" t="s">
        <v>27930</v>
      </c>
      <c r="K10129" s="18">
        <f>628119000304</f>
        <v>628119000304</v>
      </c>
      <c r="N10129" s="17" t="s">
        <v>81</v>
      </c>
      <c r="V10129" s="18">
        <f>628119000304</f>
        <v>628119000304</v>
      </c>
    </row>
    <row r="10130" ht="15" customHeight="1" spans="1:22" x14ac:dyDescent="0.25">
      <c r="A10130" s="17" t="s">
        <v>27933</v>
      </c>
      <c r="B10130" s="17" t="s">
        <v>70</v>
      </c>
      <c r="C10130" s="17" t="s">
        <v>71</v>
      </c>
      <c r="D10130" t="s">
        <v>27930</v>
      </c>
      <c r="F10130" t="s">
        <v>27930</v>
      </c>
      <c r="J10130" s="17" t="s">
        <v>27934</v>
      </c>
      <c r="K10130" s="18">
        <f>628121064150</f>
        <v>628121064150</v>
      </c>
      <c r="N10130" s="17" t="s">
        <v>81</v>
      </c>
      <c r="V10130" s="18">
        <f>628121064150</f>
        <v>628121064150</v>
      </c>
    </row>
    <row r="10131" ht="15" customHeight="1" spans="1:22" x14ac:dyDescent="0.25">
      <c r="A10131" s="17" t="s">
        <v>27935</v>
      </c>
      <c r="B10131" s="17" t="s">
        <v>70</v>
      </c>
      <c r="C10131" s="17" t="s">
        <v>71</v>
      </c>
      <c r="D10131" t="s">
        <v>27930</v>
      </c>
      <c r="F10131" t="s">
        <v>27930</v>
      </c>
      <c r="K10131" s="18">
        <f>628168707291</f>
        <v>628168707291</v>
      </c>
      <c r="N10131" s="17" t="s">
        <v>81</v>
      </c>
      <c r="V10131" s="18">
        <f>628168707291</f>
        <v>628168707291</v>
      </c>
    </row>
    <row r="10132" ht="15" customHeight="1" spans="1:22" x14ac:dyDescent="0.25">
      <c r="A10132" s="17" t="s">
        <v>27936</v>
      </c>
      <c r="B10132" s="17" t="s">
        <v>70</v>
      </c>
      <c r="C10132" s="17" t="s">
        <v>71</v>
      </c>
      <c r="D10132" t="s">
        <v>27930</v>
      </c>
      <c r="F10132" t="s">
        <v>3008</v>
      </c>
      <c r="J10132" s="17" t="s">
        <v>27937</v>
      </c>
      <c r="K10132" s="18">
        <f>6281239844903</f>
        <v>6281239844903</v>
      </c>
      <c r="N10132" s="17" t="s">
        <v>77</v>
      </c>
      <c r="V10132" s="18">
        <f>6281239844903</f>
        <v>6281239844903</v>
      </c>
    </row>
    <row r="10133" ht="15" customHeight="1" spans="1:28" x14ac:dyDescent="0.25">
      <c r="A10133" s="17" t="s">
        <v>27938</v>
      </c>
      <c r="B10133" s="17" t="s">
        <v>70</v>
      </c>
      <c r="C10133" s="17" t="s">
        <v>71</v>
      </c>
      <c r="D10133" t="s">
        <v>27930</v>
      </c>
      <c r="F10133" t="s">
        <v>17783</v>
      </c>
      <c r="J10133" t="s">
        <v>115</v>
      </c>
      <c r="K10133" s="18" t="s">
        <v>27939</v>
      </c>
      <c r="N10133" s="17" t="s">
        <v>74</v>
      </c>
      <c r="O10133" t="s">
        <v>117</v>
      </c>
      <c r="V10133" s="18" t="s">
        <v>27939</v>
      </c>
      <c r="Y10133" t="s">
        <v>90</v>
      </c>
      <c r="AA10133" t="s">
        <v>118</v>
      </c>
      <c r="AB10133" t="s">
        <v>119</v>
      </c>
    </row>
    <row r="10134" ht="15" customHeight="1" spans="1:28" x14ac:dyDescent="0.25">
      <c r="A10134" s="17" t="s">
        <v>27940</v>
      </c>
      <c r="B10134" s="17" t="s">
        <v>70</v>
      </c>
      <c r="C10134" s="17" t="s">
        <v>71</v>
      </c>
      <c r="D10134" t="s">
        <v>27930</v>
      </c>
      <c r="F10134" t="s">
        <v>7134</v>
      </c>
      <c r="J10134" t="s">
        <v>115</v>
      </c>
      <c r="K10134" s="18" t="s">
        <v>27941</v>
      </c>
      <c r="N10134" s="17" t="s">
        <v>77</v>
      </c>
      <c r="O10134" t="s">
        <v>145</v>
      </c>
      <c r="V10134" s="18" t="s">
        <v>27941</v>
      </c>
      <c r="Y10134" t="s">
        <v>90</v>
      </c>
      <c r="AA10134" t="s">
        <v>118</v>
      </c>
      <c r="AB10134" t="s">
        <v>119</v>
      </c>
    </row>
    <row r="10135" ht="15" customHeight="1" spans="1:28" x14ac:dyDescent="0.25">
      <c r="A10135" s="17" t="s">
        <v>27942</v>
      </c>
      <c r="B10135" s="17" t="s">
        <v>70</v>
      </c>
      <c r="C10135" s="17" t="s">
        <v>71</v>
      </c>
      <c r="D10135" t="s">
        <v>27930</v>
      </c>
      <c r="F10135" t="s">
        <v>10081</v>
      </c>
      <c r="J10135" s="17" t="s">
        <v>27943</v>
      </c>
      <c r="K10135" s="18" t="s">
        <v>27944</v>
      </c>
      <c r="N10135" s="17" t="s">
        <v>77</v>
      </c>
      <c r="O10135" t="s">
        <v>145</v>
      </c>
      <c r="V10135" s="18" t="s">
        <v>27944</v>
      </c>
      <c r="Y10135" t="s">
        <v>90</v>
      </c>
      <c r="AA10135" t="s">
        <v>118</v>
      </c>
      <c r="AB10135" t="s">
        <v>119</v>
      </c>
    </row>
    <row r="10136" ht="15" customHeight="1" spans="1:23" x14ac:dyDescent="0.25">
      <c r="A10136" s="17" t="s">
        <v>27945</v>
      </c>
      <c r="B10136" s="17" t="s">
        <v>70</v>
      </c>
      <c r="C10136" s="17" t="s">
        <v>71</v>
      </c>
      <c r="D10136" t="s">
        <v>27946</v>
      </c>
      <c r="F10136" t="s">
        <v>27947</v>
      </c>
      <c r="K10136" s="18">
        <f>6281221212133</f>
        <v>6281221212133</v>
      </c>
      <c r="N10136" s="17" t="s">
        <v>77</v>
      </c>
      <c r="U10136" s="17"/>
      <c r="V10136" s="18">
        <f>6281221212133</f>
        <v>6281221212133</v>
      </c>
      <c r="W10136" t="s">
        <v>27948</v>
      </c>
    </row>
    <row r="10137" ht="15" customHeight="1" spans="1:25" x14ac:dyDescent="0.25">
      <c r="A10137" s="17" t="s">
        <v>27949</v>
      </c>
      <c r="B10137" s="17" t="s">
        <v>70</v>
      </c>
      <c r="C10137" s="17" t="s">
        <v>71</v>
      </c>
      <c r="D10137" t="s">
        <v>27946</v>
      </c>
      <c r="F10137" t="s">
        <v>27946</v>
      </c>
      <c r="K10137" s="18">
        <f>628176647917</f>
        <v>628176647917</v>
      </c>
      <c r="N10137" s="17" t="s">
        <v>77</v>
      </c>
      <c r="U10137" s="17"/>
      <c r="V10137" s="18">
        <f>628176647917</f>
        <v>628176647917</v>
      </c>
      <c r="W10137" t="s">
        <v>27950</v>
      </c>
      <c r="Y10137" s="17" t="s">
        <v>1084</v>
      </c>
    </row>
    <row r="10138" ht="15" customHeight="1" spans="1:25" x14ac:dyDescent="0.25">
      <c r="A10138" s="17" t="s">
        <v>27951</v>
      </c>
      <c r="B10138" s="17" t="s">
        <v>70</v>
      </c>
      <c r="C10138" s="17" t="s">
        <v>71</v>
      </c>
      <c r="D10138" t="s">
        <v>27952</v>
      </c>
      <c r="F10138" t="s">
        <v>27953</v>
      </c>
      <c r="K10138" s="18">
        <f>6281381076498</f>
        <v>6281381076498</v>
      </c>
      <c r="N10138" s="17" t="s">
        <v>77</v>
      </c>
      <c r="U10138" s="17"/>
      <c r="V10138" s="18">
        <f>6281381076498</f>
        <v>6281381076498</v>
      </c>
      <c r="W10138" t="s">
        <v>27954</v>
      </c>
      <c r="Y10138" s="17" t="s">
        <v>90</v>
      </c>
    </row>
    <row r="10139" ht="15" customHeight="1" spans="1:22" x14ac:dyDescent="0.25">
      <c r="A10139" s="17" t="s">
        <v>27955</v>
      </c>
      <c r="B10139" s="17" t="s">
        <v>70</v>
      </c>
      <c r="C10139" s="17" t="s">
        <v>71</v>
      </c>
      <c r="D10139" t="s">
        <v>7124</v>
      </c>
      <c r="F10139" t="s">
        <v>7124</v>
      </c>
      <c r="K10139" s="18">
        <f>6282125000209</f>
        <v>6282125000209</v>
      </c>
      <c r="N10139" s="17" t="s">
        <v>77</v>
      </c>
      <c r="V10139" s="18">
        <f>6282125000209</f>
        <v>6282125000209</v>
      </c>
    </row>
    <row r="10140" ht="15" customHeight="1" spans="1:22" x14ac:dyDescent="0.25">
      <c r="A10140" s="17" t="s">
        <v>27956</v>
      </c>
      <c r="B10140" s="17" t="s">
        <v>70</v>
      </c>
      <c r="C10140" s="17" t="s">
        <v>71</v>
      </c>
      <c r="D10140" t="s">
        <v>7124</v>
      </c>
      <c r="F10140" t="s">
        <v>7093</v>
      </c>
      <c r="K10140" s="18">
        <f>6281280513559</f>
        <v>6281280513559</v>
      </c>
      <c r="N10140" s="17" t="s">
        <v>81</v>
      </c>
      <c r="V10140" s="18">
        <f>6281280513559</f>
        <v>6281280513559</v>
      </c>
    </row>
    <row r="10141" ht="15" customHeight="1" spans="1:22" x14ac:dyDescent="0.25">
      <c r="A10141" s="17" t="s">
        <v>27957</v>
      </c>
      <c r="B10141" s="17" t="s">
        <v>70</v>
      </c>
      <c r="C10141" s="17" t="s">
        <v>71</v>
      </c>
      <c r="D10141" t="s">
        <v>7124</v>
      </c>
      <c r="F10141" t="s">
        <v>17836</v>
      </c>
      <c r="K10141" s="18">
        <f>6281319817750</f>
        <v>6281319817750</v>
      </c>
      <c r="N10141" s="17" t="s">
        <v>81</v>
      </c>
      <c r="V10141" s="18">
        <f>6281319817750</f>
        <v>6281319817750</v>
      </c>
    </row>
    <row r="10142" ht="15" customHeight="1" spans="1:28" x14ac:dyDescent="0.25">
      <c r="A10142" s="17" t="s">
        <v>27958</v>
      </c>
      <c r="B10142" s="17" t="s">
        <v>70</v>
      </c>
      <c r="C10142" s="17" t="s">
        <v>71</v>
      </c>
      <c r="D10142" t="s">
        <v>27959</v>
      </c>
      <c r="F10142" t="s">
        <v>7124</v>
      </c>
      <c r="J10142" t="s">
        <v>115</v>
      </c>
      <c r="K10142" s="18" t="s">
        <v>27960</v>
      </c>
      <c r="N10142" s="17" t="s">
        <v>77</v>
      </c>
      <c r="O10142" t="s">
        <v>145</v>
      </c>
      <c r="V10142" s="18" t="s">
        <v>27960</v>
      </c>
      <c r="Y10142" t="s">
        <v>90</v>
      </c>
      <c r="AA10142" t="s">
        <v>118</v>
      </c>
      <c r="AB10142" t="s">
        <v>119</v>
      </c>
    </row>
    <row r="10143" ht="15" customHeight="1" spans="1:28" x14ac:dyDescent="0.25">
      <c r="A10143" s="17" t="s">
        <v>27961</v>
      </c>
      <c r="B10143" s="17" t="s">
        <v>70</v>
      </c>
      <c r="C10143" s="17" t="s">
        <v>71</v>
      </c>
      <c r="D10143" t="s">
        <v>27962</v>
      </c>
      <c r="F10143" t="s">
        <v>1754</v>
      </c>
      <c r="J10143" t="s">
        <v>27963</v>
      </c>
      <c r="K10143" s="18" t="s">
        <v>27964</v>
      </c>
      <c r="N10143" s="17" t="s">
        <v>77</v>
      </c>
      <c r="O10143" t="s">
        <v>199</v>
      </c>
      <c r="U10143" s="17"/>
      <c r="V10143" s="18" t="s">
        <v>27964</v>
      </c>
      <c r="W10143" t="s">
        <v>16025</v>
      </c>
      <c r="Y10143" s="17" t="s">
        <v>96</v>
      </c>
      <c r="AA10143" s="17" t="s">
        <v>693</v>
      </c>
      <c r="AB10143" t="s">
        <v>119</v>
      </c>
    </row>
    <row r="10144" ht="15" customHeight="1" spans="1:22" x14ac:dyDescent="0.25">
      <c r="A10144" s="17" t="s">
        <v>27965</v>
      </c>
      <c r="B10144" s="17" t="s">
        <v>70</v>
      </c>
      <c r="C10144" s="17" t="s">
        <v>71</v>
      </c>
      <c r="D10144" t="s">
        <v>7124</v>
      </c>
      <c r="F10144" t="s">
        <v>1533</v>
      </c>
      <c r="K10144" s="18">
        <f>628161830600</f>
        <v>628161830600</v>
      </c>
      <c r="N10144" s="17" t="s">
        <v>77</v>
      </c>
      <c r="V10144" s="18">
        <f>628161830600</f>
        <v>628161830600</v>
      </c>
    </row>
    <row r="10145" ht="15" customHeight="1" spans="1:22" x14ac:dyDescent="0.25">
      <c r="A10145" s="17" t="s">
        <v>27966</v>
      </c>
      <c r="B10145" s="17" t="s">
        <v>70</v>
      </c>
      <c r="C10145" s="17" t="s">
        <v>71</v>
      </c>
      <c r="D10145" t="s">
        <v>27967</v>
      </c>
      <c r="F10145" t="s">
        <v>27967</v>
      </c>
      <c r="K10145" s="18">
        <f>6281219192988</f>
        <v>6281219192988</v>
      </c>
      <c r="N10145" s="17" t="s">
        <v>81</v>
      </c>
      <c r="V10145" s="18">
        <f>6281219192988</f>
        <v>6281219192988</v>
      </c>
    </row>
    <row r="10146" ht="15" customHeight="1" spans="1:25" x14ac:dyDescent="0.25">
      <c r="A10146" s="17" t="s">
        <v>27968</v>
      </c>
      <c r="B10146" s="17" t="s">
        <v>70</v>
      </c>
      <c r="C10146" s="17" t="s">
        <v>71</v>
      </c>
      <c r="D10146" t="s">
        <v>27967</v>
      </c>
      <c r="F10146" t="s">
        <v>27967</v>
      </c>
      <c r="K10146" s="18">
        <v>5651816</v>
      </c>
      <c r="N10146" s="17" t="s">
        <v>77</v>
      </c>
      <c r="U10146" s="17"/>
      <c r="V10146" s="18">
        <v>5651816</v>
      </c>
      <c r="W10146" t="s">
        <v>27969</v>
      </c>
      <c r="Y10146" s="17" t="s">
        <v>626</v>
      </c>
    </row>
    <row r="10147" ht="15" customHeight="1" spans="1:22" x14ac:dyDescent="0.25">
      <c r="A10147" s="17" t="s">
        <v>27970</v>
      </c>
      <c r="B10147" s="17" t="s">
        <v>70</v>
      </c>
      <c r="C10147" s="17" t="s">
        <v>71</v>
      </c>
      <c r="D10147" t="s">
        <v>27967</v>
      </c>
      <c r="F10147" t="s">
        <v>23552</v>
      </c>
      <c r="K10147" s="18">
        <f>628111293055</f>
        <v>628111293055</v>
      </c>
      <c r="N10147" s="17" t="s">
        <v>81</v>
      </c>
      <c r="V10147" s="18">
        <f>628111293055</f>
        <v>628111293055</v>
      </c>
    </row>
    <row r="10148" ht="15" customHeight="1" spans="1:27" x14ac:dyDescent="0.25">
      <c r="A10148" s="17" t="s">
        <v>27971</v>
      </c>
      <c r="B10148" s="17" t="s">
        <v>70</v>
      </c>
      <c r="C10148" s="17" t="s">
        <v>71</v>
      </c>
      <c r="D10148" t="s">
        <v>27972</v>
      </c>
      <c r="F10148" t="s">
        <v>27973</v>
      </c>
      <c r="K10148" s="18">
        <f>62318500800</f>
        <v>62318500800</v>
      </c>
      <c r="N10148" s="17" t="s">
        <v>77</v>
      </c>
      <c r="U10148" s="17"/>
      <c r="V10148" s="18">
        <f>62318500800</f>
        <v>62318500800</v>
      </c>
      <c r="W10148" t="s">
        <v>27974</v>
      </c>
      <c r="Y10148" s="17" t="s">
        <v>27975</v>
      </c>
      <c r="AA10148" s="17" t="s">
        <v>181</v>
      </c>
    </row>
    <row r="10149" ht="15" customHeight="1" spans="1:25" x14ac:dyDescent="0.25">
      <c r="A10149" s="17" t="s">
        <v>27976</v>
      </c>
      <c r="B10149" s="17" t="s">
        <v>70</v>
      </c>
      <c r="C10149" s="17" t="s">
        <v>71</v>
      </c>
      <c r="D10149" t="s">
        <v>27977</v>
      </c>
      <c r="F10149" t="s">
        <v>27977</v>
      </c>
      <c r="K10149" s="18">
        <f>62811837715</f>
        <v>62811837715</v>
      </c>
      <c r="N10149" s="17" t="s">
        <v>74</v>
      </c>
      <c r="U10149" s="17"/>
      <c r="V10149" s="18">
        <f>62811837715</f>
        <v>62811837715</v>
      </c>
      <c r="W10149" t="s">
        <v>27978</v>
      </c>
      <c r="Y10149" s="17" t="s">
        <v>27979</v>
      </c>
    </row>
    <row r="10150" ht="15" customHeight="1" spans="1:23" x14ac:dyDescent="0.25">
      <c r="A10150" s="17" t="s">
        <v>27980</v>
      </c>
      <c r="B10150" s="17" t="s">
        <v>70</v>
      </c>
      <c r="C10150" s="17" t="s">
        <v>71</v>
      </c>
      <c r="D10150" t="s">
        <v>27981</v>
      </c>
      <c r="F10150" t="s">
        <v>27982</v>
      </c>
      <c r="J10150" s="17" t="s">
        <v>27983</v>
      </c>
      <c r="K10150" s="18">
        <f>628113626660</f>
        <v>628113626660</v>
      </c>
      <c r="N10150" s="17" t="s">
        <v>77</v>
      </c>
      <c r="U10150" s="17"/>
      <c r="V10150" s="18">
        <f>628113626660</f>
        <v>628113626660</v>
      </c>
      <c r="W10150" t="s">
        <v>27984</v>
      </c>
    </row>
    <row r="10151" ht="15" customHeight="1" spans="1:22" x14ac:dyDescent="0.25">
      <c r="A10151" s="17" t="s">
        <v>27985</v>
      </c>
      <c r="B10151" s="17" t="s">
        <v>70</v>
      </c>
      <c r="C10151" s="17" t="s">
        <v>71</v>
      </c>
      <c r="D10151" t="s">
        <v>27981</v>
      </c>
      <c r="F10151" t="s">
        <v>27346</v>
      </c>
      <c r="K10151" s="18">
        <f>628161161812</f>
        <v>628161161812</v>
      </c>
      <c r="N10151" s="17" t="s">
        <v>77</v>
      </c>
      <c r="V10151" s="18">
        <f>628161161812</f>
        <v>628161161812</v>
      </c>
    </row>
    <row r="10152" ht="15" customHeight="1" spans="1:23" x14ac:dyDescent="0.25">
      <c r="A10152" s="17" t="s">
        <v>27986</v>
      </c>
      <c r="B10152" s="17" t="s">
        <v>70</v>
      </c>
      <c r="C10152" s="17" t="s">
        <v>71</v>
      </c>
      <c r="D10152" t="s">
        <v>27987</v>
      </c>
      <c r="F10152" t="s">
        <v>27988</v>
      </c>
      <c r="K10152" s="18">
        <f>6285780949149</f>
        <v>6285780949149</v>
      </c>
      <c r="N10152" s="17" t="s">
        <v>74</v>
      </c>
      <c r="U10152" s="17"/>
      <c r="V10152" s="18">
        <f>6285780949149</f>
        <v>6285780949149</v>
      </c>
      <c r="W10152" t="s">
        <v>27989</v>
      </c>
    </row>
    <row r="10153" ht="15" customHeight="1" spans="1:23" x14ac:dyDescent="0.25">
      <c r="A10153" s="17" t="s">
        <v>27990</v>
      </c>
      <c r="B10153" s="17" t="s">
        <v>70</v>
      </c>
      <c r="C10153" s="17" t="s">
        <v>71</v>
      </c>
      <c r="D10153" t="s">
        <v>2406</v>
      </c>
      <c r="F10153" t="s">
        <v>2406</v>
      </c>
      <c r="J10153" s="17" t="s">
        <v>27991</v>
      </c>
      <c r="K10153" s="18">
        <f>6281517860001</f>
        <v>6281517860001</v>
      </c>
      <c r="N10153" s="17" t="s">
        <v>77</v>
      </c>
      <c r="U10153" s="17"/>
      <c r="V10153" s="18">
        <f>6281517860001</f>
        <v>6281517860001</v>
      </c>
      <c r="W10153" t="s">
        <v>27992</v>
      </c>
    </row>
    <row r="10154" ht="15" customHeight="1" spans="1:27" x14ac:dyDescent="0.25">
      <c r="A10154" s="17" t="s">
        <v>27993</v>
      </c>
      <c r="B10154" s="17" t="s">
        <v>70</v>
      </c>
      <c r="C10154" s="17" t="s">
        <v>71</v>
      </c>
      <c r="D10154" t="s">
        <v>2406</v>
      </c>
      <c r="F10154" t="s">
        <v>7909</v>
      </c>
      <c r="K10154" s="18">
        <f>628121042888</f>
        <v>628121042888</v>
      </c>
      <c r="N10154" s="17" t="s">
        <v>77</v>
      </c>
      <c r="U10154" s="17"/>
      <c r="V10154" s="18">
        <f>628121042888</f>
        <v>628121042888</v>
      </c>
      <c r="W10154" t="s">
        <v>27994</v>
      </c>
      <c r="Y10154" s="17" t="s">
        <v>90</v>
      </c>
      <c r="AA10154" s="17" t="s">
        <v>343</v>
      </c>
    </row>
    <row r="10155" ht="15" customHeight="1" spans="1:22" x14ac:dyDescent="0.25">
      <c r="A10155" s="17" t="s">
        <v>27995</v>
      </c>
      <c r="B10155" s="17" t="s">
        <v>70</v>
      </c>
      <c r="C10155" s="17" t="s">
        <v>71</v>
      </c>
      <c r="D10155" t="s">
        <v>2406</v>
      </c>
      <c r="F10155" t="s">
        <v>7299</v>
      </c>
      <c r="K10155" s="18">
        <f>6282113193160</f>
        <v>6282113193160</v>
      </c>
      <c r="N10155" s="17" t="s">
        <v>77</v>
      </c>
      <c r="V10155" s="18">
        <f>6282113193160</f>
        <v>6282113193160</v>
      </c>
    </row>
    <row r="10156" ht="15" customHeight="1" spans="1:28" x14ac:dyDescent="0.25">
      <c r="A10156" s="17" t="s">
        <v>27996</v>
      </c>
      <c r="B10156" s="17" t="s">
        <v>70</v>
      </c>
      <c r="C10156" s="17" t="s">
        <v>71</v>
      </c>
      <c r="D10156" t="s">
        <v>2406</v>
      </c>
      <c r="F10156" t="s">
        <v>7345</v>
      </c>
      <c r="J10156" s="17" t="s">
        <v>27997</v>
      </c>
      <c r="K10156" s="18" t="s">
        <v>27998</v>
      </c>
      <c r="N10156" s="17" t="s">
        <v>77</v>
      </c>
      <c r="O10156" t="s">
        <v>117</v>
      </c>
      <c r="U10156" s="17"/>
      <c r="V10156" s="18" t="s">
        <v>27998</v>
      </c>
      <c r="W10156" t="s">
        <v>27999</v>
      </c>
      <c r="Y10156" s="17" t="s">
        <v>190</v>
      </c>
      <c r="AA10156" t="s">
        <v>118</v>
      </c>
      <c r="AB10156" t="s">
        <v>119</v>
      </c>
    </row>
    <row r="10157" ht="15" customHeight="1" spans="1:22" x14ac:dyDescent="0.25">
      <c r="A10157" s="17" t="s">
        <v>28000</v>
      </c>
      <c r="B10157" s="17" t="s">
        <v>70</v>
      </c>
      <c r="C10157" s="17" t="s">
        <v>71</v>
      </c>
      <c r="D10157" t="s">
        <v>2406</v>
      </c>
      <c r="F10157" t="s">
        <v>10458</v>
      </c>
      <c r="K10157" s="18">
        <f>6282112378222</f>
        <v>6282112378222</v>
      </c>
      <c r="N10157" s="17" t="s">
        <v>81</v>
      </c>
      <c r="V10157" s="18">
        <f>6282112378222</f>
        <v>6282112378222</v>
      </c>
    </row>
    <row r="10158" ht="15" customHeight="1" spans="1:28" x14ac:dyDescent="0.25">
      <c r="A10158" s="17" t="s">
        <v>28001</v>
      </c>
      <c r="B10158" s="17" t="s">
        <v>70</v>
      </c>
      <c r="C10158" s="17" t="s">
        <v>71</v>
      </c>
      <c r="D10158" t="s">
        <v>28002</v>
      </c>
      <c r="F10158" t="s">
        <v>6082</v>
      </c>
      <c r="J10158" t="s">
        <v>115</v>
      </c>
      <c r="K10158" s="18" t="s">
        <v>28003</v>
      </c>
      <c r="N10158" s="17" t="s">
        <v>77</v>
      </c>
      <c r="O10158" t="s">
        <v>199</v>
      </c>
      <c r="V10158" s="18" t="s">
        <v>28003</v>
      </c>
      <c r="Y10158" t="s">
        <v>115</v>
      </c>
      <c r="AA10158" t="s">
        <v>115</v>
      </c>
      <c r="AB10158" t="s">
        <v>119</v>
      </c>
    </row>
    <row r="10159" ht="15" customHeight="1" spans="1:25" x14ac:dyDescent="0.25">
      <c r="A10159" s="17" t="s">
        <v>28004</v>
      </c>
      <c r="B10159" s="17" t="s">
        <v>70</v>
      </c>
      <c r="C10159" s="17" t="s">
        <v>71</v>
      </c>
      <c r="D10159" t="s">
        <v>28005</v>
      </c>
      <c r="F10159" t="s">
        <v>1834</v>
      </c>
      <c r="K10159" s="18">
        <f>62811972155</f>
        <v>62811972155</v>
      </c>
      <c r="N10159" s="17" t="s">
        <v>77</v>
      </c>
      <c r="U10159" s="17"/>
      <c r="V10159" s="18">
        <f>62811972155</f>
        <v>62811972155</v>
      </c>
      <c r="W10159" t="s">
        <v>28006</v>
      </c>
      <c r="Y10159" s="17" t="s">
        <v>90</v>
      </c>
    </row>
    <row r="10160" ht="15" customHeight="1" spans="1:23" x14ac:dyDescent="0.25">
      <c r="A10160" s="17" t="s">
        <v>28007</v>
      </c>
      <c r="B10160" s="17" t="s">
        <v>70</v>
      </c>
      <c r="C10160" s="17" t="s">
        <v>71</v>
      </c>
      <c r="D10160" t="s">
        <v>28008</v>
      </c>
      <c r="F10160" t="s">
        <v>7914</v>
      </c>
      <c r="K10160" s="18">
        <f>6281219107261</f>
        <v>6281219107261</v>
      </c>
      <c r="N10160" s="17" t="s">
        <v>77</v>
      </c>
      <c r="U10160" s="17"/>
      <c r="V10160" s="18">
        <f>6281219107261</f>
        <v>6281219107261</v>
      </c>
      <c r="W10160" t="s">
        <v>28009</v>
      </c>
    </row>
    <row r="10161" ht="15" customHeight="1" spans="1:28" x14ac:dyDescent="0.25">
      <c r="A10161" s="17" t="s">
        <v>28010</v>
      </c>
      <c r="B10161" s="17" t="s">
        <v>70</v>
      </c>
      <c r="C10161" s="17" t="s">
        <v>71</v>
      </c>
      <c r="D10161" t="s">
        <v>28011</v>
      </c>
      <c r="F10161" t="s">
        <v>28012</v>
      </c>
      <c r="J10161" t="s">
        <v>115</v>
      </c>
      <c r="K10161" s="18" t="s">
        <v>28013</v>
      </c>
      <c r="N10161" s="17" t="s">
        <v>77</v>
      </c>
      <c r="O10161" t="s">
        <v>261</v>
      </c>
      <c r="U10161" s="17"/>
      <c r="V10161" s="18" t="s">
        <v>28013</v>
      </c>
      <c r="W10161" t="s">
        <v>28014</v>
      </c>
      <c r="Y10161" s="17" t="s">
        <v>90</v>
      </c>
      <c r="AA10161" t="s">
        <v>118</v>
      </c>
      <c r="AB10161" t="s">
        <v>119</v>
      </c>
    </row>
    <row r="10162" ht="15" customHeight="1" spans="1:28" x14ac:dyDescent="0.25">
      <c r="A10162" s="17" t="s">
        <v>28015</v>
      </c>
      <c r="B10162" s="17" t="s">
        <v>70</v>
      </c>
      <c r="C10162" s="17" t="s">
        <v>71</v>
      </c>
      <c r="D10162" t="s">
        <v>28016</v>
      </c>
      <c r="F10162" t="s">
        <v>3869</v>
      </c>
      <c r="J10162" t="s">
        <v>115</v>
      </c>
      <c r="K10162" s="18" t="s">
        <v>28017</v>
      </c>
      <c r="N10162" s="17" t="s">
        <v>77</v>
      </c>
      <c r="O10162" t="s">
        <v>261</v>
      </c>
      <c r="V10162" s="18" t="s">
        <v>28017</v>
      </c>
      <c r="Y10162" t="s">
        <v>217</v>
      </c>
      <c r="AA10162" t="s">
        <v>218</v>
      </c>
      <c r="AB10162" t="s">
        <v>119</v>
      </c>
    </row>
    <row r="10163" ht="15" customHeight="1" spans="1:22" x14ac:dyDescent="0.25">
      <c r="A10163" s="17" t="s">
        <v>28018</v>
      </c>
      <c r="B10163" s="17" t="s">
        <v>70</v>
      </c>
      <c r="C10163" s="17" t="s">
        <v>71</v>
      </c>
      <c r="D10163" t="s">
        <v>28019</v>
      </c>
      <c r="F10163" t="s">
        <v>28019</v>
      </c>
      <c r="K10163" s="18">
        <f>6285888350035</f>
        <v>6285888350035</v>
      </c>
      <c r="N10163" s="17" t="s">
        <v>81</v>
      </c>
      <c r="V10163" s="18">
        <f>6285888350035</f>
        <v>6285888350035</v>
      </c>
    </row>
    <row r="10164" ht="15" customHeight="1" spans="1:23" x14ac:dyDescent="0.25">
      <c r="A10164" s="17" t="s">
        <v>28020</v>
      </c>
      <c r="B10164" s="17" t="s">
        <v>70</v>
      </c>
      <c r="C10164" s="17" t="s">
        <v>71</v>
      </c>
      <c r="D10164" t="s">
        <v>28021</v>
      </c>
      <c r="F10164" t="s">
        <v>24297</v>
      </c>
      <c r="K10164" s="18">
        <f>6281450000808</f>
        <v>6281450000808</v>
      </c>
      <c r="N10164" s="17" t="s">
        <v>77</v>
      </c>
      <c r="U10164" s="17"/>
      <c r="V10164" s="18">
        <f>6281450000808</f>
        <v>6281450000808</v>
      </c>
      <c r="W10164" t="s">
        <v>28022</v>
      </c>
    </row>
    <row r="10165" ht="15" customHeight="1" spans="1:25" x14ac:dyDescent="0.25">
      <c r="A10165" s="17" t="s">
        <v>28023</v>
      </c>
      <c r="B10165" s="17" t="s">
        <v>70</v>
      </c>
      <c r="C10165" s="17" t="s">
        <v>71</v>
      </c>
      <c r="D10165" t="s">
        <v>28024</v>
      </c>
      <c r="F10165" t="s">
        <v>21924</v>
      </c>
      <c r="K10165" s="18">
        <f>6281285758244</f>
        <v>6281285758244</v>
      </c>
      <c r="N10165" s="17" t="s">
        <v>77</v>
      </c>
      <c r="U10165" s="17"/>
      <c r="V10165" s="18">
        <f>6281285758244</f>
        <v>6281285758244</v>
      </c>
      <c r="W10165" t="s">
        <v>28025</v>
      </c>
      <c r="Y10165" s="17" t="s">
        <v>28026</v>
      </c>
    </row>
    <row r="10166" ht="15" customHeight="1" spans="1:23" x14ac:dyDescent="0.25">
      <c r="A10166" s="17" t="s">
        <v>28027</v>
      </c>
      <c r="B10166" s="17" t="s">
        <v>70</v>
      </c>
      <c r="C10166" s="17" t="s">
        <v>71</v>
      </c>
      <c r="D10166" t="s">
        <v>28028</v>
      </c>
      <c r="F10166" t="s">
        <v>4621</v>
      </c>
      <c r="K10166" s="18">
        <f>628111698939</f>
        <v>628111698939</v>
      </c>
      <c r="N10166" s="17" t="s">
        <v>81</v>
      </c>
      <c r="U10166" s="17"/>
      <c r="V10166" s="18">
        <f>628111698939</f>
        <v>628111698939</v>
      </c>
      <c r="W10166" t="s">
        <v>28029</v>
      </c>
    </row>
    <row r="10167" ht="15" customHeight="1" spans="1:22" x14ac:dyDescent="0.25">
      <c r="A10167" s="17" t="s">
        <v>28030</v>
      </c>
      <c r="B10167" s="17" t="s">
        <v>70</v>
      </c>
      <c r="C10167" s="17" t="s">
        <v>71</v>
      </c>
      <c r="D10167" t="s">
        <v>28031</v>
      </c>
      <c r="F10167" t="s">
        <v>28031</v>
      </c>
      <c r="K10167" s="18">
        <f>62816773888</f>
        <v>62816773888</v>
      </c>
      <c r="N10167" s="17" t="s">
        <v>81</v>
      </c>
      <c r="V10167" s="18">
        <f>62816773888</f>
        <v>62816773888</v>
      </c>
    </row>
    <row r="10168" ht="15" customHeight="1" spans="1:22" x14ac:dyDescent="0.25">
      <c r="A10168" s="17" t="s">
        <v>28032</v>
      </c>
      <c r="B10168" s="17" t="s">
        <v>70</v>
      </c>
      <c r="C10168" s="17" t="s">
        <v>71</v>
      </c>
      <c r="D10168" t="s">
        <v>28031</v>
      </c>
      <c r="F10168" t="s">
        <v>28031</v>
      </c>
      <c r="K10168" s="18">
        <f>6287878957661</f>
        <v>6287878957661</v>
      </c>
      <c r="N10168" s="17" t="s">
        <v>81</v>
      </c>
      <c r="V10168" s="18">
        <f>6287878957661</f>
        <v>6287878957661</v>
      </c>
    </row>
    <row r="10169" ht="15" customHeight="1" spans="1:25" x14ac:dyDescent="0.25">
      <c r="A10169" s="17" t="s">
        <v>28033</v>
      </c>
      <c r="B10169" s="17" t="s">
        <v>70</v>
      </c>
      <c r="C10169" s="17" t="s">
        <v>71</v>
      </c>
      <c r="D10169" t="s">
        <v>28031</v>
      </c>
      <c r="F10169" t="s">
        <v>28031</v>
      </c>
      <c r="K10169" s="18">
        <f>6281320723030</f>
        <v>6281320723030</v>
      </c>
      <c r="N10169" s="17" t="s">
        <v>77</v>
      </c>
      <c r="U10169" s="17"/>
      <c r="V10169" s="18">
        <f>6281320723030</f>
        <v>6281320723030</v>
      </c>
      <c r="W10169" t="s">
        <v>26476</v>
      </c>
      <c r="Y10169" s="17" t="s">
        <v>90</v>
      </c>
    </row>
    <row r="10170" ht="15" customHeight="1" spans="1:22" x14ac:dyDescent="0.25">
      <c r="A10170" s="17" t="s">
        <v>28034</v>
      </c>
      <c r="B10170" s="17" t="s">
        <v>70</v>
      </c>
      <c r="C10170" s="17" t="s">
        <v>71</v>
      </c>
      <c r="D10170" t="s">
        <v>28031</v>
      </c>
      <c r="F10170" t="s">
        <v>28031</v>
      </c>
      <c r="K10170" s="18">
        <f>6282119391384</f>
        <v>6282119391384</v>
      </c>
      <c r="N10170" s="17" t="s">
        <v>77</v>
      </c>
      <c r="V10170" s="18">
        <f>6282119391384</f>
        <v>6282119391384</v>
      </c>
    </row>
    <row r="10171" ht="15" customHeight="1" spans="1:22" x14ac:dyDescent="0.25">
      <c r="A10171" s="17" t="s">
        <v>28035</v>
      </c>
      <c r="B10171" s="17" t="s">
        <v>70</v>
      </c>
      <c r="C10171" s="17" t="s">
        <v>71</v>
      </c>
      <c r="D10171" t="s">
        <v>28031</v>
      </c>
      <c r="F10171" t="s">
        <v>28031</v>
      </c>
      <c r="K10171" s="18">
        <f>62816821120</f>
        <v>62816821120</v>
      </c>
      <c r="N10171" s="17" t="s">
        <v>77</v>
      </c>
      <c r="V10171" s="18">
        <f>62816821120</f>
        <v>62816821120</v>
      </c>
    </row>
    <row r="10172" ht="15" customHeight="1" spans="1:28" x14ac:dyDescent="0.25">
      <c r="A10172" s="17" t="s">
        <v>28036</v>
      </c>
      <c r="B10172" s="17" t="s">
        <v>70</v>
      </c>
      <c r="C10172" s="17" t="s">
        <v>71</v>
      </c>
      <c r="D10172" t="s">
        <v>28031</v>
      </c>
      <c r="F10172" t="s">
        <v>4858</v>
      </c>
      <c r="J10172" t="s">
        <v>115</v>
      </c>
      <c r="K10172" s="18" t="s">
        <v>28037</v>
      </c>
      <c r="N10172" s="17" t="s">
        <v>81</v>
      </c>
      <c r="O10172" t="s">
        <v>117</v>
      </c>
      <c r="V10172" s="18" t="s">
        <v>28037</v>
      </c>
      <c r="Y10172" t="s">
        <v>90</v>
      </c>
      <c r="AA10172" t="s">
        <v>118</v>
      </c>
      <c r="AB10172" t="s">
        <v>119</v>
      </c>
    </row>
    <row r="10173" ht="15" customHeight="1" spans="1:25" x14ac:dyDescent="0.25">
      <c r="A10173" s="17" t="s">
        <v>28038</v>
      </c>
      <c r="B10173" s="17" t="s">
        <v>70</v>
      </c>
      <c r="C10173" s="17" t="s">
        <v>71</v>
      </c>
      <c r="D10173" t="s">
        <v>28031</v>
      </c>
      <c r="F10173" t="s">
        <v>28039</v>
      </c>
      <c r="K10173" s="18">
        <f>62818723472</f>
        <v>62818723472</v>
      </c>
      <c r="N10173" s="17" t="s">
        <v>77</v>
      </c>
      <c r="U10173" s="17"/>
      <c r="V10173" s="18">
        <f>62818723472</f>
        <v>62818723472</v>
      </c>
      <c r="W10173" t="s">
        <v>28040</v>
      </c>
      <c r="Y10173" s="17" t="s">
        <v>96</v>
      </c>
    </row>
    <row r="10174" ht="15" customHeight="1" spans="1:22" x14ac:dyDescent="0.25">
      <c r="A10174" s="17" t="s">
        <v>28041</v>
      </c>
      <c r="B10174" s="17" t="s">
        <v>70</v>
      </c>
      <c r="C10174" s="17" t="s">
        <v>71</v>
      </c>
      <c r="D10174" t="s">
        <v>28031</v>
      </c>
      <c r="F10174" t="s">
        <v>28042</v>
      </c>
      <c r="K10174" s="18">
        <f>62818749388</f>
        <v>62818749388</v>
      </c>
      <c r="N10174" s="17" t="s">
        <v>81</v>
      </c>
      <c r="V10174" s="18">
        <f>62818749388</f>
        <v>62818749388</v>
      </c>
    </row>
    <row r="10175" ht="15" customHeight="1" spans="1:25" x14ac:dyDescent="0.25">
      <c r="A10175" s="17" t="s">
        <v>28043</v>
      </c>
      <c r="B10175" s="17" t="s">
        <v>70</v>
      </c>
      <c r="C10175" s="17" t="s">
        <v>71</v>
      </c>
      <c r="D10175" t="s">
        <v>28031</v>
      </c>
      <c r="F10175" t="s">
        <v>28044</v>
      </c>
      <c r="K10175" s="18">
        <f>62811130768</f>
        <v>62811130768</v>
      </c>
      <c r="N10175" s="17" t="s">
        <v>74</v>
      </c>
      <c r="U10175" s="17"/>
      <c r="V10175" s="18">
        <f>62811130768</f>
        <v>62811130768</v>
      </c>
      <c r="W10175" t="s">
        <v>28045</v>
      </c>
      <c r="Y10175" s="17" t="s">
        <v>6412</v>
      </c>
    </row>
    <row r="10176" ht="15" customHeight="1" spans="1:22" x14ac:dyDescent="0.25">
      <c r="A10176" s="17" t="s">
        <v>28046</v>
      </c>
      <c r="B10176" s="17" t="s">
        <v>70</v>
      </c>
      <c r="C10176" s="17" t="s">
        <v>71</v>
      </c>
      <c r="D10176" t="s">
        <v>28031</v>
      </c>
      <c r="F10176" t="s">
        <v>1596</v>
      </c>
      <c r="K10176" s="18">
        <f>62811143878</f>
        <v>62811143878</v>
      </c>
      <c r="N10176" s="17" t="s">
        <v>74</v>
      </c>
      <c r="V10176" s="18">
        <f>62811143878</f>
        <v>62811143878</v>
      </c>
    </row>
    <row r="10177" ht="15" customHeight="1" spans="1:28" x14ac:dyDescent="0.25">
      <c r="A10177" s="17" t="s">
        <v>28047</v>
      </c>
      <c r="B10177" s="17" t="s">
        <v>70</v>
      </c>
      <c r="C10177" s="17" t="s">
        <v>71</v>
      </c>
      <c r="D10177" t="s">
        <v>28031</v>
      </c>
      <c r="F10177" t="s">
        <v>25864</v>
      </c>
      <c r="J10177" s="17" t="s">
        <v>28048</v>
      </c>
      <c r="K10177" s="18" t="s">
        <v>28049</v>
      </c>
      <c r="N10177" s="17" t="s">
        <v>77</v>
      </c>
      <c r="O10177" t="s">
        <v>145</v>
      </c>
      <c r="U10177" s="17"/>
      <c r="V10177" s="18" t="s">
        <v>28049</v>
      </c>
      <c r="W10177" t="s">
        <v>28050</v>
      </c>
      <c r="Y10177" t="s">
        <v>90</v>
      </c>
      <c r="AA10177" s="17" t="s">
        <v>118</v>
      </c>
      <c r="AB10177" t="s">
        <v>119</v>
      </c>
    </row>
    <row r="10178" ht="15" customHeight="1" spans="1:22" x14ac:dyDescent="0.25">
      <c r="A10178" s="17" t="s">
        <v>28051</v>
      </c>
      <c r="B10178" s="17" t="s">
        <v>70</v>
      </c>
      <c r="C10178" s="17" t="s">
        <v>71</v>
      </c>
      <c r="D10178" t="s">
        <v>28031</v>
      </c>
      <c r="F10178" t="s">
        <v>28031</v>
      </c>
      <c r="K10178" s="18">
        <f>6281902053022</f>
        <v>6281902053022</v>
      </c>
      <c r="N10178" s="17" t="s">
        <v>77</v>
      </c>
      <c r="V10178" s="18">
        <f>6281902053022</f>
        <v>6281902053022</v>
      </c>
    </row>
    <row r="10179" ht="15" customHeight="1" spans="1:22" x14ac:dyDescent="0.25">
      <c r="A10179" s="17" t="s">
        <v>28052</v>
      </c>
      <c r="B10179" s="17" t="s">
        <v>70</v>
      </c>
      <c r="C10179" s="17" t="s">
        <v>71</v>
      </c>
      <c r="D10179" t="s">
        <v>28031</v>
      </c>
      <c r="F10179" t="s">
        <v>282</v>
      </c>
      <c r="K10179" s="18">
        <f>62811146909</f>
        <v>62811146909</v>
      </c>
      <c r="N10179" s="17" t="s">
        <v>77</v>
      </c>
      <c r="V10179" s="18">
        <f>62811146909</f>
        <v>62811146909</v>
      </c>
    </row>
    <row r="10180" ht="15" customHeight="1" spans="1:22" x14ac:dyDescent="0.25">
      <c r="A10180" s="17" t="s">
        <v>28053</v>
      </c>
      <c r="B10180" s="17" t="s">
        <v>70</v>
      </c>
      <c r="C10180" s="17" t="s">
        <v>71</v>
      </c>
      <c r="D10180" t="s">
        <v>28031</v>
      </c>
      <c r="F10180" t="s">
        <v>28054</v>
      </c>
      <c r="K10180" s="18">
        <f>628161453092</f>
        <v>628161453092</v>
      </c>
      <c r="N10180" s="17" t="s">
        <v>77</v>
      </c>
      <c r="V10180" s="18">
        <f>628161453092</f>
        <v>628161453092</v>
      </c>
    </row>
    <row r="10181" ht="15" customHeight="1" spans="1:25" x14ac:dyDescent="0.25">
      <c r="A10181" s="17" t="s">
        <v>28055</v>
      </c>
      <c r="B10181" s="17" t="s">
        <v>70</v>
      </c>
      <c r="C10181" s="17" t="s">
        <v>71</v>
      </c>
      <c r="D10181" t="s">
        <v>28031</v>
      </c>
      <c r="F10181" t="s">
        <v>414</v>
      </c>
      <c r="K10181" s="18">
        <f>628118818811</f>
        <v>628118818811</v>
      </c>
      <c r="N10181" s="17" t="s">
        <v>74</v>
      </c>
      <c r="U10181" s="17"/>
      <c r="V10181" s="18">
        <f>628118818811</f>
        <v>628118818811</v>
      </c>
      <c r="W10181" t="s">
        <v>28056</v>
      </c>
      <c r="Y10181" s="17" t="s">
        <v>3320</v>
      </c>
    </row>
    <row r="10182" ht="15" customHeight="1" spans="1:27" x14ac:dyDescent="0.25">
      <c r="A10182" s="17" t="s">
        <v>28057</v>
      </c>
      <c r="B10182" s="17" t="s">
        <v>70</v>
      </c>
      <c r="C10182" s="17" t="s">
        <v>71</v>
      </c>
      <c r="D10182" t="s">
        <v>28031</v>
      </c>
      <c r="F10182" t="s">
        <v>28058</v>
      </c>
      <c r="J10182" s="17" t="s">
        <v>28059</v>
      </c>
      <c r="K10182" s="18">
        <f>628111225222</f>
        <v>628111225222</v>
      </c>
      <c r="N10182" s="17" t="s">
        <v>81</v>
      </c>
      <c r="U10182" s="17"/>
      <c r="V10182" s="18">
        <f>628111225222</f>
        <v>628111225222</v>
      </c>
      <c r="W10182" t="s">
        <v>28060</v>
      </c>
      <c r="Y10182" s="17" t="s">
        <v>96</v>
      </c>
      <c r="AA10182" s="17">
        <v>12810</v>
      </c>
    </row>
    <row r="10183" ht="15" customHeight="1" spans="1:22" x14ac:dyDescent="0.25">
      <c r="A10183" s="17" t="s">
        <v>28061</v>
      </c>
      <c r="B10183" s="17" t="s">
        <v>70</v>
      </c>
      <c r="C10183" s="17" t="s">
        <v>71</v>
      </c>
      <c r="D10183" t="s">
        <v>28031</v>
      </c>
      <c r="F10183" t="s">
        <v>672</v>
      </c>
      <c r="K10183" s="18">
        <f>62816876080</f>
        <v>62816876080</v>
      </c>
      <c r="N10183" s="17" t="s">
        <v>77</v>
      </c>
      <c r="V10183" s="18">
        <f>62816876080</f>
        <v>62816876080</v>
      </c>
    </row>
    <row r="10184" ht="15" customHeight="1" spans="1:28" x14ac:dyDescent="0.25">
      <c r="A10184" s="17" t="s">
        <v>28062</v>
      </c>
      <c r="B10184" s="17" t="s">
        <v>70</v>
      </c>
      <c r="C10184" s="17" t="s">
        <v>71</v>
      </c>
      <c r="D10184" t="s">
        <v>28031</v>
      </c>
      <c r="F10184" t="s">
        <v>1564</v>
      </c>
      <c r="J10184" t="s">
        <v>115</v>
      </c>
      <c r="K10184" s="18" t="s">
        <v>28063</v>
      </c>
      <c r="N10184" s="17" t="s">
        <v>74</v>
      </c>
      <c r="O10184" t="s">
        <v>145</v>
      </c>
      <c r="V10184" s="18" t="s">
        <v>28063</v>
      </c>
      <c r="Y10184" t="s">
        <v>90</v>
      </c>
      <c r="AA10184" t="s">
        <v>118</v>
      </c>
      <c r="AB10184" t="s">
        <v>119</v>
      </c>
    </row>
    <row r="10185" ht="15" customHeight="1" spans="1:22" x14ac:dyDescent="0.25">
      <c r="A10185" s="17" t="s">
        <v>28064</v>
      </c>
      <c r="B10185" s="17" t="s">
        <v>70</v>
      </c>
      <c r="C10185" s="17" t="s">
        <v>71</v>
      </c>
      <c r="D10185" t="s">
        <v>28031</v>
      </c>
      <c r="F10185" t="s">
        <v>2426</v>
      </c>
      <c r="K10185" s="18">
        <f>62817717177</f>
        <v>62817717177</v>
      </c>
      <c r="N10185" s="17" t="s">
        <v>77</v>
      </c>
      <c r="V10185" s="18">
        <f>62817717177</f>
        <v>62817717177</v>
      </c>
    </row>
    <row r="10186" ht="15" customHeight="1" spans="1:23" x14ac:dyDescent="0.25">
      <c r="A10186" s="17" t="s">
        <v>28065</v>
      </c>
      <c r="B10186" s="17" t="s">
        <v>70</v>
      </c>
      <c r="C10186" s="17" t="s">
        <v>71</v>
      </c>
      <c r="D10186" t="s">
        <v>28066</v>
      </c>
      <c r="F10186" t="s">
        <v>28067</v>
      </c>
      <c r="K10186" s="18">
        <f>6281514817661</f>
        <v>6281514817661</v>
      </c>
      <c r="N10186" s="17" t="s">
        <v>81</v>
      </c>
      <c r="U10186" s="17"/>
      <c r="V10186" s="18">
        <f>6281514817661</f>
        <v>6281514817661</v>
      </c>
      <c r="W10186" t="s">
        <v>28068</v>
      </c>
    </row>
    <row r="10187" ht="15" customHeight="1" spans="1:22" x14ac:dyDescent="0.25">
      <c r="A10187" s="17" t="s">
        <v>28069</v>
      </c>
      <c r="B10187" s="17" t="s">
        <v>70</v>
      </c>
      <c r="C10187" s="17" t="s">
        <v>71</v>
      </c>
      <c r="D10187" t="s">
        <v>28070</v>
      </c>
      <c r="F10187" t="s">
        <v>28070</v>
      </c>
      <c r="K10187" s="18">
        <f>628159003873</f>
        <v>628159003873</v>
      </c>
      <c r="N10187" s="17" t="s">
        <v>77</v>
      </c>
      <c r="V10187" s="18">
        <f>628159003873</f>
        <v>628159003873</v>
      </c>
    </row>
    <row r="10188" ht="15" customHeight="1" spans="1:28" x14ac:dyDescent="0.25">
      <c r="A10188" s="17" t="s">
        <v>28071</v>
      </c>
      <c r="B10188" s="17" t="s">
        <v>70</v>
      </c>
      <c r="C10188" s="17" t="s">
        <v>71</v>
      </c>
      <c r="D10188" t="s">
        <v>28072</v>
      </c>
      <c r="F10188" t="s">
        <v>28073</v>
      </c>
      <c r="J10188" t="s">
        <v>115</v>
      </c>
      <c r="K10188" s="18" t="s">
        <v>28074</v>
      </c>
      <c r="N10188" s="17" t="s">
        <v>81</v>
      </c>
      <c r="O10188" t="s">
        <v>117</v>
      </c>
      <c r="U10188" s="17"/>
      <c r="V10188" s="18" t="s">
        <v>28074</v>
      </c>
      <c r="W10188" t="s">
        <v>28075</v>
      </c>
      <c r="Y10188" t="s">
        <v>90</v>
      </c>
      <c r="AA10188" t="s">
        <v>118</v>
      </c>
      <c r="AB10188" t="s">
        <v>119</v>
      </c>
    </row>
    <row r="10189" ht="15" customHeight="1" spans="1:22" x14ac:dyDescent="0.25">
      <c r="A10189" s="17" t="s">
        <v>28076</v>
      </c>
      <c r="B10189" s="17" t="s">
        <v>70</v>
      </c>
      <c r="C10189" s="17" t="s">
        <v>71</v>
      </c>
      <c r="D10189" t="s">
        <v>21228</v>
      </c>
      <c r="F10189" t="s">
        <v>21228</v>
      </c>
      <c r="K10189" s="18">
        <f>62811106472</f>
        <v>62811106472</v>
      </c>
      <c r="N10189" s="17" t="s">
        <v>81</v>
      </c>
      <c r="V10189" s="18">
        <f>62811106472</f>
        <v>62811106472</v>
      </c>
    </row>
    <row r="10190" ht="15" customHeight="1" spans="1:22" x14ac:dyDescent="0.25">
      <c r="A10190" s="17" t="s">
        <v>28077</v>
      </c>
      <c r="B10190" s="17" t="s">
        <v>70</v>
      </c>
      <c r="C10190" s="17" t="s">
        <v>71</v>
      </c>
      <c r="D10190" t="s">
        <v>21228</v>
      </c>
      <c r="F10190" t="s">
        <v>17593</v>
      </c>
      <c r="K10190" s="18">
        <f>628118382006</f>
        <v>628118382006</v>
      </c>
      <c r="N10190" s="17" t="s">
        <v>81</v>
      </c>
      <c r="V10190" s="18">
        <f>628118382006</f>
        <v>628118382006</v>
      </c>
    </row>
    <row r="10191" ht="15" customHeight="1" spans="1:22" x14ac:dyDescent="0.25">
      <c r="A10191" s="17" t="s">
        <v>28078</v>
      </c>
      <c r="B10191" s="17" t="s">
        <v>70</v>
      </c>
      <c r="C10191" s="17" t="s">
        <v>71</v>
      </c>
      <c r="D10191" t="s">
        <v>21228</v>
      </c>
      <c r="F10191" t="s">
        <v>15366</v>
      </c>
      <c r="K10191" s="18">
        <f>6282110066860</f>
        <v>6282110066860</v>
      </c>
      <c r="N10191" s="17" t="s">
        <v>81</v>
      </c>
      <c r="V10191" s="18">
        <f>6282110066860</f>
        <v>6282110066860</v>
      </c>
    </row>
    <row r="10192" ht="15" customHeight="1" spans="1:22" x14ac:dyDescent="0.25">
      <c r="A10192" s="17" t="s">
        <v>28079</v>
      </c>
      <c r="B10192" s="17" t="s">
        <v>70</v>
      </c>
      <c r="C10192" s="17" t="s">
        <v>71</v>
      </c>
      <c r="D10192" t="s">
        <v>21228</v>
      </c>
      <c r="F10192" t="s">
        <v>28080</v>
      </c>
      <c r="K10192" s="18">
        <f>62811822660</f>
        <v>62811822660</v>
      </c>
      <c r="N10192" s="17" t="s">
        <v>81</v>
      </c>
      <c r="V10192" s="18">
        <f>62811822660</f>
        <v>62811822660</v>
      </c>
    </row>
    <row r="10193" ht="15" customHeight="1" spans="1:22" x14ac:dyDescent="0.25">
      <c r="A10193" s="17" t="s">
        <v>28081</v>
      </c>
      <c r="B10193" s="17" t="s">
        <v>70</v>
      </c>
      <c r="C10193" s="17" t="s">
        <v>71</v>
      </c>
      <c r="D10193" t="s">
        <v>21228</v>
      </c>
      <c r="F10193" t="s">
        <v>26685</v>
      </c>
      <c r="K10193" s="18">
        <f>628121888007</f>
        <v>628121888007</v>
      </c>
      <c r="N10193" s="17" t="s">
        <v>74</v>
      </c>
      <c r="V10193" s="18">
        <f>628121888007</f>
        <v>628121888007</v>
      </c>
    </row>
    <row r="10194" ht="15" customHeight="1" spans="1:28" x14ac:dyDescent="0.25">
      <c r="A10194" s="17" t="s">
        <v>28082</v>
      </c>
      <c r="B10194" s="17" t="s">
        <v>70</v>
      </c>
      <c r="C10194" s="17" t="s">
        <v>71</v>
      </c>
      <c r="D10194" t="s">
        <v>21228</v>
      </c>
      <c r="F10194" t="s">
        <v>28083</v>
      </c>
      <c r="J10194" t="s">
        <v>115</v>
      </c>
      <c r="K10194" s="18" t="s">
        <v>28084</v>
      </c>
      <c r="N10194" s="17" t="s">
        <v>77</v>
      </c>
      <c r="O10194" t="s">
        <v>117</v>
      </c>
      <c r="U10194" s="17"/>
      <c r="V10194" s="18" t="s">
        <v>28084</v>
      </c>
      <c r="W10194" t="s">
        <v>28085</v>
      </c>
      <c r="Y10194" s="17" t="s">
        <v>90</v>
      </c>
      <c r="AA10194" s="17" t="s">
        <v>118</v>
      </c>
      <c r="AB10194" t="s">
        <v>119</v>
      </c>
    </row>
    <row r="10195" ht="15" customHeight="1" spans="1:22" x14ac:dyDescent="0.25">
      <c r="A10195" s="17" t="s">
        <v>28086</v>
      </c>
      <c r="B10195" s="17" t="s">
        <v>70</v>
      </c>
      <c r="C10195" s="17" t="s">
        <v>71</v>
      </c>
      <c r="D10195" t="s">
        <v>28087</v>
      </c>
      <c r="F10195" t="s">
        <v>209</v>
      </c>
      <c r="K10195" s="18">
        <f>6281617171705</f>
        <v>6281617171705</v>
      </c>
      <c r="N10195" s="17" t="s">
        <v>77</v>
      </c>
      <c r="V10195" s="18">
        <f>6281617171705</f>
        <v>6281617171705</v>
      </c>
    </row>
    <row r="10196" ht="15" customHeight="1" spans="1:28" x14ac:dyDescent="0.25">
      <c r="A10196" s="17" t="s">
        <v>28088</v>
      </c>
      <c r="B10196" s="17" t="s">
        <v>70</v>
      </c>
      <c r="C10196" s="17" t="s">
        <v>71</v>
      </c>
      <c r="D10196" t="s">
        <v>18519</v>
      </c>
      <c r="F10196" t="s">
        <v>18219</v>
      </c>
      <c r="J10196" t="s">
        <v>28089</v>
      </c>
      <c r="K10196" s="18" t="s">
        <v>28090</v>
      </c>
      <c r="N10196" s="17" t="s">
        <v>81</v>
      </c>
      <c r="O10196" t="s">
        <v>117</v>
      </c>
      <c r="V10196" s="18" t="s">
        <v>28090</v>
      </c>
      <c r="Y10196" t="s">
        <v>78</v>
      </c>
      <c r="AA10196" t="s">
        <v>115</v>
      </c>
      <c r="AB10196" t="s">
        <v>119</v>
      </c>
    </row>
    <row r="10197" ht="15" customHeight="1" spans="1:22" x14ac:dyDescent="0.25">
      <c r="A10197" s="17" t="s">
        <v>28091</v>
      </c>
      <c r="B10197" s="17" t="s">
        <v>70</v>
      </c>
      <c r="C10197" s="17" t="s">
        <v>71</v>
      </c>
      <c r="D10197" t="s">
        <v>18519</v>
      </c>
      <c r="F10197" t="s">
        <v>18519</v>
      </c>
      <c r="K10197" s="18">
        <f>628159131803</f>
        <v>628159131803</v>
      </c>
      <c r="N10197" s="17" t="s">
        <v>77</v>
      </c>
      <c r="V10197" s="18">
        <f>628159131803</f>
        <v>628159131803</v>
      </c>
    </row>
    <row r="10198" ht="15" customHeight="1" spans="1:23" x14ac:dyDescent="0.25">
      <c r="A10198" s="17" t="s">
        <v>28092</v>
      </c>
      <c r="B10198" s="17" t="s">
        <v>70</v>
      </c>
      <c r="C10198" s="17" t="s">
        <v>71</v>
      </c>
      <c r="D10198" t="s">
        <v>18519</v>
      </c>
      <c r="F10198" t="s">
        <v>28093</v>
      </c>
      <c r="J10198" s="17" t="s">
        <v>28094</v>
      </c>
      <c r="K10198" s="18">
        <f>628119061906</f>
        <v>628119061906</v>
      </c>
      <c r="N10198" s="17" t="s">
        <v>81</v>
      </c>
      <c r="U10198" s="17"/>
      <c r="V10198" s="18">
        <f>628119061906</f>
        <v>628119061906</v>
      </c>
      <c r="W10198" t="s">
        <v>28095</v>
      </c>
    </row>
    <row r="10199" ht="15" customHeight="1" spans="1:22" x14ac:dyDescent="0.25">
      <c r="A10199" s="17" t="s">
        <v>28096</v>
      </c>
      <c r="B10199" s="17" t="s">
        <v>70</v>
      </c>
      <c r="C10199" s="17" t="s">
        <v>71</v>
      </c>
      <c r="D10199" t="s">
        <v>28097</v>
      </c>
      <c r="F10199" t="s">
        <v>26323</v>
      </c>
      <c r="J10199" s="17" t="s">
        <v>28098</v>
      </c>
      <c r="K10199" s="18">
        <f>639178446437</f>
        <v>639178446437</v>
      </c>
      <c r="N10199" s="17" t="s">
        <v>77</v>
      </c>
      <c r="V10199" s="18">
        <f>639178446437</f>
        <v>639178446437</v>
      </c>
    </row>
    <row r="10200" ht="15" customHeight="1" spans="1:25" x14ac:dyDescent="0.25">
      <c r="A10200" s="17" t="s">
        <v>28099</v>
      </c>
      <c r="B10200" s="17" t="s">
        <v>70</v>
      </c>
      <c r="C10200" s="17" t="s">
        <v>71</v>
      </c>
      <c r="D10200" t="s">
        <v>28100</v>
      </c>
      <c r="F10200" t="s">
        <v>28100</v>
      </c>
      <c r="J10200" s="17" t="s">
        <v>28101</v>
      </c>
      <c r="K10200" s="18">
        <f>6281299359935</f>
        <v>6281299359935</v>
      </c>
      <c r="N10200" s="17" t="s">
        <v>77</v>
      </c>
      <c r="U10200" s="17"/>
      <c r="V10200" s="18">
        <f>6281299359935</f>
        <v>6281299359935</v>
      </c>
      <c r="W10200" t="s">
        <v>12078</v>
      </c>
      <c r="Y10200" s="17" t="s">
        <v>96</v>
      </c>
    </row>
    <row r="10201" ht="15" customHeight="1" spans="1:22" x14ac:dyDescent="0.25">
      <c r="A10201" s="17" t="s">
        <v>28102</v>
      </c>
      <c r="B10201" s="17" t="s">
        <v>70</v>
      </c>
      <c r="C10201" s="17" t="s">
        <v>71</v>
      </c>
      <c r="D10201" t="s">
        <v>28100</v>
      </c>
      <c r="F10201" t="s">
        <v>24297</v>
      </c>
      <c r="K10201" s="18">
        <f>6281289098140</f>
        <v>6281289098140</v>
      </c>
      <c r="N10201" s="17" t="s">
        <v>77</v>
      </c>
      <c r="V10201" s="18">
        <f>6281289098140</f>
        <v>6281289098140</v>
      </c>
    </row>
    <row r="10202" ht="15" customHeight="1" spans="1:22" x14ac:dyDescent="0.25">
      <c r="A10202" s="17" t="s">
        <v>28103</v>
      </c>
      <c r="B10202" s="17" t="s">
        <v>70</v>
      </c>
      <c r="C10202" s="17" t="s">
        <v>71</v>
      </c>
      <c r="D10202" t="s">
        <v>28104</v>
      </c>
      <c r="F10202" t="s">
        <v>28067</v>
      </c>
      <c r="J10202" s="17" t="s">
        <v>28105</v>
      </c>
      <c r="K10202" s="18">
        <f>628129146887</f>
        <v>628129146887</v>
      </c>
      <c r="N10202" s="17" t="s">
        <v>81</v>
      </c>
      <c r="V10202" s="18">
        <f>628129146887</f>
        <v>628129146887</v>
      </c>
    </row>
    <row r="10203" ht="15" customHeight="1" spans="1:22" x14ac:dyDescent="0.25">
      <c r="A10203" s="17" t="s">
        <v>28106</v>
      </c>
      <c r="B10203" s="17" t="s">
        <v>70</v>
      </c>
      <c r="C10203" s="17" t="s">
        <v>71</v>
      </c>
      <c r="D10203" t="s">
        <v>28107</v>
      </c>
      <c r="F10203" t="s">
        <v>28107</v>
      </c>
      <c r="K10203" s="18">
        <f>6281315832283</f>
        <v>6281315832283</v>
      </c>
      <c r="N10203" s="17" t="s">
        <v>81</v>
      </c>
      <c r="V10203" s="18">
        <f>6281315832283</f>
        <v>6281315832283</v>
      </c>
    </row>
    <row r="10204" ht="15" customHeight="1" spans="1:25" x14ac:dyDescent="0.25">
      <c r="A10204" s="17" t="s">
        <v>28108</v>
      </c>
      <c r="B10204" s="17" t="s">
        <v>70</v>
      </c>
      <c r="C10204" s="17" t="s">
        <v>71</v>
      </c>
      <c r="D10204" t="s">
        <v>28109</v>
      </c>
      <c r="F10204" t="s">
        <v>17806</v>
      </c>
      <c r="J10204" s="17" t="s">
        <v>28110</v>
      </c>
      <c r="K10204" s="18">
        <f>628119919388</f>
        <v>628119919388</v>
      </c>
      <c r="N10204" s="17" t="s">
        <v>81</v>
      </c>
      <c r="U10204" s="17"/>
      <c r="V10204" s="18">
        <f>628119919388</f>
        <v>628119919388</v>
      </c>
      <c r="W10204" t="s">
        <v>28111</v>
      </c>
      <c r="Y10204" s="17" t="s">
        <v>96</v>
      </c>
    </row>
    <row r="10205" ht="15" customHeight="1" spans="1:27" x14ac:dyDescent="0.25">
      <c r="A10205" s="17" t="s">
        <v>28112</v>
      </c>
      <c r="B10205" s="17" t="s">
        <v>70</v>
      </c>
      <c r="C10205" s="17" t="s">
        <v>71</v>
      </c>
      <c r="D10205" t="s">
        <v>28113</v>
      </c>
      <c r="F10205" t="s">
        <v>28114</v>
      </c>
      <c r="K10205" s="18">
        <f>14042023</f>
        <v>14042023</v>
      </c>
      <c r="N10205" s="17" t="s">
        <v>81</v>
      </c>
      <c r="U10205" s="17"/>
      <c r="V10205" s="18">
        <f>14042023</f>
        <v>14042023</v>
      </c>
      <c r="W10205" t="s">
        <v>28115</v>
      </c>
      <c r="Y10205" s="17" t="s">
        <v>28116</v>
      </c>
      <c r="AA10205" s="17">
        <v>10000</v>
      </c>
    </row>
    <row r="10206" ht="15" customHeight="1" spans="1:23" x14ac:dyDescent="0.25">
      <c r="A10206" s="17" t="s">
        <v>28117</v>
      </c>
      <c r="B10206" s="17" t="s">
        <v>70</v>
      </c>
      <c r="C10206" s="17" t="s">
        <v>71</v>
      </c>
      <c r="D10206" t="s">
        <v>28118</v>
      </c>
      <c r="F10206" t="s">
        <v>28119</v>
      </c>
      <c r="J10206" s="17" t="s">
        <v>28120</v>
      </c>
      <c r="K10206" s="18">
        <f>6281311285218</f>
        <v>6281311285218</v>
      </c>
      <c r="N10206" s="17" t="s">
        <v>77</v>
      </c>
      <c r="U10206" s="17"/>
      <c r="V10206" s="18">
        <f>6281311285218</f>
        <v>6281311285218</v>
      </c>
      <c r="W10206" t="s">
        <v>28121</v>
      </c>
    </row>
    <row r="10207" ht="15" customHeight="1" spans="1:23" x14ac:dyDescent="0.25">
      <c r="A10207" s="17" t="s">
        <v>28122</v>
      </c>
      <c r="B10207" s="17" t="s">
        <v>70</v>
      </c>
      <c r="C10207" s="17" t="s">
        <v>71</v>
      </c>
      <c r="D10207" t="s">
        <v>28123</v>
      </c>
      <c r="F10207" t="s">
        <v>28124</v>
      </c>
      <c r="K10207" s="18">
        <f>628161902996</f>
        <v>628161902996</v>
      </c>
      <c r="N10207" s="17" t="s">
        <v>77</v>
      </c>
      <c r="U10207" s="17"/>
      <c r="V10207" s="18">
        <f>628161902996</f>
        <v>628161902996</v>
      </c>
      <c r="W10207" t="s">
        <v>28125</v>
      </c>
    </row>
    <row r="10208" ht="15" customHeight="1" spans="1:23" x14ac:dyDescent="0.25">
      <c r="A10208" s="17" t="s">
        <v>28126</v>
      </c>
      <c r="B10208" s="17" t="s">
        <v>70</v>
      </c>
      <c r="C10208" s="17" t="s">
        <v>71</v>
      </c>
      <c r="D10208" t="s">
        <v>28127</v>
      </c>
      <c r="F10208" t="s">
        <v>26235</v>
      </c>
      <c r="K10208" s="18">
        <f>628976966430</f>
        <v>628976966430</v>
      </c>
      <c r="N10208" s="17" t="s">
        <v>81</v>
      </c>
      <c r="U10208" s="17"/>
      <c r="V10208" s="18">
        <f>628976966430</f>
        <v>628976966430</v>
      </c>
      <c r="W10208" t="s">
        <v>28128</v>
      </c>
    </row>
    <row r="10209" ht="15" customHeight="1" spans="1:22" x14ac:dyDescent="0.25">
      <c r="A10209" s="17" t="s">
        <v>28129</v>
      </c>
      <c r="B10209" s="17" t="s">
        <v>70</v>
      </c>
      <c r="C10209" s="17" t="s">
        <v>71</v>
      </c>
      <c r="D10209" t="s">
        <v>10396</v>
      </c>
      <c r="F10209" t="s">
        <v>10396</v>
      </c>
      <c r="K10209" s="18">
        <f>628111344275</f>
        <v>628111344275</v>
      </c>
      <c r="N10209" s="17" t="s">
        <v>81</v>
      </c>
      <c r="V10209" s="18">
        <f>628111344275</f>
        <v>628111344275</v>
      </c>
    </row>
    <row r="10210" ht="15" customHeight="1" spans="1:22" x14ac:dyDescent="0.25">
      <c r="A10210" s="17" t="s">
        <v>28130</v>
      </c>
      <c r="B10210" s="17" t="s">
        <v>70</v>
      </c>
      <c r="C10210" s="17" t="s">
        <v>71</v>
      </c>
      <c r="D10210" t="s">
        <v>10396</v>
      </c>
      <c r="F10210" t="s">
        <v>10396</v>
      </c>
      <c r="K10210" s="18">
        <f>62811711105</f>
        <v>62811711105</v>
      </c>
      <c r="N10210" s="17" t="s">
        <v>81</v>
      </c>
      <c r="V10210" s="18">
        <f>62811711105</f>
        <v>62811711105</v>
      </c>
    </row>
    <row r="10211" ht="15" customHeight="1" spans="1:28" x14ac:dyDescent="0.25">
      <c r="A10211" s="17" t="s">
        <v>28131</v>
      </c>
      <c r="B10211" s="17" t="s">
        <v>70</v>
      </c>
      <c r="C10211" s="17" t="s">
        <v>71</v>
      </c>
      <c r="D10211" t="s">
        <v>28132</v>
      </c>
      <c r="F10211" t="s">
        <v>1412</v>
      </c>
      <c r="J10211" t="s">
        <v>115</v>
      </c>
      <c r="K10211" s="18" t="s">
        <v>28133</v>
      </c>
      <c r="N10211" s="17" t="s">
        <v>81</v>
      </c>
      <c r="O10211" t="s">
        <v>117</v>
      </c>
      <c r="V10211" s="18" t="s">
        <v>28133</v>
      </c>
      <c r="Y10211" t="s">
        <v>115</v>
      </c>
      <c r="AA10211" t="s">
        <v>115</v>
      </c>
      <c r="AB10211" t="s">
        <v>119</v>
      </c>
    </row>
    <row r="10212" ht="15" customHeight="1" spans="1:22" x14ac:dyDescent="0.25">
      <c r="A10212" s="17" t="s">
        <v>28134</v>
      </c>
      <c r="B10212" s="17" t="s">
        <v>70</v>
      </c>
      <c r="C10212" s="17" t="s">
        <v>71</v>
      </c>
      <c r="D10212" t="s">
        <v>10396</v>
      </c>
      <c r="F10212" t="s">
        <v>28135</v>
      </c>
      <c r="K10212" s="18">
        <f>628118809009</f>
        <v>628118809009</v>
      </c>
      <c r="N10212" s="17" t="s">
        <v>81</v>
      </c>
      <c r="V10212" s="18">
        <f>628118809009</f>
        <v>628118809009</v>
      </c>
    </row>
    <row r="10213" ht="15" customHeight="1" spans="1:22" x14ac:dyDescent="0.25">
      <c r="A10213" s="17" t="s">
        <v>28136</v>
      </c>
      <c r="B10213" s="17" t="s">
        <v>70</v>
      </c>
      <c r="C10213" s="17" t="s">
        <v>71</v>
      </c>
      <c r="D10213" t="s">
        <v>10396</v>
      </c>
      <c r="F10213" t="s">
        <v>28137</v>
      </c>
      <c r="K10213" s="18">
        <f>628111311313</f>
        <v>628111311313</v>
      </c>
      <c r="N10213" s="17" t="s">
        <v>74</v>
      </c>
      <c r="V10213" s="18">
        <f>628111311313</f>
        <v>628111311313</v>
      </c>
    </row>
    <row r="10214" ht="15" customHeight="1" spans="1:22" x14ac:dyDescent="0.25">
      <c r="A10214" s="17" t="s">
        <v>28138</v>
      </c>
      <c r="B10214" s="17" t="s">
        <v>70</v>
      </c>
      <c r="C10214" s="17" t="s">
        <v>71</v>
      </c>
      <c r="D10214" t="s">
        <v>10396</v>
      </c>
      <c r="F10214" t="s">
        <v>24176</v>
      </c>
      <c r="K10214" s="18">
        <f>6281906012239</f>
        <v>6281906012239</v>
      </c>
      <c r="N10214" s="17" t="s">
        <v>77</v>
      </c>
      <c r="V10214" s="18">
        <f>6281906012239</f>
        <v>6281906012239</v>
      </c>
    </row>
    <row r="10215" ht="15" customHeight="1" spans="1:22" x14ac:dyDescent="0.25">
      <c r="A10215" s="17" t="s">
        <v>28139</v>
      </c>
      <c r="B10215" s="17" t="s">
        <v>70</v>
      </c>
      <c r="C10215" s="17" t="s">
        <v>71</v>
      </c>
      <c r="D10215" t="s">
        <v>28140</v>
      </c>
      <c r="F10215" t="s">
        <v>28140</v>
      </c>
      <c r="K10215" s="18">
        <f>6281310000023</f>
        <v>6281310000023</v>
      </c>
      <c r="N10215" s="17" t="s">
        <v>77</v>
      </c>
      <c r="V10215" s="18">
        <f>6281310000023</f>
        <v>6281310000023</v>
      </c>
    </row>
    <row r="10216" ht="15" customHeight="1" spans="1:22" x14ac:dyDescent="0.25">
      <c r="A10216" s="17" t="s">
        <v>28141</v>
      </c>
      <c r="B10216" s="17" t="s">
        <v>70</v>
      </c>
      <c r="C10216" s="17" t="s">
        <v>71</v>
      </c>
      <c r="D10216" t="s">
        <v>28142</v>
      </c>
      <c r="F10216" t="s">
        <v>28143</v>
      </c>
      <c r="K10216" s="18">
        <f>6281310979140</f>
        <v>6281310979140</v>
      </c>
      <c r="N10216" s="17" t="s">
        <v>81</v>
      </c>
      <c r="V10216" s="18">
        <f>6281310979140</f>
        <v>6281310979140</v>
      </c>
    </row>
    <row r="10217" ht="15" customHeight="1" spans="1:28" x14ac:dyDescent="0.25">
      <c r="A10217" s="17" t="s">
        <v>28144</v>
      </c>
      <c r="B10217" s="17" t="s">
        <v>70</v>
      </c>
      <c r="C10217" s="17" t="s">
        <v>71</v>
      </c>
      <c r="D10217" t="s">
        <v>28145</v>
      </c>
      <c r="F10217" t="s">
        <v>28146</v>
      </c>
      <c r="J10217" t="s">
        <v>115</v>
      </c>
      <c r="K10217" s="18" t="s">
        <v>28147</v>
      </c>
      <c r="N10217" s="17" t="s">
        <v>77</v>
      </c>
      <c r="O10217" t="s">
        <v>117</v>
      </c>
      <c r="V10217" s="18" t="s">
        <v>28147</v>
      </c>
      <c r="Y10217" t="s">
        <v>115</v>
      </c>
      <c r="AA10217" t="s">
        <v>115</v>
      </c>
      <c r="AB10217" t="s">
        <v>119</v>
      </c>
    </row>
    <row r="10218" ht="15" customHeight="1" spans="1:22" x14ac:dyDescent="0.25">
      <c r="A10218" s="17" t="s">
        <v>28148</v>
      </c>
      <c r="B10218" s="17" t="s">
        <v>70</v>
      </c>
      <c r="C10218" s="17" t="s">
        <v>71</v>
      </c>
      <c r="D10218" t="s">
        <v>28149</v>
      </c>
      <c r="F10218" t="s">
        <v>28149</v>
      </c>
      <c r="K10218" s="18">
        <f>628118408398</f>
        <v>628118408398</v>
      </c>
      <c r="N10218" s="17" t="s">
        <v>81</v>
      </c>
      <c r="V10218" s="18">
        <f>628118408398</f>
        <v>628118408398</v>
      </c>
    </row>
    <row r="10219" ht="15" customHeight="1" spans="1:22" x14ac:dyDescent="0.25">
      <c r="A10219" s="17" t="s">
        <v>28150</v>
      </c>
      <c r="B10219" s="17" t="s">
        <v>70</v>
      </c>
      <c r="C10219" s="17" t="s">
        <v>71</v>
      </c>
      <c r="D10219" t="s">
        <v>28149</v>
      </c>
      <c r="F10219" t="s">
        <v>28149</v>
      </c>
      <c r="K10219" s="18">
        <f>6281276291978</f>
        <v>6281276291978</v>
      </c>
      <c r="N10219" s="17" t="s">
        <v>77</v>
      </c>
      <c r="V10219" s="18">
        <f>6281276291978</f>
        <v>6281276291978</v>
      </c>
    </row>
    <row r="10220" ht="15" customHeight="1" spans="1:27" x14ac:dyDescent="0.25">
      <c r="A10220" s="17" t="s">
        <v>28151</v>
      </c>
      <c r="B10220" s="17" t="s">
        <v>70</v>
      </c>
      <c r="C10220" s="17" t="s">
        <v>71</v>
      </c>
      <c r="D10220" t="s">
        <v>28149</v>
      </c>
      <c r="F10220" t="s">
        <v>307</v>
      </c>
      <c r="K10220" s="18">
        <f>628159555050</f>
        <v>628159555050</v>
      </c>
      <c r="N10220" s="17" t="s">
        <v>77</v>
      </c>
      <c r="U10220" s="17"/>
      <c r="V10220" s="18">
        <f>628159555050</f>
        <v>628159555050</v>
      </c>
      <c r="W10220" t="s">
        <v>28152</v>
      </c>
      <c r="Y10220" s="17" t="s">
        <v>96</v>
      </c>
      <c r="AA10220" s="17" t="s">
        <v>28153</v>
      </c>
    </row>
    <row r="10221" ht="15" customHeight="1" spans="1:28" x14ac:dyDescent="0.25">
      <c r="A10221" s="17" t="s">
        <v>28154</v>
      </c>
      <c r="B10221" s="17" t="s">
        <v>70</v>
      </c>
      <c r="C10221" s="17" t="s">
        <v>71</v>
      </c>
      <c r="D10221" t="s">
        <v>28149</v>
      </c>
      <c r="F10221" t="s">
        <v>28155</v>
      </c>
      <c r="J10221" s="17" t="s">
        <v>28156</v>
      </c>
      <c r="K10221" s="18" t="s">
        <v>28157</v>
      </c>
      <c r="N10221" s="17" t="s">
        <v>77</v>
      </c>
      <c r="O10221" t="s">
        <v>145</v>
      </c>
      <c r="U10221" s="17"/>
      <c r="V10221" s="18" t="s">
        <v>28157</v>
      </c>
      <c r="W10221" t="s">
        <v>28158</v>
      </c>
      <c r="Y10221" s="17" t="s">
        <v>96</v>
      </c>
      <c r="AA10221" t="s">
        <v>693</v>
      </c>
      <c r="AB10221" t="s">
        <v>119</v>
      </c>
    </row>
    <row r="10222" ht="15" customHeight="1" spans="1:28" x14ac:dyDescent="0.25">
      <c r="A10222" s="17" t="s">
        <v>28159</v>
      </c>
      <c r="B10222" s="17" t="s">
        <v>70</v>
      </c>
      <c r="C10222" s="17" t="s">
        <v>71</v>
      </c>
      <c r="D10222" t="s">
        <v>28149</v>
      </c>
      <c r="F10222" t="s">
        <v>28160</v>
      </c>
      <c r="J10222" t="s">
        <v>115</v>
      </c>
      <c r="K10222" s="18" t="s">
        <v>28161</v>
      </c>
      <c r="N10222" s="17" t="s">
        <v>77</v>
      </c>
      <c r="O10222" t="s">
        <v>145</v>
      </c>
      <c r="V10222" s="18" t="s">
        <v>28161</v>
      </c>
      <c r="Y10222" t="s">
        <v>190</v>
      </c>
      <c r="AA10222" t="s">
        <v>118</v>
      </c>
      <c r="AB10222" t="s">
        <v>119</v>
      </c>
    </row>
    <row r="10223" ht="15" customHeight="1" spans="1:22" x14ac:dyDescent="0.25">
      <c r="A10223" s="17" t="s">
        <v>28162</v>
      </c>
      <c r="B10223" s="17" t="s">
        <v>70</v>
      </c>
      <c r="C10223" s="17" t="s">
        <v>71</v>
      </c>
      <c r="D10223" t="s">
        <v>28149</v>
      </c>
      <c r="F10223" t="s">
        <v>2258</v>
      </c>
      <c r="K10223" s="18">
        <f>6281322299122</f>
        <v>6281322299122</v>
      </c>
      <c r="N10223" s="17" t="s">
        <v>77</v>
      </c>
      <c r="V10223" s="18">
        <f>6281322299122</f>
        <v>6281322299122</v>
      </c>
    </row>
    <row r="10224" ht="15" customHeight="1" spans="1:23" x14ac:dyDescent="0.25">
      <c r="A10224" s="17" t="s">
        <v>28163</v>
      </c>
      <c r="B10224" s="17" t="s">
        <v>70</v>
      </c>
      <c r="C10224" s="17" t="s">
        <v>71</v>
      </c>
      <c r="D10224" t="s">
        <v>28164</v>
      </c>
      <c r="F10224" t="s">
        <v>1070</v>
      </c>
      <c r="J10224" s="17" t="s">
        <v>28165</v>
      </c>
      <c r="K10224" s="18">
        <f>628112766901</f>
        <v>628112766901</v>
      </c>
      <c r="N10224" s="17" t="s">
        <v>77</v>
      </c>
      <c r="U10224" s="17"/>
      <c r="V10224" s="18">
        <f>628112766901</f>
        <v>628112766901</v>
      </c>
      <c r="W10224" t="s">
        <v>28166</v>
      </c>
    </row>
    <row r="10225" ht="15" customHeight="1" spans="1:22" x14ac:dyDescent="0.25">
      <c r="A10225" s="17" t="s">
        <v>28167</v>
      </c>
      <c r="B10225" s="17" t="s">
        <v>70</v>
      </c>
      <c r="C10225" s="17" t="s">
        <v>71</v>
      </c>
      <c r="D10225" t="s">
        <v>28168</v>
      </c>
      <c r="F10225" t="s">
        <v>28168</v>
      </c>
      <c r="K10225" s="18">
        <f>6281286188788</f>
        <v>6281286188788</v>
      </c>
      <c r="N10225" s="17" t="s">
        <v>77</v>
      </c>
      <c r="V10225" s="18">
        <f>6281286188788</f>
        <v>6281286188788</v>
      </c>
    </row>
    <row r="10226" ht="15" customHeight="1" spans="1:22" x14ac:dyDescent="0.25">
      <c r="A10226" s="17" t="s">
        <v>28169</v>
      </c>
      <c r="B10226" s="17" t="s">
        <v>70</v>
      </c>
      <c r="C10226" s="17" t="s">
        <v>71</v>
      </c>
      <c r="D10226" t="s">
        <v>28168</v>
      </c>
      <c r="F10226" t="s">
        <v>28170</v>
      </c>
      <c r="K10226" s="18">
        <f>62818157962</f>
        <v>62818157962</v>
      </c>
      <c r="N10226" s="17" t="s">
        <v>77</v>
      </c>
      <c r="V10226" s="18">
        <f>62818157962</f>
        <v>62818157962</v>
      </c>
    </row>
    <row r="10227" ht="15" customHeight="1" spans="1:25" x14ac:dyDescent="0.25">
      <c r="A10227" s="17" t="s">
        <v>28171</v>
      </c>
      <c r="B10227" s="17" t="s">
        <v>70</v>
      </c>
      <c r="C10227" s="17" t="s">
        <v>71</v>
      </c>
      <c r="D10227" t="s">
        <v>28172</v>
      </c>
      <c r="F10227" t="s">
        <v>28173</v>
      </c>
      <c r="K10227" s="18">
        <f>628121018512</f>
        <v>628121018512</v>
      </c>
      <c r="N10227" s="17" t="s">
        <v>81</v>
      </c>
      <c r="U10227" s="17"/>
      <c r="V10227" s="18">
        <f>628121018512</f>
        <v>628121018512</v>
      </c>
      <c r="W10227" t="s">
        <v>28174</v>
      </c>
      <c r="Y10227" s="17" t="s">
        <v>96</v>
      </c>
    </row>
    <row r="10228" ht="15" customHeight="1" spans="1:22" x14ac:dyDescent="0.25">
      <c r="A10228" s="17" t="s">
        <v>28175</v>
      </c>
      <c r="B10228" s="17" t="s">
        <v>70</v>
      </c>
      <c r="C10228" s="17" t="s">
        <v>71</v>
      </c>
      <c r="D10228" t="s">
        <v>28176</v>
      </c>
      <c r="F10228" t="s">
        <v>27973</v>
      </c>
      <c r="K10228" s="18">
        <f>628161877706</f>
        <v>628161877706</v>
      </c>
      <c r="N10228" s="17" t="s">
        <v>77</v>
      </c>
      <c r="V10228" s="18">
        <f>628161877706</f>
        <v>628161877706</v>
      </c>
    </row>
    <row r="10229" ht="15" customHeight="1" spans="1:28" x14ac:dyDescent="0.25">
      <c r="A10229" s="17" t="s">
        <v>28177</v>
      </c>
      <c r="B10229" s="17" t="s">
        <v>70</v>
      </c>
      <c r="C10229" s="17" t="s">
        <v>71</v>
      </c>
      <c r="D10229" t="s">
        <v>6491</v>
      </c>
      <c r="F10229" t="s">
        <v>28178</v>
      </c>
      <c r="J10229" t="s">
        <v>115</v>
      </c>
      <c r="K10229" s="18" t="s">
        <v>28179</v>
      </c>
      <c r="N10229" s="17" t="s">
        <v>77</v>
      </c>
      <c r="O10229" t="s">
        <v>145</v>
      </c>
      <c r="V10229" s="18" t="s">
        <v>28179</v>
      </c>
      <c r="Y10229" t="s">
        <v>930</v>
      </c>
      <c r="AA10229" t="s">
        <v>115</v>
      </c>
      <c r="AB10229" t="s">
        <v>930</v>
      </c>
    </row>
    <row r="10230" ht="15" customHeight="1" spans="1:22" x14ac:dyDescent="0.25">
      <c r="A10230" s="17" t="s">
        <v>28180</v>
      </c>
      <c r="B10230" s="17" t="s">
        <v>70</v>
      </c>
      <c r="C10230" s="17" t="s">
        <v>71</v>
      </c>
      <c r="D10230" t="s">
        <v>28181</v>
      </c>
      <c r="F10230" t="s">
        <v>22281</v>
      </c>
      <c r="K10230" s="18">
        <f>628113513463</f>
        <v>628113513463</v>
      </c>
      <c r="N10230" s="17" t="s">
        <v>81</v>
      </c>
      <c r="V10230" s="18">
        <f>628113513463</f>
        <v>628113513463</v>
      </c>
    </row>
    <row r="10231" ht="15" customHeight="1" spans="1:28" x14ac:dyDescent="0.25">
      <c r="A10231" s="17" t="s">
        <v>28182</v>
      </c>
      <c r="B10231" s="17" t="s">
        <v>70</v>
      </c>
      <c r="C10231" s="17" t="s">
        <v>71</v>
      </c>
      <c r="D10231" t="s">
        <v>28183</v>
      </c>
      <c r="F10231" t="s">
        <v>28184</v>
      </c>
      <c r="J10231" s="17" t="s">
        <v>28185</v>
      </c>
      <c r="K10231" s="18" t="s">
        <v>28186</v>
      </c>
      <c r="N10231" s="17" t="s">
        <v>77</v>
      </c>
      <c r="O10231" t="s">
        <v>145</v>
      </c>
      <c r="U10231" s="17"/>
      <c r="V10231" s="18" t="s">
        <v>28186</v>
      </c>
      <c r="W10231" t="s">
        <v>28187</v>
      </c>
      <c r="Y10231" t="s">
        <v>28188</v>
      </c>
      <c r="AA10231" s="17" t="s">
        <v>28189</v>
      </c>
      <c r="AB10231" t="s">
        <v>119</v>
      </c>
    </row>
    <row r="10232" ht="15" customHeight="1" spans="1:22" x14ac:dyDescent="0.25">
      <c r="A10232" s="17" t="s">
        <v>28190</v>
      </c>
      <c r="B10232" s="17" t="s">
        <v>70</v>
      </c>
      <c r="C10232" s="17" t="s">
        <v>71</v>
      </c>
      <c r="D10232" t="s">
        <v>28191</v>
      </c>
      <c r="F10232" t="s">
        <v>230</v>
      </c>
      <c r="K10232" s="18">
        <f>6281366338888</f>
        <v>6281366338888</v>
      </c>
      <c r="N10232" s="17" t="s">
        <v>81</v>
      </c>
      <c r="V10232" s="18">
        <f>6281366338888</f>
        <v>6281366338888</v>
      </c>
    </row>
    <row r="10233" ht="15" customHeight="1" spans="1:22" x14ac:dyDescent="0.25">
      <c r="A10233" s="17" t="s">
        <v>28192</v>
      </c>
      <c r="B10233" s="17" t="s">
        <v>70</v>
      </c>
      <c r="C10233" s="17" t="s">
        <v>71</v>
      </c>
      <c r="D10233" t="s">
        <v>28193</v>
      </c>
      <c r="F10233" t="s">
        <v>28194</v>
      </c>
      <c r="K10233" s="18">
        <f>6281314507314</f>
        <v>6281314507314</v>
      </c>
      <c r="N10233" s="17" t="s">
        <v>74</v>
      </c>
      <c r="V10233" s="18">
        <f>6281314507314</f>
        <v>6281314507314</v>
      </c>
    </row>
    <row r="10234" ht="15" customHeight="1" spans="1:28" x14ac:dyDescent="0.25">
      <c r="A10234" s="17" t="s">
        <v>28195</v>
      </c>
      <c r="B10234" s="17" t="s">
        <v>70</v>
      </c>
      <c r="C10234" s="17" t="s">
        <v>71</v>
      </c>
      <c r="D10234" t="s">
        <v>28196</v>
      </c>
      <c r="F10234" t="s">
        <v>28197</v>
      </c>
      <c r="J10234" t="s">
        <v>115</v>
      </c>
      <c r="K10234" s="18" t="s">
        <v>28198</v>
      </c>
      <c r="N10234" s="17" t="s">
        <v>77</v>
      </c>
      <c r="O10234" t="s">
        <v>199</v>
      </c>
      <c r="U10234" s="17"/>
      <c r="V10234" s="18" t="s">
        <v>28198</v>
      </c>
      <c r="W10234" t="s">
        <v>28199</v>
      </c>
      <c r="Y10234" s="17" t="s">
        <v>217</v>
      </c>
      <c r="AA10234" t="s">
        <v>218</v>
      </c>
      <c r="AB10234" t="s">
        <v>119</v>
      </c>
    </row>
    <row r="10235" ht="15" customHeight="1" spans="1:23" x14ac:dyDescent="0.25">
      <c r="A10235" s="17" t="s">
        <v>28200</v>
      </c>
      <c r="B10235" s="17" t="s">
        <v>70</v>
      </c>
      <c r="C10235" s="17" t="s">
        <v>71</v>
      </c>
      <c r="D10235" t="s">
        <v>28201</v>
      </c>
      <c r="F10235" t="s">
        <v>28202</v>
      </c>
      <c r="K10235" s="18">
        <f>6287871255556</f>
        <v>6287871255556</v>
      </c>
      <c r="N10235" s="17" t="s">
        <v>81</v>
      </c>
      <c r="U10235" s="17"/>
      <c r="V10235" s="18">
        <f>6287871255556</f>
        <v>6287871255556</v>
      </c>
      <c r="W10235" t="s">
        <v>28203</v>
      </c>
    </row>
    <row r="10236" ht="15" customHeight="1" spans="1:22" x14ac:dyDescent="0.25">
      <c r="A10236" s="17" t="s">
        <v>28204</v>
      </c>
      <c r="B10236" s="17" t="s">
        <v>70</v>
      </c>
      <c r="C10236" s="17" t="s">
        <v>71</v>
      </c>
      <c r="D10236" t="s">
        <v>28201</v>
      </c>
      <c r="F10236" t="s">
        <v>28205</v>
      </c>
      <c r="K10236" s="18">
        <f>62811961001</f>
        <v>62811961001</v>
      </c>
      <c r="N10236" s="17" t="s">
        <v>77</v>
      </c>
      <c r="V10236" s="18">
        <f>62811961001</f>
        <v>62811961001</v>
      </c>
    </row>
    <row r="10237" ht="15" customHeight="1" spans="1:22" x14ac:dyDescent="0.25">
      <c r="A10237" s="17" t="s">
        <v>28206</v>
      </c>
      <c r="B10237" s="17" t="s">
        <v>70</v>
      </c>
      <c r="C10237" s="17" t="s">
        <v>71</v>
      </c>
      <c r="D10237" t="s">
        <v>28201</v>
      </c>
      <c r="F10237" t="s">
        <v>28207</v>
      </c>
      <c r="K10237" s="18">
        <f>6287877693971</f>
        <v>6287877693971</v>
      </c>
      <c r="N10237" s="17" t="s">
        <v>77</v>
      </c>
      <c r="V10237" s="18">
        <f>6287877693971</f>
        <v>6287877693971</v>
      </c>
    </row>
    <row r="10238" ht="15" customHeight="1" spans="1:22" x14ac:dyDescent="0.25">
      <c r="A10238" s="17" t="s">
        <v>28208</v>
      </c>
      <c r="B10238" s="17" t="s">
        <v>70</v>
      </c>
      <c r="C10238" s="17" t="s">
        <v>71</v>
      </c>
      <c r="D10238" t="s">
        <v>28209</v>
      </c>
      <c r="F10238" t="s">
        <v>4607</v>
      </c>
      <c r="K10238" s="18">
        <f>628118776545</f>
        <v>628118776545</v>
      </c>
      <c r="N10238" s="17" t="s">
        <v>81</v>
      </c>
      <c r="V10238" s="18">
        <f>628118776545</f>
        <v>628118776545</v>
      </c>
    </row>
    <row r="10239" ht="15" customHeight="1" spans="1:22" x14ac:dyDescent="0.25">
      <c r="A10239" s="17" t="s">
        <v>28210</v>
      </c>
      <c r="B10239" s="17" t="s">
        <v>70</v>
      </c>
      <c r="C10239" s="17" t="s">
        <v>71</v>
      </c>
      <c r="D10239" t="s">
        <v>28211</v>
      </c>
      <c r="F10239" t="s">
        <v>12591</v>
      </c>
      <c r="K10239" s="18">
        <f>628158940580</f>
        <v>628158940580</v>
      </c>
      <c r="N10239" s="17" t="s">
        <v>77</v>
      </c>
      <c r="V10239" s="18">
        <f>628158940580</f>
        <v>628158940580</v>
      </c>
    </row>
    <row r="10240" ht="15" customHeight="1" spans="1:28" x14ac:dyDescent="0.25">
      <c r="A10240" s="17" t="s">
        <v>28212</v>
      </c>
      <c r="B10240" s="17" t="s">
        <v>70</v>
      </c>
      <c r="C10240" s="17" t="s">
        <v>71</v>
      </c>
      <c r="D10240" t="s">
        <v>28211</v>
      </c>
      <c r="F10240" t="s">
        <v>2267</v>
      </c>
      <c r="J10240" t="s">
        <v>115</v>
      </c>
      <c r="K10240" s="18" t="s">
        <v>28213</v>
      </c>
      <c r="N10240" s="17" t="s">
        <v>81</v>
      </c>
      <c r="O10240" t="s">
        <v>117</v>
      </c>
      <c r="V10240" s="18" t="s">
        <v>28213</v>
      </c>
      <c r="Y10240" t="s">
        <v>190</v>
      </c>
      <c r="AA10240" t="s">
        <v>118</v>
      </c>
      <c r="AB10240" t="s">
        <v>119</v>
      </c>
    </row>
    <row r="10241" ht="15" customHeight="1" spans="1:22" x14ac:dyDescent="0.25">
      <c r="A10241" s="17" t="s">
        <v>28214</v>
      </c>
      <c r="B10241" s="17" t="s">
        <v>70</v>
      </c>
      <c r="C10241" s="17" t="s">
        <v>71</v>
      </c>
      <c r="D10241" t="s">
        <v>28215</v>
      </c>
      <c r="F10241" t="s">
        <v>28215</v>
      </c>
      <c r="K10241" s="18">
        <f>62218842739</f>
        <v>62218842739</v>
      </c>
      <c r="N10241" s="17" t="s">
        <v>77</v>
      </c>
      <c r="V10241" s="18">
        <f>62218842739</f>
        <v>62218842739</v>
      </c>
    </row>
    <row r="10242" ht="15" customHeight="1" spans="1:25" x14ac:dyDescent="0.25">
      <c r="A10242" s="17" t="s">
        <v>28216</v>
      </c>
      <c r="B10242" s="17" t="s">
        <v>70</v>
      </c>
      <c r="C10242" s="17" t="s">
        <v>71</v>
      </c>
      <c r="D10242" t="s">
        <v>23992</v>
      </c>
      <c r="F10242" t="s">
        <v>3579</v>
      </c>
      <c r="J10242" s="17" t="s">
        <v>28217</v>
      </c>
      <c r="K10242" s="18">
        <f>62816837171</f>
        <v>62816837171</v>
      </c>
      <c r="N10242" s="17" t="s">
        <v>77</v>
      </c>
      <c r="U10242" s="17"/>
      <c r="V10242" s="18">
        <f>62816837171</f>
        <v>62816837171</v>
      </c>
      <c r="W10242" t="s">
        <v>28218</v>
      </c>
      <c r="Y10242" s="17" t="s">
        <v>90</v>
      </c>
    </row>
    <row r="10243" ht="15" customHeight="1" spans="1:28" x14ac:dyDescent="0.25">
      <c r="A10243" s="17" t="s">
        <v>28219</v>
      </c>
      <c r="B10243" s="17" t="s">
        <v>70</v>
      </c>
      <c r="C10243" s="17" t="s">
        <v>71</v>
      </c>
      <c r="D10243" t="s">
        <v>28220</v>
      </c>
      <c r="F10243" t="s">
        <v>6157</v>
      </c>
      <c r="J10243" s="17" t="s">
        <v>28221</v>
      </c>
      <c r="K10243" s="18" t="s">
        <v>28222</v>
      </c>
      <c r="N10243" s="17" t="s">
        <v>77</v>
      </c>
      <c r="O10243" t="s">
        <v>145</v>
      </c>
      <c r="V10243" s="18" t="s">
        <v>28222</v>
      </c>
      <c r="Y10243" t="s">
        <v>190</v>
      </c>
      <c r="AA10243" t="s">
        <v>118</v>
      </c>
      <c r="AB10243" t="s">
        <v>119</v>
      </c>
    </row>
    <row r="10244" ht="15" customHeight="1" spans="1:23" x14ac:dyDescent="0.25">
      <c r="A10244" s="17" t="s">
        <v>28223</v>
      </c>
      <c r="B10244" s="17" t="s">
        <v>70</v>
      </c>
      <c r="C10244" s="17" t="s">
        <v>71</v>
      </c>
      <c r="D10244" t="s">
        <v>28224</v>
      </c>
      <c r="F10244" t="s">
        <v>28225</v>
      </c>
      <c r="K10244" s="18">
        <f>62811102688</f>
        <v>62811102688</v>
      </c>
      <c r="N10244" s="17" t="s">
        <v>77</v>
      </c>
      <c r="U10244" s="17"/>
      <c r="V10244" s="18">
        <f>62811102688</f>
        <v>62811102688</v>
      </c>
      <c r="W10244" t="s">
        <v>28226</v>
      </c>
    </row>
    <row r="10245" ht="15" customHeight="1" spans="1:22" x14ac:dyDescent="0.25">
      <c r="A10245" s="17" t="s">
        <v>28227</v>
      </c>
      <c r="B10245" s="17" t="s">
        <v>70</v>
      </c>
      <c r="C10245" s="17" t="s">
        <v>71</v>
      </c>
      <c r="D10245" t="s">
        <v>28228</v>
      </c>
      <c r="F10245" t="s">
        <v>28228</v>
      </c>
      <c r="K10245" s="18">
        <f>6285715402121</f>
        <v>6285715402121</v>
      </c>
      <c r="N10245" s="17" t="s">
        <v>77</v>
      </c>
      <c r="V10245" s="18">
        <f>6285715402121</f>
        <v>6285715402121</v>
      </c>
    </row>
    <row r="10246" ht="15" customHeight="1" spans="1:23" x14ac:dyDescent="0.25">
      <c r="A10246" s="17" t="s">
        <v>28229</v>
      </c>
      <c r="B10246" s="17" t="s">
        <v>70</v>
      </c>
      <c r="C10246" s="17" t="s">
        <v>71</v>
      </c>
      <c r="D10246" t="s">
        <v>28230</v>
      </c>
      <c r="F10246" t="s">
        <v>28230</v>
      </c>
      <c r="K10246" s="18">
        <f>628128322221</f>
        <v>628128322221</v>
      </c>
      <c r="N10246" s="17" t="s">
        <v>81</v>
      </c>
      <c r="U10246" s="17"/>
      <c r="V10246" s="18">
        <f>628128322221</f>
        <v>628128322221</v>
      </c>
      <c r="W10246" t="s">
        <v>28231</v>
      </c>
    </row>
    <row r="10247" ht="15" customHeight="1" spans="1:22" x14ac:dyDescent="0.25">
      <c r="A10247" s="17" t="s">
        <v>28232</v>
      </c>
      <c r="B10247" s="17" t="s">
        <v>70</v>
      </c>
      <c r="C10247" s="17" t="s">
        <v>71</v>
      </c>
      <c r="D10247" t="s">
        <v>28233</v>
      </c>
      <c r="F10247" t="s">
        <v>28234</v>
      </c>
      <c r="K10247" s="18">
        <f>6282290042210</f>
        <v>6282290042210</v>
      </c>
      <c r="N10247" s="17" t="s">
        <v>77</v>
      </c>
      <c r="V10247" s="18">
        <f>6282290042210</f>
        <v>6282290042210</v>
      </c>
    </row>
    <row r="10248" ht="15" customHeight="1" spans="1:23" x14ac:dyDescent="0.25">
      <c r="A10248" s="17" t="s">
        <v>28235</v>
      </c>
      <c r="B10248" s="17" t="s">
        <v>70</v>
      </c>
      <c r="C10248" s="17" t="s">
        <v>71</v>
      </c>
      <c r="D10248" t="s">
        <v>28236</v>
      </c>
      <c r="F10248" t="s">
        <v>28237</v>
      </c>
      <c r="K10248" s="18">
        <f>6282191149168</f>
        <v>6282191149168</v>
      </c>
      <c r="N10248" s="17" t="s">
        <v>77</v>
      </c>
      <c r="U10248" s="17"/>
      <c r="V10248" s="18">
        <f>6282191149168</f>
        <v>6282191149168</v>
      </c>
      <c r="W10248" t="s">
        <v>28238</v>
      </c>
    </row>
    <row r="10249" ht="15" customHeight="1" spans="1:22" x14ac:dyDescent="0.25">
      <c r="A10249" s="17" t="s">
        <v>28239</v>
      </c>
      <c r="B10249" s="17" t="s">
        <v>70</v>
      </c>
      <c r="C10249" s="17" t="s">
        <v>71</v>
      </c>
      <c r="D10249" t="s">
        <v>28236</v>
      </c>
      <c r="F10249" t="s">
        <v>28240</v>
      </c>
      <c r="K10249" s="18">
        <f>62215221828</f>
        <v>62215221828</v>
      </c>
      <c r="N10249" s="17" t="s">
        <v>81</v>
      </c>
      <c r="V10249" s="18">
        <f>62215221828</f>
        <v>62215221828</v>
      </c>
    </row>
    <row r="10250" ht="15" customHeight="1" spans="1:27" x14ac:dyDescent="0.25">
      <c r="A10250" s="17" t="s">
        <v>28241</v>
      </c>
      <c r="B10250" s="17" t="s">
        <v>70</v>
      </c>
      <c r="C10250" s="17" t="s">
        <v>71</v>
      </c>
      <c r="D10250" t="s">
        <v>28242</v>
      </c>
      <c r="F10250" t="s">
        <v>28242</v>
      </c>
      <c r="K10250" s="18">
        <f>6287840195994</f>
        <v>6287840195994</v>
      </c>
      <c r="N10250" s="17" t="s">
        <v>81</v>
      </c>
      <c r="U10250" s="17"/>
      <c r="V10250" s="18">
        <f>6287840195994</f>
        <v>6287840195994</v>
      </c>
      <c r="W10250" t="s">
        <v>28243</v>
      </c>
      <c r="AA10250" s="17">
        <v>13220</v>
      </c>
    </row>
    <row r="10251" ht="15" customHeight="1" spans="1:22" x14ac:dyDescent="0.25">
      <c r="A10251" s="17" t="s">
        <v>28244</v>
      </c>
      <c r="B10251" s="17" t="s">
        <v>70</v>
      </c>
      <c r="C10251" s="17" t="s">
        <v>71</v>
      </c>
      <c r="D10251" t="s">
        <v>18243</v>
      </c>
      <c r="F10251" t="s">
        <v>18243</v>
      </c>
      <c r="K10251" s="18">
        <f>62818765063</f>
        <v>62818765063</v>
      </c>
      <c r="N10251" s="17" t="s">
        <v>81</v>
      </c>
      <c r="V10251" s="18">
        <f>62818765063</f>
        <v>62818765063</v>
      </c>
    </row>
    <row r="10252" ht="15" customHeight="1" spans="1:23" x14ac:dyDescent="0.25">
      <c r="A10252" s="17" t="s">
        <v>28245</v>
      </c>
      <c r="B10252" s="17" t="s">
        <v>70</v>
      </c>
      <c r="C10252" s="17" t="s">
        <v>71</v>
      </c>
      <c r="D10252" t="s">
        <v>18243</v>
      </c>
      <c r="F10252" t="s">
        <v>28246</v>
      </c>
      <c r="K10252" s="18">
        <f>31122022</f>
        <v>31122022</v>
      </c>
      <c r="N10252" s="17" t="s">
        <v>77</v>
      </c>
      <c r="U10252" s="17"/>
      <c r="V10252" s="18">
        <f>31122022</f>
        <v>31122022</v>
      </c>
      <c r="W10252" t="s">
        <v>7229</v>
      </c>
    </row>
    <row r="10253" ht="15" customHeight="1" spans="1:22" x14ac:dyDescent="0.25">
      <c r="A10253" s="17" t="s">
        <v>28247</v>
      </c>
      <c r="B10253" s="17" t="s">
        <v>70</v>
      </c>
      <c r="C10253" s="17" t="s">
        <v>71</v>
      </c>
      <c r="D10253" t="s">
        <v>18243</v>
      </c>
      <c r="F10253" t="s">
        <v>370</v>
      </c>
      <c r="K10253" s="18">
        <f>628118888393</f>
        <v>628118888393</v>
      </c>
      <c r="N10253" s="17" t="s">
        <v>74</v>
      </c>
      <c r="V10253" s="18">
        <f>628118888393</f>
        <v>628118888393</v>
      </c>
    </row>
    <row r="10254" ht="15" customHeight="1" spans="1:22" x14ac:dyDescent="0.25">
      <c r="A10254" s="17" t="s">
        <v>28248</v>
      </c>
      <c r="B10254" s="17" t="s">
        <v>70</v>
      </c>
      <c r="C10254" s="17" t="s">
        <v>71</v>
      </c>
      <c r="D10254" t="s">
        <v>18243</v>
      </c>
      <c r="F10254" t="s">
        <v>28249</v>
      </c>
      <c r="K10254" s="18">
        <f>6281317692017</f>
        <v>6281317692017</v>
      </c>
      <c r="N10254" s="17" t="s">
        <v>81</v>
      </c>
      <c r="V10254" s="18">
        <f>6281317692017</f>
        <v>6281317692017</v>
      </c>
    </row>
    <row r="10255" ht="15" customHeight="1" spans="1:23" x14ac:dyDescent="0.25">
      <c r="A10255" s="17" t="s">
        <v>28250</v>
      </c>
      <c r="B10255" s="17" t="s">
        <v>70</v>
      </c>
      <c r="C10255" s="17" t="s">
        <v>71</v>
      </c>
      <c r="D10255" t="s">
        <v>18243</v>
      </c>
      <c r="F10255" t="s">
        <v>28251</v>
      </c>
      <c r="K10255" s="18">
        <v>81905297575</v>
      </c>
      <c r="N10255" s="17" t="s">
        <v>81</v>
      </c>
      <c r="U10255" s="17"/>
      <c r="V10255" s="18">
        <v>81905297575</v>
      </c>
      <c r="W10255" t="s">
        <v>28252</v>
      </c>
    </row>
    <row r="10256" ht="15" customHeight="1" spans="1:28" x14ac:dyDescent="0.25">
      <c r="A10256" s="17" t="s">
        <v>28253</v>
      </c>
      <c r="B10256" s="17" t="s">
        <v>70</v>
      </c>
      <c r="C10256" s="17" t="s">
        <v>71</v>
      </c>
      <c r="D10256" t="s">
        <v>28254</v>
      </c>
      <c r="F10256" t="s">
        <v>28255</v>
      </c>
      <c r="J10256" t="s">
        <v>115</v>
      </c>
      <c r="K10256" s="18" t="s">
        <v>28256</v>
      </c>
      <c r="N10256" s="17" t="s">
        <v>74</v>
      </c>
      <c r="O10256" t="s">
        <v>199</v>
      </c>
      <c r="V10256" s="18" t="s">
        <v>28256</v>
      </c>
      <c r="Y10256" t="s">
        <v>90</v>
      </c>
      <c r="AA10256" t="s">
        <v>118</v>
      </c>
      <c r="AB10256" t="s">
        <v>119</v>
      </c>
    </row>
    <row r="10257" ht="15" customHeight="1" spans="1:22" x14ac:dyDescent="0.25">
      <c r="A10257" s="17" t="s">
        <v>28257</v>
      </c>
      <c r="B10257" s="17" t="s">
        <v>70</v>
      </c>
      <c r="C10257" s="17" t="s">
        <v>71</v>
      </c>
      <c r="D10257" t="s">
        <v>28258</v>
      </c>
      <c r="F10257" t="s">
        <v>28259</v>
      </c>
      <c r="K10257" s="18">
        <f>97466711125</f>
        <v>97466711125</v>
      </c>
      <c r="N10257" s="17" t="s">
        <v>81</v>
      </c>
      <c r="V10257" s="18">
        <f>97466711125</f>
        <v>97466711125</v>
      </c>
    </row>
    <row r="10258" ht="15" customHeight="1" spans="1:22" x14ac:dyDescent="0.25">
      <c r="A10258" s="17" t="s">
        <v>28260</v>
      </c>
      <c r="B10258" s="17" t="s">
        <v>70</v>
      </c>
      <c r="C10258" s="17" t="s">
        <v>71</v>
      </c>
      <c r="D10258" t="s">
        <v>28258</v>
      </c>
      <c r="F10258" t="s">
        <v>15826</v>
      </c>
      <c r="K10258" s="18">
        <v>966693277777</v>
      </c>
      <c r="N10258" s="17" t="s">
        <v>77</v>
      </c>
      <c r="V10258" s="18">
        <v>966693277777</v>
      </c>
    </row>
    <row r="10259" ht="15" customHeight="1" spans="1:22" x14ac:dyDescent="0.25">
      <c r="A10259" s="17" t="s">
        <v>28261</v>
      </c>
      <c r="B10259" s="17" t="s">
        <v>70</v>
      </c>
      <c r="C10259" s="17" t="s">
        <v>71</v>
      </c>
      <c r="D10259" t="s">
        <v>28254</v>
      </c>
      <c r="F10259" t="s">
        <v>28262</v>
      </c>
      <c r="J10259" s="17" t="s">
        <v>28263</v>
      </c>
      <c r="K10259" s="18">
        <v>971555566657</v>
      </c>
      <c r="N10259" s="17" t="s">
        <v>81</v>
      </c>
      <c r="V10259" s="18">
        <v>971555566657</v>
      </c>
    </row>
    <row r="10260" ht="15" customHeight="1" spans="1:23" x14ac:dyDescent="0.25">
      <c r="A10260" s="17" t="s">
        <v>28264</v>
      </c>
      <c r="B10260" s="17" t="s">
        <v>70</v>
      </c>
      <c r="C10260" s="17" t="s">
        <v>71</v>
      </c>
      <c r="D10260" t="s">
        <v>28254</v>
      </c>
      <c r="F10260" t="s">
        <v>28265</v>
      </c>
      <c r="K10260" s="18">
        <f>62811845678</f>
        <v>62811845678</v>
      </c>
      <c r="N10260" s="17" t="s">
        <v>77</v>
      </c>
      <c r="U10260" s="17"/>
      <c r="V10260" s="18">
        <f>62811845678</f>
        <v>62811845678</v>
      </c>
      <c r="W10260" t="s">
        <v>28266</v>
      </c>
    </row>
    <row r="10261" ht="15" customHeight="1" spans="1:22" x14ac:dyDescent="0.25">
      <c r="A10261" s="17" t="s">
        <v>28267</v>
      </c>
      <c r="B10261" s="17" t="s">
        <v>70</v>
      </c>
      <c r="C10261" s="17" t="s">
        <v>71</v>
      </c>
      <c r="D10261" t="s">
        <v>28254</v>
      </c>
      <c r="F10261" t="s">
        <v>4291</v>
      </c>
      <c r="K10261" s="18">
        <f>6281233345313</f>
        <v>6281233345313</v>
      </c>
      <c r="N10261" s="17" t="s">
        <v>81</v>
      </c>
      <c r="V10261" s="18">
        <f>6281233345313</f>
        <v>6281233345313</v>
      </c>
    </row>
    <row r="10262" ht="15" customHeight="1" spans="1:25" x14ac:dyDescent="0.25">
      <c r="A10262" s="17" t="s">
        <v>28268</v>
      </c>
      <c r="B10262" s="17" t="s">
        <v>70</v>
      </c>
      <c r="C10262" s="17" t="s">
        <v>71</v>
      </c>
      <c r="D10262" t="s">
        <v>28254</v>
      </c>
      <c r="F10262" t="s">
        <v>28269</v>
      </c>
      <c r="K10262" s="18">
        <f>60122533244</f>
        <v>60122533244</v>
      </c>
      <c r="N10262" s="17" t="s">
        <v>77</v>
      </c>
      <c r="U10262" s="17"/>
      <c r="V10262" s="18">
        <f>60122533244</f>
        <v>60122533244</v>
      </c>
      <c r="W10262" t="s">
        <v>28270</v>
      </c>
      <c r="Y10262" s="17" t="s">
        <v>7229</v>
      </c>
    </row>
    <row r="10263" ht="15" customHeight="1" spans="1:22" x14ac:dyDescent="0.25">
      <c r="A10263" s="17" t="s">
        <v>28271</v>
      </c>
      <c r="B10263" s="17" t="s">
        <v>70</v>
      </c>
      <c r="C10263" s="17" t="s">
        <v>71</v>
      </c>
      <c r="D10263" t="s">
        <v>28272</v>
      </c>
      <c r="F10263" t="s">
        <v>28272</v>
      </c>
      <c r="K10263" s="18">
        <f>95550533381</f>
        <v>95550533381</v>
      </c>
      <c r="N10263" s="17" t="s">
        <v>81</v>
      </c>
      <c r="V10263" s="18">
        <f>95550533381</f>
        <v>95550533381</v>
      </c>
    </row>
    <row r="10264" ht="15" customHeight="1" spans="1:23" x14ac:dyDescent="0.25">
      <c r="A10264" s="17" t="s">
        <v>28273</v>
      </c>
      <c r="B10264" s="17" t="s">
        <v>70</v>
      </c>
      <c r="C10264" s="17" t="s">
        <v>71</v>
      </c>
      <c r="D10264" t="s">
        <v>28272</v>
      </c>
      <c r="F10264" t="s">
        <v>28274</v>
      </c>
      <c r="K10264" s="18">
        <v>966554224408</v>
      </c>
      <c r="N10264" s="17" t="s">
        <v>77</v>
      </c>
      <c r="U10264" s="17"/>
      <c r="V10264" s="18">
        <v>966554224408</v>
      </c>
      <c r="W10264" t="s">
        <v>28275</v>
      </c>
    </row>
    <row r="10265" ht="15" customHeight="1" spans="1:23" x14ac:dyDescent="0.25">
      <c r="A10265" s="17" t="s">
        <v>28276</v>
      </c>
      <c r="B10265" s="17" t="s">
        <v>70</v>
      </c>
      <c r="C10265" s="17" t="s">
        <v>71</v>
      </c>
      <c r="D10265" t="s">
        <v>28272</v>
      </c>
      <c r="F10265" t="s">
        <v>28277</v>
      </c>
      <c r="K10265" s="18">
        <f>13054443333</f>
        <v>13054443333</v>
      </c>
      <c r="N10265" s="17" t="s">
        <v>81</v>
      </c>
      <c r="U10265" s="17"/>
      <c r="V10265" s="18">
        <f>13054443333</f>
        <v>13054443333</v>
      </c>
      <c r="W10265" t="s">
        <v>27173</v>
      </c>
    </row>
    <row r="10266" ht="15" customHeight="1" spans="1:22" x14ac:dyDescent="0.25">
      <c r="A10266" s="17" t="s">
        <v>28278</v>
      </c>
      <c r="B10266" s="17" t="s">
        <v>70</v>
      </c>
      <c r="C10266" s="17" t="s">
        <v>71</v>
      </c>
      <c r="D10266" t="s">
        <v>28272</v>
      </c>
      <c r="F10266" t="s">
        <v>28279</v>
      </c>
      <c r="K10266" s="18">
        <v>96655044409</v>
      </c>
      <c r="N10266" s="17" t="s">
        <v>77</v>
      </c>
      <c r="V10266" s="18">
        <v>96655044409</v>
      </c>
    </row>
    <row r="10267" ht="15" customHeight="1" spans="1:28" x14ac:dyDescent="0.25">
      <c r="A10267" s="17" t="s">
        <v>28280</v>
      </c>
      <c r="B10267" s="17" t="s">
        <v>70</v>
      </c>
      <c r="C10267" s="17" t="s">
        <v>71</v>
      </c>
      <c r="D10267" t="s">
        <v>28272</v>
      </c>
      <c r="F10267" t="s">
        <v>28281</v>
      </c>
      <c r="J10267" s="17" t="s">
        <v>28282</v>
      </c>
      <c r="K10267" s="18" t="s">
        <v>28283</v>
      </c>
      <c r="N10267" s="17" t="s">
        <v>77</v>
      </c>
      <c r="O10267" t="s">
        <v>489</v>
      </c>
      <c r="V10267" s="18" t="s">
        <v>28283</v>
      </c>
      <c r="Y10267" t="s">
        <v>115</v>
      </c>
      <c r="AA10267" t="s">
        <v>115</v>
      </c>
      <c r="AB10267" t="s">
        <v>920</v>
      </c>
    </row>
    <row r="10268" ht="15" customHeight="1" spans="1:22" x14ac:dyDescent="0.25">
      <c r="A10268" s="17" t="s">
        <v>28284</v>
      </c>
      <c r="B10268" s="17" t="s">
        <v>70</v>
      </c>
      <c r="C10268" s="17" t="s">
        <v>71</v>
      </c>
      <c r="D10268" t="s">
        <v>28272</v>
      </c>
      <c r="F10268" t="s">
        <v>28285</v>
      </c>
      <c r="K10268" s="18">
        <f>6282135253723</f>
        <v>6282135253723</v>
      </c>
      <c r="N10268" s="17" t="s">
        <v>77</v>
      </c>
      <c r="V10268" s="18">
        <f>6282135253723</f>
        <v>6282135253723</v>
      </c>
    </row>
    <row r="10269" ht="15" customHeight="1" spans="1:22" x14ac:dyDescent="0.25">
      <c r="A10269" s="17" t="s">
        <v>28286</v>
      </c>
      <c r="B10269" s="17" t="s">
        <v>70</v>
      </c>
      <c r="C10269" s="17" t="s">
        <v>71</v>
      </c>
      <c r="D10269" t="s">
        <v>28272</v>
      </c>
      <c r="F10269" t="s">
        <v>28287</v>
      </c>
      <c r="K10269" s="18">
        <f>628801713301524</f>
        <v>628801713301524</v>
      </c>
      <c r="N10269" s="17" t="s">
        <v>77</v>
      </c>
      <c r="V10269" s="18">
        <f>628801713301524</f>
        <v>628801713301524</v>
      </c>
    </row>
    <row r="10270" ht="15" customHeight="1" spans="1:23" x14ac:dyDescent="0.25">
      <c r="A10270" s="17" t="s">
        <v>28288</v>
      </c>
      <c r="B10270" s="17" t="s">
        <v>70</v>
      </c>
      <c r="C10270" s="17" t="s">
        <v>71</v>
      </c>
      <c r="D10270" t="s">
        <v>28272</v>
      </c>
      <c r="F10270" t="s">
        <v>28289</v>
      </c>
      <c r="K10270" s="18" t="s">
        <v>28290</v>
      </c>
      <c r="N10270" s="17" t="s">
        <v>77</v>
      </c>
      <c r="U10270" s="17"/>
      <c r="V10270" s="18" t="s">
        <v>28290</v>
      </c>
      <c r="W10270" t="s">
        <v>28291</v>
      </c>
    </row>
    <row r="10271" ht="15" customHeight="1" spans="1:28" x14ac:dyDescent="0.25">
      <c r="A10271" s="17" t="s">
        <v>28292</v>
      </c>
      <c r="B10271" s="17" t="s">
        <v>70</v>
      </c>
      <c r="C10271" s="17" t="s">
        <v>71</v>
      </c>
      <c r="D10271" t="s">
        <v>28293</v>
      </c>
      <c r="F10271" t="s">
        <v>28294</v>
      </c>
      <c r="J10271" s="17" t="s">
        <v>28295</v>
      </c>
      <c r="K10271" s="18" t="s">
        <v>28296</v>
      </c>
      <c r="N10271" s="17" t="s">
        <v>77</v>
      </c>
      <c r="O10271" t="s">
        <v>145</v>
      </c>
      <c r="V10271" s="18" t="s">
        <v>28296</v>
      </c>
      <c r="Y10271" t="s">
        <v>115</v>
      </c>
      <c r="AA10271" t="s">
        <v>115</v>
      </c>
      <c r="AB10271" t="s">
        <v>920</v>
      </c>
    </row>
    <row r="10272" ht="15" customHeight="1" spans="1:28" x14ac:dyDescent="0.25">
      <c r="A10272" s="17" t="s">
        <v>28297</v>
      </c>
      <c r="B10272" s="17" t="s">
        <v>70</v>
      </c>
      <c r="C10272" s="17" t="s">
        <v>71</v>
      </c>
      <c r="D10272" t="s">
        <v>28298</v>
      </c>
      <c r="F10272" t="s">
        <v>28299</v>
      </c>
      <c r="J10272" s="17" t="s">
        <v>28300</v>
      </c>
      <c r="K10272" s="18" t="s">
        <v>28301</v>
      </c>
      <c r="N10272" s="17" t="s">
        <v>77</v>
      </c>
      <c r="O10272" t="s">
        <v>199</v>
      </c>
      <c r="V10272" s="18" t="s">
        <v>28301</v>
      </c>
      <c r="Y10272" t="s">
        <v>190</v>
      </c>
      <c r="AA10272" t="s">
        <v>118</v>
      </c>
      <c r="AB10272" t="s">
        <v>7229</v>
      </c>
    </row>
    <row r="10273" ht="15" customHeight="1" spans="1:22" x14ac:dyDescent="0.25">
      <c r="A10273" s="17" t="s">
        <v>28302</v>
      </c>
      <c r="B10273" s="17" t="s">
        <v>70</v>
      </c>
      <c r="C10273" s="17" t="s">
        <v>71</v>
      </c>
      <c r="D10273" t="s">
        <v>28303</v>
      </c>
      <c r="F10273" t="s">
        <v>28304</v>
      </c>
      <c r="K10273" s="18">
        <f>60109519197</f>
        <v>60109519197</v>
      </c>
      <c r="N10273" s="17" t="s">
        <v>77</v>
      </c>
      <c r="V10273" s="18">
        <f>60109519197</f>
        <v>60109519197</v>
      </c>
    </row>
    <row r="10274" ht="15" customHeight="1" spans="1:22" x14ac:dyDescent="0.25">
      <c r="A10274" s="17" t="s">
        <v>28305</v>
      </c>
      <c r="B10274" s="17" t="s">
        <v>70</v>
      </c>
      <c r="C10274" s="17" t="s">
        <v>71</v>
      </c>
      <c r="D10274" t="s">
        <v>28306</v>
      </c>
      <c r="F10274" t="s">
        <v>28307</v>
      </c>
      <c r="K10274" s="18">
        <f>466548090201</f>
        <v>466548090201</v>
      </c>
      <c r="N10274" s="17" t="s">
        <v>81</v>
      </c>
      <c r="V10274" s="18">
        <f>466548090201</f>
        <v>466548090201</v>
      </c>
    </row>
    <row r="10275" ht="15" customHeight="1" spans="1:28" x14ac:dyDescent="0.25">
      <c r="A10275" s="17" t="s">
        <v>28308</v>
      </c>
      <c r="B10275" s="17" t="s">
        <v>70</v>
      </c>
      <c r="C10275" s="17" t="s">
        <v>71</v>
      </c>
      <c r="D10275" t="s">
        <v>28309</v>
      </c>
      <c r="F10275" t="s">
        <v>28309</v>
      </c>
      <c r="J10275" t="s">
        <v>115</v>
      </c>
      <c r="K10275" s="18" t="s">
        <v>28310</v>
      </c>
      <c r="N10275" s="17" t="s">
        <v>77</v>
      </c>
      <c r="O10275" t="s">
        <v>261</v>
      </c>
      <c r="V10275" s="18" t="s">
        <v>28310</v>
      </c>
      <c r="Y10275" t="s">
        <v>90</v>
      </c>
      <c r="AA10275" t="s">
        <v>118</v>
      </c>
      <c r="AB10275" t="s">
        <v>119</v>
      </c>
    </row>
    <row r="10276" ht="15" customHeight="1" spans="1:22" x14ac:dyDescent="0.25">
      <c r="A10276" s="17" t="s">
        <v>28311</v>
      </c>
      <c r="B10276" s="17" t="s">
        <v>70</v>
      </c>
      <c r="C10276" s="17" t="s">
        <v>71</v>
      </c>
      <c r="D10276" t="s">
        <v>28312</v>
      </c>
      <c r="F10276" t="s">
        <v>28312</v>
      </c>
      <c r="K10276" s="18">
        <f>62811131312</f>
        <v>62811131312</v>
      </c>
      <c r="N10276" s="17" t="s">
        <v>77</v>
      </c>
      <c r="V10276" s="18">
        <f>62811131312</f>
        <v>62811131312</v>
      </c>
    </row>
    <row r="10277" ht="15" customHeight="1" spans="1:22" x14ac:dyDescent="0.25">
      <c r="A10277" s="17" t="s">
        <v>28313</v>
      </c>
      <c r="B10277" s="17" t="s">
        <v>70</v>
      </c>
      <c r="C10277" s="17" t="s">
        <v>71</v>
      </c>
      <c r="D10277" t="s">
        <v>28312</v>
      </c>
      <c r="F10277" t="s">
        <v>28312</v>
      </c>
      <c r="K10277" s="18">
        <f>62811923634</f>
        <v>62811923634</v>
      </c>
      <c r="N10277" s="17" t="s">
        <v>81</v>
      </c>
      <c r="V10277" s="18">
        <f>62811923634</f>
        <v>62811923634</v>
      </c>
    </row>
    <row r="10278" ht="15" customHeight="1" spans="1:22" x14ac:dyDescent="0.25">
      <c r="A10278" s="17" t="s">
        <v>28314</v>
      </c>
      <c r="B10278" s="17" t="s">
        <v>70</v>
      </c>
      <c r="C10278" s="17" t="s">
        <v>71</v>
      </c>
      <c r="D10278" t="s">
        <v>28312</v>
      </c>
      <c r="F10278" t="s">
        <v>28312</v>
      </c>
      <c r="K10278" s="18">
        <f>628161815185</f>
        <v>628161815185</v>
      </c>
      <c r="N10278" s="17" t="s">
        <v>81</v>
      </c>
      <c r="V10278" s="18">
        <f>628161815185</f>
        <v>628161815185</v>
      </c>
    </row>
    <row r="10279" ht="15" customHeight="1" spans="1:22" x14ac:dyDescent="0.25">
      <c r="A10279" s="17" t="s">
        <v>28315</v>
      </c>
      <c r="B10279" s="17" t="s">
        <v>70</v>
      </c>
      <c r="C10279" s="17" t="s">
        <v>71</v>
      </c>
      <c r="D10279" t="s">
        <v>28312</v>
      </c>
      <c r="F10279" t="s">
        <v>28312</v>
      </c>
      <c r="K10279" s="18">
        <f>6282216888608</f>
        <v>6282216888608</v>
      </c>
      <c r="N10279" s="17" t="s">
        <v>77</v>
      </c>
      <c r="V10279" s="18">
        <f>6282216888608</f>
        <v>6282216888608</v>
      </c>
    </row>
    <row r="10280" ht="15" customHeight="1" spans="1:23" x14ac:dyDescent="0.25">
      <c r="A10280" s="17" t="s">
        <v>28316</v>
      </c>
      <c r="B10280" s="17" t="s">
        <v>70</v>
      </c>
      <c r="C10280" s="17" t="s">
        <v>71</v>
      </c>
      <c r="D10280" t="s">
        <v>28312</v>
      </c>
      <c r="F10280" t="s">
        <v>28317</v>
      </c>
      <c r="K10280" s="18">
        <f>49159012105</f>
        <v>49159012105</v>
      </c>
      <c r="N10280" s="17" t="s">
        <v>77</v>
      </c>
      <c r="U10280" s="17"/>
      <c r="V10280" s="18">
        <f>49159012105</f>
        <v>49159012105</v>
      </c>
      <c r="W10280" t="s">
        <v>15121</v>
      </c>
    </row>
    <row r="10281" ht="15" customHeight="1" spans="1:22" x14ac:dyDescent="0.25">
      <c r="A10281" s="17" t="s">
        <v>28318</v>
      </c>
      <c r="B10281" s="17" t="s">
        <v>70</v>
      </c>
      <c r="C10281" s="17" t="s">
        <v>71</v>
      </c>
      <c r="D10281" t="s">
        <v>28312</v>
      </c>
      <c r="F10281" t="s">
        <v>28319</v>
      </c>
      <c r="K10281" s="18">
        <f>6281808606095</f>
        <v>6281808606095</v>
      </c>
      <c r="N10281" s="17" t="s">
        <v>77</v>
      </c>
      <c r="V10281" s="18">
        <f>6281808606095</f>
        <v>6281808606095</v>
      </c>
    </row>
    <row r="10282" ht="15" customHeight="1" spans="1:22" x14ac:dyDescent="0.25">
      <c r="A10282" s="17" t="s">
        <v>28320</v>
      </c>
      <c r="B10282" s="17" t="s">
        <v>70</v>
      </c>
      <c r="C10282" s="17" t="s">
        <v>71</v>
      </c>
      <c r="D10282" t="s">
        <v>28312</v>
      </c>
      <c r="F10282" t="s">
        <v>879</v>
      </c>
      <c r="K10282" s="18">
        <f>628161866971</f>
        <v>628161866971</v>
      </c>
      <c r="N10282" s="17" t="s">
        <v>81</v>
      </c>
      <c r="V10282" s="18">
        <f>628161866971</f>
        <v>628161866971</v>
      </c>
    </row>
    <row r="10283" ht="15" customHeight="1" spans="1:22" x14ac:dyDescent="0.25">
      <c r="A10283" s="17" t="s">
        <v>28321</v>
      </c>
      <c r="B10283" s="17" t="s">
        <v>70</v>
      </c>
      <c r="C10283" s="17" t="s">
        <v>71</v>
      </c>
      <c r="D10283" t="s">
        <v>28322</v>
      </c>
      <c r="F10283" t="s">
        <v>28322</v>
      </c>
      <c r="K10283" s="18">
        <f>628111903689</f>
        <v>628111903689</v>
      </c>
      <c r="N10283" s="17" t="s">
        <v>74</v>
      </c>
      <c r="V10283" s="18">
        <f>628111903689</f>
        <v>628111903689</v>
      </c>
    </row>
    <row r="10284" ht="15" customHeight="1" spans="1:28" x14ac:dyDescent="0.25">
      <c r="A10284" s="17" t="s">
        <v>28323</v>
      </c>
      <c r="B10284" s="17" t="s">
        <v>70</v>
      </c>
      <c r="C10284" s="17" t="s">
        <v>71</v>
      </c>
      <c r="D10284" t="s">
        <v>28324</v>
      </c>
      <c r="F10284" t="s">
        <v>7178</v>
      </c>
      <c r="J10284" t="s">
        <v>115</v>
      </c>
      <c r="K10284" s="18" t="s">
        <v>28325</v>
      </c>
      <c r="N10284" s="17" t="s">
        <v>77</v>
      </c>
      <c r="O10284" t="s">
        <v>117</v>
      </c>
      <c r="V10284" s="18" t="s">
        <v>28325</v>
      </c>
      <c r="Y10284" t="s">
        <v>90</v>
      </c>
      <c r="AA10284" t="s">
        <v>118</v>
      </c>
      <c r="AB10284" t="s">
        <v>119</v>
      </c>
    </row>
    <row r="10285" ht="15" customHeight="1" spans="1:22" x14ac:dyDescent="0.25">
      <c r="A10285" s="17" t="s">
        <v>28326</v>
      </c>
      <c r="B10285" s="17" t="s">
        <v>70</v>
      </c>
      <c r="C10285" s="17" t="s">
        <v>71</v>
      </c>
      <c r="D10285" t="s">
        <v>631</v>
      </c>
      <c r="F10285" t="s">
        <v>631</v>
      </c>
      <c r="K10285" s="18">
        <f>6281316339899</f>
        <v>6281316339899</v>
      </c>
      <c r="N10285" s="17" t="s">
        <v>77</v>
      </c>
      <c r="V10285" s="18">
        <f>6281316339899</f>
        <v>6281316339899</v>
      </c>
    </row>
    <row r="10286" ht="15" customHeight="1" spans="1:25" x14ac:dyDescent="0.25">
      <c r="A10286" s="17" t="s">
        <v>28327</v>
      </c>
      <c r="B10286" s="17" t="s">
        <v>70</v>
      </c>
      <c r="C10286" s="17" t="s">
        <v>71</v>
      </c>
      <c r="D10286" t="s">
        <v>631</v>
      </c>
      <c r="F10286" t="s">
        <v>631</v>
      </c>
      <c r="J10286" s="17" t="s">
        <v>28328</v>
      </c>
      <c r="K10286" s="18">
        <f>6281290671897</f>
        <v>6281290671897</v>
      </c>
      <c r="N10286" s="17" t="s">
        <v>77</v>
      </c>
      <c r="U10286" s="17"/>
      <c r="V10286" s="18">
        <f>6281290671897</f>
        <v>6281290671897</v>
      </c>
      <c r="W10286" t="s">
        <v>28329</v>
      </c>
      <c r="Y10286" s="17" t="s">
        <v>626</v>
      </c>
    </row>
    <row r="10287" ht="15" customHeight="1" spans="1:23" x14ac:dyDescent="0.25">
      <c r="A10287" s="17" t="s">
        <v>28330</v>
      </c>
      <c r="B10287" s="17" t="s">
        <v>70</v>
      </c>
      <c r="C10287" s="17" t="s">
        <v>71</v>
      </c>
      <c r="D10287" t="s">
        <v>631</v>
      </c>
      <c r="F10287" t="s">
        <v>631</v>
      </c>
      <c r="K10287" s="18">
        <f>6281806686018</f>
        <v>6281806686018</v>
      </c>
      <c r="N10287" s="17" t="s">
        <v>81</v>
      </c>
      <c r="U10287" s="17"/>
      <c r="V10287" s="18">
        <f>6281806686018</f>
        <v>6281806686018</v>
      </c>
      <c r="W10287" t="s">
        <v>28331</v>
      </c>
    </row>
    <row r="10288" ht="15" customHeight="1" spans="1:28" x14ac:dyDescent="0.25">
      <c r="A10288" s="17" t="s">
        <v>28332</v>
      </c>
      <c r="B10288" s="17" t="s">
        <v>70</v>
      </c>
      <c r="C10288" s="17" t="s">
        <v>71</v>
      </c>
      <c r="D10288" t="s">
        <v>631</v>
      </c>
      <c r="F10288" t="s">
        <v>28333</v>
      </c>
      <c r="J10288" s="17" t="s">
        <v>28334</v>
      </c>
      <c r="K10288" s="18" t="s">
        <v>28335</v>
      </c>
      <c r="N10288" s="17" t="s">
        <v>77</v>
      </c>
      <c r="O10288" t="s">
        <v>489</v>
      </c>
      <c r="U10288" s="17"/>
      <c r="V10288" s="18" t="s">
        <v>28335</v>
      </c>
      <c r="W10288" t="s">
        <v>28336</v>
      </c>
      <c r="Y10288" t="s">
        <v>190</v>
      </c>
      <c r="AA10288" t="s">
        <v>118</v>
      </c>
      <c r="AB10288" t="s">
        <v>119</v>
      </c>
    </row>
    <row r="10289" ht="15" customHeight="1" spans="1:25" x14ac:dyDescent="0.25">
      <c r="A10289" s="17" t="s">
        <v>28337</v>
      </c>
      <c r="B10289" s="17" t="s">
        <v>70</v>
      </c>
      <c r="C10289" s="17" t="s">
        <v>71</v>
      </c>
      <c r="D10289" t="s">
        <v>631</v>
      </c>
      <c r="F10289" t="s">
        <v>7123</v>
      </c>
      <c r="J10289" s="17" t="s">
        <v>28338</v>
      </c>
      <c r="K10289" s="18">
        <f>6281291009088</f>
        <v>6281291009088</v>
      </c>
      <c r="N10289" s="17" t="s">
        <v>4266</v>
      </c>
      <c r="U10289" s="17"/>
      <c r="V10289" s="18">
        <f>6281291009088</f>
        <v>6281291009088</v>
      </c>
      <c r="W10289" t="s">
        <v>28339</v>
      </c>
      <c r="Y10289" s="17" t="s">
        <v>1084</v>
      </c>
    </row>
    <row r="10290" ht="15" customHeight="1" spans="1:28" x14ac:dyDescent="0.25">
      <c r="A10290" s="17" t="s">
        <v>28340</v>
      </c>
      <c r="B10290" s="17" t="s">
        <v>70</v>
      </c>
      <c r="C10290" s="17" t="s">
        <v>71</v>
      </c>
      <c r="D10290" t="s">
        <v>631</v>
      </c>
      <c r="F10290" t="s">
        <v>6671</v>
      </c>
      <c r="J10290" t="s">
        <v>115</v>
      </c>
      <c r="K10290" s="18" t="s">
        <v>28341</v>
      </c>
      <c r="N10290" s="17" t="s">
        <v>77</v>
      </c>
      <c r="O10290" t="s">
        <v>117</v>
      </c>
      <c r="V10290" s="18" t="s">
        <v>28341</v>
      </c>
      <c r="Y10290" t="s">
        <v>90</v>
      </c>
      <c r="AA10290" t="s">
        <v>118</v>
      </c>
      <c r="AB10290" t="s">
        <v>119</v>
      </c>
    </row>
    <row r="10291" ht="15" customHeight="1" spans="1:22" x14ac:dyDescent="0.25">
      <c r="A10291" s="17" t="s">
        <v>28342</v>
      </c>
      <c r="B10291" s="17" t="s">
        <v>70</v>
      </c>
      <c r="C10291" s="17" t="s">
        <v>71</v>
      </c>
      <c r="D10291" t="s">
        <v>631</v>
      </c>
      <c r="F10291" t="s">
        <v>28343</v>
      </c>
      <c r="K10291" s="18">
        <f>62811136269</f>
        <v>62811136269</v>
      </c>
      <c r="N10291" s="17" t="s">
        <v>81</v>
      </c>
      <c r="V10291" s="18">
        <f>62811136269</f>
        <v>62811136269</v>
      </c>
    </row>
    <row r="10292" ht="15" customHeight="1" spans="1:27" x14ac:dyDescent="0.25">
      <c r="A10292" s="17" t="s">
        <v>28344</v>
      </c>
      <c r="B10292" s="17" t="s">
        <v>70</v>
      </c>
      <c r="C10292" s="17" t="s">
        <v>71</v>
      </c>
      <c r="D10292" t="s">
        <v>631</v>
      </c>
      <c r="F10292" t="s">
        <v>2730</v>
      </c>
      <c r="J10292" s="17" t="s">
        <v>28345</v>
      </c>
      <c r="K10292" s="18">
        <f>6287898989950</f>
        <v>6287898989950</v>
      </c>
      <c r="N10292" s="17" t="s">
        <v>77</v>
      </c>
      <c r="U10292" s="17"/>
      <c r="V10292" s="18">
        <f>6287898989950</f>
        <v>6287898989950</v>
      </c>
      <c r="W10292" t="s">
        <v>28346</v>
      </c>
      <c r="Y10292" s="17" t="s">
        <v>626</v>
      </c>
      <c r="AA10292" s="17">
        <v>11150</v>
      </c>
    </row>
    <row r="10293" ht="15" customHeight="1" spans="1:22" x14ac:dyDescent="0.25">
      <c r="A10293" s="17" t="s">
        <v>28347</v>
      </c>
      <c r="B10293" s="17" t="s">
        <v>70</v>
      </c>
      <c r="C10293" s="17" t="s">
        <v>71</v>
      </c>
      <c r="D10293" t="s">
        <v>631</v>
      </c>
      <c r="F10293" t="s">
        <v>28348</v>
      </c>
      <c r="K10293" s="18">
        <f>6281295899991</f>
        <v>6281295899991</v>
      </c>
      <c r="N10293" s="17" t="s">
        <v>81</v>
      </c>
      <c r="V10293" s="18">
        <f>6281295899991</f>
        <v>6281295899991</v>
      </c>
    </row>
    <row r="10294" ht="15" customHeight="1" spans="1:22" x14ac:dyDescent="0.25">
      <c r="A10294" s="17" t="s">
        <v>28349</v>
      </c>
      <c r="B10294" s="17" t="s">
        <v>70</v>
      </c>
      <c r="C10294" s="17" t="s">
        <v>71</v>
      </c>
      <c r="D10294" t="s">
        <v>631</v>
      </c>
      <c r="F10294" t="s">
        <v>2108</v>
      </c>
      <c r="K10294" s="18">
        <f>6281318106040</f>
        <v>6281318106040</v>
      </c>
      <c r="N10294" s="17" t="s">
        <v>81</v>
      </c>
      <c r="V10294" s="18">
        <f>6281318106040</f>
        <v>6281318106040</v>
      </c>
    </row>
    <row r="10295" ht="15" customHeight="1" spans="1:28" x14ac:dyDescent="0.25">
      <c r="A10295" s="17" t="s">
        <v>28350</v>
      </c>
      <c r="B10295" s="17" t="s">
        <v>70</v>
      </c>
      <c r="C10295" s="17" t="s">
        <v>71</v>
      </c>
      <c r="D10295" t="s">
        <v>631</v>
      </c>
      <c r="F10295" t="s">
        <v>28012</v>
      </c>
      <c r="J10295" t="s">
        <v>115</v>
      </c>
      <c r="K10295" s="18" t="s">
        <v>28351</v>
      </c>
      <c r="N10295" s="17" t="s">
        <v>77</v>
      </c>
      <c r="O10295" t="s">
        <v>145</v>
      </c>
      <c r="V10295" s="18" t="s">
        <v>28351</v>
      </c>
      <c r="Y10295" t="s">
        <v>90</v>
      </c>
      <c r="AA10295" t="s">
        <v>118</v>
      </c>
      <c r="AB10295" t="s">
        <v>119</v>
      </c>
    </row>
    <row r="10296" ht="15" customHeight="1" spans="1:28" x14ac:dyDescent="0.25">
      <c r="A10296" s="17" t="s">
        <v>28352</v>
      </c>
      <c r="B10296" s="17" t="s">
        <v>70</v>
      </c>
      <c r="C10296" s="17" t="s">
        <v>71</v>
      </c>
      <c r="D10296" t="s">
        <v>631</v>
      </c>
      <c r="F10296" t="s">
        <v>10984</v>
      </c>
      <c r="J10296" t="s">
        <v>115</v>
      </c>
      <c r="K10296" s="18" t="s">
        <v>28353</v>
      </c>
      <c r="N10296" s="17" t="s">
        <v>77</v>
      </c>
      <c r="O10296" t="s">
        <v>261</v>
      </c>
      <c r="V10296" s="18" t="s">
        <v>28353</v>
      </c>
      <c r="Y10296" t="s">
        <v>181</v>
      </c>
      <c r="AA10296" t="s">
        <v>1672</v>
      </c>
      <c r="AB10296" t="s">
        <v>119</v>
      </c>
    </row>
    <row r="10297" ht="15" customHeight="1" spans="1:28" x14ac:dyDescent="0.25">
      <c r="A10297" s="17" t="s">
        <v>28354</v>
      </c>
      <c r="B10297" s="17" t="s">
        <v>70</v>
      </c>
      <c r="C10297" s="17" t="s">
        <v>71</v>
      </c>
      <c r="D10297" t="s">
        <v>631</v>
      </c>
      <c r="F10297" t="s">
        <v>28355</v>
      </c>
      <c r="J10297" t="s">
        <v>115</v>
      </c>
      <c r="K10297" s="18" t="s">
        <v>28356</v>
      </c>
      <c r="N10297" s="17" t="s">
        <v>77</v>
      </c>
      <c r="O10297" t="s">
        <v>145</v>
      </c>
      <c r="V10297" s="18" t="s">
        <v>28356</v>
      </c>
      <c r="Y10297" t="s">
        <v>90</v>
      </c>
      <c r="AA10297" t="s">
        <v>118</v>
      </c>
      <c r="AB10297" t="s">
        <v>119</v>
      </c>
    </row>
    <row r="10298" ht="15" customHeight="1" spans="1:27" x14ac:dyDescent="0.25">
      <c r="A10298" s="17" t="s">
        <v>28357</v>
      </c>
      <c r="B10298" s="17" t="s">
        <v>70</v>
      </c>
      <c r="C10298" s="17" t="s">
        <v>71</v>
      </c>
      <c r="D10298" t="s">
        <v>631</v>
      </c>
      <c r="F10298" t="s">
        <v>11076</v>
      </c>
      <c r="J10298" s="17" t="s">
        <v>28358</v>
      </c>
      <c r="K10298" s="18">
        <f>6285810929496</f>
        <v>6285810929496</v>
      </c>
      <c r="N10298" s="17" t="s">
        <v>77</v>
      </c>
      <c r="U10298" s="17"/>
      <c r="V10298" s="18">
        <f>6285810929496</f>
        <v>6285810929496</v>
      </c>
      <c r="W10298" t="s">
        <v>28359</v>
      </c>
      <c r="AA10298" s="17">
        <v>11510</v>
      </c>
    </row>
    <row r="10299" ht="15" customHeight="1" spans="1:23" x14ac:dyDescent="0.25">
      <c r="A10299" s="17" t="s">
        <v>28360</v>
      </c>
      <c r="B10299" s="17" t="s">
        <v>70</v>
      </c>
      <c r="C10299" s="17" t="s">
        <v>71</v>
      </c>
      <c r="D10299" t="s">
        <v>631</v>
      </c>
      <c r="F10299" t="s">
        <v>24503</v>
      </c>
      <c r="K10299" s="18">
        <f>628119390123</f>
        <v>628119390123</v>
      </c>
      <c r="N10299" s="17" t="s">
        <v>77</v>
      </c>
      <c r="U10299" s="17"/>
      <c r="V10299" s="18">
        <f>628119390123</f>
        <v>628119390123</v>
      </c>
      <c r="W10299" t="s">
        <v>20249</v>
      </c>
    </row>
    <row r="10300" ht="15" customHeight="1" spans="1:22" x14ac:dyDescent="0.25">
      <c r="A10300" s="17" t="s">
        <v>28361</v>
      </c>
      <c r="B10300" s="17" t="s">
        <v>70</v>
      </c>
      <c r="C10300" s="17" t="s">
        <v>71</v>
      </c>
      <c r="D10300" t="s">
        <v>631</v>
      </c>
      <c r="F10300" t="s">
        <v>2258</v>
      </c>
      <c r="K10300" s="18">
        <f>6281288130078</f>
        <v>6281288130078</v>
      </c>
      <c r="N10300" s="17" t="s">
        <v>77</v>
      </c>
      <c r="V10300" s="18">
        <f>6281288130078</f>
        <v>6281288130078</v>
      </c>
    </row>
    <row r="10301" ht="15" customHeight="1" spans="1:22" x14ac:dyDescent="0.25">
      <c r="A10301" s="17" t="s">
        <v>28362</v>
      </c>
      <c r="B10301" s="17" t="s">
        <v>70</v>
      </c>
      <c r="C10301" s="17" t="s">
        <v>71</v>
      </c>
      <c r="D10301" t="s">
        <v>631</v>
      </c>
      <c r="F10301" t="s">
        <v>1750</v>
      </c>
      <c r="K10301" s="18">
        <f>62811165976</f>
        <v>62811165976</v>
      </c>
      <c r="N10301" s="17" t="s">
        <v>74</v>
      </c>
      <c r="V10301" s="18">
        <f>62811165976</f>
        <v>62811165976</v>
      </c>
    </row>
    <row r="10302" ht="15" customHeight="1" spans="1:22" x14ac:dyDescent="0.25">
      <c r="A10302" s="17" t="s">
        <v>28363</v>
      </c>
      <c r="B10302" s="17" t="s">
        <v>70</v>
      </c>
      <c r="C10302" s="17" t="s">
        <v>71</v>
      </c>
      <c r="D10302" t="s">
        <v>631</v>
      </c>
      <c r="F10302" t="s">
        <v>28364</v>
      </c>
      <c r="K10302" s="18">
        <f>62816820692</f>
        <v>62816820692</v>
      </c>
      <c r="N10302" s="17" t="s">
        <v>77</v>
      </c>
      <c r="V10302" s="18">
        <f>62816820692</f>
        <v>62816820692</v>
      </c>
    </row>
    <row r="10303" ht="15" customHeight="1" spans="1:28" x14ac:dyDescent="0.25">
      <c r="A10303" s="17" t="s">
        <v>28365</v>
      </c>
      <c r="B10303" s="17" t="s">
        <v>70</v>
      </c>
      <c r="C10303" s="17" t="s">
        <v>71</v>
      </c>
      <c r="D10303" t="s">
        <v>631</v>
      </c>
      <c r="F10303" t="s">
        <v>28366</v>
      </c>
      <c r="J10303" t="s">
        <v>115</v>
      </c>
      <c r="K10303" s="18" t="s">
        <v>28367</v>
      </c>
      <c r="N10303" s="17" t="s">
        <v>77</v>
      </c>
      <c r="O10303" t="s">
        <v>261</v>
      </c>
      <c r="U10303" s="17"/>
      <c r="V10303" s="18" t="s">
        <v>28367</v>
      </c>
      <c r="W10303" t="s">
        <v>28368</v>
      </c>
      <c r="Y10303" s="17" t="s">
        <v>90</v>
      </c>
      <c r="AA10303" t="s">
        <v>118</v>
      </c>
      <c r="AB10303" t="s">
        <v>119</v>
      </c>
    </row>
    <row r="10304" ht="15" customHeight="1" spans="1:22" x14ac:dyDescent="0.25">
      <c r="A10304" s="17" t="s">
        <v>28369</v>
      </c>
      <c r="B10304" s="17" t="s">
        <v>70</v>
      </c>
      <c r="C10304" s="17" t="s">
        <v>71</v>
      </c>
      <c r="D10304" t="s">
        <v>21299</v>
      </c>
      <c r="F10304" t="s">
        <v>21299</v>
      </c>
      <c r="K10304" s="18">
        <f>6281212471535</f>
        <v>6281212471535</v>
      </c>
      <c r="N10304" s="17" t="s">
        <v>77</v>
      </c>
      <c r="V10304" s="18">
        <f>6281212471535</f>
        <v>6281212471535</v>
      </c>
    </row>
    <row r="10305" ht="15" customHeight="1" spans="1:28" x14ac:dyDescent="0.25">
      <c r="A10305" s="17" t="s">
        <v>28370</v>
      </c>
      <c r="B10305" s="17" t="s">
        <v>70</v>
      </c>
      <c r="C10305" s="17" t="s">
        <v>71</v>
      </c>
      <c r="D10305" t="s">
        <v>21299</v>
      </c>
      <c r="F10305" t="s">
        <v>28371</v>
      </c>
      <c r="J10305" s="17" t="s">
        <v>28372</v>
      </c>
      <c r="K10305" s="18" t="s">
        <v>28373</v>
      </c>
      <c r="N10305" s="17" t="s">
        <v>77</v>
      </c>
      <c r="O10305" t="s">
        <v>261</v>
      </c>
      <c r="U10305" s="17"/>
      <c r="V10305" s="18" t="s">
        <v>28373</v>
      </c>
      <c r="W10305" t="s">
        <v>28374</v>
      </c>
      <c r="Y10305" t="s">
        <v>190</v>
      </c>
      <c r="AA10305" t="s">
        <v>118</v>
      </c>
      <c r="AB10305" t="s">
        <v>119</v>
      </c>
    </row>
    <row r="10306" ht="15" customHeight="1" spans="1:28" x14ac:dyDescent="0.25">
      <c r="A10306" s="17" t="s">
        <v>28375</v>
      </c>
      <c r="B10306" s="17" t="s">
        <v>70</v>
      </c>
      <c r="C10306" s="17" t="s">
        <v>71</v>
      </c>
      <c r="D10306" t="s">
        <v>21299</v>
      </c>
      <c r="F10306" t="s">
        <v>28376</v>
      </c>
      <c r="J10306" s="17" t="s">
        <v>28377</v>
      </c>
      <c r="K10306" s="18" t="s">
        <v>28378</v>
      </c>
      <c r="N10306" s="17" t="s">
        <v>77</v>
      </c>
      <c r="O10306" t="s">
        <v>145</v>
      </c>
      <c r="V10306" s="18" t="s">
        <v>28378</v>
      </c>
      <c r="Y10306" t="s">
        <v>90</v>
      </c>
      <c r="AA10306" t="s">
        <v>118</v>
      </c>
      <c r="AB10306" t="s">
        <v>119</v>
      </c>
    </row>
    <row r="10307" ht="15" customHeight="1" spans="1:28" x14ac:dyDescent="0.25">
      <c r="A10307" s="17" t="s">
        <v>28379</v>
      </c>
      <c r="B10307" s="17" t="s">
        <v>70</v>
      </c>
      <c r="C10307" s="17" t="s">
        <v>71</v>
      </c>
      <c r="D10307" t="s">
        <v>21299</v>
      </c>
      <c r="F10307" t="s">
        <v>2730</v>
      </c>
      <c r="J10307" t="s">
        <v>115</v>
      </c>
      <c r="K10307" s="18" t="s">
        <v>28380</v>
      </c>
      <c r="N10307" s="17" t="s">
        <v>77</v>
      </c>
      <c r="O10307" t="s">
        <v>145</v>
      </c>
      <c r="U10307" s="17"/>
      <c r="V10307" s="18" t="s">
        <v>28380</v>
      </c>
      <c r="W10307" t="s">
        <v>28381</v>
      </c>
      <c r="Y10307" s="17" t="s">
        <v>190</v>
      </c>
      <c r="AA10307" t="s">
        <v>118</v>
      </c>
      <c r="AB10307" t="s">
        <v>451</v>
      </c>
    </row>
    <row r="10308" ht="15" customHeight="1" spans="1:22" x14ac:dyDescent="0.25">
      <c r="A10308" s="17" t="s">
        <v>28382</v>
      </c>
      <c r="B10308" s="17" t="s">
        <v>70</v>
      </c>
      <c r="C10308" s="17" t="s">
        <v>71</v>
      </c>
      <c r="D10308" t="s">
        <v>28383</v>
      </c>
      <c r="F10308" t="s">
        <v>28383</v>
      </c>
      <c r="K10308" s="18">
        <f>6282122774812</f>
        <v>6282122774812</v>
      </c>
      <c r="N10308" s="17" t="s">
        <v>77</v>
      </c>
      <c r="V10308" s="18">
        <f>6282122774812</f>
        <v>6282122774812</v>
      </c>
    </row>
    <row r="10309" ht="15" customHeight="1" spans="1:22" x14ac:dyDescent="0.25">
      <c r="A10309" s="17" t="s">
        <v>28384</v>
      </c>
      <c r="B10309" s="17" t="s">
        <v>70</v>
      </c>
      <c r="C10309" s="17" t="s">
        <v>71</v>
      </c>
      <c r="D10309" t="s">
        <v>28383</v>
      </c>
      <c r="F10309" t="s">
        <v>28385</v>
      </c>
      <c r="K10309" s="18">
        <f>628111028813</f>
        <v>628111028813</v>
      </c>
      <c r="N10309" s="17" t="s">
        <v>81</v>
      </c>
      <c r="V10309" s="18">
        <f>628111028813</f>
        <v>628111028813</v>
      </c>
    </row>
    <row r="10310" ht="15" customHeight="1" spans="1:28" x14ac:dyDescent="0.25">
      <c r="A10310" s="17" t="s">
        <v>28386</v>
      </c>
      <c r="B10310" s="17" t="s">
        <v>70</v>
      </c>
      <c r="C10310" s="17" t="s">
        <v>71</v>
      </c>
      <c r="D10310" t="s">
        <v>28383</v>
      </c>
      <c r="F10310" t="s">
        <v>28387</v>
      </c>
      <c r="J10310" t="s">
        <v>115</v>
      </c>
      <c r="K10310" s="18" t="s">
        <v>28388</v>
      </c>
      <c r="N10310" s="17" t="s">
        <v>74</v>
      </c>
      <c r="O10310" t="s">
        <v>117</v>
      </c>
      <c r="V10310" s="18" t="s">
        <v>28388</v>
      </c>
      <c r="Y10310" t="s">
        <v>190</v>
      </c>
      <c r="AA10310" t="s">
        <v>118</v>
      </c>
      <c r="AB10310" t="s">
        <v>119</v>
      </c>
    </row>
    <row r="10311" ht="15" customHeight="1" spans="1:28" x14ac:dyDescent="0.25">
      <c r="A10311" s="17" t="s">
        <v>28389</v>
      </c>
      <c r="B10311" s="17" t="s">
        <v>70</v>
      </c>
      <c r="C10311" s="17" t="s">
        <v>71</v>
      </c>
      <c r="D10311" t="s">
        <v>28390</v>
      </c>
      <c r="F10311" t="s">
        <v>334</v>
      </c>
      <c r="J10311" s="17" t="s">
        <v>28391</v>
      </c>
      <c r="K10311" s="18" t="s">
        <v>28392</v>
      </c>
      <c r="N10311" s="17" t="s">
        <v>77</v>
      </c>
      <c r="O10311" t="s">
        <v>145</v>
      </c>
      <c r="U10311" s="17"/>
      <c r="V10311" s="18" t="s">
        <v>28392</v>
      </c>
      <c r="W10311" t="s">
        <v>28393</v>
      </c>
      <c r="Y10311" t="s">
        <v>115</v>
      </c>
      <c r="AA10311" t="s">
        <v>115</v>
      </c>
      <c r="AB10311" t="s">
        <v>1586</v>
      </c>
    </row>
    <row r="10312" ht="15" customHeight="1" spans="1:28" x14ac:dyDescent="0.25">
      <c r="A10312" s="17" t="s">
        <v>28394</v>
      </c>
      <c r="B10312" s="17" t="s">
        <v>70</v>
      </c>
      <c r="C10312" s="17" t="s">
        <v>71</v>
      </c>
      <c r="D10312" t="s">
        <v>28395</v>
      </c>
      <c r="F10312" t="s">
        <v>28396</v>
      </c>
      <c r="J10312" s="17" t="s">
        <v>28397</v>
      </c>
      <c r="K10312" s="18" t="s">
        <v>28398</v>
      </c>
      <c r="N10312" s="17" t="s">
        <v>77</v>
      </c>
      <c r="O10312" t="s">
        <v>199</v>
      </c>
      <c r="U10312" s="17"/>
      <c r="V10312" s="18" t="s">
        <v>28398</v>
      </c>
      <c r="W10312" t="s">
        <v>28399</v>
      </c>
      <c r="Y10312" t="s">
        <v>148</v>
      </c>
      <c r="AA10312" t="s">
        <v>115</v>
      </c>
      <c r="AB10312" t="s">
        <v>148</v>
      </c>
    </row>
    <row r="10313" ht="15" customHeight="1" spans="1:23" x14ac:dyDescent="0.25">
      <c r="A10313" s="17" t="s">
        <v>28400</v>
      </c>
      <c r="B10313" s="17" t="s">
        <v>70</v>
      </c>
      <c r="C10313" s="17" t="s">
        <v>71</v>
      </c>
      <c r="D10313" t="s">
        <v>28401</v>
      </c>
      <c r="F10313" t="s">
        <v>28402</v>
      </c>
      <c r="K10313" s="18">
        <f>5571999895793</f>
        <v>5571999895793</v>
      </c>
      <c r="N10313" s="17" t="s">
        <v>77</v>
      </c>
      <c r="U10313" s="17"/>
      <c r="V10313" s="18">
        <f>5571999895793</f>
        <v>5571999895793</v>
      </c>
      <c r="W10313" t="s">
        <v>1046</v>
      </c>
    </row>
    <row r="10314" ht="15" customHeight="1" spans="1:22" x14ac:dyDescent="0.25">
      <c r="A10314" s="17" t="s">
        <v>28403</v>
      </c>
      <c r="B10314" s="17" t="s">
        <v>70</v>
      </c>
      <c r="C10314" s="17" t="s">
        <v>71</v>
      </c>
      <c r="D10314" t="s">
        <v>28404</v>
      </c>
      <c r="F10314" t="s">
        <v>28404</v>
      </c>
      <c r="K10314" s="18">
        <f>628111013511</f>
        <v>628111013511</v>
      </c>
      <c r="N10314" s="17" t="s">
        <v>77</v>
      </c>
      <c r="V10314" s="18">
        <f>628111013511</f>
        <v>628111013511</v>
      </c>
    </row>
    <row r="10315" ht="15" customHeight="1" spans="1:23" x14ac:dyDescent="0.25">
      <c r="A10315" s="17" t="s">
        <v>28405</v>
      </c>
      <c r="B10315" s="17" t="s">
        <v>70</v>
      </c>
      <c r="C10315" s="17" t="s">
        <v>71</v>
      </c>
      <c r="D10315" t="s">
        <v>28406</v>
      </c>
      <c r="F10315" t="s">
        <v>21118</v>
      </c>
      <c r="K10315" s="18">
        <f>351932536373</f>
        <v>351932536373</v>
      </c>
      <c r="N10315" s="17" t="s">
        <v>77</v>
      </c>
      <c r="U10315" s="17"/>
      <c r="V10315" s="18">
        <f>351932536373</f>
        <v>351932536373</v>
      </c>
      <c r="W10315" t="s">
        <v>2251</v>
      </c>
    </row>
    <row r="10316" ht="15" customHeight="1" spans="1:22" x14ac:dyDescent="0.25">
      <c r="A10316" s="17" t="s">
        <v>28407</v>
      </c>
      <c r="B10316" s="17" t="s">
        <v>70</v>
      </c>
      <c r="C10316" s="17" t="s">
        <v>71</v>
      </c>
      <c r="D10316" t="s">
        <v>28406</v>
      </c>
      <c r="F10316" t="s">
        <v>3618</v>
      </c>
      <c r="J10316" s="17" t="s">
        <v>28408</v>
      </c>
      <c r="K10316" s="18">
        <f>17163082200</f>
        <v>17163082200</v>
      </c>
      <c r="N10316" s="17" t="s">
        <v>81</v>
      </c>
      <c r="V10316" s="18">
        <f>17163082200</f>
        <v>17163082200</v>
      </c>
    </row>
    <row r="10317" ht="15" customHeight="1" spans="1:28" x14ac:dyDescent="0.25">
      <c r="A10317" s="17" t="s">
        <v>28409</v>
      </c>
      <c r="B10317" s="17" t="s">
        <v>70</v>
      </c>
      <c r="C10317" s="17" t="s">
        <v>71</v>
      </c>
      <c r="D10317" t="s">
        <v>28410</v>
      </c>
      <c r="F10317" t="s">
        <v>28411</v>
      </c>
      <c r="J10317" s="17" t="s">
        <v>28412</v>
      </c>
      <c r="K10317" s="18" t="s">
        <v>28413</v>
      </c>
      <c r="N10317" s="17" t="s">
        <v>77</v>
      </c>
      <c r="O10317" t="s">
        <v>145</v>
      </c>
      <c r="U10317" s="17"/>
      <c r="V10317" s="18" t="s">
        <v>28413</v>
      </c>
      <c r="W10317" t="s">
        <v>11478</v>
      </c>
      <c r="Y10317" t="s">
        <v>115</v>
      </c>
      <c r="AA10317" t="s">
        <v>115</v>
      </c>
      <c r="AB10317" t="s">
        <v>451</v>
      </c>
    </row>
    <row r="10318" ht="15" customHeight="1" spans="1:28" x14ac:dyDescent="0.25">
      <c r="A10318" s="17" t="s">
        <v>28414</v>
      </c>
      <c r="B10318" s="17" t="s">
        <v>70</v>
      </c>
      <c r="C10318" s="17" t="s">
        <v>71</v>
      </c>
      <c r="D10318" t="s">
        <v>28410</v>
      </c>
      <c r="F10318" t="s">
        <v>2322</v>
      </c>
      <c r="J10318" s="17" t="s">
        <v>28415</v>
      </c>
      <c r="K10318" s="18" t="s">
        <v>28416</v>
      </c>
      <c r="N10318" s="17" t="s">
        <v>77</v>
      </c>
      <c r="O10318" t="s">
        <v>199</v>
      </c>
      <c r="V10318" s="18" t="s">
        <v>28416</v>
      </c>
      <c r="Y10318" t="s">
        <v>115</v>
      </c>
      <c r="AA10318" t="s">
        <v>115</v>
      </c>
      <c r="AB10318" t="s">
        <v>119</v>
      </c>
    </row>
    <row r="10319" ht="15" customHeight="1" spans="1:23" x14ac:dyDescent="0.25">
      <c r="A10319" s="17" t="s">
        <v>28417</v>
      </c>
      <c r="B10319" s="17" t="s">
        <v>70</v>
      </c>
      <c r="C10319" s="17" t="s">
        <v>71</v>
      </c>
      <c r="D10319" t="s">
        <v>28418</v>
      </c>
      <c r="F10319" t="s">
        <v>28419</v>
      </c>
      <c r="K10319" s="18">
        <f>6282280354541</f>
        <v>6282280354541</v>
      </c>
      <c r="N10319" s="17" t="s">
        <v>81</v>
      </c>
      <c r="U10319" s="17"/>
      <c r="V10319" s="18">
        <f>6282280354541</f>
        <v>6282280354541</v>
      </c>
      <c r="W10319" t="s">
        <v>28420</v>
      </c>
    </row>
    <row r="10320" ht="15" customHeight="1" spans="1:28" x14ac:dyDescent="0.25">
      <c r="A10320" s="17" t="s">
        <v>28421</v>
      </c>
      <c r="B10320" s="17" t="s">
        <v>70</v>
      </c>
      <c r="C10320" s="17" t="s">
        <v>71</v>
      </c>
      <c r="D10320" t="s">
        <v>28422</v>
      </c>
      <c r="F10320" t="s">
        <v>28423</v>
      </c>
      <c r="J10320" s="17" t="s">
        <v>28424</v>
      </c>
      <c r="K10320" s="18" t="s">
        <v>28425</v>
      </c>
      <c r="N10320" s="17" t="s">
        <v>77</v>
      </c>
      <c r="O10320" t="s">
        <v>489</v>
      </c>
      <c r="U10320" s="17"/>
      <c r="V10320" s="18" t="s">
        <v>28425</v>
      </c>
      <c r="W10320" t="s">
        <v>28426</v>
      </c>
      <c r="Y10320" t="s">
        <v>190</v>
      </c>
      <c r="AA10320" t="s">
        <v>118</v>
      </c>
      <c r="AB10320" t="s">
        <v>119</v>
      </c>
    </row>
    <row r="10321" ht="15" customHeight="1" spans="1:22" x14ac:dyDescent="0.25">
      <c r="A10321" s="17" t="s">
        <v>28427</v>
      </c>
      <c r="B10321" s="17" t="s">
        <v>70</v>
      </c>
      <c r="C10321" s="17" t="s">
        <v>71</v>
      </c>
      <c r="D10321" t="s">
        <v>28428</v>
      </c>
      <c r="F10321" t="s">
        <v>28428</v>
      </c>
      <c r="K10321" s="18">
        <f>62817770771</f>
        <v>62817770771</v>
      </c>
      <c r="N10321" s="17" t="s">
        <v>77</v>
      </c>
      <c r="V10321" s="18">
        <f>62817770771</f>
        <v>62817770771</v>
      </c>
    </row>
    <row r="10322" ht="15" customHeight="1" spans="1:22" x14ac:dyDescent="0.25">
      <c r="A10322" s="17" t="s">
        <v>28429</v>
      </c>
      <c r="B10322" s="17" t="s">
        <v>70</v>
      </c>
      <c r="C10322" s="17" t="s">
        <v>71</v>
      </c>
      <c r="D10322" t="s">
        <v>22105</v>
      </c>
      <c r="F10322" t="s">
        <v>22105</v>
      </c>
      <c r="K10322" s="18">
        <f>62811931210</f>
        <v>62811931210</v>
      </c>
      <c r="N10322" s="17" t="s">
        <v>81</v>
      </c>
      <c r="V10322" s="18">
        <f>62811931210</f>
        <v>62811931210</v>
      </c>
    </row>
    <row r="10323" ht="15" customHeight="1" spans="1:22" x14ac:dyDescent="0.25">
      <c r="A10323" s="17" t="s">
        <v>28430</v>
      </c>
      <c r="B10323" s="17" t="s">
        <v>70</v>
      </c>
      <c r="C10323" s="17" t="s">
        <v>71</v>
      </c>
      <c r="D10323" t="s">
        <v>28431</v>
      </c>
      <c r="F10323" t="s">
        <v>28432</v>
      </c>
      <c r="K10323" s="18">
        <f>62818778892</f>
        <v>62818778892</v>
      </c>
      <c r="N10323" s="17" t="s">
        <v>81</v>
      </c>
      <c r="V10323" s="18">
        <f>62818778892</f>
        <v>62818778892</v>
      </c>
    </row>
    <row r="10324" ht="15" customHeight="1" spans="1:22" x14ac:dyDescent="0.25">
      <c r="A10324" s="17" t="s">
        <v>28433</v>
      </c>
      <c r="B10324" s="17" t="s">
        <v>70</v>
      </c>
      <c r="C10324" s="17" t="s">
        <v>71</v>
      </c>
      <c r="D10324" t="s">
        <v>28434</v>
      </c>
      <c r="F10324" t="s">
        <v>28435</v>
      </c>
      <c r="K10324" s="18">
        <f>6282112485417</f>
        <v>6282112485417</v>
      </c>
      <c r="N10324" s="17" t="s">
        <v>77</v>
      </c>
      <c r="V10324" s="18">
        <f>6282112485417</f>
        <v>6282112485417</v>
      </c>
    </row>
    <row r="10325" ht="15" customHeight="1" spans="1:28" x14ac:dyDescent="0.25">
      <c r="A10325" s="17" t="s">
        <v>28436</v>
      </c>
      <c r="B10325" s="17" t="s">
        <v>70</v>
      </c>
      <c r="C10325" s="17" t="s">
        <v>71</v>
      </c>
      <c r="D10325" t="s">
        <v>28437</v>
      </c>
      <c r="F10325" t="s">
        <v>28438</v>
      </c>
      <c r="J10325" s="17" t="s">
        <v>28439</v>
      </c>
      <c r="K10325" s="18" t="s">
        <v>28440</v>
      </c>
      <c r="N10325" s="17" t="s">
        <v>77</v>
      </c>
      <c r="O10325" t="s">
        <v>145</v>
      </c>
      <c r="U10325" s="17"/>
      <c r="V10325" s="18" t="s">
        <v>28440</v>
      </c>
      <c r="W10325" t="s">
        <v>28441</v>
      </c>
      <c r="Y10325" s="17" t="s">
        <v>28441</v>
      </c>
      <c r="AA10325" t="s">
        <v>115</v>
      </c>
      <c r="AB10325" t="s">
        <v>1046</v>
      </c>
    </row>
    <row r="10326" ht="15" customHeight="1" spans="1:23" x14ac:dyDescent="0.25">
      <c r="A10326" s="17" t="s">
        <v>28442</v>
      </c>
      <c r="B10326" s="17" t="s">
        <v>70</v>
      </c>
      <c r="C10326" s="17" t="s">
        <v>71</v>
      </c>
      <c r="D10326" t="s">
        <v>28443</v>
      </c>
      <c r="F10326" t="s">
        <v>28444</v>
      </c>
      <c r="K10326" s="18">
        <f>5531988220087</f>
        <v>5531988220087</v>
      </c>
      <c r="N10326" s="17" t="s">
        <v>77</v>
      </c>
      <c r="U10326" s="17"/>
      <c r="V10326" s="18">
        <f>5531988220087</f>
        <v>5531988220087</v>
      </c>
      <c r="W10326" t="s">
        <v>1046</v>
      </c>
    </row>
    <row r="10327" ht="15" customHeight="1" spans="1:28" x14ac:dyDescent="0.25">
      <c r="A10327" s="17" t="s">
        <v>28445</v>
      </c>
      <c r="B10327" s="17" t="s">
        <v>70</v>
      </c>
      <c r="C10327" s="17" t="s">
        <v>71</v>
      </c>
      <c r="D10327" t="s">
        <v>28446</v>
      </c>
      <c r="F10327" t="s">
        <v>28447</v>
      </c>
      <c r="J10327" t="s">
        <v>115</v>
      </c>
      <c r="K10327" s="18" t="s">
        <v>28448</v>
      </c>
      <c r="N10327" s="17" t="s">
        <v>81</v>
      </c>
      <c r="O10327" t="s">
        <v>199</v>
      </c>
      <c r="V10327" s="18" t="s">
        <v>28448</v>
      </c>
      <c r="Y10327" t="s">
        <v>115</v>
      </c>
      <c r="AA10327" t="s">
        <v>115</v>
      </c>
      <c r="AB10327" t="s">
        <v>119</v>
      </c>
    </row>
    <row r="10328" ht="15" customHeight="1" spans="1:22" x14ac:dyDescent="0.25">
      <c r="A10328" s="17" t="s">
        <v>28449</v>
      </c>
      <c r="B10328" s="17" t="s">
        <v>70</v>
      </c>
      <c r="C10328" s="17" t="s">
        <v>71</v>
      </c>
      <c r="D10328" t="s">
        <v>28450</v>
      </c>
      <c r="F10328" t="s">
        <v>6621</v>
      </c>
      <c r="K10328" s="18">
        <f>8613121690129</f>
        <v>8613121690129</v>
      </c>
      <c r="N10328" s="17" t="s">
        <v>81</v>
      </c>
      <c r="V10328" s="18">
        <f>8613121690129</f>
        <v>8613121690129</v>
      </c>
    </row>
    <row r="10329" ht="15" customHeight="1" spans="1:23" x14ac:dyDescent="0.25">
      <c r="A10329" s="17" t="s">
        <v>28451</v>
      </c>
      <c r="B10329" s="17" t="s">
        <v>70</v>
      </c>
      <c r="C10329" s="17" t="s">
        <v>71</v>
      </c>
      <c r="D10329" t="s">
        <v>28452</v>
      </c>
      <c r="F10329" t="s">
        <v>28453</v>
      </c>
      <c r="J10329" s="17" t="s">
        <v>28454</v>
      </c>
      <c r="K10329" s="18">
        <f>8615257603377</f>
        <v>8615257603377</v>
      </c>
      <c r="N10329" s="17" t="s">
        <v>77</v>
      </c>
      <c r="U10329" s="17"/>
      <c r="V10329" s="18">
        <f>8615257603377</f>
        <v>8615257603377</v>
      </c>
      <c r="W10329" t="s">
        <v>3140</v>
      </c>
    </row>
    <row r="10330" ht="15" customHeight="1" spans="1:22" x14ac:dyDescent="0.25">
      <c r="A10330" s="17" t="s">
        <v>28455</v>
      </c>
      <c r="B10330" s="17" t="s">
        <v>70</v>
      </c>
      <c r="C10330" s="17" t="s">
        <v>71</v>
      </c>
      <c r="D10330" t="s">
        <v>1494</v>
      </c>
      <c r="F10330" t="s">
        <v>28456</v>
      </c>
      <c r="K10330" s="18">
        <f>628159311111</f>
        <v>628159311111</v>
      </c>
      <c r="N10330" s="17" t="s">
        <v>81</v>
      </c>
      <c r="V10330" s="18">
        <f>628159311111</f>
        <v>628159311111</v>
      </c>
    </row>
    <row r="10331" ht="15" customHeight="1" spans="1:22" x14ac:dyDescent="0.25">
      <c r="A10331" s="17" t="s">
        <v>28457</v>
      </c>
      <c r="B10331" s="17" t="s">
        <v>70</v>
      </c>
      <c r="C10331" s="17" t="s">
        <v>71</v>
      </c>
      <c r="D10331" t="s">
        <v>28458</v>
      </c>
      <c r="F10331" t="s">
        <v>28459</v>
      </c>
      <c r="K10331" s="18">
        <f>628122683333</f>
        <v>628122683333</v>
      </c>
      <c r="N10331" s="17" t="s">
        <v>77</v>
      </c>
      <c r="V10331" s="18">
        <f>628122683333</f>
        <v>628122683333</v>
      </c>
    </row>
    <row r="10332" ht="15" customHeight="1" spans="1:22" x14ac:dyDescent="0.25">
      <c r="A10332" s="17" t="s">
        <v>28460</v>
      </c>
      <c r="B10332" s="17" t="s">
        <v>70</v>
      </c>
      <c r="C10332" s="17" t="s">
        <v>71</v>
      </c>
      <c r="D10332" t="s">
        <v>28461</v>
      </c>
      <c r="F10332" t="s">
        <v>28462</v>
      </c>
      <c r="J10332" s="17" t="s">
        <v>28463</v>
      </c>
      <c r="K10332" s="18">
        <f>628179982323</f>
        <v>628179982323</v>
      </c>
      <c r="N10332" s="17" t="s">
        <v>77</v>
      </c>
      <c r="V10332" s="18">
        <f>628179982323</f>
        <v>628179982323</v>
      </c>
    </row>
    <row r="10333" ht="15" customHeight="1" spans="1:22" x14ac:dyDescent="0.25">
      <c r="A10333" s="17" t="s">
        <v>28464</v>
      </c>
      <c r="B10333" s="17" t="s">
        <v>70</v>
      </c>
      <c r="C10333" s="17" t="s">
        <v>71</v>
      </c>
      <c r="D10333" t="s">
        <v>28465</v>
      </c>
      <c r="F10333" t="s">
        <v>28466</v>
      </c>
      <c r="K10333" s="18">
        <f>12029266087</f>
        <v>12029266087</v>
      </c>
      <c r="N10333" s="17" t="s">
        <v>81</v>
      </c>
      <c r="V10333" s="18">
        <f>12029266087</f>
        <v>12029266087</v>
      </c>
    </row>
    <row r="10334" ht="15" customHeight="1" spans="1:27" x14ac:dyDescent="0.25">
      <c r="A10334" s="17" t="s">
        <v>28467</v>
      </c>
      <c r="B10334" s="17" t="s">
        <v>70</v>
      </c>
      <c r="C10334" s="17" t="s">
        <v>71</v>
      </c>
      <c r="D10334" t="s">
        <v>12175</v>
      </c>
      <c r="F10334" t="s">
        <v>16588</v>
      </c>
      <c r="K10334" s="18">
        <f>62811842036</f>
        <v>62811842036</v>
      </c>
      <c r="N10334" s="17" t="s">
        <v>77</v>
      </c>
      <c r="U10334" s="17"/>
      <c r="V10334" s="18">
        <f>62811842036</f>
        <v>62811842036</v>
      </c>
      <c r="W10334" t="s">
        <v>28468</v>
      </c>
      <c r="Y10334" s="17" t="s">
        <v>96</v>
      </c>
      <c r="AA10334" s="17" t="s">
        <v>133</v>
      </c>
    </row>
    <row r="10335" ht="15" customHeight="1" spans="1:22" x14ac:dyDescent="0.25">
      <c r="A10335" s="17" t="s">
        <v>28469</v>
      </c>
      <c r="B10335" s="17" t="s">
        <v>70</v>
      </c>
      <c r="C10335" s="17" t="s">
        <v>71</v>
      </c>
      <c r="D10335" t="s">
        <v>28470</v>
      </c>
      <c r="F10335" t="s">
        <v>28470</v>
      </c>
      <c r="K10335" s="18">
        <f>62811144040</f>
        <v>62811144040</v>
      </c>
      <c r="N10335" s="17" t="s">
        <v>77</v>
      </c>
      <c r="V10335" s="18">
        <f>62811144040</f>
        <v>62811144040</v>
      </c>
    </row>
    <row r="10336" ht="15" customHeight="1" spans="1:22" x14ac:dyDescent="0.25">
      <c r="A10336" s="17" t="s">
        <v>28471</v>
      </c>
      <c r="B10336" s="17" t="s">
        <v>70</v>
      </c>
      <c r="C10336" s="17" t="s">
        <v>71</v>
      </c>
      <c r="D10336" t="s">
        <v>28472</v>
      </c>
      <c r="F10336" t="s">
        <v>2563</v>
      </c>
      <c r="K10336" s="18">
        <f>62811460919</f>
        <v>62811460919</v>
      </c>
      <c r="N10336" s="17" t="s">
        <v>77</v>
      </c>
      <c r="V10336" s="18">
        <f>62811460919</f>
        <v>62811460919</v>
      </c>
    </row>
    <row r="10337" ht="15" customHeight="1" spans="1:23" x14ac:dyDescent="0.25">
      <c r="A10337" s="17" t="s">
        <v>28473</v>
      </c>
      <c r="B10337" s="17" t="s">
        <v>70</v>
      </c>
      <c r="C10337" s="17" t="s">
        <v>71</v>
      </c>
      <c r="D10337" t="s">
        <v>28474</v>
      </c>
      <c r="F10337" t="s">
        <v>28475</v>
      </c>
      <c r="K10337" s="18">
        <f>628128506767</f>
        <v>628128506767</v>
      </c>
      <c r="N10337" s="17" t="s">
        <v>77</v>
      </c>
      <c r="U10337" s="17"/>
      <c r="V10337" s="18">
        <f>628128506767</f>
        <v>628128506767</v>
      </c>
      <c r="W10337" t="s">
        <v>28476</v>
      </c>
    </row>
    <row r="10338" ht="15" customHeight="1" spans="1:22" x14ac:dyDescent="0.25">
      <c r="A10338" s="17" t="s">
        <v>28477</v>
      </c>
      <c r="B10338" s="17" t="s">
        <v>70</v>
      </c>
      <c r="C10338" s="17" t="s">
        <v>71</v>
      </c>
      <c r="D10338" t="s">
        <v>28478</v>
      </c>
      <c r="F10338" t="s">
        <v>28478</v>
      </c>
      <c r="K10338" s="18">
        <f>6281586135139</f>
        <v>6281586135139</v>
      </c>
      <c r="N10338" s="17" t="s">
        <v>74</v>
      </c>
      <c r="V10338" s="18">
        <f>6281586135139</f>
        <v>6281586135139</v>
      </c>
    </row>
    <row r="10339" ht="15" customHeight="1" spans="1:27" x14ac:dyDescent="0.25">
      <c r="A10339" s="17" t="s">
        <v>28479</v>
      </c>
      <c r="B10339" s="17" t="s">
        <v>70</v>
      </c>
      <c r="C10339" s="17" t="s">
        <v>71</v>
      </c>
      <c r="D10339" t="s">
        <v>28480</v>
      </c>
      <c r="F10339" t="s">
        <v>9142</v>
      </c>
      <c r="K10339" s="18">
        <f>62811659898</f>
        <v>62811659898</v>
      </c>
      <c r="N10339" s="17" t="s">
        <v>77</v>
      </c>
      <c r="U10339" s="17"/>
      <c r="V10339" s="18">
        <f>62811659898</f>
        <v>62811659898</v>
      </c>
      <c r="W10339" t="s">
        <v>28481</v>
      </c>
      <c r="Y10339" s="17" t="s">
        <v>1702</v>
      </c>
      <c r="AA10339" s="17" t="s">
        <v>1157</v>
      </c>
    </row>
    <row r="10340" ht="15" customHeight="1" spans="1:22" x14ac:dyDescent="0.25">
      <c r="A10340" s="17" t="s">
        <v>28482</v>
      </c>
      <c r="B10340" s="17" t="s">
        <v>70</v>
      </c>
      <c r="C10340" s="17" t="s">
        <v>71</v>
      </c>
      <c r="D10340" t="s">
        <v>28483</v>
      </c>
      <c r="F10340" t="s">
        <v>851</v>
      </c>
      <c r="K10340" s="18">
        <f>6282197284838</f>
        <v>6282197284838</v>
      </c>
      <c r="N10340" s="17" t="s">
        <v>81</v>
      </c>
      <c r="V10340" s="18">
        <f>6282197284838</f>
        <v>6282197284838</v>
      </c>
    </row>
    <row r="10341" ht="15" customHeight="1" spans="1:22" x14ac:dyDescent="0.25">
      <c r="A10341" s="17" t="s">
        <v>28484</v>
      </c>
      <c r="B10341" s="17" t="s">
        <v>70</v>
      </c>
      <c r="C10341" s="17" t="s">
        <v>71</v>
      </c>
      <c r="D10341" t="s">
        <v>28483</v>
      </c>
      <c r="F10341" t="s">
        <v>28485</v>
      </c>
      <c r="K10341" s="18">
        <f>6281218611711</f>
        <v>6281218611711</v>
      </c>
      <c r="N10341" s="17" t="s">
        <v>77</v>
      </c>
      <c r="V10341" s="18">
        <f>6281218611711</f>
        <v>6281218611711</v>
      </c>
    </row>
    <row r="10342" ht="15" customHeight="1" spans="1:22" x14ac:dyDescent="0.25">
      <c r="A10342" s="17" t="s">
        <v>28486</v>
      </c>
      <c r="B10342" s="17" t="s">
        <v>70</v>
      </c>
      <c r="C10342" s="17" t="s">
        <v>71</v>
      </c>
      <c r="D10342" t="s">
        <v>28487</v>
      </c>
      <c r="F10342" t="s">
        <v>28487</v>
      </c>
      <c r="K10342" s="18">
        <f>628151687582</f>
        <v>628151687582</v>
      </c>
      <c r="N10342" s="17" t="s">
        <v>77</v>
      </c>
      <c r="V10342" s="18">
        <f>628151687582</f>
        <v>628151687582</v>
      </c>
    </row>
    <row r="10343" ht="15" customHeight="1" spans="1:28" x14ac:dyDescent="0.25">
      <c r="A10343" s="17" t="s">
        <v>28488</v>
      </c>
      <c r="B10343" s="17" t="s">
        <v>70</v>
      </c>
      <c r="C10343" s="17" t="s">
        <v>71</v>
      </c>
      <c r="D10343" t="s">
        <v>4664</v>
      </c>
      <c r="F10343" t="s">
        <v>28489</v>
      </c>
      <c r="J10343" t="s">
        <v>115</v>
      </c>
      <c r="K10343" s="18" t="s">
        <v>28490</v>
      </c>
      <c r="N10343" s="17" t="s">
        <v>77</v>
      </c>
      <c r="O10343" t="s">
        <v>117</v>
      </c>
      <c r="V10343" s="18" t="s">
        <v>28490</v>
      </c>
      <c r="Y10343" t="s">
        <v>90</v>
      </c>
      <c r="AA10343" t="s">
        <v>118</v>
      </c>
      <c r="AB10343" t="s">
        <v>119</v>
      </c>
    </row>
    <row r="10344" ht="15" customHeight="1" spans="1:22" x14ac:dyDescent="0.25">
      <c r="A10344" s="17" t="s">
        <v>28491</v>
      </c>
      <c r="B10344" s="17" t="s">
        <v>70</v>
      </c>
      <c r="C10344" s="17" t="s">
        <v>71</v>
      </c>
      <c r="D10344" t="s">
        <v>4664</v>
      </c>
      <c r="F10344" t="s">
        <v>4664</v>
      </c>
      <c r="K10344" s="18">
        <f>6281280705747</f>
        <v>6281280705747</v>
      </c>
      <c r="N10344" s="17" t="s">
        <v>81</v>
      </c>
      <c r="V10344" s="18">
        <f>6281280705747</f>
        <v>6281280705747</v>
      </c>
    </row>
    <row r="10345" ht="15" customHeight="1" spans="1:22" x14ac:dyDescent="0.25">
      <c r="A10345" s="17" t="s">
        <v>28492</v>
      </c>
      <c r="B10345" s="17" t="s">
        <v>70</v>
      </c>
      <c r="C10345" s="17" t="s">
        <v>71</v>
      </c>
      <c r="D10345" t="s">
        <v>4664</v>
      </c>
      <c r="F10345" t="s">
        <v>214</v>
      </c>
      <c r="K10345" s="18">
        <f>6281283233008</f>
        <v>6281283233008</v>
      </c>
      <c r="N10345" s="17" t="s">
        <v>81</v>
      </c>
      <c r="V10345" s="18">
        <f>6281283233008</f>
        <v>6281283233008</v>
      </c>
    </row>
    <row r="10346" ht="15" customHeight="1" spans="1:28" x14ac:dyDescent="0.25">
      <c r="A10346" s="17" t="s">
        <v>28493</v>
      </c>
      <c r="B10346" s="17" t="s">
        <v>70</v>
      </c>
      <c r="C10346" s="17" t="s">
        <v>71</v>
      </c>
      <c r="D10346" t="s">
        <v>4664</v>
      </c>
      <c r="F10346" t="s">
        <v>28494</v>
      </c>
      <c r="J10346" t="s">
        <v>28495</v>
      </c>
      <c r="K10346" s="18" t="s">
        <v>28496</v>
      </c>
      <c r="N10346" s="17" t="s">
        <v>77</v>
      </c>
      <c r="O10346" t="s">
        <v>199</v>
      </c>
      <c r="V10346" s="18" t="s">
        <v>28496</v>
      </c>
      <c r="Y10346" t="s">
        <v>190</v>
      </c>
      <c r="AA10346" t="s">
        <v>118</v>
      </c>
      <c r="AB10346" t="s">
        <v>119</v>
      </c>
    </row>
    <row r="10347" ht="15" customHeight="1" spans="1:23" x14ac:dyDescent="0.25">
      <c r="A10347" s="17" t="s">
        <v>28497</v>
      </c>
      <c r="B10347" s="17" t="s">
        <v>70</v>
      </c>
      <c r="C10347" s="17" t="s">
        <v>71</v>
      </c>
      <c r="D10347" t="s">
        <v>4664</v>
      </c>
      <c r="F10347" t="s">
        <v>4378</v>
      </c>
      <c r="K10347" s="18">
        <f>6281316130336</f>
        <v>6281316130336</v>
      </c>
      <c r="N10347" s="17" t="s">
        <v>81</v>
      </c>
      <c r="U10347" s="17"/>
      <c r="V10347" s="18">
        <f>6281316130336</f>
        <v>6281316130336</v>
      </c>
      <c r="W10347" t="s">
        <v>28498</v>
      </c>
    </row>
    <row r="10348" ht="15" customHeight="1" spans="1:27" x14ac:dyDescent="0.25">
      <c r="A10348" s="17" t="s">
        <v>28499</v>
      </c>
      <c r="B10348" s="17" t="s">
        <v>70</v>
      </c>
      <c r="C10348" s="17" t="s">
        <v>71</v>
      </c>
      <c r="D10348" t="s">
        <v>4664</v>
      </c>
      <c r="F10348" t="s">
        <v>28500</v>
      </c>
      <c r="J10348" s="17" t="s">
        <v>28501</v>
      </c>
      <c r="K10348" s="18">
        <f>6281286128901</f>
        <v>6281286128901</v>
      </c>
      <c r="N10348" s="17" t="s">
        <v>77</v>
      </c>
      <c r="U10348" s="17"/>
      <c r="V10348" s="18">
        <f>6281286128901</f>
        <v>6281286128901</v>
      </c>
      <c r="W10348" t="s">
        <v>28502</v>
      </c>
      <c r="Y10348" s="17" t="s">
        <v>13662</v>
      </c>
      <c r="AA10348" s="17">
        <v>10310</v>
      </c>
    </row>
    <row r="10349" ht="15" customHeight="1" spans="1:28" x14ac:dyDescent="0.25">
      <c r="A10349" s="17" t="s">
        <v>28503</v>
      </c>
      <c r="B10349" s="17" t="s">
        <v>70</v>
      </c>
      <c r="C10349" s="17" t="s">
        <v>71</v>
      </c>
      <c r="D10349" t="s">
        <v>4664</v>
      </c>
      <c r="F10349" t="s">
        <v>28504</v>
      </c>
      <c r="J10349" s="17" t="s">
        <v>28505</v>
      </c>
      <c r="K10349" s="18" t="s">
        <v>28506</v>
      </c>
      <c r="N10349" s="17" t="s">
        <v>77</v>
      </c>
      <c r="O10349" t="s">
        <v>199</v>
      </c>
      <c r="V10349" s="18" t="s">
        <v>28506</v>
      </c>
      <c r="Y10349" t="s">
        <v>190</v>
      </c>
      <c r="AA10349" t="s">
        <v>118</v>
      </c>
      <c r="AB10349" t="s">
        <v>119</v>
      </c>
    </row>
    <row r="10350" ht="15" customHeight="1" spans="1:22" x14ac:dyDescent="0.25">
      <c r="A10350" s="17" t="s">
        <v>28507</v>
      </c>
      <c r="B10350" s="17" t="s">
        <v>70</v>
      </c>
      <c r="C10350" s="17" t="s">
        <v>71</v>
      </c>
      <c r="D10350" t="s">
        <v>4664</v>
      </c>
      <c r="F10350" t="s">
        <v>28508</v>
      </c>
      <c r="K10350" s="18">
        <f>96560005005</f>
        <v>96560005005</v>
      </c>
      <c r="N10350" s="17" t="s">
        <v>77</v>
      </c>
      <c r="V10350" s="18">
        <f>96560005005</f>
        <v>96560005005</v>
      </c>
    </row>
    <row r="10351" ht="15" customHeight="1" spans="1:22" x14ac:dyDescent="0.25">
      <c r="A10351" s="17" t="s">
        <v>28509</v>
      </c>
      <c r="B10351" s="17" t="s">
        <v>70</v>
      </c>
      <c r="C10351" s="17" t="s">
        <v>71</v>
      </c>
      <c r="D10351" t="s">
        <v>4664</v>
      </c>
      <c r="F10351" t="s">
        <v>13219</v>
      </c>
      <c r="K10351" s="18">
        <f>6281291058506</f>
        <v>6281291058506</v>
      </c>
      <c r="N10351" s="17" t="s">
        <v>77</v>
      </c>
      <c r="V10351" s="18">
        <f>6281291058506</f>
        <v>6281291058506</v>
      </c>
    </row>
    <row r="10352" ht="15" customHeight="1" spans="1:28" x14ac:dyDescent="0.25">
      <c r="A10352" s="17" t="s">
        <v>28510</v>
      </c>
      <c r="B10352" s="17" t="s">
        <v>70</v>
      </c>
      <c r="C10352" s="17" t="s">
        <v>71</v>
      </c>
      <c r="D10352" t="s">
        <v>4664</v>
      </c>
      <c r="F10352" t="s">
        <v>371</v>
      </c>
      <c r="J10352" t="s">
        <v>115</v>
      </c>
      <c r="K10352" s="18" t="s">
        <v>28511</v>
      </c>
      <c r="N10352" s="17" t="s">
        <v>77</v>
      </c>
      <c r="O10352" t="s">
        <v>199</v>
      </c>
      <c r="V10352" s="18" t="s">
        <v>28511</v>
      </c>
      <c r="Y10352" t="s">
        <v>115</v>
      </c>
      <c r="AA10352" t="s">
        <v>115</v>
      </c>
      <c r="AB10352" t="s">
        <v>119</v>
      </c>
    </row>
    <row r="10353" ht="15" customHeight="1" spans="1:22" x14ac:dyDescent="0.25">
      <c r="A10353" s="17" t="s">
        <v>28512</v>
      </c>
      <c r="B10353" s="17" t="s">
        <v>70</v>
      </c>
      <c r="C10353" s="17" t="s">
        <v>71</v>
      </c>
      <c r="D10353" t="s">
        <v>4664</v>
      </c>
      <c r="F10353" t="s">
        <v>28513</v>
      </c>
      <c r="J10353" s="17" t="s">
        <v>28514</v>
      </c>
      <c r="K10353" s="18">
        <f>628128358435</f>
        <v>628128358435</v>
      </c>
      <c r="N10353" s="17" t="s">
        <v>81</v>
      </c>
      <c r="V10353" s="18">
        <f>628128358435</f>
        <v>628128358435</v>
      </c>
    </row>
    <row r="10354" ht="15" customHeight="1" spans="1:23" x14ac:dyDescent="0.25">
      <c r="A10354" s="17" t="s">
        <v>28515</v>
      </c>
      <c r="B10354" s="17" t="s">
        <v>70</v>
      </c>
      <c r="C10354" s="17" t="s">
        <v>71</v>
      </c>
      <c r="D10354" t="s">
        <v>4664</v>
      </c>
      <c r="F10354" t="s">
        <v>2730</v>
      </c>
      <c r="K10354" s="18">
        <f>628122153889</f>
        <v>628122153889</v>
      </c>
      <c r="N10354" s="17" t="s">
        <v>81</v>
      </c>
      <c r="U10354" s="17"/>
      <c r="V10354" s="18">
        <f>628122153889</f>
        <v>628122153889</v>
      </c>
      <c r="W10354" t="s">
        <v>28516</v>
      </c>
    </row>
    <row r="10355" ht="15" customHeight="1" spans="1:28" x14ac:dyDescent="0.25">
      <c r="A10355" s="17" t="s">
        <v>28517</v>
      </c>
      <c r="B10355" s="17" t="s">
        <v>70</v>
      </c>
      <c r="C10355" s="17" t="s">
        <v>71</v>
      </c>
      <c r="D10355" t="s">
        <v>4664</v>
      </c>
      <c r="F10355" t="s">
        <v>28518</v>
      </c>
      <c r="J10355" t="s">
        <v>115</v>
      </c>
      <c r="K10355" s="18" t="s">
        <v>28519</v>
      </c>
      <c r="N10355" s="17" t="s">
        <v>81</v>
      </c>
      <c r="O10355" t="s">
        <v>117</v>
      </c>
      <c r="V10355" s="18" t="s">
        <v>28519</v>
      </c>
      <c r="Y10355" t="s">
        <v>96</v>
      </c>
      <c r="AA10355" t="s">
        <v>693</v>
      </c>
      <c r="AB10355" t="s">
        <v>119</v>
      </c>
    </row>
    <row r="10356" ht="15" customHeight="1" spans="1:22" x14ac:dyDescent="0.25">
      <c r="A10356" s="17" t="s">
        <v>28520</v>
      </c>
      <c r="B10356" s="17" t="s">
        <v>70</v>
      </c>
      <c r="C10356" s="17" t="s">
        <v>71</v>
      </c>
      <c r="D10356" t="s">
        <v>4664</v>
      </c>
      <c r="F10356" t="s">
        <v>28521</v>
      </c>
      <c r="K10356" s="18">
        <f>62818820503</f>
        <v>62818820503</v>
      </c>
      <c r="N10356" s="17" t="s">
        <v>81</v>
      </c>
      <c r="V10356" s="18">
        <f>62818820503</f>
        <v>62818820503</v>
      </c>
    </row>
    <row r="10357" ht="15" customHeight="1" spans="1:22" x14ac:dyDescent="0.25">
      <c r="A10357" s="17" t="s">
        <v>28522</v>
      </c>
      <c r="B10357" s="17" t="s">
        <v>70</v>
      </c>
      <c r="C10357" s="17" t="s">
        <v>71</v>
      </c>
      <c r="D10357" t="s">
        <v>4664</v>
      </c>
      <c r="F10357" t="s">
        <v>28523</v>
      </c>
      <c r="K10357" s="18">
        <f>6285348824882</f>
        <v>6285348824882</v>
      </c>
      <c r="N10357" s="17" t="s">
        <v>81</v>
      </c>
      <c r="V10357" s="18">
        <f>6285348824882</f>
        <v>6285348824882</v>
      </c>
    </row>
    <row r="10358" ht="15" customHeight="1" spans="1:28" x14ac:dyDescent="0.25">
      <c r="A10358" s="17" t="s">
        <v>28524</v>
      </c>
      <c r="B10358" s="17" t="s">
        <v>70</v>
      </c>
      <c r="C10358" s="17" t="s">
        <v>71</v>
      </c>
      <c r="D10358" t="s">
        <v>4664</v>
      </c>
      <c r="F10358" t="s">
        <v>17783</v>
      </c>
      <c r="J10358" t="s">
        <v>115</v>
      </c>
      <c r="K10358" s="18" t="s">
        <v>28525</v>
      </c>
      <c r="N10358" s="17" t="s">
        <v>77</v>
      </c>
      <c r="O10358" t="s">
        <v>117</v>
      </c>
      <c r="V10358" s="18" t="s">
        <v>28525</v>
      </c>
      <c r="Y10358" t="s">
        <v>190</v>
      </c>
      <c r="AA10358" t="s">
        <v>118</v>
      </c>
      <c r="AB10358" t="s">
        <v>119</v>
      </c>
    </row>
    <row r="10359" ht="15" customHeight="1" spans="1:22" x14ac:dyDescent="0.25">
      <c r="A10359" s="17" t="s">
        <v>28526</v>
      </c>
      <c r="B10359" s="17" t="s">
        <v>70</v>
      </c>
      <c r="C10359" s="17" t="s">
        <v>71</v>
      </c>
      <c r="D10359" t="s">
        <v>4664</v>
      </c>
      <c r="F10359" t="s">
        <v>4616</v>
      </c>
      <c r="K10359" s="18">
        <f>62818187897</f>
        <v>62818187897</v>
      </c>
      <c r="N10359" s="17" t="s">
        <v>77</v>
      </c>
      <c r="V10359" s="18">
        <f>62818187897</f>
        <v>62818187897</v>
      </c>
    </row>
    <row r="10360" ht="15" customHeight="1" spans="1:22" x14ac:dyDescent="0.25">
      <c r="A10360" s="17" t="s">
        <v>28527</v>
      </c>
      <c r="B10360" s="17" t="s">
        <v>70</v>
      </c>
      <c r="C10360" s="17" t="s">
        <v>71</v>
      </c>
      <c r="D10360" t="s">
        <v>4664</v>
      </c>
      <c r="F10360" t="s">
        <v>18134</v>
      </c>
      <c r="K10360" s="18">
        <f>6281283358622</f>
        <v>6281283358622</v>
      </c>
      <c r="N10360" s="17" t="s">
        <v>81</v>
      </c>
      <c r="V10360" s="18">
        <f>6281283358622</f>
        <v>6281283358622</v>
      </c>
    </row>
    <row r="10361" ht="15" customHeight="1" spans="1:22" x14ac:dyDescent="0.25">
      <c r="A10361" s="17" t="s">
        <v>28528</v>
      </c>
      <c r="B10361" s="17" t="s">
        <v>70</v>
      </c>
      <c r="C10361" s="17" t="s">
        <v>71</v>
      </c>
      <c r="D10361" t="s">
        <v>4664</v>
      </c>
      <c r="F10361" t="s">
        <v>28529</v>
      </c>
      <c r="K10361" s="18">
        <f>62811166297</f>
        <v>62811166297</v>
      </c>
      <c r="N10361" s="17" t="s">
        <v>77</v>
      </c>
      <c r="V10361" s="18">
        <f>62811166297</f>
        <v>62811166297</v>
      </c>
    </row>
    <row r="10362" ht="15" customHeight="1" spans="1:25" x14ac:dyDescent="0.25">
      <c r="A10362" s="17" t="s">
        <v>28530</v>
      </c>
      <c r="B10362" s="17" t="s">
        <v>70</v>
      </c>
      <c r="C10362" s="17" t="s">
        <v>71</v>
      </c>
      <c r="D10362" t="s">
        <v>4664</v>
      </c>
      <c r="F10362" t="s">
        <v>28531</v>
      </c>
      <c r="K10362" s="18">
        <f>62811637462</f>
        <v>62811637462</v>
      </c>
      <c r="N10362" s="17" t="s">
        <v>77</v>
      </c>
      <c r="U10362" s="17"/>
      <c r="V10362" s="18">
        <f>62811637462</f>
        <v>62811637462</v>
      </c>
      <c r="W10362" t="s">
        <v>28532</v>
      </c>
      <c r="Y10362" s="17" t="s">
        <v>1157</v>
      </c>
    </row>
    <row r="10363" ht="15" customHeight="1" spans="1:22" x14ac:dyDescent="0.25">
      <c r="A10363" s="17" t="s">
        <v>28533</v>
      </c>
      <c r="B10363" s="17" t="s">
        <v>70</v>
      </c>
      <c r="C10363" s="17" t="s">
        <v>71</v>
      </c>
      <c r="D10363" t="s">
        <v>4664</v>
      </c>
      <c r="F10363" t="s">
        <v>28534</v>
      </c>
      <c r="J10363" s="17" t="s">
        <v>28535</v>
      </c>
      <c r="K10363" s="18">
        <f>6281386705295</f>
        <v>6281386705295</v>
      </c>
      <c r="N10363" s="17" t="s">
        <v>77</v>
      </c>
      <c r="V10363" s="18">
        <f>6281386705295</f>
        <v>6281386705295</v>
      </c>
    </row>
    <row r="10364" ht="15" customHeight="1" spans="1:23" x14ac:dyDescent="0.25">
      <c r="A10364" s="17" t="s">
        <v>28536</v>
      </c>
      <c r="B10364" s="17" t="s">
        <v>70</v>
      </c>
      <c r="C10364" s="17" t="s">
        <v>71</v>
      </c>
      <c r="D10364" t="s">
        <v>4664</v>
      </c>
      <c r="F10364" t="s">
        <v>28537</v>
      </c>
      <c r="J10364" s="17" t="s">
        <v>28538</v>
      </c>
      <c r="K10364" s="18">
        <f>6287888270031</f>
        <v>6287888270031</v>
      </c>
      <c r="N10364" s="17" t="s">
        <v>77</v>
      </c>
      <c r="U10364" s="17"/>
      <c r="V10364" s="18">
        <f>6287888270031</f>
        <v>6287888270031</v>
      </c>
      <c r="W10364" t="s">
        <v>28539</v>
      </c>
    </row>
    <row r="10365" ht="15" customHeight="1" spans="1:22" x14ac:dyDescent="0.25">
      <c r="A10365" s="17" t="s">
        <v>28540</v>
      </c>
      <c r="B10365" s="17" t="s">
        <v>70</v>
      </c>
      <c r="C10365" s="17" t="s">
        <v>71</v>
      </c>
      <c r="D10365" t="s">
        <v>4664</v>
      </c>
      <c r="F10365" t="s">
        <v>28541</v>
      </c>
      <c r="K10365" s="18">
        <v>60123529692</v>
      </c>
      <c r="N10365" s="17" t="s">
        <v>81</v>
      </c>
      <c r="V10365" s="18">
        <v>60123529692</v>
      </c>
    </row>
    <row r="10366" ht="15" customHeight="1" spans="1:27" x14ac:dyDescent="0.25">
      <c r="A10366" s="17" t="s">
        <v>28542</v>
      </c>
      <c r="B10366" s="17" t="s">
        <v>70</v>
      </c>
      <c r="C10366" s="17" t="s">
        <v>71</v>
      </c>
      <c r="D10366" t="s">
        <v>4664</v>
      </c>
      <c r="F10366" t="s">
        <v>6259</v>
      </c>
      <c r="J10366" s="17" t="s">
        <v>28543</v>
      </c>
      <c r="K10366" s="18">
        <f>628161480797</f>
        <v>628161480797</v>
      </c>
      <c r="N10366" s="17" t="s">
        <v>74</v>
      </c>
      <c r="U10366" s="17"/>
      <c r="V10366" s="18">
        <f>628161480797</f>
        <v>628161480797</v>
      </c>
      <c r="W10366" t="s">
        <v>28544</v>
      </c>
      <c r="Y10366" s="17" t="s">
        <v>96</v>
      </c>
      <c r="AA10366" s="17">
        <v>12110</v>
      </c>
    </row>
    <row r="10367" ht="15" customHeight="1" spans="1:23" x14ac:dyDescent="0.25">
      <c r="A10367" s="17" t="s">
        <v>28545</v>
      </c>
      <c r="B10367" s="17" t="s">
        <v>70</v>
      </c>
      <c r="C10367" s="17" t="s">
        <v>71</v>
      </c>
      <c r="D10367" t="s">
        <v>4664</v>
      </c>
      <c r="F10367" t="s">
        <v>28546</v>
      </c>
      <c r="K10367" s="18">
        <f>6585260598</f>
        <v>6585260598</v>
      </c>
      <c r="N10367" s="17" t="s">
        <v>77</v>
      </c>
      <c r="U10367" s="17"/>
      <c r="V10367" s="18">
        <f>6585260598</f>
        <v>6585260598</v>
      </c>
      <c r="W10367" t="s">
        <v>28547</v>
      </c>
    </row>
    <row r="10368" ht="15" customHeight="1" spans="1:25" x14ac:dyDescent="0.25">
      <c r="A10368" s="17" t="s">
        <v>28548</v>
      </c>
      <c r="B10368" s="17" t="s">
        <v>70</v>
      </c>
      <c r="C10368" s="17" t="s">
        <v>71</v>
      </c>
      <c r="D10368" t="s">
        <v>4664</v>
      </c>
      <c r="F10368" t="s">
        <v>28549</v>
      </c>
      <c r="K10368" s="18">
        <f>628111924131</f>
        <v>628111924131</v>
      </c>
      <c r="N10368" s="17" t="s">
        <v>74</v>
      </c>
      <c r="U10368" s="17"/>
      <c r="V10368" s="18">
        <f>628111924131</f>
        <v>628111924131</v>
      </c>
      <c r="W10368" t="s">
        <v>28550</v>
      </c>
      <c r="Y10368" s="17" t="s">
        <v>96</v>
      </c>
    </row>
    <row r="10369" ht="15" customHeight="1" spans="1:22" x14ac:dyDescent="0.25">
      <c r="A10369" s="17" t="s">
        <v>28551</v>
      </c>
      <c r="B10369" s="17" t="s">
        <v>70</v>
      </c>
      <c r="C10369" s="17" t="s">
        <v>71</v>
      </c>
      <c r="D10369" t="s">
        <v>4664</v>
      </c>
      <c r="F10369" t="s">
        <v>106</v>
      </c>
      <c r="K10369" s="18">
        <f>62818876565</f>
        <v>62818876565</v>
      </c>
      <c r="N10369" s="17" t="s">
        <v>81</v>
      </c>
      <c r="V10369" s="18">
        <f>62818876565</f>
        <v>62818876565</v>
      </c>
    </row>
    <row r="10370" ht="15" customHeight="1" spans="1:23" x14ac:dyDescent="0.25">
      <c r="A10370" s="17" t="s">
        <v>28552</v>
      </c>
      <c r="B10370" s="17" t="s">
        <v>70</v>
      </c>
      <c r="C10370" s="17" t="s">
        <v>71</v>
      </c>
      <c r="D10370" t="s">
        <v>4664</v>
      </c>
      <c r="F10370" t="s">
        <v>184</v>
      </c>
      <c r="K10370" s="18">
        <f>6282213881365</f>
        <v>6282213881365</v>
      </c>
      <c r="N10370" s="17" t="s">
        <v>77</v>
      </c>
      <c r="U10370" s="17"/>
      <c r="V10370" s="18">
        <f>6282213881365</f>
        <v>6282213881365</v>
      </c>
      <c r="W10370" t="s">
        <v>28553</v>
      </c>
    </row>
    <row r="10371" ht="15" customHeight="1" spans="1:28" x14ac:dyDescent="0.25">
      <c r="A10371" s="17" t="s">
        <v>28554</v>
      </c>
      <c r="B10371" s="17" t="s">
        <v>70</v>
      </c>
      <c r="C10371" s="17" t="s">
        <v>71</v>
      </c>
      <c r="D10371" t="s">
        <v>4664</v>
      </c>
      <c r="F10371" t="s">
        <v>9617</v>
      </c>
      <c r="J10371" t="s">
        <v>115</v>
      </c>
      <c r="K10371" s="18" t="s">
        <v>28555</v>
      </c>
      <c r="N10371" s="17" t="s">
        <v>77</v>
      </c>
      <c r="O10371" t="s">
        <v>199</v>
      </c>
      <c r="U10371" s="17"/>
      <c r="V10371" s="18" t="s">
        <v>28555</v>
      </c>
      <c r="W10371" t="s">
        <v>6306</v>
      </c>
      <c r="Y10371" t="s">
        <v>6306</v>
      </c>
      <c r="AA10371" t="s">
        <v>115</v>
      </c>
      <c r="AB10371" t="s">
        <v>119</v>
      </c>
    </row>
    <row r="10372" ht="15" customHeight="1" spans="1:22" x14ac:dyDescent="0.25">
      <c r="A10372" s="17" t="s">
        <v>28556</v>
      </c>
      <c r="B10372" s="17" t="s">
        <v>70</v>
      </c>
      <c r="C10372" s="17" t="s">
        <v>71</v>
      </c>
      <c r="D10372" t="s">
        <v>4664</v>
      </c>
      <c r="F10372" t="s">
        <v>19591</v>
      </c>
      <c r="K10372" s="18">
        <f>6281284329765</f>
        <v>6281284329765</v>
      </c>
      <c r="N10372" s="17" t="s">
        <v>77</v>
      </c>
      <c r="V10372" s="18">
        <f>6281284329765</f>
        <v>6281284329765</v>
      </c>
    </row>
    <row r="10373" ht="15" customHeight="1" spans="1:22" x14ac:dyDescent="0.25">
      <c r="A10373" s="17" t="s">
        <v>28557</v>
      </c>
      <c r="B10373" s="17" t="s">
        <v>70</v>
      </c>
      <c r="C10373" s="17" t="s">
        <v>71</v>
      </c>
      <c r="D10373" t="s">
        <v>4664</v>
      </c>
      <c r="F10373" t="s">
        <v>28558</v>
      </c>
      <c r="K10373" s="18">
        <f>62818773579</f>
        <v>62818773579</v>
      </c>
      <c r="N10373" s="17" t="s">
        <v>77</v>
      </c>
      <c r="V10373" s="18">
        <f>62818773579</f>
        <v>62818773579</v>
      </c>
    </row>
    <row r="10374" ht="15" customHeight="1" spans="1:28" x14ac:dyDescent="0.25">
      <c r="A10374" s="17" t="s">
        <v>28559</v>
      </c>
      <c r="B10374" s="17" t="s">
        <v>70</v>
      </c>
      <c r="C10374" s="17" t="s">
        <v>71</v>
      </c>
      <c r="D10374" t="s">
        <v>4664</v>
      </c>
      <c r="F10374" t="s">
        <v>494</v>
      </c>
      <c r="J10374" t="s">
        <v>115</v>
      </c>
      <c r="K10374" s="18" t="s">
        <v>28560</v>
      </c>
      <c r="N10374" s="17" t="s">
        <v>77</v>
      </c>
      <c r="O10374" t="s">
        <v>117</v>
      </c>
      <c r="V10374" s="18" t="s">
        <v>28560</v>
      </c>
      <c r="Y10374" t="s">
        <v>96</v>
      </c>
      <c r="AA10374" t="s">
        <v>693</v>
      </c>
      <c r="AB10374" t="s">
        <v>119</v>
      </c>
    </row>
    <row r="10375" ht="15" customHeight="1" spans="1:22" x14ac:dyDescent="0.25">
      <c r="A10375" s="17" t="s">
        <v>28561</v>
      </c>
      <c r="B10375" s="17" t="s">
        <v>70</v>
      </c>
      <c r="C10375" s="17" t="s">
        <v>71</v>
      </c>
      <c r="D10375" t="s">
        <v>4664</v>
      </c>
      <c r="F10375" t="s">
        <v>653</v>
      </c>
      <c r="K10375" s="18">
        <f>6282137206400</f>
        <v>6282137206400</v>
      </c>
      <c r="N10375" s="17" t="s">
        <v>77</v>
      </c>
      <c r="V10375" s="18">
        <f>6282137206400</f>
        <v>6282137206400</v>
      </c>
    </row>
    <row r="10376" ht="15" customHeight="1" spans="1:23" x14ac:dyDescent="0.25">
      <c r="A10376" s="17" t="s">
        <v>28562</v>
      </c>
      <c r="B10376" s="17" t="s">
        <v>70</v>
      </c>
      <c r="C10376" s="17" t="s">
        <v>71</v>
      </c>
      <c r="D10376" t="s">
        <v>4664</v>
      </c>
      <c r="F10376" t="s">
        <v>28119</v>
      </c>
      <c r="K10376" s="18">
        <f>628111212777</f>
        <v>628111212777</v>
      </c>
      <c r="N10376" s="17" t="s">
        <v>77</v>
      </c>
      <c r="U10376" s="17"/>
      <c r="V10376" s="18">
        <f>628111212777</f>
        <v>628111212777</v>
      </c>
      <c r="W10376" t="s">
        <v>28563</v>
      </c>
    </row>
    <row r="10377" ht="15" customHeight="1" spans="1:22" x14ac:dyDescent="0.25">
      <c r="A10377" s="17" t="s">
        <v>28564</v>
      </c>
      <c r="B10377" s="17" t="s">
        <v>70</v>
      </c>
      <c r="C10377" s="17" t="s">
        <v>71</v>
      </c>
      <c r="D10377" t="s">
        <v>4664</v>
      </c>
      <c r="F10377" t="s">
        <v>1269</v>
      </c>
      <c r="K10377" s="18">
        <f>6281298333201</f>
        <v>6281298333201</v>
      </c>
      <c r="N10377" s="17" t="s">
        <v>81</v>
      </c>
      <c r="V10377" s="18">
        <f>6281298333201</f>
        <v>6281298333201</v>
      </c>
    </row>
    <row r="10378" ht="15" customHeight="1" spans="1:28" x14ac:dyDescent="0.25">
      <c r="A10378" s="17" t="s">
        <v>28565</v>
      </c>
      <c r="B10378" s="17" t="s">
        <v>70</v>
      </c>
      <c r="C10378" s="17" t="s">
        <v>71</v>
      </c>
      <c r="D10378" t="s">
        <v>28566</v>
      </c>
      <c r="F10378" t="s">
        <v>28567</v>
      </c>
      <c r="J10378" t="s">
        <v>115</v>
      </c>
      <c r="K10378" s="18" t="s">
        <v>28568</v>
      </c>
      <c r="N10378" s="17" t="s">
        <v>74</v>
      </c>
      <c r="O10378" t="s">
        <v>145</v>
      </c>
      <c r="V10378" s="18" t="s">
        <v>28568</v>
      </c>
      <c r="Y10378" t="s">
        <v>90</v>
      </c>
      <c r="AA10378" t="s">
        <v>118</v>
      </c>
      <c r="AB10378" t="s">
        <v>119</v>
      </c>
    </row>
    <row r="10379" ht="15" customHeight="1" spans="1:23" x14ac:dyDescent="0.25">
      <c r="A10379" s="17" t="s">
        <v>28569</v>
      </c>
      <c r="B10379" s="17" t="s">
        <v>70</v>
      </c>
      <c r="C10379" s="17" t="s">
        <v>71</v>
      </c>
      <c r="D10379" t="s">
        <v>4664</v>
      </c>
      <c r="F10379" t="s">
        <v>15665</v>
      </c>
      <c r="K10379" s="18">
        <f>6281368200066</f>
        <v>6281368200066</v>
      </c>
      <c r="N10379" s="17" t="s">
        <v>81</v>
      </c>
      <c r="U10379" s="17"/>
      <c r="V10379" s="18">
        <f>6281368200066</f>
        <v>6281368200066</v>
      </c>
      <c r="W10379" t="s">
        <v>28570</v>
      </c>
    </row>
    <row r="10380" ht="15" customHeight="1" spans="1:28" x14ac:dyDescent="0.25">
      <c r="A10380" s="17" t="s">
        <v>28571</v>
      </c>
      <c r="B10380" s="17" t="s">
        <v>70</v>
      </c>
      <c r="C10380" s="17" t="s">
        <v>71</v>
      </c>
      <c r="D10380" t="s">
        <v>28572</v>
      </c>
      <c r="F10380" t="s">
        <v>28573</v>
      </c>
      <c r="J10380" t="s">
        <v>115</v>
      </c>
      <c r="K10380" s="18" t="s">
        <v>28574</v>
      </c>
      <c r="N10380" s="17" t="s">
        <v>77</v>
      </c>
      <c r="O10380" t="s">
        <v>117</v>
      </c>
      <c r="V10380" s="18" t="s">
        <v>28574</v>
      </c>
      <c r="Y10380" t="s">
        <v>115</v>
      </c>
      <c r="AA10380" t="s">
        <v>115</v>
      </c>
      <c r="AB10380" t="s">
        <v>119</v>
      </c>
    </row>
    <row r="10381" ht="15" customHeight="1" spans="1:23" x14ac:dyDescent="0.25">
      <c r="A10381" s="17" t="s">
        <v>28575</v>
      </c>
      <c r="B10381" s="17" t="s">
        <v>70</v>
      </c>
      <c r="C10381" s="17" t="s">
        <v>71</v>
      </c>
      <c r="D10381" t="s">
        <v>4664</v>
      </c>
      <c r="F10381" t="s">
        <v>28576</v>
      </c>
      <c r="J10381" s="17" t="s">
        <v>28577</v>
      </c>
      <c r="K10381" s="18">
        <f>6281393938805</f>
        <v>6281393938805</v>
      </c>
      <c r="N10381" s="17" t="s">
        <v>81</v>
      </c>
      <c r="U10381" s="17"/>
      <c r="V10381" s="18">
        <f>6281393938805</f>
        <v>6281393938805</v>
      </c>
      <c r="W10381" t="s">
        <v>28578</v>
      </c>
    </row>
    <row r="10382" ht="15" customHeight="1" spans="1:22" x14ac:dyDescent="0.25">
      <c r="A10382" s="17" t="s">
        <v>28579</v>
      </c>
      <c r="B10382" s="17" t="s">
        <v>70</v>
      </c>
      <c r="C10382" s="17" t="s">
        <v>71</v>
      </c>
      <c r="D10382" t="s">
        <v>28580</v>
      </c>
      <c r="F10382" t="s">
        <v>28581</v>
      </c>
      <c r="K10382" s="18">
        <f>6281387661567</f>
        <v>6281387661567</v>
      </c>
      <c r="N10382" s="17" t="s">
        <v>77</v>
      </c>
      <c r="V10382" s="18">
        <f>6281387661567</f>
        <v>6281387661567</v>
      </c>
    </row>
    <row r="10383" ht="15" customHeight="1" spans="1:22" x14ac:dyDescent="0.25">
      <c r="A10383" s="17" t="s">
        <v>28582</v>
      </c>
      <c r="B10383" s="17" t="s">
        <v>70</v>
      </c>
      <c r="C10383" s="17" t="s">
        <v>71</v>
      </c>
      <c r="D10383" t="s">
        <v>28583</v>
      </c>
      <c r="F10383" t="s">
        <v>28583</v>
      </c>
      <c r="K10383" s="18">
        <f>62811939667</f>
        <v>62811939667</v>
      </c>
      <c r="N10383" s="17" t="s">
        <v>77</v>
      </c>
      <c r="V10383" s="18">
        <f>62811939667</f>
        <v>62811939667</v>
      </c>
    </row>
    <row r="10384" ht="15" customHeight="1" spans="1:22" x14ac:dyDescent="0.25">
      <c r="A10384" s="17" t="s">
        <v>28584</v>
      </c>
      <c r="B10384" s="17" t="s">
        <v>70</v>
      </c>
      <c r="C10384" s="17" t="s">
        <v>71</v>
      </c>
      <c r="D10384" t="s">
        <v>28585</v>
      </c>
      <c r="F10384" t="s">
        <v>28585</v>
      </c>
      <c r="K10384" s="18">
        <f>9665117744422</f>
        <v>9665117744422</v>
      </c>
      <c r="N10384" s="17" t="s">
        <v>81</v>
      </c>
      <c r="V10384" s="18">
        <f>9665117744422</f>
        <v>9665117744422</v>
      </c>
    </row>
    <row r="10385" ht="15" customHeight="1" spans="1:22" x14ac:dyDescent="0.25">
      <c r="A10385" s="17" t="s">
        <v>28586</v>
      </c>
      <c r="B10385" s="17" t="s">
        <v>70</v>
      </c>
      <c r="C10385" s="17" t="s">
        <v>71</v>
      </c>
      <c r="D10385" t="s">
        <v>28587</v>
      </c>
      <c r="F10385" t="s">
        <v>28587</v>
      </c>
      <c r="K10385" s="18">
        <f>628111893744</f>
        <v>628111893744</v>
      </c>
      <c r="N10385" s="17" t="s">
        <v>81</v>
      </c>
      <c r="V10385" s="18">
        <f>628111893744</f>
        <v>628111893744</v>
      </c>
    </row>
    <row r="10386" ht="15" customHeight="1" spans="1:28" x14ac:dyDescent="0.25">
      <c r="A10386" s="17" t="s">
        <v>28588</v>
      </c>
      <c r="B10386" s="17" t="s">
        <v>70</v>
      </c>
      <c r="C10386" s="17" t="s">
        <v>71</v>
      </c>
      <c r="D10386" t="s">
        <v>28589</v>
      </c>
      <c r="F10386" t="s">
        <v>1790</v>
      </c>
      <c r="J10386" s="17" t="s">
        <v>28590</v>
      </c>
      <c r="K10386" s="18" t="s">
        <v>28591</v>
      </c>
      <c r="N10386" s="17" t="s">
        <v>77</v>
      </c>
      <c r="O10386" t="s">
        <v>261</v>
      </c>
      <c r="U10386" s="17"/>
      <c r="V10386" s="18" t="s">
        <v>28591</v>
      </c>
      <c r="W10386" t="s">
        <v>28592</v>
      </c>
      <c r="Y10386" s="17" t="s">
        <v>90</v>
      </c>
      <c r="AA10386" t="s">
        <v>118</v>
      </c>
      <c r="AB10386" t="s">
        <v>119</v>
      </c>
    </row>
    <row r="10387" ht="15" customHeight="1" spans="1:22" x14ac:dyDescent="0.25">
      <c r="A10387" s="17" t="s">
        <v>28593</v>
      </c>
      <c r="B10387" s="17" t="s">
        <v>70</v>
      </c>
      <c r="C10387" s="17" t="s">
        <v>71</v>
      </c>
      <c r="D10387" t="s">
        <v>28594</v>
      </c>
      <c r="F10387" t="s">
        <v>28595</v>
      </c>
      <c r="K10387" s="18">
        <f>62816202202</f>
        <v>62816202202</v>
      </c>
      <c r="N10387" s="17" t="s">
        <v>74</v>
      </c>
      <c r="V10387" s="18">
        <f>62816202202</f>
        <v>62816202202</v>
      </c>
    </row>
    <row r="10388" ht="15" customHeight="1" spans="1:23" x14ac:dyDescent="0.25">
      <c r="A10388" s="17" t="s">
        <v>28596</v>
      </c>
      <c r="B10388" s="17" t="s">
        <v>70</v>
      </c>
      <c r="C10388" s="17" t="s">
        <v>71</v>
      </c>
      <c r="D10388" t="s">
        <v>14246</v>
      </c>
      <c r="F10388" t="s">
        <v>106</v>
      </c>
      <c r="K10388" s="18">
        <f>6281901727890</f>
        <v>6281901727890</v>
      </c>
      <c r="N10388" s="17" t="s">
        <v>77</v>
      </c>
      <c r="U10388" s="17"/>
      <c r="V10388" s="18">
        <f>6281901727890</f>
        <v>6281901727890</v>
      </c>
      <c r="W10388" t="s">
        <v>28597</v>
      </c>
    </row>
    <row r="10389" ht="15" customHeight="1" spans="1:28" x14ac:dyDescent="0.25">
      <c r="A10389" s="17" t="s">
        <v>28598</v>
      </c>
      <c r="B10389" s="17" t="s">
        <v>70</v>
      </c>
      <c r="C10389" s="17" t="s">
        <v>71</v>
      </c>
      <c r="D10389" t="s">
        <v>23280</v>
      </c>
      <c r="F10389" t="s">
        <v>1169</v>
      </c>
      <c r="J10389" s="17" t="s">
        <v>28599</v>
      </c>
      <c r="K10389" s="18" t="s">
        <v>28600</v>
      </c>
      <c r="N10389" s="17" t="s">
        <v>77</v>
      </c>
      <c r="O10389" t="s">
        <v>117</v>
      </c>
      <c r="V10389" s="18" t="s">
        <v>28600</v>
      </c>
      <c r="Y10389" t="s">
        <v>190</v>
      </c>
      <c r="AA10389" t="s">
        <v>118</v>
      </c>
      <c r="AB10389" t="s">
        <v>119</v>
      </c>
    </row>
    <row r="10390" ht="15" customHeight="1" spans="1:22" x14ac:dyDescent="0.25">
      <c r="A10390" s="17" t="s">
        <v>28601</v>
      </c>
      <c r="B10390" s="17" t="s">
        <v>70</v>
      </c>
      <c r="C10390" s="17" t="s">
        <v>71</v>
      </c>
      <c r="D10390" t="s">
        <v>28602</v>
      </c>
      <c r="F10390" t="s">
        <v>28602</v>
      </c>
      <c r="K10390" s="18">
        <f>62816757376</f>
        <v>62816757376</v>
      </c>
      <c r="N10390" s="17" t="s">
        <v>77</v>
      </c>
      <c r="V10390" s="18">
        <f>62816757376</f>
        <v>62816757376</v>
      </c>
    </row>
    <row r="10391" ht="15" customHeight="1" spans="1:28" x14ac:dyDescent="0.25">
      <c r="A10391" s="17" t="s">
        <v>28603</v>
      </c>
      <c r="B10391" s="17" t="s">
        <v>70</v>
      </c>
      <c r="C10391" s="17" t="s">
        <v>71</v>
      </c>
      <c r="D10391" t="s">
        <v>28602</v>
      </c>
      <c r="F10391" t="s">
        <v>22454</v>
      </c>
      <c r="J10391" t="s">
        <v>115</v>
      </c>
      <c r="K10391" s="18" t="s">
        <v>28604</v>
      </c>
      <c r="N10391" s="17" t="s">
        <v>77</v>
      </c>
      <c r="O10391" t="s">
        <v>117</v>
      </c>
      <c r="V10391" s="18" t="s">
        <v>28604</v>
      </c>
      <c r="Y10391" t="s">
        <v>90</v>
      </c>
      <c r="AA10391" t="s">
        <v>118</v>
      </c>
      <c r="AB10391" t="s">
        <v>119</v>
      </c>
    </row>
    <row r="10392" ht="15" customHeight="1" spans="1:22" x14ac:dyDescent="0.25">
      <c r="A10392" s="17" t="s">
        <v>28605</v>
      </c>
      <c r="B10392" s="17" t="s">
        <v>70</v>
      </c>
      <c r="C10392" s="17" t="s">
        <v>71</v>
      </c>
      <c r="D10392" t="s">
        <v>28606</v>
      </c>
      <c r="F10392" t="s">
        <v>28606</v>
      </c>
      <c r="K10392" s="18">
        <f>6281333212009</f>
        <v>6281333212009</v>
      </c>
      <c r="N10392" s="17" t="s">
        <v>81</v>
      </c>
      <c r="V10392" s="18">
        <f>6281333212009</f>
        <v>6281333212009</v>
      </c>
    </row>
    <row r="10393" ht="15" customHeight="1" spans="1:28" x14ac:dyDescent="0.25">
      <c r="A10393" s="17" t="s">
        <v>28607</v>
      </c>
      <c r="B10393" s="17" t="s">
        <v>70</v>
      </c>
      <c r="C10393" s="17" t="s">
        <v>71</v>
      </c>
      <c r="D10393" t="s">
        <v>28608</v>
      </c>
      <c r="F10393" t="s">
        <v>28606</v>
      </c>
      <c r="J10393" t="s">
        <v>115</v>
      </c>
      <c r="K10393" s="18" t="s">
        <v>28609</v>
      </c>
      <c r="N10393" s="17" t="s">
        <v>77</v>
      </c>
      <c r="O10393" t="s">
        <v>199</v>
      </c>
      <c r="U10393" s="17"/>
      <c r="V10393" s="18" t="s">
        <v>28609</v>
      </c>
      <c r="W10393" t="s">
        <v>28610</v>
      </c>
      <c r="Y10393" s="17" t="s">
        <v>181</v>
      </c>
      <c r="AA10393" t="s">
        <v>1672</v>
      </c>
      <c r="AB10393" t="s">
        <v>119</v>
      </c>
    </row>
    <row r="10394" ht="15" customHeight="1" spans="1:28" x14ac:dyDescent="0.25">
      <c r="A10394" s="17" t="s">
        <v>28611</v>
      </c>
      <c r="B10394" s="17" t="s">
        <v>70</v>
      </c>
      <c r="C10394" s="17" t="s">
        <v>71</v>
      </c>
      <c r="D10394" t="s">
        <v>28612</v>
      </c>
      <c r="F10394" t="s">
        <v>28612</v>
      </c>
      <c r="J10394" s="17" t="s">
        <v>28613</v>
      </c>
      <c r="K10394" s="18" t="s">
        <v>28614</v>
      </c>
      <c r="N10394" s="17" t="s">
        <v>77</v>
      </c>
      <c r="O10394" t="s">
        <v>199</v>
      </c>
      <c r="U10394" s="17"/>
      <c r="V10394" s="18" t="s">
        <v>28614</v>
      </c>
      <c r="W10394" t="s">
        <v>28615</v>
      </c>
      <c r="Y10394" t="s">
        <v>90</v>
      </c>
      <c r="AA10394" t="s">
        <v>118</v>
      </c>
      <c r="AB10394" t="s">
        <v>119</v>
      </c>
    </row>
    <row r="10395" ht="15" customHeight="1" spans="1:28" x14ac:dyDescent="0.25">
      <c r="A10395" s="17" t="s">
        <v>28616</v>
      </c>
      <c r="B10395" s="17" t="s">
        <v>70</v>
      </c>
      <c r="C10395" s="17" t="s">
        <v>71</v>
      </c>
      <c r="D10395" t="s">
        <v>28617</v>
      </c>
      <c r="F10395" t="s">
        <v>2586</v>
      </c>
      <c r="J10395" t="s">
        <v>115</v>
      </c>
      <c r="K10395" s="18" t="s">
        <v>28618</v>
      </c>
      <c r="N10395" s="17" t="s">
        <v>81</v>
      </c>
      <c r="O10395" t="s">
        <v>117</v>
      </c>
      <c r="U10395" s="17"/>
      <c r="V10395" s="18" t="s">
        <v>28618</v>
      </c>
      <c r="W10395" t="s">
        <v>28619</v>
      </c>
      <c r="Y10395" t="s">
        <v>90</v>
      </c>
      <c r="AA10395" s="17" t="s">
        <v>118</v>
      </c>
      <c r="AB10395" t="s">
        <v>119</v>
      </c>
    </row>
    <row r="10396" ht="15" customHeight="1" spans="1:22" x14ac:dyDescent="0.25">
      <c r="A10396" s="17" t="s">
        <v>28620</v>
      </c>
      <c r="B10396" s="17" t="s">
        <v>70</v>
      </c>
      <c r="C10396" s="17" t="s">
        <v>71</v>
      </c>
      <c r="D10396" t="s">
        <v>15645</v>
      </c>
      <c r="F10396" t="s">
        <v>15645</v>
      </c>
      <c r="K10396" s="18">
        <f>628159998333</f>
        <v>628159998333</v>
      </c>
      <c r="N10396" s="17" t="s">
        <v>77</v>
      </c>
      <c r="V10396" s="18">
        <f>628159998333</f>
        <v>628159998333</v>
      </c>
    </row>
    <row r="10397" ht="15" customHeight="1" spans="1:28" x14ac:dyDescent="0.25">
      <c r="A10397" s="17" t="s">
        <v>28621</v>
      </c>
      <c r="B10397" s="17" t="s">
        <v>70</v>
      </c>
      <c r="C10397" s="17" t="s">
        <v>71</v>
      </c>
      <c r="D10397" t="s">
        <v>28622</v>
      </c>
      <c r="F10397" t="s">
        <v>28622</v>
      </c>
      <c r="J10397" t="s">
        <v>115</v>
      </c>
      <c r="K10397" s="18" t="s">
        <v>28623</v>
      </c>
      <c r="N10397" s="17" t="s">
        <v>74</v>
      </c>
      <c r="O10397" t="s">
        <v>489</v>
      </c>
      <c r="V10397" s="18" t="s">
        <v>28623</v>
      </c>
      <c r="Y10397" s="17" t="s">
        <v>490</v>
      </c>
      <c r="AA10397" t="s">
        <v>115</v>
      </c>
      <c r="AB10397" t="s">
        <v>119</v>
      </c>
    </row>
    <row r="10398" ht="15" customHeight="1" spans="1:22" x14ac:dyDescent="0.25">
      <c r="A10398" s="17" t="s">
        <v>28624</v>
      </c>
      <c r="B10398" s="17" t="s">
        <v>70</v>
      </c>
      <c r="C10398" s="17" t="s">
        <v>71</v>
      </c>
      <c r="D10398" t="s">
        <v>28622</v>
      </c>
      <c r="F10398" t="s">
        <v>28625</v>
      </c>
      <c r="K10398" s="18">
        <f>62818231446</f>
        <v>62818231446</v>
      </c>
      <c r="N10398" s="17" t="s">
        <v>81</v>
      </c>
      <c r="V10398" s="18">
        <f>62818231446</f>
        <v>62818231446</v>
      </c>
    </row>
    <row r="10399" ht="15" customHeight="1" spans="1:22" x14ac:dyDescent="0.25">
      <c r="A10399" s="17" t="s">
        <v>28626</v>
      </c>
      <c r="B10399" s="17" t="s">
        <v>70</v>
      </c>
      <c r="C10399" s="17" t="s">
        <v>71</v>
      </c>
      <c r="D10399" t="s">
        <v>1699</v>
      </c>
      <c r="F10399" t="s">
        <v>13728</v>
      </c>
      <c r="K10399" s="18">
        <f>6281952588884</f>
        <v>6281952588884</v>
      </c>
      <c r="N10399" s="17" t="s">
        <v>81</v>
      </c>
      <c r="V10399" s="18">
        <f>6281952588884</f>
        <v>6281952588884</v>
      </c>
    </row>
    <row r="10400" ht="15" customHeight="1" spans="1:22" x14ac:dyDescent="0.25">
      <c r="A10400" s="17" t="s">
        <v>28627</v>
      </c>
      <c r="B10400" s="17" t="s">
        <v>70</v>
      </c>
      <c r="C10400" s="17" t="s">
        <v>71</v>
      </c>
      <c r="D10400" t="s">
        <v>755</v>
      </c>
      <c r="F10400" t="s">
        <v>755</v>
      </c>
      <c r="K10400" s="18">
        <f>628561517199</f>
        <v>628561517199</v>
      </c>
      <c r="N10400" s="17" t="s">
        <v>81</v>
      </c>
      <c r="V10400" s="18">
        <f>628561517199</f>
        <v>628561517199</v>
      </c>
    </row>
    <row r="10401" ht="15" customHeight="1" spans="1:25" x14ac:dyDescent="0.25">
      <c r="A10401" s="17" t="s">
        <v>28628</v>
      </c>
      <c r="B10401" s="17" t="s">
        <v>70</v>
      </c>
      <c r="C10401" s="17" t="s">
        <v>71</v>
      </c>
      <c r="D10401" t="s">
        <v>755</v>
      </c>
      <c r="F10401" t="s">
        <v>755</v>
      </c>
      <c r="K10401" s="18">
        <f>6281210042956</f>
        <v>6281210042956</v>
      </c>
      <c r="N10401" s="17" t="s">
        <v>77</v>
      </c>
      <c r="U10401" s="17"/>
      <c r="V10401" s="18">
        <f>6281210042956</f>
        <v>6281210042956</v>
      </c>
      <c r="W10401" t="s">
        <v>28629</v>
      </c>
      <c r="Y10401" s="17" t="s">
        <v>90</v>
      </c>
    </row>
    <row r="10402" ht="15" customHeight="1" spans="1:22" x14ac:dyDescent="0.25">
      <c r="A10402" s="17" t="s">
        <v>28630</v>
      </c>
      <c r="B10402" s="17" t="s">
        <v>70</v>
      </c>
      <c r="C10402" s="17" t="s">
        <v>71</v>
      </c>
      <c r="D10402" t="s">
        <v>755</v>
      </c>
      <c r="F10402" t="s">
        <v>19227</v>
      </c>
      <c r="K10402" s="18">
        <f>6281369039917</f>
        <v>6281369039917</v>
      </c>
      <c r="N10402" s="17" t="s">
        <v>77</v>
      </c>
      <c r="V10402" s="18">
        <f>6281369039917</f>
        <v>6281369039917</v>
      </c>
    </row>
    <row r="10403" ht="15" customHeight="1" spans="1:23" x14ac:dyDescent="0.25">
      <c r="A10403" s="17" t="s">
        <v>28631</v>
      </c>
      <c r="B10403" s="17" t="s">
        <v>70</v>
      </c>
      <c r="C10403" s="17" t="s">
        <v>71</v>
      </c>
      <c r="D10403" t="s">
        <v>755</v>
      </c>
      <c r="F10403" t="s">
        <v>11661</v>
      </c>
      <c r="K10403" s="18">
        <f>62818606162</f>
        <v>62818606162</v>
      </c>
      <c r="N10403" s="17" t="s">
        <v>74</v>
      </c>
      <c r="U10403" s="17"/>
      <c r="V10403" s="18">
        <f>62818606162</f>
        <v>62818606162</v>
      </c>
      <c r="W10403" t="s">
        <v>28632</v>
      </c>
    </row>
    <row r="10404" ht="15" customHeight="1" spans="1:28" x14ac:dyDescent="0.25">
      <c r="A10404" s="17" t="s">
        <v>28633</v>
      </c>
      <c r="B10404" s="17" t="s">
        <v>70</v>
      </c>
      <c r="C10404" s="17" t="s">
        <v>71</v>
      </c>
      <c r="D10404" t="s">
        <v>755</v>
      </c>
      <c r="F10404" t="s">
        <v>1024</v>
      </c>
      <c r="J10404" t="s">
        <v>115</v>
      </c>
      <c r="K10404" s="18" t="s">
        <v>28634</v>
      </c>
      <c r="N10404" s="17" t="s">
        <v>77</v>
      </c>
      <c r="O10404" t="s">
        <v>117</v>
      </c>
      <c r="U10404" s="17"/>
      <c r="V10404" s="18" t="s">
        <v>28634</v>
      </c>
      <c r="W10404" t="s">
        <v>28635</v>
      </c>
      <c r="Y10404" t="s">
        <v>190</v>
      </c>
      <c r="AA10404" s="17" t="s">
        <v>118</v>
      </c>
      <c r="AB10404" t="s">
        <v>119</v>
      </c>
    </row>
    <row r="10405" ht="15" customHeight="1" spans="1:23" x14ac:dyDescent="0.25">
      <c r="A10405" s="17" t="s">
        <v>28636</v>
      </c>
      <c r="B10405" s="17" t="s">
        <v>70</v>
      </c>
      <c r="C10405" s="17" t="s">
        <v>71</v>
      </c>
      <c r="D10405" t="s">
        <v>28637</v>
      </c>
      <c r="F10405" t="s">
        <v>28637</v>
      </c>
      <c r="K10405" s="18">
        <f>6285721213070</f>
        <v>6285721213070</v>
      </c>
      <c r="N10405" s="17" t="s">
        <v>81</v>
      </c>
      <c r="U10405" s="17"/>
      <c r="V10405" s="18">
        <f>6285721213070</f>
        <v>6285721213070</v>
      </c>
      <c r="W10405" t="s">
        <v>28638</v>
      </c>
    </row>
    <row r="10406" ht="15" customHeight="1" spans="1:23" x14ac:dyDescent="0.25">
      <c r="A10406" s="17" t="s">
        <v>28639</v>
      </c>
      <c r="B10406" s="17" t="s">
        <v>70</v>
      </c>
      <c r="C10406" s="17" t="s">
        <v>71</v>
      </c>
      <c r="D10406" t="s">
        <v>9606</v>
      </c>
      <c r="F10406" t="s">
        <v>8871</v>
      </c>
      <c r="J10406" s="17" t="s">
        <v>28640</v>
      </c>
      <c r="K10406" s="18">
        <f>628122482430</f>
        <v>628122482430</v>
      </c>
      <c r="N10406" s="17" t="s">
        <v>77</v>
      </c>
      <c r="U10406" s="17"/>
      <c r="V10406" s="18">
        <f>628122482430</f>
        <v>628122482430</v>
      </c>
      <c r="W10406" t="s">
        <v>28641</v>
      </c>
    </row>
    <row r="10407" ht="15" customHeight="1" spans="1:22" x14ac:dyDescent="0.25">
      <c r="A10407" s="17" t="s">
        <v>28642</v>
      </c>
      <c r="B10407" s="17" t="s">
        <v>70</v>
      </c>
      <c r="C10407" s="17" t="s">
        <v>71</v>
      </c>
      <c r="D10407" t="s">
        <v>12883</v>
      </c>
      <c r="F10407" t="s">
        <v>28643</v>
      </c>
      <c r="K10407" s="18">
        <f>628161885168</f>
        <v>628161885168</v>
      </c>
      <c r="N10407" s="17" t="s">
        <v>74</v>
      </c>
      <c r="V10407" s="18">
        <f>628161885168</f>
        <v>628161885168</v>
      </c>
    </row>
    <row r="10408" ht="15" customHeight="1" spans="1:22" x14ac:dyDescent="0.25">
      <c r="A10408" s="17" t="s">
        <v>28644</v>
      </c>
      <c r="B10408" s="17" t="s">
        <v>70</v>
      </c>
      <c r="C10408" s="17" t="s">
        <v>71</v>
      </c>
      <c r="D10408" t="s">
        <v>28645</v>
      </c>
      <c r="F10408" t="s">
        <v>28645</v>
      </c>
      <c r="K10408" s="18">
        <f>6281386910000</f>
        <v>6281386910000</v>
      </c>
      <c r="N10408" s="17" t="s">
        <v>77</v>
      </c>
      <c r="V10408" s="18">
        <f>6281386910000</f>
        <v>6281386910000</v>
      </c>
    </row>
    <row r="10409" ht="15" customHeight="1" spans="1:22" x14ac:dyDescent="0.25">
      <c r="A10409" s="17" t="s">
        <v>28646</v>
      </c>
      <c r="B10409" s="17" t="s">
        <v>70</v>
      </c>
      <c r="C10409" s="17" t="s">
        <v>71</v>
      </c>
      <c r="D10409" t="s">
        <v>28647</v>
      </c>
      <c r="F10409" t="s">
        <v>28648</v>
      </c>
      <c r="K10409" s="18">
        <f>60193181611</f>
        <v>60193181611</v>
      </c>
      <c r="N10409" s="17" t="s">
        <v>81</v>
      </c>
      <c r="V10409" s="18">
        <f>60193181611</f>
        <v>60193181611</v>
      </c>
    </row>
    <row r="10410" ht="15" customHeight="1" spans="1:25" x14ac:dyDescent="0.25">
      <c r="A10410" s="17" t="s">
        <v>28649</v>
      </c>
      <c r="B10410" s="17" t="s">
        <v>70</v>
      </c>
      <c r="C10410" s="17" t="s">
        <v>71</v>
      </c>
      <c r="D10410" t="s">
        <v>28647</v>
      </c>
      <c r="F10410" t="s">
        <v>20447</v>
      </c>
      <c r="K10410" s="18">
        <f>6282112394088</f>
        <v>6282112394088</v>
      </c>
      <c r="N10410" s="17" t="s">
        <v>81</v>
      </c>
      <c r="V10410" s="18">
        <f>6282112394088</f>
        <v>6282112394088</v>
      </c>
      <c r="Y10410" s="17" t="s">
        <v>7007</v>
      </c>
    </row>
    <row r="10411" ht="15" customHeight="1" spans="1:23" x14ac:dyDescent="0.25">
      <c r="A10411" s="17" t="s">
        <v>28650</v>
      </c>
      <c r="B10411" s="17" t="s">
        <v>70</v>
      </c>
      <c r="C10411" s="17" t="s">
        <v>71</v>
      </c>
      <c r="D10411" t="s">
        <v>28651</v>
      </c>
      <c r="F10411" t="s">
        <v>28651</v>
      </c>
      <c r="K10411" s="18">
        <f>6281253806889</f>
        <v>6281253806889</v>
      </c>
      <c r="N10411" s="17" t="s">
        <v>81</v>
      </c>
      <c r="U10411" s="17"/>
      <c r="V10411" s="18">
        <f>6281253806889</f>
        <v>6281253806889</v>
      </c>
      <c r="W10411" t="s">
        <v>28652</v>
      </c>
    </row>
    <row r="10412" ht="15" customHeight="1" spans="1:22" x14ac:dyDescent="0.25">
      <c r="A10412" s="17" t="s">
        <v>28653</v>
      </c>
      <c r="B10412" s="17" t="s">
        <v>70</v>
      </c>
      <c r="C10412" s="17" t="s">
        <v>71</v>
      </c>
      <c r="D10412" t="s">
        <v>28654</v>
      </c>
      <c r="F10412" t="s">
        <v>18679</v>
      </c>
      <c r="K10412" s="18">
        <f>6281105356</f>
        <v>6281105356</v>
      </c>
      <c r="N10412" s="17" t="s">
        <v>74</v>
      </c>
      <c r="V10412" s="18">
        <f>6281105356</f>
        <v>6281105356</v>
      </c>
    </row>
    <row r="10413" ht="15" customHeight="1" spans="1:25" x14ac:dyDescent="0.25">
      <c r="A10413" s="17" t="s">
        <v>28655</v>
      </c>
      <c r="B10413" s="17" t="s">
        <v>70</v>
      </c>
      <c r="C10413" s="17" t="s">
        <v>71</v>
      </c>
      <c r="D10413" t="s">
        <v>28656</v>
      </c>
      <c r="F10413" t="s">
        <v>28657</v>
      </c>
      <c r="K10413" s="18">
        <f>62818265822</f>
        <v>62818265822</v>
      </c>
      <c r="N10413" s="17" t="s">
        <v>77</v>
      </c>
      <c r="U10413" s="17"/>
      <c r="V10413" s="18">
        <f>62818265822</f>
        <v>62818265822</v>
      </c>
      <c r="W10413" t="s">
        <v>28658</v>
      </c>
      <c r="Y10413" s="17" t="s">
        <v>1968</v>
      </c>
    </row>
    <row r="10414" ht="15" customHeight="1" spans="1:22" x14ac:dyDescent="0.25">
      <c r="A10414" s="17" t="s">
        <v>28659</v>
      </c>
      <c r="B10414" s="17" t="s">
        <v>70</v>
      </c>
      <c r="C10414" s="17" t="s">
        <v>71</v>
      </c>
      <c r="D10414" t="s">
        <v>28660</v>
      </c>
      <c r="F10414" t="s">
        <v>28661</v>
      </c>
      <c r="J10414" s="17" t="s">
        <v>28662</v>
      </c>
      <c r="K10414" s="18">
        <f>6287884926236</f>
        <v>6287884926236</v>
      </c>
      <c r="N10414" s="17" t="s">
        <v>81</v>
      </c>
      <c r="V10414" s="18">
        <f>6287884926236</f>
        <v>6287884926236</v>
      </c>
    </row>
    <row r="10415" ht="15" customHeight="1" spans="1:22" x14ac:dyDescent="0.25">
      <c r="A10415" s="17" t="s">
        <v>28663</v>
      </c>
      <c r="B10415" s="17" t="s">
        <v>70</v>
      </c>
      <c r="C10415" s="17" t="s">
        <v>71</v>
      </c>
      <c r="D10415" t="s">
        <v>28664</v>
      </c>
      <c r="F10415" t="s">
        <v>28665</v>
      </c>
      <c r="K10415" s="18">
        <f>628124213652</f>
        <v>628124213652</v>
      </c>
      <c r="N10415" s="17" t="s">
        <v>81</v>
      </c>
      <c r="V10415" s="18">
        <f>628124213652</f>
        <v>628124213652</v>
      </c>
    </row>
    <row r="10416" ht="15" customHeight="1" spans="1:22" x14ac:dyDescent="0.25">
      <c r="A10416" s="17" t="s">
        <v>28666</v>
      </c>
      <c r="B10416" s="17" t="s">
        <v>70</v>
      </c>
      <c r="C10416" s="17" t="s">
        <v>71</v>
      </c>
      <c r="D10416" t="s">
        <v>28667</v>
      </c>
      <c r="F10416" t="s">
        <v>2441</v>
      </c>
      <c r="K10416" s="18">
        <f>6281511834670</f>
        <v>6281511834670</v>
      </c>
      <c r="N10416" s="17" t="s">
        <v>77</v>
      </c>
      <c r="V10416" s="18">
        <f>6281511834670</f>
        <v>6281511834670</v>
      </c>
    </row>
    <row r="10417" ht="15" customHeight="1" spans="1:22" x14ac:dyDescent="0.25">
      <c r="A10417" s="17" t="s">
        <v>28668</v>
      </c>
      <c r="B10417" s="17" t="s">
        <v>70</v>
      </c>
      <c r="C10417" s="17" t="s">
        <v>71</v>
      </c>
      <c r="D10417" t="s">
        <v>28669</v>
      </c>
      <c r="F10417" t="s">
        <v>28669</v>
      </c>
      <c r="K10417" s="18">
        <f>628115802735</f>
        <v>628115802735</v>
      </c>
      <c r="N10417" s="17" t="s">
        <v>81</v>
      </c>
      <c r="V10417" s="18">
        <f>628115802735</f>
        <v>628115802735</v>
      </c>
    </row>
    <row r="10418" ht="15" customHeight="1" spans="1:23" x14ac:dyDescent="0.25">
      <c r="A10418" s="17" t="s">
        <v>28670</v>
      </c>
      <c r="B10418" s="17" t="s">
        <v>70</v>
      </c>
      <c r="C10418" s="17" t="s">
        <v>71</v>
      </c>
      <c r="D10418" t="s">
        <v>28671</v>
      </c>
      <c r="F10418" t="s">
        <v>3002</v>
      </c>
      <c r="K10418" s="18">
        <f>40721367220</f>
        <v>40721367220</v>
      </c>
      <c r="N10418" s="17" t="s">
        <v>77</v>
      </c>
      <c r="U10418" s="17"/>
      <c r="V10418" s="18">
        <f>40721367220</f>
        <v>40721367220</v>
      </c>
      <c r="W10418" t="s">
        <v>28672</v>
      </c>
    </row>
    <row r="10419" ht="15" customHeight="1" spans="1:28" x14ac:dyDescent="0.25">
      <c r="A10419" s="17" t="s">
        <v>28673</v>
      </c>
      <c r="B10419" s="17" t="s">
        <v>70</v>
      </c>
      <c r="C10419" s="17" t="s">
        <v>71</v>
      </c>
      <c r="D10419" t="s">
        <v>28674</v>
      </c>
      <c r="F10419" t="s">
        <v>28675</v>
      </c>
      <c r="J10419" s="17" t="s">
        <v>28676</v>
      </c>
      <c r="K10419" s="18" t="s">
        <v>28677</v>
      </c>
      <c r="N10419" s="17" t="s">
        <v>77</v>
      </c>
      <c r="O10419" t="s">
        <v>199</v>
      </c>
      <c r="V10419" s="18" t="s">
        <v>28677</v>
      </c>
      <c r="Y10419" t="s">
        <v>115</v>
      </c>
      <c r="AA10419" t="s">
        <v>115</v>
      </c>
      <c r="AB10419" t="s">
        <v>920</v>
      </c>
    </row>
    <row r="10420" ht="15" customHeight="1" spans="1:28" x14ac:dyDescent="0.25">
      <c r="A10420" s="17" t="s">
        <v>28678</v>
      </c>
      <c r="B10420" s="17" t="s">
        <v>70</v>
      </c>
      <c r="C10420" s="17" t="s">
        <v>71</v>
      </c>
      <c r="D10420" t="s">
        <v>28679</v>
      </c>
      <c r="F10420" t="s">
        <v>1704</v>
      </c>
      <c r="J10420" t="s">
        <v>115</v>
      </c>
      <c r="K10420" s="18" t="s">
        <v>28680</v>
      </c>
      <c r="N10420" s="17" t="s">
        <v>77</v>
      </c>
      <c r="O10420" t="s">
        <v>117</v>
      </c>
      <c r="V10420" s="18" t="s">
        <v>28680</v>
      </c>
      <c r="Y10420" t="s">
        <v>90</v>
      </c>
      <c r="AA10420" t="s">
        <v>118</v>
      </c>
      <c r="AB10420" t="s">
        <v>119</v>
      </c>
    </row>
    <row r="10421" ht="15" customHeight="1" spans="1:22" x14ac:dyDescent="0.25">
      <c r="A10421" s="17" t="s">
        <v>28681</v>
      </c>
      <c r="B10421" s="17" t="s">
        <v>70</v>
      </c>
      <c r="C10421" s="17" t="s">
        <v>71</v>
      </c>
      <c r="D10421" t="s">
        <v>28682</v>
      </c>
      <c r="F10421" t="s">
        <v>282</v>
      </c>
      <c r="K10421" s="18">
        <f>62816842512</f>
        <v>62816842512</v>
      </c>
      <c r="N10421" s="17" t="s">
        <v>77</v>
      </c>
      <c r="V10421" s="18">
        <f>62816842512</f>
        <v>62816842512</v>
      </c>
    </row>
    <row r="10422" ht="15" customHeight="1" spans="1:25" x14ac:dyDescent="0.25">
      <c r="A10422" s="17" t="s">
        <v>28683</v>
      </c>
      <c r="B10422" s="17" t="s">
        <v>70</v>
      </c>
      <c r="C10422" s="17" t="s">
        <v>71</v>
      </c>
      <c r="D10422" t="s">
        <v>28684</v>
      </c>
      <c r="F10422" t="s">
        <v>28684</v>
      </c>
      <c r="K10422" s="18" t="s">
        <v>28685</v>
      </c>
      <c r="N10422" s="17" t="s">
        <v>74</v>
      </c>
      <c r="U10422" s="17"/>
      <c r="V10422" s="18" t="s">
        <v>28685</v>
      </c>
      <c r="W10422" t="s">
        <v>28686</v>
      </c>
      <c r="Y10422" s="17" t="s">
        <v>7007</v>
      </c>
    </row>
    <row r="10423" ht="15" customHeight="1" spans="1:27" x14ac:dyDescent="0.25">
      <c r="A10423" s="17" t="s">
        <v>28687</v>
      </c>
      <c r="B10423" s="17" t="s">
        <v>70</v>
      </c>
      <c r="C10423" s="17" t="s">
        <v>71</v>
      </c>
      <c r="D10423" t="s">
        <v>28688</v>
      </c>
      <c r="F10423" t="s">
        <v>28689</v>
      </c>
      <c r="K10423" s="18">
        <f>62811867847</f>
        <v>62811867847</v>
      </c>
      <c r="N10423" s="17" t="s">
        <v>77</v>
      </c>
      <c r="U10423" s="17"/>
      <c r="V10423" s="18">
        <f>62811867847</f>
        <v>62811867847</v>
      </c>
      <c r="W10423" t="s">
        <v>28690</v>
      </c>
      <c r="Y10423" s="17" t="s">
        <v>90</v>
      </c>
      <c r="AA10423" s="17">
        <v>11470</v>
      </c>
    </row>
    <row r="10424" ht="15" customHeight="1" spans="1:22" x14ac:dyDescent="0.25">
      <c r="A10424" s="17" t="s">
        <v>28691</v>
      </c>
      <c r="B10424" s="17" t="s">
        <v>70</v>
      </c>
      <c r="C10424" s="17" t="s">
        <v>71</v>
      </c>
      <c r="D10424" t="s">
        <v>28692</v>
      </c>
      <c r="F10424" t="s">
        <v>28692</v>
      </c>
      <c r="K10424" s="18">
        <f>622198015798</f>
        <v>622198015798</v>
      </c>
      <c r="N10424" s="17" t="s">
        <v>81</v>
      </c>
      <c r="V10424" s="18">
        <f>622198015798</f>
        <v>622198015798</v>
      </c>
    </row>
    <row r="10425" ht="15" customHeight="1" spans="1:22" x14ac:dyDescent="0.25">
      <c r="A10425" s="17" t="s">
        <v>28693</v>
      </c>
      <c r="B10425" s="17" t="s">
        <v>70</v>
      </c>
      <c r="C10425" s="17" t="s">
        <v>71</v>
      </c>
      <c r="D10425" t="s">
        <v>28694</v>
      </c>
      <c r="F10425" t="s">
        <v>28695</v>
      </c>
      <c r="K10425" s="18">
        <f>62813939967778</f>
        <v>62813939967778</v>
      </c>
      <c r="N10425" s="17" t="s">
        <v>81</v>
      </c>
      <c r="V10425" s="18">
        <f>62813939967778</f>
        <v>62813939967778</v>
      </c>
    </row>
    <row r="10426" ht="15" customHeight="1" spans="1:22" x14ac:dyDescent="0.25">
      <c r="A10426" s="17" t="s">
        <v>28696</v>
      </c>
      <c r="B10426" s="17" t="s">
        <v>70</v>
      </c>
      <c r="C10426" s="17" t="s">
        <v>71</v>
      </c>
      <c r="D10426" t="s">
        <v>28697</v>
      </c>
      <c r="F10426" t="s">
        <v>28697</v>
      </c>
      <c r="K10426" s="18">
        <f>6285228003994</f>
        <v>6285228003994</v>
      </c>
      <c r="N10426" s="17" t="s">
        <v>77</v>
      </c>
      <c r="V10426" s="18">
        <f>6285228003994</f>
        <v>6285228003994</v>
      </c>
    </row>
    <row r="10427" ht="15" customHeight="1" spans="1:22" x14ac:dyDescent="0.25">
      <c r="A10427" s="17" t="s">
        <v>28698</v>
      </c>
      <c r="B10427" s="17" t="s">
        <v>70</v>
      </c>
      <c r="C10427" s="17" t="s">
        <v>71</v>
      </c>
      <c r="D10427" t="s">
        <v>28699</v>
      </c>
      <c r="F10427" t="s">
        <v>28700</v>
      </c>
      <c r="K10427" s="18">
        <f>6281212771212</f>
        <v>6281212771212</v>
      </c>
      <c r="N10427" s="17" t="s">
        <v>77</v>
      </c>
      <c r="V10427" s="18">
        <f>6281212771212</f>
        <v>6281212771212</v>
      </c>
    </row>
    <row r="10428" ht="15" customHeight="1" spans="1:22" x14ac:dyDescent="0.25">
      <c r="A10428" s="17" t="s">
        <v>28701</v>
      </c>
      <c r="B10428" s="17" t="s">
        <v>70</v>
      </c>
      <c r="C10428" s="17" t="s">
        <v>71</v>
      </c>
      <c r="D10428" t="s">
        <v>28702</v>
      </c>
      <c r="F10428" t="s">
        <v>28702</v>
      </c>
      <c r="K10428" s="18">
        <f>62811557822</f>
        <v>62811557822</v>
      </c>
      <c r="N10428" s="17" t="s">
        <v>77</v>
      </c>
      <c r="V10428" s="18">
        <f>62811557822</f>
        <v>62811557822</v>
      </c>
    </row>
    <row r="10429" ht="15" customHeight="1" spans="1:23" x14ac:dyDescent="0.25">
      <c r="A10429" s="17" t="s">
        <v>28703</v>
      </c>
      <c r="B10429" s="17" t="s">
        <v>70</v>
      </c>
      <c r="C10429" s="17" t="s">
        <v>71</v>
      </c>
      <c r="D10429" t="s">
        <v>25639</v>
      </c>
      <c r="F10429" t="s">
        <v>28704</v>
      </c>
      <c r="K10429" s="18">
        <f>971585145555</f>
        <v>971585145555</v>
      </c>
      <c r="N10429" s="17" t="s">
        <v>77</v>
      </c>
      <c r="U10429" s="17"/>
      <c r="V10429" s="18">
        <f>971585145555</f>
        <v>971585145555</v>
      </c>
      <c r="W10429" t="s">
        <v>13647</v>
      </c>
    </row>
    <row r="10430" ht="15" customHeight="1" spans="1:22" x14ac:dyDescent="0.25">
      <c r="A10430" s="17" t="s">
        <v>28705</v>
      </c>
      <c r="B10430" s="17" t="s">
        <v>70</v>
      </c>
      <c r="C10430" s="17" t="s">
        <v>71</v>
      </c>
      <c r="D10430" t="s">
        <v>28706</v>
      </c>
      <c r="F10430" t="s">
        <v>28706</v>
      </c>
      <c r="K10430" s="18">
        <f>62811868626</f>
        <v>62811868626</v>
      </c>
      <c r="N10430" s="17" t="s">
        <v>77</v>
      </c>
      <c r="V10430" s="18">
        <f>62811868626</f>
        <v>62811868626</v>
      </c>
    </row>
    <row r="10431" ht="15" customHeight="1" spans="1:28" x14ac:dyDescent="0.25">
      <c r="A10431" s="17" t="s">
        <v>28707</v>
      </c>
      <c r="B10431" s="17" t="s">
        <v>70</v>
      </c>
      <c r="C10431" s="17" t="s">
        <v>71</v>
      </c>
      <c r="D10431" t="s">
        <v>28706</v>
      </c>
      <c r="F10431" t="s">
        <v>1596</v>
      </c>
      <c r="J10431" t="s">
        <v>115</v>
      </c>
      <c r="K10431" s="18" t="s">
        <v>28708</v>
      </c>
      <c r="N10431" s="17" t="s">
        <v>77</v>
      </c>
      <c r="O10431" t="s">
        <v>199</v>
      </c>
      <c r="V10431" s="18" t="s">
        <v>28708</v>
      </c>
      <c r="Y10431" t="s">
        <v>90</v>
      </c>
      <c r="AA10431" t="s">
        <v>118</v>
      </c>
      <c r="AB10431" t="s">
        <v>119</v>
      </c>
    </row>
    <row r="10432" ht="15" customHeight="1" spans="1:28" x14ac:dyDescent="0.25">
      <c r="A10432" s="17" t="s">
        <v>28709</v>
      </c>
      <c r="B10432" s="17" t="s">
        <v>70</v>
      </c>
      <c r="C10432" s="17" t="s">
        <v>71</v>
      </c>
      <c r="D10432" t="s">
        <v>28706</v>
      </c>
      <c r="F10432" t="s">
        <v>9659</v>
      </c>
      <c r="J10432" t="s">
        <v>115</v>
      </c>
      <c r="K10432" s="18" t="s">
        <v>28710</v>
      </c>
      <c r="N10432" s="17" t="s">
        <v>77</v>
      </c>
      <c r="O10432" t="s">
        <v>199</v>
      </c>
      <c r="V10432" s="18" t="s">
        <v>28710</v>
      </c>
      <c r="Y10432" t="s">
        <v>115</v>
      </c>
      <c r="AA10432" t="s">
        <v>115</v>
      </c>
      <c r="AB10432" t="s">
        <v>119</v>
      </c>
    </row>
    <row r="10433" ht="15" customHeight="1" spans="1:28" x14ac:dyDescent="0.25">
      <c r="A10433" s="17" t="s">
        <v>28711</v>
      </c>
      <c r="B10433" s="17" t="s">
        <v>70</v>
      </c>
      <c r="C10433" s="17" t="s">
        <v>71</v>
      </c>
      <c r="D10433" t="s">
        <v>28706</v>
      </c>
      <c r="F10433" t="s">
        <v>2258</v>
      </c>
      <c r="J10433" t="s">
        <v>115</v>
      </c>
      <c r="K10433" s="18" t="s">
        <v>28712</v>
      </c>
      <c r="N10433" s="17" t="s">
        <v>77</v>
      </c>
      <c r="O10433" t="s">
        <v>145</v>
      </c>
      <c r="U10433" s="17"/>
      <c r="V10433" s="18" t="s">
        <v>28712</v>
      </c>
      <c r="W10433" t="s">
        <v>10914</v>
      </c>
      <c r="Y10433" t="s">
        <v>115</v>
      </c>
      <c r="AA10433" t="s">
        <v>115</v>
      </c>
      <c r="AB10433" t="s">
        <v>119</v>
      </c>
    </row>
    <row r="10434" ht="15" customHeight="1" spans="1:22" x14ac:dyDescent="0.25">
      <c r="A10434" s="17" t="s">
        <v>28713</v>
      </c>
      <c r="B10434" s="17" t="s">
        <v>70</v>
      </c>
      <c r="C10434" s="17" t="s">
        <v>71</v>
      </c>
      <c r="D10434" t="s">
        <v>28714</v>
      </c>
      <c r="F10434" t="s">
        <v>28714</v>
      </c>
      <c r="K10434" s="18">
        <f>628161170812</f>
        <v>628161170812</v>
      </c>
      <c r="N10434" s="17" t="s">
        <v>77</v>
      </c>
      <c r="V10434" s="18">
        <f>628161170812</f>
        <v>628161170812</v>
      </c>
    </row>
    <row r="10435" ht="15" customHeight="1" spans="1:22" x14ac:dyDescent="0.25">
      <c r="A10435" s="17" t="s">
        <v>28715</v>
      </c>
      <c r="B10435" s="17" t="s">
        <v>70</v>
      </c>
      <c r="C10435" s="17" t="s">
        <v>71</v>
      </c>
      <c r="D10435" t="s">
        <v>19176</v>
      </c>
      <c r="F10435" t="s">
        <v>19176</v>
      </c>
      <c r="K10435" s="18">
        <f>62811850794</f>
        <v>62811850794</v>
      </c>
      <c r="N10435" s="17" t="s">
        <v>74</v>
      </c>
      <c r="V10435" s="18">
        <f>62811850794</f>
        <v>62811850794</v>
      </c>
    </row>
    <row r="10436" ht="15" customHeight="1" spans="1:22" x14ac:dyDescent="0.25">
      <c r="A10436" s="17" t="s">
        <v>28716</v>
      </c>
      <c r="B10436" s="17" t="s">
        <v>70</v>
      </c>
      <c r="C10436" s="17" t="s">
        <v>71</v>
      </c>
      <c r="D10436" t="s">
        <v>19176</v>
      </c>
      <c r="F10436" t="s">
        <v>19176</v>
      </c>
      <c r="K10436" s="18">
        <f>62811680797</f>
        <v>62811680797</v>
      </c>
      <c r="N10436" s="17" t="s">
        <v>77</v>
      </c>
      <c r="V10436" s="18">
        <f>62811680797</f>
        <v>62811680797</v>
      </c>
    </row>
    <row r="10437" ht="15" customHeight="1" spans="1:28" x14ac:dyDescent="0.25">
      <c r="A10437" s="17" t="s">
        <v>28717</v>
      </c>
      <c r="B10437" s="17" t="s">
        <v>70</v>
      </c>
      <c r="C10437" s="17" t="s">
        <v>71</v>
      </c>
      <c r="D10437" t="s">
        <v>19176</v>
      </c>
      <c r="F10437" t="s">
        <v>4616</v>
      </c>
      <c r="J10437" t="s">
        <v>115</v>
      </c>
      <c r="K10437" s="18" t="s">
        <v>28718</v>
      </c>
      <c r="N10437" s="17" t="s">
        <v>77</v>
      </c>
      <c r="O10437" t="s">
        <v>199</v>
      </c>
      <c r="V10437" s="18" t="s">
        <v>28718</v>
      </c>
      <c r="Y10437" t="s">
        <v>3028</v>
      </c>
      <c r="AA10437" t="s">
        <v>9062</v>
      </c>
      <c r="AB10437" t="s">
        <v>119</v>
      </c>
    </row>
    <row r="10438" ht="15" customHeight="1" spans="1:22" x14ac:dyDescent="0.25">
      <c r="A10438" s="17" t="s">
        <v>28719</v>
      </c>
      <c r="B10438" s="17" t="s">
        <v>70</v>
      </c>
      <c r="C10438" s="17" t="s">
        <v>71</v>
      </c>
      <c r="D10438" t="s">
        <v>19176</v>
      </c>
      <c r="F10438" t="s">
        <v>24446</v>
      </c>
      <c r="K10438" s="18">
        <f>62811898251</f>
        <v>62811898251</v>
      </c>
      <c r="N10438" s="17" t="s">
        <v>81</v>
      </c>
      <c r="V10438" s="18">
        <f>62811898251</f>
        <v>62811898251</v>
      </c>
    </row>
    <row r="10439" ht="15" customHeight="1" spans="1:22" x14ac:dyDescent="0.25">
      <c r="A10439" s="17" t="s">
        <v>28720</v>
      </c>
      <c r="B10439" s="17" t="s">
        <v>70</v>
      </c>
      <c r="C10439" s="17" t="s">
        <v>71</v>
      </c>
      <c r="D10439" t="s">
        <v>28721</v>
      </c>
      <c r="F10439" t="s">
        <v>28721</v>
      </c>
      <c r="K10439" s="18">
        <f>628161110705</f>
        <v>628161110705</v>
      </c>
      <c r="N10439" s="17" t="s">
        <v>74</v>
      </c>
      <c r="V10439" s="18">
        <f>628161110705</f>
        <v>628161110705</v>
      </c>
    </row>
    <row r="10440" ht="15" customHeight="1" spans="1:22" x14ac:dyDescent="0.25">
      <c r="A10440" s="17" t="s">
        <v>28722</v>
      </c>
      <c r="B10440" s="17" t="s">
        <v>70</v>
      </c>
      <c r="C10440" s="17" t="s">
        <v>71</v>
      </c>
      <c r="D10440" t="s">
        <v>28721</v>
      </c>
      <c r="F10440" t="s">
        <v>28721</v>
      </c>
      <c r="K10440" s="18">
        <f>628119991359</f>
        <v>628119991359</v>
      </c>
      <c r="N10440" s="17" t="s">
        <v>77</v>
      </c>
      <c r="V10440" s="18">
        <f>628119991359</f>
        <v>628119991359</v>
      </c>
    </row>
    <row r="10441" ht="15" customHeight="1" spans="1:22" x14ac:dyDescent="0.25">
      <c r="A10441" s="17" t="s">
        <v>28723</v>
      </c>
      <c r="B10441" s="17" t="s">
        <v>70</v>
      </c>
      <c r="C10441" s="17" t="s">
        <v>71</v>
      </c>
      <c r="D10441" t="s">
        <v>28721</v>
      </c>
      <c r="F10441" t="s">
        <v>4731</v>
      </c>
      <c r="K10441" s="18">
        <f>6287887570128</f>
        <v>6287887570128</v>
      </c>
      <c r="N10441" s="17" t="s">
        <v>81</v>
      </c>
      <c r="V10441" s="18">
        <f>6287887570128</f>
        <v>6287887570128</v>
      </c>
    </row>
    <row r="10442" ht="15" customHeight="1" spans="1:28" x14ac:dyDescent="0.25">
      <c r="A10442" s="17" t="s">
        <v>28724</v>
      </c>
      <c r="B10442" s="17" t="s">
        <v>70</v>
      </c>
      <c r="C10442" s="17" t="s">
        <v>71</v>
      </c>
      <c r="D10442" t="s">
        <v>28721</v>
      </c>
      <c r="F10442" t="s">
        <v>28725</v>
      </c>
      <c r="J10442" s="17" t="s">
        <v>28726</v>
      </c>
      <c r="K10442" s="18" t="s">
        <v>28727</v>
      </c>
      <c r="N10442" s="17" t="s">
        <v>77</v>
      </c>
      <c r="O10442" t="s">
        <v>145</v>
      </c>
      <c r="U10442" s="17"/>
      <c r="V10442" s="18" t="s">
        <v>28727</v>
      </c>
      <c r="W10442" t="s">
        <v>28728</v>
      </c>
      <c r="Y10442" t="s">
        <v>515</v>
      </c>
      <c r="AA10442" s="17" t="s">
        <v>1614</v>
      </c>
      <c r="AB10442" t="s">
        <v>119</v>
      </c>
    </row>
    <row r="10443" ht="15" customHeight="1" spans="1:22" x14ac:dyDescent="0.25">
      <c r="A10443" s="17" t="s">
        <v>28729</v>
      </c>
      <c r="B10443" s="17" t="s">
        <v>70</v>
      </c>
      <c r="C10443" s="17" t="s">
        <v>71</v>
      </c>
      <c r="D10443" t="s">
        <v>28721</v>
      </c>
      <c r="F10443" t="s">
        <v>28730</v>
      </c>
      <c r="K10443" s="18">
        <f>62819699917</f>
        <v>62819699917</v>
      </c>
      <c r="N10443" s="17" t="s">
        <v>81</v>
      </c>
      <c r="V10443" s="18">
        <f>62819699917</f>
        <v>62819699917</v>
      </c>
    </row>
    <row r="10444" ht="15" customHeight="1" spans="1:22" x14ac:dyDescent="0.25">
      <c r="A10444" s="17" t="s">
        <v>28731</v>
      </c>
      <c r="B10444" s="17" t="s">
        <v>70</v>
      </c>
      <c r="C10444" s="17" t="s">
        <v>71</v>
      </c>
      <c r="D10444" t="s">
        <v>28721</v>
      </c>
      <c r="F10444" t="s">
        <v>28732</v>
      </c>
      <c r="K10444" s="18">
        <f>6281222229364</f>
        <v>6281222229364</v>
      </c>
      <c r="N10444" s="17" t="s">
        <v>74</v>
      </c>
      <c r="V10444" s="18">
        <f>6281222229364</f>
        <v>6281222229364</v>
      </c>
    </row>
    <row r="10445" ht="15" customHeight="1" spans="1:27" x14ac:dyDescent="0.25">
      <c r="A10445" s="17" t="s">
        <v>28733</v>
      </c>
      <c r="B10445" s="17" t="s">
        <v>70</v>
      </c>
      <c r="C10445" s="17" t="s">
        <v>71</v>
      </c>
      <c r="D10445" t="s">
        <v>28734</v>
      </c>
      <c r="F10445" t="s">
        <v>28735</v>
      </c>
      <c r="K10445" s="18">
        <f>919822093939</f>
        <v>919822093939</v>
      </c>
      <c r="N10445" s="17" t="s">
        <v>77</v>
      </c>
      <c r="U10445" s="17"/>
      <c r="V10445" s="18">
        <f>919822093939</f>
        <v>919822093939</v>
      </c>
      <c r="W10445" t="s">
        <v>1315</v>
      </c>
      <c r="AA10445" s="17" t="s">
        <v>28736</v>
      </c>
    </row>
    <row r="10446" ht="15" customHeight="1" spans="1:23" x14ac:dyDescent="0.25">
      <c r="A10446" s="17" t="s">
        <v>28737</v>
      </c>
      <c r="B10446" s="17" t="s">
        <v>70</v>
      </c>
      <c r="C10446" s="17" t="s">
        <v>71</v>
      </c>
      <c r="D10446" t="s">
        <v>28738</v>
      </c>
      <c r="F10446" t="s">
        <v>28739</v>
      </c>
      <c r="K10446" s="18">
        <f>919663260202</f>
        <v>919663260202</v>
      </c>
      <c r="N10446" s="17" t="s">
        <v>77</v>
      </c>
      <c r="U10446" s="17"/>
      <c r="V10446" s="18">
        <f>919663260202</f>
        <v>919663260202</v>
      </c>
      <c r="W10446" t="s">
        <v>920</v>
      </c>
    </row>
    <row r="10447" ht="15" customHeight="1" spans="1:22" x14ac:dyDescent="0.25">
      <c r="A10447" s="17" t="s">
        <v>28740</v>
      </c>
      <c r="B10447" s="17" t="s">
        <v>70</v>
      </c>
      <c r="C10447" s="17" t="s">
        <v>71</v>
      </c>
      <c r="D10447" t="s">
        <v>28741</v>
      </c>
      <c r="F10447" t="s">
        <v>28741</v>
      </c>
      <c r="K10447" s="18">
        <f>628111118989</f>
        <v>628111118989</v>
      </c>
      <c r="N10447" s="17" t="s">
        <v>77</v>
      </c>
      <c r="V10447" s="18">
        <f>628111118989</f>
        <v>628111118989</v>
      </c>
    </row>
    <row r="10448" ht="15" customHeight="1" spans="1:22" x14ac:dyDescent="0.25">
      <c r="A10448" s="17" t="s">
        <v>28742</v>
      </c>
      <c r="B10448" s="17" t="s">
        <v>70</v>
      </c>
      <c r="C10448" s="17" t="s">
        <v>71</v>
      </c>
      <c r="D10448" t="s">
        <v>28743</v>
      </c>
      <c r="F10448" t="s">
        <v>12391</v>
      </c>
      <c r="K10448" s="18">
        <f>62811894513</f>
        <v>62811894513</v>
      </c>
      <c r="N10448" s="17" t="s">
        <v>74</v>
      </c>
      <c r="V10448" s="18">
        <f>62811894513</f>
        <v>62811894513</v>
      </c>
    </row>
    <row r="10449" ht="15" customHeight="1" spans="1:28" x14ac:dyDescent="0.25">
      <c r="A10449" s="17" t="s">
        <v>28744</v>
      </c>
      <c r="B10449" s="17" t="s">
        <v>70</v>
      </c>
      <c r="C10449" s="17" t="s">
        <v>71</v>
      </c>
      <c r="D10449" t="s">
        <v>28745</v>
      </c>
      <c r="F10449" t="s">
        <v>28746</v>
      </c>
      <c r="J10449" t="s">
        <v>115</v>
      </c>
      <c r="K10449" s="18" t="s">
        <v>28747</v>
      </c>
      <c r="N10449" s="17" t="s">
        <v>77</v>
      </c>
      <c r="O10449" t="s">
        <v>489</v>
      </c>
      <c r="U10449" s="17"/>
      <c r="V10449" s="18" t="s">
        <v>28747</v>
      </c>
      <c r="W10449" t="s">
        <v>28748</v>
      </c>
      <c r="Y10449" t="s">
        <v>190</v>
      </c>
      <c r="AA10449" t="s">
        <v>118</v>
      </c>
      <c r="AB10449" t="s">
        <v>119</v>
      </c>
    </row>
    <row r="10450" ht="15" customHeight="1" spans="1:23" x14ac:dyDescent="0.25">
      <c r="A10450" s="17" t="s">
        <v>28749</v>
      </c>
      <c r="B10450" s="17" t="s">
        <v>70</v>
      </c>
      <c r="C10450" s="17" t="s">
        <v>71</v>
      </c>
      <c r="D10450" t="s">
        <v>28750</v>
      </c>
      <c r="F10450" t="s">
        <v>1754</v>
      </c>
      <c r="K10450" s="18">
        <f>821089312325</f>
        <v>821089312325</v>
      </c>
      <c r="N10450" s="17" t="s">
        <v>81</v>
      </c>
      <c r="U10450" s="17"/>
      <c r="V10450" s="18">
        <f>821089312325</f>
        <v>821089312325</v>
      </c>
      <c r="W10450" t="s">
        <v>23476</v>
      </c>
    </row>
    <row r="10451" ht="15" customHeight="1" spans="1:22" x14ac:dyDescent="0.25">
      <c r="A10451" s="17" t="s">
        <v>28751</v>
      </c>
      <c r="B10451" s="17" t="s">
        <v>70</v>
      </c>
      <c r="C10451" s="17" t="s">
        <v>71</v>
      </c>
      <c r="D10451" t="s">
        <v>28752</v>
      </c>
      <c r="F10451" t="s">
        <v>28753</v>
      </c>
      <c r="K10451" s="18">
        <f>6281260311188</f>
        <v>6281260311188</v>
      </c>
      <c r="N10451" s="17" t="s">
        <v>77</v>
      </c>
      <c r="V10451" s="18">
        <f>6281260311188</f>
        <v>6281260311188</v>
      </c>
    </row>
    <row r="10452" ht="15" customHeight="1" spans="1:23" x14ac:dyDescent="0.25">
      <c r="A10452" s="17" t="s">
        <v>28754</v>
      </c>
      <c r="B10452" s="17" t="s">
        <v>70</v>
      </c>
      <c r="C10452" s="17" t="s">
        <v>71</v>
      </c>
      <c r="D10452" t="s">
        <v>28755</v>
      </c>
      <c r="F10452" t="s">
        <v>1754</v>
      </c>
      <c r="J10452" s="17" t="s">
        <v>28756</v>
      </c>
      <c r="K10452" s="18">
        <f>62811842185</f>
        <v>62811842185</v>
      </c>
      <c r="N10452" s="17" t="s">
        <v>74</v>
      </c>
      <c r="U10452" s="17"/>
      <c r="V10452" s="18">
        <f>62811842185</f>
        <v>62811842185</v>
      </c>
      <c r="W10452" t="s">
        <v>28757</v>
      </c>
    </row>
    <row r="10453" ht="15" customHeight="1" spans="1:28" x14ac:dyDescent="0.25">
      <c r="A10453" s="17" t="s">
        <v>28758</v>
      </c>
      <c r="B10453" s="17" t="s">
        <v>70</v>
      </c>
      <c r="C10453" s="17" t="s">
        <v>71</v>
      </c>
      <c r="D10453" t="s">
        <v>28759</v>
      </c>
      <c r="F10453" t="s">
        <v>28760</v>
      </c>
      <c r="J10453" s="17" t="s">
        <v>28761</v>
      </c>
      <c r="K10453" s="18" t="s">
        <v>28762</v>
      </c>
      <c r="N10453" s="17" t="s">
        <v>77</v>
      </c>
      <c r="O10453" t="s">
        <v>145</v>
      </c>
      <c r="U10453" s="17"/>
      <c r="V10453" s="18" t="s">
        <v>28762</v>
      </c>
      <c r="W10453" t="s">
        <v>28763</v>
      </c>
      <c r="Y10453" t="s">
        <v>190</v>
      </c>
      <c r="AA10453" t="s">
        <v>118</v>
      </c>
      <c r="AB10453" t="s">
        <v>119</v>
      </c>
    </row>
    <row r="10454" ht="15" customHeight="1" spans="1:28" x14ac:dyDescent="0.25">
      <c r="A10454" s="17" t="s">
        <v>28764</v>
      </c>
      <c r="B10454" s="17" t="s">
        <v>70</v>
      </c>
      <c r="C10454" s="17" t="s">
        <v>71</v>
      </c>
      <c r="D10454" t="s">
        <v>28765</v>
      </c>
      <c r="F10454" t="s">
        <v>28765</v>
      </c>
      <c r="J10454" s="17" t="s">
        <v>28766</v>
      </c>
      <c r="K10454" s="18" t="s">
        <v>28767</v>
      </c>
      <c r="N10454" s="17" t="s">
        <v>74</v>
      </c>
      <c r="O10454" t="s">
        <v>261</v>
      </c>
      <c r="U10454" s="17"/>
      <c r="V10454" s="18" t="s">
        <v>28767</v>
      </c>
      <c r="W10454" t="s">
        <v>28768</v>
      </c>
      <c r="Y10454" t="s">
        <v>90</v>
      </c>
      <c r="AA10454" t="s">
        <v>118</v>
      </c>
      <c r="AB10454" t="s">
        <v>119</v>
      </c>
    </row>
    <row r="10455" ht="15" customHeight="1" spans="1:22" x14ac:dyDescent="0.25">
      <c r="A10455" s="17" t="s">
        <v>28769</v>
      </c>
      <c r="B10455" s="17" t="s">
        <v>70</v>
      </c>
      <c r="C10455" s="17" t="s">
        <v>71</v>
      </c>
      <c r="D10455" t="s">
        <v>28770</v>
      </c>
      <c r="F10455" t="s">
        <v>28771</v>
      </c>
      <c r="K10455" s="18">
        <f>62818878776</f>
        <v>62818878776</v>
      </c>
      <c r="N10455" s="17" t="s">
        <v>77</v>
      </c>
      <c r="V10455" s="18">
        <f>62818878776</f>
        <v>62818878776</v>
      </c>
    </row>
    <row r="10456" ht="15" customHeight="1" spans="1:22" x14ac:dyDescent="0.25">
      <c r="A10456" s="17" t="s">
        <v>28772</v>
      </c>
      <c r="B10456" s="17" t="s">
        <v>70</v>
      </c>
      <c r="C10456" s="17" t="s">
        <v>71</v>
      </c>
      <c r="D10456" t="s">
        <v>7101</v>
      </c>
      <c r="F10456" t="s">
        <v>28773</v>
      </c>
      <c r="K10456" s="18">
        <f>628159500461</f>
        <v>628159500461</v>
      </c>
      <c r="N10456" s="17" t="s">
        <v>77</v>
      </c>
      <c r="V10456" s="18">
        <f>628159500461</f>
        <v>628159500461</v>
      </c>
    </row>
    <row r="10457" ht="15" customHeight="1" spans="1:22" x14ac:dyDescent="0.25">
      <c r="A10457" s="17" t="s">
        <v>28774</v>
      </c>
      <c r="B10457" s="17" t="s">
        <v>70</v>
      </c>
      <c r="C10457" s="17" t="s">
        <v>71</v>
      </c>
      <c r="D10457" t="s">
        <v>7101</v>
      </c>
      <c r="F10457" t="s">
        <v>5768</v>
      </c>
      <c r="K10457" s="18">
        <f>628161966695</f>
        <v>628161966695</v>
      </c>
      <c r="N10457" s="17" t="s">
        <v>77</v>
      </c>
      <c r="V10457" s="18">
        <f>628161966695</f>
        <v>628161966695</v>
      </c>
    </row>
    <row r="10458" ht="15" customHeight="1" spans="1:22" x14ac:dyDescent="0.25">
      <c r="A10458" s="17" t="s">
        <v>28775</v>
      </c>
      <c r="B10458" s="17" t="s">
        <v>70</v>
      </c>
      <c r="C10458" s="17" t="s">
        <v>71</v>
      </c>
      <c r="D10458" t="s">
        <v>8225</v>
      </c>
      <c r="F10458" t="s">
        <v>28776</v>
      </c>
      <c r="K10458" s="18">
        <f>628558578557</f>
        <v>628558578557</v>
      </c>
      <c r="N10458" s="17" t="s">
        <v>77</v>
      </c>
      <c r="V10458" s="18">
        <f>628558578557</f>
        <v>628558578557</v>
      </c>
    </row>
    <row r="10459" ht="15" customHeight="1" spans="1:27" x14ac:dyDescent="0.25">
      <c r="A10459" s="17" t="s">
        <v>28777</v>
      </c>
      <c r="B10459" s="17" t="s">
        <v>70</v>
      </c>
      <c r="C10459" s="17" t="s">
        <v>71</v>
      </c>
      <c r="D10459" t="s">
        <v>28778</v>
      </c>
      <c r="F10459" t="s">
        <v>28779</v>
      </c>
      <c r="K10459" s="18">
        <v>73883087</v>
      </c>
      <c r="N10459" s="17" t="s">
        <v>77</v>
      </c>
      <c r="U10459" s="17"/>
      <c r="V10459" s="18">
        <v>73883087</v>
      </c>
      <c r="W10459" t="s">
        <v>28780</v>
      </c>
      <c r="Y10459" s="17" t="s">
        <v>217</v>
      </c>
      <c r="AA10459" s="17" t="s">
        <v>1410</v>
      </c>
    </row>
    <row r="10460" ht="15" customHeight="1" spans="1:22" x14ac:dyDescent="0.25">
      <c r="A10460" s="17" t="s">
        <v>28781</v>
      </c>
      <c r="B10460" s="17" t="s">
        <v>70</v>
      </c>
      <c r="C10460" s="17" t="s">
        <v>71</v>
      </c>
      <c r="D10460" t="s">
        <v>5890</v>
      </c>
      <c r="F10460" t="s">
        <v>3092</v>
      </c>
      <c r="K10460" s="18">
        <f>6285319692900</f>
        <v>6285319692900</v>
      </c>
      <c r="N10460" s="17" t="s">
        <v>81</v>
      </c>
      <c r="V10460" s="18">
        <f>6285319692900</f>
        <v>6285319692900</v>
      </c>
    </row>
    <row r="10461" ht="15" customHeight="1" spans="1:28" x14ac:dyDescent="0.25">
      <c r="A10461" s="17" t="s">
        <v>28782</v>
      </c>
      <c r="B10461" s="17" t="s">
        <v>70</v>
      </c>
      <c r="C10461" s="17" t="s">
        <v>71</v>
      </c>
      <c r="D10461" t="s">
        <v>5890</v>
      </c>
      <c r="F10461" t="s">
        <v>20469</v>
      </c>
      <c r="J10461" t="s">
        <v>115</v>
      </c>
      <c r="K10461" s="18" t="s">
        <v>28783</v>
      </c>
      <c r="N10461" s="17" t="s">
        <v>81</v>
      </c>
      <c r="O10461" t="s">
        <v>117</v>
      </c>
      <c r="V10461" s="18" t="s">
        <v>28783</v>
      </c>
      <c r="Y10461" t="s">
        <v>190</v>
      </c>
      <c r="AA10461" t="s">
        <v>118</v>
      </c>
      <c r="AB10461" t="s">
        <v>119</v>
      </c>
    </row>
    <row r="10462" ht="15" customHeight="1" spans="1:28" x14ac:dyDescent="0.25">
      <c r="A10462" s="17" t="s">
        <v>28784</v>
      </c>
      <c r="B10462" s="17" t="s">
        <v>70</v>
      </c>
      <c r="C10462" s="17" t="s">
        <v>71</v>
      </c>
      <c r="D10462" t="s">
        <v>28785</v>
      </c>
      <c r="F10462" t="s">
        <v>12297</v>
      </c>
      <c r="J10462" t="s">
        <v>28786</v>
      </c>
      <c r="K10462" s="18" t="s">
        <v>28787</v>
      </c>
      <c r="N10462" s="17" t="s">
        <v>77</v>
      </c>
      <c r="O10462" t="s">
        <v>145</v>
      </c>
      <c r="V10462" s="18" t="s">
        <v>28787</v>
      </c>
      <c r="Y10462" t="s">
        <v>90</v>
      </c>
      <c r="AA10462" t="s">
        <v>118</v>
      </c>
      <c r="AB10462" t="s">
        <v>119</v>
      </c>
    </row>
    <row r="10463" ht="15" customHeight="1" spans="1:28" x14ac:dyDescent="0.25">
      <c r="A10463" s="17" t="s">
        <v>28788</v>
      </c>
      <c r="B10463" s="17" t="s">
        <v>70</v>
      </c>
      <c r="C10463" s="17" t="s">
        <v>71</v>
      </c>
      <c r="D10463" t="s">
        <v>28789</v>
      </c>
      <c r="F10463" t="s">
        <v>28790</v>
      </c>
      <c r="J10463" t="s">
        <v>28791</v>
      </c>
      <c r="K10463" s="18" t="s">
        <v>28792</v>
      </c>
      <c r="N10463" s="17" t="s">
        <v>77</v>
      </c>
      <c r="O10463" t="s">
        <v>261</v>
      </c>
      <c r="U10463" s="17"/>
      <c r="V10463" s="18" t="s">
        <v>28792</v>
      </c>
      <c r="W10463" t="s">
        <v>10661</v>
      </c>
      <c r="Y10463" t="s">
        <v>96</v>
      </c>
      <c r="AA10463" s="17" t="s">
        <v>693</v>
      </c>
      <c r="AB10463" t="s">
        <v>119</v>
      </c>
    </row>
    <row r="10464" ht="15" customHeight="1" spans="1:28" x14ac:dyDescent="0.25">
      <c r="A10464" s="17" t="s">
        <v>28793</v>
      </c>
      <c r="B10464" s="17" t="s">
        <v>70</v>
      </c>
      <c r="C10464" s="17" t="s">
        <v>71</v>
      </c>
      <c r="D10464" t="s">
        <v>28794</v>
      </c>
      <c r="F10464" t="s">
        <v>241</v>
      </c>
      <c r="J10464" t="s">
        <v>115</v>
      </c>
      <c r="K10464" s="18" t="s">
        <v>28795</v>
      </c>
      <c r="N10464" s="17" t="s">
        <v>77</v>
      </c>
      <c r="O10464" t="s">
        <v>145</v>
      </c>
      <c r="U10464" s="17"/>
      <c r="V10464" s="18" t="s">
        <v>28795</v>
      </c>
      <c r="W10464" t="s">
        <v>28796</v>
      </c>
      <c r="Y10464" t="s">
        <v>190</v>
      </c>
      <c r="AA10464" t="s">
        <v>118</v>
      </c>
      <c r="AB10464" t="s">
        <v>119</v>
      </c>
    </row>
    <row r="10465" ht="15" customHeight="1" spans="1:22" x14ac:dyDescent="0.25">
      <c r="A10465" s="17" t="s">
        <v>28797</v>
      </c>
      <c r="B10465" s="17" t="s">
        <v>70</v>
      </c>
      <c r="C10465" s="17" t="s">
        <v>71</v>
      </c>
      <c r="D10465" t="s">
        <v>22085</v>
      </c>
      <c r="F10465" t="s">
        <v>22085</v>
      </c>
      <c r="K10465" s="18">
        <f>6285842520071</f>
        <v>6285842520071</v>
      </c>
      <c r="N10465" s="17" t="s">
        <v>81</v>
      </c>
      <c r="V10465" s="18">
        <f>6285842520071</f>
        <v>6285842520071</v>
      </c>
    </row>
    <row r="10466" ht="15" customHeight="1" spans="1:22" x14ac:dyDescent="0.25">
      <c r="A10466" s="17" t="s">
        <v>28798</v>
      </c>
      <c r="B10466" s="17" t="s">
        <v>70</v>
      </c>
      <c r="C10466" s="17" t="s">
        <v>71</v>
      </c>
      <c r="D10466" t="s">
        <v>22085</v>
      </c>
      <c r="F10466" t="s">
        <v>3763</v>
      </c>
      <c r="K10466" s="18">
        <f>628212626767</f>
        <v>628212626767</v>
      </c>
      <c r="N10466" s="17" t="s">
        <v>77</v>
      </c>
      <c r="V10466" s="18">
        <f>628212626767</f>
        <v>628212626767</v>
      </c>
    </row>
    <row r="10467" ht="15" customHeight="1" spans="1:22" x14ac:dyDescent="0.25">
      <c r="A10467" s="17" t="s">
        <v>28799</v>
      </c>
      <c r="B10467" s="17" t="s">
        <v>70</v>
      </c>
      <c r="C10467" s="17" t="s">
        <v>71</v>
      </c>
      <c r="D10467" t="s">
        <v>22085</v>
      </c>
      <c r="F10467" t="s">
        <v>28800</v>
      </c>
      <c r="K10467" s="18">
        <f>62811171819</f>
        <v>62811171819</v>
      </c>
      <c r="N10467" s="17" t="s">
        <v>81</v>
      </c>
      <c r="V10467" s="18">
        <f>62811171819</f>
        <v>62811171819</v>
      </c>
    </row>
    <row r="10468" ht="15" customHeight="1" spans="1:22" x14ac:dyDescent="0.25">
      <c r="A10468" s="17" t="s">
        <v>28801</v>
      </c>
      <c r="B10468" s="17" t="s">
        <v>70</v>
      </c>
      <c r="C10468" s="17" t="s">
        <v>71</v>
      </c>
      <c r="D10468" t="s">
        <v>22085</v>
      </c>
      <c r="F10468" t="s">
        <v>28802</v>
      </c>
      <c r="K10468" s="18">
        <f>628128242876</f>
        <v>628128242876</v>
      </c>
      <c r="N10468" s="17" t="s">
        <v>77</v>
      </c>
      <c r="V10468" s="18">
        <f>628128242876</f>
        <v>628128242876</v>
      </c>
    </row>
    <row r="10469" ht="15" customHeight="1" spans="1:28" x14ac:dyDescent="0.25">
      <c r="A10469" s="17" t="s">
        <v>28803</v>
      </c>
      <c r="B10469" s="17" t="s">
        <v>70</v>
      </c>
      <c r="C10469" s="17" t="s">
        <v>71</v>
      </c>
      <c r="D10469" t="s">
        <v>22085</v>
      </c>
      <c r="F10469" t="s">
        <v>28804</v>
      </c>
      <c r="J10469" t="s">
        <v>28805</v>
      </c>
      <c r="K10469" s="18" t="s">
        <v>28806</v>
      </c>
      <c r="N10469" s="17" t="s">
        <v>77</v>
      </c>
      <c r="O10469" t="s">
        <v>145</v>
      </c>
      <c r="U10469" s="17"/>
      <c r="V10469" s="18" t="s">
        <v>28806</v>
      </c>
      <c r="W10469" t="s">
        <v>28807</v>
      </c>
      <c r="Y10469" t="s">
        <v>96</v>
      </c>
      <c r="AA10469" t="s">
        <v>693</v>
      </c>
      <c r="AB10469" t="s">
        <v>119</v>
      </c>
    </row>
    <row r="10470" ht="15" customHeight="1" spans="1:22" x14ac:dyDescent="0.25">
      <c r="A10470" s="17" t="s">
        <v>28808</v>
      </c>
      <c r="B10470" s="17" t="s">
        <v>70</v>
      </c>
      <c r="C10470" s="17" t="s">
        <v>71</v>
      </c>
      <c r="D10470" t="s">
        <v>22085</v>
      </c>
      <c r="F10470" t="s">
        <v>28809</v>
      </c>
      <c r="K10470" s="18">
        <f>6281804680403</f>
        <v>6281804680403</v>
      </c>
      <c r="N10470" s="17" t="s">
        <v>81</v>
      </c>
      <c r="V10470" s="18">
        <f>6281804680403</f>
        <v>6281804680403</v>
      </c>
    </row>
    <row r="10471" ht="15" customHeight="1" spans="1:22" x14ac:dyDescent="0.25">
      <c r="A10471" s="17" t="s">
        <v>28810</v>
      </c>
      <c r="B10471" s="17" t="s">
        <v>70</v>
      </c>
      <c r="C10471" s="17" t="s">
        <v>71</v>
      </c>
      <c r="D10471" t="s">
        <v>22085</v>
      </c>
      <c r="F10471" t="s">
        <v>28811</v>
      </c>
      <c r="K10471" s="18">
        <f>628119088853</f>
        <v>628119088853</v>
      </c>
      <c r="N10471" s="17" t="s">
        <v>77</v>
      </c>
      <c r="V10471" s="18">
        <f>628119088853</f>
        <v>628119088853</v>
      </c>
    </row>
    <row r="10472" ht="15" customHeight="1" spans="1:22" x14ac:dyDescent="0.25">
      <c r="A10472" s="17" t="s">
        <v>28812</v>
      </c>
      <c r="B10472" s="17" t="s">
        <v>70</v>
      </c>
      <c r="C10472" s="17" t="s">
        <v>71</v>
      </c>
      <c r="D10472" t="s">
        <v>28813</v>
      </c>
      <c r="F10472" t="s">
        <v>28814</v>
      </c>
      <c r="J10472" s="17" t="s">
        <v>28815</v>
      </c>
      <c r="K10472" s="18">
        <f>628119993063</f>
        <v>628119993063</v>
      </c>
      <c r="N10472" s="17" t="s">
        <v>77</v>
      </c>
      <c r="V10472" s="18">
        <f>628119993063</f>
        <v>628119993063</v>
      </c>
    </row>
    <row r="10473" ht="15" customHeight="1" spans="1:23" x14ac:dyDescent="0.25">
      <c r="A10473" s="17" t="s">
        <v>28816</v>
      </c>
      <c r="B10473" s="17" t="s">
        <v>70</v>
      </c>
      <c r="C10473" s="17" t="s">
        <v>71</v>
      </c>
      <c r="D10473" t="s">
        <v>28813</v>
      </c>
      <c r="F10473" t="s">
        <v>28817</v>
      </c>
      <c r="K10473" s="18">
        <v>5150555</v>
      </c>
      <c r="N10473" s="17" t="s">
        <v>77</v>
      </c>
      <c r="U10473" s="17"/>
      <c r="V10473" s="18">
        <v>5150555</v>
      </c>
      <c r="W10473" t="s">
        <v>28818</v>
      </c>
    </row>
    <row r="10474" ht="15" customHeight="1" spans="1:22" x14ac:dyDescent="0.25">
      <c r="A10474" s="17" t="s">
        <v>28819</v>
      </c>
      <c r="B10474" s="17" t="s">
        <v>70</v>
      </c>
      <c r="C10474" s="17" t="s">
        <v>71</v>
      </c>
      <c r="D10474" t="s">
        <v>28820</v>
      </c>
      <c r="F10474" t="s">
        <v>28821</v>
      </c>
      <c r="K10474" s="18">
        <f>966534378177</f>
        <v>966534378177</v>
      </c>
      <c r="N10474" s="17" t="s">
        <v>77</v>
      </c>
      <c r="V10474" s="18">
        <f>966534378177</f>
        <v>966534378177</v>
      </c>
    </row>
    <row r="10475" ht="15" customHeight="1" spans="1:23" x14ac:dyDescent="0.25">
      <c r="A10475" s="17" t="s">
        <v>28822</v>
      </c>
      <c r="B10475" s="17" t="s">
        <v>70</v>
      </c>
      <c r="C10475" s="17" t="s">
        <v>71</v>
      </c>
      <c r="D10475" t="s">
        <v>28823</v>
      </c>
      <c r="F10475" t="s">
        <v>28824</v>
      </c>
      <c r="K10475" s="18">
        <f>989121505823</f>
        <v>989121505823</v>
      </c>
      <c r="N10475" s="17" t="s">
        <v>77</v>
      </c>
      <c r="U10475" s="17"/>
      <c r="V10475" s="18">
        <f>989121505823</f>
        <v>989121505823</v>
      </c>
      <c r="W10475" t="s">
        <v>13646</v>
      </c>
    </row>
    <row r="10476" ht="15" customHeight="1" spans="1:22" x14ac:dyDescent="0.25">
      <c r="A10476" s="17" t="s">
        <v>28825</v>
      </c>
      <c r="B10476" s="17" t="s">
        <v>70</v>
      </c>
      <c r="C10476" s="17" t="s">
        <v>71</v>
      </c>
      <c r="D10476" t="s">
        <v>28826</v>
      </c>
      <c r="F10476" t="s">
        <v>28826</v>
      </c>
      <c r="K10476" s="18">
        <f>62811523099</f>
        <v>62811523099</v>
      </c>
      <c r="N10476" s="17" t="s">
        <v>81</v>
      </c>
      <c r="V10476" s="18">
        <f>62811523099</f>
        <v>62811523099</v>
      </c>
    </row>
    <row r="10477" ht="15" customHeight="1" spans="1:22" x14ac:dyDescent="0.25">
      <c r="A10477" s="17" t="s">
        <v>28827</v>
      </c>
      <c r="B10477" s="17" t="s">
        <v>70</v>
      </c>
      <c r="C10477" s="17" t="s">
        <v>71</v>
      </c>
      <c r="D10477" t="s">
        <v>28828</v>
      </c>
      <c r="F10477" t="s">
        <v>28828</v>
      </c>
      <c r="K10477" s="18">
        <f>6281299323232</f>
        <v>6281299323232</v>
      </c>
      <c r="N10477" s="17" t="s">
        <v>77</v>
      </c>
      <c r="V10477" s="18">
        <f>6281299323232</f>
        <v>6281299323232</v>
      </c>
    </row>
    <row r="10478" ht="15" customHeight="1" spans="1:22" x14ac:dyDescent="0.25">
      <c r="A10478" s="17" t="s">
        <v>28829</v>
      </c>
      <c r="B10478" s="17" t="s">
        <v>70</v>
      </c>
      <c r="C10478" s="17" t="s">
        <v>71</v>
      </c>
      <c r="D10478" t="s">
        <v>28830</v>
      </c>
      <c r="F10478" t="s">
        <v>17397</v>
      </c>
      <c r="K10478" s="18">
        <f>62811942888</f>
        <v>62811942888</v>
      </c>
      <c r="N10478" s="17" t="s">
        <v>81</v>
      </c>
      <c r="V10478" s="18">
        <f>62811942888</f>
        <v>62811942888</v>
      </c>
    </row>
    <row r="10479" ht="15" customHeight="1" spans="1:28" x14ac:dyDescent="0.25">
      <c r="A10479" s="17" t="s">
        <v>28831</v>
      </c>
      <c r="B10479" s="17" t="s">
        <v>70</v>
      </c>
      <c r="C10479" s="17" t="s">
        <v>71</v>
      </c>
      <c r="D10479" t="s">
        <v>28832</v>
      </c>
      <c r="F10479" t="s">
        <v>28833</v>
      </c>
      <c r="J10479" t="s">
        <v>115</v>
      </c>
      <c r="K10479" s="18" t="s">
        <v>28834</v>
      </c>
      <c r="N10479" s="17" t="s">
        <v>74</v>
      </c>
      <c r="O10479" t="s">
        <v>1188</v>
      </c>
      <c r="U10479" s="17"/>
      <c r="V10479" s="18" t="s">
        <v>28834</v>
      </c>
      <c r="W10479" t="s">
        <v>18822</v>
      </c>
      <c r="Y10479" t="s">
        <v>96</v>
      </c>
      <c r="AA10479" t="s">
        <v>693</v>
      </c>
      <c r="AB10479" t="s">
        <v>119</v>
      </c>
    </row>
    <row r="10480" ht="15" customHeight="1" spans="1:22" x14ac:dyDescent="0.25">
      <c r="A10480" s="17" t="s">
        <v>28835</v>
      </c>
      <c r="B10480" s="17" t="s">
        <v>70</v>
      </c>
      <c r="C10480" s="17" t="s">
        <v>71</v>
      </c>
      <c r="D10480" t="s">
        <v>6714</v>
      </c>
      <c r="F10480" t="s">
        <v>6714</v>
      </c>
      <c r="K10480" s="18">
        <f>628176423538</f>
        <v>628176423538</v>
      </c>
      <c r="N10480" s="17" t="s">
        <v>74</v>
      </c>
      <c r="V10480" s="18">
        <f>628176423538</f>
        <v>628176423538</v>
      </c>
    </row>
    <row r="10481" ht="15" customHeight="1" spans="1:28" x14ac:dyDescent="0.25">
      <c r="A10481" s="17" t="s">
        <v>28836</v>
      </c>
      <c r="B10481" s="17" t="s">
        <v>70</v>
      </c>
      <c r="C10481" s="17" t="s">
        <v>71</v>
      </c>
      <c r="D10481" t="s">
        <v>6714</v>
      </c>
      <c r="F10481" t="s">
        <v>28837</v>
      </c>
      <c r="J10481" t="s">
        <v>115</v>
      </c>
      <c r="K10481" s="18" t="s">
        <v>28838</v>
      </c>
      <c r="N10481" s="17" t="s">
        <v>81</v>
      </c>
      <c r="O10481" t="s">
        <v>117</v>
      </c>
      <c r="U10481" s="17"/>
      <c r="V10481" s="18" t="s">
        <v>28838</v>
      </c>
      <c r="W10481" t="s">
        <v>28839</v>
      </c>
      <c r="Y10481" t="s">
        <v>90</v>
      </c>
      <c r="AA10481" t="s">
        <v>118</v>
      </c>
      <c r="AB10481" t="s">
        <v>119</v>
      </c>
    </row>
    <row r="10482" ht="15" customHeight="1" spans="1:22" x14ac:dyDescent="0.25">
      <c r="A10482" s="17" t="s">
        <v>28840</v>
      </c>
      <c r="B10482" s="17" t="s">
        <v>70</v>
      </c>
      <c r="C10482" s="17" t="s">
        <v>71</v>
      </c>
      <c r="D10482" t="s">
        <v>6714</v>
      </c>
      <c r="F10482" t="s">
        <v>6714</v>
      </c>
      <c r="K10482" s="18">
        <v>70486168</v>
      </c>
      <c r="N10482" s="17" t="s">
        <v>77</v>
      </c>
      <c r="V10482" s="18">
        <v>70486168</v>
      </c>
    </row>
    <row r="10483" ht="15" customHeight="1" spans="1:25" x14ac:dyDescent="0.25">
      <c r="A10483" s="17" t="s">
        <v>28841</v>
      </c>
      <c r="B10483" s="17" t="s">
        <v>70</v>
      </c>
      <c r="C10483" s="17" t="s">
        <v>71</v>
      </c>
      <c r="D10483" t="s">
        <v>6714</v>
      </c>
      <c r="F10483" t="s">
        <v>6714</v>
      </c>
      <c r="K10483" s="18">
        <f>6281519060442</f>
        <v>6281519060442</v>
      </c>
      <c r="N10483" s="17" t="s">
        <v>77</v>
      </c>
      <c r="U10483" s="17"/>
      <c r="V10483" s="18">
        <f>6281519060442</f>
        <v>6281519060442</v>
      </c>
      <c r="W10483" t="s">
        <v>28842</v>
      </c>
      <c r="Y10483" s="17" t="s">
        <v>96</v>
      </c>
    </row>
    <row r="10484" ht="15" customHeight="1" spans="1:22" x14ac:dyDescent="0.25">
      <c r="A10484" s="17" t="s">
        <v>28843</v>
      </c>
      <c r="B10484" s="17" t="s">
        <v>70</v>
      </c>
      <c r="C10484" s="17" t="s">
        <v>71</v>
      </c>
      <c r="D10484" t="s">
        <v>6714</v>
      </c>
      <c r="F10484" t="s">
        <v>6714</v>
      </c>
      <c r="K10484" s="18">
        <f>6281385873588</f>
        <v>6281385873588</v>
      </c>
      <c r="N10484" s="17" t="s">
        <v>77</v>
      </c>
      <c r="V10484" s="18">
        <f>6281385873588</f>
        <v>6281385873588</v>
      </c>
    </row>
    <row r="10485" ht="15" customHeight="1" spans="1:22" x14ac:dyDescent="0.25">
      <c r="A10485" s="17" t="s">
        <v>28844</v>
      </c>
      <c r="B10485" s="17" t="s">
        <v>70</v>
      </c>
      <c r="C10485" s="17" t="s">
        <v>71</v>
      </c>
      <c r="D10485" t="s">
        <v>6714</v>
      </c>
      <c r="F10485" t="s">
        <v>3494</v>
      </c>
      <c r="K10485" s="18">
        <f>6281918813397</f>
        <v>6281918813397</v>
      </c>
      <c r="N10485" s="17" t="s">
        <v>81</v>
      </c>
      <c r="V10485" s="18">
        <f>6281918813397</f>
        <v>6281918813397</v>
      </c>
    </row>
    <row r="10486" ht="15" customHeight="1" spans="1:23" x14ac:dyDescent="0.25">
      <c r="A10486" s="17" t="s">
        <v>28845</v>
      </c>
      <c r="B10486" s="17" t="s">
        <v>70</v>
      </c>
      <c r="C10486" s="17" t="s">
        <v>71</v>
      </c>
      <c r="D10486" t="s">
        <v>6714</v>
      </c>
      <c r="F10486" t="s">
        <v>196</v>
      </c>
      <c r="K10486" s="18">
        <f>6282113162001</f>
        <v>6282113162001</v>
      </c>
      <c r="N10486" s="17" t="s">
        <v>77</v>
      </c>
      <c r="U10486" s="17"/>
      <c r="V10486" s="18">
        <f>6282113162001</f>
        <v>6282113162001</v>
      </c>
      <c r="W10486" t="s">
        <v>28846</v>
      </c>
    </row>
    <row r="10487" ht="15" customHeight="1" spans="1:25" x14ac:dyDescent="0.25">
      <c r="A10487" s="17" t="s">
        <v>28847</v>
      </c>
      <c r="B10487" s="17" t="s">
        <v>70</v>
      </c>
      <c r="C10487" s="17" t="s">
        <v>71</v>
      </c>
      <c r="D10487" t="s">
        <v>6714</v>
      </c>
      <c r="F10487" t="s">
        <v>5019</v>
      </c>
      <c r="J10487" s="17" t="s">
        <v>28848</v>
      </c>
      <c r="K10487" s="18">
        <f>628111778391</f>
        <v>628111778391</v>
      </c>
      <c r="N10487" s="17" t="s">
        <v>77</v>
      </c>
      <c r="U10487" s="17"/>
      <c r="V10487" s="18">
        <f>628111778391</f>
        <v>628111778391</v>
      </c>
      <c r="W10487" t="s">
        <v>28849</v>
      </c>
      <c r="Y10487" s="17" t="s">
        <v>1084</v>
      </c>
    </row>
    <row r="10488" ht="15" customHeight="1" spans="1:23" x14ac:dyDescent="0.25">
      <c r="A10488" s="17" t="s">
        <v>28850</v>
      </c>
      <c r="B10488" s="17" t="s">
        <v>70</v>
      </c>
      <c r="C10488" s="17" t="s">
        <v>71</v>
      </c>
      <c r="D10488" t="s">
        <v>6714</v>
      </c>
      <c r="F10488" t="s">
        <v>28851</v>
      </c>
      <c r="K10488" s="18">
        <f>6281360033223</f>
        <v>6281360033223</v>
      </c>
      <c r="N10488" s="17" t="s">
        <v>81</v>
      </c>
      <c r="U10488" s="17"/>
      <c r="V10488" s="18">
        <f>6281360033223</f>
        <v>6281360033223</v>
      </c>
      <c r="W10488" t="s">
        <v>2953</v>
      </c>
    </row>
    <row r="10489" ht="15" customHeight="1" spans="1:22" x14ac:dyDescent="0.25">
      <c r="A10489" s="17" t="s">
        <v>28852</v>
      </c>
      <c r="B10489" s="17" t="s">
        <v>70</v>
      </c>
      <c r="C10489" s="17" t="s">
        <v>71</v>
      </c>
      <c r="D10489" t="s">
        <v>6714</v>
      </c>
      <c r="F10489" t="s">
        <v>28853</v>
      </c>
      <c r="K10489" s="18">
        <f>62816840106</f>
        <v>62816840106</v>
      </c>
      <c r="N10489" s="17" t="s">
        <v>77</v>
      </c>
      <c r="V10489" s="18">
        <f>62816840106</f>
        <v>62816840106</v>
      </c>
    </row>
    <row r="10490" ht="15" customHeight="1" spans="1:22" x14ac:dyDescent="0.25">
      <c r="A10490" s="17" t="s">
        <v>28854</v>
      </c>
      <c r="B10490" s="17" t="s">
        <v>70</v>
      </c>
      <c r="C10490" s="17" t="s">
        <v>71</v>
      </c>
      <c r="D10490" t="s">
        <v>6714</v>
      </c>
      <c r="F10490" t="s">
        <v>16465</v>
      </c>
      <c r="K10490" s="18">
        <f>62818303900</f>
        <v>62818303900</v>
      </c>
      <c r="N10490" s="17" t="s">
        <v>81</v>
      </c>
      <c r="V10490" s="18">
        <f>62818303900</f>
        <v>62818303900</v>
      </c>
    </row>
    <row r="10491" ht="15" customHeight="1" spans="1:28" x14ac:dyDescent="0.25">
      <c r="A10491" s="17" t="s">
        <v>28855</v>
      </c>
      <c r="B10491" s="17" t="s">
        <v>70</v>
      </c>
      <c r="C10491" s="17" t="s">
        <v>71</v>
      </c>
      <c r="D10491" t="s">
        <v>6714</v>
      </c>
      <c r="F10491" t="s">
        <v>2168</v>
      </c>
      <c r="J10491" t="s">
        <v>115</v>
      </c>
      <c r="K10491" s="18" t="s">
        <v>28856</v>
      </c>
      <c r="N10491" s="17" t="s">
        <v>77</v>
      </c>
      <c r="O10491" t="s">
        <v>117</v>
      </c>
      <c r="V10491" s="18" t="s">
        <v>28856</v>
      </c>
      <c r="Y10491" s="17" t="s">
        <v>90</v>
      </c>
      <c r="AA10491" t="s">
        <v>118</v>
      </c>
      <c r="AB10491" t="s">
        <v>119</v>
      </c>
    </row>
    <row r="10492" ht="15" customHeight="1" spans="1:27" x14ac:dyDescent="0.25">
      <c r="A10492" s="17" t="s">
        <v>28857</v>
      </c>
      <c r="B10492" s="17" t="s">
        <v>70</v>
      </c>
      <c r="C10492" s="17" t="s">
        <v>71</v>
      </c>
      <c r="D10492" t="s">
        <v>6714</v>
      </c>
      <c r="F10492" t="s">
        <v>28858</v>
      </c>
      <c r="K10492" s="18">
        <f>62811943222</f>
        <v>62811943222</v>
      </c>
      <c r="N10492" s="17" t="s">
        <v>81</v>
      </c>
      <c r="U10492" s="17"/>
      <c r="V10492" s="18">
        <f>62811943222</f>
        <v>62811943222</v>
      </c>
      <c r="W10492" t="s">
        <v>28859</v>
      </c>
      <c r="Y10492" s="17" t="s">
        <v>96</v>
      </c>
      <c r="AA10492" s="17">
        <v>12410</v>
      </c>
    </row>
    <row r="10493" ht="15" customHeight="1" spans="1:28" x14ac:dyDescent="0.25">
      <c r="A10493" s="17" t="s">
        <v>28860</v>
      </c>
      <c r="B10493" s="17" t="s">
        <v>70</v>
      </c>
      <c r="C10493" s="17" t="s">
        <v>71</v>
      </c>
      <c r="D10493" t="s">
        <v>6714</v>
      </c>
      <c r="F10493" t="s">
        <v>28861</v>
      </c>
      <c r="J10493" t="s">
        <v>28862</v>
      </c>
      <c r="K10493" s="18" t="s">
        <v>28863</v>
      </c>
      <c r="N10493" s="17" t="s">
        <v>77</v>
      </c>
      <c r="O10493" t="s">
        <v>489</v>
      </c>
      <c r="V10493" s="18" t="s">
        <v>28863</v>
      </c>
      <c r="Y10493" t="s">
        <v>1091</v>
      </c>
      <c r="AA10493" t="s">
        <v>115</v>
      </c>
      <c r="AB10493" t="s">
        <v>119</v>
      </c>
    </row>
    <row r="10494" ht="15" customHeight="1" spans="1:23" x14ac:dyDescent="0.25">
      <c r="A10494" s="17" t="s">
        <v>28864</v>
      </c>
      <c r="B10494" s="17" t="s">
        <v>70</v>
      </c>
      <c r="C10494" s="17" t="s">
        <v>71</v>
      </c>
      <c r="D10494" t="s">
        <v>28865</v>
      </c>
      <c r="F10494" t="s">
        <v>28865</v>
      </c>
      <c r="K10494" s="18">
        <f>62811881412</f>
        <v>62811881412</v>
      </c>
      <c r="N10494" s="17" t="s">
        <v>81</v>
      </c>
      <c r="U10494" s="17"/>
      <c r="V10494" s="18">
        <f>62811881412</f>
        <v>62811881412</v>
      </c>
      <c r="W10494" t="s">
        <v>28866</v>
      </c>
    </row>
    <row r="10495" ht="15" customHeight="1" spans="1:28" x14ac:dyDescent="0.25">
      <c r="A10495" s="17" t="s">
        <v>28867</v>
      </c>
      <c r="B10495" s="17" t="s">
        <v>70</v>
      </c>
      <c r="C10495" s="17" t="s">
        <v>71</v>
      </c>
      <c r="D10495" t="s">
        <v>28865</v>
      </c>
      <c r="F10495" t="s">
        <v>5304</v>
      </c>
      <c r="J10495" t="s">
        <v>115</v>
      </c>
      <c r="K10495" s="18" t="s">
        <v>28868</v>
      </c>
      <c r="N10495" s="17" t="s">
        <v>77</v>
      </c>
      <c r="O10495" t="s">
        <v>199</v>
      </c>
      <c r="U10495" s="17"/>
      <c r="V10495" s="18" t="s">
        <v>28868</v>
      </c>
      <c r="W10495" t="s">
        <v>28869</v>
      </c>
      <c r="Y10495" t="s">
        <v>90</v>
      </c>
      <c r="AA10495" t="s">
        <v>118</v>
      </c>
      <c r="AB10495" t="s">
        <v>119</v>
      </c>
    </row>
    <row r="10496" ht="15" customHeight="1" spans="1:22" x14ac:dyDescent="0.25">
      <c r="A10496" s="17" t="s">
        <v>28870</v>
      </c>
      <c r="B10496" s="17" t="s">
        <v>70</v>
      </c>
      <c r="C10496" s="17" t="s">
        <v>71</v>
      </c>
      <c r="D10496" t="s">
        <v>28871</v>
      </c>
      <c r="F10496" t="s">
        <v>2999</v>
      </c>
      <c r="K10496" s="18">
        <f>6281911110595</f>
        <v>6281911110595</v>
      </c>
      <c r="N10496" s="17" t="s">
        <v>77</v>
      </c>
      <c r="V10496" s="18">
        <f>6281911110595</f>
        <v>6281911110595</v>
      </c>
    </row>
    <row r="10497" ht="15" customHeight="1" spans="1:22" x14ac:dyDescent="0.25">
      <c r="A10497" s="17" t="s">
        <v>28872</v>
      </c>
      <c r="B10497" s="17" t="s">
        <v>70</v>
      </c>
      <c r="C10497" s="17" t="s">
        <v>71</v>
      </c>
      <c r="D10497" t="s">
        <v>28873</v>
      </c>
      <c r="F10497" t="s">
        <v>28873</v>
      </c>
      <c r="K10497" s="18">
        <f>6281229997310</f>
        <v>6281229997310</v>
      </c>
      <c r="N10497" s="17" t="s">
        <v>77</v>
      </c>
      <c r="V10497" s="18">
        <f>6281229997310</f>
        <v>6281229997310</v>
      </c>
    </row>
    <row r="10498" ht="15" customHeight="1" spans="1:22" x14ac:dyDescent="0.25">
      <c r="A10498" s="17" t="s">
        <v>28874</v>
      </c>
      <c r="B10498" s="17" t="s">
        <v>70</v>
      </c>
      <c r="C10498" s="17" t="s">
        <v>71</v>
      </c>
      <c r="D10498" t="s">
        <v>28875</v>
      </c>
      <c r="F10498" t="s">
        <v>220</v>
      </c>
      <c r="K10498" s="18">
        <f>6281310417804</f>
        <v>6281310417804</v>
      </c>
      <c r="N10498" s="17" t="s">
        <v>77</v>
      </c>
      <c r="V10498" s="18">
        <f>6281310417804</f>
        <v>6281310417804</v>
      </c>
    </row>
    <row r="10499" ht="15" customHeight="1" spans="1:25" x14ac:dyDescent="0.25">
      <c r="A10499" s="17" t="s">
        <v>28876</v>
      </c>
      <c r="B10499" s="17" t="s">
        <v>70</v>
      </c>
      <c r="C10499" s="17" t="s">
        <v>71</v>
      </c>
      <c r="D10499" t="s">
        <v>28875</v>
      </c>
      <c r="F10499" t="s">
        <v>1208</v>
      </c>
      <c r="J10499" s="17" t="s">
        <v>28877</v>
      </c>
      <c r="K10499" s="18">
        <v>82121332631</v>
      </c>
      <c r="N10499" s="17" t="s">
        <v>77</v>
      </c>
      <c r="U10499" s="17"/>
      <c r="V10499" s="18">
        <v>82121332631</v>
      </c>
      <c r="W10499" t="s">
        <v>28878</v>
      </c>
      <c r="Y10499" s="17" t="s">
        <v>384</v>
      </c>
    </row>
    <row r="10500" ht="15" customHeight="1" spans="1:28" x14ac:dyDescent="0.25">
      <c r="A10500" s="17" t="s">
        <v>28879</v>
      </c>
      <c r="B10500" s="17" t="s">
        <v>70</v>
      </c>
      <c r="C10500" s="17" t="s">
        <v>71</v>
      </c>
      <c r="D10500" t="s">
        <v>26833</v>
      </c>
      <c r="F10500" t="s">
        <v>19184</v>
      </c>
      <c r="J10500" s="17" t="s">
        <v>28880</v>
      </c>
      <c r="K10500" s="18" t="s">
        <v>28881</v>
      </c>
      <c r="N10500" s="17" t="s">
        <v>77</v>
      </c>
      <c r="O10500" t="s">
        <v>117</v>
      </c>
      <c r="V10500" s="18" t="s">
        <v>28881</v>
      </c>
      <c r="Y10500" t="s">
        <v>190</v>
      </c>
      <c r="AA10500" t="s">
        <v>118</v>
      </c>
      <c r="AB10500" t="s">
        <v>119</v>
      </c>
    </row>
    <row r="10501" ht="15" customHeight="1" spans="1:25" x14ac:dyDescent="0.25">
      <c r="A10501" s="17" t="s">
        <v>28882</v>
      </c>
      <c r="B10501" s="17" t="s">
        <v>70</v>
      </c>
      <c r="C10501" s="17" t="s">
        <v>71</v>
      </c>
      <c r="D10501" t="s">
        <v>4550</v>
      </c>
      <c r="F10501" t="s">
        <v>4550</v>
      </c>
      <c r="K10501" s="18">
        <f>628161809669</f>
        <v>628161809669</v>
      </c>
      <c r="N10501" s="17" t="s">
        <v>81</v>
      </c>
      <c r="U10501" s="17"/>
      <c r="V10501" s="18">
        <f>628161809669</f>
        <v>628161809669</v>
      </c>
      <c r="W10501" t="s">
        <v>28883</v>
      </c>
      <c r="Y10501" s="17" t="s">
        <v>217</v>
      </c>
    </row>
    <row r="10502" ht="15" customHeight="1" spans="1:22" x14ac:dyDescent="0.25">
      <c r="A10502" s="17" t="s">
        <v>28884</v>
      </c>
      <c r="B10502" s="17" t="s">
        <v>70</v>
      </c>
      <c r="C10502" s="17" t="s">
        <v>71</v>
      </c>
      <c r="D10502" t="s">
        <v>4550</v>
      </c>
      <c r="F10502" t="s">
        <v>28885</v>
      </c>
      <c r="K10502" s="18">
        <f>6282288888815</f>
        <v>6282288888815</v>
      </c>
      <c r="N10502" s="17" t="s">
        <v>81</v>
      </c>
      <c r="V10502" s="18">
        <f>6282288888815</f>
        <v>6282288888815</v>
      </c>
    </row>
    <row r="10503" ht="15" customHeight="1" spans="1:23" x14ac:dyDescent="0.25">
      <c r="A10503" s="17" t="s">
        <v>28886</v>
      </c>
      <c r="B10503" s="17" t="s">
        <v>70</v>
      </c>
      <c r="C10503" s="17" t="s">
        <v>71</v>
      </c>
      <c r="D10503" t="s">
        <v>4550</v>
      </c>
      <c r="F10503" t="s">
        <v>19129</v>
      </c>
      <c r="K10503" s="18">
        <f>6281285001190</f>
        <v>6281285001190</v>
      </c>
      <c r="N10503" s="17" t="s">
        <v>77</v>
      </c>
      <c r="U10503" s="17"/>
      <c r="V10503" s="18">
        <f>6281285001190</f>
        <v>6281285001190</v>
      </c>
      <c r="W10503" t="s">
        <v>28887</v>
      </c>
    </row>
    <row r="10504" ht="15" customHeight="1" spans="1:22" x14ac:dyDescent="0.25">
      <c r="A10504" s="17" t="s">
        <v>28888</v>
      </c>
      <c r="B10504" s="17" t="s">
        <v>70</v>
      </c>
      <c r="C10504" s="17" t="s">
        <v>71</v>
      </c>
      <c r="D10504" t="s">
        <v>4550</v>
      </c>
      <c r="F10504" t="s">
        <v>28889</v>
      </c>
      <c r="K10504" s="18">
        <f>6282237000288</f>
        <v>6282237000288</v>
      </c>
      <c r="N10504" s="17" t="s">
        <v>81</v>
      </c>
      <c r="V10504" s="18">
        <f>6282237000288</f>
        <v>6282237000288</v>
      </c>
    </row>
    <row r="10505" ht="15" customHeight="1" spans="1:22" x14ac:dyDescent="0.25">
      <c r="A10505" s="17" t="s">
        <v>28890</v>
      </c>
      <c r="B10505" s="17" t="s">
        <v>70</v>
      </c>
      <c r="C10505" s="17" t="s">
        <v>71</v>
      </c>
      <c r="D10505" t="s">
        <v>28891</v>
      </c>
      <c r="F10505" t="s">
        <v>28891</v>
      </c>
      <c r="K10505" s="18">
        <f>6281380026600</f>
        <v>6281380026600</v>
      </c>
      <c r="N10505" s="17" t="s">
        <v>77</v>
      </c>
      <c r="V10505" s="18">
        <f>6281380026600</f>
        <v>6281380026600</v>
      </c>
    </row>
    <row r="10506" ht="15" customHeight="1" spans="1:23" x14ac:dyDescent="0.25">
      <c r="A10506" s="17" t="s">
        <v>28892</v>
      </c>
      <c r="B10506" s="17" t="s">
        <v>70</v>
      </c>
      <c r="C10506" s="17" t="s">
        <v>71</v>
      </c>
      <c r="D10506" t="s">
        <v>3846</v>
      </c>
      <c r="F10506" t="s">
        <v>932</v>
      </c>
      <c r="K10506" s="18">
        <f>6287884965158</f>
        <v>6287884965158</v>
      </c>
      <c r="N10506" s="17" t="s">
        <v>77</v>
      </c>
      <c r="U10506" s="17"/>
      <c r="V10506" s="18">
        <f>6287884965158</f>
        <v>6287884965158</v>
      </c>
      <c r="W10506" t="s">
        <v>28893</v>
      </c>
    </row>
    <row r="10507" ht="15" customHeight="1" spans="1:22" x14ac:dyDescent="0.25">
      <c r="A10507" s="17" t="s">
        <v>28894</v>
      </c>
      <c r="B10507" s="17" t="s">
        <v>70</v>
      </c>
      <c r="C10507" s="17" t="s">
        <v>71</v>
      </c>
      <c r="D10507" t="s">
        <v>3846</v>
      </c>
      <c r="F10507" t="s">
        <v>1175</v>
      </c>
      <c r="K10507" s="18">
        <f>6223082024</f>
        <v>6223082024</v>
      </c>
      <c r="N10507" s="17" t="s">
        <v>77</v>
      </c>
      <c r="V10507" s="18">
        <f>6223082024</f>
        <v>6223082024</v>
      </c>
    </row>
    <row r="10508" ht="15" customHeight="1" spans="1:28" x14ac:dyDescent="0.25">
      <c r="A10508" s="17" t="s">
        <v>28895</v>
      </c>
      <c r="B10508" s="17" t="s">
        <v>70</v>
      </c>
      <c r="C10508" s="17" t="s">
        <v>71</v>
      </c>
      <c r="D10508" t="s">
        <v>3846</v>
      </c>
      <c r="F10508" t="s">
        <v>28896</v>
      </c>
      <c r="J10508" t="s">
        <v>28897</v>
      </c>
      <c r="K10508" s="18" t="s">
        <v>28898</v>
      </c>
      <c r="N10508" s="17" t="s">
        <v>74</v>
      </c>
      <c r="O10508" t="s">
        <v>1188</v>
      </c>
      <c r="U10508" s="17"/>
      <c r="V10508" s="18" t="s">
        <v>28898</v>
      </c>
      <c r="W10508" t="s">
        <v>28899</v>
      </c>
      <c r="Y10508" s="17" t="s">
        <v>90</v>
      </c>
      <c r="AA10508" s="17" t="s">
        <v>118</v>
      </c>
      <c r="AB10508" t="s">
        <v>119</v>
      </c>
    </row>
    <row r="10509" ht="15" customHeight="1" spans="1:27" x14ac:dyDescent="0.25">
      <c r="A10509" s="17" t="s">
        <v>28900</v>
      </c>
      <c r="B10509" s="17" t="s">
        <v>70</v>
      </c>
      <c r="C10509" s="17" t="s">
        <v>71</v>
      </c>
      <c r="D10509" t="s">
        <v>3846</v>
      </c>
      <c r="F10509" t="s">
        <v>28901</v>
      </c>
      <c r="J10509" s="17" t="s">
        <v>28902</v>
      </c>
      <c r="K10509" s="18">
        <f>6287882596320</f>
        <v>6287882596320</v>
      </c>
      <c r="N10509" s="17" t="s">
        <v>77</v>
      </c>
      <c r="U10509" s="17"/>
      <c r="V10509" s="18">
        <f>6287882596320</f>
        <v>6287882596320</v>
      </c>
      <c r="W10509" t="s">
        <v>28903</v>
      </c>
      <c r="Y10509" s="17" t="s">
        <v>1084</v>
      </c>
      <c r="AA10509" s="17">
        <v>14240</v>
      </c>
    </row>
    <row r="10510" ht="15" customHeight="1" spans="1:22" x14ac:dyDescent="0.25">
      <c r="A10510" s="17" t="s">
        <v>28904</v>
      </c>
      <c r="B10510" s="17" t="s">
        <v>70</v>
      </c>
      <c r="C10510" s="17" t="s">
        <v>71</v>
      </c>
      <c r="D10510" t="s">
        <v>3846</v>
      </c>
      <c r="F10510" t="s">
        <v>3645</v>
      </c>
      <c r="K10510" s="18">
        <f>62628129976080</f>
        <v>62628129976080</v>
      </c>
      <c r="N10510" s="17" t="s">
        <v>77</v>
      </c>
      <c r="V10510" s="18">
        <f>62628129976080</f>
        <v>62628129976080</v>
      </c>
    </row>
    <row r="10511" ht="15" customHeight="1" spans="1:22" x14ac:dyDescent="0.25">
      <c r="A10511" s="17" t="s">
        <v>28905</v>
      </c>
      <c r="B10511" s="17" t="s">
        <v>70</v>
      </c>
      <c r="C10511" s="17" t="s">
        <v>71</v>
      </c>
      <c r="D10511" t="s">
        <v>3846</v>
      </c>
      <c r="F10511" t="s">
        <v>25727</v>
      </c>
      <c r="K10511" s="18">
        <f>6281294737666</f>
        <v>6281294737666</v>
      </c>
      <c r="N10511" s="17" t="s">
        <v>81</v>
      </c>
      <c r="V10511" s="18">
        <f>6281294737666</f>
        <v>6281294737666</v>
      </c>
    </row>
    <row r="10512" ht="15" customHeight="1" spans="1:22" x14ac:dyDescent="0.25">
      <c r="A10512" s="17" t="s">
        <v>28906</v>
      </c>
      <c r="B10512" s="17" t="s">
        <v>70</v>
      </c>
      <c r="C10512" s="17" t="s">
        <v>71</v>
      </c>
      <c r="D10512" t="s">
        <v>3846</v>
      </c>
      <c r="F10512" t="s">
        <v>28907</v>
      </c>
      <c r="J10512" s="17" t="s">
        <v>28908</v>
      </c>
      <c r="K10512" s="18">
        <f>6281949134448</f>
        <v>6281949134448</v>
      </c>
      <c r="N10512" s="17" t="s">
        <v>77</v>
      </c>
      <c r="V10512" s="18">
        <f>6281949134448</f>
        <v>6281949134448</v>
      </c>
    </row>
    <row r="10513" ht="15" customHeight="1" spans="1:22" x14ac:dyDescent="0.25">
      <c r="A10513" s="17" t="s">
        <v>28909</v>
      </c>
      <c r="B10513" s="17" t="s">
        <v>70</v>
      </c>
      <c r="C10513" s="17" t="s">
        <v>71</v>
      </c>
      <c r="D10513" t="s">
        <v>3846</v>
      </c>
      <c r="F10513" t="s">
        <v>5757</v>
      </c>
      <c r="K10513" s="18">
        <f>6281299087736</f>
        <v>6281299087736</v>
      </c>
      <c r="N10513" s="17" t="s">
        <v>77</v>
      </c>
      <c r="V10513" s="18">
        <f>6281299087736</f>
        <v>6281299087736</v>
      </c>
    </row>
    <row r="10514" ht="15" customHeight="1" spans="1:28" x14ac:dyDescent="0.25">
      <c r="A10514" s="17" t="s">
        <v>28910</v>
      </c>
      <c r="B10514" s="17" t="s">
        <v>70</v>
      </c>
      <c r="C10514" s="17" t="s">
        <v>71</v>
      </c>
      <c r="D10514" t="s">
        <v>3846</v>
      </c>
      <c r="F10514" t="s">
        <v>548</v>
      </c>
      <c r="J10514" t="s">
        <v>115</v>
      </c>
      <c r="K10514" s="18" t="s">
        <v>28911</v>
      </c>
      <c r="N10514" s="17" t="s">
        <v>77</v>
      </c>
      <c r="O10514" t="s">
        <v>199</v>
      </c>
      <c r="V10514" s="18" t="s">
        <v>28911</v>
      </c>
      <c r="Y10514" t="s">
        <v>115</v>
      </c>
      <c r="AA10514" t="s">
        <v>115</v>
      </c>
      <c r="AB10514" t="s">
        <v>119</v>
      </c>
    </row>
    <row r="10515" ht="15" customHeight="1" spans="1:22" x14ac:dyDescent="0.25">
      <c r="A10515" s="17" t="s">
        <v>28912</v>
      </c>
      <c r="B10515" s="17" t="s">
        <v>70</v>
      </c>
      <c r="C10515" s="17" t="s">
        <v>71</v>
      </c>
      <c r="D10515" t="s">
        <v>3846</v>
      </c>
      <c r="F10515" t="s">
        <v>28913</v>
      </c>
      <c r="J10515" s="17" t="s">
        <v>28914</v>
      </c>
      <c r="K10515" s="18">
        <f>6281382262888</f>
        <v>6281382262888</v>
      </c>
      <c r="N10515" s="17" t="s">
        <v>77</v>
      </c>
      <c r="V10515" s="18">
        <f>6281382262888</f>
        <v>6281382262888</v>
      </c>
    </row>
    <row r="10516" ht="15" customHeight="1" spans="1:28" x14ac:dyDescent="0.25">
      <c r="A10516" s="17" t="s">
        <v>28915</v>
      </c>
      <c r="B10516" s="17" t="s">
        <v>70</v>
      </c>
      <c r="C10516" s="17" t="s">
        <v>71</v>
      </c>
      <c r="D10516" t="s">
        <v>3846</v>
      </c>
      <c r="F10516" t="s">
        <v>3121</v>
      </c>
      <c r="J10516" t="s">
        <v>115</v>
      </c>
      <c r="K10516" s="18" t="s">
        <v>28916</v>
      </c>
      <c r="N10516" s="17" t="s">
        <v>81</v>
      </c>
      <c r="O10516" t="s">
        <v>261</v>
      </c>
      <c r="U10516" s="17"/>
      <c r="V10516" s="18" t="s">
        <v>28916</v>
      </c>
      <c r="W10516" t="s">
        <v>28917</v>
      </c>
      <c r="Y10516" t="s">
        <v>90</v>
      </c>
      <c r="AA10516" t="s">
        <v>118</v>
      </c>
      <c r="AB10516" t="s">
        <v>119</v>
      </c>
    </row>
    <row r="10517" ht="15" customHeight="1" spans="1:23" x14ac:dyDescent="0.25">
      <c r="A10517" s="17" t="s">
        <v>28918</v>
      </c>
      <c r="B10517" s="17" t="s">
        <v>70</v>
      </c>
      <c r="C10517" s="17" t="s">
        <v>71</v>
      </c>
      <c r="D10517" t="s">
        <v>3846</v>
      </c>
      <c r="F10517" t="s">
        <v>22022</v>
      </c>
      <c r="K10517" s="18">
        <f>628181901609</f>
        <v>628181901609</v>
      </c>
      <c r="N10517" s="17" t="s">
        <v>77</v>
      </c>
      <c r="U10517" s="17"/>
      <c r="V10517" s="18">
        <f>628181901609</f>
        <v>628181901609</v>
      </c>
      <c r="W10517" t="s">
        <v>28919</v>
      </c>
    </row>
    <row r="10518" ht="15" customHeight="1" spans="1:28" x14ac:dyDescent="0.25">
      <c r="A10518" s="17" t="s">
        <v>28920</v>
      </c>
      <c r="B10518" s="17" t="s">
        <v>70</v>
      </c>
      <c r="C10518" s="17" t="s">
        <v>71</v>
      </c>
      <c r="D10518" t="s">
        <v>3846</v>
      </c>
      <c r="F10518" t="s">
        <v>1217</v>
      </c>
      <c r="J10518" s="17" t="s">
        <v>28921</v>
      </c>
      <c r="K10518" s="18" t="s">
        <v>28922</v>
      </c>
      <c r="N10518" s="17" t="s">
        <v>77</v>
      </c>
      <c r="O10518" t="s">
        <v>489</v>
      </c>
      <c r="U10518" s="17"/>
      <c r="V10518" s="18" t="s">
        <v>28922</v>
      </c>
      <c r="W10518" t="s">
        <v>28923</v>
      </c>
      <c r="Y10518" t="s">
        <v>190</v>
      </c>
      <c r="AA10518" t="s">
        <v>118</v>
      </c>
      <c r="AB10518" t="s">
        <v>119</v>
      </c>
    </row>
    <row r="10519" ht="15" customHeight="1" spans="1:22" x14ac:dyDescent="0.25">
      <c r="A10519" s="17" t="s">
        <v>28924</v>
      </c>
      <c r="B10519" s="17" t="s">
        <v>70</v>
      </c>
      <c r="C10519" s="17" t="s">
        <v>71</v>
      </c>
      <c r="D10519" t="s">
        <v>3846</v>
      </c>
      <c r="F10519" t="s">
        <v>28925</v>
      </c>
      <c r="K10519" s="18">
        <f>628119111646</f>
        <v>628119111646</v>
      </c>
      <c r="N10519" s="17" t="s">
        <v>81</v>
      </c>
      <c r="V10519" s="18">
        <f>628119111646</f>
        <v>628119111646</v>
      </c>
    </row>
    <row r="10520" ht="15" customHeight="1" spans="1:28" x14ac:dyDescent="0.25">
      <c r="A10520" s="17" t="s">
        <v>28926</v>
      </c>
      <c r="B10520" s="17" t="s">
        <v>70</v>
      </c>
      <c r="C10520" s="17" t="s">
        <v>71</v>
      </c>
      <c r="D10520" t="s">
        <v>3846</v>
      </c>
      <c r="F10520" t="s">
        <v>8486</v>
      </c>
      <c r="J10520" t="s">
        <v>115</v>
      </c>
      <c r="K10520" s="18" t="s">
        <v>28927</v>
      </c>
      <c r="N10520" s="17" t="s">
        <v>74</v>
      </c>
      <c r="O10520" t="s">
        <v>261</v>
      </c>
      <c r="U10520" s="17"/>
      <c r="V10520" s="18" t="s">
        <v>28927</v>
      </c>
      <c r="W10520" t="s">
        <v>28928</v>
      </c>
      <c r="Y10520" t="s">
        <v>704</v>
      </c>
      <c r="AA10520" t="s">
        <v>705</v>
      </c>
      <c r="AB10520" t="s">
        <v>119</v>
      </c>
    </row>
    <row r="10521" ht="15" customHeight="1" spans="1:23" x14ac:dyDescent="0.25">
      <c r="A10521" s="17" t="s">
        <v>28929</v>
      </c>
      <c r="B10521" s="17" t="s">
        <v>70</v>
      </c>
      <c r="C10521" s="17" t="s">
        <v>71</v>
      </c>
      <c r="D10521" t="s">
        <v>3846</v>
      </c>
      <c r="F10521" t="s">
        <v>28930</v>
      </c>
      <c r="K10521" s="18">
        <f>628113921210</f>
        <v>628113921210</v>
      </c>
      <c r="N10521" s="17" t="s">
        <v>81</v>
      </c>
      <c r="U10521" s="17"/>
      <c r="V10521" s="18">
        <f>628113921210</f>
        <v>628113921210</v>
      </c>
      <c r="W10521" t="s">
        <v>28931</v>
      </c>
    </row>
    <row r="10522" ht="15" customHeight="1" spans="1:22" x14ac:dyDescent="0.25">
      <c r="A10522" s="17" t="s">
        <v>28932</v>
      </c>
      <c r="B10522" s="17" t="s">
        <v>70</v>
      </c>
      <c r="C10522" s="17" t="s">
        <v>71</v>
      </c>
      <c r="D10522" t="s">
        <v>3846</v>
      </c>
      <c r="F10522" t="s">
        <v>1856</v>
      </c>
      <c r="K10522" s="18">
        <f>6281332034308</f>
        <v>6281332034308</v>
      </c>
      <c r="N10522" s="17" t="s">
        <v>81</v>
      </c>
      <c r="V10522" s="18">
        <f>6281332034308</f>
        <v>6281332034308</v>
      </c>
    </row>
    <row r="10523" ht="15" customHeight="1" spans="1:28" x14ac:dyDescent="0.25">
      <c r="A10523" s="17" t="s">
        <v>28933</v>
      </c>
      <c r="B10523" s="17" t="s">
        <v>70</v>
      </c>
      <c r="C10523" s="17" t="s">
        <v>71</v>
      </c>
      <c r="D10523" t="s">
        <v>28934</v>
      </c>
      <c r="F10523" t="s">
        <v>28934</v>
      </c>
      <c r="J10523" t="s">
        <v>115</v>
      </c>
      <c r="K10523" s="18" t="s">
        <v>28935</v>
      </c>
      <c r="N10523" s="17" t="s">
        <v>77</v>
      </c>
      <c r="O10523" t="s">
        <v>117</v>
      </c>
      <c r="V10523" s="18" t="s">
        <v>28935</v>
      </c>
      <c r="Y10523" t="s">
        <v>115</v>
      </c>
      <c r="AA10523" t="s">
        <v>115</v>
      </c>
      <c r="AB10523" t="s">
        <v>1298</v>
      </c>
    </row>
    <row r="10524" ht="15" customHeight="1" spans="1:22" x14ac:dyDescent="0.25">
      <c r="A10524" s="17" t="s">
        <v>28936</v>
      </c>
      <c r="B10524" s="17" t="s">
        <v>70</v>
      </c>
      <c r="C10524" s="17" t="s">
        <v>71</v>
      </c>
      <c r="D10524" t="s">
        <v>28937</v>
      </c>
      <c r="F10524" t="s">
        <v>28937</v>
      </c>
      <c r="K10524" s="18">
        <f>6281281078911</f>
        <v>6281281078911</v>
      </c>
      <c r="N10524" s="17" t="s">
        <v>77</v>
      </c>
      <c r="V10524" s="18">
        <f>6281281078911</f>
        <v>6281281078911</v>
      </c>
    </row>
    <row r="10525" ht="15" customHeight="1" spans="1:28" x14ac:dyDescent="0.25">
      <c r="A10525" s="17" t="s">
        <v>28938</v>
      </c>
      <c r="B10525" s="17" t="s">
        <v>70</v>
      </c>
      <c r="C10525" s="17" t="s">
        <v>71</v>
      </c>
      <c r="D10525" t="s">
        <v>28939</v>
      </c>
      <c r="F10525" t="s">
        <v>4616</v>
      </c>
      <c r="J10525" s="17" t="s">
        <v>28940</v>
      </c>
      <c r="K10525" s="18" t="s">
        <v>28941</v>
      </c>
      <c r="N10525" s="17" t="s">
        <v>77</v>
      </c>
      <c r="O10525" t="s">
        <v>145</v>
      </c>
      <c r="V10525" s="18" t="s">
        <v>28941</v>
      </c>
      <c r="Y10525" t="s">
        <v>190</v>
      </c>
      <c r="AA10525" t="s">
        <v>118</v>
      </c>
      <c r="AB10525" t="s">
        <v>119</v>
      </c>
    </row>
    <row r="10526" ht="15" customHeight="1" spans="1:28" x14ac:dyDescent="0.25">
      <c r="A10526" s="17" t="s">
        <v>28942</v>
      </c>
      <c r="B10526" s="17" t="s">
        <v>70</v>
      </c>
      <c r="C10526" s="17" t="s">
        <v>71</v>
      </c>
      <c r="D10526" t="s">
        <v>28943</v>
      </c>
      <c r="F10526" t="s">
        <v>17892</v>
      </c>
      <c r="J10526" t="s">
        <v>115</v>
      </c>
      <c r="K10526" s="18" t="s">
        <v>28944</v>
      </c>
      <c r="N10526" s="17" t="s">
        <v>77</v>
      </c>
      <c r="O10526" t="s">
        <v>199</v>
      </c>
      <c r="U10526" s="17"/>
      <c r="V10526" s="18" t="s">
        <v>28944</v>
      </c>
      <c r="W10526" t="s">
        <v>28945</v>
      </c>
      <c r="Y10526" t="s">
        <v>762</v>
      </c>
      <c r="AA10526" t="s">
        <v>115</v>
      </c>
      <c r="AB10526" t="s">
        <v>119</v>
      </c>
    </row>
    <row r="10527" ht="15" customHeight="1" spans="1:25" x14ac:dyDescent="0.25">
      <c r="A10527" s="17" t="s">
        <v>28946</v>
      </c>
      <c r="B10527" s="17" t="s">
        <v>70</v>
      </c>
      <c r="C10527" s="17" t="s">
        <v>71</v>
      </c>
      <c r="D10527" t="s">
        <v>28947</v>
      </c>
      <c r="F10527" t="s">
        <v>10546</v>
      </c>
      <c r="K10527" s="18">
        <f>6281282598023</f>
        <v>6281282598023</v>
      </c>
      <c r="N10527" s="17" t="s">
        <v>77</v>
      </c>
      <c r="U10527" s="17"/>
      <c r="V10527" s="18">
        <f>6281282598023</f>
        <v>6281282598023</v>
      </c>
      <c r="W10527" t="s">
        <v>28948</v>
      </c>
      <c r="Y10527" s="17" t="s">
        <v>96</v>
      </c>
    </row>
    <row r="10528" ht="15" customHeight="1" spans="1:22" x14ac:dyDescent="0.25">
      <c r="A10528" s="17" t="s">
        <v>28949</v>
      </c>
      <c r="B10528" s="17" t="s">
        <v>70</v>
      </c>
      <c r="C10528" s="17" t="s">
        <v>71</v>
      </c>
      <c r="D10528" t="s">
        <v>28950</v>
      </c>
      <c r="F10528" t="s">
        <v>28950</v>
      </c>
      <c r="K10528" s="18">
        <f>628177777271</f>
        <v>628177777271</v>
      </c>
      <c r="N10528" s="17" t="s">
        <v>77</v>
      </c>
      <c r="V10528" s="18">
        <f>628177777271</f>
        <v>628177777271</v>
      </c>
    </row>
    <row r="10529" ht="15" customHeight="1" spans="1:28" x14ac:dyDescent="0.25">
      <c r="A10529" s="17" t="s">
        <v>28951</v>
      </c>
      <c r="B10529" s="17" t="s">
        <v>70</v>
      </c>
      <c r="C10529" s="17" t="s">
        <v>71</v>
      </c>
      <c r="D10529" t="s">
        <v>28952</v>
      </c>
      <c r="F10529" t="s">
        <v>28953</v>
      </c>
      <c r="J10529" s="17" t="s">
        <v>28954</v>
      </c>
      <c r="K10529" s="18" t="s">
        <v>28955</v>
      </c>
      <c r="N10529" s="17" t="s">
        <v>77</v>
      </c>
      <c r="O10529" t="s">
        <v>489</v>
      </c>
      <c r="V10529" s="18" t="s">
        <v>28955</v>
      </c>
      <c r="Y10529" t="s">
        <v>115</v>
      </c>
      <c r="AA10529" t="s">
        <v>115</v>
      </c>
      <c r="AB10529" t="s">
        <v>251</v>
      </c>
    </row>
    <row r="10530" ht="15" customHeight="1" spans="1:23" x14ac:dyDescent="0.25">
      <c r="A10530" s="17" t="s">
        <v>28956</v>
      </c>
      <c r="B10530" s="17" t="s">
        <v>70</v>
      </c>
      <c r="C10530" s="17" t="s">
        <v>71</v>
      </c>
      <c r="D10530" t="s">
        <v>28957</v>
      </c>
      <c r="F10530" t="s">
        <v>28958</v>
      </c>
      <c r="K10530" s="18">
        <f>5569999753415</f>
        <v>5569999753415</v>
      </c>
      <c r="N10530" s="17" t="s">
        <v>77</v>
      </c>
      <c r="U10530" s="17"/>
      <c r="V10530" s="18">
        <f>5569999753415</f>
        <v>5569999753415</v>
      </c>
      <c r="W10530" t="s">
        <v>1046</v>
      </c>
    </row>
    <row r="10531" ht="15" customHeight="1" spans="1:28" x14ac:dyDescent="0.25">
      <c r="A10531" s="17" t="s">
        <v>28959</v>
      </c>
      <c r="B10531" s="17" t="s">
        <v>70</v>
      </c>
      <c r="C10531" s="17" t="s">
        <v>71</v>
      </c>
      <c r="D10531" t="s">
        <v>28960</v>
      </c>
      <c r="F10531" t="s">
        <v>2412</v>
      </c>
      <c r="J10531" s="17" t="s">
        <v>28961</v>
      </c>
      <c r="K10531" s="18" t="s">
        <v>28962</v>
      </c>
      <c r="N10531" s="17" t="s">
        <v>77</v>
      </c>
      <c r="O10531" t="s">
        <v>261</v>
      </c>
      <c r="U10531" s="17"/>
      <c r="V10531" s="18" t="s">
        <v>28962</v>
      </c>
      <c r="W10531" t="s">
        <v>28963</v>
      </c>
      <c r="Y10531" t="s">
        <v>515</v>
      </c>
      <c r="AA10531" t="s">
        <v>1614</v>
      </c>
      <c r="AB10531" t="s">
        <v>119</v>
      </c>
    </row>
    <row r="10532" ht="15" customHeight="1" spans="1:22" x14ac:dyDescent="0.25">
      <c r="A10532" s="17" t="s">
        <v>28964</v>
      </c>
      <c r="B10532" s="17" t="s">
        <v>70</v>
      </c>
      <c r="C10532" s="17" t="s">
        <v>71</v>
      </c>
      <c r="D10532" t="s">
        <v>28965</v>
      </c>
      <c r="F10532" t="s">
        <v>28966</v>
      </c>
      <c r="K10532" s="18">
        <f>628117999090</f>
        <v>628117999090</v>
      </c>
      <c r="N10532" s="17" t="s">
        <v>81</v>
      </c>
      <c r="V10532" s="18">
        <f>628117999090</f>
        <v>628117999090</v>
      </c>
    </row>
    <row r="10533" ht="15" customHeight="1" spans="1:22" x14ac:dyDescent="0.25">
      <c r="A10533" s="17" t="s">
        <v>28967</v>
      </c>
      <c r="B10533" s="17" t="s">
        <v>70</v>
      </c>
      <c r="C10533" s="17" t="s">
        <v>71</v>
      </c>
      <c r="D10533" t="s">
        <v>28968</v>
      </c>
      <c r="F10533" t="s">
        <v>28969</v>
      </c>
      <c r="K10533" s="18">
        <f>62816624112</f>
        <v>62816624112</v>
      </c>
      <c r="N10533" s="17" t="s">
        <v>81</v>
      </c>
      <c r="V10533" s="18">
        <f>62816624112</f>
        <v>62816624112</v>
      </c>
    </row>
    <row r="10534" ht="15" customHeight="1" spans="1:28" x14ac:dyDescent="0.25">
      <c r="A10534" s="17" t="s">
        <v>28970</v>
      </c>
      <c r="B10534" s="17" t="s">
        <v>70</v>
      </c>
      <c r="C10534" s="17" t="s">
        <v>71</v>
      </c>
      <c r="D10534" t="s">
        <v>7607</v>
      </c>
      <c r="F10534" t="s">
        <v>28971</v>
      </c>
      <c r="J10534" s="17" t="s">
        <v>28972</v>
      </c>
      <c r="K10534" s="18" t="s">
        <v>28973</v>
      </c>
      <c r="N10534" s="17" t="s">
        <v>77</v>
      </c>
      <c r="O10534" t="s">
        <v>145</v>
      </c>
      <c r="U10534" s="17"/>
      <c r="V10534" s="18" t="s">
        <v>28973</v>
      </c>
      <c r="W10534" t="s">
        <v>7007</v>
      </c>
      <c r="Y10534" t="s">
        <v>7939</v>
      </c>
      <c r="AA10534" t="s">
        <v>115</v>
      </c>
      <c r="AB10534" t="s">
        <v>119</v>
      </c>
    </row>
    <row r="10535" ht="15" customHeight="1" spans="1:25" x14ac:dyDescent="0.25">
      <c r="A10535" s="17" t="s">
        <v>28974</v>
      </c>
      <c r="B10535" s="17" t="s">
        <v>70</v>
      </c>
      <c r="C10535" s="17" t="s">
        <v>71</v>
      </c>
      <c r="D10535" t="s">
        <v>28975</v>
      </c>
      <c r="F10535" t="s">
        <v>2178</v>
      </c>
      <c r="K10535" s="18">
        <f>62811103884</f>
        <v>62811103884</v>
      </c>
      <c r="N10535" s="17" t="s">
        <v>77</v>
      </c>
      <c r="U10535" s="17"/>
      <c r="V10535" s="18">
        <f>62811103884</f>
        <v>62811103884</v>
      </c>
      <c r="W10535" t="s">
        <v>28976</v>
      </c>
      <c r="Y10535" s="17" t="s">
        <v>96</v>
      </c>
    </row>
    <row r="10536" ht="15" customHeight="1" spans="1:28" x14ac:dyDescent="0.25">
      <c r="A10536" s="17" t="s">
        <v>28977</v>
      </c>
      <c r="B10536" s="17" t="s">
        <v>70</v>
      </c>
      <c r="C10536" s="17" t="s">
        <v>71</v>
      </c>
      <c r="D10536" t="s">
        <v>28978</v>
      </c>
      <c r="F10536" t="s">
        <v>28979</v>
      </c>
      <c r="J10536" s="17" t="s">
        <v>28980</v>
      </c>
      <c r="K10536" s="18" t="s">
        <v>28981</v>
      </c>
      <c r="N10536" s="17" t="s">
        <v>77</v>
      </c>
      <c r="O10536" t="s">
        <v>117</v>
      </c>
      <c r="V10536" s="18" t="s">
        <v>28981</v>
      </c>
      <c r="Y10536" s="17" t="s">
        <v>2500</v>
      </c>
      <c r="AA10536" t="s">
        <v>115</v>
      </c>
      <c r="AB10536" t="s">
        <v>2500</v>
      </c>
    </row>
    <row r="10537" ht="15" customHeight="1" spans="1:28" x14ac:dyDescent="0.25">
      <c r="A10537" s="17" t="s">
        <v>28982</v>
      </c>
      <c r="B10537" s="17" t="s">
        <v>70</v>
      </c>
      <c r="C10537" s="17" t="s">
        <v>71</v>
      </c>
      <c r="D10537" t="s">
        <v>28983</v>
      </c>
      <c r="F10537" t="s">
        <v>28984</v>
      </c>
      <c r="J10537" t="s">
        <v>115</v>
      </c>
      <c r="K10537" s="18" t="s">
        <v>28985</v>
      </c>
      <c r="N10537" s="17" t="s">
        <v>77</v>
      </c>
      <c r="O10537" t="s">
        <v>145</v>
      </c>
      <c r="U10537" s="17"/>
      <c r="V10537" s="18" t="s">
        <v>28985</v>
      </c>
      <c r="W10537" t="s">
        <v>500</v>
      </c>
      <c r="Y10537" t="s">
        <v>190</v>
      </c>
      <c r="AA10537" t="s">
        <v>118</v>
      </c>
      <c r="AB10537" t="s">
        <v>119</v>
      </c>
    </row>
    <row r="10538" ht="15" customHeight="1" spans="1:28" x14ac:dyDescent="0.25">
      <c r="A10538" s="17" t="s">
        <v>28986</v>
      </c>
      <c r="B10538" s="17" t="s">
        <v>70</v>
      </c>
      <c r="C10538" s="17" t="s">
        <v>71</v>
      </c>
      <c r="D10538" t="s">
        <v>28983</v>
      </c>
      <c r="F10538" t="s">
        <v>28800</v>
      </c>
      <c r="J10538" s="17" t="s">
        <v>28987</v>
      </c>
      <c r="K10538" s="18" t="s">
        <v>28988</v>
      </c>
      <c r="N10538" s="17" t="s">
        <v>77</v>
      </c>
      <c r="O10538" t="s">
        <v>117</v>
      </c>
      <c r="V10538" s="18" t="s">
        <v>28988</v>
      </c>
      <c r="Y10538" t="s">
        <v>115</v>
      </c>
      <c r="AA10538" t="s">
        <v>115</v>
      </c>
      <c r="AB10538" t="s">
        <v>119</v>
      </c>
    </row>
    <row r="10539" ht="15" customHeight="1" spans="1:23" x14ac:dyDescent="0.25">
      <c r="A10539" s="17" t="s">
        <v>28989</v>
      </c>
      <c r="B10539" s="17" t="s">
        <v>70</v>
      </c>
      <c r="C10539" s="17" t="s">
        <v>71</v>
      </c>
      <c r="D10539" t="s">
        <v>28983</v>
      </c>
      <c r="F10539" t="s">
        <v>28990</v>
      </c>
      <c r="K10539" s="18">
        <f>628118706221</f>
        <v>628118706221</v>
      </c>
      <c r="N10539" s="17" t="s">
        <v>77</v>
      </c>
      <c r="U10539" s="17"/>
      <c r="V10539" s="18">
        <f>628118706221</f>
        <v>628118706221</v>
      </c>
      <c r="W10539" t="s">
        <v>28991</v>
      </c>
    </row>
    <row r="10540" ht="15" customHeight="1" spans="1:22" x14ac:dyDescent="0.25">
      <c r="A10540" s="17" t="s">
        <v>28992</v>
      </c>
      <c r="B10540" s="17" t="s">
        <v>70</v>
      </c>
      <c r="C10540" s="17" t="s">
        <v>71</v>
      </c>
      <c r="D10540" t="s">
        <v>28993</v>
      </c>
      <c r="F10540" t="s">
        <v>28994</v>
      </c>
      <c r="K10540" s="18">
        <f>62811133611</f>
        <v>62811133611</v>
      </c>
      <c r="N10540" s="17" t="s">
        <v>81</v>
      </c>
      <c r="V10540" s="18">
        <f>62811133611</f>
        <v>62811133611</v>
      </c>
    </row>
    <row r="10541" ht="15" customHeight="1" spans="1:22" x14ac:dyDescent="0.25">
      <c r="A10541" s="17" t="s">
        <v>28995</v>
      </c>
      <c r="B10541" s="17" t="s">
        <v>70</v>
      </c>
      <c r="C10541" s="17" t="s">
        <v>71</v>
      </c>
      <c r="D10541" t="s">
        <v>28996</v>
      </c>
      <c r="F10541" t="s">
        <v>28996</v>
      </c>
      <c r="K10541" s="18">
        <f>6281289980338</f>
        <v>6281289980338</v>
      </c>
      <c r="N10541" s="17" t="s">
        <v>81</v>
      </c>
      <c r="V10541" s="18">
        <f>6281289980338</f>
        <v>6281289980338</v>
      </c>
    </row>
    <row r="10542" ht="15" customHeight="1" spans="1:22" x14ac:dyDescent="0.25">
      <c r="A10542" s="17" t="s">
        <v>28997</v>
      </c>
      <c r="B10542" s="17" t="s">
        <v>70</v>
      </c>
      <c r="C10542" s="17" t="s">
        <v>71</v>
      </c>
      <c r="D10542" t="s">
        <v>28996</v>
      </c>
      <c r="F10542" t="s">
        <v>28998</v>
      </c>
      <c r="K10542" s="18">
        <f>62811972788</f>
        <v>62811972788</v>
      </c>
      <c r="N10542" s="17" t="s">
        <v>77</v>
      </c>
      <c r="V10542" s="18">
        <f>62811972788</f>
        <v>62811972788</v>
      </c>
    </row>
    <row r="10543" ht="15" customHeight="1" spans="1:28" x14ac:dyDescent="0.25">
      <c r="A10543" s="17" t="s">
        <v>28999</v>
      </c>
      <c r="B10543" s="17" t="s">
        <v>70</v>
      </c>
      <c r="C10543" s="17" t="s">
        <v>71</v>
      </c>
      <c r="D10543" t="s">
        <v>28996</v>
      </c>
      <c r="F10543" t="s">
        <v>29000</v>
      </c>
      <c r="J10543" s="17" t="s">
        <v>29001</v>
      </c>
      <c r="K10543" s="18" t="s">
        <v>29002</v>
      </c>
      <c r="N10543" s="17" t="s">
        <v>77</v>
      </c>
      <c r="O10543" t="s">
        <v>145</v>
      </c>
      <c r="V10543" s="18" t="s">
        <v>29002</v>
      </c>
      <c r="Y10543" s="17" t="s">
        <v>1903</v>
      </c>
      <c r="AA10543" t="s">
        <v>115</v>
      </c>
      <c r="AB10543" t="s">
        <v>1903</v>
      </c>
    </row>
    <row r="10544" ht="15" customHeight="1" spans="1:22" x14ac:dyDescent="0.25">
      <c r="A10544" s="17" t="s">
        <v>29003</v>
      </c>
      <c r="B10544" s="17" t="s">
        <v>70</v>
      </c>
      <c r="C10544" s="17" t="s">
        <v>71</v>
      </c>
      <c r="D10544" t="s">
        <v>29004</v>
      </c>
      <c r="F10544" t="s">
        <v>29004</v>
      </c>
      <c r="K10544" s="18">
        <f>628128863030</f>
        <v>628128863030</v>
      </c>
      <c r="N10544" s="17" t="s">
        <v>77</v>
      </c>
      <c r="V10544" s="18">
        <f>628128863030</f>
        <v>628128863030</v>
      </c>
    </row>
    <row r="10545" ht="15" customHeight="1" spans="1:22" x14ac:dyDescent="0.25">
      <c r="A10545" s="17" t="s">
        <v>29005</v>
      </c>
      <c r="B10545" s="17" t="s">
        <v>70</v>
      </c>
      <c r="C10545" s="17" t="s">
        <v>71</v>
      </c>
      <c r="D10545" t="s">
        <v>29004</v>
      </c>
      <c r="F10545" t="s">
        <v>29004</v>
      </c>
      <c r="K10545" s="18">
        <f>62818744055</f>
        <v>62818744055</v>
      </c>
      <c r="N10545" s="17" t="s">
        <v>77</v>
      </c>
      <c r="V10545" s="18">
        <f>62818744055</f>
        <v>62818744055</v>
      </c>
    </row>
    <row r="10546" ht="15" customHeight="1" spans="1:28" x14ac:dyDescent="0.25">
      <c r="A10546" s="17" t="s">
        <v>29006</v>
      </c>
      <c r="B10546" s="17" t="s">
        <v>70</v>
      </c>
      <c r="C10546" s="17" t="s">
        <v>71</v>
      </c>
      <c r="D10546" t="s">
        <v>29004</v>
      </c>
      <c r="F10546" t="s">
        <v>29004</v>
      </c>
      <c r="J10546" t="s">
        <v>115</v>
      </c>
      <c r="K10546" s="18" t="s">
        <v>29007</v>
      </c>
      <c r="N10546" s="17" t="s">
        <v>77</v>
      </c>
      <c r="O10546" t="s">
        <v>261</v>
      </c>
      <c r="V10546" s="18" t="s">
        <v>29007</v>
      </c>
      <c r="Y10546" t="s">
        <v>3140</v>
      </c>
      <c r="AA10546" t="s">
        <v>115</v>
      </c>
      <c r="AB10546" t="s">
        <v>3140</v>
      </c>
    </row>
    <row r="10547" ht="15" customHeight="1" spans="1:22" x14ac:dyDescent="0.25">
      <c r="A10547" s="17" t="s">
        <v>29008</v>
      </c>
      <c r="B10547" s="17" t="s">
        <v>70</v>
      </c>
      <c r="C10547" s="17" t="s">
        <v>71</v>
      </c>
      <c r="D10547" t="s">
        <v>29004</v>
      </c>
      <c r="F10547" t="s">
        <v>29004</v>
      </c>
      <c r="K10547" s="18">
        <f>6281511199567</f>
        <v>6281511199567</v>
      </c>
      <c r="N10547" s="17" t="s">
        <v>77</v>
      </c>
      <c r="V10547" s="18">
        <f>6281511199567</f>
        <v>6281511199567</v>
      </c>
    </row>
    <row r="10548" ht="15" customHeight="1" spans="1:23" x14ac:dyDescent="0.25">
      <c r="A10548" s="17" t="s">
        <v>29009</v>
      </c>
      <c r="B10548" s="17" t="s">
        <v>70</v>
      </c>
      <c r="C10548" s="17" t="s">
        <v>71</v>
      </c>
      <c r="D10548" t="s">
        <v>29004</v>
      </c>
      <c r="F10548" t="s">
        <v>12297</v>
      </c>
      <c r="K10548" s="18">
        <f>62816889612</f>
        <v>62816889612</v>
      </c>
      <c r="N10548" s="17" t="s">
        <v>77</v>
      </c>
      <c r="U10548" s="17"/>
      <c r="V10548" s="18">
        <f>62816889612</f>
        <v>62816889612</v>
      </c>
      <c r="W10548" t="s">
        <v>29010</v>
      </c>
    </row>
    <row r="10549" ht="15" customHeight="1" spans="1:28" x14ac:dyDescent="0.25">
      <c r="A10549" s="17" t="s">
        <v>29011</v>
      </c>
      <c r="B10549" s="17" t="s">
        <v>70</v>
      </c>
      <c r="C10549" s="17" t="s">
        <v>71</v>
      </c>
      <c r="D10549" t="s">
        <v>29004</v>
      </c>
      <c r="F10549" t="s">
        <v>29012</v>
      </c>
      <c r="J10549" t="s">
        <v>115</v>
      </c>
      <c r="K10549" s="18" t="s">
        <v>29013</v>
      </c>
      <c r="N10549" s="17" t="s">
        <v>77</v>
      </c>
      <c r="O10549" t="s">
        <v>489</v>
      </c>
      <c r="U10549" s="17"/>
      <c r="V10549" s="18" t="s">
        <v>29013</v>
      </c>
      <c r="W10549" t="s">
        <v>626</v>
      </c>
      <c r="Y10549" t="s">
        <v>190</v>
      </c>
      <c r="AA10549" t="s">
        <v>118</v>
      </c>
      <c r="AB10549" t="s">
        <v>119</v>
      </c>
    </row>
    <row r="10550" ht="15" customHeight="1" spans="1:22" x14ac:dyDescent="0.25">
      <c r="A10550" s="17" t="s">
        <v>29014</v>
      </c>
      <c r="B10550" s="17" t="s">
        <v>70</v>
      </c>
      <c r="C10550" s="17" t="s">
        <v>71</v>
      </c>
      <c r="D10550" t="s">
        <v>29004</v>
      </c>
      <c r="F10550" t="s">
        <v>868</v>
      </c>
      <c r="J10550" s="17" t="s">
        <v>29015</v>
      </c>
      <c r="K10550" s="18">
        <f>628111832002</f>
        <v>628111832002</v>
      </c>
      <c r="N10550" s="17" t="s">
        <v>77</v>
      </c>
      <c r="V10550" s="18">
        <f>628111832002</f>
        <v>628111832002</v>
      </c>
    </row>
    <row r="10551" ht="15" customHeight="1" spans="1:22" x14ac:dyDescent="0.25">
      <c r="A10551" s="17" t="s">
        <v>29016</v>
      </c>
      <c r="B10551" s="17" t="s">
        <v>70</v>
      </c>
      <c r="C10551" s="17" t="s">
        <v>71</v>
      </c>
      <c r="D10551" t="s">
        <v>29004</v>
      </c>
      <c r="F10551" t="s">
        <v>16484</v>
      </c>
      <c r="K10551" s="18">
        <f>62811146200</f>
        <v>62811146200</v>
      </c>
      <c r="N10551" s="17" t="s">
        <v>81</v>
      </c>
      <c r="V10551" s="18">
        <f>62811146200</f>
        <v>62811146200</v>
      </c>
    </row>
    <row r="10552" ht="15" customHeight="1" spans="1:25" x14ac:dyDescent="0.25">
      <c r="A10552" s="17" t="s">
        <v>29017</v>
      </c>
      <c r="B10552" s="17" t="s">
        <v>70</v>
      </c>
      <c r="C10552" s="17" t="s">
        <v>71</v>
      </c>
      <c r="D10552" t="s">
        <v>29004</v>
      </c>
      <c r="F10552" t="s">
        <v>29018</v>
      </c>
      <c r="J10552" s="17" t="s">
        <v>29019</v>
      </c>
      <c r="K10552" s="18">
        <f>62811954801</f>
        <v>62811954801</v>
      </c>
      <c r="N10552" s="17" t="s">
        <v>77</v>
      </c>
      <c r="U10552" s="17"/>
      <c r="V10552" s="18">
        <f>62811954801</f>
        <v>62811954801</v>
      </c>
      <c r="W10552" t="s">
        <v>29020</v>
      </c>
      <c r="Y10552" s="17" t="s">
        <v>90</v>
      </c>
    </row>
    <row r="10553" ht="15" customHeight="1" spans="1:22" x14ac:dyDescent="0.25">
      <c r="A10553" s="17" t="s">
        <v>29021</v>
      </c>
      <c r="B10553" s="17" t="s">
        <v>70</v>
      </c>
      <c r="C10553" s="17" t="s">
        <v>71</v>
      </c>
      <c r="D10553" t="s">
        <v>29004</v>
      </c>
      <c r="F10553" t="s">
        <v>29022</v>
      </c>
      <c r="K10553" s="18">
        <f>62811813867</f>
        <v>62811813867</v>
      </c>
      <c r="N10553" s="17" t="s">
        <v>81</v>
      </c>
      <c r="V10553" s="18">
        <f>62811813867</f>
        <v>62811813867</v>
      </c>
    </row>
    <row r="10554" ht="15" customHeight="1" spans="1:22" x14ac:dyDescent="0.25">
      <c r="A10554" s="17" t="s">
        <v>29023</v>
      </c>
      <c r="B10554" s="17" t="s">
        <v>70</v>
      </c>
      <c r="C10554" s="17" t="s">
        <v>71</v>
      </c>
      <c r="D10554" t="s">
        <v>29004</v>
      </c>
      <c r="F10554" t="s">
        <v>2345</v>
      </c>
      <c r="K10554" s="18">
        <f>62811959959</f>
        <v>62811959959</v>
      </c>
      <c r="N10554" s="17" t="s">
        <v>77</v>
      </c>
      <c r="V10554" s="18">
        <f>62811959959</f>
        <v>62811959959</v>
      </c>
    </row>
    <row r="10555" ht="15" customHeight="1" spans="1:22" x14ac:dyDescent="0.25">
      <c r="A10555" s="17" t="s">
        <v>29024</v>
      </c>
      <c r="B10555" s="17" t="s">
        <v>70</v>
      </c>
      <c r="C10555" s="17" t="s">
        <v>71</v>
      </c>
      <c r="D10555" t="s">
        <v>29004</v>
      </c>
      <c r="F10555" t="s">
        <v>29025</v>
      </c>
      <c r="K10555" s="18">
        <f>62811198888</f>
        <v>62811198888</v>
      </c>
      <c r="N10555" s="17" t="s">
        <v>77</v>
      </c>
      <c r="V10555" s="18">
        <f>62811198888</f>
        <v>62811198888</v>
      </c>
    </row>
    <row r="10556" ht="15" customHeight="1" spans="1:22" x14ac:dyDescent="0.25">
      <c r="A10556" s="17" t="s">
        <v>29026</v>
      </c>
      <c r="B10556" s="17" t="s">
        <v>70</v>
      </c>
      <c r="C10556" s="17" t="s">
        <v>71</v>
      </c>
      <c r="D10556" t="s">
        <v>29004</v>
      </c>
      <c r="F10556" t="s">
        <v>11737</v>
      </c>
      <c r="K10556" s="18">
        <f>62811504196</f>
        <v>62811504196</v>
      </c>
      <c r="N10556" s="17" t="s">
        <v>77</v>
      </c>
      <c r="V10556" s="18">
        <f>62811504196</f>
        <v>62811504196</v>
      </c>
    </row>
    <row r="10557" ht="15" customHeight="1" spans="1:22" x14ac:dyDescent="0.25">
      <c r="A10557" s="17" t="s">
        <v>29027</v>
      </c>
      <c r="B10557" s="17" t="s">
        <v>70</v>
      </c>
      <c r="C10557" s="17" t="s">
        <v>71</v>
      </c>
      <c r="D10557" t="s">
        <v>29028</v>
      </c>
      <c r="F10557" t="s">
        <v>6415</v>
      </c>
      <c r="K10557" s="18">
        <f>62811627362</f>
        <v>62811627362</v>
      </c>
      <c r="N10557" s="17" t="s">
        <v>74</v>
      </c>
      <c r="V10557" s="18">
        <f>62811627362</f>
        <v>62811627362</v>
      </c>
    </row>
    <row r="10558" ht="15" customHeight="1" spans="1:27" x14ac:dyDescent="0.25">
      <c r="A10558" s="17" t="s">
        <v>29029</v>
      </c>
      <c r="B10558" s="17" t="s">
        <v>70</v>
      </c>
      <c r="C10558" s="17" t="s">
        <v>71</v>
      </c>
      <c r="D10558" t="s">
        <v>29030</v>
      </c>
      <c r="F10558" t="s">
        <v>29030</v>
      </c>
      <c r="K10558" s="18">
        <f>62816999642</f>
        <v>62816999642</v>
      </c>
      <c r="N10558" s="17" t="s">
        <v>74</v>
      </c>
      <c r="U10558" s="17"/>
      <c r="V10558" s="18">
        <f>62816999642</f>
        <v>62816999642</v>
      </c>
      <c r="W10558" t="s">
        <v>29031</v>
      </c>
      <c r="Y10558" s="17" t="s">
        <v>626</v>
      </c>
      <c r="AA10558" s="17" t="s">
        <v>29032</v>
      </c>
    </row>
    <row r="10559" ht="15" customHeight="1" spans="1:22" x14ac:dyDescent="0.25">
      <c r="A10559" s="17" t="s">
        <v>29033</v>
      </c>
      <c r="B10559" s="17" t="s">
        <v>70</v>
      </c>
      <c r="C10559" s="17" t="s">
        <v>71</v>
      </c>
      <c r="D10559" t="s">
        <v>29034</v>
      </c>
      <c r="F10559" t="s">
        <v>17963</v>
      </c>
      <c r="K10559" s="18">
        <f>6281276549988</f>
        <v>6281276549988</v>
      </c>
      <c r="N10559" s="17" t="s">
        <v>81</v>
      </c>
      <c r="V10559" s="18">
        <f>6281276549988</f>
        <v>6281276549988</v>
      </c>
    </row>
    <row r="10560" ht="15" customHeight="1" spans="1:22" x14ac:dyDescent="0.25">
      <c r="A10560" s="17" t="s">
        <v>29035</v>
      </c>
      <c r="B10560" s="17" t="s">
        <v>70</v>
      </c>
      <c r="C10560" s="17" t="s">
        <v>71</v>
      </c>
      <c r="D10560" t="s">
        <v>29036</v>
      </c>
      <c r="F10560" t="s">
        <v>29036</v>
      </c>
      <c r="K10560" s="18">
        <f>6281519430924</f>
        <v>6281519430924</v>
      </c>
      <c r="N10560" s="17" t="s">
        <v>77</v>
      </c>
      <c r="V10560" s="18">
        <f>6281519430924</f>
        <v>6281519430924</v>
      </c>
    </row>
    <row r="10561" ht="15" customHeight="1" spans="1:23" x14ac:dyDescent="0.25">
      <c r="A10561" s="17" t="s">
        <v>29037</v>
      </c>
      <c r="B10561" s="17" t="s">
        <v>70</v>
      </c>
      <c r="C10561" s="17" t="s">
        <v>71</v>
      </c>
      <c r="D10561" t="s">
        <v>29036</v>
      </c>
      <c r="F10561" t="s">
        <v>29038</v>
      </c>
      <c r="K10561" s="18">
        <f>62811655031</f>
        <v>62811655031</v>
      </c>
      <c r="N10561" s="17" t="s">
        <v>77</v>
      </c>
      <c r="U10561" s="17"/>
      <c r="V10561" s="18">
        <f>62811655031</f>
        <v>62811655031</v>
      </c>
      <c r="W10561" t="s">
        <v>29039</v>
      </c>
    </row>
    <row r="10562" ht="15" customHeight="1" spans="1:22" x14ac:dyDescent="0.25">
      <c r="A10562" s="17" t="s">
        <v>29040</v>
      </c>
      <c r="B10562" s="17" t="s">
        <v>70</v>
      </c>
      <c r="C10562" s="17" t="s">
        <v>71</v>
      </c>
      <c r="D10562" t="s">
        <v>29036</v>
      </c>
      <c r="F10562" t="s">
        <v>2288</v>
      </c>
      <c r="K10562" s="18">
        <f>62818922888</f>
        <v>62818922888</v>
      </c>
      <c r="N10562" s="17" t="s">
        <v>77</v>
      </c>
      <c r="V10562" s="18">
        <f>62818922888</f>
        <v>62818922888</v>
      </c>
    </row>
    <row r="10563" ht="15" customHeight="1" spans="1:27" x14ac:dyDescent="0.25">
      <c r="A10563" s="17" t="s">
        <v>29041</v>
      </c>
      <c r="B10563" s="17" t="s">
        <v>70</v>
      </c>
      <c r="C10563" s="17" t="s">
        <v>71</v>
      </c>
      <c r="D10563" t="s">
        <v>29036</v>
      </c>
      <c r="F10563" t="s">
        <v>9696</v>
      </c>
      <c r="K10563" s="18">
        <v>4502299</v>
      </c>
      <c r="N10563" s="17" t="s">
        <v>77</v>
      </c>
      <c r="U10563" s="17"/>
      <c r="V10563" s="18">
        <v>4502299</v>
      </c>
      <c r="W10563" t="s">
        <v>5123</v>
      </c>
      <c r="Y10563" s="17" t="s">
        <v>1084</v>
      </c>
      <c r="AA10563" s="17" t="s">
        <v>29042</v>
      </c>
    </row>
    <row r="10564" ht="15" customHeight="1" spans="1:28" x14ac:dyDescent="0.25">
      <c r="A10564" s="17" t="s">
        <v>29043</v>
      </c>
      <c r="B10564" s="17" t="s">
        <v>70</v>
      </c>
      <c r="C10564" s="17" t="s">
        <v>71</v>
      </c>
      <c r="D10564" t="s">
        <v>29036</v>
      </c>
      <c r="F10564" t="s">
        <v>5795</v>
      </c>
      <c r="J10564" t="s">
        <v>115</v>
      </c>
      <c r="K10564" s="18" t="s">
        <v>29044</v>
      </c>
      <c r="N10564" s="17" t="s">
        <v>77</v>
      </c>
      <c r="O10564" t="s">
        <v>145</v>
      </c>
      <c r="V10564" s="18" t="s">
        <v>29044</v>
      </c>
      <c r="Y10564" s="17" t="s">
        <v>500</v>
      </c>
      <c r="AA10564" t="s">
        <v>501</v>
      </c>
      <c r="AB10564" t="s">
        <v>119</v>
      </c>
    </row>
    <row r="10565" ht="15" customHeight="1" spans="1:27" x14ac:dyDescent="0.25">
      <c r="A10565" s="17" t="s">
        <v>29045</v>
      </c>
      <c r="B10565" s="17" t="s">
        <v>70</v>
      </c>
      <c r="C10565" s="17" t="s">
        <v>71</v>
      </c>
      <c r="D10565" t="s">
        <v>29036</v>
      </c>
      <c r="F10565" t="s">
        <v>3386</v>
      </c>
      <c r="K10565" s="18">
        <f>62816753541</f>
        <v>62816753541</v>
      </c>
      <c r="N10565" s="17" t="s">
        <v>77</v>
      </c>
      <c r="U10565" s="17"/>
      <c r="V10565" s="18">
        <f>62816753541</f>
        <v>62816753541</v>
      </c>
      <c r="W10565" t="s">
        <v>29046</v>
      </c>
      <c r="AA10565" s="17">
        <v>11610</v>
      </c>
    </row>
    <row r="10566" ht="15" customHeight="1" spans="1:22" x14ac:dyDescent="0.25">
      <c r="A10566" s="17" t="s">
        <v>29047</v>
      </c>
      <c r="B10566" s="17" t="s">
        <v>70</v>
      </c>
      <c r="C10566" s="17" t="s">
        <v>71</v>
      </c>
      <c r="D10566" t="s">
        <v>29036</v>
      </c>
      <c r="F10566" t="s">
        <v>10871</v>
      </c>
      <c r="K10566" s="18">
        <f>6281323945541</f>
        <v>6281323945541</v>
      </c>
      <c r="N10566" s="17" t="s">
        <v>81</v>
      </c>
      <c r="V10566" s="18">
        <f>6281323945541</f>
        <v>6281323945541</v>
      </c>
    </row>
    <row r="10567" ht="15" customHeight="1" spans="1:28" x14ac:dyDescent="0.25">
      <c r="A10567" s="17" t="s">
        <v>29048</v>
      </c>
      <c r="B10567" s="17" t="s">
        <v>70</v>
      </c>
      <c r="C10567" s="17" t="s">
        <v>71</v>
      </c>
      <c r="D10567" t="s">
        <v>29036</v>
      </c>
      <c r="F10567" t="s">
        <v>29049</v>
      </c>
      <c r="J10567" t="s">
        <v>115</v>
      </c>
      <c r="K10567" s="18" t="s">
        <v>29050</v>
      </c>
      <c r="N10567" s="17" t="s">
        <v>74</v>
      </c>
      <c r="O10567" t="s">
        <v>489</v>
      </c>
      <c r="U10567" s="17"/>
      <c r="V10567" s="18" t="s">
        <v>29050</v>
      </c>
      <c r="W10567" t="s">
        <v>29051</v>
      </c>
      <c r="Y10567" t="s">
        <v>622</v>
      </c>
      <c r="AA10567" t="s">
        <v>623</v>
      </c>
      <c r="AB10567" t="s">
        <v>119</v>
      </c>
    </row>
    <row r="10568" ht="15" customHeight="1" spans="1:22" x14ac:dyDescent="0.25">
      <c r="A10568" s="17" t="s">
        <v>29052</v>
      </c>
      <c r="B10568" s="17" t="s">
        <v>70</v>
      </c>
      <c r="C10568" s="17" t="s">
        <v>71</v>
      </c>
      <c r="D10568" t="s">
        <v>29036</v>
      </c>
      <c r="F10568" t="s">
        <v>29053</v>
      </c>
      <c r="K10568" s="18">
        <f>628151842699</f>
        <v>628151842699</v>
      </c>
      <c r="N10568" s="17" t="s">
        <v>81</v>
      </c>
      <c r="V10568" s="18">
        <f>628151842699</f>
        <v>628151842699</v>
      </c>
    </row>
    <row r="10569" ht="15" customHeight="1" spans="1:22" x14ac:dyDescent="0.25">
      <c r="A10569" s="17" t="s">
        <v>29054</v>
      </c>
      <c r="B10569" s="17" t="s">
        <v>70</v>
      </c>
      <c r="C10569" s="17" t="s">
        <v>71</v>
      </c>
      <c r="D10569" t="s">
        <v>29036</v>
      </c>
      <c r="F10569" t="s">
        <v>3176</v>
      </c>
      <c r="K10569" s="18">
        <f>6281288220022</f>
        <v>6281288220022</v>
      </c>
      <c r="N10569" s="17" t="s">
        <v>81</v>
      </c>
      <c r="V10569" s="18">
        <f>6281288220022</f>
        <v>6281288220022</v>
      </c>
    </row>
    <row r="10570" ht="15" customHeight="1" spans="1:25" x14ac:dyDescent="0.25">
      <c r="A10570" s="17" t="s">
        <v>29055</v>
      </c>
      <c r="B10570" s="17" t="s">
        <v>70</v>
      </c>
      <c r="C10570" s="17" t="s">
        <v>71</v>
      </c>
      <c r="D10570" t="s">
        <v>29036</v>
      </c>
      <c r="F10570" t="s">
        <v>29056</v>
      </c>
      <c r="K10570" s="18">
        <f>628170932782</f>
        <v>628170932782</v>
      </c>
      <c r="N10570" s="17" t="s">
        <v>77</v>
      </c>
      <c r="U10570" s="17"/>
      <c r="V10570" s="18">
        <f>628170932782</f>
        <v>628170932782</v>
      </c>
      <c r="W10570" t="s">
        <v>29057</v>
      </c>
      <c r="Y10570" s="17" t="s">
        <v>96</v>
      </c>
    </row>
    <row r="10571" ht="15" customHeight="1" spans="1:22" x14ac:dyDescent="0.25">
      <c r="A10571" s="17" t="s">
        <v>29058</v>
      </c>
      <c r="B10571" s="17" t="s">
        <v>70</v>
      </c>
      <c r="C10571" s="17" t="s">
        <v>71</v>
      </c>
      <c r="D10571" t="s">
        <v>29036</v>
      </c>
      <c r="F10571" t="s">
        <v>29059</v>
      </c>
      <c r="K10571" s="18">
        <f>6287782919120</f>
        <v>6287782919120</v>
      </c>
      <c r="N10571" s="17" t="s">
        <v>81</v>
      </c>
      <c r="V10571" s="18">
        <f>6287782919120</f>
        <v>6287782919120</v>
      </c>
    </row>
    <row r="10572" ht="15" customHeight="1" spans="1:27" x14ac:dyDescent="0.25">
      <c r="A10572" s="17" t="s">
        <v>29060</v>
      </c>
      <c r="B10572" s="17" t="s">
        <v>70</v>
      </c>
      <c r="C10572" s="17" t="s">
        <v>71</v>
      </c>
      <c r="D10572" t="s">
        <v>14403</v>
      </c>
      <c r="F10572" t="s">
        <v>14403</v>
      </c>
      <c r="K10572" s="18">
        <f>6281510910373</f>
        <v>6281510910373</v>
      </c>
      <c r="N10572" s="17" t="s">
        <v>77</v>
      </c>
      <c r="U10572" s="17"/>
      <c r="V10572" s="18">
        <f>6281510910373</f>
        <v>6281510910373</v>
      </c>
      <c r="W10572" t="s">
        <v>29061</v>
      </c>
      <c r="Y10572" s="17" t="s">
        <v>378</v>
      </c>
      <c r="AA10572" s="17" t="s">
        <v>9772</v>
      </c>
    </row>
    <row r="10573" ht="15" customHeight="1" spans="1:27" x14ac:dyDescent="0.25">
      <c r="A10573" s="17" t="s">
        <v>29062</v>
      </c>
      <c r="B10573" s="17" t="s">
        <v>70</v>
      </c>
      <c r="C10573" s="17" t="s">
        <v>71</v>
      </c>
      <c r="D10573" t="s">
        <v>14403</v>
      </c>
      <c r="F10573" t="s">
        <v>29063</v>
      </c>
      <c r="K10573" s="18">
        <f>6281410002028</f>
        <v>6281410002028</v>
      </c>
      <c r="N10573" s="17" t="s">
        <v>77</v>
      </c>
      <c r="U10573" s="17"/>
      <c r="V10573" s="18">
        <f>6281410002028</f>
        <v>6281410002028</v>
      </c>
      <c r="W10573" t="s">
        <v>29064</v>
      </c>
      <c r="Y10573" s="17" t="s">
        <v>96</v>
      </c>
      <c r="AA10573" s="17">
        <v>12190</v>
      </c>
    </row>
    <row r="10574" ht="15" customHeight="1" spans="1:22" x14ac:dyDescent="0.25">
      <c r="A10574" s="17" t="s">
        <v>29065</v>
      </c>
      <c r="B10574" s="17" t="s">
        <v>70</v>
      </c>
      <c r="C10574" s="17" t="s">
        <v>71</v>
      </c>
      <c r="D10574" t="s">
        <v>29066</v>
      </c>
      <c r="F10574" t="s">
        <v>5545</v>
      </c>
      <c r="K10574" s="18">
        <f>6281285324854</f>
        <v>6281285324854</v>
      </c>
      <c r="N10574" s="17" t="s">
        <v>77</v>
      </c>
      <c r="V10574" s="18">
        <f>6281285324854</f>
        <v>6281285324854</v>
      </c>
    </row>
    <row r="10575" ht="15" customHeight="1" spans="1:22" x14ac:dyDescent="0.25">
      <c r="A10575" s="17" t="s">
        <v>29067</v>
      </c>
      <c r="B10575" s="17" t="s">
        <v>70</v>
      </c>
      <c r="C10575" s="17" t="s">
        <v>71</v>
      </c>
      <c r="D10575" t="s">
        <v>29068</v>
      </c>
      <c r="F10575" t="s">
        <v>8950</v>
      </c>
      <c r="K10575" s="18">
        <f>6281374897445</f>
        <v>6281374897445</v>
      </c>
      <c r="N10575" s="17" t="s">
        <v>81</v>
      </c>
      <c r="V10575" s="18">
        <f>6281374897445</f>
        <v>6281374897445</v>
      </c>
    </row>
    <row r="10576" ht="15" customHeight="1" spans="1:28" x14ac:dyDescent="0.25">
      <c r="A10576" s="17" t="s">
        <v>29069</v>
      </c>
      <c r="B10576" s="17" t="s">
        <v>70</v>
      </c>
      <c r="C10576" s="17" t="s">
        <v>71</v>
      </c>
      <c r="D10576" t="s">
        <v>29070</v>
      </c>
      <c r="F10576" t="s">
        <v>29071</v>
      </c>
      <c r="J10576" t="s">
        <v>115</v>
      </c>
      <c r="K10576" s="18" t="s">
        <v>29072</v>
      </c>
      <c r="N10576" s="17" t="s">
        <v>77</v>
      </c>
      <c r="O10576" t="s">
        <v>489</v>
      </c>
      <c r="U10576" s="17"/>
      <c r="V10576" s="18" t="s">
        <v>29072</v>
      </c>
      <c r="W10576" t="s">
        <v>29073</v>
      </c>
      <c r="Y10576" s="17" t="s">
        <v>90</v>
      </c>
      <c r="AA10576" t="s">
        <v>118</v>
      </c>
      <c r="AB10576" t="s">
        <v>119</v>
      </c>
    </row>
    <row r="10577" ht="15" customHeight="1" spans="1:28" x14ac:dyDescent="0.25">
      <c r="A10577" s="17" t="s">
        <v>29074</v>
      </c>
      <c r="B10577" s="17" t="s">
        <v>70</v>
      </c>
      <c r="C10577" s="17" t="s">
        <v>71</v>
      </c>
      <c r="D10577" t="s">
        <v>29075</v>
      </c>
      <c r="F10577" t="s">
        <v>1208</v>
      </c>
      <c r="J10577" s="17" t="s">
        <v>29076</v>
      </c>
      <c r="K10577" s="18" t="s">
        <v>29077</v>
      </c>
      <c r="N10577" s="17" t="s">
        <v>77</v>
      </c>
      <c r="O10577" t="s">
        <v>199</v>
      </c>
      <c r="U10577" s="17"/>
      <c r="V10577" s="18" t="s">
        <v>29077</v>
      </c>
      <c r="W10577" t="s">
        <v>29078</v>
      </c>
      <c r="Y10577" s="17" t="s">
        <v>190</v>
      </c>
      <c r="AA10577" s="17" t="s">
        <v>118</v>
      </c>
      <c r="AB10577" t="s">
        <v>119</v>
      </c>
    </row>
    <row r="10578" ht="15" customHeight="1" spans="1:28" x14ac:dyDescent="0.25">
      <c r="A10578" s="17" t="s">
        <v>29079</v>
      </c>
      <c r="B10578" s="17" t="s">
        <v>70</v>
      </c>
      <c r="C10578" s="17" t="s">
        <v>71</v>
      </c>
      <c r="D10578" t="s">
        <v>29080</v>
      </c>
      <c r="F10578" t="s">
        <v>29081</v>
      </c>
      <c r="J10578" t="s">
        <v>115</v>
      </c>
      <c r="K10578" s="18" t="s">
        <v>29082</v>
      </c>
      <c r="N10578" s="17" t="s">
        <v>77</v>
      </c>
      <c r="O10578" t="s">
        <v>145</v>
      </c>
      <c r="U10578" s="17"/>
      <c r="V10578" s="18" t="s">
        <v>29082</v>
      </c>
      <c r="W10578" t="s">
        <v>29083</v>
      </c>
      <c r="Y10578" s="17" t="s">
        <v>90</v>
      </c>
      <c r="AA10578" t="s">
        <v>118</v>
      </c>
      <c r="AB10578" t="s">
        <v>119</v>
      </c>
    </row>
    <row r="10579" ht="15" customHeight="1" spans="1:22" x14ac:dyDescent="0.25">
      <c r="A10579" s="17" t="s">
        <v>29084</v>
      </c>
      <c r="B10579" s="17" t="s">
        <v>70</v>
      </c>
      <c r="C10579" s="17" t="s">
        <v>71</v>
      </c>
      <c r="D10579" t="s">
        <v>29085</v>
      </c>
      <c r="F10579" t="s">
        <v>29085</v>
      </c>
      <c r="K10579" s="18">
        <f>62811993213</f>
        <v>62811993213</v>
      </c>
      <c r="N10579" s="17" t="s">
        <v>77</v>
      </c>
      <c r="V10579" s="18">
        <f>62811993213</f>
        <v>62811993213</v>
      </c>
    </row>
    <row r="10580" ht="15" customHeight="1" spans="1:28" x14ac:dyDescent="0.25">
      <c r="A10580" s="17" t="s">
        <v>29086</v>
      </c>
      <c r="B10580" s="17" t="s">
        <v>70</v>
      </c>
      <c r="C10580" s="17" t="s">
        <v>71</v>
      </c>
      <c r="D10580" t="s">
        <v>29085</v>
      </c>
      <c r="F10580" t="s">
        <v>29085</v>
      </c>
      <c r="J10580" t="s">
        <v>115</v>
      </c>
      <c r="K10580" s="18" t="s">
        <v>29087</v>
      </c>
      <c r="N10580" s="17" t="s">
        <v>81</v>
      </c>
      <c r="O10580" t="s">
        <v>117</v>
      </c>
      <c r="V10580" s="18" t="s">
        <v>29087</v>
      </c>
      <c r="Y10580" t="s">
        <v>190</v>
      </c>
      <c r="AA10580" t="s">
        <v>118</v>
      </c>
      <c r="AB10580" t="s">
        <v>119</v>
      </c>
    </row>
    <row r="10581" ht="15" customHeight="1" spans="1:22" x14ac:dyDescent="0.25">
      <c r="A10581" s="17" t="s">
        <v>29088</v>
      </c>
      <c r="B10581" s="17" t="s">
        <v>70</v>
      </c>
      <c r="C10581" s="17" t="s">
        <v>71</v>
      </c>
      <c r="D10581" t="s">
        <v>29085</v>
      </c>
      <c r="F10581" t="s">
        <v>29089</v>
      </c>
      <c r="K10581" s="18">
        <f>6281808190014</f>
        <v>6281808190014</v>
      </c>
      <c r="N10581" s="17" t="s">
        <v>77</v>
      </c>
      <c r="V10581" s="18">
        <f>6281808190014</f>
        <v>6281808190014</v>
      </c>
    </row>
    <row r="10582" ht="15" customHeight="1" spans="1:22" x14ac:dyDescent="0.25">
      <c r="A10582" s="17" t="s">
        <v>29090</v>
      </c>
      <c r="B10582" s="17" t="s">
        <v>70</v>
      </c>
      <c r="C10582" s="17" t="s">
        <v>71</v>
      </c>
      <c r="D10582" t="s">
        <v>29085</v>
      </c>
      <c r="F10582" t="s">
        <v>29091</v>
      </c>
      <c r="K10582" s="18">
        <f>6281381254667</f>
        <v>6281381254667</v>
      </c>
      <c r="N10582" s="17" t="s">
        <v>81</v>
      </c>
      <c r="V10582" s="18">
        <f>6281381254667</f>
        <v>6281381254667</v>
      </c>
    </row>
    <row r="10583" ht="15" customHeight="1" spans="1:22" x14ac:dyDescent="0.25">
      <c r="A10583" s="17" t="s">
        <v>29092</v>
      </c>
      <c r="B10583" s="17" t="s">
        <v>70</v>
      </c>
      <c r="C10583" s="17" t="s">
        <v>71</v>
      </c>
      <c r="D10583" t="s">
        <v>29085</v>
      </c>
      <c r="F10583" t="s">
        <v>12338</v>
      </c>
      <c r="K10583" s="18">
        <f>62818472619</f>
        <v>62818472619</v>
      </c>
      <c r="N10583" s="17" t="s">
        <v>77</v>
      </c>
      <c r="V10583" s="18">
        <f>62818472619</f>
        <v>62818472619</v>
      </c>
    </row>
    <row r="10584" ht="15" customHeight="1" spans="1:28" x14ac:dyDescent="0.25">
      <c r="A10584" s="17" t="s">
        <v>29093</v>
      </c>
      <c r="B10584" s="17" t="s">
        <v>70</v>
      </c>
      <c r="C10584" s="17" t="s">
        <v>71</v>
      </c>
      <c r="D10584" t="s">
        <v>29085</v>
      </c>
      <c r="F10584" t="s">
        <v>672</v>
      </c>
      <c r="J10584" t="s">
        <v>115</v>
      </c>
      <c r="K10584" s="18" t="s">
        <v>29094</v>
      </c>
      <c r="N10584" s="17" t="s">
        <v>77</v>
      </c>
      <c r="O10584" t="s">
        <v>489</v>
      </c>
      <c r="U10584" s="17"/>
      <c r="V10584" s="18" t="s">
        <v>29094</v>
      </c>
      <c r="W10584" t="s">
        <v>29095</v>
      </c>
      <c r="Y10584" t="s">
        <v>1084</v>
      </c>
      <c r="AA10584" t="s">
        <v>3146</v>
      </c>
      <c r="AB10584" t="s">
        <v>119</v>
      </c>
    </row>
    <row r="10585" ht="15" customHeight="1" spans="1:22" x14ac:dyDescent="0.25">
      <c r="A10585" s="17" t="s">
        <v>29096</v>
      </c>
      <c r="B10585" s="17" t="s">
        <v>70</v>
      </c>
      <c r="C10585" s="17" t="s">
        <v>71</v>
      </c>
      <c r="D10585" t="s">
        <v>29085</v>
      </c>
      <c r="F10585" t="s">
        <v>29097</v>
      </c>
      <c r="K10585" s="18">
        <v>70962017</v>
      </c>
      <c r="N10585" s="17" t="s">
        <v>81</v>
      </c>
      <c r="V10585" s="18">
        <v>70962017</v>
      </c>
    </row>
    <row r="10586" ht="15" customHeight="1" spans="1:22" x14ac:dyDescent="0.25">
      <c r="A10586" s="17" t="s">
        <v>29098</v>
      </c>
      <c r="B10586" s="17" t="s">
        <v>70</v>
      </c>
      <c r="C10586" s="17" t="s">
        <v>71</v>
      </c>
      <c r="D10586" t="s">
        <v>29099</v>
      </c>
      <c r="F10586" t="s">
        <v>29100</v>
      </c>
      <c r="K10586" s="18">
        <f>62816868470</f>
        <v>62816868470</v>
      </c>
      <c r="N10586" s="17" t="s">
        <v>74</v>
      </c>
      <c r="V10586" s="18">
        <f>62816868470</f>
        <v>62816868470</v>
      </c>
    </row>
    <row r="10587" ht="15" customHeight="1" spans="1:27" x14ac:dyDescent="0.25">
      <c r="A10587" s="17" t="s">
        <v>29101</v>
      </c>
      <c r="B10587" s="17" t="s">
        <v>70</v>
      </c>
      <c r="C10587" s="17" t="s">
        <v>71</v>
      </c>
      <c r="D10587" t="s">
        <v>29099</v>
      </c>
      <c r="F10587" t="s">
        <v>10488</v>
      </c>
      <c r="K10587" s="18">
        <f>62816935220</f>
        <v>62816935220</v>
      </c>
      <c r="N10587" s="17" t="s">
        <v>77</v>
      </c>
      <c r="U10587" s="17"/>
      <c r="V10587" s="18">
        <f>62816935220</f>
        <v>62816935220</v>
      </c>
      <c r="W10587" t="s">
        <v>29102</v>
      </c>
      <c r="Y10587" s="17" t="s">
        <v>96</v>
      </c>
      <c r="AA10587" s="17" t="s">
        <v>97</v>
      </c>
    </row>
    <row r="10588" ht="15" customHeight="1" spans="1:28" x14ac:dyDescent="0.25">
      <c r="A10588" s="17" t="s">
        <v>29103</v>
      </c>
      <c r="B10588" s="17" t="s">
        <v>70</v>
      </c>
      <c r="C10588" s="17" t="s">
        <v>71</v>
      </c>
      <c r="D10588" t="s">
        <v>29104</v>
      </c>
      <c r="F10588" t="s">
        <v>29105</v>
      </c>
      <c r="J10588" t="s">
        <v>115</v>
      </c>
      <c r="K10588" s="18" t="s">
        <v>29106</v>
      </c>
      <c r="N10588" s="17" t="s">
        <v>77</v>
      </c>
      <c r="O10588" t="s">
        <v>199</v>
      </c>
      <c r="U10588" s="17"/>
      <c r="V10588" s="18" t="s">
        <v>29106</v>
      </c>
      <c r="W10588" t="s">
        <v>29107</v>
      </c>
      <c r="Y10588" s="17" t="s">
        <v>190</v>
      </c>
      <c r="AA10588" s="17" t="s">
        <v>118</v>
      </c>
      <c r="AB10588" t="s">
        <v>119</v>
      </c>
    </row>
    <row r="10589" ht="15" customHeight="1" spans="1:22" x14ac:dyDescent="0.25">
      <c r="A10589" s="17" t="s">
        <v>29108</v>
      </c>
      <c r="B10589" s="17" t="s">
        <v>70</v>
      </c>
      <c r="C10589" s="17" t="s">
        <v>71</v>
      </c>
      <c r="D10589" t="s">
        <v>29109</v>
      </c>
      <c r="F10589" t="s">
        <v>29110</v>
      </c>
      <c r="K10589" s="18">
        <f>628119006768</f>
        <v>628119006768</v>
      </c>
      <c r="N10589" s="17" t="s">
        <v>77</v>
      </c>
      <c r="V10589" s="18">
        <f>628119006768</f>
        <v>628119006768</v>
      </c>
    </row>
    <row r="10590" ht="15" customHeight="1" spans="1:28" x14ac:dyDescent="0.25">
      <c r="A10590" s="17" t="s">
        <v>29111</v>
      </c>
      <c r="B10590" s="17" t="s">
        <v>70</v>
      </c>
      <c r="C10590" s="17" t="s">
        <v>71</v>
      </c>
      <c r="D10590" t="s">
        <v>8553</v>
      </c>
      <c r="F10590" t="s">
        <v>8552</v>
      </c>
      <c r="J10590" t="s">
        <v>115</v>
      </c>
      <c r="K10590" s="18" t="s">
        <v>29112</v>
      </c>
      <c r="N10590" s="17" t="s">
        <v>77</v>
      </c>
      <c r="O10590" t="s">
        <v>117</v>
      </c>
      <c r="V10590" s="18" t="s">
        <v>29112</v>
      </c>
      <c r="Y10590" t="s">
        <v>14865</v>
      </c>
      <c r="AA10590" t="s">
        <v>115</v>
      </c>
      <c r="AB10590" t="s">
        <v>119</v>
      </c>
    </row>
    <row r="10591" ht="15" customHeight="1" spans="1:23" x14ac:dyDescent="0.25">
      <c r="A10591" s="17" t="s">
        <v>29113</v>
      </c>
      <c r="B10591" s="17" t="s">
        <v>70</v>
      </c>
      <c r="C10591" s="17" t="s">
        <v>71</v>
      </c>
      <c r="D10591" t="s">
        <v>29114</v>
      </c>
      <c r="F10591" t="s">
        <v>29115</v>
      </c>
      <c r="K10591" s="18">
        <f>6281311020020</f>
        <v>6281311020020</v>
      </c>
      <c r="N10591" s="17" t="s">
        <v>81</v>
      </c>
      <c r="U10591" s="17"/>
      <c r="V10591" s="18">
        <f>6281311020020</f>
        <v>6281311020020</v>
      </c>
      <c r="W10591" t="s">
        <v>29116</v>
      </c>
    </row>
    <row r="10592" ht="15" customHeight="1" spans="1:22" x14ac:dyDescent="0.25">
      <c r="A10592" s="17" t="s">
        <v>29117</v>
      </c>
      <c r="B10592" s="17" t="s">
        <v>70</v>
      </c>
      <c r="C10592" s="17" t="s">
        <v>71</v>
      </c>
      <c r="D10592" t="s">
        <v>29114</v>
      </c>
      <c r="F10592" t="s">
        <v>913</v>
      </c>
      <c r="K10592" s="18">
        <f>628129827627</f>
        <v>628129827627</v>
      </c>
      <c r="N10592" s="17" t="s">
        <v>77</v>
      </c>
      <c r="V10592" s="18">
        <f>628129827627</f>
        <v>628129827627</v>
      </c>
    </row>
    <row r="10593" ht="15" customHeight="1" spans="1:22" x14ac:dyDescent="0.25">
      <c r="A10593" s="17" t="s">
        <v>29118</v>
      </c>
      <c r="B10593" s="17" t="s">
        <v>70</v>
      </c>
      <c r="C10593" s="17" t="s">
        <v>71</v>
      </c>
      <c r="D10593" t="s">
        <v>29119</v>
      </c>
      <c r="F10593" t="s">
        <v>29119</v>
      </c>
      <c r="K10593" s="18">
        <f>62811995383</f>
        <v>62811995383</v>
      </c>
      <c r="N10593" s="17" t="s">
        <v>81</v>
      </c>
      <c r="V10593" s="18">
        <f>62811995383</f>
        <v>62811995383</v>
      </c>
    </row>
    <row r="10594" ht="15" customHeight="1" spans="1:28" x14ac:dyDescent="0.25">
      <c r="A10594" s="17" t="s">
        <v>29120</v>
      </c>
      <c r="B10594" s="17" t="s">
        <v>70</v>
      </c>
      <c r="C10594" s="17" t="s">
        <v>71</v>
      </c>
      <c r="D10594" t="s">
        <v>29119</v>
      </c>
      <c r="F10594" t="s">
        <v>29119</v>
      </c>
      <c r="J10594" t="s">
        <v>115</v>
      </c>
      <c r="K10594" s="18" t="s">
        <v>29121</v>
      </c>
      <c r="N10594" s="17" t="s">
        <v>77</v>
      </c>
      <c r="O10594" t="s">
        <v>489</v>
      </c>
      <c r="U10594" s="17"/>
      <c r="V10594" s="18" t="s">
        <v>29121</v>
      </c>
      <c r="W10594" t="s">
        <v>29122</v>
      </c>
      <c r="Y10594" t="s">
        <v>96</v>
      </c>
      <c r="AA10594" t="s">
        <v>693</v>
      </c>
      <c r="AB10594" t="s">
        <v>119</v>
      </c>
    </row>
    <row r="10595" ht="15" customHeight="1" spans="1:27" x14ac:dyDescent="0.25">
      <c r="A10595" s="17" t="s">
        <v>29123</v>
      </c>
      <c r="B10595" s="17" t="s">
        <v>70</v>
      </c>
      <c r="C10595" s="17" t="s">
        <v>71</v>
      </c>
      <c r="D10595" t="s">
        <v>29119</v>
      </c>
      <c r="F10595" t="s">
        <v>29119</v>
      </c>
      <c r="K10595" s="18">
        <f>6281552331111</f>
        <v>6281552331111</v>
      </c>
      <c r="N10595" s="17" t="s">
        <v>77</v>
      </c>
      <c r="U10595" s="17"/>
      <c r="V10595" s="18">
        <f>6281552331111</f>
        <v>6281552331111</v>
      </c>
      <c r="W10595" t="s">
        <v>29124</v>
      </c>
      <c r="Y10595" s="17" t="s">
        <v>378</v>
      </c>
      <c r="AA10595" s="17" t="s">
        <v>29125</v>
      </c>
    </row>
    <row r="10596" ht="15" customHeight="1" spans="1:28" x14ac:dyDescent="0.25">
      <c r="A10596" s="17" t="s">
        <v>29126</v>
      </c>
      <c r="B10596" s="17" t="s">
        <v>70</v>
      </c>
      <c r="C10596" s="17" t="s">
        <v>71</v>
      </c>
      <c r="D10596" t="s">
        <v>29119</v>
      </c>
      <c r="F10596" t="s">
        <v>29119</v>
      </c>
      <c r="J10596" t="s">
        <v>115</v>
      </c>
      <c r="K10596" s="18" t="s">
        <v>29127</v>
      </c>
      <c r="N10596" s="17" t="s">
        <v>77</v>
      </c>
      <c r="O10596" t="s">
        <v>117</v>
      </c>
      <c r="V10596" s="18" t="s">
        <v>29127</v>
      </c>
      <c r="Y10596" t="s">
        <v>190</v>
      </c>
      <c r="AA10596" t="s">
        <v>118</v>
      </c>
      <c r="AB10596" t="s">
        <v>119</v>
      </c>
    </row>
    <row r="10597" ht="15" customHeight="1" spans="1:22" x14ac:dyDescent="0.25">
      <c r="A10597" s="17" t="s">
        <v>29128</v>
      </c>
      <c r="B10597" s="17" t="s">
        <v>70</v>
      </c>
      <c r="C10597" s="17" t="s">
        <v>71</v>
      </c>
      <c r="D10597" t="s">
        <v>29129</v>
      </c>
      <c r="F10597" t="s">
        <v>29129</v>
      </c>
      <c r="K10597" s="18">
        <f>628551101332</f>
        <v>628551101332</v>
      </c>
      <c r="N10597" s="17" t="s">
        <v>77</v>
      </c>
      <c r="V10597" s="18">
        <f>628551101332</f>
        <v>628551101332</v>
      </c>
    </row>
    <row r="10598" ht="15" customHeight="1" spans="1:28" x14ac:dyDescent="0.25">
      <c r="A10598" s="17" t="s">
        <v>29130</v>
      </c>
      <c r="B10598" s="17" t="s">
        <v>70</v>
      </c>
      <c r="C10598" s="17" t="s">
        <v>71</v>
      </c>
      <c r="D10598" t="s">
        <v>29131</v>
      </c>
      <c r="F10598" t="s">
        <v>29132</v>
      </c>
      <c r="J10598" s="17" t="s">
        <v>29133</v>
      </c>
      <c r="K10598" s="18" t="s">
        <v>29134</v>
      </c>
      <c r="N10598" s="17" t="s">
        <v>77</v>
      </c>
      <c r="O10598" t="s">
        <v>145</v>
      </c>
      <c r="V10598" s="18" t="s">
        <v>29134</v>
      </c>
      <c r="Y10598" t="s">
        <v>115</v>
      </c>
      <c r="AA10598" t="s">
        <v>115</v>
      </c>
      <c r="AB10598" t="s">
        <v>119</v>
      </c>
    </row>
    <row r="10599" ht="15" customHeight="1" spans="1:28" x14ac:dyDescent="0.25">
      <c r="A10599" s="17" t="s">
        <v>29135</v>
      </c>
      <c r="B10599" s="17" t="s">
        <v>70</v>
      </c>
      <c r="C10599" s="17" t="s">
        <v>71</v>
      </c>
      <c r="D10599" t="s">
        <v>29085</v>
      </c>
      <c r="F10599" t="s">
        <v>10444</v>
      </c>
      <c r="J10599" t="s">
        <v>115</v>
      </c>
      <c r="K10599" s="18" t="s">
        <v>29136</v>
      </c>
      <c r="N10599" s="17" t="s">
        <v>77</v>
      </c>
      <c r="O10599" t="s">
        <v>145</v>
      </c>
      <c r="V10599" s="18" t="s">
        <v>29136</v>
      </c>
      <c r="Y10599" t="s">
        <v>378</v>
      </c>
      <c r="AA10599" t="s">
        <v>118</v>
      </c>
      <c r="AB10599" t="s">
        <v>119</v>
      </c>
    </row>
    <row r="10600" ht="15" customHeight="1" spans="1:28" x14ac:dyDescent="0.25">
      <c r="A10600" s="17" t="s">
        <v>29137</v>
      </c>
      <c r="B10600" s="17" t="s">
        <v>70</v>
      </c>
      <c r="C10600" s="17" t="s">
        <v>71</v>
      </c>
      <c r="D10600" t="s">
        <v>29131</v>
      </c>
      <c r="F10600" t="s">
        <v>29138</v>
      </c>
      <c r="J10600" s="17" t="s">
        <v>29139</v>
      </c>
      <c r="K10600" s="18" t="s">
        <v>29140</v>
      </c>
      <c r="N10600" s="17" t="s">
        <v>77</v>
      </c>
      <c r="O10600" t="s">
        <v>117</v>
      </c>
      <c r="U10600" s="17"/>
      <c r="V10600" s="18" t="s">
        <v>29140</v>
      </c>
      <c r="W10600" t="s">
        <v>29141</v>
      </c>
      <c r="Y10600" s="17" t="s">
        <v>90</v>
      </c>
      <c r="AA10600" s="17" t="s">
        <v>118</v>
      </c>
      <c r="AB10600" t="s">
        <v>119</v>
      </c>
    </row>
    <row r="10601" ht="15" customHeight="1" spans="1:22" x14ac:dyDescent="0.25">
      <c r="A10601" s="17" t="s">
        <v>29142</v>
      </c>
      <c r="B10601" s="17" t="s">
        <v>70</v>
      </c>
      <c r="C10601" s="17" t="s">
        <v>71</v>
      </c>
      <c r="D10601" t="s">
        <v>29131</v>
      </c>
      <c r="F10601" t="s">
        <v>5476</v>
      </c>
      <c r="K10601" s="18">
        <f>6285890711111</f>
        <v>6285890711111</v>
      </c>
      <c r="N10601" s="17" t="s">
        <v>77</v>
      </c>
      <c r="V10601" s="18">
        <f>6285890711111</f>
        <v>6285890711111</v>
      </c>
    </row>
    <row r="10602" ht="15" customHeight="1" spans="1:27" x14ac:dyDescent="0.25">
      <c r="A10602" s="17" t="s">
        <v>29143</v>
      </c>
      <c r="B10602" s="17" t="s">
        <v>70</v>
      </c>
      <c r="C10602" s="17" t="s">
        <v>71</v>
      </c>
      <c r="D10602" t="s">
        <v>29144</v>
      </c>
      <c r="F10602" t="s">
        <v>29145</v>
      </c>
      <c r="K10602" s="18">
        <f>62811948821</f>
        <v>62811948821</v>
      </c>
      <c r="N10602" s="17" t="s">
        <v>74</v>
      </c>
      <c r="U10602" s="17"/>
      <c r="V10602" s="18">
        <f>62811948821</f>
        <v>62811948821</v>
      </c>
      <c r="W10602" t="s">
        <v>29146</v>
      </c>
      <c r="Y10602" s="17" t="s">
        <v>626</v>
      </c>
      <c r="AA10602" s="17" t="s">
        <v>29147</v>
      </c>
    </row>
    <row r="10603" ht="15" customHeight="1" spans="1:22" x14ac:dyDescent="0.25">
      <c r="A10603" s="17" t="s">
        <v>29148</v>
      </c>
      <c r="B10603" s="17" t="s">
        <v>70</v>
      </c>
      <c r="C10603" s="17" t="s">
        <v>71</v>
      </c>
      <c r="D10603" t="s">
        <v>29144</v>
      </c>
      <c r="F10603" t="s">
        <v>27973</v>
      </c>
      <c r="K10603" s="18">
        <f>6281932453933</f>
        <v>6281932453933</v>
      </c>
      <c r="N10603" s="17" t="s">
        <v>77</v>
      </c>
      <c r="V10603" s="18">
        <f>6281932453933</f>
        <v>6281932453933</v>
      </c>
    </row>
    <row r="10604" ht="15" customHeight="1" spans="1:22" x14ac:dyDescent="0.25">
      <c r="A10604" s="17" t="s">
        <v>29149</v>
      </c>
      <c r="B10604" s="17" t="s">
        <v>70</v>
      </c>
      <c r="C10604" s="17" t="s">
        <v>71</v>
      </c>
      <c r="D10604" t="s">
        <v>29150</v>
      </c>
      <c r="F10604" t="s">
        <v>29150</v>
      </c>
      <c r="K10604" s="18">
        <f>6281248004800</f>
        <v>6281248004800</v>
      </c>
      <c r="N10604" s="17" t="s">
        <v>77</v>
      </c>
      <c r="V10604" s="18">
        <f>6281248004800</f>
        <v>6281248004800</v>
      </c>
    </row>
    <row r="10605" ht="15" customHeight="1" spans="1:28" x14ac:dyDescent="0.25">
      <c r="A10605" s="17" t="s">
        <v>29151</v>
      </c>
      <c r="B10605" s="17" t="s">
        <v>70</v>
      </c>
      <c r="C10605" s="17" t="s">
        <v>71</v>
      </c>
      <c r="D10605" t="s">
        <v>3190</v>
      </c>
      <c r="F10605" t="s">
        <v>29152</v>
      </c>
      <c r="J10605" t="s">
        <v>29153</v>
      </c>
      <c r="K10605" s="18" t="s">
        <v>29154</v>
      </c>
      <c r="N10605" s="17" t="s">
        <v>77</v>
      </c>
      <c r="O10605" t="s">
        <v>117</v>
      </c>
      <c r="U10605" s="17"/>
      <c r="V10605" s="18" t="s">
        <v>29154</v>
      </c>
      <c r="W10605" t="s">
        <v>29155</v>
      </c>
      <c r="Y10605" s="17" t="s">
        <v>626</v>
      </c>
      <c r="AA10605" t="s">
        <v>3090</v>
      </c>
      <c r="AB10605" t="s">
        <v>119</v>
      </c>
    </row>
    <row r="10606" ht="15" customHeight="1" spans="1:28" x14ac:dyDescent="0.25">
      <c r="A10606" s="17" t="s">
        <v>29156</v>
      </c>
      <c r="B10606" s="17" t="s">
        <v>70</v>
      </c>
      <c r="C10606" s="17" t="s">
        <v>71</v>
      </c>
      <c r="D10606" t="s">
        <v>29157</v>
      </c>
      <c r="F10606" t="s">
        <v>25727</v>
      </c>
      <c r="J10606" t="s">
        <v>29158</v>
      </c>
      <c r="K10606" s="18" t="s">
        <v>29159</v>
      </c>
      <c r="N10606" s="17" t="s">
        <v>77</v>
      </c>
      <c r="O10606" t="s">
        <v>117</v>
      </c>
      <c r="V10606" s="18" t="s">
        <v>29159</v>
      </c>
      <c r="Y10606" t="s">
        <v>96</v>
      </c>
      <c r="AA10606" t="s">
        <v>693</v>
      </c>
      <c r="AB10606" t="s">
        <v>119</v>
      </c>
    </row>
    <row r="10607" ht="15" customHeight="1" spans="1:22" x14ac:dyDescent="0.25">
      <c r="A10607" s="17" t="s">
        <v>29160</v>
      </c>
      <c r="B10607" s="17" t="s">
        <v>70</v>
      </c>
      <c r="C10607" s="17" t="s">
        <v>71</v>
      </c>
      <c r="D10607" t="s">
        <v>29161</v>
      </c>
      <c r="F10607" t="s">
        <v>29161</v>
      </c>
      <c r="J10607" s="17" t="s">
        <v>29162</v>
      </c>
      <c r="K10607" s="18">
        <f>6281288509730</f>
        <v>6281288509730</v>
      </c>
      <c r="N10607" s="17" t="s">
        <v>77</v>
      </c>
      <c r="V10607" s="18">
        <f>6281288509730</f>
        <v>6281288509730</v>
      </c>
    </row>
    <row r="10608" ht="15" customHeight="1" spans="1:23" x14ac:dyDescent="0.25">
      <c r="A10608" s="17" t="s">
        <v>29163</v>
      </c>
      <c r="B10608" s="17" t="s">
        <v>70</v>
      </c>
      <c r="C10608" s="17" t="s">
        <v>71</v>
      </c>
      <c r="D10608" t="s">
        <v>29164</v>
      </c>
      <c r="F10608" t="s">
        <v>14019</v>
      </c>
      <c r="K10608" s="18">
        <f>6282226867373</f>
        <v>6282226867373</v>
      </c>
      <c r="N10608" s="17" t="s">
        <v>77</v>
      </c>
      <c r="U10608" s="17"/>
      <c r="V10608" s="18">
        <f>6282226867373</f>
        <v>6282226867373</v>
      </c>
      <c r="W10608" t="s">
        <v>29165</v>
      </c>
    </row>
    <row r="10609" ht="15" customHeight="1" spans="1:22" x14ac:dyDescent="0.25">
      <c r="A10609" s="17" t="s">
        <v>29166</v>
      </c>
      <c r="B10609" s="17" t="s">
        <v>70</v>
      </c>
      <c r="C10609" s="17" t="s">
        <v>71</v>
      </c>
      <c r="D10609" t="s">
        <v>29167</v>
      </c>
      <c r="F10609" t="s">
        <v>29168</v>
      </c>
      <c r="K10609" s="18">
        <f>6281380796391</f>
        <v>6281380796391</v>
      </c>
      <c r="N10609" s="17" t="s">
        <v>77</v>
      </c>
      <c r="V10609" s="18">
        <f>6281380796391</f>
        <v>6281380796391</v>
      </c>
    </row>
    <row r="10610" ht="15" customHeight="1" spans="1:22" x14ac:dyDescent="0.25">
      <c r="A10610" s="17" t="s">
        <v>29169</v>
      </c>
      <c r="B10610" s="17" t="s">
        <v>70</v>
      </c>
      <c r="C10610" s="17" t="s">
        <v>71</v>
      </c>
      <c r="D10610" t="s">
        <v>29170</v>
      </c>
      <c r="F10610" t="s">
        <v>2947</v>
      </c>
      <c r="K10610" s="18">
        <f>6282114513089</f>
        <v>6282114513089</v>
      </c>
      <c r="N10610" s="17" t="s">
        <v>81</v>
      </c>
      <c r="V10610" s="18">
        <f>6282114513089</f>
        <v>6282114513089</v>
      </c>
    </row>
    <row r="10611" ht="15" customHeight="1" spans="1:22" x14ac:dyDescent="0.25">
      <c r="A10611" s="17" t="s">
        <v>29171</v>
      </c>
      <c r="B10611" s="17" t="s">
        <v>70</v>
      </c>
      <c r="C10611" s="17" t="s">
        <v>71</v>
      </c>
      <c r="D10611" t="s">
        <v>18106</v>
      </c>
      <c r="F10611" t="s">
        <v>629</v>
      </c>
      <c r="K10611" s="18">
        <f>628121185800</f>
        <v>628121185800</v>
      </c>
      <c r="N10611" s="17" t="s">
        <v>81</v>
      </c>
      <c r="V10611" s="18">
        <f>628121185800</f>
        <v>628121185800</v>
      </c>
    </row>
    <row r="10612" ht="15" customHeight="1" spans="1:28" x14ac:dyDescent="0.25">
      <c r="A10612" s="17" t="s">
        <v>29172</v>
      </c>
      <c r="B10612" s="17" t="s">
        <v>70</v>
      </c>
      <c r="C10612" s="17" t="s">
        <v>71</v>
      </c>
      <c r="D10612" t="s">
        <v>29173</v>
      </c>
      <c r="F10612" t="s">
        <v>29174</v>
      </c>
      <c r="J10612" s="17" t="s">
        <v>29175</v>
      </c>
      <c r="K10612" s="18" t="s">
        <v>29176</v>
      </c>
      <c r="N10612" s="17" t="s">
        <v>77</v>
      </c>
      <c r="O10612" t="s">
        <v>145</v>
      </c>
      <c r="V10612" s="18" t="s">
        <v>29176</v>
      </c>
      <c r="Y10612" t="s">
        <v>1909</v>
      </c>
      <c r="AA10612" t="s">
        <v>115</v>
      </c>
      <c r="AB10612" t="s">
        <v>1909</v>
      </c>
    </row>
    <row r="10613" ht="15" customHeight="1" spans="1:22" x14ac:dyDescent="0.25">
      <c r="A10613" s="17" t="s">
        <v>29177</v>
      </c>
      <c r="B10613" s="17" t="s">
        <v>70</v>
      </c>
      <c r="C10613" s="17" t="s">
        <v>71</v>
      </c>
      <c r="D10613" t="s">
        <v>29178</v>
      </c>
      <c r="F10613" t="s">
        <v>29178</v>
      </c>
      <c r="K10613" s="18">
        <f>628787766133</f>
        <v>628787766133</v>
      </c>
      <c r="N10613" s="17" t="s">
        <v>77</v>
      </c>
      <c r="V10613" s="18">
        <f>628787766133</f>
        <v>628787766133</v>
      </c>
    </row>
    <row r="10614" ht="15" customHeight="1" spans="1:28" x14ac:dyDescent="0.25">
      <c r="A10614" s="17" t="s">
        <v>29179</v>
      </c>
      <c r="B10614" s="17" t="s">
        <v>70</v>
      </c>
      <c r="C10614" s="17" t="s">
        <v>71</v>
      </c>
      <c r="D10614" t="s">
        <v>29180</v>
      </c>
      <c r="F10614" t="s">
        <v>29181</v>
      </c>
      <c r="J10614" s="17" t="s">
        <v>29182</v>
      </c>
      <c r="K10614" s="18" t="s">
        <v>29183</v>
      </c>
      <c r="N10614" s="17" t="s">
        <v>77</v>
      </c>
      <c r="O10614" t="s">
        <v>489</v>
      </c>
      <c r="V10614" s="18" t="s">
        <v>29183</v>
      </c>
      <c r="Y10614" t="s">
        <v>190</v>
      </c>
      <c r="AA10614" t="s">
        <v>118</v>
      </c>
      <c r="AB10614" t="s">
        <v>119</v>
      </c>
    </row>
    <row r="10615" ht="15" customHeight="1" spans="1:22" x14ac:dyDescent="0.25">
      <c r="A10615" s="17" t="s">
        <v>29184</v>
      </c>
      <c r="B10615" s="17" t="s">
        <v>70</v>
      </c>
      <c r="C10615" s="17" t="s">
        <v>71</v>
      </c>
      <c r="D10615" t="s">
        <v>29185</v>
      </c>
      <c r="F10615" t="s">
        <v>29185</v>
      </c>
      <c r="K10615" s="18">
        <f>62816996537</f>
        <v>62816996537</v>
      </c>
      <c r="N10615" s="17" t="s">
        <v>74</v>
      </c>
      <c r="V10615" s="18">
        <f>62816996537</f>
        <v>62816996537</v>
      </c>
    </row>
    <row r="10616" ht="15" customHeight="1" spans="1:27" x14ac:dyDescent="0.25">
      <c r="A10616" s="17" t="s">
        <v>29186</v>
      </c>
      <c r="B10616" s="17" t="s">
        <v>70</v>
      </c>
      <c r="C10616" s="17" t="s">
        <v>71</v>
      </c>
      <c r="D10616" t="s">
        <v>29185</v>
      </c>
      <c r="F10616" t="s">
        <v>19108</v>
      </c>
      <c r="K10616" s="18">
        <v>5256687</v>
      </c>
      <c r="N10616" s="17" t="s">
        <v>74</v>
      </c>
      <c r="U10616" s="17"/>
      <c r="V10616" s="18">
        <v>5256687</v>
      </c>
      <c r="W10616" t="s">
        <v>29187</v>
      </c>
      <c r="Y10616" s="17" t="s">
        <v>96</v>
      </c>
      <c r="AA10616" s="17" t="s">
        <v>29188</v>
      </c>
    </row>
    <row r="10617" ht="15" customHeight="1" spans="1:28" x14ac:dyDescent="0.25">
      <c r="A10617" s="17" t="s">
        <v>29189</v>
      </c>
      <c r="B10617" s="17" t="s">
        <v>70</v>
      </c>
      <c r="C10617" s="17" t="s">
        <v>71</v>
      </c>
      <c r="D10617" t="s">
        <v>29185</v>
      </c>
      <c r="F10617" t="s">
        <v>13011</v>
      </c>
      <c r="J10617" t="s">
        <v>115</v>
      </c>
      <c r="K10617" s="18" t="s">
        <v>29190</v>
      </c>
      <c r="N10617" s="17" t="s">
        <v>77</v>
      </c>
      <c r="O10617" t="s">
        <v>145</v>
      </c>
      <c r="V10617" s="18" t="s">
        <v>29190</v>
      </c>
      <c r="Y10617" t="s">
        <v>190</v>
      </c>
      <c r="AA10617" t="s">
        <v>118</v>
      </c>
      <c r="AB10617" t="s">
        <v>119</v>
      </c>
    </row>
    <row r="10618" ht="15" customHeight="1" spans="1:22" x14ac:dyDescent="0.25">
      <c r="A10618" s="17" t="s">
        <v>29191</v>
      </c>
      <c r="B10618" s="17" t="s">
        <v>70</v>
      </c>
      <c r="C10618" s="17" t="s">
        <v>71</v>
      </c>
      <c r="D10618" t="s">
        <v>29192</v>
      </c>
      <c r="F10618" t="s">
        <v>29192</v>
      </c>
      <c r="K10618" s="18">
        <f>628170724282</f>
        <v>628170724282</v>
      </c>
      <c r="N10618" s="17" t="s">
        <v>77</v>
      </c>
      <c r="V10618" s="18">
        <f>628170724282</f>
        <v>628170724282</v>
      </c>
    </row>
    <row r="10619" ht="15" customHeight="1" spans="1:22" x14ac:dyDescent="0.25">
      <c r="A10619" s="17" t="s">
        <v>29193</v>
      </c>
      <c r="B10619" s="17" t="s">
        <v>70</v>
      </c>
      <c r="C10619" s="17" t="s">
        <v>71</v>
      </c>
      <c r="D10619" t="s">
        <v>29194</v>
      </c>
      <c r="F10619" t="s">
        <v>29194</v>
      </c>
      <c r="K10619" s="18">
        <f>628111508119</f>
        <v>628111508119</v>
      </c>
      <c r="N10619" s="17" t="s">
        <v>81</v>
      </c>
      <c r="V10619" s="18">
        <f>628111508119</f>
        <v>628111508119</v>
      </c>
    </row>
    <row r="10620" ht="15" customHeight="1" spans="1:22" x14ac:dyDescent="0.25">
      <c r="A10620" s="17" t="s">
        <v>29195</v>
      </c>
      <c r="B10620" s="17" t="s">
        <v>70</v>
      </c>
      <c r="C10620" s="17" t="s">
        <v>71</v>
      </c>
      <c r="D10620" t="s">
        <v>2320</v>
      </c>
      <c r="F10620" t="s">
        <v>2320</v>
      </c>
      <c r="K10620" s="18">
        <f>6282166109678</f>
        <v>6282166109678</v>
      </c>
      <c r="N10620" s="17" t="s">
        <v>77</v>
      </c>
      <c r="V10620" s="18">
        <f>6282166109678</f>
        <v>6282166109678</v>
      </c>
    </row>
    <row r="10621" ht="15" customHeight="1" spans="1:22" x14ac:dyDescent="0.25">
      <c r="A10621" s="17" t="s">
        <v>29196</v>
      </c>
      <c r="B10621" s="17" t="s">
        <v>70</v>
      </c>
      <c r="C10621" s="17" t="s">
        <v>71</v>
      </c>
      <c r="D10621" t="s">
        <v>29197</v>
      </c>
      <c r="F10621" t="s">
        <v>29197</v>
      </c>
      <c r="K10621" s="18">
        <f>6283898615582</f>
        <v>6283898615582</v>
      </c>
      <c r="N10621" s="17" t="s">
        <v>77</v>
      </c>
      <c r="V10621" s="18">
        <f>6283898615582</f>
        <v>6283898615582</v>
      </c>
    </row>
    <row r="10622" ht="15" customHeight="1" spans="1:22" x14ac:dyDescent="0.25">
      <c r="A10622" s="17" t="s">
        <v>29198</v>
      </c>
      <c r="B10622" s="17" t="s">
        <v>70</v>
      </c>
      <c r="C10622" s="17" t="s">
        <v>71</v>
      </c>
      <c r="D10622" t="s">
        <v>29197</v>
      </c>
      <c r="F10622" t="s">
        <v>29199</v>
      </c>
      <c r="K10622" s="18">
        <f>6281314937700</f>
        <v>6281314937700</v>
      </c>
      <c r="N10622" s="17" t="s">
        <v>77</v>
      </c>
      <c r="V10622" s="18">
        <f>6281314937700</f>
        <v>6281314937700</v>
      </c>
    </row>
    <row r="10623" ht="15" customHeight="1" spans="1:28" x14ac:dyDescent="0.25">
      <c r="A10623" s="17" t="s">
        <v>29200</v>
      </c>
      <c r="B10623" s="17" t="s">
        <v>70</v>
      </c>
      <c r="C10623" s="17" t="s">
        <v>71</v>
      </c>
      <c r="D10623" t="s">
        <v>29201</v>
      </c>
      <c r="F10623" t="s">
        <v>29202</v>
      </c>
      <c r="J10623" t="s">
        <v>29203</v>
      </c>
      <c r="K10623" s="18" t="s">
        <v>29204</v>
      </c>
      <c r="N10623" s="17" t="s">
        <v>77</v>
      </c>
      <c r="O10623" t="s">
        <v>489</v>
      </c>
      <c r="U10623" s="17"/>
      <c r="V10623" s="18" t="s">
        <v>29204</v>
      </c>
      <c r="W10623" t="s">
        <v>29205</v>
      </c>
      <c r="Y10623" t="s">
        <v>190</v>
      </c>
      <c r="AA10623" t="s">
        <v>118</v>
      </c>
      <c r="AB10623" t="s">
        <v>119</v>
      </c>
    </row>
    <row r="10624" ht="15" customHeight="1" spans="1:22" x14ac:dyDescent="0.25">
      <c r="A10624" s="17" t="s">
        <v>29206</v>
      </c>
      <c r="B10624" s="17" t="s">
        <v>70</v>
      </c>
      <c r="C10624" s="17" t="s">
        <v>71</v>
      </c>
      <c r="D10624" t="s">
        <v>6452</v>
      </c>
      <c r="F10624" t="s">
        <v>29207</v>
      </c>
      <c r="J10624" s="17" t="s">
        <v>29208</v>
      </c>
      <c r="K10624" s="18">
        <f>628157110930</f>
        <v>628157110930</v>
      </c>
      <c r="N10624" s="17" t="s">
        <v>81</v>
      </c>
      <c r="V10624" s="18">
        <f>628157110930</f>
        <v>628157110930</v>
      </c>
    </row>
    <row r="10625" ht="15" customHeight="1" spans="1:22" x14ac:dyDescent="0.25">
      <c r="A10625" s="17" t="s">
        <v>29209</v>
      </c>
      <c r="B10625" s="17" t="s">
        <v>70</v>
      </c>
      <c r="C10625" s="17" t="s">
        <v>71</v>
      </c>
      <c r="D10625" t="s">
        <v>23605</v>
      </c>
      <c r="F10625" t="s">
        <v>23605</v>
      </c>
      <c r="K10625" s="18">
        <f>6281398973117</f>
        <v>6281398973117</v>
      </c>
      <c r="N10625" s="17" t="s">
        <v>77</v>
      </c>
      <c r="V10625" s="18">
        <f>6281398973117</f>
        <v>6281398973117</v>
      </c>
    </row>
    <row r="10626" ht="15" customHeight="1" spans="1:23" x14ac:dyDescent="0.25">
      <c r="A10626" s="17" t="s">
        <v>29210</v>
      </c>
      <c r="B10626" s="17" t="s">
        <v>70</v>
      </c>
      <c r="C10626" s="17" t="s">
        <v>71</v>
      </c>
      <c r="D10626" t="s">
        <v>23605</v>
      </c>
      <c r="F10626" t="s">
        <v>29211</v>
      </c>
      <c r="K10626" s="18">
        <f>62811102812</f>
        <v>62811102812</v>
      </c>
      <c r="N10626" s="17" t="s">
        <v>77</v>
      </c>
      <c r="U10626" s="17"/>
      <c r="V10626" s="18">
        <f>62811102812</f>
        <v>62811102812</v>
      </c>
      <c r="W10626" t="s">
        <v>29212</v>
      </c>
    </row>
    <row r="10627" ht="15" customHeight="1" spans="1:22" x14ac:dyDescent="0.25">
      <c r="A10627" s="17" t="s">
        <v>29213</v>
      </c>
      <c r="B10627" s="17" t="s">
        <v>70</v>
      </c>
      <c r="C10627" s="17" t="s">
        <v>71</v>
      </c>
      <c r="D10627" t="s">
        <v>23605</v>
      </c>
      <c r="F10627" t="s">
        <v>167</v>
      </c>
      <c r="K10627" s="18">
        <f>628118200898</f>
        <v>628118200898</v>
      </c>
      <c r="N10627" s="17" t="s">
        <v>81</v>
      </c>
      <c r="V10627" s="18">
        <f>628118200898</f>
        <v>628118200898</v>
      </c>
    </row>
    <row r="10628" ht="15" customHeight="1" spans="1:25" x14ac:dyDescent="0.25">
      <c r="A10628" s="17" t="s">
        <v>29214</v>
      </c>
      <c r="B10628" s="17" t="s">
        <v>70</v>
      </c>
      <c r="C10628" s="17" t="s">
        <v>71</v>
      </c>
      <c r="D10628" t="s">
        <v>23605</v>
      </c>
      <c r="F10628" t="s">
        <v>3099</v>
      </c>
      <c r="K10628" s="18">
        <f>6281381478062</f>
        <v>6281381478062</v>
      </c>
      <c r="N10628" s="17" t="s">
        <v>81</v>
      </c>
      <c r="U10628" s="17"/>
      <c r="V10628" s="18">
        <f>6281381478062</f>
        <v>6281381478062</v>
      </c>
      <c r="W10628" t="s">
        <v>29215</v>
      </c>
      <c r="Y10628" s="17" t="s">
        <v>90</v>
      </c>
    </row>
    <row r="10629" ht="15" customHeight="1" spans="1:22" x14ac:dyDescent="0.25">
      <c r="A10629" s="17" t="s">
        <v>29216</v>
      </c>
      <c r="B10629" s="17" t="s">
        <v>70</v>
      </c>
      <c r="C10629" s="17" t="s">
        <v>71</v>
      </c>
      <c r="D10629" t="s">
        <v>23605</v>
      </c>
      <c r="F10629" t="s">
        <v>4985</v>
      </c>
      <c r="K10629" s="18">
        <f>628126020130</f>
        <v>628126020130</v>
      </c>
      <c r="N10629" s="17" t="s">
        <v>77</v>
      </c>
      <c r="V10629" s="18">
        <f>628126020130</f>
        <v>628126020130</v>
      </c>
    </row>
    <row r="10630" ht="15" customHeight="1" spans="1:28" x14ac:dyDescent="0.25">
      <c r="A10630" s="17" t="s">
        <v>29217</v>
      </c>
      <c r="B10630" s="17" t="s">
        <v>70</v>
      </c>
      <c r="C10630" s="17" t="s">
        <v>71</v>
      </c>
      <c r="D10630" t="s">
        <v>23605</v>
      </c>
      <c r="F10630" t="s">
        <v>29218</v>
      </c>
      <c r="J10630" t="s">
        <v>115</v>
      </c>
      <c r="K10630" s="18" t="s">
        <v>29219</v>
      </c>
      <c r="N10630" s="17" t="s">
        <v>77</v>
      </c>
      <c r="O10630" t="s">
        <v>117</v>
      </c>
      <c r="V10630" s="18" t="s">
        <v>29219</v>
      </c>
      <c r="Y10630" t="s">
        <v>181</v>
      </c>
      <c r="AA10630" t="s">
        <v>1672</v>
      </c>
      <c r="AB10630" t="s">
        <v>119</v>
      </c>
    </row>
    <row r="10631" ht="15" customHeight="1" spans="1:27" x14ac:dyDescent="0.25">
      <c r="A10631" s="17" t="s">
        <v>29220</v>
      </c>
      <c r="B10631" s="17" t="s">
        <v>70</v>
      </c>
      <c r="C10631" s="17" t="s">
        <v>71</v>
      </c>
      <c r="D10631" t="s">
        <v>3176</v>
      </c>
      <c r="F10631" t="s">
        <v>3176</v>
      </c>
      <c r="K10631" s="18">
        <f>62811161616</f>
        <v>62811161616</v>
      </c>
      <c r="N10631" s="17" t="s">
        <v>77</v>
      </c>
      <c r="U10631" s="17"/>
      <c r="V10631" s="18">
        <f>62811161616</f>
        <v>62811161616</v>
      </c>
      <c r="W10631" t="s">
        <v>29221</v>
      </c>
      <c r="Y10631" s="17" t="s">
        <v>378</v>
      </c>
      <c r="AA10631" s="17" t="s">
        <v>29222</v>
      </c>
    </row>
    <row r="10632" ht="15" customHeight="1" spans="1:22" x14ac:dyDescent="0.25">
      <c r="A10632" s="17" t="s">
        <v>29223</v>
      </c>
      <c r="B10632" s="17" t="s">
        <v>70</v>
      </c>
      <c r="C10632" s="17" t="s">
        <v>71</v>
      </c>
      <c r="D10632" t="s">
        <v>3176</v>
      </c>
      <c r="F10632" t="s">
        <v>3176</v>
      </c>
      <c r="K10632" s="18">
        <f>6282122225428</f>
        <v>6282122225428</v>
      </c>
      <c r="N10632" s="17" t="s">
        <v>81</v>
      </c>
      <c r="V10632" s="18">
        <f>6282122225428</f>
        <v>6282122225428</v>
      </c>
    </row>
    <row r="10633" ht="15" customHeight="1" spans="1:22" x14ac:dyDescent="0.25">
      <c r="A10633" s="17" t="s">
        <v>29224</v>
      </c>
      <c r="B10633" s="17" t="s">
        <v>70</v>
      </c>
      <c r="C10633" s="17" t="s">
        <v>71</v>
      </c>
      <c r="D10633" t="s">
        <v>3176</v>
      </c>
      <c r="F10633" t="s">
        <v>3176</v>
      </c>
      <c r="K10633" s="18">
        <f>6281314180881</f>
        <v>6281314180881</v>
      </c>
      <c r="N10633" s="17" t="s">
        <v>77</v>
      </c>
      <c r="V10633" s="18">
        <f>6281314180881</f>
        <v>6281314180881</v>
      </c>
    </row>
    <row r="10634" ht="15" customHeight="1" spans="1:23" x14ac:dyDescent="0.25">
      <c r="A10634" s="17" t="s">
        <v>29225</v>
      </c>
      <c r="B10634" s="17" t="s">
        <v>70</v>
      </c>
      <c r="C10634" s="17" t="s">
        <v>71</v>
      </c>
      <c r="D10634" t="s">
        <v>3176</v>
      </c>
      <c r="F10634" t="s">
        <v>2875</v>
      </c>
      <c r="K10634" s="18">
        <f>6281382001211</f>
        <v>6281382001211</v>
      </c>
      <c r="N10634" s="17" t="s">
        <v>81</v>
      </c>
      <c r="U10634" s="17"/>
      <c r="V10634" s="18">
        <f>6281382001211</f>
        <v>6281382001211</v>
      </c>
      <c r="W10634" t="s">
        <v>29226</v>
      </c>
    </row>
    <row r="10635" ht="15" customHeight="1" spans="1:28" x14ac:dyDescent="0.25">
      <c r="A10635" s="17" t="s">
        <v>29227</v>
      </c>
      <c r="B10635" s="17" t="s">
        <v>70</v>
      </c>
      <c r="C10635" s="17" t="s">
        <v>71</v>
      </c>
      <c r="D10635" t="s">
        <v>3176</v>
      </c>
      <c r="F10635" t="s">
        <v>29228</v>
      </c>
      <c r="J10635" t="s">
        <v>115</v>
      </c>
      <c r="K10635" s="18" t="s">
        <v>29229</v>
      </c>
      <c r="N10635" s="17" t="s">
        <v>77</v>
      </c>
      <c r="O10635" t="s">
        <v>199</v>
      </c>
      <c r="U10635" s="17"/>
      <c r="V10635" s="18" t="s">
        <v>29229</v>
      </c>
      <c r="W10635" t="s">
        <v>29230</v>
      </c>
      <c r="Y10635" t="s">
        <v>90</v>
      </c>
      <c r="AA10635" t="s">
        <v>118</v>
      </c>
      <c r="AB10635" t="s">
        <v>119</v>
      </c>
    </row>
    <row r="10636" ht="15" customHeight="1" spans="1:25" x14ac:dyDescent="0.25">
      <c r="A10636" s="17" t="s">
        <v>29231</v>
      </c>
      <c r="B10636" s="17" t="s">
        <v>70</v>
      </c>
      <c r="C10636" s="17" t="s">
        <v>71</v>
      </c>
      <c r="D10636" t="s">
        <v>3176</v>
      </c>
      <c r="F10636" t="s">
        <v>29232</v>
      </c>
      <c r="K10636" s="18">
        <v>812333</v>
      </c>
      <c r="N10636" s="17" t="s">
        <v>77</v>
      </c>
      <c r="V10636" s="18">
        <v>812333</v>
      </c>
      <c r="Y10636" s="17" t="s">
        <v>19550</v>
      </c>
    </row>
    <row r="10637" ht="15" customHeight="1" spans="1:22" x14ac:dyDescent="0.25">
      <c r="A10637" s="17" t="s">
        <v>29233</v>
      </c>
      <c r="B10637" s="17" t="s">
        <v>70</v>
      </c>
      <c r="C10637" s="17" t="s">
        <v>71</v>
      </c>
      <c r="D10637" t="s">
        <v>3176</v>
      </c>
      <c r="F10637" t="s">
        <v>29234</v>
      </c>
      <c r="K10637" s="18">
        <f>79500703301</f>
        <v>79500703301</v>
      </c>
      <c r="N10637" s="17" t="s">
        <v>81</v>
      </c>
      <c r="V10637" s="18">
        <f>79500703301</f>
        <v>79500703301</v>
      </c>
    </row>
    <row r="10638" ht="15" customHeight="1" spans="1:22" x14ac:dyDescent="0.25">
      <c r="A10638" s="17" t="s">
        <v>29235</v>
      </c>
      <c r="B10638" s="17" t="s">
        <v>70</v>
      </c>
      <c r="C10638" s="17" t="s">
        <v>71</v>
      </c>
      <c r="D10638" t="s">
        <v>3176</v>
      </c>
      <c r="F10638" t="s">
        <v>29236</v>
      </c>
      <c r="K10638" s="18">
        <f>6281315310008</f>
        <v>6281315310008</v>
      </c>
      <c r="N10638" s="17" t="s">
        <v>81</v>
      </c>
      <c r="V10638" s="18">
        <f>6281315310008</f>
        <v>6281315310008</v>
      </c>
    </row>
    <row r="10639" ht="15" customHeight="1" spans="1:28" x14ac:dyDescent="0.25">
      <c r="A10639" s="17" t="s">
        <v>29237</v>
      </c>
      <c r="B10639" s="17" t="s">
        <v>70</v>
      </c>
      <c r="C10639" s="17" t="s">
        <v>71</v>
      </c>
      <c r="D10639" t="s">
        <v>3176</v>
      </c>
      <c r="F10639" t="s">
        <v>29238</v>
      </c>
      <c r="J10639" s="17" t="s">
        <v>29239</v>
      </c>
      <c r="K10639" s="18" t="s">
        <v>29240</v>
      </c>
      <c r="N10639" s="17" t="s">
        <v>77</v>
      </c>
      <c r="O10639" t="s">
        <v>145</v>
      </c>
      <c r="V10639" s="18" t="s">
        <v>29240</v>
      </c>
      <c r="Y10639" s="17" t="s">
        <v>29241</v>
      </c>
      <c r="AA10639" t="s">
        <v>115</v>
      </c>
      <c r="AB10639" t="s">
        <v>29241</v>
      </c>
    </row>
    <row r="10640" ht="15" customHeight="1" spans="1:25" x14ac:dyDescent="0.25">
      <c r="A10640" s="17" t="s">
        <v>29242</v>
      </c>
      <c r="B10640" s="17" t="s">
        <v>70</v>
      </c>
      <c r="C10640" s="17" t="s">
        <v>71</v>
      </c>
      <c r="D10640" t="s">
        <v>3176</v>
      </c>
      <c r="F10640" t="s">
        <v>5406</v>
      </c>
      <c r="J10640" s="17" t="s">
        <v>29243</v>
      </c>
      <c r="K10640" s="18">
        <f>62811295270</f>
        <v>62811295270</v>
      </c>
      <c r="N10640" s="17" t="s">
        <v>77</v>
      </c>
      <c r="V10640" s="18">
        <f>62811295270</f>
        <v>62811295270</v>
      </c>
      <c r="Y10640" s="17" t="s">
        <v>1042</v>
      </c>
    </row>
    <row r="10641" ht="15" customHeight="1" spans="1:28" x14ac:dyDescent="0.25">
      <c r="A10641" s="17" t="s">
        <v>29244</v>
      </c>
      <c r="B10641" s="17" t="s">
        <v>70</v>
      </c>
      <c r="C10641" s="17" t="s">
        <v>71</v>
      </c>
      <c r="D10641" t="s">
        <v>3176</v>
      </c>
      <c r="F10641" t="s">
        <v>15486</v>
      </c>
      <c r="J10641" t="s">
        <v>115</v>
      </c>
      <c r="K10641" s="18" t="s">
        <v>29245</v>
      </c>
      <c r="N10641" s="17" t="s">
        <v>77</v>
      </c>
      <c r="O10641" t="s">
        <v>117</v>
      </c>
      <c r="V10641" s="18" t="s">
        <v>29245</v>
      </c>
      <c r="Y10641" t="s">
        <v>115</v>
      </c>
      <c r="AA10641" t="s">
        <v>115</v>
      </c>
      <c r="AB10641" t="s">
        <v>119</v>
      </c>
    </row>
    <row r="10642" ht="15" customHeight="1" spans="1:22" x14ac:dyDescent="0.25">
      <c r="A10642" s="17" t="s">
        <v>29246</v>
      </c>
      <c r="B10642" s="17" t="s">
        <v>70</v>
      </c>
      <c r="C10642" s="17" t="s">
        <v>71</v>
      </c>
      <c r="D10642" t="s">
        <v>3176</v>
      </c>
      <c r="F10642" t="s">
        <v>16500</v>
      </c>
      <c r="K10642" s="18">
        <f>62811170752</f>
        <v>62811170752</v>
      </c>
      <c r="N10642" s="17" t="s">
        <v>77</v>
      </c>
      <c r="V10642" s="18">
        <f>62811170752</f>
        <v>62811170752</v>
      </c>
    </row>
    <row r="10643" ht="15" customHeight="1" spans="1:28" x14ac:dyDescent="0.25">
      <c r="A10643" s="17" t="s">
        <v>29247</v>
      </c>
      <c r="B10643" s="17" t="s">
        <v>70</v>
      </c>
      <c r="C10643" s="17" t="s">
        <v>71</v>
      </c>
      <c r="D10643" t="s">
        <v>3176</v>
      </c>
      <c r="F10643" t="s">
        <v>29248</v>
      </c>
      <c r="J10643" s="17" t="s">
        <v>29249</v>
      </c>
      <c r="K10643" s="18" t="s">
        <v>29250</v>
      </c>
      <c r="N10643" s="17" t="s">
        <v>77</v>
      </c>
      <c r="O10643" t="s">
        <v>489</v>
      </c>
      <c r="U10643" s="17"/>
      <c r="V10643" s="18" t="s">
        <v>29250</v>
      </c>
      <c r="W10643" t="s">
        <v>29251</v>
      </c>
      <c r="Y10643" t="s">
        <v>190</v>
      </c>
      <c r="AA10643" t="s">
        <v>118</v>
      </c>
      <c r="AB10643" t="s">
        <v>119</v>
      </c>
    </row>
    <row r="10644" ht="15" customHeight="1" spans="1:28" x14ac:dyDescent="0.25">
      <c r="A10644" s="17" t="s">
        <v>29252</v>
      </c>
      <c r="B10644" s="17" t="s">
        <v>70</v>
      </c>
      <c r="C10644" s="17" t="s">
        <v>71</v>
      </c>
      <c r="D10644" t="s">
        <v>20334</v>
      </c>
      <c r="F10644" t="s">
        <v>672</v>
      </c>
      <c r="J10644" s="17" t="s">
        <v>29253</v>
      </c>
      <c r="K10644" s="18" t="s">
        <v>29254</v>
      </c>
      <c r="N10644" s="17" t="s">
        <v>77</v>
      </c>
      <c r="O10644" t="s">
        <v>117</v>
      </c>
      <c r="V10644" s="18" t="s">
        <v>29254</v>
      </c>
      <c r="Y10644" t="s">
        <v>1084</v>
      </c>
      <c r="AA10644" t="s">
        <v>3146</v>
      </c>
      <c r="AB10644" t="s">
        <v>119</v>
      </c>
    </row>
    <row r="10645" ht="15" customHeight="1" spans="1:28" x14ac:dyDescent="0.25">
      <c r="A10645" s="17" t="s">
        <v>29255</v>
      </c>
      <c r="B10645" s="17" t="s">
        <v>70</v>
      </c>
      <c r="C10645" s="17" t="s">
        <v>71</v>
      </c>
      <c r="D10645" t="s">
        <v>3176</v>
      </c>
      <c r="F10645" t="s">
        <v>29256</v>
      </c>
      <c r="J10645" s="17" t="s">
        <v>29257</v>
      </c>
      <c r="K10645" s="18" t="s">
        <v>29258</v>
      </c>
      <c r="N10645" s="17" t="s">
        <v>74</v>
      </c>
      <c r="O10645" t="s">
        <v>199</v>
      </c>
      <c r="U10645" s="17"/>
      <c r="V10645" s="18" t="s">
        <v>29258</v>
      </c>
      <c r="W10645" t="s">
        <v>29259</v>
      </c>
      <c r="Y10645" s="17" t="s">
        <v>704</v>
      </c>
      <c r="AA10645" t="s">
        <v>705</v>
      </c>
      <c r="AB10645" t="s">
        <v>119</v>
      </c>
    </row>
    <row r="10646" ht="15" customHeight="1" spans="1:22" x14ac:dyDescent="0.25">
      <c r="A10646" s="17" t="s">
        <v>29260</v>
      </c>
      <c r="B10646" s="17" t="s">
        <v>70</v>
      </c>
      <c r="C10646" s="17" t="s">
        <v>71</v>
      </c>
      <c r="D10646" t="s">
        <v>29261</v>
      </c>
      <c r="F10646" t="s">
        <v>29261</v>
      </c>
      <c r="K10646" s="18">
        <f>62811902550</f>
        <v>62811902550</v>
      </c>
      <c r="N10646" s="17" t="s">
        <v>81</v>
      </c>
      <c r="V10646" s="18">
        <f>62811902550</f>
        <v>62811902550</v>
      </c>
    </row>
    <row r="10647" ht="15" customHeight="1" spans="1:28" x14ac:dyDescent="0.25">
      <c r="A10647" s="17" t="s">
        <v>29262</v>
      </c>
      <c r="B10647" s="17" t="s">
        <v>70</v>
      </c>
      <c r="C10647" s="17" t="s">
        <v>71</v>
      </c>
      <c r="D10647" t="s">
        <v>29263</v>
      </c>
      <c r="F10647" t="s">
        <v>20336</v>
      </c>
      <c r="J10647" t="s">
        <v>115</v>
      </c>
      <c r="K10647" s="18" t="s">
        <v>29264</v>
      </c>
      <c r="N10647" s="17" t="s">
        <v>77</v>
      </c>
      <c r="O10647" t="s">
        <v>117</v>
      </c>
      <c r="V10647" s="18" t="s">
        <v>29264</v>
      </c>
      <c r="Y10647" t="s">
        <v>190</v>
      </c>
      <c r="AA10647" t="s">
        <v>118</v>
      </c>
      <c r="AB10647" t="s">
        <v>7412</v>
      </c>
    </row>
    <row r="10648" ht="15" customHeight="1" spans="1:25" x14ac:dyDescent="0.25">
      <c r="A10648" s="17" t="s">
        <v>29265</v>
      </c>
      <c r="B10648" s="17" t="s">
        <v>70</v>
      </c>
      <c r="C10648" s="17" t="s">
        <v>71</v>
      </c>
      <c r="D10648" t="s">
        <v>29263</v>
      </c>
      <c r="F10648" t="s">
        <v>1754</v>
      </c>
      <c r="K10648" s="18">
        <v>72788777</v>
      </c>
      <c r="N10648" s="17" t="s">
        <v>74</v>
      </c>
      <c r="U10648" s="17"/>
      <c r="V10648" s="18">
        <v>72788777</v>
      </c>
      <c r="W10648" t="s">
        <v>29266</v>
      </c>
      <c r="Y10648" s="17" t="s">
        <v>96</v>
      </c>
    </row>
    <row r="10649" ht="15" customHeight="1" spans="1:22" x14ac:dyDescent="0.25">
      <c r="A10649" s="17" t="s">
        <v>29267</v>
      </c>
      <c r="B10649" s="17" t="s">
        <v>70</v>
      </c>
      <c r="C10649" s="17" t="s">
        <v>71</v>
      </c>
      <c r="D10649" t="s">
        <v>29263</v>
      </c>
      <c r="F10649" t="s">
        <v>29268</v>
      </c>
      <c r="K10649" s="18">
        <f>6281297804804</f>
        <v>6281297804804</v>
      </c>
      <c r="N10649" s="17" t="s">
        <v>81</v>
      </c>
      <c r="V10649" s="18">
        <f>6281297804804</f>
        <v>6281297804804</v>
      </c>
    </row>
    <row r="10650" ht="15" customHeight="1" spans="1:22" x14ac:dyDescent="0.25">
      <c r="A10650" s="17" t="s">
        <v>29269</v>
      </c>
      <c r="B10650" s="17" t="s">
        <v>70</v>
      </c>
      <c r="C10650" s="17" t="s">
        <v>71</v>
      </c>
      <c r="D10650" t="s">
        <v>29263</v>
      </c>
      <c r="F10650" t="s">
        <v>1217</v>
      </c>
      <c r="K10650" s="18">
        <f>628111906077</f>
        <v>628111906077</v>
      </c>
      <c r="N10650" s="17" t="s">
        <v>74</v>
      </c>
      <c r="V10650" s="18">
        <f>628111906077</f>
        <v>628111906077</v>
      </c>
    </row>
    <row r="10651" ht="15" customHeight="1" spans="1:28" x14ac:dyDescent="0.25">
      <c r="A10651" s="17" t="s">
        <v>29270</v>
      </c>
      <c r="B10651" s="17" t="s">
        <v>70</v>
      </c>
      <c r="C10651" s="17" t="s">
        <v>71</v>
      </c>
      <c r="D10651" t="s">
        <v>29263</v>
      </c>
      <c r="F10651" t="s">
        <v>29271</v>
      </c>
      <c r="J10651" t="s">
        <v>29272</v>
      </c>
      <c r="K10651" s="18" t="s">
        <v>29273</v>
      </c>
      <c r="N10651" s="17" t="s">
        <v>77</v>
      </c>
      <c r="O10651" t="s">
        <v>117</v>
      </c>
      <c r="U10651" s="17"/>
      <c r="V10651" s="18" t="s">
        <v>29273</v>
      </c>
      <c r="W10651" t="s">
        <v>29274</v>
      </c>
      <c r="Y10651" s="17" t="s">
        <v>90</v>
      </c>
      <c r="AA10651" s="17" t="s">
        <v>118</v>
      </c>
      <c r="AB10651" t="s">
        <v>119</v>
      </c>
    </row>
    <row r="10652" ht="15" customHeight="1" spans="1:22" x14ac:dyDescent="0.25">
      <c r="A10652" s="17" t="s">
        <v>29275</v>
      </c>
      <c r="B10652" s="17" t="s">
        <v>70</v>
      </c>
      <c r="C10652" s="17" t="s">
        <v>71</v>
      </c>
      <c r="D10652" t="s">
        <v>29263</v>
      </c>
      <c r="F10652" t="s">
        <v>1337</v>
      </c>
      <c r="K10652" s="18">
        <f>6281399890000</f>
        <v>6281399890000</v>
      </c>
      <c r="N10652" s="17" t="s">
        <v>81</v>
      </c>
      <c r="V10652" s="18">
        <f>6281399890000</f>
        <v>6281399890000</v>
      </c>
    </row>
    <row r="10653" ht="15" customHeight="1" spans="1:28" x14ac:dyDescent="0.25">
      <c r="A10653" s="17" t="s">
        <v>29276</v>
      </c>
      <c r="B10653" s="17" t="s">
        <v>70</v>
      </c>
      <c r="C10653" s="17" t="s">
        <v>71</v>
      </c>
      <c r="D10653" t="s">
        <v>29263</v>
      </c>
      <c r="F10653" t="s">
        <v>1572</v>
      </c>
      <c r="J10653" s="17" t="s">
        <v>29277</v>
      </c>
      <c r="K10653" s="18" t="s">
        <v>29278</v>
      </c>
      <c r="N10653" s="17" t="s">
        <v>77</v>
      </c>
      <c r="O10653" t="s">
        <v>199</v>
      </c>
      <c r="U10653" s="17"/>
      <c r="V10653" s="18" t="s">
        <v>29278</v>
      </c>
      <c r="W10653" t="s">
        <v>29279</v>
      </c>
      <c r="Y10653" s="17" t="s">
        <v>181</v>
      </c>
      <c r="AA10653" t="s">
        <v>1672</v>
      </c>
      <c r="AB10653" t="s">
        <v>119</v>
      </c>
    </row>
    <row r="10654" ht="15" customHeight="1" spans="1:28" x14ac:dyDescent="0.25">
      <c r="A10654" s="17" t="s">
        <v>29280</v>
      </c>
      <c r="B10654" s="17" t="s">
        <v>70</v>
      </c>
      <c r="C10654" s="17" t="s">
        <v>71</v>
      </c>
      <c r="D10654" t="s">
        <v>29263</v>
      </c>
      <c r="F10654" t="s">
        <v>29281</v>
      </c>
      <c r="J10654" t="s">
        <v>115</v>
      </c>
      <c r="K10654" s="18" t="s">
        <v>29282</v>
      </c>
      <c r="N10654" s="17" t="s">
        <v>77</v>
      </c>
      <c r="O10654" t="s">
        <v>199</v>
      </c>
      <c r="V10654" s="18" t="s">
        <v>29282</v>
      </c>
      <c r="Y10654" t="s">
        <v>181</v>
      </c>
      <c r="AA10654" t="s">
        <v>1672</v>
      </c>
      <c r="AB10654" t="s">
        <v>119</v>
      </c>
    </row>
    <row r="10655" ht="15" customHeight="1" spans="1:22" x14ac:dyDescent="0.25">
      <c r="A10655" s="17" t="s">
        <v>29283</v>
      </c>
      <c r="B10655" s="17" t="s">
        <v>70</v>
      </c>
      <c r="C10655" s="17" t="s">
        <v>71</v>
      </c>
      <c r="D10655" t="s">
        <v>29263</v>
      </c>
      <c r="F10655" t="s">
        <v>558</v>
      </c>
      <c r="K10655" s="18">
        <f>62811142288</f>
        <v>62811142288</v>
      </c>
      <c r="N10655" s="17" t="s">
        <v>74</v>
      </c>
      <c r="V10655" s="18">
        <f>62811142288</f>
        <v>62811142288</v>
      </c>
    </row>
    <row r="10656" ht="15" customHeight="1" spans="1:28" x14ac:dyDescent="0.25">
      <c r="A10656" s="17" t="s">
        <v>29284</v>
      </c>
      <c r="B10656" s="17" t="s">
        <v>70</v>
      </c>
      <c r="C10656" s="17" t="s">
        <v>71</v>
      </c>
      <c r="D10656" t="s">
        <v>8999</v>
      </c>
      <c r="F10656" t="s">
        <v>29285</v>
      </c>
      <c r="J10656" t="s">
        <v>115</v>
      </c>
      <c r="K10656" s="18" t="s">
        <v>29286</v>
      </c>
      <c r="N10656" s="17" t="s">
        <v>77</v>
      </c>
      <c r="O10656" t="s">
        <v>117</v>
      </c>
      <c r="V10656" s="18" t="s">
        <v>29286</v>
      </c>
      <c r="Y10656" t="s">
        <v>490</v>
      </c>
      <c r="AA10656" t="s">
        <v>115</v>
      </c>
      <c r="AB10656" t="s">
        <v>119</v>
      </c>
    </row>
    <row r="10657" ht="15" customHeight="1" spans="1:28" x14ac:dyDescent="0.25">
      <c r="A10657" s="17" t="s">
        <v>29287</v>
      </c>
      <c r="B10657" s="17" t="s">
        <v>70</v>
      </c>
      <c r="C10657" s="17" t="s">
        <v>71</v>
      </c>
      <c r="D10657" t="s">
        <v>8999</v>
      </c>
      <c r="F10657" t="s">
        <v>29288</v>
      </c>
      <c r="J10657" t="s">
        <v>29289</v>
      </c>
      <c r="K10657" s="18" t="s">
        <v>29290</v>
      </c>
      <c r="N10657" s="17" t="s">
        <v>77</v>
      </c>
      <c r="O10657" t="s">
        <v>117</v>
      </c>
      <c r="V10657" s="18" t="s">
        <v>29290</v>
      </c>
      <c r="Y10657" t="s">
        <v>90</v>
      </c>
      <c r="AA10657" t="s">
        <v>118</v>
      </c>
      <c r="AB10657" t="s">
        <v>119</v>
      </c>
    </row>
    <row r="10658" ht="15" customHeight="1" spans="1:22" x14ac:dyDescent="0.25">
      <c r="A10658" s="17" t="s">
        <v>29291</v>
      </c>
      <c r="B10658" s="17" t="s">
        <v>70</v>
      </c>
      <c r="C10658" s="17" t="s">
        <v>71</v>
      </c>
      <c r="D10658" t="s">
        <v>29292</v>
      </c>
      <c r="F10658" t="s">
        <v>29292</v>
      </c>
      <c r="K10658" s="18">
        <f>6281388008787</f>
        <v>6281388008787</v>
      </c>
      <c r="N10658" s="17" t="s">
        <v>77</v>
      </c>
      <c r="V10658" s="18">
        <f>6281388008787</f>
        <v>6281388008787</v>
      </c>
    </row>
    <row r="10659" ht="15" customHeight="1" spans="1:22" x14ac:dyDescent="0.25">
      <c r="A10659" s="17" t="s">
        <v>29293</v>
      </c>
      <c r="B10659" s="17" t="s">
        <v>70</v>
      </c>
      <c r="C10659" s="17" t="s">
        <v>71</v>
      </c>
      <c r="D10659" t="s">
        <v>29292</v>
      </c>
      <c r="F10659" t="s">
        <v>22913</v>
      </c>
      <c r="K10659" s="18">
        <f>62816607122</f>
        <v>62816607122</v>
      </c>
      <c r="N10659" s="17" t="s">
        <v>77</v>
      </c>
      <c r="V10659" s="18">
        <f>62816607122</f>
        <v>62816607122</v>
      </c>
    </row>
    <row r="10660" ht="15" customHeight="1" spans="1:28" x14ac:dyDescent="0.25">
      <c r="A10660" s="17" t="s">
        <v>29294</v>
      </c>
      <c r="B10660" s="17" t="s">
        <v>70</v>
      </c>
      <c r="C10660" s="17" t="s">
        <v>71</v>
      </c>
      <c r="D10660" t="s">
        <v>7829</v>
      </c>
      <c r="F10660" t="s">
        <v>9682</v>
      </c>
      <c r="J10660" t="s">
        <v>115</v>
      </c>
      <c r="K10660" s="18" t="s">
        <v>29295</v>
      </c>
      <c r="N10660" s="17" t="s">
        <v>81</v>
      </c>
      <c r="O10660" t="s">
        <v>199</v>
      </c>
      <c r="V10660" s="18" t="s">
        <v>29295</v>
      </c>
      <c r="Y10660" t="s">
        <v>190</v>
      </c>
      <c r="AA10660" t="s">
        <v>118</v>
      </c>
      <c r="AB10660" t="s">
        <v>119</v>
      </c>
    </row>
    <row r="10661" ht="15" customHeight="1" spans="1:28" x14ac:dyDescent="0.25">
      <c r="A10661" s="17" t="s">
        <v>29296</v>
      </c>
      <c r="B10661" s="17" t="s">
        <v>70</v>
      </c>
      <c r="C10661" s="17" t="s">
        <v>71</v>
      </c>
      <c r="D10661" t="s">
        <v>7829</v>
      </c>
      <c r="F10661" t="s">
        <v>29297</v>
      </c>
      <c r="J10661" t="s">
        <v>115</v>
      </c>
      <c r="K10661" s="18" t="s">
        <v>29298</v>
      </c>
      <c r="N10661" s="17" t="s">
        <v>77</v>
      </c>
      <c r="O10661" t="s">
        <v>145</v>
      </c>
      <c r="V10661" s="18" t="s">
        <v>29298</v>
      </c>
      <c r="Y10661" t="s">
        <v>90</v>
      </c>
      <c r="AA10661" t="s">
        <v>118</v>
      </c>
      <c r="AB10661" t="s">
        <v>119</v>
      </c>
    </row>
    <row r="10662" ht="15" customHeight="1" spans="1:28" x14ac:dyDescent="0.25">
      <c r="A10662" s="17" t="s">
        <v>29299</v>
      </c>
      <c r="B10662" s="17" t="s">
        <v>70</v>
      </c>
      <c r="C10662" s="17" t="s">
        <v>71</v>
      </c>
      <c r="D10662" t="s">
        <v>29300</v>
      </c>
      <c r="F10662" t="s">
        <v>9637</v>
      </c>
      <c r="J10662" t="s">
        <v>115</v>
      </c>
      <c r="K10662" s="18" t="s">
        <v>29301</v>
      </c>
      <c r="N10662" s="17" t="s">
        <v>77</v>
      </c>
      <c r="O10662" t="s">
        <v>117</v>
      </c>
      <c r="V10662" s="18" t="s">
        <v>29301</v>
      </c>
      <c r="Y10662" t="s">
        <v>190</v>
      </c>
      <c r="AA10662" t="s">
        <v>118</v>
      </c>
      <c r="AB10662" t="s">
        <v>119</v>
      </c>
    </row>
    <row r="10663" ht="15" customHeight="1" spans="1:25" x14ac:dyDescent="0.25">
      <c r="A10663" s="17" t="s">
        <v>29302</v>
      </c>
      <c r="B10663" s="17" t="s">
        <v>70</v>
      </c>
      <c r="C10663" s="17" t="s">
        <v>71</v>
      </c>
      <c r="D10663" t="s">
        <v>29303</v>
      </c>
      <c r="F10663" t="s">
        <v>29304</v>
      </c>
      <c r="K10663" s="18">
        <f>919840988855</f>
        <v>919840988855</v>
      </c>
      <c r="N10663" s="17" t="s">
        <v>81</v>
      </c>
      <c r="V10663" s="18">
        <f>919840988855</f>
        <v>919840988855</v>
      </c>
      <c r="Y10663" s="17" t="s">
        <v>29305</v>
      </c>
    </row>
    <row r="10664" ht="15" customHeight="1" spans="1:25" x14ac:dyDescent="0.25">
      <c r="A10664" s="17" t="s">
        <v>29306</v>
      </c>
      <c r="B10664" s="17" t="s">
        <v>70</v>
      </c>
      <c r="C10664" s="17" t="s">
        <v>71</v>
      </c>
      <c r="D10664" t="s">
        <v>20334</v>
      </c>
      <c r="F10664" t="s">
        <v>20334</v>
      </c>
      <c r="K10664" s="18">
        <f>6281317951668</f>
        <v>6281317951668</v>
      </c>
      <c r="N10664" s="17" t="s">
        <v>77</v>
      </c>
      <c r="U10664" s="17"/>
      <c r="V10664" s="18">
        <f>6281317951668</f>
        <v>6281317951668</v>
      </c>
      <c r="W10664" t="s">
        <v>29307</v>
      </c>
      <c r="Y10664" s="17" t="s">
        <v>90</v>
      </c>
    </row>
    <row r="10665" ht="15" customHeight="1" spans="1:22" x14ac:dyDescent="0.25">
      <c r="A10665" s="17" t="s">
        <v>29308</v>
      </c>
      <c r="B10665" s="17" t="s">
        <v>70</v>
      </c>
      <c r="C10665" s="17" t="s">
        <v>71</v>
      </c>
      <c r="D10665" t="s">
        <v>20334</v>
      </c>
      <c r="F10665" t="s">
        <v>20334</v>
      </c>
      <c r="K10665" s="18">
        <f>628161873820</f>
        <v>628161873820</v>
      </c>
      <c r="N10665" s="17" t="s">
        <v>77</v>
      </c>
      <c r="V10665" s="18">
        <f>628161873820</f>
        <v>628161873820</v>
      </c>
    </row>
    <row r="10666" ht="15" customHeight="1" spans="1:22" x14ac:dyDescent="0.25">
      <c r="A10666" s="17" t="s">
        <v>29309</v>
      </c>
      <c r="B10666" s="17" t="s">
        <v>70</v>
      </c>
      <c r="C10666" s="17" t="s">
        <v>71</v>
      </c>
      <c r="D10666" t="s">
        <v>20334</v>
      </c>
      <c r="F10666" t="s">
        <v>20334</v>
      </c>
      <c r="K10666" s="18">
        <f>6281901350917</f>
        <v>6281901350917</v>
      </c>
      <c r="N10666" s="17" t="s">
        <v>81</v>
      </c>
      <c r="V10666" s="18">
        <f>6281901350917</f>
        <v>6281901350917</v>
      </c>
    </row>
    <row r="10667" ht="15" customHeight="1" spans="1:22" x14ac:dyDescent="0.25">
      <c r="A10667" s="17" t="s">
        <v>29310</v>
      </c>
      <c r="B10667" s="17" t="s">
        <v>70</v>
      </c>
      <c r="C10667" s="17" t="s">
        <v>71</v>
      </c>
      <c r="D10667" t="s">
        <v>20334</v>
      </c>
      <c r="F10667" t="s">
        <v>20334</v>
      </c>
      <c r="K10667" s="18">
        <f>628112121510</f>
        <v>628112121510</v>
      </c>
      <c r="N10667" s="17" t="s">
        <v>77</v>
      </c>
      <c r="V10667" s="18">
        <f>628112121510</f>
        <v>628112121510</v>
      </c>
    </row>
    <row r="10668" ht="15" customHeight="1" spans="1:28" x14ac:dyDescent="0.25">
      <c r="A10668" s="17" t="s">
        <v>29311</v>
      </c>
      <c r="B10668" s="17" t="s">
        <v>70</v>
      </c>
      <c r="C10668" s="17" t="s">
        <v>71</v>
      </c>
      <c r="D10668" t="s">
        <v>20334</v>
      </c>
      <c r="F10668" t="s">
        <v>29312</v>
      </c>
      <c r="J10668" t="s">
        <v>115</v>
      </c>
      <c r="K10668" s="18" t="s">
        <v>29313</v>
      </c>
      <c r="N10668" s="17" t="s">
        <v>77</v>
      </c>
      <c r="O10668" t="s">
        <v>199</v>
      </c>
      <c r="V10668" s="18" t="s">
        <v>29313</v>
      </c>
      <c r="Y10668" t="s">
        <v>115</v>
      </c>
      <c r="AA10668" t="s">
        <v>115</v>
      </c>
      <c r="AB10668" t="s">
        <v>119</v>
      </c>
    </row>
    <row r="10669" ht="15" customHeight="1" spans="1:22" x14ac:dyDescent="0.25">
      <c r="A10669" s="17" t="s">
        <v>29314</v>
      </c>
      <c r="B10669" s="17" t="s">
        <v>70</v>
      </c>
      <c r="C10669" s="17" t="s">
        <v>71</v>
      </c>
      <c r="D10669" t="s">
        <v>20334</v>
      </c>
      <c r="F10669" t="s">
        <v>11058</v>
      </c>
      <c r="K10669" s="18">
        <f>917760367788</f>
        <v>917760367788</v>
      </c>
      <c r="N10669" s="17" t="s">
        <v>81</v>
      </c>
      <c r="V10669" s="18">
        <f>917760367788</f>
        <v>917760367788</v>
      </c>
    </row>
    <row r="10670" ht="15" customHeight="1" spans="1:27" x14ac:dyDescent="0.25">
      <c r="A10670" s="17" t="s">
        <v>29315</v>
      </c>
      <c r="B10670" s="17" t="s">
        <v>70</v>
      </c>
      <c r="C10670" s="17" t="s">
        <v>71</v>
      </c>
      <c r="D10670" t="s">
        <v>20334</v>
      </c>
      <c r="F10670" t="s">
        <v>29316</v>
      </c>
      <c r="K10670" s="18">
        <f>6282229988899</f>
        <v>6282229988899</v>
      </c>
      <c r="N10670" s="17" t="s">
        <v>77</v>
      </c>
      <c r="U10670" s="17"/>
      <c r="V10670" s="18">
        <f>6282229988899</f>
        <v>6282229988899</v>
      </c>
      <c r="W10670" t="s">
        <v>29317</v>
      </c>
      <c r="Y10670" s="17" t="s">
        <v>90</v>
      </c>
      <c r="AA10670" s="17">
        <v>12190</v>
      </c>
    </row>
    <row r="10671" ht="15" customHeight="1" spans="1:27" x14ac:dyDescent="0.25">
      <c r="A10671" s="17" t="s">
        <v>29318</v>
      </c>
      <c r="B10671" s="17" t="s">
        <v>70</v>
      </c>
      <c r="C10671" s="17" t="s">
        <v>71</v>
      </c>
      <c r="D10671" t="s">
        <v>20334</v>
      </c>
      <c r="F10671" t="s">
        <v>29319</v>
      </c>
      <c r="K10671" s="18">
        <f>62817757601</f>
        <v>62817757601</v>
      </c>
      <c r="N10671" s="17" t="s">
        <v>77</v>
      </c>
      <c r="U10671" s="17"/>
      <c r="V10671" s="18">
        <f>62817757601</f>
        <v>62817757601</v>
      </c>
      <c r="W10671" t="s">
        <v>29320</v>
      </c>
      <c r="AA10671" s="17">
        <v>12170</v>
      </c>
    </row>
    <row r="10672" ht="15" customHeight="1" spans="1:22" x14ac:dyDescent="0.25">
      <c r="A10672" s="17" t="s">
        <v>29321</v>
      </c>
      <c r="B10672" s="17" t="s">
        <v>70</v>
      </c>
      <c r="C10672" s="17" t="s">
        <v>71</v>
      </c>
      <c r="D10672" t="s">
        <v>20334</v>
      </c>
      <c r="F10672" t="s">
        <v>29322</v>
      </c>
      <c r="K10672" s="18">
        <f>628116126678</f>
        <v>628116126678</v>
      </c>
      <c r="N10672" s="17" t="s">
        <v>81</v>
      </c>
      <c r="V10672" s="18">
        <f>628116126678</f>
        <v>628116126678</v>
      </c>
    </row>
    <row r="10673" ht="15" customHeight="1" spans="1:25" x14ac:dyDescent="0.25">
      <c r="A10673" s="17" t="s">
        <v>29323</v>
      </c>
      <c r="B10673" s="17" t="s">
        <v>70</v>
      </c>
      <c r="C10673" s="17" t="s">
        <v>71</v>
      </c>
      <c r="D10673" t="s">
        <v>20334</v>
      </c>
      <c r="F10673" t="s">
        <v>29324</v>
      </c>
      <c r="K10673" s="18">
        <v>7252309</v>
      </c>
      <c r="N10673" s="17" t="s">
        <v>77</v>
      </c>
      <c r="U10673" s="17"/>
      <c r="V10673" s="18">
        <v>7252309</v>
      </c>
      <c r="W10673" t="s">
        <v>29325</v>
      </c>
      <c r="Y10673" s="17" t="s">
        <v>96</v>
      </c>
    </row>
    <row r="10674" ht="15" customHeight="1" spans="1:23" x14ac:dyDescent="0.25">
      <c r="A10674" s="17" t="s">
        <v>29326</v>
      </c>
      <c r="B10674" s="17" t="s">
        <v>70</v>
      </c>
      <c r="C10674" s="17" t="s">
        <v>71</v>
      </c>
      <c r="D10674" t="s">
        <v>20334</v>
      </c>
      <c r="F10674" t="s">
        <v>9083</v>
      </c>
      <c r="J10674" s="17" t="s">
        <v>29327</v>
      </c>
      <c r="K10674" s="18">
        <f>62215740707</f>
        <v>62215740707</v>
      </c>
      <c r="N10674" s="17" t="s">
        <v>77</v>
      </c>
      <c r="U10674" s="17"/>
      <c r="V10674" s="18">
        <f>62215740707</f>
        <v>62215740707</v>
      </c>
      <c r="W10674" t="s">
        <v>29328</v>
      </c>
    </row>
    <row r="10675" ht="15" customHeight="1" spans="1:25" x14ac:dyDescent="0.25">
      <c r="A10675" s="17" t="s">
        <v>29329</v>
      </c>
      <c r="B10675" s="17" t="s">
        <v>70</v>
      </c>
      <c r="C10675" s="17" t="s">
        <v>71</v>
      </c>
      <c r="D10675" t="s">
        <v>20334</v>
      </c>
      <c r="F10675" t="s">
        <v>29330</v>
      </c>
      <c r="K10675" s="18">
        <f>6285273424500</f>
        <v>6285273424500</v>
      </c>
      <c r="N10675" s="17" t="s">
        <v>81</v>
      </c>
      <c r="U10675" s="17"/>
      <c r="V10675" s="18">
        <f>6285273424500</f>
        <v>6285273424500</v>
      </c>
      <c r="W10675" t="s">
        <v>29331</v>
      </c>
      <c r="Y10675" s="17" t="s">
        <v>3999</v>
      </c>
    </row>
    <row r="10676" ht="15" customHeight="1" spans="1:22" x14ac:dyDescent="0.25">
      <c r="A10676" s="17" t="s">
        <v>29332</v>
      </c>
      <c r="B10676" s="17" t="s">
        <v>70</v>
      </c>
      <c r="C10676" s="17" t="s">
        <v>71</v>
      </c>
      <c r="D10676" t="s">
        <v>20334</v>
      </c>
      <c r="F10676" t="s">
        <v>29333</v>
      </c>
      <c r="K10676" s="18">
        <f>62818812201</f>
        <v>62818812201</v>
      </c>
      <c r="N10676" s="17" t="s">
        <v>81</v>
      </c>
      <c r="V10676" s="18">
        <f>62818812201</f>
        <v>62818812201</v>
      </c>
    </row>
    <row r="10677" ht="15" customHeight="1" spans="1:28" x14ac:dyDescent="0.25">
      <c r="A10677" s="17" t="s">
        <v>29334</v>
      </c>
      <c r="B10677" s="17" t="s">
        <v>70</v>
      </c>
      <c r="C10677" s="17" t="s">
        <v>71</v>
      </c>
      <c r="D10677" t="s">
        <v>20334</v>
      </c>
      <c r="F10677" t="s">
        <v>2267</v>
      </c>
      <c r="J10677" s="17" t="s">
        <v>29335</v>
      </c>
      <c r="K10677" s="18" t="s">
        <v>29336</v>
      </c>
      <c r="N10677" s="17" t="s">
        <v>77</v>
      </c>
      <c r="O10677" t="s">
        <v>199</v>
      </c>
      <c r="U10677" s="17"/>
      <c r="V10677" s="18" t="s">
        <v>29336</v>
      </c>
      <c r="W10677" t="s">
        <v>29337</v>
      </c>
      <c r="Y10677" t="s">
        <v>190</v>
      </c>
      <c r="AA10677" t="s">
        <v>118</v>
      </c>
      <c r="AB10677" t="s">
        <v>119</v>
      </c>
    </row>
    <row r="10678" ht="15" customHeight="1" spans="1:25" x14ac:dyDescent="0.25">
      <c r="A10678" s="17" t="s">
        <v>29338</v>
      </c>
      <c r="B10678" s="17" t="s">
        <v>70</v>
      </c>
      <c r="C10678" s="17" t="s">
        <v>71</v>
      </c>
      <c r="D10678" t="s">
        <v>20334</v>
      </c>
      <c r="F10678" t="s">
        <v>11388</v>
      </c>
      <c r="J10678" s="17" t="s">
        <v>29339</v>
      </c>
      <c r="K10678" s="18">
        <f>6281806007755</f>
        <v>6281806007755</v>
      </c>
      <c r="N10678" s="17" t="s">
        <v>77</v>
      </c>
      <c r="U10678" s="17"/>
      <c r="V10678" s="18">
        <f>6281806007755</f>
        <v>6281806007755</v>
      </c>
      <c r="W10678" t="s">
        <v>29340</v>
      </c>
      <c r="Y10678" s="17" t="s">
        <v>90</v>
      </c>
    </row>
    <row r="10679" ht="15" customHeight="1" spans="1:23" x14ac:dyDescent="0.25">
      <c r="A10679" s="17" t="s">
        <v>29341</v>
      </c>
      <c r="B10679" s="17" t="s">
        <v>70</v>
      </c>
      <c r="C10679" s="17" t="s">
        <v>71</v>
      </c>
      <c r="D10679" t="s">
        <v>20334</v>
      </c>
      <c r="F10679" t="s">
        <v>29342</v>
      </c>
      <c r="K10679" s="18">
        <f>6285232855566</f>
        <v>6285232855566</v>
      </c>
      <c r="N10679" s="17" t="s">
        <v>81</v>
      </c>
      <c r="U10679" s="17"/>
      <c r="V10679" s="18">
        <f>6285232855566</f>
        <v>6285232855566</v>
      </c>
      <c r="W10679" t="s">
        <v>29343</v>
      </c>
    </row>
    <row r="10680" ht="15" customHeight="1" spans="1:22" x14ac:dyDescent="0.25">
      <c r="A10680" s="17" t="s">
        <v>29344</v>
      </c>
      <c r="B10680" s="17" t="s">
        <v>70</v>
      </c>
      <c r="C10680" s="17" t="s">
        <v>71</v>
      </c>
      <c r="D10680" t="s">
        <v>20334</v>
      </c>
      <c r="F10680" t="s">
        <v>513</v>
      </c>
      <c r="K10680" s="18">
        <f>6287881397719</f>
        <v>6287881397719</v>
      </c>
      <c r="N10680" s="17" t="s">
        <v>77</v>
      </c>
      <c r="V10680" s="18">
        <f>6287881397719</f>
        <v>6287881397719</v>
      </c>
    </row>
    <row r="10681" ht="15" customHeight="1" spans="1:22" x14ac:dyDescent="0.25">
      <c r="A10681" s="17" t="s">
        <v>29345</v>
      </c>
      <c r="B10681" s="17" t="s">
        <v>70</v>
      </c>
      <c r="C10681" s="17" t="s">
        <v>71</v>
      </c>
      <c r="D10681" t="s">
        <v>29346</v>
      </c>
      <c r="F10681" t="s">
        <v>11494</v>
      </c>
      <c r="K10681" s="18">
        <f>6281901091122</f>
        <v>6281901091122</v>
      </c>
      <c r="N10681" s="17" t="s">
        <v>77</v>
      </c>
      <c r="V10681" s="18">
        <f>6281901091122</f>
        <v>6281901091122</v>
      </c>
    </row>
    <row r="10682" ht="15" customHeight="1" spans="1:22" x14ac:dyDescent="0.25">
      <c r="A10682" s="17" t="s">
        <v>29347</v>
      </c>
      <c r="B10682" s="17" t="s">
        <v>70</v>
      </c>
      <c r="C10682" s="17" t="s">
        <v>71</v>
      </c>
      <c r="D10682" t="s">
        <v>29348</v>
      </c>
      <c r="F10682" t="s">
        <v>4298</v>
      </c>
      <c r="K10682" s="18">
        <f>62217342789</f>
        <v>62217342789</v>
      </c>
      <c r="N10682" s="17" t="s">
        <v>74</v>
      </c>
      <c r="V10682" s="18">
        <f>62217342789</f>
        <v>62217342789</v>
      </c>
    </row>
    <row r="10683" ht="15" customHeight="1" spans="1:22" x14ac:dyDescent="0.25">
      <c r="A10683" s="17" t="s">
        <v>29349</v>
      </c>
      <c r="B10683" s="17" t="s">
        <v>70</v>
      </c>
      <c r="C10683" s="17" t="s">
        <v>71</v>
      </c>
      <c r="D10683" t="s">
        <v>29348</v>
      </c>
      <c r="F10683" t="s">
        <v>4298</v>
      </c>
      <c r="K10683" s="18">
        <f>628111681093</f>
        <v>628111681093</v>
      </c>
      <c r="N10683" s="17" t="s">
        <v>77</v>
      </c>
      <c r="V10683" s="18">
        <f>628111681093</f>
        <v>628111681093</v>
      </c>
    </row>
    <row r="10684" ht="15" customHeight="1" spans="1:28" x14ac:dyDescent="0.25">
      <c r="A10684" s="17" t="s">
        <v>29350</v>
      </c>
      <c r="B10684" s="17" t="s">
        <v>70</v>
      </c>
      <c r="C10684" s="17" t="s">
        <v>71</v>
      </c>
      <c r="D10684" t="s">
        <v>6774</v>
      </c>
      <c r="F10684" t="s">
        <v>29351</v>
      </c>
      <c r="J10684" t="s">
        <v>115</v>
      </c>
      <c r="K10684" s="18" t="s">
        <v>29352</v>
      </c>
      <c r="N10684" s="17" t="s">
        <v>81</v>
      </c>
      <c r="O10684" t="s">
        <v>117</v>
      </c>
      <c r="V10684" s="18" t="s">
        <v>29352</v>
      </c>
      <c r="Y10684" t="s">
        <v>90</v>
      </c>
      <c r="AA10684" t="s">
        <v>118</v>
      </c>
      <c r="AB10684" t="s">
        <v>119</v>
      </c>
    </row>
    <row r="10685" ht="15" customHeight="1" spans="1:22" x14ac:dyDescent="0.25">
      <c r="A10685" s="17" t="s">
        <v>29353</v>
      </c>
      <c r="B10685" s="17" t="s">
        <v>70</v>
      </c>
      <c r="C10685" s="17" t="s">
        <v>71</v>
      </c>
      <c r="D10685" t="s">
        <v>6774</v>
      </c>
      <c r="F10685" t="s">
        <v>29354</v>
      </c>
      <c r="K10685" s="18">
        <f>628122011192</f>
        <v>628122011192</v>
      </c>
      <c r="N10685" s="17" t="s">
        <v>77</v>
      </c>
      <c r="V10685" s="18">
        <f>628122011192</f>
        <v>628122011192</v>
      </c>
    </row>
    <row r="10686" ht="15" customHeight="1" spans="1:22" x14ac:dyDescent="0.25">
      <c r="A10686" s="17" t="s">
        <v>29355</v>
      </c>
      <c r="B10686" s="17" t="s">
        <v>70</v>
      </c>
      <c r="C10686" s="17" t="s">
        <v>71</v>
      </c>
      <c r="D10686" t="s">
        <v>19877</v>
      </c>
      <c r="F10686" t="s">
        <v>19877</v>
      </c>
      <c r="K10686" s="18">
        <f>628128677777</f>
        <v>628128677777</v>
      </c>
      <c r="N10686" s="17" t="s">
        <v>77</v>
      </c>
      <c r="V10686" s="18">
        <f>628128677777</f>
        <v>628128677777</v>
      </c>
    </row>
    <row r="10687" ht="15" customHeight="1" spans="1:22" x14ac:dyDescent="0.25">
      <c r="A10687" s="17" t="s">
        <v>29356</v>
      </c>
      <c r="B10687" s="17" t="s">
        <v>70</v>
      </c>
      <c r="C10687" s="17" t="s">
        <v>71</v>
      </c>
      <c r="D10687" t="s">
        <v>19877</v>
      </c>
      <c r="F10687" t="s">
        <v>16999</v>
      </c>
      <c r="K10687" s="18">
        <f>628119646884</f>
        <v>628119646884</v>
      </c>
      <c r="N10687" s="17" t="s">
        <v>81</v>
      </c>
      <c r="V10687" s="18">
        <f>628119646884</f>
        <v>628119646884</v>
      </c>
    </row>
    <row r="10688" ht="15" customHeight="1" spans="1:27" x14ac:dyDescent="0.25">
      <c r="A10688" s="17" t="s">
        <v>29357</v>
      </c>
      <c r="B10688" s="17" t="s">
        <v>70</v>
      </c>
      <c r="C10688" s="17" t="s">
        <v>71</v>
      </c>
      <c r="D10688" t="s">
        <v>19877</v>
      </c>
      <c r="F10688" t="s">
        <v>19876</v>
      </c>
      <c r="K10688" s="18">
        <f>6281310015522</f>
        <v>6281310015522</v>
      </c>
      <c r="N10688" s="17" t="s">
        <v>77</v>
      </c>
      <c r="U10688" s="17"/>
      <c r="V10688" s="18">
        <f>6281310015522</f>
        <v>6281310015522</v>
      </c>
      <c r="W10688" t="s">
        <v>29358</v>
      </c>
      <c r="Y10688" s="17" t="s">
        <v>1084</v>
      </c>
      <c r="AA10688" s="17" t="s">
        <v>29359</v>
      </c>
    </row>
    <row r="10689" ht="15" customHeight="1" spans="1:28" x14ac:dyDescent="0.25">
      <c r="A10689" s="17" t="s">
        <v>29360</v>
      </c>
      <c r="B10689" s="17" t="s">
        <v>70</v>
      </c>
      <c r="C10689" s="17" t="s">
        <v>71</v>
      </c>
      <c r="D10689" t="s">
        <v>19877</v>
      </c>
      <c r="F10689" t="s">
        <v>29361</v>
      </c>
      <c r="J10689" s="17" t="s">
        <v>29362</v>
      </c>
      <c r="K10689" s="18" t="s">
        <v>29363</v>
      </c>
      <c r="N10689" s="17" t="s">
        <v>81</v>
      </c>
      <c r="O10689" t="s">
        <v>117</v>
      </c>
      <c r="U10689" s="17"/>
      <c r="V10689" s="18" t="s">
        <v>29363</v>
      </c>
      <c r="W10689" t="s">
        <v>29364</v>
      </c>
      <c r="Y10689" t="s">
        <v>115</v>
      </c>
      <c r="AA10689" t="s">
        <v>115</v>
      </c>
      <c r="AB10689" t="s">
        <v>119</v>
      </c>
    </row>
    <row r="10690" ht="15" customHeight="1" spans="1:23" x14ac:dyDescent="0.25">
      <c r="A10690" s="17" t="s">
        <v>29365</v>
      </c>
      <c r="B10690" s="17" t="s">
        <v>70</v>
      </c>
      <c r="C10690" s="17" t="s">
        <v>71</v>
      </c>
      <c r="D10690" t="s">
        <v>19877</v>
      </c>
      <c r="F10690" t="s">
        <v>3672</v>
      </c>
      <c r="J10690" s="17" t="s">
        <v>29366</v>
      </c>
      <c r="K10690" s="18">
        <f>628114011007</f>
        <v>628114011007</v>
      </c>
      <c r="N10690" s="17" t="s">
        <v>81</v>
      </c>
      <c r="U10690" s="17"/>
      <c r="V10690" s="18">
        <f>628114011007</f>
        <v>628114011007</v>
      </c>
      <c r="W10690" t="s">
        <v>29367</v>
      </c>
    </row>
    <row r="10691" ht="15" customHeight="1" spans="1:22" x14ac:dyDescent="0.25">
      <c r="A10691" s="17" t="s">
        <v>29368</v>
      </c>
      <c r="B10691" s="17" t="s">
        <v>70</v>
      </c>
      <c r="C10691" s="17" t="s">
        <v>71</v>
      </c>
      <c r="D10691" t="s">
        <v>19877</v>
      </c>
      <c r="F10691" t="s">
        <v>20404</v>
      </c>
      <c r="K10691" s="18">
        <f>628161987900</f>
        <v>628161987900</v>
      </c>
      <c r="N10691" s="17" t="s">
        <v>74</v>
      </c>
      <c r="V10691" s="18">
        <f>628161987900</f>
        <v>628161987900</v>
      </c>
    </row>
    <row r="10692" ht="15" customHeight="1" spans="1:22" x14ac:dyDescent="0.25">
      <c r="A10692" s="17" t="s">
        <v>29369</v>
      </c>
      <c r="B10692" s="17" t="s">
        <v>70</v>
      </c>
      <c r="C10692" s="17" t="s">
        <v>71</v>
      </c>
      <c r="D10692" t="s">
        <v>19877</v>
      </c>
      <c r="F10692" t="s">
        <v>29370</v>
      </c>
      <c r="K10692" s="18">
        <f>62816852330</f>
        <v>62816852330</v>
      </c>
      <c r="N10692" s="17" t="s">
        <v>77</v>
      </c>
      <c r="V10692" s="18">
        <f>62816852330</f>
        <v>62816852330</v>
      </c>
    </row>
    <row r="10693" ht="15" customHeight="1" spans="1:28" x14ac:dyDescent="0.25">
      <c r="A10693" s="17" t="s">
        <v>29371</v>
      </c>
      <c r="B10693" s="17" t="s">
        <v>70</v>
      </c>
      <c r="C10693" s="17" t="s">
        <v>71</v>
      </c>
      <c r="D10693" t="s">
        <v>20336</v>
      </c>
      <c r="F10693" t="s">
        <v>29372</v>
      </c>
      <c r="J10693" t="s">
        <v>115</v>
      </c>
      <c r="K10693" s="18" t="s">
        <v>29373</v>
      </c>
      <c r="N10693" s="17" t="s">
        <v>77</v>
      </c>
      <c r="O10693" t="s">
        <v>199</v>
      </c>
      <c r="V10693" s="18" t="s">
        <v>29373</v>
      </c>
      <c r="Y10693" t="s">
        <v>190</v>
      </c>
      <c r="AA10693" t="s">
        <v>118</v>
      </c>
      <c r="AB10693" t="s">
        <v>119</v>
      </c>
    </row>
    <row r="10694" ht="15" customHeight="1" spans="1:27" x14ac:dyDescent="0.25">
      <c r="A10694" s="17" t="s">
        <v>29374</v>
      </c>
      <c r="B10694" s="17" t="s">
        <v>70</v>
      </c>
      <c r="C10694" s="17" t="s">
        <v>71</v>
      </c>
      <c r="D10694" t="s">
        <v>29375</v>
      </c>
      <c r="F10694" t="s">
        <v>29376</v>
      </c>
      <c r="K10694" s="18">
        <f>6281316615322</f>
        <v>6281316615322</v>
      </c>
      <c r="N10694" s="17" t="s">
        <v>77</v>
      </c>
      <c r="U10694" s="17"/>
      <c r="V10694" s="18">
        <f>6281316615322</f>
        <v>6281316615322</v>
      </c>
      <c r="W10694" t="s">
        <v>29377</v>
      </c>
      <c r="Y10694" s="17" t="s">
        <v>90</v>
      </c>
      <c r="AA10694" s="17">
        <v>10401</v>
      </c>
    </row>
    <row r="10695" ht="15" customHeight="1" spans="1:28" x14ac:dyDescent="0.25">
      <c r="A10695" s="17" t="s">
        <v>29378</v>
      </c>
      <c r="B10695" s="17" t="s">
        <v>70</v>
      </c>
      <c r="C10695" s="17" t="s">
        <v>71</v>
      </c>
      <c r="D10695" t="s">
        <v>29379</v>
      </c>
      <c r="F10695" t="s">
        <v>29380</v>
      </c>
      <c r="J10695" t="s">
        <v>115</v>
      </c>
      <c r="K10695" s="18" t="s">
        <v>29381</v>
      </c>
      <c r="N10695" s="17" t="s">
        <v>77</v>
      </c>
      <c r="O10695" t="s">
        <v>489</v>
      </c>
      <c r="U10695" s="17"/>
      <c r="V10695" s="18" t="s">
        <v>29381</v>
      </c>
      <c r="W10695" t="s">
        <v>4036</v>
      </c>
      <c r="Y10695" t="s">
        <v>4036</v>
      </c>
      <c r="AA10695" t="s">
        <v>115</v>
      </c>
      <c r="AB10695" t="s">
        <v>4036</v>
      </c>
    </row>
    <row r="10696" ht="15" customHeight="1" spans="1:25" x14ac:dyDescent="0.25">
      <c r="A10696" s="17" t="s">
        <v>29382</v>
      </c>
      <c r="B10696" s="17" t="s">
        <v>70</v>
      </c>
      <c r="C10696" s="17" t="s">
        <v>71</v>
      </c>
      <c r="D10696" t="s">
        <v>29383</v>
      </c>
      <c r="F10696" t="s">
        <v>150</v>
      </c>
      <c r="J10696" s="17" t="s">
        <v>29384</v>
      </c>
      <c r="K10696" s="18">
        <f>6289693888810</f>
        <v>6289693888810</v>
      </c>
      <c r="N10696" s="17" t="s">
        <v>77</v>
      </c>
      <c r="U10696" s="17"/>
      <c r="V10696" s="18">
        <f>6289693888810</f>
        <v>6289693888810</v>
      </c>
      <c r="W10696" t="s">
        <v>29385</v>
      </c>
      <c r="Y10696" s="17" t="s">
        <v>90</v>
      </c>
    </row>
    <row r="10697" ht="15" customHeight="1" spans="1:22" x14ac:dyDescent="0.25">
      <c r="A10697" s="17" t="s">
        <v>29386</v>
      </c>
      <c r="B10697" s="17" t="s">
        <v>70</v>
      </c>
      <c r="C10697" s="17" t="s">
        <v>71</v>
      </c>
      <c r="D10697" t="s">
        <v>29387</v>
      </c>
      <c r="F10697" t="s">
        <v>1589</v>
      </c>
      <c r="K10697" s="18">
        <f>6281327655427</f>
        <v>6281327655427</v>
      </c>
      <c r="N10697" s="17" t="s">
        <v>77</v>
      </c>
      <c r="V10697" s="18">
        <f>6281327655427</f>
        <v>6281327655427</v>
      </c>
    </row>
    <row r="10698" ht="15" customHeight="1" spans="1:22" x14ac:dyDescent="0.25">
      <c r="A10698" s="17" t="s">
        <v>29388</v>
      </c>
      <c r="B10698" s="17" t="s">
        <v>70</v>
      </c>
      <c r="C10698" s="17" t="s">
        <v>71</v>
      </c>
      <c r="D10698" t="s">
        <v>29389</v>
      </c>
      <c r="F10698" t="s">
        <v>29390</v>
      </c>
      <c r="K10698" s="18">
        <f>628170777877</f>
        <v>628170777877</v>
      </c>
      <c r="N10698" s="17" t="s">
        <v>81</v>
      </c>
      <c r="V10698" s="18">
        <f>628170777877</f>
        <v>628170777877</v>
      </c>
    </row>
    <row r="10699" ht="15" customHeight="1" spans="1:28" x14ac:dyDescent="0.25">
      <c r="A10699" s="17" t="s">
        <v>29391</v>
      </c>
      <c r="B10699" s="17" t="s">
        <v>70</v>
      </c>
      <c r="C10699" s="17" t="s">
        <v>71</v>
      </c>
      <c r="D10699" t="s">
        <v>29392</v>
      </c>
      <c r="F10699" t="s">
        <v>29393</v>
      </c>
      <c r="J10699" t="s">
        <v>115</v>
      </c>
      <c r="K10699" s="18" t="s">
        <v>29394</v>
      </c>
      <c r="N10699" s="17" t="s">
        <v>81</v>
      </c>
      <c r="O10699" t="s">
        <v>117</v>
      </c>
      <c r="V10699" s="18" t="s">
        <v>29394</v>
      </c>
      <c r="Y10699" t="s">
        <v>90</v>
      </c>
      <c r="AA10699" t="s">
        <v>118</v>
      </c>
      <c r="AB10699" t="s">
        <v>119</v>
      </c>
    </row>
    <row r="10700" ht="15" customHeight="1" spans="1:22" x14ac:dyDescent="0.25">
      <c r="A10700" s="17" t="s">
        <v>29395</v>
      </c>
      <c r="B10700" s="17" t="s">
        <v>70</v>
      </c>
      <c r="C10700" s="17" t="s">
        <v>71</v>
      </c>
      <c r="D10700" t="s">
        <v>29396</v>
      </c>
      <c r="F10700" t="s">
        <v>29396</v>
      </c>
      <c r="K10700" s="18">
        <f>628118022612</f>
        <v>628118022612</v>
      </c>
      <c r="N10700" s="17" t="s">
        <v>81</v>
      </c>
      <c r="V10700" s="18">
        <f>628118022612</f>
        <v>628118022612</v>
      </c>
    </row>
    <row r="10701" ht="15" customHeight="1" spans="1:22" x14ac:dyDescent="0.25">
      <c r="A10701" s="17" t="s">
        <v>29397</v>
      </c>
      <c r="B10701" s="17" t="s">
        <v>70</v>
      </c>
      <c r="C10701" s="17" t="s">
        <v>71</v>
      </c>
      <c r="D10701" t="s">
        <v>29398</v>
      </c>
      <c r="F10701" t="s">
        <v>29399</v>
      </c>
      <c r="K10701" s="18">
        <f>628161884902</f>
        <v>628161884902</v>
      </c>
      <c r="N10701" s="17" t="s">
        <v>81</v>
      </c>
      <c r="V10701" s="18">
        <f>628161884902</f>
        <v>628161884902</v>
      </c>
    </row>
    <row r="10702" ht="15" customHeight="1" spans="1:28" x14ac:dyDescent="0.25">
      <c r="A10702" s="17" t="s">
        <v>29400</v>
      </c>
      <c r="B10702" s="17" t="s">
        <v>70</v>
      </c>
      <c r="C10702" s="17" t="s">
        <v>71</v>
      </c>
      <c r="D10702" t="s">
        <v>29401</v>
      </c>
      <c r="F10702" t="s">
        <v>29402</v>
      </c>
      <c r="J10702" s="17" t="s">
        <v>29403</v>
      </c>
      <c r="K10702" s="18" t="s">
        <v>29404</v>
      </c>
      <c r="N10702" s="17" t="s">
        <v>77</v>
      </c>
      <c r="O10702" t="s">
        <v>261</v>
      </c>
      <c r="U10702" s="17"/>
      <c r="V10702" s="18" t="s">
        <v>29404</v>
      </c>
      <c r="W10702" t="s">
        <v>29405</v>
      </c>
      <c r="Y10702" t="s">
        <v>90</v>
      </c>
      <c r="AA10702" t="s">
        <v>118</v>
      </c>
      <c r="AB10702" t="s">
        <v>119</v>
      </c>
    </row>
    <row r="10703" ht="15" customHeight="1" spans="1:22" x14ac:dyDescent="0.25">
      <c r="A10703" s="17" t="s">
        <v>29406</v>
      </c>
      <c r="B10703" s="17" t="s">
        <v>70</v>
      </c>
      <c r="C10703" s="17" t="s">
        <v>71</v>
      </c>
      <c r="D10703" t="s">
        <v>29407</v>
      </c>
      <c r="F10703" t="s">
        <v>29407</v>
      </c>
      <c r="K10703" s="18">
        <f>62811885999</f>
        <v>62811885999</v>
      </c>
      <c r="N10703" s="17" t="s">
        <v>81</v>
      </c>
      <c r="V10703" s="18">
        <f>62811885999</f>
        <v>62811885999</v>
      </c>
    </row>
    <row r="10704" ht="15" customHeight="1" spans="1:28" x14ac:dyDescent="0.25">
      <c r="A10704" s="17" t="s">
        <v>29408</v>
      </c>
      <c r="B10704" s="17" t="s">
        <v>70</v>
      </c>
      <c r="C10704" s="17" t="s">
        <v>71</v>
      </c>
      <c r="D10704" t="s">
        <v>29409</v>
      </c>
      <c r="F10704" t="s">
        <v>21059</v>
      </c>
      <c r="J10704" t="s">
        <v>29410</v>
      </c>
      <c r="K10704" s="18" t="s">
        <v>29411</v>
      </c>
      <c r="N10704" s="17" t="s">
        <v>81</v>
      </c>
      <c r="O10704" t="s">
        <v>117</v>
      </c>
      <c r="V10704" s="18" t="s">
        <v>29411</v>
      </c>
      <c r="Y10704" t="s">
        <v>3048</v>
      </c>
      <c r="AA10704" t="s">
        <v>115</v>
      </c>
      <c r="AB10704" t="s">
        <v>119</v>
      </c>
    </row>
    <row r="10705" ht="15" customHeight="1" spans="1:28" x14ac:dyDescent="0.25">
      <c r="A10705" s="17" t="s">
        <v>29412</v>
      </c>
      <c r="B10705" s="17" t="s">
        <v>70</v>
      </c>
      <c r="C10705" s="17" t="s">
        <v>71</v>
      </c>
      <c r="D10705" t="s">
        <v>29413</v>
      </c>
      <c r="F10705" t="s">
        <v>29414</v>
      </c>
      <c r="J10705" s="17" t="s">
        <v>29415</v>
      </c>
      <c r="K10705" s="18" t="s">
        <v>29416</v>
      </c>
      <c r="N10705" s="17" t="s">
        <v>77</v>
      </c>
      <c r="O10705" t="s">
        <v>261</v>
      </c>
      <c r="U10705" s="17"/>
      <c r="V10705" s="18" t="s">
        <v>29416</v>
      </c>
      <c r="W10705" t="s">
        <v>29417</v>
      </c>
      <c r="Y10705" t="s">
        <v>90</v>
      </c>
      <c r="AA10705" t="s">
        <v>118</v>
      </c>
      <c r="AB10705" t="s">
        <v>119</v>
      </c>
    </row>
    <row r="10706" ht="15" customHeight="1" spans="1:22" x14ac:dyDescent="0.25">
      <c r="A10706" s="17" t="s">
        <v>29418</v>
      </c>
      <c r="B10706" s="17" t="s">
        <v>70</v>
      </c>
      <c r="C10706" s="17" t="s">
        <v>71</v>
      </c>
      <c r="D10706" t="s">
        <v>2459</v>
      </c>
      <c r="F10706" t="s">
        <v>2459</v>
      </c>
      <c r="K10706" s="18">
        <f>60127356741</f>
        <v>60127356741</v>
      </c>
      <c r="N10706" s="17" t="s">
        <v>77</v>
      </c>
      <c r="V10706" s="18">
        <f>60127356741</f>
        <v>60127356741</v>
      </c>
    </row>
    <row r="10707" ht="15" customHeight="1" spans="1:22" x14ac:dyDescent="0.25">
      <c r="A10707" s="17" t="s">
        <v>29419</v>
      </c>
      <c r="B10707" s="17" t="s">
        <v>70</v>
      </c>
      <c r="C10707" s="17" t="s">
        <v>71</v>
      </c>
      <c r="D10707" t="s">
        <v>29420</v>
      </c>
      <c r="F10707" t="s">
        <v>29421</v>
      </c>
      <c r="J10707" s="17" t="s">
        <v>29422</v>
      </c>
      <c r="K10707" s="18">
        <f>6282112771921</f>
        <v>6282112771921</v>
      </c>
      <c r="N10707" s="17" t="s">
        <v>77</v>
      </c>
      <c r="V10707" s="18">
        <f>6282112771921</f>
        <v>6282112771921</v>
      </c>
    </row>
    <row r="10708" ht="15" customHeight="1" spans="1:28" x14ac:dyDescent="0.25">
      <c r="A10708" s="17" t="s">
        <v>29423</v>
      </c>
      <c r="B10708" s="17" t="s">
        <v>70</v>
      </c>
      <c r="C10708" s="17" t="s">
        <v>71</v>
      </c>
      <c r="D10708" t="s">
        <v>29424</v>
      </c>
      <c r="F10708" t="s">
        <v>9486</v>
      </c>
      <c r="J10708" t="s">
        <v>29425</v>
      </c>
      <c r="K10708" s="18" t="s">
        <v>29426</v>
      </c>
      <c r="N10708" s="17" t="s">
        <v>77</v>
      </c>
      <c r="O10708" t="s">
        <v>145</v>
      </c>
      <c r="U10708" s="17"/>
      <c r="V10708" s="18" t="s">
        <v>29426</v>
      </c>
      <c r="W10708" t="s">
        <v>9329</v>
      </c>
      <c r="Y10708" t="s">
        <v>190</v>
      </c>
      <c r="AA10708" t="s">
        <v>118</v>
      </c>
      <c r="AB10708" t="s">
        <v>119</v>
      </c>
    </row>
    <row r="10709" ht="15" customHeight="1" spans="1:22" x14ac:dyDescent="0.25">
      <c r="A10709" s="17" t="s">
        <v>29427</v>
      </c>
      <c r="B10709" s="17" t="s">
        <v>70</v>
      </c>
      <c r="C10709" s="17" t="s">
        <v>71</v>
      </c>
      <c r="D10709" t="s">
        <v>29428</v>
      </c>
      <c r="F10709" t="s">
        <v>29428</v>
      </c>
      <c r="K10709" s="18">
        <f>62811994211</f>
        <v>62811994211</v>
      </c>
      <c r="N10709" s="17" t="s">
        <v>81</v>
      </c>
      <c r="V10709" s="18">
        <f>62811994211</f>
        <v>62811994211</v>
      </c>
    </row>
    <row r="10710" ht="15" customHeight="1" spans="1:22" x14ac:dyDescent="0.25">
      <c r="A10710" s="17" t="s">
        <v>29429</v>
      </c>
      <c r="B10710" s="17" t="s">
        <v>70</v>
      </c>
      <c r="C10710" s="17" t="s">
        <v>71</v>
      </c>
      <c r="D10710" t="s">
        <v>29430</v>
      </c>
      <c r="F10710" t="s">
        <v>29431</v>
      </c>
      <c r="K10710" s="18">
        <f>628111200383</f>
        <v>628111200383</v>
      </c>
      <c r="N10710" s="17" t="s">
        <v>81</v>
      </c>
      <c r="V10710" s="18">
        <f>628111200383</f>
        <v>628111200383</v>
      </c>
    </row>
    <row r="10711" ht="15" customHeight="1" spans="1:23" x14ac:dyDescent="0.25">
      <c r="A10711" s="17" t="s">
        <v>29432</v>
      </c>
      <c r="B10711" s="17" t="s">
        <v>70</v>
      </c>
      <c r="C10711" s="17" t="s">
        <v>71</v>
      </c>
      <c r="D10711" t="s">
        <v>29433</v>
      </c>
      <c r="F10711" t="s">
        <v>10551</v>
      </c>
      <c r="J10711" s="17" t="s">
        <v>29434</v>
      </c>
      <c r="K10711" s="18">
        <f>6281290931106</f>
        <v>6281290931106</v>
      </c>
      <c r="N10711" s="17" t="s">
        <v>81</v>
      </c>
      <c r="U10711" s="17"/>
      <c r="V10711" s="18">
        <f>6281290931106</f>
        <v>6281290931106</v>
      </c>
      <c r="W10711" t="s">
        <v>29435</v>
      </c>
    </row>
    <row r="10712" ht="15" customHeight="1" spans="1:28" x14ac:dyDescent="0.25">
      <c r="A10712" s="17" t="s">
        <v>29436</v>
      </c>
      <c r="B10712" s="17" t="s">
        <v>70</v>
      </c>
      <c r="C10712" s="17" t="s">
        <v>71</v>
      </c>
      <c r="D10712" t="s">
        <v>29437</v>
      </c>
      <c r="F10712" t="s">
        <v>29438</v>
      </c>
      <c r="J10712" s="17" t="s">
        <v>29439</v>
      </c>
      <c r="K10712" s="18" t="s">
        <v>29440</v>
      </c>
      <c r="N10712" s="17" t="s">
        <v>77</v>
      </c>
      <c r="O10712" t="s">
        <v>145</v>
      </c>
      <c r="U10712" s="17"/>
      <c r="V10712" s="18" t="s">
        <v>29440</v>
      </c>
      <c r="W10712" t="s">
        <v>8563</v>
      </c>
      <c r="Y10712" t="s">
        <v>29441</v>
      </c>
      <c r="AA10712" t="s">
        <v>115</v>
      </c>
      <c r="AB10712" t="s">
        <v>119</v>
      </c>
    </row>
    <row r="10713" ht="15" customHeight="1" spans="1:22" x14ac:dyDescent="0.25">
      <c r="A10713" s="17" t="s">
        <v>29442</v>
      </c>
      <c r="B10713" s="17" t="s">
        <v>70</v>
      </c>
      <c r="C10713" s="17" t="s">
        <v>71</v>
      </c>
      <c r="D10713" t="s">
        <v>29443</v>
      </c>
      <c r="F10713" t="s">
        <v>29444</v>
      </c>
      <c r="K10713" s="18">
        <f>62811985446</f>
        <v>62811985446</v>
      </c>
      <c r="N10713" s="17" t="s">
        <v>77</v>
      </c>
      <c r="V10713" s="18">
        <f>62811985446</f>
        <v>62811985446</v>
      </c>
    </row>
    <row r="10714" ht="15" customHeight="1" spans="1:22" x14ac:dyDescent="0.25">
      <c r="A10714" s="17" t="s">
        <v>29445</v>
      </c>
      <c r="B10714" s="17" t="s">
        <v>70</v>
      </c>
      <c r="C10714" s="17" t="s">
        <v>71</v>
      </c>
      <c r="D10714" t="s">
        <v>29446</v>
      </c>
      <c r="F10714" t="s">
        <v>29446</v>
      </c>
      <c r="K10714" s="18">
        <f>6281389905151</f>
        <v>6281389905151</v>
      </c>
      <c r="N10714" s="17" t="s">
        <v>77</v>
      </c>
      <c r="V10714" s="18">
        <f>6281389905151</f>
        <v>6281389905151</v>
      </c>
    </row>
    <row r="10715" ht="15" customHeight="1" spans="1:22" x14ac:dyDescent="0.25">
      <c r="A10715" s="17" t="s">
        <v>29447</v>
      </c>
      <c r="B10715" s="17" t="s">
        <v>70</v>
      </c>
      <c r="C10715" s="17" t="s">
        <v>71</v>
      </c>
      <c r="D10715" t="s">
        <v>29448</v>
      </c>
      <c r="F10715" t="s">
        <v>29448</v>
      </c>
      <c r="K10715" s="18">
        <f>62816868932</f>
        <v>62816868932</v>
      </c>
      <c r="N10715" s="17" t="s">
        <v>81</v>
      </c>
      <c r="V10715" s="18">
        <f>62816868932</f>
        <v>62816868932</v>
      </c>
    </row>
    <row r="10716" ht="15" customHeight="1" spans="1:22" x14ac:dyDescent="0.25">
      <c r="A10716" s="17" t="s">
        <v>29449</v>
      </c>
      <c r="B10716" s="17" t="s">
        <v>70</v>
      </c>
      <c r="C10716" s="17" t="s">
        <v>71</v>
      </c>
      <c r="D10716" t="s">
        <v>29450</v>
      </c>
      <c r="F10716" t="s">
        <v>1147</v>
      </c>
      <c r="K10716" s="18">
        <f>6281510469995</f>
        <v>6281510469995</v>
      </c>
      <c r="N10716" s="17" t="s">
        <v>77</v>
      </c>
      <c r="V10716" s="18">
        <f>6281510469995</f>
        <v>6281510469995</v>
      </c>
    </row>
    <row r="10717" ht="15" customHeight="1" spans="1:23" x14ac:dyDescent="0.25">
      <c r="A10717" s="17" t="s">
        <v>29451</v>
      </c>
      <c r="B10717" s="17" t="s">
        <v>70</v>
      </c>
      <c r="C10717" s="17" t="s">
        <v>71</v>
      </c>
      <c r="D10717" t="s">
        <v>29452</v>
      </c>
      <c r="F10717" t="s">
        <v>4298</v>
      </c>
      <c r="K10717" s="18">
        <f>62811902363</f>
        <v>62811902363</v>
      </c>
      <c r="N10717" s="17" t="s">
        <v>81</v>
      </c>
      <c r="U10717" s="17"/>
      <c r="V10717" s="18">
        <f>62811902363</f>
        <v>62811902363</v>
      </c>
      <c r="W10717" t="s">
        <v>29453</v>
      </c>
    </row>
    <row r="10718" ht="15" customHeight="1" spans="1:22" x14ac:dyDescent="0.25">
      <c r="A10718" s="17" t="s">
        <v>29454</v>
      </c>
      <c r="B10718" s="17" t="s">
        <v>70</v>
      </c>
      <c r="C10718" s="17" t="s">
        <v>71</v>
      </c>
      <c r="D10718" t="s">
        <v>29455</v>
      </c>
      <c r="F10718" t="s">
        <v>29455</v>
      </c>
      <c r="K10718" s="18">
        <f>6282165010786</f>
        <v>6282165010786</v>
      </c>
      <c r="N10718" s="17" t="s">
        <v>77</v>
      </c>
      <c r="V10718" s="18">
        <f>6282165010786</f>
        <v>6282165010786</v>
      </c>
    </row>
    <row r="10719" ht="15" customHeight="1" spans="1:22" x14ac:dyDescent="0.25">
      <c r="A10719" s="17" t="s">
        <v>29456</v>
      </c>
      <c r="B10719" s="17" t="s">
        <v>70</v>
      </c>
      <c r="C10719" s="17" t="s">
        <v>71</v>
      </c>
      <c r="D10719" t="s">
        <v>29455</v>
      </c>
      <c r="F10719" t="s">
        <v>6198</v>
      </c>
      <c r="K10719" s="18">
        <f>628125606027</f>
        <v>628125606027</v>
      </c>
      <c r="N10719" s="17" t="s">
        <v>81</v>
      </c>
      <c r="V10719" s="18">
        <f>628125606027</f>
        <v>628125606027</v>
      </c>
    </row>
    <row r="10720" ht="15" customHeight="1" spans="1:28" x14ac:dyDescent="0.25">
      <c r="A10720" s="17" t="s">
        <v>29457</v>
      </c>
      <c r="B10720" s="17" t="s">
        <v>70</v>
      </c>
      <c r="C10720" s="17" t="s">
        <v>71</v>
      </c>
      <c r="D10720" t="s">
        <v>29455</v>
      </c>
      <c r="F10720" t="s">
        <v>7281</v>
      </c>
      <c r="J10720" t="s">
        <v>115</v>
      </c>
      <c r="K10720" s="18" t="s">
        <v>29458</v>
      </c>
      <c r="N10720" s="17" t="s">
        <v>81</v>
      </c>
      <c r="O10720" t="s">
        <v>489</v>
      </c>
      <c r="V10720" s="18" t="s">
        <v>29458</v>
      </c>
      <c r="Y10720" t="s">
        <v>90</v>
      </c>
      <c r="AA10720" t="s">
        <v>118</v>
      </c>
      <c r="AB10720" t="s">
        <v>119</v>
      </c>
    </row>
    <row r="10721" ht="15" customHeight="1" spans="1:28" x14ac:dyDescent="0.25">
      <c r="A10721" s="17" t="s">
        <v>29459</v>
      </c>
      <c r="B10721" s="17" t="s">
        <v>70</v>
      </c>
      <c r="C10721" s="17" t="s">
        <v>71</v>
      </c>
      <c r="D10721" t="s">
        <v>29455</v>
      </c>
      <c r="F10721" t="s">
        <v>29460</v>
      </c>
      <c r="J10721" s="17" t="s">
        <v>29461</v>
      </c>
      <c r="K10721" s="18" t="s">
        <v>29462</v>
      </c>
      <c r="N10721" s="17" t="s">
        <v>77</v>
      </c>
      <c r="O10721" t="s">
        <v>199</v>
      </c>
      <c r="V10721" s="18" t="s">
        <v>29462</v>
      </c>
      <c r="Y10721" t="s">
        <v>90</v>
      </c>
      <c r="AA10721" t="s">
        <v>118</v>
      </c>
      <c r="AB10721" t="s">
        <v>119</v>
      </c>
    </row>
    <row r="10722" ht="15" customHeight="1" spans="1:28" x14ac:dyDescent="0.25">
      <c r="A10722" s="17" t="s">
        <v>29463</v>
      </c>
      <c r="B10722" s="17" t="s">
        <v>70</v>
      </c>
      <c r="C10722" s="17" t="s">
        <v>71</v>
      </c>
      <c r="D10722" t="s">
        <v>29455</v>
      </c>
      <c r="F10722" t="s">
        <v>14357</v>
      </c>
      <c r="J10722" t="s">
        <v>115</v>
      </c>
      <c r="K10722" s="18" t="s">
        <v>29464</v>
      </c>
      <c r="N10722" s="17" t="s">
        <v>81</v>
      </c>
      <c r="O10722" t="s">
        <v>117</v>
      </c>
      <c r="V10722" s="18" t="s">
        <v>29464</v>
      </c>
      <c r="Y10722" t="s">
        <v>90</v>
      </c>
      <c r="AA10722" t="s">
        <v>118</v>
      </c>
      <c r="AB10722" t="s">
        <v>119</v>
      </c>
    </row>
    <row r="10723" ht="15" customHeight="1" spans="1:22" x14ac:dyDescent="0.25">
      <c r="A10723" s="17" t="s">
        <v>29465</v>
      </c>
      <c r="B10723" s="17" t="s">
        <v>70</v>
      </c>
      <c r="C10723" s="17" t="s">
        <v>71</v>
      </c>
      <c r="D10723" t="s">
        <v>29455</v>
      </c>
      <c r="F10723" t="s">
        <v>14357</v>
      </c>
      <c r="K10723" s="18">
        <f>628111041368</f>
        <v>628111041368</v>
      </c>
      <c r="N10723" s="17" t="s">
        <v>77</v>
      </c>
      <c r="V10723" s="18">
        <f>628111041368</f>
        <v>628111041368</v>
      </c>
    </row>
    <row r="10724" ht="15" customHeight="1" spans="1:22" x14ac:dyDescent="0.25">
      <c r="A10724" s="17" t="s">
        <v>29466</v>
      </c>
      <c r="B10724" s="17" t="s">
        <v>70</v>
      </c>
      <c r="C10724" s="17" t="s">
        <v>71</v>
      </c>
      <c r="D10724" t="s">
        <v>29455</v>
      </c>
      <c r="F10724" t="s">
        <v>3585</v>
      </c>
      <c r="J10724" s="17" t="s">
        <v>29467</v>
      </c>
      <c r="K10724" s="18">
        <f>628126221518</f>
        <v>628126221518</v>
      </c>
      <c r="N10724" s="17" t="s">
        <v>77</v>
      </c>
      <c r="V10724" s="18">
        <f>628126221518</f>
        <v>628126221518</v>
      </c>
    </row>
    <row r="10725" ht="15" customHeight="1" spans="1:22" x14ac:dyDescent="0.25">
      <c r="A10725" s="17" t="s">
        <v>29468</v>
      </c>
      <c r="B10725" s="17" t="s">
        <v>70</v>
      </c>
      <c r="C10725" s="17" t="s">
        <v>71</v>
      </c>
      <c r="D10725" t="s">
        <v>29469</v>
      </c>
      <c r="F10725" t="s">
        <v>29470</v>
      </c>
      <c r="K10725" s="18">
        <f>6281243112223</f>
        <v>6281243112223</v>
      </c>
      <c r="N10725" s="17" t="s">
        <v>77</v>
      </c>
      <c r="V10725" s="18">
        <f>6281243112223</f>
        <v>6281243112223</v>
      </c>
    </row>
    <row r="10726" ht="15" customHeight="1" spans="1:23" x14ac:dyDescent="0.25">
      <c r="A10726" s="17" t="s">
        <v>29471</v>
      </c>
      <c r="B10726" s="17" t="s">
        <v>70</v>
      </c>
      <c r="C10726" s="17" t="s">
        <v>71</v>
      </c>
      <c r="D10726" t="s">
        <v>29469</v>
      </c>
      <c r="F10726" t="s">
        <v>29472</v>
      </c>
      <c r="J10726" s="17" t="s">
        <v>29473</v>
      </c>
      <c r="K10726" s="18">
        <f>16463055143</f>
        <v>16463055143</v>
      </c>
      <c r="N10726" s="17" t="s">
        <v>77</v>
      </c>
      <c r="U10726" s="17"/>
      <c r="V10726" s="18">
        <f>16463055143</f>
        <v>16463055143</v>
      </c>
      <c r="W10726" t="s">
        <v>29474</v>
      </c>
    </row>
    <row r="10727" ht="15" customHeight="1" spans="1:22" x14ac:dyDescent="0.25">
      <c r="A10727" s="17" t="s">
        <v>29475</v>
      </c>
      <c r="B10727" s="17" t="s">
        <v>70</v>
      </c>
      <c r="C10727" s="17" t="s">
        <v>71</v>
      </c>
      <c r="D10727" t="s">
        <v>29476</v>
      </c>
      <c r="F10727" t="s">
        <v>29477</v>
      </c>
      <c r="K10727" s="18">
        <f>6281311030162</f>
        <v>6281311030162</v>
      </c>
      <c r="N10727" s="17" t="s">
        <v>74</v>
      </c>
      <c r="V10727" s="18">
        <f>6281311030162</f>
        <v>6281311030162</v>
      </c>
    </row>
    <row r="10728" ht="15" customHeight="1" spans="1:22" x14ac:dyDescent="0.25">
      <c r="A10728" s="17" t="s">
        <v>29478</v>
      </c>
      <c r="B10728" s="17" t="s">
        <v>70</v>
      </c>
      <c r="C10728" s="17" t="s">
        <v>71</v>
      </c>
      <c r="D10728" t="s">
        <v>29476</v>
      </c>
      <c r="F10728" t="s">
        <v>27774</v>
      </c>
      <c r="K10728" s="18">
        <f>6281210093311</f>
        <v>6281210093311</v>
      </c>
      <c r="N10728" s="17" t="s">
        <v>77</v>
      </c>
      <c r="V10728" s="18">
        <f>6281210093311</f>
        <v>6281210093311</v>
      </c>
    </row>
    <row r="10729" ht="15" customHeight="1" spans="1:25" x14ac:dyDescent="0.25">
      <c r="A10729" s="17" t="s">
        <v>29479</v>
      </c>
      <c r="B10729" s="17" t="s">
        <v>70</v>
      </c>
      <c r="C10729" s="17" t="s">
        <v>71</v>
      </c>
      <c r="D10729" t="s">
        <v>29476</v>
      </c>
      <c r="F10729" t="s">
        <v>16349</v>
      </c>
      <c r="K10729" s="18">
        <f>6282123083939</f>
        <v>6282123083939</v>
      </c>
      <c r="N10729" s="17" t="s">
        <v>81</v>
      </c>
      <c r="U10729" s="17"/>
      <c r="V10729" s="18">
        <f>6282123083939</f>
        <v>6282123083939</v>
      </c>
      <c r="W10729" t="s">
        <v>29480</v>
      </c>
      <c r="Y10729" s="17" t="s">
        <v>29481</v>
      </c>
    </row>
    <row r="10730" ht="15" customHeight="1" spans="1:28" x14ac:dyDescent="0.25">
      <c r="A10730" s="17" t="s">
        <v>29482</v>
      </c>
      <c r="B10730" s="17" t="s">
        <v>70</v>
      </c>
      <c r="C10730" s="17" t="s">
        <v>71</v>
      </c>
      <c r="D10730" t="s">
        <v>29483</v>
      </c>
      <c r="F10730" t="s">
        <v>16349</v>
      </c>
      <c r="J10730" t="s">
        <v>115</v>
      </c>
      <c r="K10730" s="18" t="s">
        <v>29484</v>
      </c>
      <c r="N10730" s="17" t="s">
        <v>81</v>
      </c>
      <c r="O10730" t="s">
        <v>261</v>
      </c>
      <c r="U10730" s="17"/>
      <c r="V10730" s="18" t="s">
        <v>29484</v>
      </c>
      <c r="W10730" t="s">
        <v>29485</v>
      </c>
      <c r="Y10730" s="17" t="s">
        <v>5054</v>
      </c>
      <c r="AA10730" t="s">
        <v>115</v>
      </c>
      <c r="AB10730" t="s">
        <v>119</v>
      </c>
    </row>
    <row r="10731" ht="15" customHeight="1" spans="1:28" x14ac:dyDescent="0.25">
      <c r="A10731" s="17" t="s">
        <v>29486</v>
      </c>
      <c r="B10731" s="17" t="s">
        <v>70</v>
      </c>
      <c r="C10731" s="17" t="s">
        <v>71</v>
      </c>
      <c r="D10731" t="s">
        <v>29487</v>
      </c>
      <c r="F10731" t="s">
        <v>24998</v>
      </c>
      <c r="J10731" t="s">
        <v>115</v>
      </c>
      <c r="K10731" s="18" t="s">
        <v>29488</v>
      </c>
      <c r="N10731" s="17" t="s">
        <v>77</v>
      </c>
      <c r="O10731" t="s">
        <v>261</v>
      </c>
      <c r="U10731" s="17"/>
      <c r="V10731" s="18" t="s">
        <v>29488</v>
      </c>
      <c r="W10731" t="s">
        <v>29489</v>
      </c>
      <c r="Y10731" t="s">
        <v>115</v>
      </c>
      <c r="AA10731" t="s">
        <v>115</v>
      </c>
      <c r="AB10731" t="s">
        <v>119</v>
      </c>
    </row>
    <row r="10732" ht="15" customHeight="1" spans="1:22" x14ac:dyDescent="0.25">
      <c r="A10732" s="17" t="s">
        <v>29490</v>
      </c>
      <c r="B10732" s="17" t="s">
        <v>70</v>
      </c>
      <c r="C10732" s="17" t="s">
        <v>71</v>
      </c>
      <c r="D10732" t="s">
        <v>29491</v>
      </c>
      <c r="F10732" t="s">
        <v>29491</v>
      </c>
      <c r="K10732" s="18">
        <f>628119304487</f>
        <v>628119304487</v>
      </c>
      <c r="N10732" s="17" t="s">
        <v>81</v>
      </c>
      <c r="V10732" s="18">
        <f>628119304487</f>
        <v>628119304487</v>
      </c>
    </row>
    <row r="10733" ht="15" customHeight="1" spans="1:22" x14ac:dyDescent="0.25">
      <c r="A10733" s="17" t="s">
        <v>29492</v>
      </c>
      <c r="B10733" s="17" t="s">
        <v>70</v>
      </c>
      <c r="C10733" s="17" t="s">
        <v>71</v>
      </c>
      <c r="D10733" t="s">
        <v>29491</v>
      </c>
      <c r="F10733" t="s">
        <v>29491</v>
      </c>
      <c r="K10733" s="18">
        <f>62816105067</f>
        <v>62816105067</v>
      </c>
      <c r="N10733" s="17" t="s">
        <v>81</v>
      </c>
      <c r="V10733" s="18">
        <f>62816105067</f>
        <v>62816105067</v>
      </c>
    </row>
    <row r="10734" ht="15" customHeight="1" spans="1:23" x14ac:dyDescent="0.25">
      <c r="A10734" s="17" t="s">
        <v>29493</v>
      </c>
      <c r="B10734" s="17" t="s">
        <v>70</v>
      </c>
      <c r="C10734" s="17" t="s">
        <v>71</v>
      </c>
      <c r="D10734" t="s">
        <v>29491</v>
      </c>
      <c r="F10734" t="s">
        <v>29491</v>
      </c>
      <c r="K10734" s="18">
        <f>62821229322293</f>
        <v>62821229322293</v>
      </c>
      <c r="N10734" s="17" t="s">
        <v>81</v>
      </c>
      <c r="U10734" s="17"/>
      <c r="V10734" s="18">
        <f>62821229322293</f>
        <v>62821229322293</v>
      </c>
      <c r="W10734" t="s">
        <v>29494</v>
      </c>
    </row>
    <row r="10735" ht="15" customHeight="1" spans="1:22" x14ac:dyDescent="0.25">
      <c r="A10735" s="17" t="s">
        <v>29495</v>
      </c>
      <c r="B10735" s="17" t="s">
        <v>70</v>
      </c>
      <c r="C10735" s="17" t="s">
        <v>71</v>
      </c>
      <c r="D10735" t="s">
        <v>29491</v>
      </c>
      <c r="F10735" t="s">
        <v>29491</v>
      </c>
      <c r="K10735" s="18">
        <f>62816838630</f>
        <v>62816838630</v>
      </c>
      <c r="N10735" s="17" t="s">
        <v>77</v>
      </c>
      <c r="V10735" s="18">
        <f>62816838630</f>
        <v>62816838630</v>
      </c>
    </row>
    <row r="10736" ht="15" customHeight="1" spans="1:22" x14ac:dyDescent="0.25">
      <c r="A10736" s="17" t="s">
        <v>29496</v>
      </c>
      <c r="B10736" s="17" t="s">
        <v>70</v>
      </c>
      <c r="C10736" s="17" t="s">
        <v>71</v>
      </c>
      <c r="D10736" t="s">
        <v>29497</v>
      </c>
      <c r="F10736" t="s">
        <v>29498</v>
      </c>
      <c r="K10736" s="18">
        <f>62811807580</f>
        <v>62811807580</v>
      </c>
      <c r="N10736" s="17" t="s">
        <v>81</v>
      </c>
      <c r="V10736" s="18">
        <f>62811807580</f>
        <v>62811807580</v>
      </c>
    </row>
    <row r="10737" ht="15" customHeight="1" spans="1:27" x14ac:dyDescent="0.25">
      <c r="A10737" s="17" t="s">
        <v>29499</v>
      </c>
      <c r="B10737" s="17" t="s">
        <v>70</v>
      </c>
      <c r="C10737" s="17" t="s">
        <v>71</v>
      </c>
      <c r="D10737" t="s">
        <v>29500</v>
      </c>
      <c r="F10737" t="s">
        <v>8041</v>
      </c>
      <c r="J10737" s="17" t="s">
        <v>29501</v>
      </c>
      <c r="K10737" s="18">
        <v>8520756</v>
      </c>
      <c r="N10737" s="17" t="s">
        <v>77</v>
      </c>
      <c r="U10737" s="17"/>
      <c r="V10737" s="18">
        <v>8520756</v>
      </c>
      <c r="W10737" t="s">
        <v>29502</v>
      </c>
      <c r="Y10737" s="17" t="s">
        <v>90</v>
      </c>
      <c r="AA10737" s="17">
        <v>13340</v>
      </c>
    </row>
    <row r="10738" ht="15" customHeight="1" spans="1:22" x14ac:dyDescent="0.25">
      <c r="A10738" s="17" t="s">
        <v>29503</v>
      </c>
      <c r="B10738" s="17" t="s">
        <v>70</v>
      </c>
      <c r="C10738" s="17" t="s">
        <v>71</v>
      </c>
      <c r="D10738" t="s">
        <v>29504</v>
      </c>
      <c r="F10738" t="s">
        <v>29504</v>
      </c>
      <c r="K10738" s="18">
        <f>6282122938893</f>
        <v>6282122938893</v>
      </c>
      <c r="N10738" s="17" t="s">
        <v>77</v>
      </c>
      <c r="V10738" s="18">
        <f>6282122938893</f>
        <v>6282122938893</v>
      </c>
    </row>
    <row r="10739" ht="15" customHeight="1" spans="1:23" x14ac:dyDescent="0.25">
      <c r="A10739" s="17" t="s">
        <v>29505</v>
      </c>
      <c r="B10739" s="17" t="s">
        <v>70</v>
      </c>
      <c r="C10739" s="17" t="s">
        <v>71</v>
      </c>
      <c r="D10739" t="s">
        <v>29506</v>
      </c>
      <c r="F10739" t="s">
        <v>15381</v>
      </c>
      <c r="K10739" s="18">
        <f>6596638378</f>
        <v>6596638378</v>
      </c>
      <c r="N10739" s="17" t="s">
        <v>77</v>
      </c>
      <c r="U10739" s="17"/>
      <c r="V10739" s="18">
        <f>6596638378</f>
        <v>6596638378</v>
      </c>
      <c r="W10739" t="s">
        <v>2356</v>
      </c>
    </row>
    <row r="10740" ht="15" customHeight="1" spans="1:22" x14ac:dyDescent="0.25">
      <c r="A10740" s="17" t="s">
        <v>29507</v>
      </c>
      <c r="B10740" s="17" t="s">
        <v>70</v>
      </c>
      <c r="C10740" s="17" t="s">
        <v>71</v>
      </c>
      <c r="D10740" t="s">
        <v>29508</v>
      </c>
      <c r="F10740" t="s">
        <v>7709</v>
      </c>
      <c r="K10740" s="18">
        <f>628111994201</f>
        <v>628111994201</v>
      </c>
      <c r="N10740" s="17" t="s">
        <v>81</v>
      </c>
      <c r="V10740" s="18">
        <f>628111994201</f>
        <v>628111994201</v>
      </c>
    </row>
    <row r="10741" ht="15" customHeight="1" spans="1:28" x14ac:dyDescent="0.25">
      <c r="A10741" s="17" t="s">
        <v>29509</v>
      </c>
      <c r="B10741" s="17" t="s">
        <v>70</v>
      </c>
      <c r="C10741" s="17" t="s">
        <v>71</v>
      </c>
      <c r="D10741" t="s">
        <v>29510</v>
      </c>
      <c r="F10741" t="s">
        <v>29511</v>
      </c>
      <c r="J10741" t="s">
        <v>115</v>
      </c>
      <c r="K10741" s="18" t="s">
        <v>29512</v>
      </c>
      <c r="N10741" s="17" t="s">
        <v>81</v>
      </c>
      <c r="O10741" t="s">
        <v>117</v>
      </c>
      <c r="V10741" s="18" t="s">
        <v>29512</v>
      </c>
      <c r="Y10741" t="s">
        <v>115</v>
      </c>
      <c r="AA10741" t="s">
        <v>115</v>
      </c>
      <c r="AB10741" t="s">
        <v>119</v>
      </c>
    </row>
    <row r="10742" ht="15" customHeight="1" spans="1:23" x14ac:dyDescent="0.25">
      <c r="A10742" s="17" t="s">
        <v>29513</v>
      </c>
      <c r="B10742" s="17" t="s">
        <v>70</v>
      </c>
      <c r="C10742" s="17" t="s">
        <v>71</v>
      </c>
      <c r="D10742" t="s">
        <v>29514</v>
      </c>
      <c r="F10742" t="s">
        <v>29515</v>
      </c>
      <c r="K10742" s="18">
        <f>905322178787</f>
        <v>905322178787</v>
      </c>
      <c r="N10742" s="17" t="s">
        <v>77</v>
      </c>
      <c r="U10742" s="17"/>
      <c r="V10742" s="18">
        <f>905322178787</f>
        <v>905322178787</v>
      </c>
      <c r="W10742" t="s">
        <v>29516</v>
      </c>
    </row>
    <row r="10743" ht="15" customHeight="1" spans="1:28" x14ac:dyDescent="0.25">
      <c r="A10743" s="17" t="s">
        <v>29517</v>
      </c>
      <c r="B10743" s="17" t="s">
        <v>70</v>
      </c>
      <c r="C10743" s="17" t="s">
        <v>71</v>
      </c>
      <c r="D10743" t="s">
        <v>29518</v>
      </c>
      <c r="F10743" t="s">
        <v>29519</v>
      </c>
      <c r="J10743" t="s">
        <v>29520</v>
      </c>
      <c r="K10743" s="18" t="s">
        <v>29521</v>
      </c>
      <c r="N10743" s="17" t="s">
        <v>77</v>
      </c>
      <c r="O10743" t="s">
        <v>145</v>
      </c>
      <c r="U10743" s="17"/>
      <c r="V10743" s="18" t="s">
        <v>29521</v>
      </c>
      <c r="W10743" t="s">
        <v>29522</v>
      </c>
      <c r="Y10743" t="s">
        <v>96</v>
      </c>
      <c r="AA10743" s="17" t="s">
        <v>693</v>
      </c>
      <c r="AB10743" t="s">
        <v>119</v>
      </c>
    </row>
    <row r="10744" ht="15" customHeight="1" spans="1:28" x14ac:dyDescent="0.25">
      <c r="A10744" s="17" t="s">
        <v>29523</v>
      </c>
      <c r="B10744" s="17" t="s">
        <v>70</v>
      </c>
      <c r="C10744" s="17" t="s">
        <v>71</v>
      </c>
      <c r="D10744" t="s">
        <v>29524</v>
      </c>
      <c r="F10744" t="s">
        <v>29524</v>
      </c>
      <c r="J10744" t="s">
        <v>115</v>
      </c>
      <c r="K10744" s="18" t="s">
        <v>29525</v>
      </c>
      <c r="N10744" s="17" t="s">
        <v>77</v>
      </c>
      <c r="O10744" t="s">
        <v>199</v>
      </c>
      <c r="V10744" s="18" t="s">
        <v>29525</v>
      </c>
      <c r="Y10744" t="s">
        <v>90</v>
      </c>
      <c r="AA10744" t="s">
        <v>118</v>
      </c>
      <c r="AB10744" t="s">
        <v>119</v>
      </c>
    </row>
    <row r="10745" ht="15" customHeight="1" spans="1:23" x14ac:dyDescent="0.25">
      <c r="A10745" s="17" t="s">
        <v>29526</v>
      </c>
      <c r="B10745" s="17" t="s">
        <v>70</v>
      </c>
      <c r="C10745" s="17" t="s">
        <v>71</v>
      </c>
      <c r="D10745" t="s">
        <v>29527</v>
      </c>
      <c r="F10745" t="s">
        <v>29528</v>
      </c>
      <c r="K10745" s="18">
        <f>6282125555795</f>
        <v>6282125555795</v>
      </c>
      <c r="N10745" s="17" t="s">
        <v>81</v>
      </c>
      <c r="U10745" s="17"/>
      <c r="V10745" s="18">
        <f>6282125555795</f>
        <v>6282125555795</v>
      </c>
      <c r="W10745" t="s">
        <v>29529</v>
      </c>
    </row>
    <row r="10746" ht="15" customHeight="1" spans="1:22" x14ac:dyDescent="0.25">
      <c r="A10746" s="17" t="s">
        <v>29530</v>
      </c>
      <c r="B10746" s="17" t="s">
        <v>70</v>
      </c>
      <c r="C10746" s="17" t="s">
        <v>71</v>
      </c>
      <c r="D10746" t="s">
        <v>29531</v>
      </c>
      <c r="F10746" t="s">
        <v>29531</v>
      </c>
      <c r="K10746" s="18">
        <f>6281218615117</f>
        <v>6281218615117</v>
      </c>
      <c r="N10746" s="17" t="s">
        <v>81</v>
      </c>
      <c r="V10746" s="18">
        <f>6281218615117</f>
        <v>6281218615117</v>
      </c>
    </row>
    <row r="10747" ht="15" customHeight="1" spans="1:28" x14ac:dyDescent="0.25">
      <c r="A10747" s="17" t="s">
        <v>29532</v>
      </c>
      <c r="B10747" s="17" t="s">
        <v>70</v>
      </c>
      <c r="C10747" s="17" t="s">
        <v>71</v>
      </c>
      <c r="D10747" t="s">
        <v>29533</v>
      </c>
      <c r="F10747" t="s">
        <v>20950</v>
      </c>
      <c r="J10747" t="s">
        <v>29534</v>
      </c>
      <c r="K10747" s="18" t="s">
        <v>29535</v>
      </c>
      <c r="N10747" s="17" t="s">
        <v>77</v>
      </c>
      <c r="O10747" t="s">
        <v>199</v>
      </c>
      <c r="V10747" s="18" t="s">
        <v>29535</v>
      </c>
      <c r="Y10747" t="s">
        <v>90</v>
      </c>
      <c r="AA10747" t="s">
        <v>118</v>
      </c>
      <c r="AB10747" t="s">
        <v>119</v>
      </c>
    </row>
    <row r="10748" ht="15" customHeight="1" spans="1:25" x14ac:dyDescent="0.25">
      <c r="A10748" s="17" t="s">
        <v>29536</v>
      </c>
      <c r="B10748" s="17" t="s">
        <v>70</v>
      </c>
      <c r="C10748" s="17" t="s">
        <v>71</v>
      </c>
      <c r="D10748" t="s">
        <v>29537</v>
      </c>
      <c r="F10748" t="s">
        <v>29538</v>
      </c>
      <c r="J10748" s="17" t="s">
        <v>29539</v>
      </c>
      <c r="K10748" s="18">
        <f>62816793979</f>
        <v>62816793979</v>
      </c>
      <c r="N10748" s="17" t="s">
        <v>77</v>
      </c>
      <c r="U10748" s="17"/>
      <c r="V10748" s="18">
        <f>62816793979</f>
        <v>62816793979</v>
      </c>
      <c r="W10748" t="s">
        <v>29540</v>
      </c>
      <c r="Y10748" s="17" t="s">
        <v>1084</v>
      </c>
    </row>
    <row r="10749" ht="15" customHeight="1" spans="1:25" x14ac:dyDescent="0.25">
      <c r="A10749" s="17" t="s">
        <v>29541</v>
      </c>
      <c r="B10749" s="17" t="s">
        <v>70</v>
      </c>
      <c r="C10749" s="17" t="s">
        <v>71</v>
      </c>
      <c r="D10749" t="s">
        <v>29542</v>
      </c>
      <c r="F10749" t="s">
        <v>22990</v>
      </c>
      <c r="K10749" s="18">
        <f>62811225133</f>
        <v>62811225133</v>
      </c>
      <c r="N10749" s="17" t="s">
        <v>77</v>
      </c>
      <c r="U10749" s="17"/>
      <c r="V10749" s="18">
        <f>62811225133</f>
        <v>62811225133</v>
      </c>
      <c r="W10749" t="s">
        <v>29543</v>
      </c>
      <c r="Y10749" s="17" t="s">
        <v>4993</v>
      </c>
    </row>
    <row r="10750" ht="15" customHeight="1" spans="1:22" x14ac:dyDescent="0.25">
      <c r="A10750" s="17" t="s">
        <v>29544</v>
      </c>
      <c r="B10750" s="17" t="s">
        <v>70</v>
      </c>
      <c r="C10750" s="17" t="s">
        <v>71</v>
      </c>
      <c r="D10750" t="s">
        <v>29542</v>
      </c>
      <c r="F10750" t="s">
        <v>1704</v>
      </c>
      <c r="K10750" s="18">
        <f>628116141484</f>
        <v>628116141484</v>
      </c>
      <c r="N10750" s="17" t="s">
        <v>81</v>
      </c>
      <c r="V10750" s="18">
        <f>628116141484</f>
        <v>628116141484</v>
      </c>
    </row>
    <row r="10751" ht="15" customHeight="1" spans="1:27" x14ac:dyDescent="0.25">
      <c r="A10751" s="17" t="s">
        <v>29545</v>
      </c>
      <c r="B10751" s="17" t="s">
        <v>70</v>
      </c>
      <c r="C10751" s="17" t="s">
        <v>71</v>
      </c>
      <c r="D10751" t="s">
        <v>29546</v>
      </c>
      <c r="F10751" t="s">
        <v>29547</v>
      </c>
      <c r="K10751" s="18">
        <f>6281331719942</f>
        <v>6281331719942</v>
      </c>
      <c r="N10751" s="17" t="s">
        <v>77</v>
      </c>
      <c r="U10751" s="17"/>
      <c r="V10751" s="18">
        <f>6281331719942</f>
        <v>6281331719942</v>
      </c>
      <c r="W10751" t="s">
        <v>29548</v>
      </c>
      <c r="Y10751" s="17" t="s">
        <v>397</v>
      </c>
      <c r="AA10751" s="17">
        <v>17411</v>
      </c>
    </row>
    <row r="10752" ht="15" customHeight="1" spans="1:23" x14ac:dyDescent="0.25">
      <c r="A10752" s="17" t="s">
        <v>29549</v>
      </c>
      <c r="B10752" s="17" t="s">
        <v>70</v>
      </c>
      <c r="C10752" s="17" t="s">
        <v>71</v>
      </c>
      <c r="D10752" t="s">
        <v>29550</v>
      </c>
      <c r="F10752" t="s">
        <v>22414</v>
      </c>
      <c r="J10752" s="17" t="s">
        <v>29551</v>
      </c>
      <c r="K10752" s="18">
        <f>6281299192755</f>
        <v>6281299192755</v>
      </c>
      <c r="N10752" s="17" t="s">
        <v>81</v>
      </c>
      <c r="U10752" s="17"/>
      <c r="V10752" s="18">
        <f>6281299192755</f>
        <v>6281299192755</v>
      </c>
      <c r="W10752" t="s">
        <v>29552</v>
      </c>
    </row>
    <row r="10753" ht="15" customHeight="1" spans="1:28" x14ac:dyDescent="0.25">
      <c r="A10753" s="17" t="s">
        <v>29553</v>
      </c>
      <c r="B10753" s="17" t="s">
        <v>70</v>
      </c>
      <c r="C10753" s="17" t="s">
        <v>71</v>
      </c>
      <c r="D10753" t="s">
        <v>29554</v>
      </c>
      <c r="F10753" t="s">
        <v>29555</v>
      </c>
      <c r="J10753" t="s">
        <v>29556</v>
      </c>
      <c r="K10753" s="18" t="s">
        <v>29557</v>
      </c>
      <c r="N10753" s="17" t="s">
        <v>81</v>
      </c>
      <c r="O10753" t="s">
        <v>145</v>
      </c>
      <c r="V10753" s="18" t="s">
        <v>29557</v>
      </c>
      <c r="Y10753" t="s">
        <v>90</v>
      </c>
      <c r="AA10753" t="s">
        <v>118</v>
      </c>
      <c r="AB10753" t="s">
        <v>119</v>
      </c>
    </row>
    <row r="10754" ht="15" customHeight="1" spans="1:28" x14ac:dyDescent="0.25">
      <c r="A10754" s="17" t="s">
        <v>29558</v>
      </c>
      <c r="B10754" s="17" t="s">
        <v>70</v>
      </c>
      <c r="C10754" s="17" t="s">
        <v>71</v>
      </c>
      <c r="D10754" t="s">
        <v>29554</v>
      </c>
      <c r="F10754" t="s">
        <v>29559</v>
      </c>
      <c r="J10754" s="17" t="s">
        <v>29560</v>
      </c>
      <c r="K10754" s="18" t="s">
        <v>29561</v>
      </c>
      <c r="N10754" s="17" t="s">
        <v>77</v>
      </c>
      <c r="O10754" t="s">
        <v>261</v>
      </c>
      <c r="U10754" s="17"/>
      <c r="V10754" s="18" t="s">
        <v>29561</v>
      </c>
      <c r="W10754" t="s">
        <v>7602</v>
      </c>
      <c r="Y10754" t="s">
        <v>3140</v>
      </c>
      <c r="AA10754" t="s">
        <v>115</v>
      </c>
      <c r="AB10754" t="s">
        <v>3140</v>
      </c>
    </row>
    <row r="10755" ht="15" customHeight="1" spans="1:23" x14ac:dyDescent="0.25">
      <c r="A10755" s="17" t="s">
        <v>29562</v>
      </c>
      <c r="B10755" s="17" t="s">
        <v>70</v>
      </c>
      <c r="C10755" s="17" t="s">
        <v>71</v>
      </c>
      <c r="D10755" t="s">
        <v>29554</v>
      </c>
      <c r="F10755" t="s">
        <v>29563</v>
      </c>
      <c r="J10755" s="17" t="s">
        <v>29564</v>
      </c>
      <c r="K10755" s="18">
        <v>166660772</v>
      </c>
      <c r="N10755" s="17" t="s">
        <v>77</v>
      </c>
      <c r="U10755" s="17"/>
      <c r="V10755" s="18">
        <v>166660772</v>
      </c>
      <c r="W10755" t="s">
        <v>29565</v>
      </c>
    </row>
    <row r="10756" ht="15" customHeight="1" spans="1:23" x14ac:dyDescent="0.25">
      <c r="A10756" s="17" t="s">
        <v>29566</v>
      </c>
      <c r="B10756" s="17" t="s">
        <v>70</v>
      </c>
      <c r="C10756" s="17" t="s">
        <v>71</v>
      </c>
      <c r="D10756" t="s">
        <v>29554</v>
      </c>
      <c r="F10756" t="s">
        <v>19147</v>
      </c>
      <c r="K10756" s="18">
        <f>185298361213</f>
        <v>185298361213</v>
      </c>
      <c r="N10756" s="17" t="s">
        <v>77</v>
      </c>
      <c r="U10756" s="17"/>
      <c r="V10756" s="18">
        <f>185298361213</f>
        <v>185298361213</v>
      </c>
      <c r="W10756" t="s">
        <v>5542</v>
      </c>
    </row>
    <row r="10757" ht="15" customHeight="1" spans="1:22" x14ac:dyDescent="0.25">
      <c r="A10757" s="17" t="s">
        <v>29567</v>
      </c>
      <c r="B10757" s="17" t="s">
        <v>70</v>
      </c>
      <c r="C10757" s="17" t="s">
        <v>71</v>
      </c>
      <c r="D10757" t="s">
        <v>3913</v>
      </c>
      <c r="F10757" t="s">
        <v>29568</v>
      </c>
      <c r="J10757" s="17" t="s">
        <v>29569</v>
      </c>
      <c r="K10757" s="18">
        <f>6281513631818</f>
        <v>6281513631818</v>
      </c>
      <c r="N10757" s="17" t="s">
        <v>77</v>
      </c>
      <c r="V10757" s="18">
        <f>6281513631818</f>
        <v>6281513631818</v>
      </c>
    </row>
    <row r="10758" ht="15" customHeight="1" spans="1:28" x14ac:dyDescent="0.25">
      <c r="A10758" s="17" t="s">
        <v>29570</v>
      </c>
      <c r="B10758" s="17" t="s">
        <v>70</v>
      </c>
      <c r="C10758" s="17" t="s">
        <v>71</v>
      </c>
      <c r="D10758" t="s">
        <v>29554</v>
      </c>
      <c r="F10758" t="s">
        <v>29571</v>
      </c>
      <c r="J10758" s="17" t="s">
        <v>29572</v>
      </c>
      <c r="K10758" s="18" t="s">
        <v>29573</v>
      </c>
      <c r="N10758" s="17" t="s">
        <v>77</v>
      </c>
      <c r="O10758" t="s">
        <v>199</v>
      </c>
      <c r="V10758" s="18" t="s">
        <v>29573</v>
      </c>
      <c r="Y10758" t="s">
        <v>8335</v>
      </c>
      <c r="AA10758" t="s">
        <v>115</v>
      </c>
      <c r="AB10758" t="s">
        <v>119</v>
      </c>
    </row>
    <row r="10759" ht="15" customHeight="1" spans="1:23" x14ac:dyDescent="0.25">
      <c r="A10759" s="17" t="s">
        <v>29574</v>
      </c>
      <c r="B10759" s="17" t="s">
        <v>70</v>
      </c>
      <c r="C10759" s="17" t="s">
        <v>71</v>
      </c>
      <c r="D10759" t="s">
        <v>29554</v>
      </c>
      <c r="F10759" t="s">
        <v>7345</v>
      </c>
      <c r="K10759" s="18">
        <f>6592219368</f>
        <v>6592219368</v>
      </c>
      <c r="N10759" s="17" t="s">
        <v>77</v>
      </c>
      <c r="U10759" s="17"/>
      <c r="V10759" s="18">
        <f>6592219368</f>
        <v>6592219368</v>
      </c>
      <c r="W10759" t="s">
        <v>29575</v>
      </c>
    </row>
    <row r="10760" ht="15" customHeight="1" spans="1:22" x14ac:dyDescent="0.25">
      <c r="A10760" s="17" t="s">
        <v>29576</v>
      </c>
      <c r="B10760" s="17" t="s">
        <v>70</v>
      </c>
      <c r="C10760" s="17" t="s">
        <v>71</v>
      </c>
      <c r="D10760" t="s">
        <v>29577</v>
      </c>
      <c r="F10760" t="s">
        <v>22365</v>
      </c>
      <c r="K10760" s="18">
        <f>6282284453119</f>
        <v>6282284453119</v>
      </c>
      <c r="N10760" s="17" t="s">
        <v>77</v>
      </c>
      <c r="V10760" s="18">
        <f>6282284453119</f>
        <v>6282284453119</v>
      </c>
    </row>
    <row r="10761" ht="15" customHeight="1" spans="1:28" x14ac:dyDescent="0.25">
      <c r="A10761" s="17" t="s">
        <v>29578</v>
      </c>
      <c r="B10761" s="17" t="s">
        <v>70</v>
      </c>
      <c r="C10761" s="17" t="s">
        <v>71</v>
      </c>
      <c r="D10761" t="s">
        <v>29577</v>
      </c>
      <c r="F10761" t="s">
        <v>29579</v>
      </c>
      <c r="J10761" t="s">
        <v>115</v>
      </c>
      <c r="K10761" s="18" t="s">
        <v>29580</v>
      </c>
      <c r="N10761" s="17" t="s">
        <v>77</v>
      </c>
      <c r="O10761" t="s">
        <v>489</v>
      </c>
      <c r="U10761" s="17"/>
      <c r="V10761" s="18" t="s">
        <v>29580</v>
      </c>
      <c r="W10761" t="s">
        <v>29581</v>
      </c>
      <c r="Y10761" s="17" t="s">
        <v>181</v>
      </c>
      <c r="AA10761" t="s">
        <v>1672</v>
      </c>
      <c r="AB10761" t="s">
        <v>119</v>
      </c>
    </row>
    <row r="10762" ht="15" customHeight="1" spans="1:28" x14ac:dyDescent="0.25">
      <c r="A10762" s="17" t="s">
        <v>29582</v>
      </c>
      <c r="B10762" s="17" t="s">
        <v>70</v>
      </c>
      <c r="C10762" s="17" t="s">
        <v>71</v>
      </c>
      <c r="D10762" t="s">
        <v>29583</v>
      </c>
      <c r="F10762" t="s">
        <v>29584</v>
      </c>
      <c r="J10762" t="s">
        <v>115</v>
      </c>
      <c r="K10762" s="18" t="s">
        <v>29585</v>
      </c>
      <c r="N10762" s="17" t="s">
        <v>77</v>
      </c>
      <c r="O10762" t="s">
        <v>145</v>
      </c>
      <c r="U10762" s="17"/>
      <c r="V10762" s="18" t="s">
        <v>29585</v>
      </c>
      <c r="W10762" t="s">
        <v>7229</v>
      </c>
      <c r="Y10762" t="s">
        <v>115</v>
      </c>
      <c r="AA10762" t="s">
        <v>115</v>
      </c>
      <c r="AB10762" t="s">
        <v>7229</v>
      </c>
    </row>
    <row r="10763" ht="15" customHeight="1" spans="1:23" x14ac:dyDescent="0.25">
      <c r="A10763" s="17" t="s">
        <v>29586</v>
      </c>
      <c r="B10763" s="17" t="s">
        <v>70</v>
      </c>
      <c r="C10763" s="17" t="s">
        <v>71</v>
      </c>
      <c r="D10763" t="s">
        <v>5228</v>
      </c>
      <c r="F10763" t="s">
        <v>29587</v>
      </c>
      <c r="J10763" s="17" t="s">
        <v>29588</v>
      </c>
      <c r="K10763" s="18">
        <f>628111014986</f>
        <v>628111014986</v>
      </c>
      <c r="N10763" s="17" t="s">
        <v>81</v>
      </c>
      <c r="U10763" s="17"/>
      <c r="V10763" s="18">
        <f>628111014986</f>
        <v>628111014986</v>
      </c>
      <c r="W10763" t="s">
        <v>29589</v>
      </c>
    </row>
    <row r="10764" ht="15" customHeight="1" spans="1:27" x14ac:dyDescent="0.25">
      <c r="A10764" s="17" t="s">
        <v>29590</v>
      </c>
      <c r="B10764" s="17" t="s">
        <v>70</v>
      </c>
      <c r="C10764" s="17" t="s">
        <v>71</v>
      </c>
      <c r="D10764" t="s">
        <v>5228</v>
      </c>
      <c r="F10764" t="s">
        <v>29591</v>
      </c>
      <c r="K10764" s="18">
        <f>62811927636</f>
        <v>62811927636</v>
      </c>
      <c r="N10764" s="17" t="s">
        <v>77</v>
      </c>
      <c r="U10764" s="17"/>
      <c r="V10764" s="18">
        <f>62811927636</f>
        <v>62811927636</v>
      </c>
      <c r="W10764" t="s">
        <v>29592</v>
      </c>
      <c r="Y10764" s="17" t="s">
        <v>515</v>
      </c>
      <c r="AA10764" s="17" t="s">
        <v>29593</v>
      </c>
    </row>
    <row r="10765" ht="15" customHeight="1" spans="1:22" x14ac:dyDescent="0.25">
      <c r="A10765" s="17" t="s">
        <v>29594</v>
      </c>
      <c r="B10765" s="17" t="s">
        <v>70</v>
      </c>
      <c r="C10765" s="17" t="s">
        <v>71</v>
      </c>
      <c r="D10765" t="s">
        <v>5228</v>
      </c>
      <c r="F10765" t="s">
        <v>4228</v>
      </c>
      <c r="K10765" s="18">
        <f>62817888746</f>
        <v>62817888746</v>
      </c>
      <c r="N10765" s="17" t="s">
        <v>81</v>
      </c>
      <c r="V10765" s="18">
        <f>62817888746</f>
        <v>62817888746</v>
      </c>
    </row>
    <row r="10766" ht="15" customHeight="1" spans="1:28" x14ac:dyDescent="0.25">
      <c r="A10766" s="17" t="s">
        <v>29595</v>
      </c>
      <c r="B10766" s="17" t="s">
        <v>70</v>
      </c>
      <c r="C10766" s="17" t="s">
        <v>71</v>
      </c>
      <c r="D10766" t="s">
        <v>29596</v>
      </c>
      <c r="F10766" t="s">
        <v>29597</v>
      </c>
      <c r="J10766" s="17" t="s">
        <v>29598</v>
      </c>
      <c r="K10766" s="18" t="s">
        <v>29599</v>
      </c>
      <c r="N10766" s="17" t="s">
        <v>77</v>
      </c>
      <c r="O10766" t="s">
        <v>145</v>
      </c>
      <c r="V10766" s="18" t="s">
        <v>29599</v>
      </c>
      <c r="Y10766" s="17" t="s">
        <v>10691</v>
      </c>
      <c r="AA10766" t="s">
        <v>115</v>
      </c>
      <c r="AB10766" t="s">
        <v>10691</v>
      </c>
    </row>
    <row r="10767" ht="15" customHeight="1" spans="1:28" x14ac:dyDescent="0.25">
      <c r="A10767" s="17" t="s">
        <v>29600</v>
      </c>
      <c r="B10767" s="17" t="s">
        <v>70</v>
      </c>
      <c r="C10767" s="17" t="s">
        <v>71</v>
      </c>
      <c r="D10767" t="s">
        <v>29601</v>
      </c>
      <c r="F10767" t="s">
        <v>29602</v>
      </c>
      <c r="J10767" s="17" t="s">
        <v>29603</v>
      </c>
      <c r="K10767" s="18" t="s">
        <v>29604</v>
      </c>
      <c r="N10767" s="17" t="s">
        <v>77</v>
      </c>
      <c r="O10767" t="s">
        <v>199</v>
      </c>
      <c r="V10767" s="18" t="s">
        <v>29604</v>
      </c>
      <c r="Y10767" t="s">
        <v>6937</v>
      </c>
      <c r="AA10767" t="s">
        <v>115</v>
      </c>
      <c r="AB10767" t="s">
        <v>6937</v>
      </c>
    </row>
    <row r="10768" ht="15" customHeight="1" spans="1:28" x14ac:dyDescent="0.25">
      <c r="A10768" s="17" t="s">
        <v>29605</v>
      </c>
      <c r="B10768" s="17" t="s">
        <v>70</v>
      </c>
      <c r="C10768" s="17" t="s">
        <v>71</v>
      </c>
      <c r="D10768" t="s">
        <v>29601</v>
      </c>
      <c r="F10768" t="s">
        <v>29606</v>
      </c>
      <c r="J10768" t="s">
        <v>115</v>
      </c>
      <c r="K10768" s="18" t="s">
        <v>29607</v>
      </c>
      <c r="N10768" s="17" t="s">
        <v>77</v>
      </c>
      <c r="O10768" t="s">
        <v>199</v>
      </c>
      <c r="V10768" s="18" t="s">
        <v>29607</v>
      </c>
      <c r="Y10768" t="s">
        <v>3140</v>
      </c>
      <c r="AA10768" t="s">
        <v>115</v>
      </c>
      <c r="AB10768" t="s">
        <v>3140</v>
      </c>
    </row>
    <row r="10769" ht="15" customHeight="1" spans="1:28" x14ac:dyDescent="0.25">
      <c r="A10769" s="17" t="s">
        <v>29608</v>
      </c>
      <c r="B10769" s="17" t="s">
        <v>70</v>
      </c>
      <c r="C10769" s="17" t="s">
        <v>71</v>
      </c>
      <c r="D10769" t="s">
        <v>29609</v>
      </c>
      <c r="F10769" t="s">
        <v>29610</v>
      </c>
      <c r="J10769" t="s">
        <v>115</v>
      </c>
      <c r="K10769" s="18" t="s">
        <v>29611</v>
      </c>
      <c r="N10769" s="17" t="s">
        <v>77</v>
      </c>
      <c r="O10769" t="s">
        <v>1188</v>
      </c>
      <c r="U10769" s="17"/>
      <c r="V10769" s="18" t="s">
        <v>29611</v>
      </c>
      <c r="W10769" t="s">
        <v>29612</v>
      </c>
      <c r="Y10769" s="17" t="s">
        <v>190</v>
      </c>
      <c r="AA10769" t="s">
        <v>118</v>
      </c>
      <c r="AB10769" t="s">
        <v>119</v>
      </c>
    </row>
    <row r="10770" ht="15" customHeight="1" spans="1:28" x14ac:dyDescent="0.25">
      <c r="A10770" s="17" t="s">
        <v>29613</v>
      </c>
      <c r="B10770" s="17" t="s">
        <v>70</v>
      </c>
      <c r="C10770" s="17" t="s">
        <v>71</v>
      </c>
      <c r="D10770" t="s">
        <v>29601</v>
      </c>
      <c r="F10770" t="s">
        <v>29614</v>
      </c>
      <c r="J10770" t="s">
        <v>115</v>
      </c>
      <c r="K10770" s="18" t="s">
        <v>29615</v>
      </c>
      <c r="N10770" s="17" t="s">
        <v>77</v>
      </c>
      <c r="O10770" t="s">
        <v>145</v>
      </c>
      <c r="U10770" s="17"/>
      <c r="V10770" s="18" t="s">
        <v>29615</v>
      </c>
      <c r="W10770" t="s">
        <v>29616</v>
      </c>
      <c r="Y10770" t="s">
        <v>10691</v>
      </c>
      <c r="AA10770" t="s">
        <v>115</v>
      </c>
      <c r="AB10770" t="s">
        <v>10691</v>
      </c>
    </row>
    <row r="10771" ht="15" customHeight="1" spans="1:22" x14ac:dyDescent="0.25">
      <c r="A10771" s="17" t="s">
        <v>29617</v>
      </c>
      <c r="B10771" s="17" t="s">
        <v>70</v>
      </c>
      <c r="C10771" s="17" t="s">
        <v>71</v>
      </c>
      <c r="D10771" t="s">
        <v>29601</v>
      </c>
      <c r="F10771" t="s">
        <v>29618</v>
      </c>
      <c r="K10771" s="18">
        <f>84989881447</f>
        <v>84989881447</v>
      </c>
      <c r="N10771" s="17" t="s">
        <v>77</v>
      </c>
      <c r="V10771" s="18">
        <f>84989881447</f>
        <v>84989881447</v>
      </c>
    </row>
    <row r="10772" ht="15" customHeight="1" spans="1:23" x14ac:dyDescent="0.25">
      <c r="A10772" s="17" t="s">
        <v>29619</v>
      </c>
      <c r="B10772" s="17" t="s">
        <v>70</v>
      </c>
      <c r="C10772" s="17" t="s">
        <v>71</v>
      </c>
      <c r="D10772" t="s">
        <v>15704</v>
      </c>
      <c r="F10772" t="s">
        <v>29620</v>
      </c>
      <c r="K10772" s="18">
        <f>62818349404</f>
        <v>62818349404</v>
      </c>
      <c r="N10772" s="17" t="s">
        <v>77</v>
      </c>
      <c r="U10772" s="17"/>
      <c r="V10772" s="18">
        <f>62818349404</f>
        <v>62818349404</v>
      </c>
      <c r="W10772" t="s">
        <v>29621</v>
      </c>
    </row>
    <row r="10773" ht="15" customHeight="1" spans="1:23" x14ac:dyDescent="0.25">
      <c r="A10773" s="17" t="s">
        <v>29622</v>
      </c>
      <c r="B10773" s="17" t="s">
        <v>70</v>
      </c>
      <c r="C10773" s="17" t="s">
        <v>71</v>
      </c>
      <c r="D10773" t="s">
        <v>15704</v>
      </c>
      <c r="F10773" t="s">
        <v>29623</v>
      </c>
      <c r="K10773" s="18">
        <f>628123844705</f>
        <v>628123844705</v>
      </c>
      <c r="N10773" s="17" t="s">
        <v>81</v>
      </c>
      <c r="U10773" s="17"/>
      <c r="V10773" s="18">
        <f>628123844705</f>
        <v>628123844705</v>
      </c>
      <c r="W10773" t="s">
        <v>29624</v>
      </c>
    </row>
    <row r="10774" ht="15" customHeight="1" spans="1:28" x14ac:dyDescent="0.25">
      <c r="A10774" s="17" t="s">
        <v>29625</v>
      </c>
      <c r="B10774" s="17" t="s">
        <v>70</v>
      </c>
      <c r="C10774" s="17" t="s">
        <v>71</v>
      </c>
      <c r="D10774" t="s">
        <v>29626</v>
      </c>
      <c r="F10774" t="s">
        <v>29627</v>
      </c>
      <c r="J10774" s="17" t="s">
        <v>29628</v>
      </c>
      <c r="K10774" s="18" t="s">
        <v>29629</v>
      </c>
      <c r="N10774" s="17" t="s">
        <v>77</v>
      </c>
      <c r="O10774" t="s">
        <v>199</v>
      </c>
      <c r="U10774" s="17"/>
      <c r="V10774" s="18" t="s">
        <v>29629</v>
      </c>
      <c r="W10774" t="s">
        <v>29630</v>
      </c>
      <c r="Y10774" t="s">
        <v>181</v>
      </c>
      <c r="AA10774" t="s">
        <v>1672</v>
      </c>
      <c r="AB10774" t="s">
        <v>119</v>
      </c>
    </row>
    <row r="10775" ht="15" customHeight="1" spans="1:28" x14ac:dyDescent="0.25">
      <c r="A10775" s="17" t="s">
        <v>29631</v>
      </c>
      <c r="B10775" s="17" t="s">
        <v>70</v>
      </c>
      <c r="C10775" s="17" t="s">
        <v>71</v>
      </c>
      <c r="D10775" t="s">
        <v>29626</v>
      </c>
      <c r="F10775" t="s">
        <v>29632</v>
      </c>
      <c r="J10775" t="s">
        <v>115</v>
      </c>
      <c r="K10775" s="18" t="s">
        <v>29633</v>
      </c>
      <c r="N10775" s="17" t="s">
        <v>74</v>
      </c>
      <c r="O10775" t="s">
        <v>199</v>
      </c>
      <c r="U10775" s="17"/>
      <c r="V10775" s="18" t="s">
        <v>29633</v>
      </c>
      <c r="W10775" t="s">
        <v>29634</v>
      </c>
      <c r="Y10775" t="s">
        <v>181</v>
      </c>
      <c r="AA10775" t="s">
        <v>1672</v>
      </c>
      <c r="AB10775" t="s">
        <v>119</v>
      </c>
    </row>
    <row r="10776" ht="15" customHeight="1" spans="1:22" x14ac:dyDescent="0.25">
      <c r="A10776" s="17" t="s">
        <v>29635</v>
      </c>
      <c r="B10776" s="17" t="s">
        <v>70</v>
      </c>
      <c r="C10776" s="17" t="s">
        <v>71</v>
      </c>
      <c r="D10776" t="s">
        <v>15704</v>
      </c>
      <c r="F10776" t="s">
        <v>29636</v>
      </c>
      <c r="K10776" s="18">
        <f>62811385418</f>
        <v>62811385418</v>
      </c>
      <c r="N10776" s="17" t="s">
        <v>77</v>
      </c>
      <c r="V10776" s="18">
        <f>62811385418</f>
        <v>62811385418</v>
      </c>
    </row>
    <row r="10777" ht="15" customHeight="1" spans="1:28" x14ac:dyDescent="0.25">
      <c r="A10777" s="17" t="s">
        <v>29637</v>
      </c>
      <c r="B10777" s="17" t="s">
        <v>70</v>
      </c>
      <c r="C10777" s="17" t="s">
        <v>71</v>
      </c>
      <c r="D10777" t="s">
        <v>29638</v>
      </c>
      <c r="F10777" t="s">
        <v>29639</v>
      </c>
      <c r="J10777" t="s">
        <v>115</v>
      </c>
      <c r="K10777" s="18" t="s">
        <v>29640</v>
      </c>
      <c r="N10777" s="17" t="s">
        <v>74</v>
      </c>
      <c r="O10777" t="s">
        <v>117</v>
      </c>
      <c r="V10777" s="18" t="s">
        <v>29640</v>
      </c>
      <c r="Y10777" t="s">
        <v>90</v>
      </c>
      <c r="AA10777" t="s">
        <v>118</v>
      </c>
      <c r="AB10777" t="s">
        <v>119</v>
      </c>
    </row>
    <row r="10778" ht="15" customHeight="1" spans="1:23" x14ac:dyDescent="0.25">
      <c r="A10778" s="17" t="s">
        <v>29641</v>
      </c>
      <c r="B10778" s="17" t="s">
        <v>70</v>
      </c>
      <c r="C10778" s="17" t="s">
        <v>71</v>
      </c>
      <c r="D10778" t="s">
        <v>15704</v>
      </c>
      <c r="F10778" t="s">
        <v>29642</v>
      </c>
      <c r="J10778" s="17" t="s">
        <v>29643</v>
      </c>
      <c r="K10778" s="18">
        <f>628123930869</f>
        <v>628123930869</v>
      </c>
      <c r="N10778" s="17" t="s">
        <v>77</v>
      </c>
      <c r="U10778" s="17"/>
      <c r="V10778" s="18">
        <f>628123930869</f>
        <v>628123930869</v>
      </c>
      <c r="W10778" t="s">
        <v>181</v>
      </c>
    </row>
    <row r="10779" ht="15" customHeight="1" spans="1:22" x14ac:dyDescent="0.25">
      <c r="A10779" s="17" t="s">
        <v>29644</v>
      </c>
      <c r="B10779" s="17" t="s">
        <v>70</v>
      </c>
      <c r="C10779" s="17" t="s">
        <v>71</v>
      </c>
      <c r="D10779" t="s">
        <v>15704</v>
      </c>
      <c r="F10779" t="s">
        <v>29645</v>
      </c>
      <c r="K10779" s="18">
        <f>6281933402249</f>
        <v>6281933402249</v>
      </c>
      <c r="N10779" s="17" t="s">
        <v>77</v>
      </c>
      <c r="V10779" s="18">
        <f>6281933402249</f>
        <v>6281933402249</v>
      </c>
    </row>
    <row r="10780" ht="15" customHeight="1" spans="1:23" x14ac:dyDescent="0.25">
      <c r="A10780" s="17" t="s">
        <v>29646</v>
      </c>
      <c r="B10780" s="17" t="s">
        <v>70</v>
      </c>
      <c r="C10780" s="17" t="s">
        <v>71</v>
      </c>
      <c r="D10780" t="s">
        <v>15704</v>
      </c>
      <c r="F10780" t="s">
        <v>29647</v>
      </c>
      <c r="J10780" s="17" t="s">
        <v>29648</v>
      </c>
      <c r="K10780" s="18">
        <f>628124040333</f>
        <v>628124040333</v>
      </c>
      <c r="N10780" s="17" t="s">
        <v>77</v>
      </c>
      <c r="U10780" s="17"/>
      <c r="V10780" s="18">
        <f>628124040333</f>
        <v>628124040333</v>
      </c>
      <c r="W10780" t="s">
        <v>29649</v>
      </c>
    </row>
    <row r="10781" ht="15" customHeight="1" spans="1:22" x14ac:dyDescent="0.25">
      <c r="A10781" s="17" t="s">
        <v>29650</v>
      </c>
      <c r="B10781" s="17" t="s">
        <v>70</v>
      </c>
      <c r="C10781" s="17" t="s">
        <v>71</v>
      </c>
      <c r="D10781" t="s">
        <v>15704</v>
      </c>
      <c r="F10781" t="s">
        <v>6671</v>
      </c>
      <c r="K10781" s="18">
        <f>62881037197573</f>
        <v>62881037197573</v>
      </c>
      <c r="N10781" s="17" t="s">
        <v>77</v>
      </c>
      <c r="V10781" s="18">
        <f>62881037197573</f>
        <v>62881037197573</v>
      </c>
    </row>
    <row r="10782" ht="15" customHeight="1" spans="1:22" x14ac:dyDescent="0.25">
      <c r="A10782" s="17" t="s">
        <v>29651</v>
      </c>
      <c r="B10782" s="17" t="s">
        <v>70</v>
      </c>
      <c r="C10782" s="17" t="s">
        <v>71</v>
      </c>
      <c r="D10782" t="s">
        <v>15704</v>
      </c>
      <c r="F10782" t="s">
        <v>29652</v>
      </c>
      <c r="K10782" s="18">
        <f>6285806912166</f>
        <v>6285806912166</v>
      </c>
      <c r="N10782" s="17" t="s">
        <v>77</v>
      </c>
      <c r="V10782" s="18">
        <f>6285806912166</f>
        <v>6285806912166</v>
      </c>
    </row>
    <row r="10783" ht="15" customHeight="1" spans="1:22" x14ac:dyDescent="0.25">
      <c r="A10783" s="17" t="s">
        <v>29653</v>
      </c>
      <c r="B10783" s="17" t="s">
        <v>70</v>
      </c>
      <c r="C10783" s="17" t="s">
        <v>71</v>
      </c>
      <c r="D10783" t="s">
        <v>15704</v>
      </c>
      <c r="F10783" t="s">
        <v>29654</v>
      </c>
      <c r="K10783" s="18">
        <f>8681237123103</f>
        <v>8681237123103</v>
      </c>
      <c r="N10783" s="17" t="s">
        <v>77</v>
      </c>
      <c r="V10783" s="18">
        <f>8681237123103</f>
        <v>8681237123103</v>
      </c>
    </row>
    <row r="10784" ht="15" customHeight="1" spans="1:28" x14ac:dyDescent="0.25">
      <c r="A10784" s="17" t="s">
        <v>29655</v>
      </c>
      <c r="B10784" s="17" t="s">
        <v>70</v>
      </c>
      <c r="C10784" s="17" t="s">
        <v>71</v>
      </c>
      <c r="D10784" t="s">
        <v>29656</v>
      </c>
      <c r="F10784" t="s">
        <v>29657</v>
      </c>
      <c r="J10784" s="17" t="s">
        <v>29658</v>
      </c>
      <c r="K10784" s="18" t="s">
        <v>29659</v>
      </c>
      <c r="N10784" s="17" t="s">
        <v>77</v>
      </c>
      <c r="O10784" t="s">
        <v>117</v>
      </c>
      <c r="U10784" s="17"/>
      <c r="V10784" s="18" t="s">
        <v>29659</v>
      </c>
      <c r="W10784" t="s">
        <v>29660</v>
      </c>
      <c r="Y10784" t="s">
        <v>181</v>
      </c>
      <c r="AA10784" t="s">
        <v>1672</v>
      </c>
      <c r="AB10784" t="s">
        <v>119</v>
      </c>
    </row>
    <row r="10785" ht="15" customHeight="1" spans="1:28" x14ac:dyDescent="0.25">
      <c r="A10785" s="17" t="s">
        <v>29661</v>
      </c>
      <c r="B10785" s="17" t="s">
        <v>70</v>
      </c>
      <c r="C10785" s="17" t="s">
        <v>71</v>
      </c>
      <c r="D10785" t="s">
        <v>29662</v>
      </c>
      <c r="F10785" t="s">
        <v>29663</v>
      </c>
      <c r="J10785" t="s">
        <v>115</v>
      </c>
      <c r="K10785" s="18" t="s">
        <v>29664</v>
      </c>
      <c r="N10785" s="17" t="s">
        <v>81</v>
      </c>
      <c r="O10785" t="s">
        <v>199</v>
      </c>
      <c r="V10785" s="18" t="s">
        <v>29664</v>
      </c>
      <c r="Y10785" t="s">
        <v>181</v>
      </c>
      <c r="AA10785" t="s">
        <v>1672</v>
      </c>
      <c r="AB10785" t="s">
        <v>119</v>
      </c>
    </row>
    <row r="10786" ht="15" customHeight="1" spans="1:28" x14ac:dyDescent="0.25">
      <c r="A10786" s="17" t="s">
        <v>29665</v>
      </c>
      <c r="B10786" s="17" t="s">
        <v>70</v>
      </c>
      <c r="C10786" s="17" t="s">
        <v>71</v>
      </c>
      <c r="D10786" t="s">
        <v>29662</v>
      </c>
      <c r="F10786" t="s">
        <v>10081</v>
      </c>
      <c r="J10786" t="s">
        <v>115</v>
      </c>
      <c r="K10786" s="18" t="s">
        <v>29666</v>
      </c>
      <c r="N10786" s="17" t="s">
        <v>77</v>
      </c>
      <c r="O10786" t="s">
        <v>199</v>
      </c>
      <c r="U10786" s="17"/>
      <c r="V10786" s="18" t="s">
        <v>29666</v>
      </c>
      <c r="W10786" t="s">
        <v>180</v>
      </c>
      <c r="Y10786" s="17" t="s">
        <v>181</v>
      </c>
      <c r="AA10786" t="s">
        <v>1672</v>
      </c>
      <c r="AB10786" t="s">
        <v>119</v>
      </c>
    </row>
    <row r="10787" ht="15" customHeight="1" spans="1:25" x14ac:dyDescent="0.25">
      <c r="A10787" s="17" t="s">
        <v>29667</v>
      </c>
      <c r="B10787" s="17" t="s">
        <v>70</v>
      </c>
      <c r="C10787" s="17" t="s">
        <v>71</v>
      </c>
      <c r="D10787" t="s">
        <v>15704</v>
      </c>
      <c r="F10787" t="s">
        <v>3962</v>
      </c>
      <c r="J10787" s="17" t="s">
        <v>29668</v>
      </c>
      <c r="K10787" s="18">
        <v>18867905306</v>
      </c>
      <c r="N10787" s="17" t="s">
        <v>77</v>
      </c>
      <c r="U10787" s="17"/>
      <c r="V10787" s="18">
        <v>18867905306</v>
      </c>
      <c r="W10787" t="s">
        <v>29669</v>
      </c>
      <c r="Y10787" s="17" t="s">
        <v>29670</v>
      </c>
    </row>
    <row r="10788" ht="15" customHeight="1" spans="1:28" x14ac:dyDescent="0.25">
      <c r="A10788" s="17" t="s">
        <v>29671</v>
      </c>
      <c r="B10788" s="17" t="s">
        <v>70</v>
      </c>
      <c r="C10788" s="17" t="s">
        <v>71</v>
      </c>
      <c r="D10788" t="s">
        <v>29672</v>
      </c>
      <c r="F10788" t="s">
        <v>29673</v>
      </c>
      <c r="J10788" s="17" t="s">
        <v>29674</v>
      </c>
      <c r="K10788" s="18" t="s">
        <v>29675</v>
      </c>
      <c r="N10788" s="17" t="s">
        <v>77</v>
      </c>
      <c r="O10788" t="s">
        <v>117</v>
      </c>
      <c r="V10788" s="18" t="s">
        <v>29675</v>
      </c>
      <c r="Y10788" t="s">
        <v>115</v>
      </c>
      <c r="AA10788" t="s">
        <v>115</v>
      </c>
      <c r="AB10788" t="s">
        <v>3140</v>
      </c>
    </row>
    <row r="10789" ht="15" customHeight="1" spans="1:23" x14ac:dyDescent="0.25">
      <c r="A10789" s="17" t="s">
        <v>29676</v>
      </c>
      <c r="B10789" s="17" t="s">
        <v>70</v>
      </c>
      <c r="C10789" s="17" t="s">
        <v>71</v>
      </c>
      <c r="D10789" t="s">
        <v>29672</v>
      </c>
      <c r="F10789" t="s">
        <v>8400</v>
      </c>
      <c r="J10789" s="17" t="s">
        <v>29677</v>
      </c>
      <c r="K10789" s="18">
        <f>8618616261860</f>
        <v>8618616261860</v>
      </c>
      <c r="N10789" s="17" t="s">
        <v>77</v>
      </c>
      <c r="U10789" s="17"/>
      <c r="V10789" s="18">
        <f>8618616261860</f>
        <v>8618616261860</v>
      </c>
      <c r="W10789" t="s">
        <v>7374</v>
      </c>
    </row>
    <row r="10790" ht="15" customHeight="1" spans="1:28" x14ac:dyDescent="0.25">
      <c r="A10790" s="17" t="s">
        <v>29678</v>
      </c>
      <c r="B10790" s="17" t="s">
        <v>70</v>
      </c>
      <c r="C10790" s="17" t="s">
        <v>71</v>
      </c>
      <c r="D10790" t="s">
        <v>15704</v>
      </c>
      <c r="F10790" t="s">
        <v>29679</v>
      </c>
      <c r="J10790" s="17" t="s">
        <v>29680</v>
      </c>
      <c r="K10790" s="18" t="s">
        <v>29681</v>
      </c>
      <c r="N10790" s="17" t="s">
        <v>77</v>
      </c>
      <c r="O10790" t="s">
        <v>117</v>
      </c>
      <c r="U10790" s="17"/>
      <c r="V10790" s="18" t="s">
        <v>29681</v>
      </c>
      <c r="W10790" t="s">
        <v>3140</v>
      </c>
      <c r="Y10790" t="s">
        <v>3140</v>
      </c>
      <c r="AA10790" t="s">
        <v>115</v>
      </c>
      <c r="AB10790" t="s">
        <v>3140</v>
      </c>
    </row>
    <row r="10791" ht="15" customHeight="1" spans="1:22" x14ac:dyDescent="0.25">
      <c r="A10791" s="17" t="s">
        <v>29682</v>
      </c>
      <c r="B10791" s="17" t="s">
        <v>70</v>
      </c>
      <c r="C10791" s="17" t="s">
        <v>71</v>
      </c>
      <c r="D10791" t="s">
        <v>29683</v>
      </c>
      <c r="F10791" t="s">
        <v>29683</v>
      </c>
      <c r="K10791" s="18">
        <f>6281808610079</f>
        <v>6281808610079</v>
      </c>
      <c r="N10791" s="17" t="s">
        <v>77</v>
      </c>
      <c r="V10791" s="18">
        <f>6281808610079</f>
        <v>6281808610079</v>
      </c>
    </row>
    <row r="10792" ht="15" customHeight="1" spans="1:22" x14ac:dyDescent="0.25">
      <c r="A10792" s="17" t="s">
        <v>29684</v>
      </c>
      <c r="B10792" s="17" t="s">
        <v>70</v>
      </c>
      <c r="C10792" s="17" t="s">
        <v>71</v>
      </c>
      <c r="D10792" t="s">
        <v>29685</v>
      </c>
      <c r="F10792" t="s">
        <v>29685</v>
      </c>
      <c r="K10792" s="18">
        <f>628161960425</f>
        <v>628161960425</v>
      </c>
      <c r="N10792" s="17" t="s">
        <v>77</v>
      </c>
      <c r="V10792" s="18">
        <f>628161960425</f>
        <v>628161960425</v>
      </c>
    </row>
    <row r="10793" ht="15" customHeight="1" spans="1:22" x14ac:dyDescent="0.25">
      <c r="A10793" s="17" t="s">
        <v>29686</v>
      </c>
      <c r="B10793" s="17" t="s">
        <v>70</v>
      </c>
      <c r="C10793" s="17" t="s">
        <v>71</v>
      </c>
      <c r="D10793" t="s">
        <v>29685</v>
      </c>
      <c r="F10793" t="s">
        <v>29687</v>
      </c>
      <c r="K10793" s="18">
        <f>628118989099</f>
        <v>628118989099</v>
      </c>
      <c r="N10793" s="17" t="s">
        <v>77</v>
      </c>
      <c r="V10793" s="18">
        <f>628118989099</f>
        <v>628118989099</v>
      </c>
    </row>
    <row r="10794" ht="15" customHeight="1" spans="1:25" x14ac:dyDescent="0.25">
      <c r="A10794" s="17" t="s">
        <v>29688</v>
      </c>
      <c r="B10794" s="17" t="s">
        <v>70</v>
      </c>
      <c r="C10794" s="17" t="s">
        <v>71</v>
      </c>
      <c r="D10794" t="s">
        <v>29685</v>
      </c>
      <c r="F10794" t="s">
        <v>18814</v>
      </c>
      <c r="K10794" s="18">
        <f>62818703431</f>
        <v>62818703431</v>
      </c>
      <c r="N10794" s="17" t="s">
        <v>77</v>
      </c>
      <c r="U10794" s="17"/>
      <c r="V10794" s="18">
        <f>62818703431</f>
        <v>62818703431</v>
      </c>
      <c r="W10794" t="s">
        <v>8161</v>
      </c>
      <c r="Y10794" s="17" t="s">
        <v>96</v>
      </c>
    </row>
    <row r="10795" ht="15" customHeight="1" spans="1:22" x14ac:dyDescent="0.25">
      <c r="A10795" s="17" t="s">
        <v>29689</v>
      </c>
      <c r="B10795" s="17" t="s">
        <v>70</v>
      </c>
      <c r="C10795" s="17" t="s">
        <v>71</v>
      </c>
      <c r="D10795" t="s">
        <v>29685</v>
      </c>
      <c r="F10795" t="s">
        <v>29690</v>
      </c>
      <c r="K10795" s="18">
        <f>6287777666998</f>
        <v>6287777666998</v>
      </c>
      <c r="N10795" s="17" t="s">
        <v>77</v>
      </c>
      <c r="V10795" s="18">
        <f>6287777666998</f>
        <v>6287777666998</v>
      </c>
    </row>
    <row r="10796" ht="15" customHeight="1" spans="1:23" x14ac:dyDescent="0.25">
      <c r="A10796" s="17" t="s">
        <v>29691</v>
      </c>
      <c r="B10796" s="17" t="s">
        <v>70</v>
      </c>
      <c r="C10796" s="17" t="s">
        <v>71</v>
      </c>
      <c r="D10796" t="s">
        <v>29685</v>
      </c>
      <c r="F10796" t="s">
        <v>29692</v>
      </c>
      <c r="K10796" s="18">
        <f>628113449835</f>
        <v>628113449835</v>
      </c>
      <c r="N10796" s="17" t="s">
        <v>77</v>
      </c>
      <c r="U10796" s="17"/>
      <c r="V10796" s="18">
        <f>628113449835</f>
        <v>628113449835</v>
      </c>
      <c r="W10796" t="s">
        <v>29693</v>
      </c>
    </row>
    <row r="10797" ht="15" customHeight="1" spans="1:22" x14ac:dyDescent="0.25">
      <c r="A10797" s="17" t="s">
        <v>29694</v>
      </c>
      <c r="B10797" s="17" t="s">
        <v>70</v>
      </c>
      <c r="C10797" s="17" t="s">
        <v>71</v>
      </c>
      <c r="D10797" t="s">
        <v>29685</v>
      </c>
      <c r="F10797" t="s">
        <v>27150</v>
      </c>
      <c r="K10797" s="18">
        <f>6287876584361</f>
        <v>6287876584361</v>
      </c>
      <c r="N10797" s="17" t="s">
        <v>77</v>
      </c>
      <c r="V10797" s="18">
        <f>6287876584361</f>
        <v>6287876584361</v>
      </c>
    </row>
    <row r="10798" ht="15" customHeight="1" spans="1:23" x14ac:dyDescent="0.25">
      <c r="A10798" s="17" t="s">
        <v>29695</v>
      </c>
      <c r="B10798" s="17" t="s">
        <v>70</v>
      </c>
      <c r="C10798" s="17" t="s">
        <v>71</v>
      </c>
      <c r="D10798" t="s">
        <v>29685</v>
      </c>
      <c r="F10798" t="s">
        <v>29696</v>
      </c>
      <c r="K10798" s="18">
        <f>628559900500</f>
        <v>628559900500</v>
      </c>
      <c r="N10798" s="17" t="s">
        <v>77</v>
      </c>
      <c r="U10798" s="17"/>
      <c r="V10798" s="18">
        <f>628559900500</f>
        <v>628559900500</v>
      </c>
      <c r="W10798" t="s">
        <v>29697</v>
      </c>
    </row>
    <row r="10799" ht="15" customHeight="1" spans="1:25" x14ac:dyDescent="0.25">
      <c r="A10799" s="17" t="s">
        <v>29698</v>
      </c>
      <c r="B10799" s="17" t="s">
        <v>70</v>
      </c>
      <c r="C10799" s="17" t="s">
        <v>71</v>
      </c>
      <c r="D10799" t="s">
        <v>29685</v>
      </c>
      <c r="F10799" t="s">
        <v>18353</v>
      </c>
      <c r="K10799" s="18">
        <f>6282260608910</f>
        <v>6282260608910</v>
      </c>
      <c r="N10799" s="17" t="s">
        <v>77</v>
      </c>
      <c r="U10799" s="17"/>
      <c r="V10799" s="18">
        <f>6282260608910</f>
        <v>6282260608910</v>
      </c>
      <c r="W10799" t="s">
        <v>29699</v>
      </c>
      <c r="Y10799" s="17" t="s">
        <v>622</v>
      </c>
    </row>
    <row r="10800" ht="15" customHeight="1" spans="1:22" x14ac:dyDescent="0.25">
      <c r="A10800" s="17" t="s">
        <v>29700</v>
      </c>
      <c r="B10800" s="17" t="s">
        <v>70</v>
      </c>
      <c r="C10800" s="17" t="s">
        <v>71</v>
      </c>
      <c r="D10800" t="s">
        <v>29685</v>
      </c>
      <c r="F10800" t="s">
        <v>2258</v>
      </c>
      <c r="K10800" s="18">
        <f>62818846113</f>
        <v>62818846113</v>
      </c>
      <c r="N10800" s="17" t="s">
        <v>77</v>
      </c>
      <c r="V10800" s="18">
        <f>62818846113</f>
        <v>62818846113</v>
      </c>
    </row>
    <row r="10801" ht="15" customHeight="1" spans="1:22" x14ac:dyDescent="0.25">
      <c r="A10801" s="17" t="s">
        <v>29701</v>
      </c>
      <c r="B10801" s="17" t="s">
        <v>70</v>
      </c>
      <c r="C10801" s="17" t="s">
        <v>71</v>
      </c>
      <c r="D10801" t="s">
        <v>29702</v>
      </c>
      <c r="F10801" t="s">
        <v>29703</v>
      </c>
      <c r="J10801" s="17" t="s">
        <v>29704</v>
      </c>
      <c r="K10801" s="18">
        <f>6281933991987</f>
        <v>6281933991987</v>
      </c>
      <c r="N10801" s="17" t="s">
        <v>77</v>
      </c>
      <c r="V10801" s="18">
        <f>6281933991987</f>
        <v>6281933991987</v>
      </c>
    </row>
    <row r="10802" ht="15" customHeight="1" spans="1:22" x14ac:dyDescent="0.25">
      <c r="A10802" s="17" t="s">
        <v>29705</v>
      </c>
      <c r="B10802" s="17" t="s">
        <v>70</v>
      </c>
      <c r="C10802" s="17" t="s">
        <v>71</v>
      </c>
      <c r="D10802" t="s">
        <v>29706</v>
      </c>
      <c r="F10802" t="s">
        <v>13728</v>
      </c>
      <c r="K10802" s="18">
        <f>6281908031712</f>
        <v>6281908031712</v>
      </c>
      <c r="N10802" s="17" t="s">
        <v>77</v>
      </c>
      <c r="V10802" s="18">
        <f>6281908031712</f>
        <v>6281908031712</v>
      </c>
    </row>
    <row r="10803" ht="15" customHeight="1" spans="1:22" x14ac:dyDescent="0.25">
      <c r="A10803" s="17" t="s">
        <v>29707</v>
      </c>
      <c r="B10803" s="17" t="s">
        <v>70</v>
      </c>
      <c r="C10803" s="17" t="s">
        <v>71</v>
      </c>
      <c r="D10803" t="s">
        <v>29708</v>
      </c>
      <c r="F10803" t="s">
        <v>29708</v>
      </c>
      <c r="K10803" s="18">
        <f>62816269269</f>
        <v>62816269269</v>
      </c>
      <c r="N10803" s="17" t="s">
        <v>77</v>
      </c>
      <c r="V10803" s="18">
        <f>62816269269</f>
        <v>62816269269</v>
      </c>
    </row>
    <row r="10804" ht="15" customHeight="1" spans="1:25" x14ac:dyDescent="0.25">
      <c r="A10804" s="17" t="s">
        <v>29709</v>
      </c>
      <c r="B10804" s="17" t="s">
        <v>70</v>
      </c>
      <c r="C10804" s="17" t="s">
        <v>71</v>
      </c>
      <c r="D10804" t="s">
        <v>29710</v>
      </c>
      <c r="F10804" t="s">
        <v>29710</v>
      </c>
      <c r="K10804" s="18">
        <f>62811335790</f>
        <v>62811335790</v>
      </c>
      <c r="N10804" s="17" t="s">
        <v>81</v>
      </c>
      <c r="V10804" s="18">
        <f>62811335790</f>
        <v>62811335790</v>
      </c>
      <c r="Y10804" s="17" t="s">
        <v>90</v>
      </c>
    </row>
    <row r="10805" ht="15" customHeight="1" spans="1:22" x14ac:dyDescent="0.25">
      <c r="A10805" s="17" t="s">
        <v>29711</v>
      </c>
      <c r="B10805" s="17" t="s">
        <v>70</v>
      </c>
      <c r="C10805" s="17" t="s">
        <v>71</v>
      </c>
      <c r="D10805" t="s">
        <v>29710</v>
      </c>
      <c r="F10805" t="s">
        <v>29710</v>
      </c>
      <c r="K10805" s="18">
        <f>6281217678888</f>
        <v>6281217678888</v>
      </c>
      <c r="N10805" s="17" t="s">
        <v>77</v>
      </c>
      <c r="V10805" s="18">
        <f>6281217678888</f>
        <v>6281217678888</v>
      </c>
    </row>
    <row r="10806" ht="15" customHeight="1" spans="1:28" x14ac:dyDescent="0.25">
      <c r="A10806" s="17" t="s">
        <v>29712</v>
      </c>
      <c r="B10806" s="17" t="s">
        <v>70</v>
      </c>
      <c r="C10806" s="17" t="s">
        <v>71</v>
      </c>
      <c r="D10806" t="s">
        <v>29710</v>
      </c>
      <c r="F10806" t="s">
        <v>6450</v>
      </c>
      <c r="J10806" s="17" t="s">
        <v>29713</v>
      </c>
      <c r="K10806" s="18" t="s">
        <v>29714</v>
      </c>
      <c r="N10806" s="17" t="s">
        <v>77</v>
      </c>
      <c r="O10806" t="s">
        <v>489</v>
      </c>
      <c r="U10806" s="17"/>
      <c r="V10806" s="18" t="s">
        <v>29714</v>
      </c>
      <c r="W10806" t="s">
        <v>29715</v>
      </c>
      <c r="Y10806" t="s">
        <v>490</v>
      </c>
      <c r="AA10806" t="s">
        <v>115</v>
      </c>
      <c r="AB10806" t="s">
        <v>119</v>
      </c>
    </row>
    <row r="10807" ht="15" customHeight="1" spans="1:22" x14ac:dyDescent="0.25">
      <c r="A10807" s="17" t="s">
        <v>29716</v>
      </c>
      <c r="B10807" s="17" t="s">
        <v>70</v>
      </c>
      <c r="C10807" s="17" t="s">
        <v>71</v>
      </c>
      <c r="D10807" t="s">
        <v>29710</v>
      </c>
      <c r="F10807" t="s">
        <v>29717</v>
      </c>
      <c r="K10807" s="18">
        <f>62816816713</f>
        <v>62816816713</v>
      </c>
      <c r="N10807" s="17" t="s">
        <v>77</v>
      </c>
      <c r="V10807" s="18">
        <f>62816816713</f>
        <v>62816816713</v>
      </c>
    </row>
    <row r="10808" ht="15" customHeight="1" spans="1:28" x14ac:dyDescent="0.25">
      <c r="A10808" s="17" t="s">
        <v>29718</v>
      </c>
      <c r="B10808" s="17" t="s">
        <v>70</v>
      </c>
      <c r="C10808" s="17" t="s">
        <v>71</v>
      </c>
      <c r="D10808" t="s">
        <v>29719</v>
      </c>
      <c r="F10808" t="s">
        <v>672</v>
      </c>
      <c r="J10808" s="17" t="s">
        <v>29720</v>
      </c>
      <c r="K10808" s="18" t="s">
        <v>29721</v>
      </c>
      <c r="N10808" s="17" t="s">
        <v>77</v>
      </c>
      <c r="O10808" t="s">
        <v>145</v>
      </c>
      <c r="V10808" s="18" t="s">
        <v>29721</v>
      </c>
      <c r="Y10808" s="17" t="s">
        <v>190</v>
      </c>
      <c r="AA10808" t="s">
        <v>118</v>
      </c>
      <c r="AB10808" t="s">
        <v>119</v>
      </c>
    </row>
    <row r="10809" ht="15" customHeight="1" spans="1:22" x14ac:dyDescent="0.25">
      <c r="A10809" s="17" t="s">
        <v>29722</v>
      </c>
      <c r="B10809" s="17" t="s">
        <v>70</v>
      </c>
      <c r="C10809" s="17" t="s">
        <v>71</v>
      </c>
      <c r="D10809" t="s">
        <v>29710</v>
      </c>
      <c r="F10809" t="s">
        <v>29723</v>
      </c>
      <c r="K10809" s="18">
        <f>628111616668</f>
        <v>628111616668</v>
      </c>
      <c r="N10809" s="17" t="s">
        <v>77</v>
      </c>
      <c r="V10809" s="18">
        <f>628111616668</f>
        <v>628111616668</v>
      </c>
    </row>
    <row r="10810" ht="15" customHeight="1" spans="1:28" x14ac:dyDescent="0.25">
      <c r="A10810" s="17" t="s">
        <v>29724</v>
      </c>
      <c r="B10810" s="17" t="s">
        <v>70</v>
      </c>
      <c r="C10810" s="17" t="s">
        <v>71</v>
      </c>
      <c r="D10810" t="s">
        <v>29710</v>
      </c>
      <c r="F10810" t="s">
        <v>672</v>
      </c>
      <c r="J10810" s="17" t="s">
        <v>29725</v>
      </c>
      <c r="K10810" s="18" t="s">
        <v>29726</v>
      </c>
      <c r="N10810" s="17" t="s">
        <v>77</v>
      </c>
      <c r="O10810" t="s">
        <v>199</v>
      </c>
      <c r="V10810" s="18" t="s">
        <v>29726</v>
      </c>
      <c r="Y10810" t="s">
        <v>500</v>
      </c>
      <c r="AA10810" t="s">
        <v>501</v>
      </c>
      <c r="AB10810" t="s">
        <v>119</v>
      </c>
    </row>
    <row r="10811" ht="15" customHeight="1" spans="1:22" x14ac:dyDescent="0.25">
      <c r="A10811" s="17" t="s">
        <v>29727</v>
      </c>
      <c r="B10811" s="17" t="s">
        <v>70</v>
      </c>
      <c r="C10811" s="17" t="s">
        <v>71</v>
      </c>
      <c r="D10811" t="s">
        <v>29710</v>
      </c>
      <c r="F10811" t="s">
        <v>6082</v>
      </c>
      <c r="K10811" s="18">
        <f>6285770548755</f>
        <v>6285770548755</v>
      </c>
      <c r="N10811" s="17" t="s">
        <v>81</v>
      </c>
      <c r="V10811" s="18">
        <f>6285770548755</f>
        <v>6285770548755</v>
      </c>
    </row>
    <row r="10812" ht="15" customHeight="1" spans="1:28" x14ac:dyDescent="0.25">
      <c r="A10812" s="17" t="s">
        <v>29728</v>
      </c>
      <c r="B10812" s="17" t="s">
        <v>70</v>
      </c>
      <c r="C10812" s="17" t="s">
        <v>71</v>
      </c>
      <c r="D10812" t="s">
        <v>29729</v>
      </c>
      <c r="F10812" t="s">
        <v>29730</v>
      </c>
      <c r="J10812" t="s">
        <v>115</v>
      </c>
      <c r="K10812" s="18" t="s">
        <v>29731</v>
      </c>
      <c r="N10812" s="17" t="s">
        <v>77</v>
      </c>
      <c r="O10812" t="s">
        <v>199</v>
      </c>
      <c r="V10812" s="18" t="s">
        <v>29731</v>
      </c>
      <c r="Y10812" t="s">
        <v>90</v>
      </c>
      <c r="AA10812" t="s">
        <v>118</v>
      </c>
      <c r="AB10812" t="s">
        <v>119</v>
      </c>
    </row>
    <row r="10813" ht="15" customHeight="1" spans="1:28" x14ac:dyDescent="0.25">
      <c r="A10813" s="17" t="s">
        <v>29732</v>
      </c>
      <c r="B10813" s="17" t="s">
        <v>70</v>
      </c>
      <c r="C10813" s="17" t="s">
        <v>71</v>
      </c>
      <c r="D10813" t="s">
        <v>29733</v>
      </c>
      <c r="F10813" t="s">
        <v>29733</v>
      </c>
      <c r="J10813" t="s">
        <v>115</v>
      </c>
      <c r="K10813" s="18" t="s">
        <v>29734</v>
      </c>
      <c r="N10813" s="17" t="s">
        <v>77</v>
      </c>
      <c r="O10813" t="s">
        <v>145</v>
      </c>
      <c r="V10813" s="18" t="s">
        <v>29734</v>
      </c>
      <c r="Y10813" t="s">
        <v>115</v>
      </c>
      <c r="AA10813" t="s">
        <v>115</v>
      </c>
      <c r="AB10813" t="s">
        <v>119</v>
      </c>
    </row>
    <row r="10814" ht="15" customHeight="1" spans="1:25" x14ac:dyDescent="0.25">
      <c r="A10814" s="17" t="s">
        <v>29735</v>
      </c>
      <c r="B10814" s="17" t="s">
        <v>70</v>
      </c>
      <c r="C10814" s="17" t="s">
        <v>71</v>
      </c>
      <c r="D10814" t="s">
        <v>29733</v>
      </c>
      <c r="F10814" t="s">
        <v>29736</v>
      </c>
      <c r="K10814" s="18">
        <f>628151111663</f>
        <v>628151111663</v>
      </c>
      <c r="N10814" s="17" t="s">
        <v>77</v>
      </c>
      <c r="U10814" s="17"/>
      <c r="V10814" s="18">
        <f>628151111663</f>
        <v>628151111663</v>
      </c>
      <c r="W10814" t="s">
        <v>29737</v>
      </c>
      <c r="Y10814" s="17" t="s">
        <v>96</v>
      </c>
    </row>
    <row r="10815" ht="15" customHeight="1" spans="1:23" x14ac:dyDescent="0.25">
      <c r="A10815" s="17" t="s">
        <v>29738</v>
      </c>
      <c r="B10815" s="17" t="s">
        <v>70</v>
      </c>
      <c r="C10815" s="17" t="s">
        <v>71</v>
      </c>
      <c r="D10815" t="s">
        <v>29739</v>
      </c>
      <c r="F10815" t="s">
        <v>29740</v>
      </c>
      <c r="K10815" s="18">
        <f>62818915007</f>
        <v>62818915007</v>
      </c>
      <c r="N10815" s="17" t="s">
        <v>81</v>
      </c>
      <c r="U10815" s="17"/>
      <c r="V10815" s="18">
        <f>62818915007</f>
        <v>62818915007</v>
      </c>
      <c r="W10815" t="s">
        <v>29741</v>
      </c>
    </row>
    <row r="10816" ht="15" customHeight="1" spans="1:28" x14ac:dyDescent="0.25">
      <c r="A10816" s="17" t="s">
        <v>29742</v>
      </c>
      <c r="B10816" s="17" t="s">
        <v>70</v>
      </c>
      <c r="C10816" s="17" t="s">
        <v>71</v>
      </c>
      <c r="D10816" t="s">
        <v>29743</v>
      </c>
      <c r="F10816" t="s">
        <v>3858</v>
      </c>
      <c r="J10816" s="17" t="s">
        <v>29744</v>
      </c>
      <c r="K10816" s="18" t="s">
        <v>29745</v>
      </c>
      <c r="N10816" s="17" t="s">
        <v>81</v>
      </c>
      <c r="O10816" t="s">
        <v>117</v>
      </c>
      <c r="V10816" s="18" t="s">
        <v>29745</v>
      </c>
      <c r="Y10816" t="s">
        <v>190</v>
      </c>
      <c r="AA10816" t="s">
        <v>118</v>
      </c>
      <c r="AB10816" t="s">
        <v>119</v>
      </c>
    </row>
    <row r="10817" ht="15" customHeight="1" spans="1:23" x14ac:dyDescent="0.25">
      <c r="A10817" s="17" t="s">
        <v>29746</v>
      </c>
      <c r="B10817" s="17" t="s">
        <v>70</v>
      </c>
      <c r="C10817" s="17" t="s">
        <v>71</v>
      </c>
      <c r="D10817" t="s">
        <v>29743</v>
      </c>
      <c r="F10817" t="s">
        <v>7657</v>
      </c>
      <c r="J10817" s="17" t="s">
        <v>29747</v>
      </c>
      <c r="K10817" s="18">
        <f>6281381823333</f>
        <v>6281381823333</v>
      </c>
      <c r="N10817" s="17" t="s">
        <v>81</v>
      </c>
      <c r="U10817" s="17"/>
      <c r="V10817" s="18">
        <f>6281381823333</f>
        <v>6281381823333</v>
      </c>
      <c r="W10817" t="s">
        <v>29748</v>
      </c>
    </row>
    <row r="10818" ht="15" customHeight="1" spans="1:28" x14ac:dyDescent="0.25">
      <c r="A10818" s="17" t="s">
        <v>29749</v>
      </c>
      <c r="B10818" s="17" t="s">
        <v>70</v>
      </c>
      <c r="C10818" s="17" t="s">
        <v>71</v>
      </c>
      <c r="D10818" t="s">
        <v>29743</v>
      </c>
      <c r="F10818" t="s">
        <v>29750</v>
      </c>
      <c r="J10818" s="17" t="s">
        <v>29751</v>
      </c>
      <c r="K10818" s="18" t="s">
        <v>29752</v>
      </c>
      <c r="N10818" s="17" t="s">
        <v>77</v>
      </c>
      <c r="O10818" t="s">
        <v>117</v>
      </c>
      <c r="U10818" s="17"/>
      <c r="V10818" s="18" t="s">
        <v>29752</v>
      </c>
      <c r="W10818" t="s">
        <v>29753</v>
      </c>
      <c r="Y10818" t="s">
        <v>181</v>
      </c>
      <c r="AA10818" t="s">
        <v>1672</v>
      </c>
      <c r="AB10818" t="s">
        <v>119</v>
      </c>
    </row>
    <row r="10819" ht="15" customHeight="1" spans="1:28" x14ac:dyDescent="0.25">
      <c r="A10819" s="17" t="s">
        <v>29754</v>
      </c>
      <c r="B10819" s="17" t="s">
        <v>70</v>
      </c>
      <c r="C10819" s="17" t="s">
        <v>71</v>
      </c>
      <c r="D10819" t="s">
        <v>29743</v>
      </c>
      <c r="F10819" t="s">
        <v>618</v>
      </c>
      <c r="J10819" t="s">
        <v>115</v>
      </c>
      <c r="K10819" s="18" t="s">
        <v>29755</v>
      </c>
      <c r="N10819" s="17" t="s">
        <v>77</v>
      </c>
      <c r="O10819" t="s">
        <v>117</v>
      </c>
      <c r="U10819" s="17"/>
      <c r="V10819" s="18" t="s">
        <v>29755</v>
      </c>
      <c r="W10819" t="s">
        <v>29756</v>
      </c>
      <c r="Y10819" t="s">
        <v>190</v>
      </c>
      <c r="AA10819" t="s">
        <v>118</v>
      </c>
      <c r="AB10819" t="s">
        <v>119</v>
      </c>
    </row>
    <row r="10820" ht="15" customHeight="1" spans="1:22" x14ac:dyDescent="0.25">
      <c r="A10820" s="17" t="s">
        <v>29757</v>
      </c>
      <c r="B10820" s="17" t="s">
        <v>70</v>
      </c>
      <c r="C10820" s="17" t="s">
        <v>71</v>
      </c>
      <c r="D10820" t="s">
        <v>29743</v>
      </c>
      <c r="F10820" t="s">
        <v>29758</v>
      </c>
      <c r="K10820" s="18">
        <f>6281297275967</f>
        <v>6281297275967</v>
      </c>
      <c r="N10820" s="17" t="s">
        <v>77</v>
      </c>
      <c r="V10820" s="18">
        <f>6281297275967</f>
        <v>6281297275967</v>
      </c>
    </row>
    <row r="10821" ht="15" customHeight="1" spans="1:22" x14ac:dyDescent="0.25">
      <c r="A10821" s="17" t="s">
        <v>29759</v>
      </c>
      <c r="B10821" s="17" t="s">
        <v>70</v>
      </c>
      <c r="C10821" s="17" t="s">
        <v>71</v>
      </c>
      <c r="D10821" t="s">
        <v>29760</v>
      </c>
      <c r="F10821" t="s">
        <v>29760</v>
      </c>
      <c r="J10821" s="17" t="s">
        <v>29761</v>
      </c>
      <c r="K10821" s="18">
        <f>6285210899873</f>
        <v>6285210899873</v>
      </c>
      <c r="N10821" s="17" t="s">
        <v>77</v>
      </c>
      <c r="V10821" s="18">
        <f>6285210899873</f>
        <v>6285210899873</v>
      </c>
    </row>
    <row r="10822" ht="15" customHeight="1" spans="1:25" x14ac:dyDescent="0.25">
      <c r="A10822" s="17" t="s">
        <v>29762</v>
      </c>
      <c r="B10822" s="17" t="s">
        <v>70</v>
      </c>
      <c r="C10822" s="17" t="s">
        <v>71</v>
      </c>
      <c r="D10822" t="s">
        <v>29760</v>
      </c>
      <c r="F10822" t="s">
        <v>29760</v>
      </c>
      <c r="K10822" s="18">
        <f>62818499899</f>
        <v>62818499899</v>
      </c>
      <c r="N10822" s="17" t="s">
        <v>74</v>
      </c>
      <c r="U10822" s="17"/>
      <c r="V10822" s="18">
        <f>62818499899</f>
        <v>62818499899</v>
      </c>
      <c r="W10822" t="s">
        <v>29763</v>
      </c>
      <c r="Y10822" s="17" t="s">
        <v>29763</v>
      </c>
    </row>
    <row r="10823" ht="15" customHeight="1" spans="1:23" x14ac:dyDescent="0.25">
      <c r="A10823" s="17" t="s">
        <v>29764</v>
      </c>
      <c r="B10823" s="17" t="s">
        <v>70</v>
      </c>
      <c r="C10823" s="17" t="s">
        <v>71</v>
      </c>
      <c r="D10823" t="s">
        <v>29760</v>
      </c>
      <c r="F10823" t="s">
        <v>29765</v>
      </c>
      <c r="K10823" s="18">
        <f>6281511111608</f>
        <v>6281511111608</v>
      </c>
      <c r="N10823" s="17" t="s">
        <v>77</v>
      </c>
      <c r="U10823" s="17"/>
      <c r="V10823" s="18">
        <f>6281511111608</f>
        <v>6281511111608</v>
      </c>
      <c r="W10823" t="s">
        <v>29766</v>
      </c>
    </row>
    <row r="10824" ht="15" customHeight="1" spans="1:22" x14ac:dyDescent="0.25">
      <c r="A10824" s="17" t="s">
        <v>29767</v>
      </c>
      <c r="B10824" s="17" t="s">
        <v>70</v>
      </c>
      <c r="C10824" s="17" t="s">
        <v>71</v>
      </c>
      <c r="D10824" t="s">
        <v>29760</v>
      </c>
      <c r="F10824" t="s">
        <v>618</v>
      </c>
      <c r="J10824" s="17" t="s">
        <v>29768</v>
      </c>
      <c r="K10824" s="18">
        <f>6281223230606</f>
        <v>6281223230606</v>
      </c>
      <c r="N10824" s="17" t="s">
        <v>77</v>
      </c>
      <c r="V10824" s="18">
        <f>6281223230606</f>
        <v>6281223230606</v>
      </c>
    </row>
    <row r="10825" ht="15" customHeight="1" spans="1:23" x14ac:dyDescent="0.25">
      <c r="A10825" s="17" t="s">
        <v>29769</v>
      </c>
      <c r="B10825" s="17" t="s">
        <v>70</v>
      </c>
      <c r="C10825" s="17" t="s">
        <v>71</v>
      </c>
      <c r="D10825" t="s">
        <v>29760</v>
      </c>
      <c r="F10825" t="s">
        <v>16056</v>
      </c>
      <c r="K10825" s="18">
        <f>628170811811</f>
        <v>628170811811</v>
      </c>
      <c r="N10825" s="17" t="s">
        <v>77</v>
      </c>
      <c r="U10825" s="17"/>
      <c r="V10825" s="18">
        <f>628170811811</f>
        <v>628170811811</v>
      </c>
      <c r="W10825" t="s">
        <v>29770</v>
      </c>
    </row>
    <row r="10826" ht="15" customHeight="1" spans="1:22" x14ac:dyDescent="0.25">
      <c r="A10826" s="17" t="s">
        <v>29771</v>
      </c>
      <c r="B10826" s="17" t="s">
        <v>70</v>
      </c>
      <c r="C10826" s="17" t="s">
        <v>71</v>
      </c>
      <c r="D10826" t="s">
        <v>29760</v>
      </c>
      <c r="F10826" t="s">
        <v>29772</v>
      </c>
      <c r="K10826" s="18">
        <f>62811844689</f>
        <v>62811844689</v>
      </c>
      <c r="N10826" s="17" t="s">
        <v>77</v>
      </c>
      <c r="V10826" s="18">
        <f>62811844689</f>
        <v>62811844689</v>
      </c>
    </row>
    <row r="10827" ht="15" customHeight="1" spans="1:22" x14ac:dyDescent="0.25">
      <c r="A10827" s="17" t="s">
        <v>29773</v>
      </c>
      <c r="B10827" s="17" t="s">
        <v>70</v>
      </c>
      <c r="C10827" s="17" t="s">
        <v>71</v>
      </c>
      <c r="D10827" t="s">
        <v>29760</v>
      </c>
      <c r="F10827" t="s">
        <v>29774</v>
      </c>
      <c r="K10827" s="18">
        <f>62818705554</f>
        <v>62818705554</v>
      </c>
      <c r="N10827" s="17" t="s">
        <v>81</v>
      </c>
      <c r="V10827" s="18">
        <f>62818705554</f>
        <v>62818705554</v>
      </c>
    </row>
    <row r="10828" ht="15" customHeight="1" spans="1:22" x14ac:dyDescent="0.25">
      <c r="A10828" s="17" t="s">
        <v>29775</v>
      </c>
      <c r="B10828" s="17" t="s">
        <v>70</v>
      </c>
      <c r="C10828" s="17" t="s">
        <v>71</v>
      </c>
      <c r="D10828" t="s">
        <v>29776</v>
      </c>
      <c r="F10828" t="s">
        <v>29776</v>
      </c>
      <c r="K10828" s="18">
        <f>6281296144001</f>
        <v>6281296144001</v>
      </c>
      <c r="N10828" s="17" t="s">
        <v>81</v>
      </c>
      <c r="V10828" s="18">
        <f>6281296144001</f>
        <v>6281296144001</v>
      </c>
    </row>
    <row r="10829" ht="15" customHeight="1" spans="1:22" x14ac:dyDescent="0.25">
      <c r="A10829" s="17" t="s">
        <v>29777</v>
      </c>
      <c r="B10829" s="17" t="s">
        <v>70</v>
      </c>
      <c r="C10829" s="17" t="s">
        <v>71</v>
      </c>
      <c r="D10829" t="s">
        <v>29776</v>
      </c>
      <c r="F10829" t="s">
        <v>29778</v>
      </c>
      <c r="K10829" s="18">
        <f>6287875087155</f>
        <v>6287875087155</v>
      </c>
      <c r="N10829" s="17" t="s">
        <v>81</v>
      </c>
      <c r="V10829" s="18">
        <f>6287875087155</f>
        <v>6287875087155</v>
      </c>
    </row>
    <row r="10830" ht="15" customHeight="1" spans="1:22" x14ac:dyDescent="0.25">
      <c r="A10830" s="17" t="s">
        <v>29779</v>
      </c>
      <c r="B10830" s="17" t="s">
        <v>70</v>
      </c>
      <c r="C10830" s="17" t="s">
        <v>71</v>
      </c>
      <c r="D10830" t="s">
        <v>29780</v>
      </c>
      <c r="F10830" t="s">
        <v>1130</v>
      </c>
      <c r="K10830" s="18">
        <f>628161906277</f>
        <v>628161906277</v>
      </c>
      <c r="N10830" s="17" t="s">
        <v>81</v>
      </c>
      <c r="V10830" s="18">
        <f>628161906277</f>
        <v>628161906277</v>
      </c>
    </row>
    <row r="10831" ht="15" customHeight="1" spans="1:23" x14ac:dyDescent="0.25">
      <c r="A10831" s="17" t="s">
        <v>29781</v>
      </c>
      <c r="B10831" s="17" t="s">
        <v>70</v>
      </c>
      <c r="C10831" s="17" t="s">
        <v>71</v>
      </c>
      <c r="D10831" t="s">
        <v>29782</v>
      </c>
      <c r="F10831" t="s">
        <v>29783</v>
      </c>
      <c r="K10831" s="18">
        <f>6282111602465</f>
        <v>6282111602465</v>
      </c>
      <c r="N10831" s="17" t="s">
        <v>81</v>
      </c>
      <c r="U10831" s="17"/>
      <c r="V10831" s="18">
        <f>6282111602465</f>
        <v>6282111602465</v>
      </c>
      <c r="W10831" t="s">
        <v>29784</v>
      </c>
    </row>
    <row r="10832" ht="15" customHeight="1" spans="1:22" x14ac:dyDescent="0.25">
      <c r="A10832" s="17" t="s">
        <v>29785</v>
      </c>
      <c r="B10832" s="17" t="s">
        <v>70</v>
      </c>
      <c r="C10832" s="17" t="s">
        <v>71</v>
      </c>
      <c r="D10832" t="s">
        <v>29782</v>
      </c>
      <c r="F10832" t="s">
        <v>29786</v>
      </c>
      <c r="K10832" s="18">
        <f>6287888893200</f>
        <v>6287888893200</v>
      </c>
      <c r="N10832" s="17" t="s">
        <v>81</v>
      </c>
      <c r="V10832" s="18">
        <f>6287888893200</f>
        <v>6287888893200</v>
      </c>
    </row>
    <row r="10833" ht="15" customHeight="1" spans="1:22" x14ac:dyDescent="0.25">
      <c r="A10833" s="17" t="s">
        <v>29787</v>
      </c>
      <c r="B10833" s="17" t="s">
        <v>70</v>
      </c>
      <c r="C10833" s="17" t="s">
        <v>71</v>
      </c>
      <c r="D10833" t="s">
        <v>29788</v>
      </c>
      <c r="F10833" t="s">
        <v>7043</v>
      </c>
      <c r="K10833" s="18">
        <f>62818772514</f>
        <v>62818772514</v>
      </c>
      <c r="N10833" s="17" t="s">
        <v>77</v>
      </c>
      <c r="V10833" s="18">
        <f>62818772514</f>
        <v>62818772514</v>
      </c>
    </row>
    <row r="10834" ht="15" customHeight="1" spans="1:28" x14ac:dyDescent="0.25">
      <c r="A10834" s="17" t="s">
        <v>29789</v>
      </c>
      <c r="B10834" s="17" t="s">
        <v>70</v>
      </c>
      <c r="C10834" s="17" t="s">
        <v>71</v>
      </c>
      <c r="D10834" t="s">
        <v>29788</v>
      </c>
      <c r="F10834" t="s">
        <v>12183</v>
      </c>
      <c r="J10834" t="s">
        <v>29790</v>
      </c>
      <c r="K10834" s="18" t="s">
        <v>29791</v>
      </c>
      <c r="N10834" s="17" t="s">
        <v>77</v>
      </c>
      <c r="O10834" t="s">
        <v>117</v>
      </c>
      <c r="V10834" s="18" t="s">
        <v>29791</v>
      </c>
      <c r="Y10834" s="17" t="s">
        <v>90</v>
      </c>
      <c r="AA10834" s="17" t="s">
        <v>118</v>
      </c>
      <c r="AB10834" t="s">
        <v>119</v>
      </c>
    </row>
    <row r="10835" ht="15" customHeight="1" spans="1:22" x14ac:dyDescent="0.25">
      <c r="A10835" s="17" t="s">
        <v>29792</v>
      </c>
      <c r="B10835" s="17" t="s">
        <v>70</v>
      </c>
      <c r="C10835" s="17" t="s">
        <v>71</v>
      </c>
      <c r="D10835" t="s">
        <v>29793</v>
      </c>
      <c r="F10835" t="s">
        <v>29793</v>
      </c>
      <c r="K10835" s="18">
        <f>628174932342</f>
        <v>628174932342</v>
      </c>
      <c r="N10835" s="17" t="s">
        <v>77</v>
      </c>
      <c r="V10835" s="18">
        <f>628174932342</f>
        <v>628174932342</v>
      </c>
    </row>
    <row r="10836" ht="15" customHeight="1" spans="1:22" x14ac:dyDescent="0.25">
      <c r="A10836" s="17" t="s">
        <v>29794</v>
      </c>
      <c r="B10836" s="17" t="s">
        <v>70</v>
      </c>
      <c r="C10836" s="17" t="s">
        <v>71</v>
      </c>
      <c r="D10836" t="s">
        <v>29793</v>
      </c>
      <c r="F10836" t="s">
        <v>14105</v>
      </c>
      <c r="K10836" s="18">
        <f>62811894486</f>
        <v>62811894486</v>
      </c>
      <c r="N10836" s="17" t="s">
        <v>81</v>
      </c>
      <c r="V10836" s="18">
        <f>62811894486</f>
        <v>62811894486</v>
      </c>
    </row>
    <row r="10837" ht="15" customHeight="1" spans="1:23" x14ac:dyDescent="0.25">
      <c r="A10837" s="17" t="s">
        <v>29795</v>
      </c>
      <c r="B10837" s="17" t="s">
        <v>70</v>
      </c>
      <c r="C10837" s="17" t="s">
        <v>71</v>
      </c>
      <c r="D10837" t="s">
        <v>29793</v>
      </c>
      <c r="F10837" t="s">
        <v>2691</v>
      </c>
      <c r="K10837" s="18">
        <f>628151809519</f>
        <v>628151809519</v>
      </c>
      <c r="N10837" s="17" t="s">
        <v>81</v>
      </c>
      <c r="U10837" s="17"/>
      <c r="V10837" s="18">
        <f>628151809519</f>
        <v>628151809519</v>
      </c>
      <c r="W10837" t="s">
        <v>29796</v>
      </c>
    </row>
    <row r="10838" ht="15" customHeight="1" spans="1:28" x14ac:dyDescent="0.25">
      <c r="A10838" s="17" t="s">
        <v>29797</v>
      </c>
      <c r="B10838" s="17" t="s">
        <v>70</v>
      </c>
      <c r="C10838" s="17" t="s">
        <v>71</v>
      </c>
      <c r="D10838" t="s">
        <v>6884</v>
      </c>
      <c r="F10838" t="s">
        <v>6884</v>
      </c>
      <c r="J10838" t="s">
        <v>115</v>
      </c>
      <c r="K10838" s="18" t="s">
        <v>29798</v>
      </c>
      <c r="N10838" s="17" t="s">
        <v>81</v>
      </c>
      <c r="O10838" t="s">
        <v>117</v>
      </c>
      <c r="V10838" s="18" t="s">
        <v>29798</v>
      </c>
      <c r="Y10838" t="s">
        <v>190</v>
      </c>
      <c r="AA10838" t="s">
        <v>118</v>
      </c>
      <c r="AB10838" t="s">
        <v>119</v>
      </c>
    </row>
    <row r="10839" ht="15" customHeight="1" spans="1:22" x14ac:dyDescent="0.25">
      <c r="A10839" s="17" t="s">
        <v>29799</v>
      </c>
      <c r="B10839" s="17" t="s">
        <v>70</v>
      </c>
      <c r="C10839" s="17" t="s">
        <v>71</v>
      </c>
      <c r="D10839" t="s">
        <v>6884</v>
      </c>
      <c r="F10839" t="s">
        <v>3190</v>
      </c>
      <c r="K10839" s="18">
        <f>628172308990</f>
        <v>628172308990</v>
      </c>
      <c r="N10839" s="17" t="s">
        <v>81</v>
      </c>
      <c r="V10839" s="18">
        <f>628172308990</f>
        <v>628172308990</v>
      </c>
    </row>
    <row r="10840" ht="15" customHeight="1" spans="1:22" x14ac:dyDescent="0.25">
      <c r="A10840" s="17" t="s">
        <v>29800</v>
      </c>
      <c r="B10840" s="17" t="s">
        <v>70</v>
      </c>
      <c r="C10840" s="17" t="s">
        <v>71</v>
      </c>
      <c r="D10840" t="s">
        <v>6884</v>
      </c>
      <c r="F10840" t="s">
        <v>26723</v>
      </c>
      <c r="K10840" s="18">
        <f>628161857808</f>
        <v>628161857808</v>
      </c>
      <c r="N10840" s="17" t="s">
        <v>81</v>
      </c>
      <c r="V10840" s="18">
        <f>628161857808</f>
        <v>628161857808</v>
      </c>
    </row>
    <row r="10841" ht="15" customHeight="1" spans="1:28" x14ac:dyDescent="0.25">
      <c r="A10841" s="17" t="s">
        <v>29801</v>
      </c>
      <c r="B10841" s="17" t="s">
        <v>70</v>
      </c>
      <c r="C10841" s="17" t="s">
        <v>71</v>
      </c>
      <c r="D10841" t="s">
        <v>6884</v>
      </c>
      <c r="F10841" t="s">
        <v>29802</v>
      </c>
      <c r="J10841" t="s">
        <v>115</v>
      </c>
      <c r="K10841" s="18" t="s">
        <v>29803</v>
      </c>
      <c r="N10841" s="17" t="s">
        <v>77</v>
      </c>
      <c r="O10841" t="s">
        <v>145</v>
      </c>
      <c r="V10841" s="18" t="s">
        <v>29803</v>
      </c>
      <c r="Y10841" t="s">
        <v>190</v>
      </c>
      <c r="AA10841" t="s">
        <v>118</v>
      </c>
      <c r="AB10841" t="s">
        <v>119</v>
      </c>
    </row>
    <row r="10842" ht="15" customHeight="1" spans="1:27" x14ac:dyDescent="0.25">
      <c r="A10842" s="17" t="s">
        <v>29804</v>
      </c>
      <c r="B10842" s="17" t="s">
        <v>70</v>
      </c>
      <c r="C10842" s="17" t="s">
        <v>71</v>
      </c>
      <c r="D10842" t="s">
        <v>29805</v>
      </c>
      <c r="F10842" t="s">
        <v>29805</v>
      </c>
      <c r="K10842" s="18">
        <v>4586913</v>
      </c>
      <c r="N10842" s="17" t="s">
        <v>77</v>
      </c>
      <c r="U10842" s="17"/>
      <c r="V10842" s="18">
        <v>4586913</v>
      </c>
      <c r="W10842" t="s">
        <v>29806</v>
      </c>
      <c r="Y10842" s="17" t="s">
        <v>1084</v>
      </c>
      <c r="AA10842" s="17" t="s">
        <v>5003</v>
      </c>
    </row>
    <row r="10843" ht="15" customHeight="1" spans="1:25" x14ac:dyDescent="0.25">
      <c r="A10843" s="17" t="s">
        <v>29807</v>
      </c>
      <c r="B10843" s="17" t="s">
        <v>70</v>
      </c>
      <c r="C10843" s="17" t="s">
        <v>71</v>
      </c>
      <c r="D10843" t="s">
        <v>29808</v>
      </c>
      <c r="F10843" t="s">
        <v>29809</v>
      </c>
      <c r="K10843" s="18">
        <f>6281317421271</f>
        <v>6281317421271</v>
      </c>
      <c r="N10843" s="17" t="s">
        <v>77</v>
      </c>
      <c r="U10843" s="17"/>
      <c r="V10843" s="18">
        <f>6281317421271</f>
        <v>6281317421271</v>
      </c>
      <c r="W10843" t="s">
        <v>29810</v>
      </c>
      <c r="Y10843" s="17" t="s">
        <v>90</v>
      </c>
    </row>
    <row r="10844" ht="15" customHeight="1" spans="1:22" x14ac:dyDescent="0.25">
      <c r="A10844" s="17" t="s">
        <v>29811</v>
      </c>
      <c r="B10844" s="17" t="s">
        <v>70</v>
      </c>
      <c r="C10844" s="17" t="s">
        <v>71</v>
      </c>
      <c r="D10844" t="s">
        <v>29812</v>
      </c>
      <c r="F10844" t="s">
        <v>29813</v>
      </c>
      <c r="K10844" s="18">
        <f>62817111519</f>
        <v>62817111519</v>
      </c>
      <c r="N10844" s="17" t="s">
        <v>81</v>
      </c>
      <c r="V10844" s="18">
        <f>62817111519</f>
        <v>62817111519</v>
      </c>
    </row>
    <row r="10845" ht="15" customHeight="1" spans="1:22" x14ac:dyDescent="0.25">
      <c r="A10845" s="17" t="s">
        <v>29814</v>
      </c>
      <c r="B10845" s="17" t="s">
        <v>70</v>
      </c>
      <c r="C10845" s="17" t="s">
        <v>71</v>
      </c>
      <c r="D10845" t="s">
        <v>29815</v>
      </c>
      <c r="F10845" t="s">
        <v>7448</v>
      </c>
      <c r="K10845" s="18">
        <f>8615847863333</f>
        <v>8615847863333</v>
      </c>
      <c r="N10845" s="17" t="s">
        <v>81</v>
      </c>
      <c r="V10845" s="18">
        <f>8615847863333</f>
        <v>8615847863333</v>
      </c>
    </row>
    <row r="10846" ht="15" customHeight="1" spans="1:22" x14ac:dyDescent="0.25">
      <c r="A10846" s="17" t="s">
        <v>29816</v>
      </c>
      <c r="B10846" s="17" t="s">
        <v>70</v>
      </c>
      <c r="C10846" s="17" t="s">
        <v>71</v>
      </c>
      <c r="D10846" t="s">
        <v>29815</v>
      </c>
      <c r="F10846" t="s">
        <v>29817</v>
      </c>
      <c r="K10846" s="18">
        <f>6281299144468</f>
        <v>6281299144468</v>
      </c>
      <c r="N10846" s="17" t="s">
        <v>81</v>
      </c>
      <c r="V10846" s="18">
        <f>6281299144468</f>
        <v>6281299144468</v>
      </c>
    </row>
    <row r="10847" ht="15" customHeight="1" spans="1:28" x14ac:dyDescent="0.25">
      <c r="A10847" s="17" t="s">
        <v>29818</v>
      </c>
      <c r="B10847" s="17" t="s">
        <v>70</v>
      </c>
      <c r="C10847" s="17" t="s">
        <v>71</v>
      </c>
      <c r="D10847" t="s">
        <v>29815</v>
      </c>
      <c r="F10847" t="s">
        <v>29819</v>
      </c>
      <c r="J10847" s="17" t="s">
        <v>29820</v>
      </c>
      <c r="K10847" s="18" t="s">
        <v>29821</v>
      </c>
      <c r="N10847" s="17" t="s">
        <v>77</v>
      </c>
      <c r="O10847" t="s">
        <v>117</v>
      </c>
      <c r="V10847" s="18" t="s">
        <v>29821</v>
      </c>
      <c r="Y10847" s="17" t="s">
        <v>3140</v>
      </c>
      <c r="AA10847" t="s">
        <v>115</v>
      </c>
      <c r="AB10847" t="s">
        <v>3140</v>
      </c>
    </row>
    <row r="10848" ht="15" customHeight="1" spans="1:28" x14ac:dyDescent="0.25">
      <c r="A10848" s="17" t="s">
        <v>29822</v>
      </c>
      <c r="B10848" s="17" t="s">
        <v>70</v>
      </c>
      <c r="C10848" s="17" t="s">
        <v>71</v>
      </c>
      <c r="D10848" t="s">
        <v>29823</v>
      </c>
      <c r="F10848" t="s">
        <v>29824</v>
      </c>
      <c r="J10848" s="17" t="s">
        <v>29825</v>
      </c>
      <c r="K10848" s="18" t="s">
        <v>29826</v>
      </c>
      <c r="N10848" s="17" t="s">
        <v>77</v>
      </c>
      <c r="O10848" t="s">
        <v>117</v>
      </c>
      <c r="U10848" s="17"/>
      <c r="V10848" s="18" t="s">
        <v>29826</v>
      </c>
      <c r="W10848" t="s">
        <v>3140</v>
      </c>
      <c r="Y10848" t="s">
        <v>8335</v>
      </c>
      <c r="AA10848" t="s">
        <v>115</v>
      </c>
      <c r="AB10848" t="s">
        <v>119</v>
      </c>
    </row>
    <row r="10849" ht="15" customHeight="1" spans="1:28" x14ac:dyDescent="0.25">
      <c r="A10849" s="17" t="s">
        <v>29827</v>
      </c>
      <c r="B10849" s="17" t="s">
        <v>70</v>
      </c>
      <c r="C10849" s="17" t="s">
        <v>71</v>
      </c>
      <c r="D10849" t="s">
        <v>29828</v>
      </c>
      <c r="F10849" t="s">
        <v>29829</v>
      </c>
      <c r="J10849" t="s">
        <v>115</v>
      </c>
      <c r="K10849" s="18" t="s">
        <v>29830</v>
      </c>
      <c r="N10849" s="17" t="s">
        <v>77</v>
      </c>
      <c r="O10849" t="s">
        <v>117</v>
      </c>
      <c r="V10849" s="18" t="s">
        <v>29830</v>
      </c>
      <c r="Y10849" t="s">
        <v>90</v>
      </c>
      <c r="AA10849" t="s">
        <v>118</v>
      </c>
      <c r="AB10849" t="s">
        <v>119</v>
      </c>
    </row>
    <row r="10850" ht="15" customHeight="1" spans="1:22" x14ac:dyDescent="0.25">
      <c r="A10850" s="17" t="s">
        <v>29831</v>
      </c>
      <c r="B10850" s="17" t="s">
        <v>70</v>
      </c>
      <c r="C10850" s="17" t="s">
        <v>71</v>
      </c>
      <c r="D10850" t="s">
        <v>29832</v>
      </c>
      <c r="F10850" t="s">
        <v>3471</v>
      </c>
      <c r="K10850" s="18">
        <f>62817784993</f>
        <v>62817784993</v>
      </c>
      <c r="N10850" s="17" t="s">
        <v>81</v>
      </c>
      <c r="V10850" s="18">
        <f>62817784993</f>
        <v>62817784993</v>
      </c>
    </row>
    <row r="10851" ht="15" customHeight="1" spans="1:25" x14ac:dyDescent="0.25">
      <c r="A10851" s="17" t="s">
        <v>29833</v>
      </c>
      <c r="B10851" s="17" t="s">
        <v>70</v>
      </c>
      <c r="C10851" s="17" t="s">
        <v>71</v>
      </c>
      <c r="D10851" t="s">
        <v>29834</v>
      </c>
      <c r="F10851" t="s">
        <v>25048</v>
      </c>
      <c r="K10851" s="18">
        <f>62816966233</f>
        <v>62816966233</v>
      </c>
      <c r="N10851" s="17" t="s">
        <v>74</v>
      </c>
      <c r="U10851" s="17"/>
      <c r="V10851" s="18">
        <f>62816966233</f>
        <v>62816966233</v>
      </c>
      <c r="W10851" t="s">
        <v>29835</v>
      </c>
      <c r="Y10851" s="17" t="s">
        <v>96</v>
      </c>
    </row>
    <row r="10852" ht="15" customHeight="1" spans="1:22" x14ac:dyDescent="0.25">
      <c r="A10852" s="17" t="s">
        <v>29836</v>
      </c>
      <c r="B10852" s="17" t="s">
        <v>70</v>
      </c>
      <c r="C10852" s="17" t="s">
        <v>71</v>
      </c>
      <c r="D10852" t="s">
        <v>29834</v>
      </c>
      <c r="F10852" t="s">
        <v>750</v>
      </c>
      <c r="K10852" s="18">
        <f>62816924116</f>
        <v>62816924116</v>
      </c>
      <c r="N10852" s="17" t="s">
        <v>77</v>
      </c>
      <c r="V10852" s="18">
        <f>62816924116</f>
        <v>62816924116</v>
      </c>
    </row>
    <row r="10853" ht="15" customHeight="1" spans="1:22" x14ac:dyDescent="0.25">
      <c r="A10853" s="17" t="s">
        <v>29837</v>
      </c>
      <c r="B10853" s="17" t="s">
        <v>70</v>
      </c>
      <c r="C10853" s="17" t="s">
        <v>71</v>
      </c>
      <c r="D10853" t="s">
        <v>29838</v>
      </c>
      <c r="F10853" t="s">
        <v>29838</v>
      </c>
      <c r="K10853" s="18">
        <f>6281294043850</f>
        <v>6281294043850</v>
      </c>
      <c r="N10853" s="17" t="s">
        <v>77</v>
      </c>
      <c r="V10853" s="18">
        <f>6281294043850</f>
        <v>6281294043850</v>
      </c>
    </row>
    <row r="10854" ht="15" customHeight="1" spans="1:28" x14ac:dyDescent="0.25">
      <c r="A10854" s="17" t="s">
        <v>29839</v>
      </c>
      <c r="B10854" s="17" t="s">
        <v>70</v>
      </c>
      <c r="C10854" s="17" t="s">
        <v>71</v>
      </c>
      <c r="D10854" t="s">
        <v>29838</v>
      </c>
      <c r="F10854" t="s">
        <v>29330</v>
      </c>
      <c r="J10854" t="s">
        <v>115</v>
      </c>
      <c r="K10854" s="18" t="s">
        <v>29840</v>
      </c>
      <c r="N10854" s="17" t="s">
        <v>81</v>
      </c>
      <c r="O10854" t="s">
        <v>117</v>
      </c>
      <c r="V10854" s="18" t="s">
        <v>29840</v>
      </c>
      <c r="Y10854" t="s">
        <v>90</v>
      </c>
      <c r="AA10854" t="s">
        <v>118</v>
      </c>
      <c r="AB10854" t="s">
        <v>119</v>
      </c>
    </row>
    <row r="10855" ht="15" customHeight="1" spans="1:28" x14ac:dyDescent="0.25">
      <c r="A10855" s="17" t="s">
        <v>29841</v>
      </c>
      <c r="B10855" s="17" t="s">
        <v>70</v>
      </c>
      <c r="C10855" s="17" t="s">
        <v>71</v>
      </c>
      <c r="D10855" t="s">
        <v>29842</v>
      </c>
      <c r="F10855" t="s">
        <v>29843</v>
      </c>
      <c r="J10855" s="17" t="s">
        <v>29844</v>
      </c>
      <c r="K10855" s="18" t="s">
        <v>29845</v>
      </c>
      <c r="N10855" s="17" t="s">
        <v>77</v>
      </c>
      <c r="O10855" t="s">
        <v>145</v>
      </c>
      <c r="V10855" s="18" t="s">
        <v>29845</v>
      </c>
      <c r="Y10855" t="s">
        <v>115</v>
      </c>
      <c r="AA10855" t="s">
        <v>115</v>
      </c>
      <c r="AB10855" t="s">
        <v>451</v>
      </c>
    </row>
    <row r="10856" ht="15" customHeight="1" spans="1:22" x14ac:dyDescent="0.25">
      <c r="A10856" s="17" t="s">
        <v>29846</v>
      </c>
      <c r="B10856" s="17" t="s">
        <v>70</v>
      </c>
      <c r="C10856" s="17" t="s">
        <v>71</v>
      </c>
      <c r="D10856" t="s">
        <v>29847</v>
      </c>
      <c r="F10856" t="s">
        <v>29847</v>
      </c>
      <c r="K10856" s="18">
        <f>628119774690</f>
        <v>628119774690</v>
      </c>
      <c r="N10856" s="17" t="s">
        <v>81</v>
      </c>
      <c r="V10856" s="18">
        <f>628119774690</f>
        <v>628119774690</v>
      </c>
    </row>
    <row r="10857" ht="15" customHeight="1" spans="1:27" x14ac:dyDescent="0.25">
      <c r="A10857" s="17" t="s">
        <v>29848</v>
      </c>
      <c r="B10857" s="17" t="s">
        <v>70</v>
      </c>
      <c r="C10857" s="17" t="s">
        <v>71</v>
      </c>
      <c r="D10857" t="s">
        <v>29849</v>
      </c>
      <c r="F10857" t="s">
        <v>29850</v>
      </c>
      <c r="K10857" s="18">
        <f>62811341610</f>
        <v>62811341610</v>
      </c>
      <c r="N10857" s="17" t="s">
        <v>77</v>
      </c>
      <c r="U10857" s="17"/>
      <c r="V10857" s="18">
        <f>62811341610</f>
        <v>62811341610</v>
      </c>
      <c r="W10857" t="s">
        <v>29851</v>
      </c>
      <c r="AA10857" s="17" t="s">
        <v>29852</v>
      </c>
    </row>
    <row r="10858" ht="15" customHeight="1" spans="1:23" x14ac:dyDescent="0.25">
      <c r="A10858" s="17" t="s">
        <v>29853</v>
      </c>
      <c r="B10858" s="17" t="s">
        <v>70</v>
      </c>
      <c r="C10858" s="17" t="s">
        <v>71</v>
      </c>
      <c r="D10858" t="s">
        <v>29849</v>
      </c>
      <c r="F10858" t="s">
        <v>29854</v>
      </c>
      <c r="K10858" s="18">
        <f>6282147848916</f>
        <v>6282147848916</v>
      </c>
      <c r="N10858" s="17" t="s">
        <v>77</v>
      </c>
      <c r="U10858" s="17"/>
      <c r="V10858" s="18">
        <f>6282147848916</f>
        <v>6282147848916</v>
      </c>
      <c r="W10858" t="s">
        <v>1671</v>
      </c>
    </row>
    <row r="10859" ht="15" customHeight="1" spans="1:22" x14ac:dyDescent="0.25">
      <c r="A10859" s="17" t="s">
        <v>29855</v>
      </c>
      <c r="B10859" s="17" t="s">
        <v>70</v>
      </c>
      <c r="C10859" s="17" t="s">
        <v>71</v>
      </c>
      <c r="D10859" t="s">
        <v>29856</v>
      </c>
      <c r="F10859" t="s">
        <v>29856</v>
      </c>
      <c r="K10859" s="18">
        <f>628121290900</f>
        <v>628121290900</v>
      </c>
      <c r="N10859" s="17" t="s">
        <v>77</v>
      </c>
      <c r="V10859" s="18">
        <f>628121290900</f>
        <v>628121290900</v>
      </c>
    </row>
    <row r="10860" ht="15" customHeight="1" spans="1:25" x14ac:dyDescent="0.25">
      <c r="A10860" s="17" t="s">
        <v>29857</v>
      </c>
      <c r="B10860" s="17" t="s">
        <v>70</v>
      </c>
      <c r="C10860" s="17" t="s">
        <v>71</v>
      </c>
      <c r="D10860" t="s">
        <v>29856</v>
      </c>
      <c r="F10860" t="s">
        <v>29856</v>
      </c>
      <c r="K10860" s="18">
        <f>62811300357</f>
        <v>62811300357</v>
      </c>
      <c r="N10860" s="17" t="s">
        <v>77</v>
      </c>
      <c r="U10860" s="17"/>
      <c r="V10860" s="18">
        <f>62811300357</f>
        <v>62811300357</v>
      </c>
      <c r="W10860" t="s">
        <v>29858</v>
      </c>
      <c r="Y10860" s="17" t="s">
        <v>378</v>
      </c>
    </row>
    <row r="10861" ht="15" customHeight="1" spans="1:22" x14ac:dyDescent="0.25">
      <c r="A10861" s="17" t="s">
        <v>29859</v>
      </c>
      <c r="B10861" s="17" t="s">
        <v>70</v>
      </c>
      <c r="C10861" s="17" t="s">
        <v>71</v>
      </c>
      <c r="D10861" t="s">
        <v>29856</v>
      </c>
      <c r="F10861" t="s">
        <v>29856</v>
      </c>
      <c r="K10861" s="18">
        <f>628161890038</f>
        <v>628161890038</v>
      </c>
      <c r="N10861" s="17" t="s">
        <v>81</v>
      </c>
      <c r="V10861" s="18">
        <f>628161890038</f>
        <v>628161890038</v>
      </c>
    </row>
    <row r="10862" ht="15" customHeight="1" spans="1:28" x14ac:dyDescent="0.25">
      <c r="A10862" s="17" t="s">
        <v>29860</v>
      </c>
      <c r="B10862" s="17" t="s">
        <v>70</v>
      </c>
      <c r="C10862" s="17" t="s">
        <v>71</v>
      </c>
      <c r="D10862" t="s">
        <v>29861</v>
      </c>
      <c r="F10862" t="s">
        <v>699</v>
      </c>
      <c r="J10862" t="s">
        <v>29862</v>
      </c>
      <c r="K10862" s="18" t="s">
        <v>29863</v>
      </c>
      <c r="N10862" s="17" t="s">
        <v>77</v>
      </c>
      <c r="O10862" t="s">
        <v>489</v>
      </c>
      <c r="V10862" s="18" t="s">
        <v>29863</v>
      </c>
      <c r="Y10862" t="s">
        <v>190</v>
      </c>
      <c r="AA10862" t="s">
        <v>118</v>
      </c>
      <c r="AB10862" t="s">
        <v>119</v>
      </c>
    </row>
    <row r="10863" ht="15" customHeight="1" spans="1:28" x14ac:dyDescent="0.25">
      <c r="A10863" s="17" t="s">
        <v>29864</v>
      </c>
      <c r="B10863" s="17" t="s">
        <v>70</v>
      </c>
      <c r="C10863" s="17" t="s">
        <v>71</v>
      </c>
      <c r="D10863" t="s">
        <v>29856</v>
      </c>
      <c r="F10863" t="s">
        <v>19312</v>
      </c>
      <c r="J10863" t="s">
        <v>115</v>
      </c>
      <c r="K10863" s="18" t="s">
        <v>29865</v>
      </c>
      <c r="N10863" s="17" t="s">
        <v>77</v>
      </c>
      <c r="O10863" t="s">
        <v>199</v>
      </c>
      <c r="U10863" s="17"/>
      <c r="V10863" s="18" t="s">
        <v>29865</v>
      </c>
      <c r="W10863" t="s">
        <v>29866</v>
      </c>
      <c r="Y10863" t="s">
        <v>762</v>
      </c>
      <c r="AA10863" s="17" t="s">
        <v>29867</v>
      </c>
      <c r="AB10863" t="s">
        <v>119</v>
      </c>
    </row>
    <row r="10864" ht="15" customHeight="1" spans="1:28" x14ac:dyDescent="0.25">
      <c r="A10864" s="17" t="s">
        <v>29868</v>
      </c>
      <c r="B10864" s="17" t="s">
        <v>70</v>
      </c>
      <c r="C10864" s="17" t="s">
        <v>71</v>
      </c>
      <c r="D10864" t="s">
        <v>29856</v>
      </c>
      <c r="F10864" t="s">
        <v>315</v>
      </c>
      <c r="J10864" s="17" t="s">
        <v>29869</v>
      </c>
      <c r="K10864" s="18" t="s">
        <v>29870</v>
      </c>
      <c r="N10864" s="17" t="s">
        <v>77</v>
      </c>
      <c r="O10864" t="s">
        <v>261</v>
      </c>
      <c r="U10864" s="17"/>
      <c r="V10864" s="18" t="s">
        <v>29870</v>
      </c>
      <c r="W10864" t="s">
        <v>29871</v>
      </c>
      <c r="Y10864" t="s">
        <v>96</v>
      </c>
      <c r="AA10864" t="s">
        <v>693</v>
      </c>
      <c r="AB10864" t="s">
        <v>119</v>
      </c>
    </row>
    <row r="10865" ht="15" customHeight="1" spans="1:28" x14ac:dyDescent="0.25">
      <c r="A10865" s="17" t="s">
        <v>29872</v>
      </c>
      <c r="B10865" s="17" t="s">
        <v>70</v>
      </c>
      <c r="C10865" s="17" t="s">
        <v>71</v>
      </c>
      <c r="D10865" t="s">
        <v>29873</v>
      </c>
      <c r="F10865" t="s">
        <v>2736</v>
      </c>
      <c r="J10865" t="s">
        <v>115</v>
      </c>
      <c r="K10865" s="18" t="s">
        <v>29874</v>
      </c>
      <c r="N10865" s="17" t="s">
        <v>81</v>
      </c>
      <c r="O10865" t="s">
        <v>199</v>
      </c>
      <c r="V10865" s="18" t="s">
        <v>29874</v>
      </c>
      <c r="Y10865" t="s">
        <v>115</v>
      </c>
      <c r="AA10865" t="s">
        <v>115</v>
      </c>
      <c r="AB10865" t="s">
        <v>119</v>
      </c>
    </row>
    <row r="10866" ht="15" customHeight="1" spans="1:25" x14ac:dyDescent="0.25">
      <c r="A10866" s="17" t="s">
        <v>29875</v>
      </c>
      <c r="B10866" s="17" t="s">
        <v>70</v>
      </c>
      <c r="C10866" s="17" t="s">
        <v>71</v>
      </c>
      <c r="D10866" t="s">
        <v>29873</v>
      </c>
      <c r="F10866" t="s">
        <v>29876</v>
      </c>
      <c r="J10866" s="17" t="s">
        <v>29877</v>
      </c>
      <c r="K10866" s="18">
        <f>6281517024884</f>
        <v>6281517024884</v>
      </c>
      <c r="N10866" s="17" t="s">
        <v>77</v>
      </c>
      <c r="U10866" s="17"/>
      <c r="V10866" s="18">
        <f>6281517024884</f>
        <v>6281517024884</v>
      </c>
      <c r="W10866" t="s">
        <v>29878</v>
      </c>
      <c r="Y10866" s="17" t="s">
        <v>622</v>
      </c>
    </row>
    <row r="10867" ht="15" customHeight="1" spans="1:28" x14ac:dyDescent="0.25">
      <c r="A10867" s="17" t="s">
        <v>29879</v>
      </c>
      <c r="B10867" s="17" t="s">
        <v>70</v>
      </c>
      <c r="C10867" s="17" t="s">
        <v>71</v>
      </c>
      <c r="D10867" t="s">
        <v>29873</v>
      </c>
      <c r="F10867" t="s">
        <v>29880</v>
      </c>
      <c r="J10867" t="s">
        <v>115</v>
      </c>
      <c r="K10867" s="18" t="s">
        <v>29881</v>
      </c>
      <c r="N10867" s="17" t="s">
        <v>74</v>
      </c>
      <c r="O10867" t="s">
        <v>261</v>
      </c>
      <c r="U10867" s="17"/>
      <c r="V10867" s="18" t="s">
        <v>29881</v>
      </c>
      <c r="W10867" t="s">
        <v>29882</v>
      </c>
      <c r="Y10867" t="s">
        <v>90</v>
      </c>
      <c r="AA10867" t="s">
        <v>118</v>
      </c>
      <c r="AB10867" t="s">
        <v>119</v>
      </c>
    </row>
    <row r="10868" ht="15" customHeight="1" spans="1:28" x14ac:dyDescent="0.25">
      <c r="A10868" s="17" t="s">
        <v>29883</v>
      </c>
      <c r="B10868" s="17" t="s">
        <v>70</v>
      </c>
      <c r="C10868" s="17" t="s">
        <v>71</v>
      </c>
      <c r="D10868" t="s">
        <v>29873</v>
      </c>
      <c r="F10868" t="s">
        <v>9766</v>
      </c>
      <c r="J10868" s="17" t="s">
        <v>29884</v>
      </c>
      <c r="K10868" s="18" t="s">
        <v>29885</v>
      </c>
      <c r="N10868" s="17" t="s">
        <v>77</v>
      </c>
      <c r="O10868" t="s">
        <v>145</v>
      </c>
      <c r="U10868" s="17"/>
      <c r="V10868" s="18" t="s">
        <v>29885</v>
      </c>
      <c r="W10868" t="s">
        <v>29886</v>
      </c>
      <c r="Y10868" t="s">
        <v>90</v>
      </c>
      <c r="AA10868" s="17" t="s">
        <v>118</v>
      </c>
      <c r="AB10868" t="s">
        <v>119</v>
      </c>
    </row>
    <row r="10869" ht="15" customHeight="1" spans="1:27" x14ac:dyDescent="0.25">
      <c r="A10869" s="17" t="s">
        <v>29887</v>
      </c>
      <c r="B10869" s="17" t="s">
        <v>70</v>
      </c>
      <c r="C10869" s="17" t="s">
        <v>71</v>
      </c>
      <c r="D10869" t="s">
        <v>29873</v>
      </c>
      <c r="F10869" t="s">
        <v>9766</v>
      </c>
      <c r="K10869" s="18">
        <f>62217534930</f>
        <v>62217534930</v>
      </c>
      <c r="N10869" s="17" t="s">
        <v>77</v>
      </c>
      <c r="U10869" s="17"/>
      <c r="V10869" s="18">
        <f>62217534930</f>
        <v>62217534930</v>
      </c>
      <c r="W10869" t="s">
        <v>29888</v>
      </c>
      <c r="Y10869" s="17" t="s">
        <v>96</v>
      </c>
      <c r="AA10869" s="17" t="s">
        <v>97</v>
      </c>
    </row>
    <row r="10870" ht="15" customHeight="1" spans="1:27" x14ac:dyDescent="0.25">
      <c r="A10870" s="17" t="s">
        <v>29889</v>
      </c>
      <c r="B10870" s="17" t="s">
        <v>70</v>
      </c>
      <c r="C10870" s="17" t="s">
        <v>71</v>
      </c>
      <c r="D10870" t="s">
        <v>29873</v>
      </c>
      <c r="F10870" t="s">
        <v>29890</v>
      </c>
      <c r="J10870" s="17" t="s">
        <v>29891</v>
      </c>
      <c r="K10870" s="18">
        <f>6281298646960</f>
        <v>6281298646960</v>
      </c>
      <c r="N10870" s="17" t="s">
        <v>77</v>
      </c>
      <c r="U10870" s="17"/>
      <c r="V10870" s="18">
        <f>6281298646960</f>
        <v>6281298646960</v>
      </c>
      <c r="W10870" t="s">
        <v>29892</v>
      </c>
      <c r="Y10870" s="17" t="s">
        <v>96</v>
      </c>
      <c r="AA10870" s="17">
        <v>12510</v>
      </c>
    </row>
    <row r="10871" ht="15" customHeight="1" spans="1:22" x14ac:dyDescent="0.25">
      <c r="A10871" s="17" t="s">
        <v>29893</v>
      </c>
      <c r="B10871" s="17" t="s">
        <v>70</v>
      </c>
      <c r="C10871" s="17" t="s">
        <v>71</v>
      </c>
      <c r="D10871" t="s">
        <v>29873</v>
      </c>
      <c r="F10871" t="s">
        <v>8970</v>
      </c>
      <c r="K10871" s="18">
        <f>6281994822335</f>
        <v>6281994822335</v>
      </c>
      <c r="N10871" s="17" t="s">
        <v>81</v>
      </c>
      <c r="V10871" s="18">
        <f>6281994822335</f>
        <v>6281994822335</v>
      </c>
    </row>
    <row r="10872" ht="15" customHeight="1" spans="1:22" x14ac:dyDescent="0.25">
      <c r="A10872" s="17" t="s">
        <v>29894</v>
      </c>
      <c r="B10872" s="17" t="s">
        <v>70</v>
      </c>
      <c r="C10872" s="17" t="s">
        <v>71</v>
      </c>
      <c r="D10872" t="s">
        <v>29873</v>
      </c>
      <c r="F10872" t="s">
        <v>29895</v>
      </c>
      <c r="K10872" s="18">
        <f>628118078989</f>
        <v>628118078989</v>
      </c>
      <c r="N10872" s="17" t="s">
        <v>77</v>
      </c>
      <c r="V10872" s="18">
        <f>628118078989</f>
        <v>628118078989</v>
      </c>
    </row>
    <row r="10873" ht="15" customHeight="1" spans="1:22" x14ac:dyDescent="0.25">
      <c r="A10873" s="17" t="s">
        <v>29896</v>
      </c>
      <c r="B10873" s="17" t="s">
        <v>70</v>
      </c>
      <c r="C10873" s="17" t="s">
        <v>71</v>
      </c>
      <c r="D10873" t="s">
        <v>29897</v>
      </c>
      <c r="F10873" t="s">
        <v>29898</v>
      </c>
      <c r="K10873" s="18">
        <f>6287744682988</f>
        <v>6287744682988</v>
      </c>
      <c r="N10873" s="17" t="s">
        <v>81</v>
      </c>
      <c r="V10873" s="18">
        <f>6287744682988</f>
        <v>6287744682988</v>
      </c>
    </row>
    <row r="10874" ht="15" customHeight="1" spans="1:22" x14ac:dyDescent="0.25">
      <c r="A10874" s="17" t="s">
        <v>29899</v>
      </c>
      <c r="B10874" s="17" t="s">
        <v>70</v>
      </c>
      <c r="C10874" s="17" t="s">
        <v>71</v>
      </c>
      <c r="D10874" t="s">
        <v>5381</v>
      </c>
      <c r="F10874" t="s">
        <v>5381</v>
      </c>
      <c r="K10874" s="18">
        <f>9609391362</f>
        <v>9609391362</v>
      </c>
      <c r="N10874" s="17" t="s">
        <v>77</v>
      </c>
      <c r="V10874" s="18">
        <f>9609391362</f>
        <v>9609391362</v>
      </c>
    </row>
    <row r="10875" ht="15" customHeight="1" spans="1:28" x14ac:dyDescent="0.25">
      <c r="A10875" s="17" t="s">
        <v>29900</v>
      </c>
      <c r="B10875" s="17" t="s">
        <v>70</v>
      </c>
      <c r="C10875" s="17" t="s">
        <v>71</v>
      </c>
      <c r="D10875" t="s">
        <v>5381</v>
      </c>
      <c r="F10875" t="s">
        <v>29901</v>
      </c>
      <c r="J10875" s="17" t="s">
        <v>29902</v>
      </c>
      <c r="K10875" s="18" t="s">
        <v>29903</v>
      </c>
      <c r="N10875" s="17" t="s">
        <v>77</v>
      </c>
      <c r="O10875" t="s">
        <v>199</v>
      </c>
      <c r="V10875" s="18" t="s">
        <v>29903</v>
      </c>
      <c r="Y10875" t="s">
        <v>90</v>
      </c>
      <c r="AA10875" t="s">
        <v>118</v>
      </c>
      <c r="AB10875" t="s">
        <v>119</v>
      </c>
    </row>
    <row r="10876" ht="15" customHeight="1" spans="1:23" x14ac:dyDescent="0.25">
      <c r="A10876" s="17" t="s">
        <v>29904</v>
      </c>
      <c r="B10876" s="17" t="s">
        <v>70</v>
      </c>
      <c r="C10876" s="17" t="s">
        <v>71</v>
      </c>
      <c r="D10876" t="s">
        <v>5381</v>
      </c>
      <c r="F10876" t="s">
        <v>29905</v>
      </c>
      <c r="J10876" s="17" t="s">
        <v>29906</v>
      </c>
      <c r="K10876" s="18">
        <f>6282223232309</f>
        <v>6282223232309</v>
      </c>
      <c r="N10876" s="17" t="s">
        <v>81</v>
      </c>
      <c r="U10876" s="17"/>
      <c r="V10876" s="18">
        <f>6282223232309</f>
        <v>6282223232309</v>
      </c>
      <c r="W10876" t="s">
        <v>29907</v>
      </c>
    </row>
    <row r="10877" ht="15" customHeight="1" spans="1:22" x14ac:dyDescent="0.25">
      <c r="A10877" s="17" t="s">
        <v>29908</v>
      </c>
      <c r="B10877" s="17" t="s">
        <v>70</v>
      </c>
      <c r="C10877" s="17" t="s">
        <v>71</v>
      </c>
      <c r="D10877" t="s">
        <v>29909</v>
      </c>
      <c r="F10877" t="s">
        <v>29909</v>
      </c>
      <c r="K10877" s="18">
        <f>628161920877</f>
        <v>628161920877</v>
      </c>
      <c r="N10877" s="17" t="s">
        <v>81</v>
      </c>
      <c r="V10877" s="18">
        <f>628161920877</f>
        <v>628161920877</v>
      </c>
    </row>
    <row r="10878" ht="15" customHeight="1" spans="1:28" x14ac:dyDescent="0.25">
      <c r="A10878" s="17" t="s">
        <v>29910</v>
      </c>
      <c r="B10878" s="17" t="s">
        <v>70</v>
      </c>
      <c r="C10878" s="17" t="s">
        <v>71</v>
      </c>
      <c r="D10878" t="s">
        <v>29911</v>
      </c>
      <c r="F10878" t="s">
        <v>11291</v>
      </c>
      <c r="J10878" t="s">
        <v>115</v>
      </c>
      <c r="K10878" s="18" t="s">
        <v>29912</v>
      </c>
      <c r="N10878" s="17" t="s">
        <v>77</v>
      </c>
      <c r="O10878" t="s">
        <v>489</v>
      </c>
      <c r="V10878" s="18" t="s">
        <v>29912</v>
      </c>
      <c r="Y10878" t="s">
        <v>762</v>
      </c>
      <c r="AA10878" t="s">
        <v>115</v>
      </c>
      <c r="AB10878" t="s">
        <v>119</v>
      </c>
    </row>
    <row r="10879" ht="15" customHeight="1" spans="1:22" x14ac:dyDescent="0.25">
      <c r="A10879" s="17" t="s">
        <v>29913</v>
      </c>
      <c r="B10879" s="17" t="s">
        <v>70</v>
      </c>
      <c r="C10879" s="17" t="s">
        <v>71</v>
      </c>
      <c r="D10879" t="s">
        <v>29914</v>
      </c>
      <c r="F10879" t="s">
        <v>29914</v>
      </c>
      <c r="K10879" s="18">
        <f>6281311551995</f>
        <v>6281311551995</v>
      </c>
      <c r="N10879" s="17" t="s">
        <v>81</v>
      </c>
      <c r="V10879" s="18">
        <f>6281311551995</f>
        <v>6281311551995</v>
      </c>
    </row>
    <row r="10880" ht="15" customHeight="1" spans="1:22" x14ac:dyDescent="0.25">
      <c r="A10880" s="17" t="s">
        <v>29915</v>
      </c>
      <c r="B10880" s="17" t="s">
        <v>70</v>
      </c>
      <c r="C10880" s="17" t="s">
        <v>71</v>
      </c>
      <c r="D10880" t="s">
        <v>29916</v>
      </c>
      <c r="F10880" t="s">
        <v>29916</v>
      </c>
      <c r="J10880" s="17" t="s">
        <v>29917</v>
      </c>
      <c r="K10880" s="18">
        <f>79816983047</f>
        <v>79816983047</v>
      </c>
      <c r="N10880" s="17" t="s">
        <v>77</v>
      </c>
      <c r="V10880" s="18">
        <f>79816983047</f>
        <v>79816983047</v>
      </c>
    </row>
    <row r="10881" ht="15" customHeight="1" spans="1:28" x14ac:dyDescent="0.25">
      <c r="A10881" s="17" t="s">
        <v>29918</v>
      </c>
      <c r="B10881" s="17" t="s">
        <v>70</v>
      </c>
      <c r="C10881" s="17" t="s">
        <v>71</v>
      </c>
      <c r="D10881" t="s">
        <v>29919</v>
      </c>
      <c r="F10881" t="s">
        <v>29920</v>
      </c>
      <c r="J10881" s="17" t="s">
        <v>29921</v>
      </c>
      <c r="K10881" s="18" t="s">
        <v>29922</v>
      </c>
      <c r="N10881" s="17" t="s">
        <v>77</v>
      </c>
      <c r="O10881" t="s">
        <v>117</v>
      </c>
      <c r="V10881" s="18" t="s">
        <v>29922</v>
      </c>
      <c r="Y10881" t="s">
        <v>90</v>
      </c>
      <c r="AA10881" s="17" t="s">
        <v>118</v>
      </c>
      <c r="AB10881" t="s">
        <v>119</v>
      </c>
    </row>
    <row r="10882" ht="15" customHeight="1" spans="1:27" x14ac:dyDescent="0.25">
      <c r="A10882" s="17" t="s">
        <v>29923</v>
      </c>
      <c r="B10882" s="17" t="s">
        <v>70</v>
      </c>
      <c r="C10882" s="17" t="s">
        <v>71</v>
      </c>
      <c r="D10882" t="s">
        <v>29924</v>
      </c>
      <c r="F10882" t="s">
        <v>29925</v>
      </c>
      <c r="K10882" s="18">
        <f>62213503758</f>
        <v>62213503758</v>
      </c>
      <c r="N10882" s="17" t="s">
        <v>77</v>
      </c>
      <c r="U10882" s="17"/>
      <c r="V10882" s="18">
        <f>62213503758</f>
        <v>62213503758</v>
      </c>
      <c r="W10882" t="s">
        <v>29926</v>
      </c>
      <c r="Y10882" s="17" t="s">
        <v>378</v>
      </c>
      <c r="AA10882" s="17" t="s">
        <v>29927</v>
      </c>
    </row>
    <row r="10883" ht="15" customHeight="1" spans="1:27" x14ac:dyDescent="0.25">
      <c r="A10883" s="17" t="s">
        <v>29928</v>
      </c>
      <c r="B10883" s="17" t="s">
        <v>70</v>
      </c>
      <c r="C10883" s="17" t="s">
        <v>71</v>
      </c>
      <c r="D10883" t="s">
        <v>29924</v>
      </c>
      <c r="F10883" t="s">
        <v>150</v>
      </c>
      <c r="K10883" s="18">
        <f>62811893810</f>
        <v>62811893810</v>
      </c>
      <c r="N10883" s="17" t="s">
        <v>77</v>
      </c>
      <c r="U10883" s="17"/>
      <c r="V10883" s="18">
        <f>62811893810</f>
        <v>62811893810</v>
      </c>
      <c r="W10883" t="s">
        <v>5784</v>
      </c>
      <c r="Y10883" s="17" t="s">
        <v>96</v>
      </c>
      <c r="AA10883" s="17" t="s">
        <v>5785</v>
      </c>
    </row>
    <row r="10884" ht="15" customHeight="1" spans="1:22" x14ac:dyDescent="0.25">
      <c r="A10884" s="17" t="s">
        <v>29929</v>
      </c>
      <c r="B10884" s="17" t="s">
        <v>70</v>
      </c>
      <c r="C10884" s="17" t="s">
        <v>71</v>
      </c>
      <c r="D10884" t="s">
        <v>29930</v>
      </c>
      <c r="F10884" t="s">
        <v>29930</v>
      </c>
      <c r="K10884" s="18">
        <f>6281808961898</f>
        <v>6281808961898</v>
      </c>
      <c r="N10884" s="17" t="s">
        <v>81</v>
      </c>
      <c r="V10884" s="18">
        <f>6281808961898</f>
        <v>6281808961898</v>
      </c>
    </row>
    <row r="10885" ht="15" customHeight="1" spans="1:22" x14ac:dyDescent="0.25">
      <c r="A10885" s="17" t="s">
        <v>29931</v>
      </c>
      <c r="B10885" s="17" t="s">
        <v>70</v>
      </c>
      <c r="C10885" s="17" t="s">
        <v>71</v>
      </c>
      <c r="D10885" t="s">
        <v>29930</v>
      </c>
      <c r="F10885" t="s">
        <v>29930</v>
      </c>
      <c r="K10885" s="18">
        <f>62811172581</f>
        <v>62811172581</v>
      </c>
      <c r="N10885" s="17" t="s">
        <v>77</v>
      </c>
      <c r="V10885" s="18">
        <f>62811172581</f>
        <v>62811172581</v>
      </c>
    </row>
    <row r="10886" ht="15" customHeight="1" spans="1:23" x14ac:dyDescent="0.25">
      <c r="A10886" s="17" t="s">
        <v>29932</v>
      </c>
      <c r="B10886" s="17" t="s">
        <v>70</v>
      </c>
      <c r="C10886" s="17" t="s">
        <v>71</v>
      </c>
      <c r="D10886" t="s">
        <v>29930</v>
      </c>
      <c r="F10886" t="s">
        <v>13338</v>
      </c>
      <c r="K10886" s="18">
        <f>62818666632</f>
        <v>62818666632</v>
      </c>
      <c r="N10886" s="17" t="s">
        <v>77</v>
      </c>
      <c r="U10886" s="17"/>
      <c r="V10886" s="18">
        <f>62818666632</f>
        <v>62818666632</v>
      </c>
      <c r="W10886" t="s">
        <v>29933</v>
      </c>
    </row>
    <row r="10887" ht="15" customHeight="1" spans="1:23" x14ac:dyDescent="0.25">
      <c r="A10887" s="17" t="s">
        <v>29934</v>
      </c>
      <c r="B10887" s="17" t="s">
        <v>70</v>
      </c>
      <c r="C10887" s="17" t="s">
        <v>71</v>
      </c>
      <c r="D10887" t="s">
        <v>29930</v>
      </c>
      <c r="F10887" t="s">
        <v>29935</v>
      </c>
      <c r="K10887" s="18">
        <f>628551000091</f>
        <v>628551000091</v>
      </c>
      <c r="N10887" s="17" t="s">
        <v>77</v>
      </c>
      <c r="U10887" s="17"/>
      <c r="V10887" s="18">
        <f>628551000091</f>
        <v>628551000091</v>
      </c>
      <c r="W10887" t="s">
        <v>29936</v>
      </c>
    </row>
    <row r="10888" ht="15" customHeight="1" spans="1:28" x14ac:dyDescent="0.25">
      <c r="A10888" s="17" t="s">
        <v>29937</v>
      </c>
      <c r="B10888" s="17" t="s">
        <v>70</v>
      </c>
      <c r="C10888" s="17" t="s">
        <v>71</v>
      </c>
      <c r="D10888" t="s">
        <v>29930</v>
      </c>
      <c r="F10888" t="s">
        <v>16593</v>
      </c>
      <c r="J10888" t="s">
        <v>115</v>
      </c>
      <c r="K10888" s="18" t="s">
        <v>29938</v>
      </c>
      <c r="N10888" s="17" t="s">
        <v>74</v>
      </c>
      <c r="O10888" t="s">
        <v>145</v>
      </c>
      <c r="V10888" s="18" t="s">
        <v>29938</v>
      </c>
      <c r="Y10888" t="s">
        <v>90</v>
      </c>
      <c r="AA10888" t="s">
        <v>118</v>
      </c>
      <c r="AB10888" t="s">
        <v>119</v>
      </c>
    </row>
    <row r="10889" ht="15" customHeight="1" spans="1:28" x14ac:dyDescent="0.25">
      <c r="A10889" s="17" t="s">
        <v>29939</v>
      </c>
      <c r="B10889" s="17" t="s">
        <v>70</v>
      </c>
      <c r="C10889" s="17" t="s">
        <v>71</v>
      </c>
      <c r="D10889" t="s">
        <v>29940</v>
      </c>
      <c r="F10889" t="s">
        <v>29941</v>
      </c>
      <c r="J10889" t="s">
        <v>115</v>
      </c>
      <c r="K10889" s="18" t="s">
        <v>29942</v>
      </c>
      <c r="N10889" s="17" t="s">
        <v>77</v>
      </c>
      <c r="O10889" t="s">
        <v>145</v>
      </c>
      <c r="V10889" s="18" t="s">
        <v>29942</v>
      </c>
      <c r="Y10889" t="s">
        <v>881</v>
      </c>
      <c r="AA10889" t="s">
        <v>115</v>
      </c>
      <c r="AB10889" t="s">
        <v>119</v>
      </c>
    </row>
    <row r="10890" ht="15" customHeight="1" spans="1:22" x14ac:dyDescent="0.25">
      <c r="A10890" s="17" t="s">
        <v>29943</v>
      </c>
      <c r="B10890" s="17" t="s">
        <v>70</v>
      </c>
      <c r="C10890" s="17" t="s">
        <v>71</v>
      </c>
      <c r="D10890" t="s">
        <v>29930</v>
      </c>
      <c r="F10890" t="s">
        <v>20350</v>
      </c>
      <c r="K10890" s="18">
        <f>62816991920</f>
        <v>62816991920</v>
      </c>
      <c r="N10890" s="17" t="s">
        <v>77</v>
      </c>
      <c r="V10890" s="18">
        <f>62816991920</f>
        <v>62816991920</v>
      </c>
    </row>
    <row r="10891" ht="15" customHeight="1" spans="1:22" x14ac:dyDescent="0.25">
      <c r="A10891" s="17" t="s">
        <v>29944</v>
      </c>
      <c r="B10891" s="17" t="s">
        <v>70</v>
      </c>
      <c r="C10891" s="17" t="s">
        <v>71</v>
      </c>
      <c r="D10891" t="s">
        <v>16841</v>
      </c>
      <c r="F10891" t="s">
        <v>322</v>
      </c>
      <c r="K10891" s="18">
        <f>628131498841</f>
        <v>628131498841</v>
      </c>
      <c r="N10891" s="17" t="s">
        <v>77</v>
      </c>
      <c r="V10891" s="18">
        <f>628131498841</f>
        <v>628131498841</v>
      </c>
    </row>
    <row r="10892" ht="15" customHeight="1" spans="1:22" x14ac:dyDescent="0.25">
      <c r="A10892" s="17" t="s">
        <v>29945</v>
      </c>
      <c r="B10892" s="17" t="s">
        <v>70</v>
      </c>
      <c r="C10892" s="17" t="s">
        <v>71</v>
      </c>
      <c r="D10892" t="s">
        <v>16841</v>
      </c>
      <c r="F10892" t="s">
        <v>2258</v>
      </c>
      <c r="K10892" s="18">
        <f>628111089037</f>
        <v>628111089037</v>
      </c>
      <c r="N10892" s="17" t="s">
        <v>74</v>
      </c>
      <c r="V10892" s="18">
        <f>628111089037</f>
        <v>628111089037</v>
      </c>
    </row>
    <row r="10893" ht="15" customHeight="1" spans="1:28" x14ac:dyDescent="0.25">
      <c r="A10893" s="17" t="s">
        <v>29946</v>
      </c>
      <c r="B10893" s="17" t="s">
        <v>70</v>
      </c>
      <c r="C10893" s="17" t="s">
        <v>71</v>
      </c>
      <c r="D10893" t="s">
        <v>29947</v>
      </c>
      <c r="F10893" t="s">
        <v>29948</v>
      </c>
      <c r="J10893" s="17" t="s">
        <v>29949</v>
      </c>
      <c r="K10893" s="18" t="s">
        <v>29950</v>
      </c>
      <c r="N10893" s="17" t="s">
        <v>77</v>
      </c>
      <c r="O10893" t="s">
        <v>145</v>
      </c>
      <c r="U10893" s="17"/>
      <c r="V10893" s="18" t="s">
        <v>29950</v>
      </c>
      <c r="W10893" t="s">
        <v>1349</v>
      </c>
      <c r="Y10893" t="s">
        <v>1349</v>
      </c>
      <c r="AA10893" t="s">
        <v>115</v>
      </c>
      <c r="AB10893" t="s">
        <v>1349</v>
      </c>
    </row>
    <row r="10894" ht="15" customHeight="1" spans="1:23" x14ac:dyDescent="0.25">
      <c r="A10894" s="17" t="s">
        <v>29951</v>
      </c>
      <c r="B10894" s="17" t="s">
        <v>70</v>
      </c>
      <c r="C10894" s="17" t="s">
        <v>71</v>
      </c>
      <c r="D10894" t="s">
        <v>29952</v>
      </c>
      <c r="F10894" t="s">
        <v>29953</v>
      </c>
      <c r="K10894" s="18">
        <f>6267077243585</f>
        <v>6267077243585</v>
      </c>
      <c r="N10894" s="17" t="s">
        <v>77</v>
      </c>
      <c r="U10894" s="17"/>
      <c r="V10894" s="18">
        <f>6267077243585</f>
        <v>6267077243585</v>
      </c>
      <c r="W10894" t="s">
        <v>29954</v>
      </c>
    </row>
    <row r="10895" ht="15" customHeight="1" spans="1:22" x14ac:dyDescent="0.25">
      <c r="A10895" s="17" t="s">
        <v>29955</v>
      </c>
      <c r="B10895" s="17" t="s">
        <v>70</v>
      </c>
      <c r="C10895" s="17" t="s">
        <v>71</v>
      </c>
      <c r="D10895" t="s">
        <v>29956</v>
      </c>
      <c r="F10895" t="s">
        <v>29957</v>
      </c>
      <c r="K10895" s="18">
        <f>6281932232209</f>
        <v>6281932232209</v>
      </c>
      <c r="N10895" s="17" t="s">
        <v>77</v>
      </c>
      <c r="V10895" s="18">
        <f>6281932232209</f>
        <v>6281932232209</v>
      </c>
    </row>
    <row r="10896" ht="15" customHeight="1" spans="1:22" x14ac:dyDescent="0.25">
      <c r="A10896" s="17" t="s">
        <v>29958</v>
      </c>
      <c r="B10896" s="17" t="s">
        <v>70</v>
      </c>
      <c r="C10896" s="17" t="s">
        <v>71</v>
      </c>
      <c r="D10896" t="s">
        <v>29959</v>
      </c>
      <c r="F10896" t="s">
        <v>29959</v>
      </c>
      <c r="K10896" s="18">
        <f>62811109865</f>
        <v>62811109865</v>
      </c>
      <c r="N10896" s="17" t="s">
        <v>81</v>
      </c>
      <c r="V10896" s="18">
        <f>62811109865</f>
        <v>62811109865</v>
      </c>
    </row>
    <row r="10897" ht="15" customHeight="1" spans="1:25" x14ac:dyDescent="0.25">
      <c r="A10897" s="17" t="s">
        <v>29960</v>
      </c>
      <c r="B10897" s="17" t="s">
        <v>70</v>
      </c>
      <c r="C10897" s="17" t="s">
        <v>71</v>
      </c>
      <c r="D10897" t="s">
        <v>29959</v>
      </c>
      <c r="F10897" t="s">
        <v>4368</v>
      </c>
      <c r="K10897" s="18">
        <f>62881011068587</f>
        <v>62881011068587</v>
      </c>
      <c r="N10897" s="17" t="s">
        <v>81</v>
      </c>
      <c r="U10897" s="17"/>
      <c r="V10897" s="18">
        <f>62881011068587</f>
        <v>62881011068587</v>
      </c>
      <c r="W10897" t="s">
        <v>29961</v>
      </c>
      <c r="Y10897" s="17" t="s">
        <v>90</v>
      </c>
    </row>
    <row r="10898" ht="15" customHeight="1" spans="1:22" x14ac:dyDescent="0.25">
      <c r="A10898" s="17" t="s">
        <v>29962</v>
      </c>
      <c r="B10898" s="17" t="s">
        <v>70</v>
      </c>
      <c r="C10898" s="17" t="s">
        <v>71</v>
      </c>
      <c r="D10898" t="s">
        <v>6142</v>
      </c>
      <c r="F10898" t="s">
        <v>6142</v>
      </c>
      <c r="K10898" s="18">
        <f>6281280795865</f>
        <v>6281280795865</v>
      </c>
      <c r="N10898" s="17" t="s">
        <v>77</v>
      </c>
      <c r="V10898" s="18">
        <f>6281280795865</f>
        <v>6281280795865</v>
      </c>
    </row>
    <row r="10899" ht="15" customHeight="1" spans="1:22" x14ac:dyDescent="0.25">
      <c r="A10899" s="17" t="s">
        <v>29963</v>
      </c>
      <c r="B10899" s="17" t="s">
        <v>70</v>
      </c>
      <c r="C10899" s="17" t="s">
        <v>71</v>
      </c>
      <c r="D10899" t="s">
        <v>6142</v>
      </c>
      <c r="F10899" t="s">
        <v>6142</v>
      </c>
      <c r="K10899" s="18">
        <f>6287880192465</f>
        <v>6287880192465</v>
      </c>
      <c r="N10899" s="17" t="s">
        <v>77</v>
      </c>
      <c r="V10899" s="18">
        <f>6287880192465</f>
        <v>6287880192465</v>
      </c>
    </row>
    <row r="10900" ht="15" customHeight="1" spans="1:22" x14ac:dyDescent="0.25">
      <c r="A10900" s="17" t="s">
        <v>29964</v>
      </c>
      <c r="B10900" s="17" t="s">
        <v>70</v>
      </c>
      <c r="C10900" s="17" t="s">
        <v>71</v>
      </c>
      <c r="D10900" t="s">
        <v>6142</v>
      </c>
      <c r="F10900" t="s">
        <v>6142</v>
      </c>
      <c r="K10900" s="18">
        <f>62811911926</f>
        <v>62811911926</v>
      </c>
      <c r="N10900" s="17" t="s">
        <v>77</v>
      </c>
      <c r="V10900" s="18">
        <f>62811911926</f>
        <v>62811911926</v>
      </c>
    </row>
    <row r="10901" ht="15" customHeight="1" spans="1:25" x14ac:dyDescent="0.25">
      <c r="A10901" s="17" t="s">
        <v>29965</v>
      </c>
      <c r="B10901" s="17" t="s">
        <v>70</v>
      </c>
      <c r="C10901" s="17" t="s">
        <v>71</v>
      </c>
      <c r="D10901" t="s">
        <v>6142</v>
      </c>
      <c r="F10901" t="s">
        <v>6142</v>
      </c>
      <c r="K10901" s="18">
        <f>62817838989</f>
        <v>62817838989</v>
      </c>
      <c r="N10901" s="17" t="s">
        <v>77</v>
      </c>
      <c r="V10901" s="18">
        <f>62817838989</f>
        <v>62817838989</v>
      </c>
      <c r="Y10901" s="17" t="s">
        <v>90</v>
      </c>
    </row>
    <row r="10902" ht="15" customHeight="1" spans="1:22" x14ac:dyDescent="0.25">
      <c r="A10902" s="17" t="s">
        <v>29966</v>
      </c>
      <c r="B10902" s="17" t="s">
        <v>70</v>
      </c>
      <c r="C10902" s="17" t="s">
        <v>71</v>
      </c>
      <c r="D10902" t="s">
        <v>6142</v>
      </c>
      <c r="F10902" t="s">
        <v>6142</v>
      </c>
      <c r="K10902" s="18">
        <f>62811852392</f>
        <v>62811852392</v>
      </c>
      <c r="N10902" s="17" t="s">
        <v>77</v>
      </c>
      <c r="V10902" s="18">
        <f>62811852392</f>
        <v>62811852392</v>
      </c>
    </row>
    <row r="10903" ht="15" customHeight="1" spans="1:23" x14ac:dyDescent="0.25">
      <c r="A10903" s="17" t="s">
        <v>29967</v>
      </c>
      <c r="B10903" s="17" t="s">
        <v>70</v>
      </c>
      <c r="C10903" s="17" t="s">
        <v>71</v>
      </c>
      <c r="D10903" t="s">
        <v>6142</v>
      </c>
      <c r="F10903" t="s">
        <v>1205</v>
      </c>
      <c r="K10903" s="18">
        <f>6281389545422</f>
        <v>6281389545422</v>
      </c>
      <c r="N10903" s="17" t="s">
        <v>77</v>
      </c>
      <c r="U10903" s="17"/>
      <c r="V10903" s="18">
        <f>6281389545422</f>
        <v>6281389545422</v>
      </c>
      <c r="W10903" t="s">
        <v>29968</v>
      </c>
    </row>
    <row r="10904" ht="15" customHeight="1" spans="1:28" x14ac:dyDescent="0.25">
      <c r="A10904" s="17" t="s">
        <v>29969</v>
      </c>
      <c r="B10904" s="17" t="s">
        <v>70</v>
      </c>
      <c r="C10904" s="17" t="s">
        <v>71</v>
      </c>
      <c r="D10904" t="s">
        <v>6142</v>
      </c>
      <c r="F10904" t="s">
        <v>4255</v>
      </c>
      <c r="J10904" t="s">
        <v>115</v>
      </c>
      <c r="K10904" s="18" t="s">
        <v>29970</v>
      </c>
      <c r="N10904" s="17" t="s">
        <v>77</v>
      </c>
      <c r="O10904" t="s">
        <v>145</v>
      </c>
      <c r="U10904" s="17"/>
      <c r="V10904" s="18" t="s">
        <v>29970</v>
      </c>
      <c r="W10904" t="s">
        <v>29971</v>
      </c>
      <c r="Y10904" t="s">
        <v>90</v>
      </c>
      <c r="AA10904" t="s">
        <v>118</v>
      </c>
      <c r="AB10904" t="s">
        <v>119</v>
      </c>
    </row>
    <row r="10905" ht="15" customHeight="1" spans="1:22" x14ac:dyDescent="0.25">
      <c r="A10905" s="17" t="s">
        <v>29972</v>
      </c>
      <c r="B10905" s="17" t="s">
        <v>70</v>
      </c>
      <c r="C10905" s="17" t="s">
        <v>71</v>
      </c>
      <c r="D10905" t="s">
        <v>6142</v>
      </c>
      <c r="F10905" t="s">
        <v>29973</v>
      </c>
      <c r="K10905" s="18">
        <f>62816963866</f>
        <v>62816963866</v>
      </c>
      <c r="N10905" s="17" t="s">
        <v>74</v>
      </c>
      <c r="V10905" s="18">
        <f>62816963866</f>
        <v>62816963866</v>
      </c>
    </row>
    <row r="10906" ht="15" customHeight="1" spans="1:27" x14ac:dyDescent="0.25">
      <c r="A10906" s="17" t="s">
        <v>29974</v>
      </c>
      <c r="B10906" s="17" t="s">
        <v>70</v>
      </c>
      <c r="C10906" s="17" t="s">
        <v>71</v>
      </c>
      <c r="D10906" t="s">
        <v>6142</v>
      </c>
      <c r="F10906" t="s">
        <v>29975</v>
      </c>
      <c r="K10906" s="18">
        <f>628161821509</f>
        <v>628161821509</v>
      </c>
      <c r="N10906" s="17" t="s">
        <v>77</v>
      </c>
      <c r="U10906" s="17"/>
      <c r="V10906" s="18">
        <f>628161821509</f>
        <v>628161821509</v>
      </c>
      <c r="W10906" t="s">
        <v>29976</v>
      </c>
      <c r="Y10906" s="17" t="s">
        <v>96</v>
      </c>
      <c r="AA10906" s="17" t="s">
        <v>29977</v>
      </c>
    </row>
    <row r="10907" ht="15" customHeight="1" spans="1:22" x14ac:dyDescent="0.25">
      <c r="A10907" s="17" t="s">
        <v>29978</v>
      </c>
      <c r="B10907" s="17" t="s">
        <v>70</v>
      </c>
      <c r="C10907" s="17" t="s">
        <v>71</v>
      </c>
      <c r="D10907" t="s">
        <v>6142</v>
      </c>
      <c r="F10907" t="s">
        <v>29979</v>
      </c>
      <c r="K10907" s="18">
        <f>6584844294</f>
        <v>6584844294</v>
      </c>
      <c r="N10907" s="17" t="s">
        <v>81</v>
      </c>
      <c r="V10907" s="18">
        <f>6584844294</f>
        <v>6584844294</v>
      </c>
    </row>
    <row r="10908" ht="15" customHeight="1" spans="1:22" x14ac:dyDescent="0.25">
      <c r="A10908" s="17" t="s">
        <v>29980</v>
      </c>
      <c r="B10908" s="17" t="s">
        <v>70</v>
      </c>
      <c r="C10908" s="17" t="s">
        <v>71</v>
      </c>
      <c r="D10908" t="s">
        <v>6142</v>
      </c>
      <c r="F10908" t="s">
        <v>29981</v>
      </c>
      <c r="K10908" s="18">
        <f>628161336593</f>
        <v>628161336593</v>
      </c>
      <c r="N10908" s="17" t="s">
        <v>77</v>
      </c>
      <c r="V10908" s="18">
        <f>628161336593</f>
        <v>628161336593</v>
      </c>
    </row>
    <row r="10909" ht="15" customHeight="1" spans="1:28" x14ac:dyDescent="0.25">
      <c r="A10909" s="17" t="s">
        <v>29982</v>
      </c>
      <c r="B10909" s="17" t="s">
        <v>70</v>
      </c>
      <c r="C10909" s="17" t="s">
        <v>71</v>
      </c>
      <c r="D10909" t="s">
        <v>6142</v>
      </c>
      <c r="F10909" t="s">
        <v>29983</v>
      </c>
      <c r="J10909" t="s">
        <v>115</v>
      </c>
      <c r="K10909" s="18" t="s">
        <v>29984</v>
      </c>
      <c r="N10909" s="17" t="s">
        <v>81</v>
      </c>
      <c r="O10909" t="s">
        <v>117</v>
      </c>
      <c r="V10909" s="18" t="s">
        <v>29984</v>
      </c>
      <c r="Y10909" t="s">
        <v>90</v>
      </c>
      <c r="AA10909" t="s">
        <v>118</v>
      </c>
      <c r="AB10909" t="s">
        <v>119</v>
      </c>
    </row>
    <row r="10910" ht="15" customHeight="1" spans="1:28" x14ac:dyDescent="0.25">
      <c r="A10910" s="17" t="s">
        <v>29985</v>
      </c>
      <c r="B10910" s="17" t="s">
        <v>70</v>
      </c>
      <c r="C10910" s="17" t="s">
        <v>71</v>
      </c>
      <c r="D10910" t="s">
        <v>6142</v>
      </c>
      <c r="F10910" t="s">
        <v>29986</v>
      </c>
      <c r="J10910" t="s">
        <v>115</v>
      </c>
      <c r="K10910" s="18" t="s">
        <v>29987</v>
      </c>
      <c r="N10910" s="17" t="s">
        <v>74</v>
      </c>
      <c r="O10910" t="s">
        <v>117</v>
      </c>
      <c r="V10910" s="18" t="s">
        <v>29987</v>
      </c>
      <c r="Y10910" t="s">
        <v>6937</v>
      </c>
      <c r="AA10910" t="s">
        <v>115</v>
      </c>
      <c r="AB10910" t="s">
        <v>6937</v>
      </c>
    </row>
    <row r="10911" ht="15" customHeight="1" spans="1:28" x14ac:dyDescent="0.25">
      <c r="A10911" s="17" t="s">
        <v>29988</v>
      </c>
      <c r="B10911" s="17" t="s">
        <v>70</v>
      </c>
      <c r="C10911" s="17" t="s">
        <v>71</v>
      </c>
      <c r="D10911" t="s">
        <v>6142</v>
      </c>
      <c r="F10911" t="s">
        <v>7299</v>
      </c>
      <c r="J10911" t="s">
        <v>115</v>
      </c>
      <c r="K10911" s="18" t="s">
        <v>29989</v>
      </c>
      <c r="N10911" s="17" t="s">
        <v>77</v>
      </c>
      <c r="O10911" t="s">
        <v>145</v>
      </c>
      <c r="V10911" s="18" t="s">
        <v>29989</v>
      </c>
      <c r="Y10911" t="s">
        <v>190</v>
      </c>
      <c r="AA10911" t="s">
        <v>118</v>
      </c>
      <c r="AB10911" t="s">
        <v>119</v>
      </c>
    </row>
    <row r="10912" ht="15" customHeight="1" spans="1:22" x14ac:dyDescent="0.25">
      <c r="A10912" s="17" t="s">
        <v>29990</v>
      </c>
      <c r="B10912" s="17" t="s">
        <v>70</v>
      </c>
      <c r="C10912" s="17" t="s">
        <v>71</v>
      </c>
      <c r="D10912" t="s">
        <v>6142</v>
      </c>
      <c r="F10912" t="s">
        <v>29991</v>
      </c>
      <c r="K10912" s="18">
        <f>62811888889</f>
        <v>62811888889</v>
      </c>
      <c r="N10912" s="17" t="s">
        <v>81</v>
      </c>
      <c r="V10912" s="18">
        <f>62811888889</f>
        <v>62811888889</v>
      </c>
    </row>
    <row r="10913" ht="15" customHeight="1" spans="1:28" x14ac:dyDescent="0.25">
      <c r="A10913" s="17" t="s">
        <v>29992</v>
      </c>
      <c r="B10913" s="17" t="s">
        <v>70</v>
      </c>
      <c r="C10913" s="17" t="s">
        <v>71</v>
      </c>
      <c r="D10913" t="s">
        <v>6142</v>
      </c>
      <c r="F10913" t="s">
        <v>19643</v>
      </c>
      <c r="J10913" s="17" t="s">
        <v>29993</v>
      </c>
      <c r="K10913" s="18" t="s">
        <v>29994</v>
      </c>
      <c r="N10913" s="17" t="s">
        <v>81</v>
      </c>
      <c r="O10913" t="s">
        <v>261</v>
      </c>
      <c r="V10913" s="18" t="s">
        <v>29994</v>
      </c>
      <c r="Y10913" t="s">
        <v>90</v>
      </c>
      <c r="AA10913" t="s">
        <v>118</v>
      </c>
      <c r="AB10913" t="s">
        <v>119</v>
      </c>
    </row>
    <row r="10914" ht="15" customHeight="1" spans="1:25" x14ac:dyDescent="0.25">
      <c r="A10914" s="17" t="s">
        <v>29995</v>
      </c>
      <c r="B10914" s="17" t="s">
        <v>70</v>
      </c>
      <c r="C10914" s="17" t="s">
        <v>71</v>
      </c>
      <c r="D10914" t="s">
        <v>6142</v>
      </c>
      <c r="F10914" t="s">
        <v>29996</v>
      </c>
      <c r="K10914" s="18">
        <f>62881082845555</f>
        <v>62881082845555</v>
      </c>
      <c r="N10914" s="17" t="s">
        <v>77</v>
      </c>
      <c r="U10914" s="17"/>
      <c r="V10914" s="18">
        <f>62881082845555</f>
        <v>62881082845555</v>
      </c>
      <c r="W10914" t="s">
        <v>29997</v>
      </c>
      <c r="Y10914" s="17" t="s">
        <v>515</v>
      </c>
    </row>
    <row r="10915" ht="15" customHeight="1" spans="1:27" x14ac:dyDescent="0.25">
      <c r="A10915" s="17" t="s">
        <v>29998</v>
      </c>
      <c r="B10915" s="17" t="s">
        <v>70</v>
      </c>
      <c r="C10915" s="17" t="s">
        <v>71</v>
      </c>
      <c r="D10915" t="s">
        <v>6142</v>
      </c>
      <c r="F10915" t="s">
        <v>15494</v>
      </c>
      <c r="J10915" s="17" t="s">
        <v>29999</v>
      </c>
      <c r="K10915" s="18">
        <f>62811900978</f>
        <v>62811900978</v>
      </c>
      <c r="N10915" s="17" t="s">
        <v>77</v>
      </c>
      <c r="U10915" s="17"/>
      <c r="V10915" s="18">
        <f>62811900978</f>
        <v>62811900978</v>
      </c>
      <c r="W10915" t="s">
        <v>30000</v>
      </c>
      <c r="Y10915" s="17" t="s">
        <v>378</v>
      </c>
      <c r="AA10915" s="17">
        <v>12940</v>
      </c>
    </row>
    <row r="10916" ht="15" customHeight="1" spans="1:28" x14ac:dyDescent="0.25">
      <c r="A10916" s="17" t="s">
        <v>30001</v>
      </c>
      <c r="B10916" s="17" t="s">
        <v>70</v>
      </c>
      <c r="C10916" s="17" t="s">
        <v>71</v>
      </c>
      <c r="D10916" t="s">
        <v>6142</v>
      </c>
      <c r="F10916" t="s">
        <v>2258</v>
      </c>
      <c r="J10916" t="s">
        <v>115</v>
      </c>
      <c r="K10916" s="18" t="s">
        <v>30002</v>
      </c>
      <c r="N10916" s="17" t="s">
        <v>77</v>
      </c>
      <c r="O10916" t="s">
        <v>199</v>
      </c>
      <c r="V10916" s="18" t="s">
        <v>30002</v>
      </c>
      <c r="Y10916" t="s">
        <v>90</v>
      </c>
      <c r="AA10916" t="s">
        <v>118</v>
      </c>
      <c r="AB10916" t="s">
        <v>119</v>
      </c>
    </row>
    <row r="10917" ht="15" customHeight="1" spans="1:22" x14ac:dyDescent="0.25">
      <c r="A10917" s="17" t="s">
        <v>30003</v>
      </c>
      <c r="B10917" s="17" t="s">
        <v>70</v>
      </c>
      <c r="C10917" s="17" t="s">
        <v>71</v>
      </c>
      <c r="D10917" t="s">
        <v>6142</v>
      </c>
      <c r="F10917" t="s">
        <v>30004</v>
      </c>
      <c r="K10917" s="18">
        <f>46707915276</f>
        <v>46707915276</v>
      </c>
      <c r="N10917" s="17" t="s">
        <v>77</v>
      </c>
      <c r="V10917" s="18">
        <f>46707915276</f>
        <v>46707915276</v>
      </c>
    </row>
    <row r="10918" ht="15" customHeight="1" spans="1:22" x14ac:dyDescent="0.25">
      <c r="A10918" s="17" t="s">
        <v>30005</v>
      </c>
      <c r="B10918" s="17" t="s">
        <v>70</v>
      </c>
      <c r="C10918" s="17" t="s">
        <v>71</v>
      </c>
      <c r="D10918" t="s">
        <v>6142</v>
      </c>
      <c r="F10918" t="s">
        <v>1169</v>
      </c>
      <c r="K10918" s="18">
        <f>62811870803</f>
        <v>62811870803</v>
      </c>
      <c r="N10918" s="17" t="s">
        <v>77</v>
      </c>
      <c r="V10918" s="18">
        <f>62811870803</f>
        <v>62811870803</v>
      </c>
    </row>
    <row r="10919" ht="15" customHeight="1" spans="1:22" x14ac:dyDescent="0.25">
      <c r="A10919" s="17" t="s">
        <v>30006</v>
      </c>
      <c r="B10919" s="17" t="s">
        <v>70</v>
      </c>
      <c r="C10919" s="17" t="s">
        <v>71</v>
      </c>
      <c r="D10919" t="s">
        <v>30007</v>
      </c>
      <c r="F10919" t="s">
        <v>30008</v>
      </c>
      <c r="K10919" s="18">
        <f>628118685177</f>
        <v>628118685177</v>
      </c>
      <c r="N10919" s="17" t="s">
        <v>81</v>
      </c>
      <c r="V10919" s="18">
        <f>628118685177</f>
        <v>628118685177</v>
      </c>
    </row>
    <row r="10920" ht="15" customHeight="1" spans="1:22" x14ac:dyDescent="0.25">
      <c r="A10920" s="17" t="s">
        <v>30009</v>
      </c>
      <c r="B10920" s="17" t="s">
        <v>70</v>
      </c>
      <c r="C10920" s="17" t="s">
        <v>71</v>
      </c>
      <c r="D10920" t="s">
        <v>6142</v>
      </c>
      <c r="F10920" t="s">
        <v>30010</v>
      </c>
      <c r="J10920" s="17" t="s">
        <v>30011</v>
      </c>
      <c r="K10920" s="18">
        <f>6287880752699</f>
        <v>6287880752699</v>
      </c>
      <c r="N10920" s="17" t="s">
        <v>77</v>
      </c>
      <c r="V10920" s="18">
        <f>6287880752699</f>
        <v>6287880752699</v>
      </c>
    </row>
    <row r="10921" ht="15" customHeight="1" spans="1:22" x14ac:dyDescent="0.25">
      <c r="A10921" s="17" t="s">
        <v>30012</v>
      </c>
      <c r="B10921" s="17" t="s">
        <v>70</v>
      </c>
      <c r="C10921" s="17" t="s">
        <v>71</v>
      </c>
      <c r="D10921" t="s">
        <v>30013</v>
      </c>
      <c r="F10921" t="s">
        <v>30014</v>
      </c>
      <c r="K10921" s="18">
        <f>6281380517171</f>
        <v>6281380517171</v>
      </c>
      <c r="N10921" s="17" t="s">
        <v>81</v>
      </c>
      <c r="V10921" s="18">
        <f>6281380517171</f>
        <v>6281380517171</v>
      </c>
    </row>
    <row r="10922" ht="15" customHeight="1" spans="1:22" x14ac:dyDescent="0.25">
      <c r="A10922" s="17" t="s">
        <v>30015</v>
      </c>
      <c r="B10922" s="17" t="s">
        <v>70</v>
      </c>
      <c r="C10922" s="17" t="s">
        <v>71</v>
      </c>
      <c r="D10922" t="s">
        <v>30013</v>
      </c>
      <c r="F10922" t="s">
        <v>30016</v>
      </c>
      <c r="K10922" s="18">
        <f>62811893923</f>
        <v>62811893923</v>
      </c>
      <c r="N10922" s="17" t="s">
        <v>81</v>
      </c>
      <c r="V10922" s="18">
        <f>62811893923</f>
        <v>62811893923</v>
      </c>
    </row>
    <row r="10923" ht="15" customHeight="1" spans="1:23" x14ac:dyDescent="0.25">
      <c r="A10923" s="17" t="s">
        <v>30017</v>
      </c>
      <c r="B10923" s="17" t="s">
        <v>70</v>
      </c>
      <c r="C10923" s="17" t="s">
        <v>71</v>
      </c>
      <c r="D10923" t="s">
        <v>30018</v>
      </c>
      <c r="F10923" t="s">
        <v>30019</v>
      </c>
      <c r="K10923" s="18">
        <f>6282112606276</f>
        <v>6282112606276</v>
      </c>
      <c r="N10923" s="17" t="s">
        <v>77</v>
      </c>
      <c r="U10923" s="17"/>
      <c r="V10923" s="18">
        <f>6282112606276</f>
        <v>6282112606276</v>
      </c>
      <c r="W10923" t="s">
        <v>30020</v>
      </c>
    </row>
    <row r="10924" ht="15" customHeight="1" spans="1:22" x14ac:dyDescent="0.25">
      <c r="A10924" s="17" t="s">
        <v>30021</v>
      </c>
      <c r="B10924" s="17" t="s">
        <v>70</v>
      </c>
      <c r="C10924" s="17" t="s">
        <v>71</v>
      </c>
      <c r="D10924" t="s">
        <v>30022</v>
      </c>
      <c r="F10924" t="s">
        <v>30022</v>
      </c>
      <c r="K10924" s="18">
        <f>628111016104</f>
        <v>628111016104</v>
      </c>
      <c r="N10924" s="17" t="s">
        <v>77</v>
      </c>
      <c r="V10924" s="18">
        <f>628111016104</f>
        <v>628111016104</v>
      </c>
    </row>
    <row r="10925" ht="15" customHeight="1" spans="1:28" x14ac:dyDescent="0.25">
      <c r="A10925" s="17" t="s">
        <v>30023</v>
      </c>
      <c r="B10925" s="17" t="s">
        <v>70</v>
      </c>
      <c r="C10925" s="17" t="s">
        <v>71</v>
      </c>
      <c r="D10925" t="s">
        <v>30024</v>
      </c>
      <c r="F10925" t="s">
        <v>30025</v>
      </c>
      <c r="J10925" t="s">
        <v>115</v>
      </c>
      <c r="K10925" s="18" t="s">
        <v>30026</v>
      </c>
      <c r="N10925" s="17" t="s">
        <v>77</v>
      </c>
      <c r="O10925" t="s">
        <v>145</v>
      </c>
      <c r="U10925" s="17"/>
      <c r="V10925" s="18" t="s">
        <v>30026</v>
      </c>
      <c r="W10925" t="s">
        <v>30027</v>
      </c>
      <c r="Y10925" t="s">
        <v>217</v>
      </c>
      <c r="AA10925" t="s">
        <v>218</v>
      </c>
      <c r="AB10925" t="s">
        <v>119</v>
      </c>
    </row>
    <row r="10926" ht="15" customHeight="1" spans="1:22" x14ac:dyDescent="0.25">
      <c r="A10926" s="17" t="s">
        <v>30028</v>
      </c>
      <c r="B10926" s="17" t="s">
        <v>70</v>
      </c>
      <c r="C10926" s="17" t="s">
        <v>71</v>
      </c>
      <c r="D10926" t="s">
        <v>30029</v>
      </c>
      <c r="F10926" t="s">
        <v>30029</v>
      </c>
      <c r="K10926" s="18">
        <f>6282117701011</f>
        <v>6282117701011</v>
      </c>
      <c r="N10926" s="17" t="s">
        <v>81</v>
      </c>
      <c r="V10926" s="18">
        <f>6282117701011</f>
        <v>6282117701011</v>
      </c>
    </row>
    <row r="10927" ht="15" customHeight="1" spans="1:28" x14ac:dyDescent="0.25">
      <c r="A10927" s="17" t="s">
        <v>30030</v>
      </c>
      <c r="B10927" s="17" t="s">
        <v>70</v>
      </c>
      <c r="C10927" s="17" t="s">
        <v>71</v>
      </c>
      <c r="D10927" t="s">
        <v>30029</v>
      </c>
      <c r="F10927" t="s">
        <v>4401</v>
      </c>
      <c r="J10927" t="s">
        <v>115</v>
      </c>
      <c r="K10927" s="18" t="s">
        <v>30031</v>
      </c>
      <c r="N10927" s="17" t="s">
        <v>77</v>
      </c>
      <c r="O10927" t="s">
        <v>145</v>
      </c>
      <c r="U10927" s="17"/>
      <c r="V10927" s="18" t="s">
        <v>30031</v>
      </c>
      <c r="W10927" t="s">
        <v>30032</v>
      </c>
      <c r="Y10927" s="17" t="s">
        <v>90</v>
      </c>
      <c r="AA10927" t="s">
        <v>118</v>
      </c>
      <c r="AB10927" t="s">
        <v>119</v>
      </c>
    </row>
    <row r="10928" ht="15" customHeight="1" spans="1:23" x14ac:dyDescent="0.25">
      <c r="A10928" s="17" t="s">
        <v>30033</v>
      </c>
      <c r="B10928" s="17" t="s">
        <v>70</v>
      </c>
      <c r="C10928" s="17" t="s">
        <v>71</v>
      </c>
      <c r="D10928" t="s">
        <v>30029</v>
      </c>
      <c r="F10928" t="s">
        <v>4059</v>
      </c>
      <c r="K10928" s="18">
        <f>628111596886</f>
        <v>628111596886</v>
      </c>
      <c r="N10928" s="17" t="s">
        <v>81</v>
      </c>
      <c r="U10928" s="17"/>
      <c r="V10928" s="18">
        <f>628111596886</f>
        <v>628111596886</v>
      </c>
      <c r="W10928" t="s">
        <v>30034</v>
      </c>
    </row>
    <row r="10929" ht="15" customHeight="1" spans="1:22" x14ac:dyDescent="0.25">
      <c r="A10929" s="17" t="s">
        <v>30035</v>
      </c>
      <c r="B10929" s="17" t="s">
        <v>70</v>
      </c>
      <c r="C10929" s="17" t="s">
        <v>71</v>
      </c>
      <c r="D10929" t="s">
        <v>23867</v>
      </c>
      <c r="F10929" t="s">
        <v>30036</v>
      </c>
      <c r="K10929" s="18">
        <f>6281314056930</f>
        <v>6281314056930</v>
      </c>
      <c r="N10929" s="17" t="s">
        <v>77</v>
      </c>
      <c r="V10929" s="18">
        <f>6281314056930</f>
        <v>6281314056930</v>
      </c>
    </row>
    <row r="10930" ht="15" customHeight="1" spans="1:23" x14ac:dyDescent="0.25">
      <c r="A10930" s="17" t="s">
        <v>30037</v>
      </c>
      <c r="B10930" s="17" t="s">
        <v>70</v>
      </c>
      <c r="C10930" s="17" t="s">
        <v>71</v>
      </c>
      <c r="D10930" t="s">
        <v>25904</v>
      </c>
      <c r="F10930" t="s">
        <v>30038</v>
      </c>
      <c r="K10930" s="18">
        <f>628123807024</f>
        <v>628123807024</v>
      </c>
      <c r="N10930" s="17" t="s">
        <v>74</v>
      </c>
      <c r="U10930" s="17"/>
      <c r="V10930" s="18">
        <f>628123807024</f>
        <v>628123807024</v>
      </c>
      <c r="W10930" t="s">
        <v>30039</v>
      </c>
    </row>
    <row r="10931" ht="15" customHeight="1" spans="1:22" x14ac:dyDescent="0.25">
      <c r="A10931" s="17" t="s">
        <v>30040</v>
      </c>
      <c r="B10931" s="17" t="s">
        <v>70</v>
      </c>
      <c r="C10931" s="17" t="s">
        <v>71</v>
      </c>
      <c r="D10931" t="s">
        <v>5070</v>
      </c>
      <c r="F10931" t="s">
        <v>5070</v>
      </c>
      <c r="K10931" s="18">
        <f>6281298920740</f>
        <v>6281298920740</v>
      </c>
      <c r="N10931" s="17" t="s">
        <v>77</v>
      </c>
      <c r="V10931" s="18">
        <f>6281298920740</f>
        <v>6281298920740</v>
      </c>
    </row>
    <row r="10932" ht="15" customHeight="1" spans="1:22" x14ac:dyDescent="0.25">
      <c r="A10932" s="17" t="s">
        <v>30041</v>
      </c>
      <c r="B10932" s="17" t="s">
        <v>70</v>
      </c>
      <c r="C10932" s="17" t="s">
        <v>71</v>
      </c>
      <c r="D10932" t="s">
        <v>5070</v>
      </c>
      <c r="F10932" t="s">
        <v>30042</v>
      </c>
      <c r="J10932" s="17" t="s">
        <v>30043</v>
      </c>
      <c r="K10932" s="18">
        <f>628161485843</f>
        <v>628161485843</v>
      </c>
      <c r="N10932" s="17" t="s">
        <v>74</v>
      </c>
      <c r="V10932" s="18">
        <f>628161485843</f>
        <v>628161485843</v>
      </c>
    </row>
    <row r="10933" ht="15" customHeight="1" spans="1:22" x14ac:dyDescent="0.25">
      <c r="A10933" s="17" t="s">
        <v>30044</v>
      </c>
      <c r="B10933" s="17" t="s">
        <v>70</v>
      </c>
      <c r="C10933" s="17" t="s">
        <v>71</v>
      </c>
      <c r="D10933" t="s">
        <v>30045</v>
      </c>
      <c r="F10933" t="s">
        <v>30045</v>
      </c>
      <c r="K10933" s="18">
        <f>628121029002</f>
        <v>628121029002</v>
      </c>
      <c r="N10933" s="17" t="s">
        <v>81</v>
      </c>
      <c r="V10933" s="18">
        <f>628121029002</f>
        <v>628121029002</v>
      </c>
    </row>
    <row r="10934" ht="15" customHeight="1" spans="1:22" x14ac:dyDescent="0.25">
      <c r="A10934" s="17" t="s">
        <v>30046</v>
      </c>
      <c r="B10934" s="17" t="s">
        <v>70</v>
      </c>
      <c r="C10934" s="17" t="s">
        <v>71</v>
      </c>
      <c r="D10934" t="s">
        <v>30045</v>
      </c>
      <c r="F10934" t="s">
        <v>6872</v>
      </c>
      <c r="K10934" s="18">
        <f>628129028678</f>
        <v>628129028678</v>
      </c>
      <c r="N10934" s="17" t="s">
        <v>77</v>
      </c>
      <c r="V10934" s="18">
        <f>628129028678</f>
        <v>628129028678</v>
      </c>
    </row>
    <row r="10935" ht="15" customHeight="1" spans="1:22" x14ac:dyDescent="0.25">
      <c r="A10935" s="17" t="s">
        <v>30047</v>
      </c>
      <c r="B10935" s="17" t="s">
        <v>70</v>
      </c>
      <c r="C10935" s="17" t="s">
        <v>71</v>
      </c>
      <c r="D10935" t="s">
        <v>30045</v>
      </c>
      <c r="F10935" t="s">
        <v>30048</v>
      </c>
      <c r="K10935" s="18">
        <f>62811817917</f>
        <v>62811817917</v>
      </c>
      <c r="N10935" s="17" t="s">
        <v>77</v>
      </c>
      <c r="V10935" s="18">
        <f>62811817917</f>
        <v>62811817917</v>
      </c>
    </row>
    <row r="10936" ht="15" customHeight="1" spans="1:22" x14ac:dyDescent="0.25">
      <c r="A10936" s="17" t="s">
        <v>30049</v>
      </c>
      <c r="B10936" s="17" t="s">
        <v>70</v>
      </c>
      <c r="C10936" s="17" t="s">
        <v>71</v>
      </c>
      <c r="D10936" t="s">
        <v>30045</v>
      </c>
      <c r="F10936" t="s">
        <v>1337</v>
      </c>
      <c r="K10936" s="18">
        <f>628129229999</f>
        <v>628129229999</v>
      </c>
      <c r="N10936" s="17" t="s">
        <v>74</v>
      </c>
      <c r="V10936" s="18">
        <f>628129229999</f>
        <v>628129229999</v>
      </c>
    </row>
    <row r="10937" ht="15" customHeight="1" spans="1:28" x14ac:dyDescent="0.25">
      <c r="A10937" s="17" t="s">
        <v>30050</v>
      </c>
      <c r="B10937" s="17" t="s">
        <v>70</v>
      </c>
      <c r="C10937" s="17" t="s">
        <v>71</v>
      </c>
      <c r="D10937" t="s">
        <v>30051</v>
      </c>
      <c r="F10937" t="s">
        <v>30052</v>
      </c>
      <c r="J10937" t="s">
        <v>115</v>
      </c>
      <c r="K10937" s="18" t="s">
        <v>30053</v>
      </c>
      <c r="N10937" s="17" t="s">
        <v>74</v>
      </c>
      <c r="O10937" t="s">
        <v>117</v>
      </c>
      <c r="U10937" s="17"/>
      <c r="V10937" s="18" t="s">
        <v>30053</v>
      </c>
      <c r="W10937" t="s">
        <v>30054</v>
      </c>
      <c r="Y10937" s="17" t="s">
        <v>190</v>
      </c>
      <c r="AA10937" s="17" t="s">
        <v>118</v>
      </c>
      <c r="AB10937" t="s">
        <v>119</v>
      </c>
    </row>
    <row r="10938" ht="15" customHeight="1" spans="1:27" x14ac:dyDescent="0.25">
      <c r="A10938" s="17" t="s">
        <v>30055</v>
      </c>
      <c r="B10938" s="17" t="s">
        <v>70</v>
      </c>
      <c r="C10938" s="17" t="s">
        <v>71</v>
      </c>
      <c r="D10938" t="s">
        <v>30056</v>
      </c>
      <c r="F10938" t="s">
        <v>2957</v>
      </c>
      <c r="K10938" s="18">
        <v>79181321</v>
      </c>
      <c r="N10938" s="17" t="s">
        <v>74</v>
      </c>
      <c r="U10938" s="17"/>
      <c r="V10938" s="18">
        <v>79181321</v>
      </c>
      <c r="W10938" t="s">
        <v>30057</v>
      </c>
      <c r="Y10938" s="17" t="s">
        <v>96</v>
      </c>
      <c r="AA10938" s="17" t="s">
        <v>133</v>
      </c>
    </row>
    <row r="10939" ht="15" customHeight="1" spans="1:22" x14ac:dyDescent="0.25">
      <c r="A10939" s="17" t="s">
        <v>30058</v>
      </c>
      <c r="B10939" s="17" t="s">
        <v>70</v>
      </c>
      <c r="C10939" s="17" t="s">
        <v>71</v>
      </c>
      <c r="D10939" t="s">
        <v>30059</v>
      </c>
      <c r="F10939" t="s">
        <v>30060</v>
      </c>
      <c r="K10939" s="18">
        <f>62811897347</f>
        <v>62811897347</v>
      </c>
      <c r="N10939" s="17" t="s">
        <v>77</v>
      </c>
      <c r="V10939" s="18">
        <f>62811897347</f>
        <v>62811897347</v>
      </c>
    </row>
    <row r="10940" ht="15" customHeight="1" spans="1:22" x14ac:dyDescent="0.25">
      <c r="A10940" s="17" t="s">
        <v>30061</v>
      </c>
      <c r="B10940" s="17" t="s">
        <v>70</v>
      </c>
      <c r="C10940" s="17" t="s">
        <v>71</v>
      </c>
      <c r="D10940" t="s">
        <v>30062</v>
      </c>
      <c r="F10940" t="s">
        <v>30063</v>
      </c>
      <c r="K10940" s="18">
        <f>62816956180</f>
        <v>62816956180</v>
      </c>
      <c r="N10940" s="17" t="s">
        <v>77</v>
      </c>
      <c r="V10940" s="18">
        <f>62816956180</f>
        <v>62816956180</v>
      </c>
    </row>
    <row r="10941" ht="15" customHeight="1" spans="1:22" x14ac:dyDescent="0.25">
      <c r="A10941" s="17" t="s">
        <v>30064</v>
      </c>
      <c r="B10941" s="17" t="s">
        <v>70</v>
      </c>
      <c r="C10941" s="17" t="s">
        <v>71</v>
      </c>
      <c r="D10941" t="s">
        <v>30065</v>
      </c>
      <c r="F10941" t="s">
        <v>30065</v>
      </c>
      <c r="K10941" s="18">
        <f>6281296168066</f>
        <v>6281296168066</v>
      </c>
      <c r="N10941" s="17" t="s">
        <v>74</v>
      </c>
      <c r="V10941" s="18">
        <f>6281296168066</f>
        <v>6281296168066</v>
      </c>
    </row>
    <row r="10942" ht="15" customHeight="1" spans="1:28" x14ac:dyDescent="0.25">
      <c r="A10942" s="17" t="s">
        <v>30066</v>
      </c>
      <c r="B10942" s="17" t="s">
        <v>70</v>
      </c>
      <c r="C10942" s="17" t="s">
        <v>71</v>
      </c>
      <c r="D10942" t="s">
        <v>30065</v>
      </c>
      <c r="F10942" t="s">
        <v>30065</v>
      </c>
      <c r="J10942" t="s">
        <v>115</v>
      </c>
      <c r="K10942" s="18" t="s">
        <v>30067</v>
      </c>
      <c r="N10942" s="17" t="s">
        <v>77</v>
      </c>
      <c r="O10942" t="s">
        <v>489</v>
      </c>
      <c r="V10942" s="18" t="s">
        <v>30067</v>
      </c>
      <c r="Y10942" t="s">
        <v>90</v>
      </c>
      <c r="AA10942" t="s">
        <v>118</v>
      </c>
      <c r="AB10942" t="s">
        <v>119</v>
      </c>
    </row>
    <row r="10943" ht="15" customHeight="1" spans="1:22" x14ac:dyDescent="0.25">
      <c r="A10943" s="17" t="s">
        <v>30068</v>
      </c>
      <c r="B10943" s="17" t="s">
        <v>70</v>
      </c>
      <c r="C10943" s="17" t="s">
        <v>71</v>
      </c>
      <c r="D10943" t="s">
        <v>30065</v>
      </c>
      <c r="F10943" t="s">
        <v>30065</v>
      </c>
      <c r="K10943" s="18">
        <f>62812998787</f>
        <v>62812998787</v>
      </c>
      <c r="N10943" s="17" t="s">
        <v>81</v>
      </c>
      <c r="V10943" s="18">
        <f>62812998787</f>
        <v>62812998787</v>
      </c>
    </row>
    <row r="10944" ht="15" customHeight="1" spans="1:28" x14ac:dyDescent="0.25">
      <c r="A10944" s="17" t="s">
        <v>30069</v>
      </c>
      <c r="B10944" s="17" t="s">
        <v>70</v>
      </c>
      <c r="C10944" s="17" t="s">
        <v>71</v>
      </c>
      <c r="D10944" t="s">
        <v>30065</v>
      </c>
      <c r="F10944" t="s">
        <v>5518</v>
      </c>
      <c r="J10944" t="s">
        <v>115</v>
      </c>
      <c r="K10944" s="18" t="s">
        <v>30070</v>
      </c>
      <c r="N10944" s="17" t="s">
        <v>77</v>
      </c>
      <c r="O10944" t="s">
        <v>117</v>
      </c>
      <c r="V10944" s="18" t="s">
        <v>30070</v>
      </c>
      <c r="Y10944" t="s">
        <v>90</v>
      </c>
      <c r="AA10944" t="s">
        <v>118</v>
      </c>
      <c r="AB10944" t="s">
        <v>119</v>
      </c>
    </row>
    <row r="10945" ht="15" customHeight="1" spans="1:22" x14ac:dyDescent="0.25">
      <c r="A10945" s="17" t="s">
        <v>30071</v>
      </c>
      <c r="B10945" s="17" t="s">
        <v>70</v>
      </c>
      <c r="C10945" s="17" t="s">
        <v>71</v>
      </c>
      <c r="D10945" t="s">
        <v>30065</v>
      </c>
      <c r="F10945" t="s">
        <v>301</v>
      </c>
      <c r="K10945" s="18">
        <f>6281212343371</f>
        <v>6281212343371</v>
      </c>
      <c r="N10945" s="17" t="s">
        <v>77</v>
      </c>
      <c r="V10945" s="18">
        <f>6281212343371</f>
        <v>6281212343371</v>
      </c>
    </row>
    <row r="10946" ht="15" customHeight="1" spans="1:28" x14ac:dyDescent="0.25">
      <c r="A10946" s="17" t="s">
        <v>30072</v>
      </c>
      <c r="B10946" s="17" t="s">
        <v>70</v>
      </c>
      <c r="C10946" s="17" t="s">
        <v>71</v>
      </c>
      <c r="D10946" t="s">
        <v>30073</v>
      </c>
      <c r="F10946" t="s">
        <v>30073</v>
      </c>
      <c r="J10946" t="s">
        <v>115</v>
      </c>
      <c r="K10946" s="18" t="s">
        <v>30074</v>
      </c>
      <c r="N10946" s="17" t="s">
        <v>77</v>
      </c>
      <c r="O10946" t="s">
        <v>199</v>
      </c>
      <c r="V10946" s="18" t="s">
        <v>30074</v>
      </c>
      <c r="Y10946" t="s">
        <v>1042</v>
      </c>
      <c r="AA10946" t="s">
        <v>115</v>
      </c>
      <c r="AB10946" t="s">
        <v>119</v>
      </c>
    </row>
    <row r="10947" ht="15" customHeight="1" spans="1:22" x14ac:dyDescent="0.25">
      <c r="A10947" s="17" t="s">
        <v>30075</v>
      </c>
      <c r="B10947" s="17" t="s">
        <v>70</v>
      </c>
      <c r="C10947" s="17" t="s">
        <v>71</v>
      </c>
      <c r="D10947" t="s">
        <v>30076</v>
      </c>
      <c r="F10947" t="s">
        <v>30076</v>
      </c>
      <c r="K10947" s="18">
        <f>628170001116</f>
        <v>628170001116</v>
      </c>
      <c r="N10947" s="17" t="s">
        <v>77</v>
      </c>
      <c r="V10947" s="18">
        <f>628170001116</f>
        <v>628170001116</v>
      </c>
    </row>
    <row r="10948" ht="15" customHeight="1" spans="1:22" x14ac:dyDescent="0.25">
      <c r="A10948" s="17" t="s">
        <v>30077</v>
      </c>
      <c r="B10948" s="17" t="s">
        <v>70</v>
      </c>
      <c r="C10948" s="17" t="s">
        <v>71</v>
      </c>
      <c r="D10948" t="s">
        <v>30078</v>
      </c>
      <c r="F10948" t="s">
        <v>30078</v>
      </c>
      <c r="K10948" s="18">
        <f>62827504111</f>
        <v>62827504111</v>
      </c>
      <c r="N10948" s="17" t="s">
        <v>77</v>
      </c>
      <c r="V10948" s="18">
        <f>62827504111</f>
        <v>62827504111</v>
      </c>
    </row>
    <row r="10949" ht="15" customHeight="1" spans="1:25" x14ac:dyDescent="0.25">
      <c r="A10949" s="17" t="s">
        <v>30079</v>
      </c>
      <c r="B10949" s="17" t="s">
        <v>70</v>
      </c>
      <c r="C10949" s="17" t="s">
        <v>71</v>
      </c>
      <c r="D10949" t="s">
        <v>30080</v>
      </c>
      <c r="F10949" t="s">
        <v>4543</v>
      </c>
      <c r="K10949" s="18">
        <f>628151800006</f>
        <v>628151800006</v>
      </c>
      <c r="N10949" s="17" t="s">
        <v>77</v>
      </c>
      <c r="U10949" s="17"/>
      <c r="V10949" s="18">
        <f>628151800006</f>
        <v>628151800006</v>
      </c>
      <c r="W10949" t="s">
        <v>30081</v>
      </c>
      <c r="Y10949" s="17" t="s">
        <v>96</v>
      </c>
    </row>
    <row r="10950" ht="15" customHeight="1" spans="1:22" x14ac:dyDescent="0.25">
      <c r="A10950" s="17" t="s">
        <v>30082</v>
      </c>
      <c r="B10950" s="17" t="s">
        <v>70</v>
      </c>
      <c r="C10950" s="17" t="s">
        <v>71</v>
      </c>
      <c r="D10950" t="s">
        <v>30083</v>
      </c>
      <c r="F10950" t="s">
        <v>30083</v>
      </c>
      <c r="J10950" s="17" t="s">
        <v>30084</v>
      </c>
      <c r="K10950" s="18">
        <f>6281288041088</f>
        <v>6281288041088</v>
      </c>
      <c r="N10950" s="17" t="s">
        <v>81</v>
      </c>
      <c r="V10950" s="18">
        <f>6281288041088</f>
        <v>6281288041088</v>
      </c>
    </row>
    <row r="10951" ht="15" customHeight="1" spans="1:22" x14ac:dyDescent="0.25">
      <c r="A10951" s="17" t="s">
        <v>30085</v>
      </c>
      <c r="B10951" s="17" t="s">
        <v>70</v>
      </c>
      <c r="C10951" s="17" t="s">
        <v>71</v>
      </c>
      <c r="D10951" t="s">
        <v>30086</v>
      </c>
      <c r="F10951" t="s">
        <v>30087</v>
      </c>
      <c r="K10951" s="18">
        <f>6282123082525</f>
        <v>6282123082525</v>
      </c>
      <c r="N10951" s="17" t="s">
        <v>77</v>
      </c>
      <c r="V10951" s="18">
        <f>6282123082525</f>
        <v>6282123082525</v>
      </c>
    </row>
    <row r="10952" ht="15" customHeight="1" spans="1:23" x14ac:dyDescent="0.25">
      <c r="A10952" s="17" t="s">
        <v>30088</v>
      </c>
      <c r="B10952" s="17" t="s">
        <v>70</v>
      </c>
      <c r="C10952" s="17" t="s">
        <v>71</v>
      </c>
      <c r="D10952" t="s">
        <v>30089</v>
      </c>
      <c r="F10952" t="s">
        <v>30090</v>
      </c>
      <c r="K10952" s="18">
        <f>628159501837</f>
        <v>628159501837</v>
      </c>
      <c r="N10952" s="17" t="s">
        <v>77</v>
      </c>
      <c r="U10952" s="17"/>
      <c r="V10952" s="18">
        <f>628159501837</f>
        <v>628159501837</v>
      </c>
      <c r="W10952" t="s">
        <v>30091</v>
      </c>
    </row>
    <row r="10953" ht="15" customHeight="1" spans="1:23" x14ac:dyDescent="0.25">
      <c r="A10953" s="17" t="s">
        <v>30092</v>
      </c>
      <c r="B10953" s="17" t="s">
        <v>70</v>
      </c>
      <c r="C10953" s="17" t="s">
        <v>71</v>
      </c>
      <c r="D10953" t="s">
        <v>30093</v>
      </c>
      <c r="F10953" t="s">
        <v>30094</v>
      </c>
      <c r="K10953" s="18">
        <f>6285718880000</f>
        <v>6285718880000</v>
      </c>
      <c r="N10953" s="17" t="s">
        <v>77</v>
      </c>
      <c r="U10953" s="17"/>
      <c r="V10953" s="18">
        <f>6285718880000</f>
        <v>6285718880000</v>
      </c>
      <c r="W10953" t="s">
        <v>30095</v>
      </c>
    </row>
    <row r="10954" ht="15" customHeight="1" spans="1:25" x14ac:dyDescent="0.25">
      <c r="A10954" s="17" t="s">
        <v>30096</v>
      </c>
      <c r="B10954" s="17" t="s">
        <v>70</v>
      </c>
      <c r="C10954" s="17" t="s">
        <v>71</v>
      </c>
      <c r="D10954" t="s">
        <v>30097</v>
      </c>
      <c r="F10954" t="s">
        <v>19823</v>
      </c>
      <c r="K10954" s="18">
        <f>628129930006</f>
        <v>628129930006</v>
      </c>
      <c r="N10954" s="17" t="s">
        <v>77</v>
      </c>
      <c r="U10954" s="17"/>
      <c r="V10954" s="18">
        <f>628129930006</f>
        <v>628129930006</v>
      </c>
      <c r="W10954" t="s">
        <v>30098</v>
      </c>
      <c r="Y10954" s="17" t="s">
        <v>90</v>
      </c>
    </row>
    <row r="10955" ht="15" customHeight="1" spans="1:22" x14ac:dyDescent="0.25">
      <c r="A10955" s="17" t="s">
        <v>30099</v>
      </c>
      <c r="B10955" s="17" t="s">
        <v>70</v>
      </c>
      <c r="C10955" s="17" t="s">
        <v>71</v>
      </c>
      <c r="D10955" t="s">
        <v>30100</v>
      </c>
      <c r="F10955" t="s">
        <v>20158</v>
      </c>
      <c r="J10955" s="17" t="s">
        <v>30101</v>
      </c>
      <c r="K10955" s="18">
        <f>6287885402310</f>
        <v>6287885402310</v>
      </c>
      <c r="N10955" s="17" t="s">
        <v>77</v>
      </c>
      <c r="V10955" s="18">
        <f>6287885402310</f>
        <v>6287885402310</v>
      </c>
    </row>
    <row r="10956" ht="15" customHeight="1" spans="1:28" x14ac:dyDescent="0.25">
      <c r="A10956" s="17" t="s">
        <v>30102</v>
      </c>
      <c r="B10956" s="17" t="s">
        <v>70</v>
      </c>
      <c r="C10956" s="17" t="s">
        <v>71</v>
      </c>
      <c r="D10956" t="s">
        <v>30103</v>
      </c>
      <c r="F10956" t="s">
        <v>30104</v>
      </c>
      <c r="J10956" t="s">
        <v>115</v>
      </c>
      <c r="K10956" s="18" t="s">
        <v>30105</v>
      </c>
      <c r="N10956" s="17" t="s">
        <v>77</v>
      </c>
      <c r="O10956" t="s">
        <v>145</v>
      </c>
      <c r="V10956" s="18" t="s">
        <v>30105</v>
      </c>
      <c r="Y10956" s="17" t="s">
        <v>96</v>
      </c>
      <c r="AA10956" t="s">
        <v>693</v>
      </c>
      <c r="AB10956" t="s">
        <v>119</v>
      </c>
    </row>
    <row r="10957" ht="15" customHeight="1" spans="1:23" x14ac:dyDescent="0.25">
      <c r="A10957" s="17" t="s">
        <v>30106</v>
      </c>
      <c r="B10957" s="17" t="s">
        <v>70</v>
      </c>
      <c r="C10957" s="17" t="s">
        <v>71</v>
      </c>
      <c r="D10957" t="s">
        <v>30107</v>
      </c>
      <c r="F10957" t="s">
        <v>30108</v>
      </c>
      <c r="J10957" s="17" t="s">
        <v>30109</v>
      </c>
      <c r="K10957" s="18">
        <f>6281294634404</f>
        <v>6281294634404</v>
      </c>
      <c r="N10957" s="17" t="s">
        <v>77</v>
      </c>
      <c r="U10957" s="17"/>
      <c r="V10957" s="18">
        <f>6281294634404</f>
        <v>6281294634404</v>
      </c>
      <c r="W10957" t="s">
        <v>30110</v>
      </c>
    </row>
    <row r="10958" ht="15" customHeight="1" spans="1:22" x14ac:dyDescent="0.25">
      <c r="A10958" s="17" t="s">
        <v>30111</v>
      </c>
      <c r="B10958" s="17" t="s">
        <v>70</v>
      </c>
      <c r="C10958" s="17" t="s">
        <v>71</v>
      </c>
      <c r="D10958" t="s">
        <v>30112</v>
      </c>
      <c r="F10958" t="s">
        <v>30112</v>
      </c>
      <c r="K10958" s="18">
        <f>6281286071577</f>
        <v>6281286071577</v>
      </c>
      <c r="N10958" s="17" t="s">
        <v>77</v>
      </c>
      <c r="V10958" s="18">
        <f>6281286071577</f>
        <v>6281286071577</v>
      </c>
    </row>
    <row r="10959" ht="15" customHeight="1" spans="1:22" x14ac:dyDescent="0.25">
      <c r="A10959" s="17" t="s">
        <v>30113</v>
      </c>
      <c r="B10959" s="17" t="s">
        <v>70</v>
      </c>
      <c r="C10959" s="17" t="s">
        <v>71</v>
      </c>
      <c r="D10959" t="s">
        <v>30112</v>
      </c>
      <c r="F10959" t="s">
        <v>30114</v>
      </c>
      <c r="K10959" s="18">
        <f>6285883264444</f>
        <v>6285883264444</v>
      </c>
      <c r="N10959" s="17" t="s">
        <v>74</v>
      </c>
      <c r="V10959" s="18">
        <f>6285883264444</f>
        <v>6285883264444</v>
      </c>
    </row>
    <row r="10960" ht="15" customHeight="1" spans="1:22" x14ac:dyDescent="0.25">
      <c r="A10960" s="17" t="s">
        <v>30115</v>
      </c>
      <c r="B10960" s="17" t="s">
        <v>70</v>
      </c>
      <c r="C10960" s="17" t="s">
        <v>71</v>
      </c>
      <c r="D10960" t="s">
        <v>30112</v>
      </c>
      <c r="F10960" t="s">
        <v>16219</v>
      </c>
      <c r="K10960" s="18">
        <f>6281283200029</f>
        <v>6281283200029</v>
      </c>
      <c r="N10960" s="17" t="s">
        <v>81</v>
      </c>
      <c r="V10960" s="18">
        <f>6281283200029</f>
        <v>6281283200029</v>
      </c>
    </row>
    <row r="10961" ht="15" customHeight="1" spans="1:22" x14ac:dyDescent="0.25">
      <c r="A10961" s="17" t="s">
        <v>30116</v>
      </c>
      <c r="B10961" s="17" t="s">
        <v>70</v>
      </c>
      <c r="C10961" s="17" t="s">
        <v>71</v>
      </c>
      <c r="D10961" t="s">
        <v>30112</v>
      </c>
      <c r="F10961" t="s">
        <v>30117</v>
      </c>
      <c r="K10961" s="18">
        <f>62811851322</f>
        <v>62811851322</v>
      </c>
      <c r="N10961" s="17" t="s">
        <v>81</v>
      </c>
      <c r="V10961" s="18">
        <f>62811851322</f>
        <v>62811851322</v>
      </c>
    </row>
    <row r="10962" ht="15" customHeight="1" spans="1:28" x14ac:dyDescent="0.25">
      <c r="A10962" s="17" t="s">
        <v>30118</v>
      </c>
      <c r="B10962" s="17" t="s">
        <v>70</v>
      </c>
      <c r="C10962" s="17" t="s">
        <v>71</v>
      </c>
      <c r="D10962" t="s">
        <v>30112</v>
      </c>
      <c r="F10962" t="s">
        <v>18826</v>
      </c>
      <c r="J10962" s="17" t="s">
        <v>30119</v>
      </c>
      <c r="K10962" s="18" t="s">
        <v>30120</v>
      </c>
      <c r="N10962" s="17" t="s">
        <v>77</v>
      </c>
      <c r="O10962" t="s">
        <v>145</v>
      </c>
      <c r="U10962" s="17"/>
      <c r="V10962" s="18" t="s">
        <v>30120</v>
      </c>
      <c r="W10962" t="s">
        <v>30121</v>
      </c>
      <c r="Y10962" t="s">
        <v>500</v>
      </c>
      <c r="AA10962" s="17" t="s">
        <v>501</v>
      </c>
      <c r="AB10962" t="s">
        <v>119</v>
      </c>
    </row>
    <row r="10963" ht="15" customHeight="1" spans="1:25" x14ac:dyDescent="0.25">
      <c r="A10963" s="17" t="s">
        <v>30122</v>
      </c>
      <c r="B10963" s="17" t="s">
        <v>70</v>
      </c>
      <c r="C10963" s="17" t="s">
        <v>71</v>
      </c>
      <c r="D10963" t="s">
        <v>30123</v>
      </c>
      <c r="F10963" t="s">
        <v>4228</v>
      </c>
      <c r="K10963" s="18">
        <f>62818708756</f>
        <v>62818708756</v>
      </c>
      <c r="N10963" s="17" t="s">
        <v>77</v>
      </c>
      <c r="U10963" s="17"/>
      <c r="V10963" s="18">
        <f>62818708756</f>
        <v>62818708756</v>
      </c>
      <c r="W10963" t="s">
        <v>30124</v>
      </c>
      <c r="Y10963" s="17" t="s">
        <v>90</v>
      </c>
    </row>
    <row r="10964" ht="15" customHeight="1" spans="1:23" x14ac:dyDescent="0.25">
      <c r="A10964" s="17" t="s">
        <v>30125</v>
      </c>
      <c r="B10964" s="17" t="s">
        <v>70</v>
      </c>
      <c r="C10964" s="17" t="s">
        <v>71</v>
      </c>
      <c r="D10964" t="s">
        <v>30126</v>
      </c>
      <c r="F10964" t="s">
        <v>30126</v>
      </c>
      <c r="K10964" s="18">
        <f>6281213732000</f>
        <v>6281213732000</v>
      </c>
      <c r="N10964" s="17" t="s">
        <v>77</v>
      </c>
      <c r="U10964" s="17"/>
      <c r="V10964" s="18">
        <f>6281213732000</f>
        <v>6281213732000</v>
      </c>
      <c r="W10964" t="s">
        <v>30127</v>
      </c>
    </row>
    <row r="10965" ht="15" customHeight="1" spans="1:22" x14ac:dyDescent="0.25">
      <c r="A10965" s="17" t="s">
        <v>30128</v>
      </c>
      <c r="B10965" s="17" t="s">
        <v>70</v>
      </c>
      <c r="C10965" s="17" t="s">
        <v>71</v>
      </c>
      <c r="D10965" t="s">
        <v>30126</v>
      </c>
      <c r="F10965" t="s">
        <v>30126</v>
      </c>
      <c r="K10965" s="18">
        <f>6285881558769</f>
        <v>6285881558769</v>
      </c>
      <c r="N10965" s="17" t="s">
        <v>81</v>
      </c>
      <c r="V10965" s="18">
        <f>6285881558769</f>
        <v>6285881558769</v>
      </c>
    </row>
    <row r="10966" ht="15" customHeight="1" spans="1:25" x14ac:dyDescent="0.25">
      <c r="A10966" s="17" t="s">
        <v>30129</v>
      </c>
      <c r="B10966" s="17" t="s">
        <v>70</v>
      </c>
      <c r="C10966" s="17" t="s">
        <v>71</v>
      </c>
      <c r="D10966" t="s">
        <v>30126</v>
      </c>
      <c r="F10966" t="s">
        <v>30126</v>
      </c>
      <c r="K10966" s="18">
        <f>628161301717</f>
        <v>628161301717</v>
      </c>
      <c r="N10966" s="17" t="s">
        <v>77</v>
      </c>
      <c r="U10966" s="17"/>
      <c r="V10966" s="18">
        <f>628161301717</f>
        <v>628161301717</v>
      </c>
      <c r="W10966" t="s">
        <v>30130</v>
      </c>
      <c r="Y10966" s="17" t="s">
        <v>90</v>
      </c>
    </row>
    <row r="10967" ht="15" customHeight="1" spans="1:22" x14ac:dyDescent="0.25">
      <c r="A10967" s="17" t="s">
        <v>30131</v>
      </c>
      <c r="B10967" s="17" t="s">
        <v>70</v>
      </c>
      <c r="C10967" s="17" t="s">
        <v>71</v>
      </c>
      <c r="D10967" t="s">
        <v>30126</v>
      </c>
      <c r="F10967" t="s">
        <v>30126</v>
      </c>
      <c r="K10967" s="18">
        <f>628119767800</f>
        <v>628119767800</v>
      </c>
      <c r="N10967" s="17" t="s">
        <v>77</v>
      </c>
      <c r="V10967" s="18">
        <f>628119767800</f>
        <v>628119767800</v>
      </c>
    </row>
    <row r="10968" ht="15" customHeight="1" spans="1:22" x14ac:dyDescent="0.25">
      <c r="A10968" s="17" t="s">
        <v>30132</v>
      </c>
      <c r="B10968" s="17" t="s">
        <v>70</v>
      </c>
      <c r="C10968" s="17" t="s">
        <v>71</v>
      </c>
      <c r="D10968" t="s">
        <v>30126</v>
      </c>
      <c r="F10968" t="s">
        <v>30133</v>
      </c>
      <c r="K10968" s="18">
        <f>628118893336</f>
        <v>628118893336</v>
      </c>
      <c r="N10968" s="17" t="s">
        <v>77</v>
      </c>
      <c r="V10968" s="18">
        <f>628118893336</f>
        <v>628118893336</v>
      </c>
    </row>
    <row r="10969" ht="15" customHeight="1" spans="1:22" x14ac:dyDescent="0.25">
      <c r="A10969" s="17" t="s">
        <v>30134</v>
      </c>
      <c r="B10969" s="17" t="s">
        <v>70</v>
      </c>
      <c r="C10969" s="17" t="s">
        <v>71</v>
      </c>
      <c r="D10969" t="s">
        <v>30126</v>
      </c>
      <c r="F10969" t="s">
        <v>2736</v>
      </c>
      <c r="K10969" s="18">
        <f>6281371299000</f>
        <v>6281371299000</v>
      </c>
      <c r="N10969" s="17" t="s">
        <v>81</v>
      </c>
      <c r="V10969" s="18">
        <f>6281371299000</f>
        <v>6281371299000</v>
      </c>
    </row>
    <row r="10970" ht="15" customHeight="1" spans="1:25" x14ac:dyDescent="0.25">
      <c r="A10970" s="17" t="s">
        <v>30135</v>
      </c>
      <c r="B10970" s="17" t="s">
        <v>70</v>
      </c>
      <c r="C10970" s="17" t="s">
        <v>71</v>
      </c>
      <c r="D10970" t="s">
        <v>30126</v>
      </c>
      <c r="F10970" t="s">
        <v>30136</v>
      </c>
      <c r="K10970" s="18">
        <f>6287888888270</f>
        <v>6287888888270</v>
      </c>
      <c r="N10970" s="17" t="s">
        <v>77</v>
      </c>
      <c r="U10970" s="17"/>
      <c r="V10970" s="18">
        <f>6287888888270</f>
        <v>6287888888270</v>
      </c>
      <c r="W10970" t="s">
        <v>30137</v>
      </c>
      <c r="Y10970" s="17" t="s">
        <v>714</v>
      </c>
    </row>
    <row r="10971" ht="15" customHeight="1" spans="1:27" x14ac:dyDescent="0.25">
      <c r="A10971" s="17" t="s">
        <v>30138</v>
      </c>
      <c r="B10971" s="17" t="s">
        <v>70</v>
      </c>
      <c r="C10971" s="17" t="s">
        <v>71</v>
      </c>
      <c r="D10971" t="s">
        <v>30126</v>
      </c>
      <c r="F10971" t="s">
        <v>10748</v>
      </c>
      <c r="K10971" s="18">
        <f>6281228752005</f>
        <v>6281228752005</v>
      </c>
      <c r="N10971" s="17" t="s">
        <v>81</v>
      </c>
      <c r="U10971" s="17"/>
      <c r="V10971" s="18">
        <f>6281228752005</f>
        <v>6281228752005</v>
      </c>
      <c r="W10971" t="s">
        <v>30139</v>
      </c>
      <c r="AA10971" s="17">
        <v>90243</v>
      </c>
    </row>
    <row r="10972" ht="15" customHeight="1" spans="1:28" x14ac:dyDescent="0.25">
      <c r="A10972" s="17" t="s">
        <v>30140</v>
      </c>
      <c r="B10972" s="17" t="s">
        <v>70</v>
      </c>
      <c r="C10972" s="17" t="s">
        <v>71</v>
      </c>
      <c r="D10972" t="s">
        <v>30126</v>
      </c>
      <c r="F10972" t="s">
        <v>1503</v>
      </c>
      <c r="J10972" t="s">
        <v>115</v>
      </c>
      <c r="K10972" s="18" t="s">
        <v>30141</v>
      </c>
      <c r="N10972" s="17" t="s">
        <v>77</v>
      </c>
      <c r="O10972" t="s">
        <v>117</v>
      </c>
      <c r="V10972" s="18" t="s">
        <v>30141</v>
      </c>
      <c r="Y10972" t="s">
        <v>90</v>
      </c>
      <c r="AA10972" t="s">
        <v>118</v>
      </c>
      <c r="AB10972" t="s">
        <v>119</v>
      </c>
    </row>
    <row r="10973" ht="15" customHeight="1" spans="1:22" x14ac:dyDescent="0.25">
      <c r="A10973" s="17" t="s">
        <v>30142</v>
      </c>
      <c r="B10973" s="17" t="s">
        <v>70</v>
      </c>
      <c r="C10973" s="17" t="s">
        <v>71</v>
      </c>
      <c r="D10973" t="s">
        <v>30126</v>
      </c>
      <c r="F10973" t="s">
        <v>315</v>
      </c>
      <c r="K10973" s="18">
        <f>6281319769008</f>
        <v>6281319769008</v>
      </c>
      <c r="N10973" s="17" t="s">
        <v>81</v>
      </c>
      <c r="V10973" s="18">
        <f>6281319769008</f>
        <v>6281319769008</v>
      </c>
    </row>
    <row r="10974" ht="15" customHeight="1" spans="1:28" x14ac:dyDescent="0.25">
      <c r="A10974" s="17" t="s">
        <v>30143</v>
      </c>
      <c r="B10974" s="17" t="s">
        <v>70</v>
      </c>
      <c r="C10974" s="17" t="s">
        <v>71</v>
      </c>
      <c r="D10974" t="s">
        <v>30126</v>
      </c>
      <c r="F10974" t="s">
        <v>7499</v>
      </c>
      <c r="J10974" s="17" t="s">
        <v>30144</v>
      </c>
      <c r="K10974" s="18" t="s">
        <v>30145</v>
      </c>
      <c r="N10974" s="17" t="s">
        <v>77</v>
      </c>
      <c r="O10974" t="s">
        <v>199</v>
      </c>
      <c r="V10974" s="18" t="s">
        <v>30145</v>
      </c>
      <c r="Y10974" t="s">
        <v>17764</v>
      </c>
      <c r="AA10974" t="s">
        <v>115</v>
      </c>
      <c r="AB10974" t="s">
        <v>119</v>
      </c>
    </row>
    <row r="10975" ht="15" customHeight="1" spans="1:22" x14ac:dyDescent="0.25">
      <c r="A10975" s="17" t="s">
        <v>30146</v>
      </c>
      <c r="B10975" s="17" t="s">
        <v>70</v>
      </c>
      <c r="C10975" s="17" t="s">
        <v>71</v>
      </c>
      <c r="D10975" t="s">
        <v>30126</v>
      </c>
      <c r="F10975" t="s">
        <v>12793</v>
      </c>
      <c r="K10975" s="18">
        <f>62817839354</f>
        <v>62817839354</v>
      </c>
      <c r="N10975" s="17" t="s">
        <v>74</v>
      </c>
      <c r="V10975" s="18">
        <f>62817839354</f>
        <v>62817839354</v>
      </c>
    </row>
    <row r="10976" ht="15" customHeight="1" spans="1:22" x14ac:dyDescent="0.25">
      <c r="A10976" s="17" t="s">
        <v>30147</v>
      </c>
      <c r="B10976" s="17" t="s">
        <v>70</v>
      </c>
      <c r="C10976" s="17" t="s">
        <v>71</v>
      </c>
      <c r="D10976" t="s">
        <v>30126</v>
      </c>
      <c r="F10976" t="s">
        <v>1704</v>
      </c>
      <c r="K10976" s="18">
        <f>6281383805805</f>
        <v>6281383805805</v>
      </c>
      <c r="N10976" s="17" t="s">
        <v>74</v>
      </c>
      <c r="V10976" s="18">
        <f>6281383805805</f>
        <v>6281383805805</v>
      </c>
    </row>
    <row r="10977" ht="15" customHeight="1" spans="1:28" x14ac:dyDescent="0.25">
      <c r="A10977" s="17" t="s">
        <v>30148</v>
      </c>
      <c r="B10977" s="17" t="s">
        <v>70</v>
      </c>
      <c r="C10977" s="17" t="s">
        <v>71</v>
      </c>
      <c r="D10977" t="s">
        <v>30126</v>
      </c>
      <c r="F10977" t="s">
        <v>30149</v>
      </c>
      <c r="J10977" t="s">
        <v>115</v>
      </c>
      <c r="K10977" s="18" t="s">
        <v>30150</v>
      </c>
      <c r="N10977" s="17" t="s">
        <v>77</v>
      </c>
      <c r="O10977" t="s">
        <v>117</v>
      </c>
      <c r="V10977" s="18" t="s">
        <v>30150</v>
      </c>
      <c r="Y10977" t="s">
        <v>90</v>
      </c>
      <c r="AA10977" t="s">
        <v>118</v>
      </c>
      <c r="AB10977" t="s">
        <v>119</v>
      </c>
    </row>
    <row r="10978" ht="15" customHeight="1" spans="1:22" x14ac:dyDescent="0.25">
      <c r="A10978" s="17" t="s">
        <v>30151</v>
      </c>
      <c r="B10978" s="17" t="s">
        <v>70</v>
      </c>
      <c r="C10978" s="17" t="s">
        <v>71</v>
      </c>
      <c r="D10978" t="s">
        <v>30126</v>
      </c>
      <c r="F10978" t="s">
        <v>30152</v>
      </c>
      <c r="K10978" s="18">
        <f>6281243004880</f>
        <v>6281243004880</v>
      </c>
      <c r="N10978" s="17" t="s">
        <v>81</v>
      </c>
      <c r="V10978" s="18">
        <f>6281243004880</f>
        <v>6281243004880</v>
      </c>
    </row>
    <row r="10979" ht="15" customHeight="1" spans="1:22" x14ac:dyDescent="0.25">
      <c r="A10979" s="17" t="s">
        <v>30153</v>
      </c>
      <c r="B10979" s="17" t="s">
        <v>70</v>
      </c>
      <c r="C10979" s="17" t="s">
        <v>71</v>
      </c>
      <c r="D10979" t="s">
        <v>30126</v>
      </c>
      <c r="F10979" t="s">
        <v>30154</v>
      </c>
      <c r="K10979" s="18">
        <f>628121074291</f>
        <v>628121074291</v>
      </c>
      <c r="N10979" s="17" t="s">
        <v>77</v>
      </c>
      <c r="V10979" s="18">
        <f>628121074291</f>
        <v>628121074291</v>
      </c>
    </row>
    <row r="10980" ht="15" customHeight="1" spans="1:27" x14ac:dyDescent="0.25">
      <c r="A10980" s="17" t="s">
        <v>30155</v>
      </c>
      <c r="B10980" s="17" t="s">
        <v>70</v>
      </c>
      <c r="C10980" s="17" t="s">
        <v>71</v>
      </c>
      <c r="D10980" t="s">
        <v>30126</v>
      </c>
      <c r="F10980" t="s">
        <v>11765</v>
      </c>
      <c r="J10980" s="17" t="s">
        <v>30156</v>
      </c>
      <c r="K10980" s="18">
        <f>6281223242550</f>
        <v>6281223242550</v>
      </c>
      <c r="N10980" s="17" t="s">
        <v>81</v>
      </c>
      <c r="U10980" s="17"/>
      <c r="V10980" s="18">
        <f>6281223242550</f>
        <v>6281223242550</v>
      </c>
      <c r="W10980" t="s">
        <v>30157</v>
      </c>
      <c r="AA10980" s="17">
        <v>12550</v>
      </c>
    </row>
    <row r="10981" ht="15" customHeight="1" spans="1:28" x14ac:dyDescent="0.25">
      <c r="A10981" s="17" t="s">
        <v>30158</v>
      </c>
      <c r="B10981" s="17" t="s">
        <v>70</v>
      </c>
      <c r="C10981" s="17" t="s">
        <v>71</v>
      </c>
      <c r="D10981" t="s">
        <v>30159</v>
      </c>
      <c r="F10981" t="s">
        <v>30160</v>
      </c>
      <c r="J10981" s="17" t="s">
        <v>30161</v>
      </c>
      <c r="K10981" s="18" t="s">
        <v>30162</v>
      </c>
      <c r="N10981" s="17" t="s">
        <v>77</v>
      </c>
      <c r="O10981" t="s">
        <v>117</v>
      </c>
      <c r="U10981" s="17"/>
      <c r="V10981" s="18" t="s">
        <v>30162</v>
      </c>
      <c r="W10981" t="s">
        <v>30163</v>
      </c>
      <c r="Y10981" t="s">
        <v>190</v>
      </c>
      <c r="AA10981" t="s">
        <v>118</v>
      </c>
      <c r="AB10981" t="s">
        <v>119</v>
      </c>
    </row>
    <row r="10982" ht="15" customHeight="1" spans="1:23" x14ac:dyDescent="0.25">
      <c r="A10982" s="17" t="s">
        <v>30164</v>
      </c>
      <c r="B10982" s="17" t="s">
        <v>70</v>
      </c>
      <c r="C10982" s="17" t="s">
        <v>71</v>
      </c>
      <c r="D10982" t="s">
        <v>30165</v>
      </c>
      <c r="F10982" t="s">
        <v>30166</v>
      </c>
      <c r="K10982" s="18">
        <f>62816771204</f>
        <v>62816771204</v>
      </c>
      <c r="N10982" s="17" t="s">
        <v>77</v>
      </c>
      <c r="U10982" s="17"/>
      <c r="V10982" s="18">
        <f>62816771204</f>
        <v>62816771204</v>
      </c>
      <c r="W10982" t="s">
        <v>30167</v>
      </c>
    </row>
    <row r="10983" ht="15" customHeight="1" spans="1:28" x14ac:dyDescent="0.25">
      <c r="A10983" s="17" t="s">
        <v>30168</v>
      </c>
      <c r="B10983" s="17" t="s">
        <v>70</v>
      </c>
      <c r="C10983" s="17" t="s">
        <v>71</v>
      </c>
      <c r="D10983" t="s">
        <v>30169</v>
      </c>
      <c r="F10983" t="s">
        <v>20480</v>
      </c>
      <c r="J10983" s="17" t="s">
        <v>30170</v>
      </c>
      <c r="K10983" s="18" t="s">
        <v>30171</v>
      </c>
      <c r="N10983" s="17" t="s">
        <v>77</v>
      </c>
      <c r="O10983" t="s">
        <v>117</v>
      </c>
      <c r="U10983" s="17"/>
      <c r="V10983" s="18" t="s">
        <v>30171</v>
      </c>
      <c r="W10983" t="s">
        <v>3140</v>
      </c>
      <c r="Y10983" t="s">
        <v>3140</v>
      </c>
      <c r="AA10983" t="s">
        <v>115</v>
      </c>
      <c r="AB10983" t="s">
        <v>3140</v>
      </c>
    </row>
    <row r="10984" ht="15" customHeight="1" spans="1:22" x14ac:dyDescent="0.25">
      <c r="A10984" s="17" t="s">
        <v>30172</v>
      </c>
      <c r="B10984" s="17" t="s">
        <v>70</v>
      </c>
      <c r="C10984" s="17" t="s">
        <v>71</v>
      </c>
      <c r="D10984" t="s">
        <v>712</v>
      </c>
      <c r="F10984" t="s">
        <v>30173</v>
      </c>
      <c r="K10984" s="18">
        <f>6281355776409</f>
        <v>6281355776409</v>
      </c>
      <c r="N10984" s="17" t="s">
        <v>77</v>
      </c>
      <c r="V10984" s="18">
        <f>6281355776409</f>
        <v>6281355776409</v>
      </c>
    </row>
    <row r="10985" ht="15" customHeight="1" spans="1:23" x14ac:dyDescent="0.25">
      <c r="A10985" s="17" t="s">
        <v>30174</v>
      </c>
      <c r="B10985" s="17" t="s">
        <v>70</v>
      </c>
      <c r="C10985" s="17" t="s">
        <v>71</v>
      </c>
      <c r="D10985" t="s">
        <v>30175</v>
      </c>
      <c r="F10985" t="s">
        <v>24347</v>
      </c>
      <c r="K10985" s="18">
        <f>628128606789</f>
        <v>628128606789</v>
      </c>
      <c r="N10985" s="17" t="s">
        <v>74</v>
      </c>
      <c r="U10985" s="17"/>
      <c r="V10985" s="18">
        <f>628128606789</f>
        <v>628128606789</v>
      </c>
      <c r="W10985" t="s">
        <v>30176</v>
      </c>
    </row>
    <row r="10986" ht="15" customHeight="1" spans="1:22" x14ac:dyDescent="0.25">
      <c r="A10986" s="17" t="s">
        <v>30177</v>
      </c>
      <c r="B10986" s="17" t="s">
        <v>70</v>
      </c>
      <c r="C10986" s="17" t="s">
        <v>71</v>
      </c>
      <c r="D10986" t="s">
        <v>13898</v>
      </c>
      <c r="F10986" t="s">
        <v>30178</v>
      </c>
      <c r="K10986" s="18">
        <f>628128889999</f>
        <v>628128889999</v>
      </c>
      <c r="N10986" s="17" t="s">
        <v>81</v>
      </c>
      <c r="V10986" s="18">
        <f>628128889999</f>
        <v>628128889999</v>
      </c>
    </row>
    <row r="10987" ht="15" customHeight="1" spans="1:28" x14ac:dyDescent="0.25">
      <c r="A10987" s="17" t="s">
        <v>30179</v>
      </c>
      <c r="B10987" s="17" t="s">
        <v>70</v>
      </c>
      <c r="C10987" s="17" t="s">
        <v>71</v>
      </c>
      <c r="D10987" t="s">
        <v>30180</v>
      </c>
      <c r="F10987" t="s">
        <v>3869</v>
      </c>
      <c r="J10987" s="17" t="s">
        <v>30181</v>
      </c>
      <c r="K10987" s="18" t="s">
        <v>30182</v>
      </c>
      <c r="N10987" s="17" t="s">
        <v>77</v>
      </c>
      <c r="O10987" t="s">
        <v>489</v>
      </c>
      <c r="V10987" s="18" t="s">
        <v>30182</v>
      </c>
      <c r="Y10987" t="s">
        <v>217</v>
      </c>
      <c r="AA10987" t="s">
        <v>218</v>
      </c>
      <c r="AB10987" t="s">
        <v>119</v>
      </c>
    </row>
    <row r="10988" ht="15" customHeight="1" spans="1:22" x14ac:dyDescent="0.25">
      <c r="A10988" s="17" t="s">
        <v>30183</v>
      </c>
      <c r="B10988" s="17" t="s">
        <v>70</v>
      </c>
      <c r="C10988" s="17" t="s">
        <v>71</v>
      </c>
      <c r="D10988" t="s">
        <v>30184</v>
      </c>
      <c r="F10988" t="s">
        <v>17108</v>
      </c>
      <c r="K10988" s="18">
        <f>62215471737</f>
        <v>62215471737</v>
      </c>
      <c r="N10988" s="17" t="s">
        <v>81</v>
      </c>
      <c r="V10988" s="18">
        <f>62215471737</f>
        <v>62215471737</v>
      </c>
    </row>
    <row r="10989" ht="15" customHeight="1" spans="1:28" x14ac:dyDescent="0.25">
      <c r="A10989" s="17" t="s">
        <v>30185</v>
      </c>
      <c r="B10989" s="17" t="s">
        <v>70</v>
      </c>
      <c r="C10989" s="17" t="s">
        <v>71</v>
      </c>
      <c r="D10989" t="s">
        <v>30186</v>
      </c>
      <c r="F10989" t="s">
        <v>30187</v>
      </c>
      <c r="J10989" s="17" t="s">
        <v>30188</v>
      </c>
      <c r="K10989" s="18" t="s">
        <v>30189</v>
      </c>
      <c r="N10989" s="17" t="s">
        <v>77</v>
      </c>
      <c r="O10989" t="s">
        <v>117</v>
      </c>
      <c r="V10989" s="18" t="s">
        <v>30189</v>
      </c>
      <c r="Y10989" t="s">
        <v>14865</v>
      </c>
      <c r="AA10989" t="s">
        <v>115</v>
      </c>
      <c r="AB10989" t="s">
        <v>119</v>
      </c>
    </row>
    <row r="10990" ht="15" customHeight="1" spans="1:22" x14ac:dyDescent="0.25">
      <c r="A10990" s="17" t="s">
        <v>30190</v>
      </c>
      <c r="B10990" s="17" t="s">
        <v>70</v>
      </c>
      <c r="C10990" s="17" t="s">
        <v>71</v>
      </c>
      <c r="D10990" t="s">
        <v>30191</v>
      </c>
      <c r="F10990" t="s">
        <v>2178</v>
      </c>
      <c r="K10990" s="18">
        <f>628111980647</f>
        <v>628111980647</v>
      </c>
      <c r="N10990" s="17" t="s">
        <v>81</v>
      </c>
      <c r="V10990" s="18">
        <f>628111980647</f>
        <v>628111980647</v>
      </c>
    </row>
    <row r="10991" ht="15" customHeight="1" spans="1:27" x14ac:dyDescent="0.25">
      <c r="A10991" s="17" t="s">
        <v>30192</v>
      </c>
      <c r="B10991" s="17" t="s">
        <v>70</v>
      </c>
      <c r="C10991" s="17" t="s">
        <v>71</v>
      </c>
      <c r="D10991" t="s">
        <v>30193</v>
      </c>
      <c r="F10991" t="s">
        <v>30194</v>
      </c>
      <c r="K10991" s="18">
        <f>62816790879</f>
        <v>62816790879</v>
      </c>
      <c r="N10991" s="17" t="s">
        <v>74</v>
      </c>
      <c r="U10991" s="17"/>
      <c r="V10991" s="18">
        <f>62816790879</f>
        <v>62816790879</v>
      </c>
      <c r="W10991" t="s">
        <v>30195</v>
      </c>
      <c r="Y10991" s="17" t="s">
        <v>217</v>
      </c>
      <c r="AA10991" s="17" t="s">
        <v>30196</v>
      </c>
    </row>
    <row r="10992" ht="15" customHeight="1" spans="1:22" x14ac:dyDescent="0.25">
      <c r="A10992" s="17" t="s">
        <v>30197</v>
      </c>
      <c r="B10992" s="17" t="s">
        <v>70</v>
      </c>
      <c r="C10992" s="17" t="s">
        <v>71</v>
      </c>
      <c r="D10992" t="s">
        <v>30198</v>
      </c>
      <c r="F10992" t="s">
        <v>30198</v>
      </c>
      <c r="K10992" s="18">
        <f>628128145443</f>
        <v>628128145443</v>
      </c>
      <c r="N10992" s="17" t="s">
        <v>77</v>
      </c>
      <c r="V10992" s="18">
        <f>628128145443</f>
        <v>628128145443</v>
      </c>
    </row>
    <row r="10993" ht="15" customHeight="1" spans="1:22" x14ac:dyDescent="0.25">
      <c r="A10993" s="17" t="s">
        <v>30199</v>
      </c>
      <c r="B10993" s="17" t="s">
        <v>70</v>
      </c>
      <c r="C10993" s="17" t="s">
        <v>71</v>
      </c>
      <c r="D10993" t="s">
        <v>30198</v>
      </c>
      <c r="F10993" t="s">
        <v>25994</v>
      </c>
      <c r="K10993" s="18">
        <f>62811309357</f>
        <v>62811309357</v>
      </c>
      <c r="N10993" s="17" t="s">
        <v>74</v>
      </c>
      <c r="V10993" s="18">
        <f>62811309357</f>
        <v>62811309357</v>
      </c>
    </row>
    <row r="10994" ht="15" customHeight="1" spans="1:22" x14ac:dyDescent="0.25">
      <c r="A10994" s="17" t="s">
        <v>30200</v>
      </c>
      <c r="B10994" s="17" t="s">
        <v>70</v>
      </c>
      <c r="C10994" s="17" t="s">
        <v>71</v>
      </c>
      <c r="D10994" t="s">
        <v>30201</v>
      </c>
      <c r="F10994" t="s">
        <v>6671</v>
      </c>
      <c r="K10994" s="18">
        <f>6282134412233</f>
        <v>6282134412233</v>
      </c>
      <c r="N10994" s="17" t="s">
        <v>74</v>
      </c>
      <c r="V10994" s="18">
        <f>6282134412233</f>
        <v>6282134412233</v>
      </c>
    </row>
    <row r="10995" ht="15" customHeight="1" spans="1:28" x14ac:dyDescent="0.25">
      <c r="A10995" s="17" t="s">
        <v>30202</v>
      </c>
      <c r="B10995" s="17" t="s">
        <v>70</v>
      </c>
      <c r="C10995" s="17" t="s">
        <v>71</v>
      </c>
      <c r="D10995" t="s">
        <v>30203</v>
      </c>
      <c r="F10995" t="s">
        <v>30204</v>
      </c>
      <c r="J10995" s="17" t="s">
        <v>30205</v>
      </c>
      <c r="K10995" s="18" t="s">
        <v>30206</v>
      </c>
      <c r="N10995" s="17" t="s">
        <v>77</v>
      </c>
      <c r="O10995" t="s">
        <v>261</v>
      </c>
      <c r="U10995" s="17"/>
      <c r="V10995" s="18" t="s">
        <v>30206</v>
      </c>
      <c r="W10995" t="s">
        <v>30207</v>
      </c>
      <c r="Y10995" s="17" t="s">
        <v>190</v>
      </c>
      <c r="AA10995" t="s">
        <v>118</v>
      </c>
      <c r="AB10995" t="s">
        <v>119</v>
      </c>
    </row>
    <row r="10996" ht="15" customHeight="1" spans="1:22" x14ac:dyDescent="0.25">
      <c r="A10996" s="17" t="s">
        <v>30208</v>
      </c>
      <c r="B10996" s="17" t="s">
        <v>70</v>
      </c>
      <c r="C10996" s="17" t="s">
        <v>71</v>
      </c>
      <c r="D10996" t="s">
        <v>30209</v>
      </c>
      <c r="F10996" t="s">
        <v>30210</v>
      </c>
      <c r="K10996" s="18">
        <f>966535223030</f>
        <v>966535223030</v>
      </c>
      <c r="N10996" s="17" t="s">
        <v>77</v>
      </c>
      <c r="V10996" s="18">
        <f>966535223030</f>
        <v>966535223030</v>
      </c>
    </row>
    <row r="10997" ht="15" customHeight="1" spans="1:27" x14ac:dyDescent="0.25">
      <c r="A10997" s="17" t="s">
        <v>30211</v>
      </c>
      <c r="B10997" s="17" t="s">
        <v>70</v>
      </c>
      <c r="C10997" s="17" t="s">
        <v>71</v>
      </c>
      <c r="D10997" t="s">
        <v>30212</v>
      </c>
      <c r="F10997" t="s">
        <v>30213</v>
      </c>
      <c r="K10997" s="18">
        <f>6287885000733</f>
        <v>6287885000733</v>
      </c>
      <c r="N10997" s="17" t="s">
        <v>81</v>
      </c>
      <c r="U10997" s="17"/>
      <c r="V10997" s="18">
        <f>6287885000733</f>
        <v>6287885000733</v>
      </c>
      <c r="W10997" t="s">
        <v>30214</v>
      </c>
      <c r="Y10997" s="17" t="s">
        <v>1084</v>
      </c>
      <c r="AA10997" s="17">
        <v>14260</v>
      </c>
    </row>
    <row r="10998" ht="15" customHeight="1" spans="1:22" x14ac:dyDescent="0.25">
      <c r="A10998" s="17" t="s">
        <v>30215</v>
      </c>
      <c r="B10998" s="17" t="s">
        <v>70</v>
      </c>
      <c r="C10998" s="17" t="s">
        <v>71</v>
      </c>
      <c r="D10998" t="s">
        <v>30216</v>
      </c>
      <c r="F10998" t="s">
        <v>30216</v>
      </c>
      <c r="K10998" s="18">
        <f>628111112135</f>
        <v>628111112135</v>
      </c>
      <c r="N10998" s="17" t="s">
        <v>81</v>
      </c>
      <c r="V10998" s="18">
        <f>628111112135</f>
        <v>628111112135</v>
      </c>
    </row>
    <row r="10999" ht="15" customHeight="1" spans="1:22" x14ac:dyDescent="0.25">
      <c r="A10999" s="17" t="s">
        <v>30217</v>
      </c>
      <c r="B10999" s="17" t="s">
        <v>70</v>
      </c>
      <c r="C10999" s="17" t="s">
        <v>71</v>
      </c>
      <c r="D10999" t="s">
        <v>30216</v>
      </c>
      <c r="F10999" t="s">
        <v>2987</v>
      </c>
      <c r="K10999" s="18">
        <f>6281380801333</f>
        <v>6281380801333</v>
      </c>
      <c r="N10999" s="17" t="s">
        <v>74</v>
      </c>
      <c r="V10999" s="18">
        <f>6281380801333</f>
        <v>6281380801333</v>
      </c>
    </row>
    <row r="11000" ht="15" customHeight="1" spans="1:23" x14ac:dyDescent="0.25">
      <c r="A11000" s="17" t="s">
        <v>30218</v>
      </c>
      <c r="B11000" s="17" t="s">
        <v>70</v>
      </c>
      <c r="C11000" s="17" t="s">
        <v>71</v>
      </c>
      <c r="D11000" t="s">
        <v>30216</v>
      </c>
      <c r="F11000" t="s">
        <v>22836</v>
      </c>
      <c r="K11000" s="18">
        <f>628170000325</f>
        <v>628170000325</v>
      </c>
      <c r="N11000" s="17" t="s">
        <v>74</v>
      </c>
      <c r="U11000" s="17"/>
      <c r="V11000" s="18">
        <f>628170000325</f>
        <v>628170000325</v>
      </c>
      <c r="W11000" t="s">
        <v>30219</v>
      </c>
    </row>
    <row r="11001" ht="15" customHeight="1" spans="1:22" x14ac:dyDescent="0.25">
      <c r="A11001" s="17" t="s">
        <v>30220</v>
      </c>
      <c r="B11001" s="17" t="s">
        <v>70</v>
      </c>
      <c r="C11001" s="17" t="s">
        <v>71</v>
      </c>
      <c r="D11001" t="s">
        <v>30216</v>
      </c>
      <c r="F11001" t="s">
        <v>1385</v>
      </c>
      <c r="K11001" s="18">
        <f>6287839592292</f>
        <v>6287839592292</v>
      </c>
      <c r="N11001" s="17" t="s">
        <v>77</v>
      </c>
      <c r="V11001" s="18">
        <f>6287839592292</f>
        <v>6287839592292</v>
      </c>
    </row>
    <row r="11002" ht="15" customHeight="1" spans="1:22" x14ac:dyDescent="0.25">
      <c r="A11002" s="17" t="s">
        <v>30221</v>
      </c>
      <c r="B11002" s="17" t="s">
        <v>70</v>
      </c>
      <c r="C11002" s="17" t="s">
        <v>71</v>
      </c>
      <c r="D11002" t="s">
        <v>30216</v>
      </c>
      <c r="F11002" t="s">
        <v>30222</v>
      </c>
      <c r="K11002" s="18">
        <f>6281220111976</f>
        <v>6281220111976</v>
      </c>
      <c r="N11002" s="17" t="s">
        <v>77</v>
      </c>
      <c r="V11002" s="18">
        <f>6281220111976</f>
        <v>6281220111976</v>
      </c>
    </row>
    <row r="11003" ht="15" customHeight="1" spans="1:23" x14ac:dyDescent="0.25">
      <c r="A11003" s="17" t="s">
        <v>30223</v>
      </c>
      <c r="B11003" s="17" t="s">
        <v>70</v>
      </c>
      <c r="C11003" s="17" t="s">
        <v>71</v>
      </c>
      <c r="D11003" t="s">
        <v>30216</v>
      </c>
      <c r="F11003" t="s">
        <v>30224</v>
      </c>
      <c r="K11003" s="18">
        <f>62817176658</f>
        <v>62817176658</v>
      </c>
      <c r="N11003" s="17" t="s">
        <v>77</v>
      </c>
      <c r="U11003" s="17"/>
      <c r="V11003" s="18">
        <f>62817176658</f>
        <v>62817176658</v>
      </c>
      <c r="W11003" t="s">
        <v>30225</v>
      </c>
    </row>
    <row r="11004" ht="15" customHeight="1" spans="1:22" x14ac:dyDescent="0.25">
      <c r="A11004" s="17" t="s">
        <v>30226</v>
      </c>
      <c r="B11004" s="17" t="s">
        <v>70</v>
      </c>
      <c r="C11004" s="17" t="s">
        <v>71</v>
      </c>
      <c r="D11004" t="s">
        <v>30227</v>
      </c>
      <c r="F11004" t="s">
        <v>30227</v>
      </c>
      <c r="K11004" s="18">
        <f>62811811650</f>
        <v>62811811650</v>
      </c>
      <c r="N11004" s="17" t="s">
        <v>77</v>
      </c>
      <c r="V11004" s="18">
        <f>62811811650</f>
        <v>62811811650</v>
      </c>
    </row>
    <row r="11005" ht="15" customHeight="1" spans="1:28" x14ac:dyDescent="0.25">
      <c r="A11005" s="17" t="s">
        <v>30228</v>
      </c>
      <c r="B11005" s="17" t="s">
        <v>70</v>
      </c>
      <c r="C11005" s="17" t="s">
        <v>71</v>
      </c>
      <c r="D11005" t="s">
        <v>30229</v>
      </c>
      <c r="F11005" t="s">
        <v>5819</v>
      </c>
      <c r="J11005" s="17" t="s">
        <v>30230</v>
      </c>
      <c r="K11005" s="18" t="s">
        <v>30231</v>
      </c>
      <c r="N11005" s="17" t="s">
        <v>74</v>
      </c>
      <c r="O11005" t="s">
        <v>117</v>
      </c>
      <c r="U11005" s="17"/>
      <c r="V11005" s="18" t="s">
        <v>30231</v>
      </c>
      <c r="W11005" t="s">
        <v>30232</v>
      </c>
      <c r="Y11005" s="17" t="s">
        <v>96</v>
      </c>
      <c r="AA11005" t="s">
        <v>693</v>
      </c>
      <c r="AB11005" t="s">
        <v>119</v>
      </c>
    </row>
    <row r="11006" ht="15" customHeight="1" spans="1:25" x14ac:dyDescent="0.25">
      <c r="A11006" s="17" t="s">
        <v>30233</v>
      </c>
      <c r="B11006" s="17" t="s">
        <v>70</v>
      </c>
      <c r="C11006" s="17" t="s">
        <v>71</v>
      </c>
      <c r="D11006" t="s">
        <v>30234</v>
      </c>
      <c r="F11006" t="s">
        <v>11295</v>
      </c>
      <c r="K11006" s="18">
        <f>6281518988</f>
        <v>6281518988</v>
      </c>
      <c r="N11006" s="17" t="s">
        <v>77</v>
      </c>
      <c r="U11006" s="17"/>
      <c r="V11006" s="18">
        <f>6281518988</f>
        <v>6281518988</v>
      </c>
      <c r="W11006" t="s">
        <v>30235</v>
      </c>
      <c r="Y11006" s="17" t="s">
        <v>704</v>
      </c>
    </row>
    <row r="11007" ht="15" customHeight="1" spans="1:22" x14ac:dyDescent="0.25">
      <c r="A11007" s="17" t="s">
        <v>30236</v>
      </c>
      <c r="B11007" s="17" t="s">
        <v>70</v>
      </c>
      <c r="C11007" s="17" t="s">
        <v>71</v>
      </c>
      <c r="D11007" t="s">
        <v>30234</v>
      </c>
      <c r="F11007" t="s">
        <v>6235</v>
      </c>
      <c r="K11007" s="18">
        <f>628111385454</f>
        <v>628111385454</v>
      </c>
      <c r="N11007" s="17" t="s">
        <v>74</v>
      </c>
      <c r="V11007" s="18">
        <f>628111385454</f>
        <v>628111385454</v>
      </c>
    </row>
    <row r="11008" ht="15" customHeight="1" spans="1:22" x14ac:dyDescent="0.25">
      <c r="A11008" s="17" t="s">
        <v>30237</v>
      </c>
      <c r="B11008" s="17" t="s">
        <v>70</v>
      </c>
      <c r="C11008" s="17" t="s">
        <v>71</v>
      </c>
      <c r="D11008" t="s">
        <v>30238</v>
      </c>
      <c r="F11008" t="s">
        <v>30239</v>
      </c>
      <c r="K11008" s="18">
        <f>628111585877</f>
        <v>628111585877</v>
      </c>
      <c r="N11008" s="17" t="s">
        <v>77</v>
      </c>
      <c r="V11008" s="18">
        <f>628111585877</f>
        <v>628111585877</v>
      </c>
    </row>
    <row r="11009" ht="15" customHeight="1" spans="1:22" x14ac:dyDescent="0.25">
      <c r="A11009" s="17" t="s">
        <v>30240</v>
      </c>
      <c r="B11009" s="17" t="s">
        <v>70</v>
      </c>
      <c r="C11009" s="17" t="s">
        <v>71</v>
      </c>
      <c r="D11009" t="s">
        <v>30238</v>
      </c>
      <c r="F11009" t="s">
        <v>30241</v>
      </c>
      <c r="K11009" s="18">
        <f>62811139601</f>
        <v>62811139601</v>
      </c>
      <c r="N11009" s="17" t="s">
        <v>77</v>
      </c>
      <c r="V11009" s="18">
        <f>62811139601</f>
        <v>62811139601</v>
      </c>
    </row>
    <row r="11010" ht="15" customHeight="1" spans="1:22" x14ac:dyDescent="0.25">
      <c r="A11010" s="17" t="s">
        <v>30242</v>
      </c>
      <c r="B11010" s="17" t="s">
        <v>70</v>
      </c>
      <c r="C11010" s="17" t="s">
        <v>71</v>
      </c>
      <c r="D11010" t="s">
        <v>30243</v>
      </c>
      <c r="F11010" t="s">
        <v>20770</v>
      </c>
      <c r="K11010" s="18">
        <f>62818745176</f>
        <v>62818745176</v>
      </c>
      <c r="N11010" s="17" t="s">
        <v>81</v>
      </c>
      <c r="V11010" s="18">
        <f>62818745176</f>
        <v>62818745176</v>
      </c>
    </row>
    <row r="11011" ht="15" customHeight="1" spans="1:22" x14ac:dyDescent="0.25">
      <c r="A11011" s="17" t="s">
        <v>30244</v>
      </c>
      <c r="B11011" s="17" t="s">
        <v>70</v>
      </c>
      <c r="C11011" s="17" t="s">
        <v>71</v>
      </c>
      <c r="D11011" t="s">
        <v>4704</v>
      </c>
      <c r="F11011" t="s">
        <v>30245</v>
      </c>
      <c r="K11011" s="18">
        <f>6281295555128</f>
        <v>6281295555128</v>
      </c>
      <c r="N11011" s="17" t="s">
        <v>77</v>
      </c>
      <c r="V11011" s="18">
        <f>6281295555128</f>
        <v>6281295555128</v>
      </c>
    </row>
    <row r="11012" ht="15" customHeight="1" spans="1:22" x14ac:dyDescent="0.25">
      <c r="A11012" s="17" t="s">
        <v>30246</v>
      </c>
      <c r="B11012" s="17" t="s">
        <v>70</v>
      </c>
      <c r="C11012" s="17" t="s">
        <v>71</v>
      </c>
      <c r="D11012" t="s">
        <v>4704</v>
      </c>
      <c r="F11012" t="s">
        <v>11454</v>
      </c>
      <c r="K11012" s="18">
        <f>6281321380007</f>
        <v>6281321380007</v>
      </c>
      <c r="N11012" s="17" t="s">
        <v>77</v>
      </c>
      <c r="V11012" s="18">
        <f>6281321380007</f>
        <v>6281321380007</v>
      </c>
    </row>
    <row r="11013" ht="15" customHeight="1" spans="1:25" x14ac:dyDescent="0.25">
      <c r="A11013" s="17" t="s">
        <v>30247</v>
      </c>
      <c r="B11013" s="17" t="s">
        <v>70</v>
      </c>
      <c r="C11013" s="17" t="s">
        <v>71</v>
      </c>
      <c r="D11013" t="s">
        <v>4704</v>
      </c>
      <c r="F11013" t="s">
        <v>30248</v>
      </c>
      <c r="K11013" s="18">
        <v>7256743</v>
      </c>
      <c r="N11013" s="17" t="s">
        <v>74</v>
      </c>
      <c r="U11013" s="17"/>
      <c r="V11013" s="18">
        <v>7256743</v>
      </c>
      <c r="W11013" t="s">
        <v>30249</v>
      </c>
      <c r="Y11013" s="17" t="s">
        <v>96</v>
      </c>
    </row>
    <row r="11014" ht="15" customHeight="1" spans="1:23" x14ac:dyDescent="0.25">
      <c r="A11014" s="17" t="s">
        <v>30250</v>
      </c>
      <c r="B11014" s="17" t="s">
        <v>70</v>
      </c>
      <c r="C11014" s="17" t="s">
        <v>71</v>
      </c>
      <c r="D11014" t="s">
        <v>4704</v>
      </c>
      <c r="F11014" t="s">
        <v>30251</v>
      </c>
      <c r="K11014" s="18">
        <f>628111016805</f>
        <v>628111016805</v>
      </c>
      <c r="N11014" s="17" t="s">
        <v>77</v>
      </c>
      <c r="U11014" s="17"/>
      <c r="V11014" s="18">
        <f>628111016805</f>
        <v>628111016805</v>
      </c>
      <c r="W11014" t="s">
        <v>30252</v>
      </c>
    </row>
    <row r="11015" ht="15" customHeight="1" spans="1:28" x14ac:dyDescent="0.25">
      <c r="A11015" s="17" t="s">
        <v>30253</v>
      </c>
      <c r="B11015" s="17" t="s">
        <v>70</v>
      </c>
      <c r="C11015" s="17" t="s">
        <v>71</v>
      </c>
      <c r="D11015" t="s">
        <v>30254</v>
      </c>
      <c r="F11015" t="s">
        <v>1704</v>
      </c>
      <c r="J11015" t="s">
        <v>30255</v>
      </c>
      <c r="K11015" s="18" t="s">
        <v>30256</v>
      </c>
      <c r="N11015" s="17" t="s">
        <v>77</v>
      </c>
      <c r="O11015" t="s">
        <v>117</v>
      </c>
      <c r="V11015" s="18" t="s">
        <v>30256</v>
      </c>
      <c r="Y11015" s="17" t="s">
        <v>190</v>
      </c>
      <c r="AA11015" t="s">
        <v>118</v>
      </c>
      <c r="AB11015" t="s">
        <v>119</v>
      </c>
    </row>
    <row r="11016" ht="15" customHeight="1" spans="1:22" x14ac:dyDescent="0.25">
      <c r="A11016" s="17" t="s">
        <v>30257</v>
      </c>
      <c r="B11016" s="17" t="s">
        <v>70</v>
      </c>
      <c r="C11016" s="17" t="s">
        <v>71</v>
      </c>
      <c r="D11016" t="s">
        <v>30258</v>
      </c>
      <c r="F11016" t="s">
        <v>30258</v>
      </c>
      <c r="K11016" s="18">
        <f>6287881726262</f>
        <v>6287881726262</v>
      </c>
      <c r="N11016" s="17" t="s">
        <v>77</v>
      </c>
      <c r="V11016" s="18">
        <f>6287881726262</f>
        <v>6287881726262</v>
      </c>
    </row>
    <row r="11017" ht="15" customHeight="1" spans="1:22" x14ac:dyDescent="0.25">
      <c r="A11017" s="17" t="s">
        <v>30259</v>
      </c>
      <c r="B11017" s="17" t="s">
        <v>70</v>
      </c>
      <c r="C11017" s="17" t="s">
        <v>71</v>
      </c>
      <c r="D11017" t="s">
        <v>30260</v>
      </c>
      <c r="F11017" t="s">
        <v>30260</v>
      </c>
      <c r="K11017" s="18">
        <f>62811824988</f>
        <v>62811824988</v>
      </c>
      <c r="N11017" s="17" t="s">
        <v>77</v>
      </c>
      <c r="V11017" s="18">
        <f>62811824988</f>
        <v>62811824988</v>
      </c>
    </row>
    <row r="11018" ht="15" customHeight="1" spans="1:25" x14ac:dyDescent="0.25">
      <c r="A11018" s="17" t="s">
        <v>30261</v>
      </c>
      <c r="B11018" s="17" t="s">
        <v>70</v>
      </c>
      <c r="C11018" s="17" t="s">
        <v>71</v>
      </c>
      <c r="D11018" t="s">
        <v>30260</v>
      </c>
      <c r="F11018" t="s">
        <v>30262</v>
      </c>
      <c r="K11018" s="18">
        <f>6281387878989</f>
        <v>6281387878989</v>
      </c>
      <c r="N11018" s="17" t="s">
        <v>77</v>
      </c>
      <c r="U11018" s="17"/>
      <c r="V11018" s="18">
        <f>6281387878989</f>
        <v>6281387878989</v>
      </c>
      <c r="W11018" t="s">
        <v>30263</v>
      </c>
      <c r="Y11018" s="17" t="s">
        <v>90</v>
      </c>
    </row>
    <row r="11019" ht="15" customHeight="1" spans="1:22" x14ac:dyDescent="0.25">
      <c r="A11019" s="17" t="s">
        <v>30264</v>
      </c>
      <c r="B11019" s="17" t="s">
        <v>70</v>
      </c>
      <c r="C11019" s="17" t="s">
        <v>71</v>
      </c>
      <c r="D11019" t="s">
        <v>30265</v>
      </c>
      <c r="F11019" t="s">
        <v>30266</v>
      </c>
      <c r="K11019" s="18">
        <f>6281806907880</f>
        <v>6281806907880</v>
      </c>
      <c r="N11019" s="17" t="s">
        <v>77</v>
      </c>
      <c r="V11019" s="18">
        <f>6281806907880</f>
        <v>6281806907880</v>
      </c>
    </row>
    <row r="11020" ht="15" customHeight="1" spans="1:22" x14ac:dyDescent="0.25">
      <c r="A11020" s="17" t="s">
        <v>30267</v>
      </c>
      <c r="B11020" s="17" t="s">
        <v>70</v>
      </c>
      <c r="C11020" s="17" t="s">
        <v>71</v>
      </c>
      <c r="D11020" t="s">
        <v>30268</v>
      </c>
      <c r="F11020" t="s">
        <v>30269</v>
      </c>
      <c r="K11020" s="18">
        <f>628119467465</f>
        <v>628119467465</v>
      </c>
      <c r="N11020" s="17" t="s">
        <v>77</v>
      </c>
      <c r="V11020" s="18">
        <f>628119467465</f>
        <v>628119467465</v>
      </c>
    </row>
    <row r="11021" ht="15" customHeight="1" spans="1:28" x14ac:dyDescent="0.25">
      <c r="A11021" s="17" t="s">
        <v>30270</v>
      </c>
      <c r="B11021" s="17" t="s">
        <v>70</v>
      </c>
      <c r="C11021" s="17" t="s">
        <v>71</v>
      </c>
      <c r="D11021" t="s">
        <v>30271</v>
      </c>
      <c r="F11021" t="s">
        <v>25727</v>
      </c>
      <c r="J11021" s="17" t="s">
        <v>30272</v>
      </c>
      <c r="K11021" s="18" t="s">
        <v>30273</v>
      </c>
      <c r="N11021" s="17" t="s">
        <v>77</v>
      </c>
      <c r="O11021" t="s">
        <v>117</v>
      </c>
      <c r="U11021" s="17"/>
      <c r="V11021" s="18" t="s">
        <v>30273</v>
      </c>
      <c r="W11021" t="s">
        <v>30274</v>
      </c>
      <c r="Y11021" s="17" t="s">
        <v>90</v>
      </c>
      <c r="AA11021" s="17" t="s">
        <v>118</v>
      </c>
      <c r="AB11021" t="s">
        <v>119</v>
      </c>
    </row>
    <row r="11022" ht="15" customHeight="1" spans="1:22" x14ac:dyDescent="0.25">
      <c r="A11022" s="17" t="s">
        <v>30275</v>
      </c>
      <c r="B11022" s="17" t="s">
        <v>70</v>
      </c>
      <c r="C11022" s="17" t="s">
        <v>71</v>
      </c>
      <c r="D11022" t="s">
        <v>30276</v>
      </c>
      <c r="F11022" t="s">
        <v>30276</v>
      </c>
      <c r="K11022" s="18">
        <f>6282112423793</f>
        <v>6282112423793</v>
      </c>
      <c r="N11022" s="17" t="s">
        <v>77</v>
      </c>
      <c r="V11022" s="18">
        <f>6282112423793</f>
        <v>6282112423793</v>
      </c>
    </row>
    <row r="11023" ht="15" customHeight="1" spans="1:22" x14ac:dyDescent="0.25">
      <c r="A11023" s="17" t="s">
        <v>30277</v>
      </c>
      <c r="B11023" s="17" t="s">
        <v>70</v>
      </c>
      <c r="C11023" s="17" t="s">
        <v>71</v>
      </c>
      <c r="D11023" t="s">
        <v>30276</v>
      </c>
      <c r="F11023" t="s">
        <v>30276</v>
      </c>
      <c r="K11023" s="18">
        <f>62811888593</f>
        <v>62811888593</v>
      </c>
      <c r="N11023" s="17" t="s">
        <v>77</v>
      </c>
      <c r="V11023" s="18">
        <f>62811888593</f>
        <v>62811888593</v>
      </c>
    </row>
    <row r="11024" ht="15" customHeight="1" spans="1:27" x14ac:dyDescent="0.25">
      <c r="A11024" s="17" t="s">
        <v>30278</v>
      </c>
      <c r="B11024" s="17" t="s">
        <v>70</v>
      </c>
      <c r="C11024" s="17" t="s">
        <v>71</v>
      </c>
      <c r="D11024" t="s">
        <v>30279</v>
      </c>
      <c r="F11024" t="s">
        <v>30280</v>
      </c>
      <c r="J11024" s="17" t="s">
        <v>30281</v>
      </c>
      <c r="K11024" s="18">
        <f>60196063986</f>
        <v>60196063986</v>
      </c>
      <c r="N11024" s="17" t="s">
        <v>77</v>
      </c>
      <c r="U11024" s="17"/>
      <c r="V11024" s="18">
        <f>60196063986</f>
        <v>60196063986</v>
      </c>
      <c r="W11024" t="s">
        <v>30282</v>
      </c>
      <c r="Y11024" s="17" t="s">
        <v>30283</v>
      </c>
      <c r="AA11024" s="17">
        <v>43000</v>
      </c>
    </row>
    <row r="11025" ht="15" customHeight="1" spans="1:28" x14ac:dyDescent="0.25">
      <c r="A11025" s="17" t="s">
        <v>30284</v>
      </c>
      <c r="B11025" s="17" t="s">
        <v>70</v>
      </c>
      <c r="C11025" s="17" t="s">
        <v>71</v>
      </c>
      <c r="D11025" t="s">
        <v>30285</v>
      </c>
      <c r="F11025" t="s">
        <v>18867</v>
      </c>
      <c r="J11025" t="s">
        <v>115</v>
      </c>
      <c r="K11025" s="18" t="s">
        <v>30286</v>
      </c>
      <c r="N11025" s="17" t="s">
        <v>77</v>
      </c>
      <c r="O11025" t="s">
        <v>117</v>
      </c>
      <c r="V11025" s="18" t="s">
        <v>30286</v>
      </c>
      <c r="Y11025" t="s">
        <v>90</v>
      </c>
      <c r="AA11025" t="s">
        <v>118</v>
      </c>
      <c r="AB11025" t="s">
        <v>119</v>
      </c>
    </row>
    <row r="11026" ht="15" customHeight="1" spans="1:22" x14ac:dyDescent="0.25">
      <c r="A11026" s="17" t="s">
        <v>30287</v>
      </c>
      <c r="B11026" s="17" t="s">
        <v>70</v>
      </c>
      <c r="C11026" s="17" t="s">
        <v>71</v>
      </c>
      <c r="D11026" t="s">
        <v>30288</v>
      </c>
      <c r="F11026" t="s">
        <v>30289</v>
      </c>
      <c r="K11026" s="18">
        <f>628128038592</f>
        <v>628128038592</v>
      </c>
      <c r="N11026" s="17" t="s">
        <v>74</v>
      </c>
      <c r="V11026" s="18">
        <f>628128038592</f>
        <v>628128038592</v>
      </c>
    </row>
    <row r="11027" ht="15" customHeight="1" spans="1:23" x14ac:dyDescent="0.25">
      <c r="A11027" s="17" t="s">
        <v>30290</v>
      </c>
      <c r="B11027" s="17" t="s">
        <v>70</v>
      </c>
      <c r="C11027" s="17" t="s">
        <v>71</v>
      </c>
      <c r="D11027" t="s">
        <v>6214</v>
      </c>
      <c r="F11027" t="s">
        <v>6214</v>
      </c>
      <c r="K11027" s="18">
        <f>628118820072</f>
        <v>628118820072</v>
      </c>
      <c r="N11027" s="17" t="s">
        <v>81</v>
      </c>
      <c r="U11027" s="22"/>
      <c r="V11027" s="18">
        <f>628118820072</f>
        <v>628118820072</v>
      </c>
      <c r="W11027" t="s">
        <v>30291</v>
      </c>
    </row>
    <row r="11028" ht="15" customHeight="1" spans="1:22" x14ac:dyDescent="0.25">
      <c r="A11028" s="17" t="s">
        <v>30292</v>
      </c>
      <c r="B11028" s="17" t="s">
        <v>70</v>
      </c>
      <c r="C11028" s="17" t="s">
        <v>71</v>
      </c>
      <c r="D11028" t="s">
        <v>6214</v>
      </c>
      <c r="F11028" t="s">
        <v>1444</v>
      </c>
      <c r="K11028" s="18">
        <f>628128456767</f>
        <v>628128456767</v>
      </c>
      <c r="N11028" s="17" t="s">
        <v>81</v>
      </c>
      <c r="V11028" s="18">
        <f>628128456767</f>
        <v>628128456767</v>
      </c>
    </row>
    <row r="11029" ht="15" customHeight="1" spans="1:28" x14ac:dyDescent="0.25">
      <c r="A11029" s="17" t="s">
        <v>30293</v>
      </c>
      <c r="B11029" s="17" t="s">
        <v>70</v>
      </c>
      <c r="C11029" s="17" t="s">
        <v>71</v>
      </c>
      <c r="D11029" t="s">
        <v>6214</v>
      </c>
      <c r="F11029" t="s">
        <v>30294</v>
      </c>
      <c r="J11029" s="17" t="s">
        <v>30295</v>
      </c>
      <c r="K11029" s="18" t="s">
        <v>30296</v>
      </c>
      <c r="N11029" s="17" t="s">
        <v>77</v>
      </c>
      <c r="O11029" t="s">
        <v>199</v>
      </c>
      <c r="U11029" s="17"/>
      <c r="V11029" s="18" t="s">
        <v>30296</v>
      </c>
      <c r="W11029" t="s">
        <v>30297</v>
      </c>
      <c r="Y11029" s="17" t="s">
        <v>596</v>
      </c>
      <c r="AA11029" s="17" t="s">
        <v>597</v>
      </c>
      <c r="AB11029" t="s">
        <v>119</v>
      </c>
    </row>
    <row r="11030" ht="15" customHeight="1" spans="1:25" x14ac:dyDescent="0.25">
      <c r="A11030" s="17" t="s">
        <v>30298</v>
      </c>
      <c r="B11030" s="17" t="s">
        <v>70</v>
      </c>
      <c r="C11030" s="17" t="s">
        <v>71</v>
      </c>
      <c r="D11030" t="s">
        <v>6214</v>
      </c>
      <c r="F11030" t="s">
        <v>30299</v>
      </c>
      <c r="K11030" s="18">
        <f>628114899751</f>
        <v>628114899751</v>
      </c>
      <c r="N11030" s="17" t="s">
        <v>81</v>
      </c>
      <c r="U11030" s="17"/>
      <c r="V11030" s="18">
        <f>628114899751</f>
        <v>628114899751</v>
      </c>
      <c r="W11030" t="s">
        <v>30300</v>
      </c>
      <c r="Y11030" s="17" t="s">
        <v>4640</v>
      </c>
    </row>
    <row r="11031" ht="15" customHeight="1" spans="1:25" x14ac:dyDescent="0.25">
      <c r="A11031" s="17" t="s">
        <v>30301</v>
      </c>
      <c r="B11031" s="17" t="s">
        <v>70</v>
      </c>
      <c r="C11031" s="17" t="s">
        <v>71</v>
      </c>
      <c r="D11031" t="s">
        <v>6214</v>
      </c>
      <c r="F11031" t="s">
        <v>30302</v>
      </c>
      <c r="K11031" s="18">
        <f>6281314028999</f>
        <v>6281314028999</v>
      </c>
      <c r="N11031" s="17" t="s">
        <v>77</v>
      </c>
      <c r="U11031" s="17"/>
      <c r="V11031" s="18">
        <f>6281314028999</f>
        <v>6281314028999</v>
      </c>
      <c r="W11031" t="s">
        <v>30303</v>
      </c>
      <c r="Y11031" s="17" t="s">
        <v>30304</v>
      </c>
    </row>
    <row r="11032" ht="15" customHeight="1" spans="1:22" x14ac:dyDescent="0.25">
      <c r="A11032" s="17" t="s">
        <v>30305</v>
      </c>
      <c r="B11032" s="17" t="s">
        <v>70</v>
      </c>
      <c r="C11032" s="17" t="s">
        <v>71</v>
      </c>
      <c r="D11032" t="s">
        <v>6214</v>
      </c>
      <c r="F11032" t="s">
        <v>30306</v>
      </c>
      <c r="K11032" s="18">
        <f>6281584824999</f>
        <v>6281584824999</v>
      </c>
      <c r="N11032" s="17" t="s">
        <v>81</v>
      </c>
      <c r="V11032" s="18">
        <f>6281584824999</f>
        <v>6281584824999</v>
      </c>
    </row>
    <row r="11033" ht="15" customHeight="1" spans="1:27" x14ac:dyDescent="0.25">
      <c r="A11033" s="17" t="s">
        <v>30307</v>
      </c>
      <c r="B11033" s="17" t="s">
        <v>70</v>
      </c>
      <c r="C11033" s="17" t="s">
        <v>71</v>
      </c>
      <c r="D11033" t="s">
        <v>30308</v>
      </c>
      <c r="F11033" t="s">
        <v>30308</v>
      </c>
      <c r="K11033" s="18">
        <f>6281911191555</f>
        <v>6281911191555</v>
      </c>
      <c r="N11033" s="17" t="s">
        <v>77</v>
      </c>
      <c r="U11033" s="17"/>
      <c r="V11033" s="18">
        <f>6281911191555</f>
        <v>6281911191555</v>
      </c>
      <c r="W11033" t="s">
        <v>30309</v>
      </c>
      <c r="AA11033" s="17">
        <v>46115</v>
      </c>
    </row>
    <row r="11034" ht="15" customHeight="1" spans="1:27" x14ac:dyDescent="0.25">
      <c r="A11034" s="17" t="s">
        <v>30310</v>
      </c>
      <c r="B11034" s="17" t="s">
        <v>70</v>
      </c>
      <c r="C11034" s="17" t="s">
        <v>71</v>
      </c>
      <c r="D11034" t="s">
        <v>30311</v>
      </c>
      <c r="F11034" t="s">
        <v>30312</v>
      </c>
      <c r="K11034" s="18">
        <f>6287788102542</f>
        <v>6287788102542</v>
      </c>
      <c r="N11034" s="17" t="s">
        <v>77</v>
      </c>
      <c r="U11034" s="17"/>
      <c r="V11034" s="18">
        <f>6287788102542</f>
        <v>6287788102542</v>
      </c>
      <c r="W11034" t="s">
        <v>30313</v>
      </c>
      <c r="AA11034" s="17">
        <v>12560</v>
      </c>
    </row>
    <row r="11035" ht="15" customHeight="1" spans="1:28" x14ac:dyDescent="0.25">
      <c r="A11035" s="17" t="s">
        <v>30314</v>
      </c>
      <c r="B11035" s="17" t="s">
        <v>70</v>
      </c>
      <c r="C11035" s="17" t="s">
        <v>71</v>
      </c>
      <c r="D11035" t="s">
        <v>30315</v>
      </c>
      <c r="F11035" t="s">
        <v>1499</v>
      </c>
      <c r="J11035" t="s">
        <v>30316</v>
      </c>
      <c r="K11035" s="18" t="s">
        <v>30317</v>
      </c>
      <c r="N11035" s="17" t="s">
        <v>77</v>
      </c>
      <c r="O11035" t="s">
        <v>145</v>
      </c>
      <c r="U11035" s="17"/>
      <c r="V11035" s="18" t="s">
        <v>30317</v>
      </c>
      <c r="W11035" t="s">
        <v>30318</v>
      </c>
      <c r="Y11035" t="s">
        <v>1247</v>
      </c>
      <c r="AA11035" t="s">
        <v>115</v>
      </c>
      <c r="AB11035" t="s">
        <v>119</v>
      </c>
    </row>
    <row r="11036" ht="15" customHeight="1" spans="1:28" x14ac:dyDescent="0.25">
      <c r="A11036" s="17" t="s">
        <v>30319</v>
      </c>
      <c r="B11036" s="17" t="s">
        <v>70</v>
      </c>
      <c r="C11036" s="17" t="s">
        <v>71</v>
      </c>
      <c r="D11036" t="s">
        <v>30320</v>
      </c>
      <c r="F11036" t="s">
        <v>30321</v>
      </c>
      <c r="J11036" t="s">
        <v>115</v>
      </c>
      <c r="K11036" s="18" t="s">
        <v>30322</v>
      </c>
      <c r="N11036" s="17" t="s">
        <v>81</v>
      </c>
      <c r="O11036" t="s">
        <v>145</v>
      </c>
      <c r="V11036" s="18" t="s">
        <v>30322</v>
      </c>
      <c r="Y11036" t="s">
        <v>90</v>
      </c>
      <c r="AA11036" t="s">
        <v>118</v>
      </c>
      <c r="AB11036" t="s">
        <v>119</v>
      </c>
    </row>
    <row r="11037" ht="15" customHeight="1" spans="1:22" x14ac:dyDescent="0.25">
      <c r="A11037" s="17" t="s">
        <v>30323</v>
      </c>
      <c r="B11037" s="17" t="s">
        <v>70</v>
      </c>
      <c r="C11037" s="17" t="s">
        <v>71</v>
      </c>
      <c r="D11037" t="s">
        <v>30320</v>
      </c>
      <c r="F11037" t="s">
        <v>30324</v>
      </c>
      <c r="K11037" s="18">
        <f>628158810900</f>
        <v>628158810900</v>
      </c>
      <c r="N11037" s="17" t="s">
        <v>77</v>
      </c>
      <c r="V11037" s="18">
        <f>628158810900</f>
        <v>628158810900</v>
      </c>
    </row>
    <row r="11038" ht="15" customHeight="1" spans="1:23" x14ac:dyDescent="0.25">
      <c r="A11038" s="17" t="s">
        <v>30325</v>
      </c>
      <c r="B11038" s="17" t="s">
        <v>70</v>
      </c>
      <c r="C11038" s="17" t="s">
        <v>71</v>
      </c>
      <c r="D11038" t="s">
        <v>30326</v>
      </c>
      <c r="F11038" t="s">
        <v>15494</v>
      </c>
      <c r="K11038" s="18">
        <f>62811961009</f>
        <v>62811961009</v>
      </c>
      <c r="N11038" s="17" t="s">
        <v>81</v>
      </c>
      <c r="U11038" s="17"/>
      <c r="V11038" s="18">
        <f>62811961009</f>
        <v>62811961009</v>
      </c>
      <c r="W11038" t="s">
        <v>30327</v>
      </c>
    </row>
    <row r="11039" ht="15" customHeight="1" spans="1:28" x14ac:dyDescent="0.25">
      <c r="A11039" s="17" t="s">
        <v>30328</v>
      </c>
      <c r="B11039" s="17" t="s">
        <v>70</v>
      </c>
      <c r="C11039" s="17" t="s">
        <v>71</v>
      </c>
      <c r="D11039" t="s">
        <v>30329</v>
      </c>
      <c r="F11039" t="s">
        <v>30330</v>
      </c>
      <c r="J11039" s="17" t="s">
        <v>30331</v>
      </c>
      <c r="K11039" s="18" t="s">
        <v>30332</v>
      </c>
      <c r="N11039" s="17" t="s">
        <v>77</v>
      </c>
      <c r="O11039" t="s">
        <v>199</v>
      </c>
      <c r="V11039" s="18" t="s">
        <v>30332</v>
      </c>
      <c r="Y11039" t="s">
        <v>90</v>
      </c>
      <c r="AA11039" t="s">
        <v>118</v>
      </c>
      <c r="AB11039" t="s">
        <v>119</v>
      </c>
    </row>
    <row r="11040" ht="15" customHeight="1" spans="1:22" x14ac:dyDescent="0.25">
      <c r="A11040" s="17" t="s">
        <v>30333</v>
      </c>
      <c r="B11040" s="17" t="s">
        <v>70</v>
      </c>
      <c r="C11040" s="17" t="s">
        <v>71</v>
      </c>
      <c r="D11040" t="s">
        <v>30334</v>
      </c>
      <c r="F11040" t="s">
        <v>30334</v>
      </c>
      <c r="K11040" s="18">
        <f>628128183993</f>
        <v>628128183993</v>
      </c>
      <c r="N11040" s="17" t="s">
        <v>77</v>
      </c>
      <c r="V11040" s="18">
        <f>628128183993</f>
        <v>628128183993</v>
      </c>
    </row>
    <row r="11041" ht="15" customHeight="1" spans="1:22" x14ac:dyDescent="0.25">
      <c r="A11041" s="17" t="s">
        <v>30335</v>
      </c>
      <c r="B11041" s="17" t="s">
        <v>70</v>
      </c>
      <c r="C11041" s="17" t="s">
        <v>71</v>
      </c>
      <c r="D11041" t="s">
        <v>30336</v>
      </c>
      <c r="F11041" t="s">
        <v>30336</v>
      </c>
      <c r="K11041" s="18">
        <f>628113988798</f>
        <v>628113988798</v>
      </c>
      <c r="N11041" s="17" t="s">
        <v>81</v>
      </c>
      <c r="V11041" s="18">
        <f>628113988798</f>
        <v>628113988798</v>
      </c>
    </row>
    <row r="11042" ht="15" customHeight="1" spans="1:22" x14ac:dyDescent="0.25">
      <c r="A11042" s="17" t="s">
        <v>30337</v>
      </c>
      <c r="B11042" s="17" t="s">
        <v>70</v>
      </c>
      <c r="C11042" s="17" t="s">
        <v>71</v>
      </c>
      <c r="D11042" t="s">
        <v>12061</v>
      </c>
      <c r="F11042" t="s">
        <v>12061</v>
      </c>
      <c r="K11042" s="18">
        <f>6281332622333</f>
        <v>6281332622333</v>
      </c>
      <c r="N11042" s="17" t="s">
        <v>81</v>
      </c>
      <c r="V11042" s="18">
        <f>6281332622333</f>
        <v>6281332622333</v>
      </c>
    </row>
    <row r="11043" ht="15" customHeight="1" spans="1:22" x14ac:dyDescent="0.25">
      <c r="A11043" s="17" t="s">
        <v>30338</v>
      </c>
      <c r="B11043" s="17" t="s">
        <v>70</v>
      </c>
      <c r="C11043" s="17" t="s">
        <v>71</v>
      </c>
      <c r="D11043" t="s">
        <v>12061</v>
      </c>
      <c r="F11043" t="s">
        <v>12061</v>
      </c>
      <c r="K11043" s="18">
        <f>6285710354538</f>
        <v>6285710354538</v>
      </c>
      <c r="N11043" s="17" t="s">
        <v>77</v>
      </c>
      <c r="V11043" s="18">
        <f>6285710354538</f>
        <v>6285710354538</v>
      </c>
    </row>
    <row r="11044" ht="15" customHeight="1" spans="1:22" x14ac:dyDescent="0.25">
      <c r="A11044" s="17" t="s">
        <v>30339</v>
      </c>
      <c r="B11044" s="17" t="s">
        <v>70</v>
      </c>
      <c r="C11044" s="17" t="s">
        <v>71</v>
      </c>
      <c r="D11044" t="s">
        <v>12061</v>
      </c>
      <c r="F11044" t="s">
        <v>12061</v>
      </c>
      <c r="K11044" s="18">
        <f>62816820557</f>
        <v>62816820557</v>
      </c>
      <c r="N11044" s="17" t="s">
        <v>77</v>
      </c>
      <c r="V11044" s="18">
        <f>62816820557</f>
        <v>62816820557</v>
      </c>
    </row>
    <row r="11045" ht="15" customHeight="1" spans="1:28" x14ac:dyDescent="0.25">
      <c r="A11045" s="17" t="s">
        <v>30340</v>
      </c>
      <c r="B11045" s="17" t="s">
        <v>70</v>
      </c>
      <c r="C11045" s="17" t="s">
        <v>71</v>
      </c>
      <c r="D11045" t="s">
        <v>12061</v>
      </c>
      <c r="F11045" t="s">
        <v>12061</v>
      </c>
      <c r="J11045" t="s">
        <v>115</v>
      </c>
      <c r="K11045" s="18" t="s">
        <v>30341</v>
      </c>
      <c r="N11045" s="17" t="s">
        <v>81</v>
      </c>
      <c r="O11045" t="s">
        <v>117</v>
      </c>
      <c r="U11045" s="17"/>
      <c r="V11045" s="18" t="s">
        <v>30341</v>
      </c>
      <c r="W11045" t="s">
        <v>30342</v>
      </c>
      <c r="Y11045" t="s">
        <v>190</v>
      </c>
      <c r="AA11045" t="s">
        <v>118</v>
      </c>
      <c r="AB11045" t="s">
        <v>119</v>
      </c>
    </row>
    <row r="11046" ht="15" customHeight="1" spans="1:25" x14ac:dyDescent="0.25">
      <c r="A11046" s="17" t="s">
        <v>30343</v>
      </c>
      <c r="B11046" s="17" t="s">
        <v>70</v>
      </c>
      <c r="C11046" s="17" t="s">
        <v>71</v>
      </c>
      <c r="D11046" t="s">
        <v>12061</v>
      </c>
      <c r="F11046" t="s">
        <v>30344</v>
      </c>
      <c r="J11046" s="17" t="s">
        <v>30345</v>
      </c>
      <c r="K11046" s="18">
        <f>6281250024156</f>
        <v>6281250024156</v>
      </c>
      <c r="N11046" s="17" t="s">
        <v>77</v>
      </c>
      <c r="U11046" s="17"/>
      <c r="V11046" s="18">
        <f>6281250024156</f>
        <v>6281250024156</v>
      </c>
      <c r="W11046" t="s">
        <v>30346</v>
      </c>
      <c r="Y11046" s="17" t="s">
        <v>515</v>
      </c>
    </row>
    <row r="11047" ht="15" customHeight="1" spans="1:22" x14ac:dyDescent="0.25">
      <c r="A11047" s="17" t="s">
        <v>30347</v>
      </c>
      <c r="B11047" s="17" t="s">
        <v>70</v>
      </c>
      <c r="C11047" s="17" t="s">
        <v>71</v>
      </c>
      <c r="D11047" t="s">
        <v>12061</v>
      </c>
      <c r="F11047" t="s">
        <v>30348</v>
      </c>
      <c r="K11047" s="18">
        <f>62815143296221</f>
        <v>62815143296221</v>
      </c>
      <c r="N11047" s="17" t="s">
        <v>77</v>
      </c>
      <c r="V11047" s="18">
        <f>62815143296221</f>
        <v>62815143296221</v>
      </c>
    </row>
    <row r="11048" ht="15" customHeight="1" spans="1:22" x14ac:dyDescent="0.25">
      <c r="A11048" s="17" t="s">
        <v>30349</v>
      </c>
      <c r="B11048" s="17" t="s">
        <v>70</v>
      </c>
      <c r="C11048" s="17" t="s">
        <v>71</v>
      </c>
      <c r="D11048" t="s">
        <v>12061</v>
      </c>
      <c r="F11048" t="s">
        <v>30350</v>
      </c>
      <c r="K11048" s="18">
        <f>628129000029</f>
        <v>628129000029</v>
      </c>
      <c r="N11048" s="17" t="s">
        <v>74</v>
      </c>
      <c r="V11048" s="18">
        <f>628129000029</f>
        <v>628129000029</v>
      </c>
    </row>
    <row r="11049" ht="15" customHeight="1" spans="1:25" x14ac:dyDescent="0.25">
      <c r="A11049" s="17" t="s">
        <v>30351</v>
      </c>
      <c r="B11049" s="17" t="s">
        <v>70</v>
      </c>
      <c r="C11049" s="17" t="s">
        <v>71</v>
      </c>
      <c r="D11049" t="s">
        <v>12061</v>
      </c>
      <c r="F11049" t="s">
        <v>30352</v>
      </c>
      <c r="K11049" s="18">
        <f>6282345679109</f>
        <v>6282345679109</v>
      </c>
      <c r="N11049" s="17" t="s">
        <v>77</v>
      </c>
      <c r="U11049" s="17"/>
      <c r="V11049" s="18">
        <f>6282345679109</f>
        <v>6282345679109</v>
      </c>
      <c r="W11049" t="s">
        <v>30353</v>
      </c>
      <c r="Y11049" s="17" t="s">
        <v>3536</v>
      </c>
    </row>
    <row r="11050" ht="15" customHeight="1" spans="1:22" x14ac:dyDescent="0.25">
      <c r="A11050" s="17" t="s">
        <v>30354</v>
      </c>
      <c r="B11050" s="17" t="s">
        <v>70</v>
      </c>
      <c r="C11050" s="17" t="s">
        <v>71</v>
      </c>
      <c r="D11050" t="s">
        <v>12061</v>
      </c>
      <c r="F11050" t="s">
        <v>30355</v>
      </c>
      <c r="K11050" s="18">
        <f>628118203307</f>
        <v>628118203307</v>
      </c>
      <c r="N11050" s="17" t="s">
        <v>77</v>
      </c>
      <c r="V11050" s="18">
        <f>628118203307</f>
        <v>628118203307</v>
      </c>
    </row>
    <row r="11051" ht="15" customHeight="1" spans="1:25" x14ac:dyDescent="0.25">
      <c r="A11051" s="17" t="s">
        <v>30356</v>
      </c>
      <c r="B11051" s="17" t="s">
        <v>70</v>
      </c>
      <c r="C11051" s="17" t="s">
        <v>71</v>
      </c>
      <c r="D11051" t="s">
        <v>12061</v>
      </c>
      <c r="F11051" t="s">
        <v>2258</v>
      </c>
      <c r="K11051" s="18">
        <v>71793056</v>
      </c>
      <c r="N11051" s="17" t="s">
        <v>77</v>
      </c>
      <c r="U11051" s="17"/>
      <c r="V11051" s="18">
        <v>71793056</v>
      </c>
      <c r="W11051" t="s">
        <v>30357</v>
      </c>
      <c r="Y11051" s="17" t="s">
        <v>96</v>
      </c>
    </row>
    <row r="11052" ht="15" customHeight="1" spans="1:23" x14ac:dyDescent="0.25">
      <c r="A11052" s="17" t="s">
        <v>30358</v>
      </c>
      <c r="B11052" s="17" t="s">
        <v>70</v>
      </c>
      <c r="C11052" s="17" t="s">
        <v>71</v>
      </c>
      <c r="D11052" t="s">
        <v>12061</v>
      </c>
      <c r="F11052" t="s">
        <v>30359</v>
      </c>
      <c r="K11052" s="18">
        <f>628121026403</f>
        <v>628121026403</v>
      </c>
      <c r="N11052" s="17" t="s">
        <v>77</v>
      </c>
      <c r="U11052" s="17"/>
      <c r="V11052" s="18">
        <f>628121026403</f>
        <v>628121026403</v>
      </c>
      <c r="W11052" t="s">
        <v>30360</v>
      </c>
    </row>
    <row r="11053" ht="15" customHeight="1" spans="1:23" x14ac:dyDescent="0.25">
      <c r="A11053" s="17" t="s">
        <v>30361</v>
      </c>
      <c r="B11053" s="17" t="s">
        <v>70</v>
      </c>
      <c r="C11053" s="17" t="s">
        <v>71</v>
      </c>
      <c r="D11053" t="s">
        <v>12061</v>
      </c>
      <c r="F11053" t="s">
        <v>5602</v>
      </c>
      <c r="J11053" s="17" t="s">
        <v>30362</v>
      </c>
      <c r="K11053" s="18">
        <f>62812965500270</f>
        <v>62812965500270</v>
      </c>
      <c r="N11053" s="17" t="s">
        <v>77</v>
      </c>
      <c r="U11053" s="17"/>
      <c r="V11053" s="18">
        <f>62812965500270</f>
        <v>62812965500270</v>
      </c>
      <c r="W11053" t="s">
        <v>30363</v>
      </c>
    </row>
    <row r="11054" ht="15" customHeight="1" spans="1:22" x14ac:dyDescent="0.25">
      <c r="A11054" s="17" t="s">
        <v>30364</v>
      </c>
      <c r="B11054" s="17" t="s">
        <v>70</v>
      </c>
      <c r="C11054" s="17" t="s">
        <v>71</v>
      </c>
      <c r="D11054" t="s">
        <v>12061</v>
      </c>
      <c r="F11054" t="s">
        <v>30365</v>
      </c>
      <c r="K11054" s="18">
        <f>6281229991828</f>
        <v>6281229991828</v>
      </c>
      <c r="N11054" s="17" t="s">
        <v>77</v>
      </c>
      <c r="V11054" s="18">
        <f>6281229991828</f>
        <v>6281229991828</v>
      </c>
    </row>
    <row r="11055" ht="15" customHeight="1" spans="1:22" x14ac:dyDescent="0.25">
      <c r="A11055" s="17" t="s">
        <v>30366</v>
      </c>
      <c r="B11055" s="17" t="s">
        <v>70</v>
      </c>
      <c r="C11055" s="17" t="s">
        <v>71</v>
      </c>
      <c r="D11055" t="s">
        <v>12061</v>
      </c>
      <c r="F11055" t="s">
        <v>30367</v>
      </c>
      <c r="K11055" s="18">
        <f>628161180527</f>
        <v>628161180527</v>
      </c>
      <c r="N11055" s="17" t="s">
        <v>81</v>
      </c>
      <c r="V11055" s="18">
        <f>628161180527</f>
        <v>628161180527</v>
      </c>
    </row>
    <row r="11056" ht="15" customHeight="1" spans="1:23" x14ac:dyDescent="0.25">
      <c r="A11056" s="17" t="s">
        <v>30368</v>
      </c>
      <c r="B11056" s="17" t="s">
        <v>70</v>
      </c>
      <c r="C11056" s="17" t="s">
        <v>71</v>
      </c>
      <c r="D11056" t="s">
        <v>12061</v>
      </c>
      <c r="F11056" t="s">
        <v>11494</v>
      </c>
      <c r="J11056" s="17" t="s">
        <v>30369</v>
      </c>
      <c r="K11056" s="18">
        <f>6281329398788</f>
        <v>6281329398788</v>
      </c>
      <c r="N11056" s="17" t="s">
        <v>77</v>
      </c>
      <c r="U11056" s="17"/>
      <c r="V11056" s="18">
        <f>6281329398788</f>
        <v>6281329398788</v>
      </c>
      <c r="W11056" t="s">
        <v>1042</v>
      </c>
    </row>
    <row r="11057" ht="15" customHeight="1" spans="1:22" x14ac:dyDescent="0.25">
      <c r="A11057" s="17" t="s">
        <v>30370</v>
      </c>
      <c r="B11057" s="17" t="s">
        <v>70</v>
      </c>
      <c r="C11057" s="17" t="s">
        <v>71</v>
      </c>
      <c r="D11057" t="s">
        <v>20120</v>
      </c>
      <c r="F11057" t="s">
        <v>20120</v>
      </c>
      <c r="K11057" s="18">
        <f>62821127262210</f>
        <v>62821127262210</v>
      </c>
      <c r="N11057" s="17" t="s">
        <v>81</v>
      </c>
      <c r="V11057" s="18">
        <f>62821127262210</f>
        <v>62821127262210</v>
      </c>
    </row>
    <row r="11058" ht="15" customHeight="1" spans="1:27" x14ac:dyDescent="0.25">
      <c r="A11058" s="17" t="s">
        <v>30371</v>
      </c>
      <c r="B11058" s="17" t="s">
        <v>70</v>
      </c>
      <c r="C11058" s="17" t="s">
        <v>71</v>
      </c>
      <c r="D11058" t="s">
        <v>20120</v>
      </c>
      <c r="F11058" t="s">
        <v>30372</v>
      </c>
      <c r="K11058" s="18">
        <f>628561031305</f>
        <v>628561031305</v>
      </c>
      <c r="N11058" s="17" t="s">
        <v>74</v>
      </c>
      <c r="U11058" s="17"/>
      <c r="V11058" s="18">
        <f>628561031305</f>
        <v>628561031305</v>
      </c>
      <c r="W11058" t="s">
        <v>30373</v>
      </c>
      <c r="Y11058" s="17" t="s">
        <v>217</v>
      </c>
      <c r="AA11058" s="17" t="s">
        <v>30374</v>
      </c>
    </row>
    <row r="11059" ht="15" customHeight="1" spans="1:28" x14ac:dyDescent="0.25">
      <c r="A11059" s="17" t="s">
        <v>30375</v>
      </c>
      <c r="B11059" s="17" t="s">
        <v>70</v>
      </c>
      <c r="C11059" s="17" t="s">
        <v>71</v>
      </c>
      <c r="D11059" t="s">
        <v>20120</v>
      </c>
      <c r="F11059" t="s">
        <v>18310</v>
      </c>
      <c r="J11059" s="17" t="s">
        <v>30376</v>
      </c>
      <c r="K11059" s="18" t="s">
        <v>30377</v>
      </c>
      <c r="N11059" s="17" t="s">
        <v>77</v>
      </c>
      <c r="O11059" t="s">
        <v>145</v>
      </c>
      <c r="V11059" s="18" t="s">
        <v>30377</v>
      </c>
      <c r="Y11059" t="s">
        <v>490</v>
      </c>
      <c r="AA11059" t="s">
        <v>115</v>
      </c>
      <c r="AB11059" t="s">
        <v>119</v>
      </c>
    </row>
    <row r="11060" ht="15" customHeight="1" spans="1:28" x14ac:dyDescent="0.25">
      <c r="A11060" s="17" t="s">
        <v>30378</v>
      </c>
      <c r="B11060" s="17" t="s">
        <v>70</v>
      </c>
      <c r="C11060" s="17" t="s">
        <v>71</v>
      </c>
      <c r="D11060" t="s">
        <v>30379</v>
      </c>
      <c r="F11060" t="s">
        <v>30380</v>
      </c>
      <c r="J11060" t="s">
        <v>115</v>
      </c>
      <c r="K11060" s="18" t="s">
        <v>30381</v>
      </c>
      <c r="N11060" s="17" t="s">
        <v>77</v>
      </c>
      <c r="O11060" t="s">
        <v>145</v>
      </c>
      <c r="U11060" s="17"/>
      <c r="V11060" s="18" t="s">
        <v>30381</v>
      </c>
      <c r="W11060" t="s">
        <v>30382</v>
      </c>
      <c r="Y11060" t="s">
        <v>1553</v>
      </c>
      <c r="AA11060" s="17" t="s">
        <v>30383</v>
      </c>
      <c r="AB11060" t="s">
        <v>119</v>
      </c>
    </row>
    <row r="11061" ht="15" customHeight="1" spans="1:22" x14ac:dyDescent="0.25">
      <c r="A11061" s="17" t="s">
        <v>30384</v>
      </c>
      <c r="B11061" s="17" t="s">
        <v>70</v>
      </c>
      <c r="C11061" s="17" t="s">
        <v>71</v>
      </c>
      <c r="D11061" t="s">
        <v>20120</v>
      </c>
      <c r="F11061" t="s">
        <v>30385</v>
      </c>
      <c r="K11061" s="18">
        <f>628111811680</f>
        <v>628111811680</v>
      </c>
      <c r="N11061" s="17" t="s">
        <v>81</v>
      </c>
      <c r="V11061" s="18">
        <f>628111811680</f>
        <v>628111811680</v>
      </c>
    </row>
    <row r="11062" ht="15" customHeight="1" spans="1:25" x14ac:dyDescent="0.25">
      <c r="A11062" s="17" t="s">
        <v>30386</v>
      </c>
      <c r="B11062" s="17" t="s">
        <v>70</v>
      </c>
      <c r="C11062" s="17" t="s">
        <v>71</v>
      </c>
      <c r="D11062" t="s">
        <v>20120</v>
      </c>
      <c r="F11062" t="s">
        <v>30385</v>
      </c>
      <c r="J11062" s="17" t="s">
        <v>30387</v>
      </c>
      <c r="K11062" s="18">
        <f>6281905999168</f>
        <v>6281905999168</v>
      </c>
      <c r="N11062" s="17" t="s">
        <v>77</v>
      </c>
      <c r="U11062" s="17"/>
      <c r="V11062" s="18">
        <f>6281905999168</f>
        <v>6281905999168</v>
      </c>
      <c r="W11062" t="s">
        <v>30388</v>
      </c>
      <c r="Y11062" s="17" t="s">
        <v>217</v>
      </c>
    </row>
    <row r="11063" ht="15" customHeight="1" spans="1:22" x14ac:dyDescent="0.25">
      <c r="A11063" s="17" t="s">
        <v>30389</v>
      </c>
      <c r="B11063" s="17" t="s">
        <v>70</v>
      </c>
      <c r="C11063" s="17" t="s">
        <v>71</v>
      </c>
      <c r="D11063" t="s">
        <v>20120</v>
      </c>
      <c r="F11063" t="s">
        <v>27178</v>
      </c>
      <c r="K11063" s="18">
        <f>6228111811680</f>
        <v>6228111811680</v>
      </c>
      <c r="N11063" s="17" t="s">
        <v>77</v>
      </c>
      <c r="V11063" s="18">
        <f>6228111811680</f>
        <v>6228111811680</v>
      </c>
    </row>
    <row r="11064" ht="15" customHeight="1" spans="1:22" x14ac:dyDescent="0.25">
      <c r="A11064" s="17" t="s">
        <v>30390</v>
      </c>
      <c r="B11064" s="17" t="s">
        <v>70</v>
      </c>
      <c r="C11064" s="17" t="s">
        <v>71</v>
      </c>
      <c r="D11064" t="s">
        <v>20120</v>
      </c>
      <c r="F11064" t="s">
        <v>28694</v>
      </c>
      <c r="K11064" s="18">
        <f>628119420111</f>
        <v>628119420111</v>
      </c>
      <c r="N11064" s="17" t="s">
        <v>81</v>
      </c>
      <c r="V11064" s="18">
        <f>628119420111</f>
        <v>628119420111</v>
      </c>
    </row>
    <row r="11065" ht="15" customHeight="1" spans="1:28" x14ac:dyDescent="0.25">
      <c r="A11065" s="17" t="s">
        <v>30391</v>
      </c>
      <c r="B11065" s="17" t="s">
        <v>70</v>
      </c>
      <c r="C11065" s="17" t="s">
        <v>71</v>
      </c>
      <c r="D11065" t="s">
        <v>20120</v>
      </c>
      <c r="F11065" t="s">
        <v>30392</v>
      </c>
      <c r="J11065" t="s">
        <v>115</v>
      </c>
      <c r="K11065" s="18" t="s">
        <v>30393</v>
      </c>
      <c r="N11065" s="17" t="s">
        <v>77</v>
      </c>
      <c r="O11065" t="s">
        <v>117</v>
      </c>
      <c r="V11065" s="18" t="s">
        <v>30393</v>
      </c>
      <c r="Y11065" t="s">
        <v>115</v>
      </c>
      <c r="AA11065" t="s">
        <v>115</v>
      </c>
      <c r="AB11065" t="s">
        <v>119</v>
      </c>
    </row>
    <row r="11066" ht="15" customHeight="1" spans="1:28" x14ac:dyDescent="0.25">
      <c r="A11066" s="17" t="s">
        <v>30394</v>
      </c>
      <c r="B11066" s="17" t="s">
        <v>70</v>
      </c>
      <c r="C11066" s="17" t="s">
        <v>71</v>
      </c>
      <c r="D11066" t="s">
        <v>20120</v>
      </c>
      <c r="F11066" t="s">
        <v>7900</v>
      </c>
      <c r="J11066" s="17" t="s">
        <v>30395</v>
      </c>
      <c r="K11066" s="18" t="s">
        <v>30396</v>
      </c>
      <c r="N11066" s="17" t="s">
        <v>77</v>
      </c>
      <c r="O11066" t="s">
        <v>489</v>
      </c>
      <c r="U11066" s="17"/>
      <c r="V11066" s="18" t="s">
        <v>30396</v>
      </c>
      <c r="W11066" t="s">
        <v>30397</v>
      </c>
      <c r="Y11066" t="s">
        <v>30397</v>
      </c>
      <c r="AA11066" t="s">
        <v>115</v>
      </c>
      <c r="AB11066" t="s">
        <v>119</v>
      </c>
    </row>
    <row r="11067" ht="15" customHeight="1" spans="1:28" x14ac:dyDescent="0.25">
      <c r="A11067" s="17" t="s">
        <v>30398</v>
      </c>
      <c r="B11067" s="17" t="s">
        <v>70</v>
      </c>
      <c r="C11067" s="17" t="s">
        <v>71</v>
      </c>
      <c r="D11067" t="s">
        <v>22047</v>
      </c>
      <c r="F11067" t="s">
        <v>20232</v>
      </c>
      <c r="J11067" t="s">
        <v>115</v>
      </c>
      <c r="K11067" s="18" t="s">
        <v>30399</v>
      </c>
      <c r="N11067" s="17" t="s">
        <v>77</v>
      </c>
      <c r="O11067" t="s">
        <v>117</v>
      </c>
      <c r="V11067" s="18" t="s">
        <v>30399</v>
      </c>
      <c r="Y11067" t="s">
        <v>190</v>
      </c>
      <c r="AA11067" t="s">
        <v>118</v>
      </c>
      <c r="AB11067" t="s">
        <v>119</v>
      </c>
    </row>
    <row r="11068" ht="15" customHeight="1" spans="1:22" x14ac:dyDescent="0.25">
      <c r="A11068" s="17" t="s">
        <v>30400</v>
      </c>
      <c r="B11068" s="17" t="s">
        <v>70</v>
      </c>
      <c r="C11068" s="17" t="s">
        <v>71</v>
      </c>
      <c r="D11068" t="s">
        <v>22047</v>
      </c>
      <c r="F11068" t="s">
        <v>22047</v>
      </c>
      <c r="K11068" s="18">
        <f>628179009972</f>
        <v>628179009972</v>
      </c>
      <c r="N11068" s="17" t="s">
        <v>77</v>
      </c>
      <c r="V11068" s="18">
        <f>628179009972</f>
        <v>628179009972</v>
      </c>
    </row>
    <row r="11069" ht="15" customHeight="1" spans="1:28" x14ac:dyDescent="0.25">
      <c r="A11069" s="17" t="s">
        <v>30401</v>
      </c>
      <c r="B11069" s="17" t="s">
        <v>70</v>
      </c>
      <c r="C11069" s="17" t="s">
        <v>71</v>
      </c>
      <c r="D11069" t="s">
        <v>22047</v>
      </c>
      <c r="F11069" t="s">
        <v>30402</v>
      </c>
      <c r="J11069" t="s">
        <v>115</v>
      </c>
      <c r="K11069" s="18" t="s">
        <v>30403</v>
      </c>
      <c r="N11069" s="17" t="s">
        <v>77</v>
      </c>
      <c r="O11069" t="s">
        <v>489</v>
      </c>
      <c r="U11069" s="17"/>
      <c r="V11069" s="18" t="s">
        <v>30403</v>
      </c>
      <c r="W11069" t="s">
        <v>30404</v>
      </c>
      <c r="Y11069" t="s">
        <v>90</v>
      </c>
      <c r="AA11069" t="s">
        <v>118</v>
      </c>
      <c r="AB11069" t="s">
        <v>119</v>
      </c>
    </row>
    <row r="11070" ht="15" customHeight="1" spans="1:28" x14ac:dyDescent="0.25">
      <c r="A11070" s="17" t="s">
        <v>30405</v>
      </c>
      <c r="B11070" s="17" t="s">
        <v>70</v>
      </c>
      <c r="C11070" s="17" t="s">
        <v>71</v>
      </c>
      <c r="D11070" t="s">
        <v>30406</v>
      </c>
      <c r="F11070" t="s">
        <v>30406</v>
      </c>
      <c r="J11070" t="s">
        <v>115</v>
      </c>
      <c r="K11070" s="18" t="s">
        <v>30407</v>
      </c>
      <c r="N11070" s="17" t="s">
        <v>77</v>
      </c>
      <c r="O11070" t="s">
        <v>117</v>
      </c>
      <c r="U11070" s="17"/>
      <c r="V11070" s="18" t="s">
        <v>30407</v>
      </c>
      <c r="W11070" t="s">
        <v>30408</v>
      </c>
      <c r="Y11070" s="17" t="s">
        <v>90</v>
      </c>
      <c r="AA11070" t="s">
        <v>118</v>
      </c>
      <c r="AB11070" t="s">
        <v>119</v>
      </c>
    </row>
    <row r="11071" ht="15" customHeight="1" spans="1:23" x14ac:dyDescent="0.25">
      <c r="A11071" s="17" t="s">
        <v>30409</v>
      </c>
      <c r="B11071" s="17" t="s">
        <v>70</v>
      </c>
      <c r="C11071" s="17" t="s">
        <v>71</v>
      </c>
      <c r="D11071" t="s">
        <v>14140</v>
      </c>
      <c r="F11071" t="s">
        <v>472</v>
      </c>
      <c r="K11071" s="18">
        <f>622166670750</f>
        <v>622166670750</v>
      </c>
      <c r="N11071" s="17" t="s">
        <v>77</v>
      </c>
      <c r="U11071" s="17"/>
      <c r="V11071" s="18">
        <f>622166670750</f>
        <v>622166670750</v>
      </c>
      <c r="W11071" t="s">
        <v>30410</v>
      </c>
    </row>
    <row r="11072" ht="15" customHeight="1" spans="1:22" x14ac:dyDescent="0.25">
      <c r="A11072" s="17" t="s">
        <v>30411</v>
      </c>
      <c r="B11072" s="17" t="s">
        <v>70</v>
      </c>
      <c r="C11072" s="17" t="s">
        <v>71</v>
      </c>
      <c r="D11072" t="s">
        <v>5365</v>
      </c>
      <c r="F11072" t="s">
        <v>4918</v>
      </c>
      <c r="K11072" s="18">
        <f>62816902222</f>
        <v>62816902222</v>
      </c>
      <c r="N11072" s="17" t="s">
        <v>77</v>
      </c>
      <c r="V11072" s="18">
        <f>62816902222</f>
        <v>62816902222</v>
      </c>
    </row>
    <row r="11073" ht="15" customHeight="1" spans="1:22" x14ac:dyDescent="0.25">
      <c r="A11073" s="17" t="s">
        <v>30412</v>
      </c>
      <c r="B11073" s="17" t="s">
        <v>70</v>
      </c>
      <c r="C11073" s="17" t="s">
        <v>71</v>
      </c>
      <c r="D11073" t="s">
        <v>30413</v>
      </c>
      <c r="F11073" t="s">
        <v>30413</v>
      </c>
      <c r="K11073" s="18">
        <f>6287877299580</f>
        <v>6287877299580</v>
      </c>
      <c r="N11073" s="17" t="s">
        <v>77</v>
      </c>
      <c r="V11073" s="18">
        <f>6287877299580</f>
        <v>6287877299580</v>
      </c>
    </row>
    <row r="11074" ht="15" customHeight="1" spans="1:22" x14ac:dyDescent="0.25">
      <c r="A11074" s="17" t="s">
        <v>30414</v>
      </c>
      <c r="B11074" s="17" t="s">
        <v>70</v>
      </c>
      <c r="C11074" s="17" t="s">
        <v>71</v>
      </c>
      <c r="D11074" t="s">
        <v>30413</v>
      </c>
      <c r="F11074" t="s">
        <v>9028</v>
      </c>
      <c r="K11074" s="18">
        <f>6282111800889</f>
        <v>6282111800889</v>
      </c>
      <c r="N11074" s="17" t="s">
        <v>81</v>
      </c>
      <c r="V11074" s="18">
        <f>6282111800889</f>
        <v>6282111800889</v>
      </c>
    </row>
    <row r="11075" ht="15" customHeight="1" spans="1:25" x14ac:dyDescent="0.25">
      <c r="A11075" s="17" t="s">
        <v>30415</v>
      </c>
      <c r="B11075" s="17" t="s">
        <v>70</v>
      </c>
      <c r="C11075" s="17" t="s">
        <v>71</v>
      </c>
      <c r="D11075" t="s">
        <v>30413</v>
      </c>
      <c r="F11075" t="s">
        <v>30416</v>
      </c>
      <c r="J11075" s="17" t="s">
        <v>30417</v>
      </c>
      <c r="K11075" s="18">
        <f>6281267757075</f>
        <v>6281267757075</v>
      </c>
      <c r="N11075" s="17" t="s">
        <v>77</v>
      </c>
      <c r="U11075" s="17"/>
      <c r="V11075" s="18">
        <f>6281267757075</f>
        <v>6281267757075</v>
      </c>
      <c r="W11075" t="s">
        <v>30418</v>
      </c>
      <c r="Y11075" s="17" t="s">
        <v>378</v>
      </c>
    </row>
    <row r="11076" ht="15" customHeight="1" spans="1:28" x14ac:dyDescent="0.25">
      <c r="A11076" s="17" t="s">
        <v>30419</v>
      </c>
      <c r="B11076" s="17" t="s">
        <v>70</v>
      </c>
      <c r="C11076" s="17" t="s">
        <v>71</v>
      </c>
      <c r="D11076" t="s">
        <v>30420</v>
      </c>
      <c r="F11076" t="s">
        <v>30421</v>
      </c>
      <c r="J11076" t="s">
        <v>115</v>
      </c>
      <c r="K11076" s="18" t="s">
        <v>30422</v>
      </c>
      <c r="N11076" s="17" t="s">
        <v>77</v>
      </c>
      <c r="O11076" t="s">
        <v>199</v>
      </c>
      <c r="V11076" s="18" t="s">
        <v>30422</v>
      </c>
      <c r="Y11076" t="s">
        <v>90</v>
      </c>
      <c r="AA11076" t="s">
        <v>118</v>
      </c>
      <c r="AB11076" t="s">
        <v>119</v>
      </c>
    </row>
    <row r="11077" ht="15" customHeight="1" spans="1:23" x14ac:dyDescent="0.25">
      <c r="A11077" s="17" t="s">
        <v>30423</v>
      </c>
      <c r="B11077" s="17" t="s">
        <v>70</v>
      </c>
      <c r="C11077" s="17" t="s">
        <v>71</v>
      </c>
      <c r="D11077" t="s">
        <v>1569</v>
      </c>
      <c r="F11077" t="s">
        <v>1569</v>
      </c>
      <c r="K11077" s="18">
        <f>6281285324540</f>
        <v>6281285324540</v>
      </c>
      <c r="N11077" s="17" t="s">
        <v>77</v>
      </c>
      <c r="U11077" s="17"/>
      <c r="V11077" s="18">
        <f>6281285324540</f>
        <v>6281285324540</v>
      </c>
      <c r="W11077" t="s">
        <v>90</v>
      </c>
    </row>
    <row r="11078" ht="15" customHeight="1" spans="1:25" x14ac:dyDescent="0.25">
      <c r="A11078" s="17" t="s">
        <v>30424</v>
      </c>
      <c r="B11078" s="17" t="s">
        <v>70</v>
      </c>
      <c r="C11078" s="17" t="s">
        <v>71</v>
      </c>
      <c r="D11078" t="s">
        <v>30425</v>
      </c>
      <c r="F11078" t="s">
        <v>30425</v>
      </c>
      <c r="K11078" s="18">
        <f>6282110131452</f>
        <v>6282110131452</v>
      </c>
      <c r="N11078" s="17" t="s">
        <v>77</v>
      </c>
      <c r="U11078" s="17"/>
      <c r="V11078" s="18">
        <f>6282110131452</f>
        <v>6282110131452</v>
      </c>
      <c r="W11078" t="s">
        <v>30426</v>
      </c>
      <c r="Y11078" s="17" t="s">
        <v>30427</v>
      </c>
    </row>
    <row r="11079" ht="15" customHeight="1" spans="1:22" x14ac:dyDescent="0.25">
      <c r="A11079" s="17" t="s">
        <v>30428</v>
      </c>
      <c r="B11079" s="17" t="s">
        <v>70</v>
      </c>
      <c r="C11079" s="17" t="s">
        <v>71</v>
      </c>
      <c r="D11079" t="s">
        <v>1657</v>
      </c>
      <c r="F11079" t="s">
        <v>1657</v>
      </c>
      <c r="K11079" s="18">
        <f>628557808811</f>
        <v>628557808811</v>
      </c>
      <c r="N11079" s="17" t="s">
        <v>77</v>
      </c>
      <c r="V11079" s="18">
        <f>628557808811</f>
        <v>628557808811</v>
      </c>
    </row>
    <row r="11080" ht="15" customHeight="1" spans="1:22" x14ac:dyDescent="0.25">
      <c r="A11080" s="17" t="s">
        <v>30429</v>
      </c>
      <c r="B11080" s="17" t="s">
        <v>70</v>
      </c>
      <c r="C11080" s="17" t="s">
        <v>71</v>
      </c>
      <c r="D11080" t="s">
        <v>1657</v>
      </c>
      <c r="F11080" t="s">
        <v>1657</v>
      </c>
      <c r="K11080" s="18">
        <f>62855782209</f>
        <v>62855782209</v>
      </c>
      <c r="N11080" s="17" t="s">
        <v>77</v>
      </c>
      <c r="V11080" s="18">
        <f>62855782209</f>
        <v>62855782209</v>
      </c>
    </row>
    <row r="11081" ht="15" customHeight="1" spans="1:22" x14ac:dyDescent="0.25">
      <c r="A11081" s="17" t="s">
        <v>30430</v>
      </c>
      <c r="B11081" s="17" t="s">
        <v>70</v>
      </c>
      <c r="C11081" s="17" t="s">
        <v>71</v>
      </c>
      <c r="D11081" t="s">
        <v>1657</v>
      </c>
      <c r="F11081" t="s">
        <v>615</v>
      </c>
      <c r="K11081" s="18">
        <f>62811941848</f>
        <v>62811941848</v>
      </c>
      <c r="N11081" s="17" t="s">
        <v>81</v>
      </c>
      <c r="V11081" s="18">
        <f>62811941848</f>
        <v>62811941848</v>
      </c>
    </row>
    <row r="11082" ht="15" customHeight="1" spans="1:28" x14ac:dyDescent="0.25">
      <c r="A11082" s="17" t="s">
        <v>30431</v>
      </c>
      <c r="B11082" s="17" t="s">
        <v>70</v>
      </c>
      <c r="C11082" s="17" t="s">
        <v>71</v>
      </c>
      <c r="D11082" t="s">
        <v>1657</v>
      </c>
      <c r="F11082" t="s">
        <v>29876</v>
      </c>
      <c r="J11082" s="17" t="s">
        <v>30432</v>
      </c>
      <c r="K11082" s="18" t="s">
        <v>30433</v>
      </c>
      <c r="N11082" s="17" t="s">
        <v>81</v>
      </c>
      <c r="O11082" t="s">
        <v>199</v>
      </c>
      <c r="V11082" s="18" t="s">
        <v>30433</v>
      </c>
      <c r="Y11082" t="s">
        <v>190</v>
      </c>
      <c r="AA11082" t="s">
        <v>118</v>
      </c>
      <c r="AB11082" t="s">
        <v>119</v>
      </c>
    </row>
    <row r="11083" ht="15" customHeight="1" spans="1:25" x14ac:dyDescent="0.25">
      <c r="A11083" s="17" t="s">
        <v>30434</v>
      </c>
      <c r="B11083" s="17" t="s">
        <v>70</v>
      </c>
      <c r="C11083" s="17" t="s">
        <v>71</v>
      </c>
      <c r="D11083" t="s">
        <v>1657</v>
      </c>
      <c r="F11083" t="s">
        <v>6671</v>
      </c>
      <c r="K11083" s="18">
        <f>628128098938</f>
        <v>628128098938</v>
      </c>
      <c r="N11083" s="17" t="s">
        <v>77</v>
      </c>
      <c r="U11083" s="17"/>
      <c r="V11083" s="18">
        <f>628128098938</f>
        <v>628128098938</v>
      </c>
      <c r="W11083" t="s">
        <v>30435</v>
      </c>
      <c r="Y11083" s="17" t="s">
        <v>96</v>
      </c>
    </row>
    <row r="11084" ht="15" customHeight="1" spans="1:28" x14ac:dyDescent="0.25">
      <c r="A11084" s="17" t="s">
        <v>30436</v>
      </c>
      <c r="B11084" s="17" t="s">
        <v>70</v>
      </c>
      <c r="C11084" s="17" t="s">
        <v>71</v>
      </c>
      <c r="D11084" t="s">
        <v>1657</v>
      </c>
      <c r="F11084" t="s">
        <v>30437</v>
      </c>
      <c r="J11084" t="s">
        <v>115</v>
      </c>
      <c r="K11084" s="18" t="s">
        <v>30438</v>
      </c>
      <c r="N11084" s="17" t="s">
        <v>77</v>
      </c>
      <c r="O11084" t="s">
        <v>199</v>
      </c>
      <c r="V11084" s="18" t="s">
        <v>30438</v>
      </c>
      <c r="Y11084" t="s">
        <v>6155</v>
      </c>
      <c r="AA11084" t="s">
        <v>115</v>
      </c>
      <c r="AB11084" t="s">
        <v>119</v>
      </c>
    </row>
    <row r="11085" ht="15" customHeight="1" spans="1:22" x14ac:dyDescent="0.25">
      <c r="A11085" s="17" t="s">
        <v>30439</v>
      </c>
      <c r="B11085" s="17" t="s">
        <v>70</v>
      </c>
      <c r="C11085" s="17" t="s">
        <v>71</v>
      </c>
      <c r="D11085" t="s">
        <v>1657</v>
      </c>
      <c r="F11085" t="s">
        <v>30440</v>
      </c>
      <c r="K11085" s="18">
        <f>6281284396976</f>
        <v>6281284396976</v>
      </c>
      <c r="N11085" s="17" t="s">
        <v>74</v>
      </c>
      <c r="V11085" s="18">
        <f>6281284396976</f>
        <v>6281284396976</v>
      </c>
    </row>
    <row r="11086" ht="15" customHeight="1" spans="1:28" x14ac:dyDescent="0.25">
      <c r="A11086" s="17" t="s">
        <v>30441</v>
      </c>
      <c r="B11086" s="17" t="s">
        <v>70</v>
      </c>
      <c r="C11086" s="17" t="s">
        <v>71</v>
      </c>
      <c r="D11086" t="s">
        <v>1657</v>
      </c>
      <c r="F11086" t="s">
        <v>18310</v>
      </c>
      <c r="J11086" t="s">
        <v>115</v>
      </c>
      <c r="K11086" s="18" t="s">
        <v>30442</v>
      </c>
      <c r="N11086" s="17" t="s">
        <v>77</v>
      </c>
      <c r="O11086" t="s">
        <v>261</v>
      </c>
      <c r="V11086" s="18" t="s">
        <v>30442</v>
      </c>
      <c r="Y11086" t="s">
        <v>90</v>
      </c>
      <c r="AA11086" t="s">
        <v>118</v>
      </c>
      <c r="AB11086" t="s">
        <v>119</v>
      </c>
    </row>
    <row r="11087" ht="15" customHeight="1" spans="1:25" x14ac:dyDescent="0.25">
      <c r="A11087" s="17" t="s">
        <v>30443</v>
      </c>
      <c r="B11087" s="17" t="s">
        <v>70</v>
      </c>
      <c r="C11087" s="17" t="s">
        <v>71</v>
      </c>
      <c r="D11087" t="s">
        <v>1657</v>
      </c>
      <c r="F11087" t="s">
        <v>225</v>
      </c>
      <c r="J11087" s="17" t="s">
        <v>30444</v>
      </c>
      <c r="K11087" s="18">
        <f>6281280068688</f>
        <v>6281280068688</v>
      </c>
      <c r="N11087" s="17" t="s">
        <v>77</v>
      </c>
      <c r="U11087" s="17"/>
      <c r="V11087" s="18">
        <f>6281280068688</f>
        <v>6281280068688</v>
      </c>
      <c r="W11087" t="s">
        <v>30445</v>
      </c>
      <c r="Y11087" s="17" t="s">
        <v>378</v>
      </c>
    </row>
    <row r="11088" ht="15" customHeight="1" spans="1:22" x14ac:dyDescent="0.25">
      <c r="A11088" s="17" t="s">
        <v>30446</v>
      </c>
      <c r="B11088" s="17" t="s">
        <v>70</v>
      </c>
      <c r="C11088" s="17" t="s">
        <v>71</v>
      </c>
      <c r="D11088" t="s">
        <v>1657</v>
      </c>
      <c r="F11088" t="s">
        <v>9175</v>
      </c>
      <c r="K11088" s="18">
        <f>6281517912370</f>
        <v>6281517912370</v>
      </c>
      <c r="N11088" s="17" t="s">
        <v>74</v>
      </c>
      <c r="V11088" s="18">
        <f>6281517912370</f>
        <v>6281517912370</v>
      </c>
    </row>
    <row r="11089" ht="15" customHeight="1" spans="1:27" x14ac:dyDescent="0.25">
      <c r="A11089" s="17" t="s">
        <v>30447</v>
      </c>
      <c r="B11089" s="17" t="s">
        <v>70</v>
      </c>
      <c r="C11089" s="17" t="s">
        <v>71</v>
      </c>
      <c r="D11089" t="s">
        <v>1657</v>
      </c>
      <c r="F11089" t="s">
        <v>2258</v>
      </c>
      <c r="K11089" s="18">
        <f>6285889772729</f>
        <v>6285889772729</v>
      </c>
      <c r="N11089" s="17" t="s">
        <v>77</v>
      </c>
      <c r="U11089" s="17"/>
      <c r="V11089" s="18">
        <f>6285889772729</f>
        <v>6285889772729</v>
      </c>
      <c r="W11089" t="s">
        <v>3410</v>
      </c>
      <c r="Y11089" s="17" t="s">
        <v>397</v>
      </c>
      <c r="AA11089" s="17">
        <v>17550</v>
      </c>
    </row>
    <row r="11090" ht="15" customHeight="1" spans="1:28" x14ac:dyDescent="0.25">
      <c r="A11090" s="17" t="s">
        <v>30448</v>
      </c>
      <c r="B11090" s="17" t="s">
        <v>70</v>
      </c>
      <c r="C11090" s="17" t="s">
        <v>71</v>
      </c>
      <c r="D11090" t="s">
        <v>1657</v>
      </c>
      <c r="F11090" t="s">
        <v>30449</v>
      </c>
      <c r="J11090" s="17" t="s">
        <v>30450</v>
      </c>
      <c r="K11090" s="18" t="s">
        <v>30451</v>
      </c>
      <c r="N11090" s="17" t="s">
        <v>77</v>
      </c>
      <c r="O11090" t="s">
        <v>489</v>
      </c>
      <c r="U11090" s="17"/>
      <c r="V11090" s="18" t="s">
        <v>30451</v>
      </c>
      <c r="W11090" t="s">
        <v>30452</v>
      </c>
      <c r="Y11090" s="17" t="s">
        <v>190</v>
      </c>
      <c r="AA11090" t="s">
        <v>118</v>
      </c>
      <c r="AB11090" t="s">
        <v>119</v>
      </c>
    </row>
    <row r="11091" ht="15" customHeight="1" spans="1:28" x14ac:dyDescent="0.25">
      <c r="A11091" s="17" t="s">
        <v>30453</v>
      </c>
      <c r="B11091" s="17" t="s">
        <v>70</v>
      </c>
      <c r="C11091" s="17" t="s">
        <v>71</v>
      </c>
      <c r="D11091" t="s">
        <v>30454</v>
      </c>
      <c r="F11091" t="s">
        <v>30455</v>
      </c>
      <c r="J11091" s="17" t="s">
        <v>30456</v>
      </c>
      <c r="K11091" s="18" t="s">
        <v>30457</v>
      </c>
      <c r="N11091" s="17" t="s">
        <v>81</v>
      </c>
      <c r="O11091" t="s">
        <v>261</v>
      </c>
      <c r="U11091" s="17"/>
      <c r="V11091" s="18" t="s">
        <v>30457</v>
      </c>
      <c r="W11091" t="s">
        <v>30458</v>
      </c>
      <c r="Y11091" t="s">
        <v>515</v>
      </c>
      <c r="AA11091" t="s">
        <v>1614</v>
      </c>
      <c r="AB11091" t="s">
        <v>119</v>
      </c>
    </row>
    <row r="11092" ht="15" customHeight="1" spans="1:23" x14ac:dyDescent="0.25">
      <c r="A11092" s="17" t="s">
        <v>30459</v>
      </c>
      <c r="B11092" s="17" t="s">
        <v>70</v>
      </c>
      <c r="C11092" s="17" t="s">
        <v>71</v>
      </c>
      <c r="D11092" t="s">
        <v>30460</v>
      </c>
      <c r="F11092" t="s">
        <v>30460</v>
      </c>
      <c r="K11092" s="18">
        <f>6281388333111</f>
        <v>6281388333111</v>
      </c>
      <c r="N11092" s="17" t="s">
        <v>81</v>
      </c>
      <c r="U11092" s="17"/>
      <c r="V11092" s="18">
        <f>6281388333111</f>
        <v>6281388333111</v>
      </c>
      <c r="W11092" t="s">
        <v>30461</v>
      </c>
    </row>
    <row r="11093" ht="15" customHeight="1" spans="1:22" x14ac:dyDescent="0.25">
      <c r="A11093" s="17" t="s">
        <v>30462</v>
      </c>
      <c r="B11093" s="17" t="s">
        <v>70</v>
      </c>
      <c r="C11093" s="17" t="s">
        <v>71</v>
      </c>
      <c r="D11093" t="s">
        <v>30463</v>
      </c>
      <c r="F11093" t="s">
        <v>1064</v>
      </c>
      <c r="K11093" s="18">
        <f>62811110045</f>
        <v>62811110045</v>
      </c>
      <c r="N11093" s="17" t="s">
        <v>77</v>
      </c>
      <c r="V11093" s="18">
        <f>62811110045</f>
        <v>62811110045</v>
      </c>
    </row>
    <row r="11094" ht="15" customHeight="1" spans="1:22" x14ac:dyDescent="0.25">
      <c r="A11094" s="17" t="s">
        <v>30464</v>
      </c>
      <c r="B11094" s="17" t="s">
        <v>70</v>
      </c>
      <c r="C11094" s="17" t="s">
        <v>71</v>
      </c>
      <c r="D11094" t="s">
        <v>30465</v>
      </c>
      <c r="F11094" t="s">
        <v>30465</v>
      </c>
      <c r="K11094" s="18">
        <f>6285714822200</f>
        <v>6285714822200</v>
      </c>
      <c r="N11094" s="17" t="s">
        <v>81</v>
      </c>
      <c r="V11094" s="18">
        <f>6285714822200</f>
        <v>6285714822200</v>
      </c>
    </row>
    <row r="11095" ht="15" customHeight="1" spans="1:28" x14ac:dyDescent="0.25">
      <c r="A11095" s="17" t="s">
        <v>30466</v>
      </c>
      <c r="B11095" s="17" t="s">
        <v>70</v>
      </c>
      <c r="C11095" s="17" t="s">
        <v>71</v>
      </c>
      <c r="D11095" t="s">
        <v>30467</v>
      </c>
      <c r="F11095" t="s">
        <v>30468</v>
      </c>
      <c r="J11095" s="17" t="s">
        <v>30469</v>
      </c>
      <c r="K11095" s="18" t="s">
        <v>30470</v>
      </c>
      <c r="N11095" s="17" t="s">
        <v>77</v>
      </c>
      <c r="O11095" t="s">
        <v>199</v>
      </c>
      <c r="U11095" s="17"/>
      <c r="V11095" s="18" t="s">
        <v>30470</v>
      </c>
      <c r="W11095" t="s">
        <v>30471</v>
      </c>
      <c r="Y11095" t="s">
        <v>30471</v>
      </c>
      <c r="AA11095" t="s">
        <v>115</v>
      </c>
      <c r="AB11095" t="s">
        <v>119</v>
      </c>
    </row>
    <row r="11096" ht="15" customHeight="1" spans="1:22" x14ac:dyDescent="0.25">
      <c r="A11096" s="17" t="s">
        <v>30472</v>
      </c>
      <c r="B11096" s="17" t="s">
        <v>70</v>
      </c>
      <c r="C11096" s="17" t="s">
        <v>71</v>
      </c>
      <c r="D11096" t="s">
        <v>30473</v>
      </c>
      <c r="F11096" t="s">
        <v>2159</v>
      </c>
      <c r="K11096" s="18">
        <f>6281904114823</f>
        <v>6281904114823</v>
      </c>
      <c r="N11096" s="17" t="s">
        <v>81</v>
      </c>
      <c r="V11096" s="18">
        <f>6281904114823</f>
        <v>6281904114823</v>
      </c>
    </row>
    <row r="11097" ht="15" customHeight="1" spans="1:22" x14ac:dyDescent="0.25">
      <c r="A11097" s="17" t="s">
        <v>30474</v>
      </c>
      <c r="B11097" s="17" t="s">
        <v>70</v>
      </c>
      <c r="C11097" s="17" t="s">
        <v>71</v>
      </c>
      <c r="D11097" t="s">
        <v>30475</v>
      </c>
      <c r="F11097" t="s">
        <v>30475</v>
      </c>
      <c r="K11097" s="18">
        <f>62817719565</f>
        <v>62817719565</v>
      </c>
      <c r="N11097" s="17" t="s">
        <v>77</v>
      </c>
      <c r="V11097" s="18">
        <f>62817719565</f>
        <v>62817719565</v>
      </c>
    </row>
    <row r="11098" ht="15" customHeight="1" spans="1:25" x14ac:dyDescent="0.25">
      <c r="A11098" s="17" t="s">
        <v>30476</v>
      </c>
      <c r="B11098" s="17" t="s">
        <v>70</v>
      </c>
      <c r="C11098" s="17" t="s">
        <v>71</v>
      </c>
      <c r="D11098" t="s">
        <v>30475</v>
      </c>
      <c r="F11098" t="s">
        <v>30477</v>
      </c>
      <c r="J11098" s="17" t="s">
        <v>30478</v>
      </c>
      <c r="K11098" s="18">
        <f>62811286594</f>
        <v>62811286594</v>
      </c>
      <c r="N11098" s="17" t="s">
        <v>77</v>
      </c>
      <c r="U11098" s="17"/>
      <c r="V11098" s="18">
        <f>62811286594</f>
        <v>62811286594</v>
      </c>
      <c r="W11098" t="s">
        <v>30479</v>
      </c>
      <c r="Y11098" s="17" t="s">
        <v>1968</v>
      </c>
    </row>
    <row r="11099" ht="15" customHeight="1" spans="1:22" x14ac:dyDescent="0.25">
      <c r="A11099" s="17" t="s">
        <v>30480</v>
      </c>
      <c r="B11099" s="17" t="s">
        <v>70</v>
      </c>
      <c r="C11099" s="17" t="s">
        <v>71</v>
      </c>
      <c r="D11099" t="s">
        <v>30481</v>
      </c>
      <c r="F11099" t="s">
        <v>30482</v>
      </c>
      <c r="K11099" s="18">
        <f>6281212000237</f>
        <v>6281212000237</v>
      </c>
      <c r="N11099" s="17" t="s">
        <v>77</v>
      </c>
      <c r="V11099" s="18">
        <f>6281212000237</f>
        <v>6281212000237</v>
      </c>
    </row>
    <row r="11100" ht="15" customHeight="1" spans="1:22" x14ac:dyDescent="0.25">
      <c r="A11100" s="17" t="s">
        <v>30483</v>
      </c>
      <c r="B11100" s="17" t="s">
        <v>70</v>
      </c>
      <c r="C11100" s="17" t="s">
        <v>71</v>
      </c>
      <c r="D11100" t="s">
        <v>30484</v>
      </c>
      <c r="F11100" t="s">
        <v>30485</v>
      </c>
      <c r="K11100" s="18">
        <f>62816829828</f>
        <v>62816829828</v>
      </c>
      <c r="N11100" s="17" t="s">
        <v>77</v>
      </c>
      <c r="V11100" s="18">
        <f>62816829828</f>
        <v>62816829828</v>
      </c>
    </row>
    <row r="11101" ht="15" customHeight="1" spans="1:22" x14ac:dyDescent="0.25">
      <c r="A11101" s="17" t="s">
        <v>30486</v>
      </c>
      <c r="B11101" s="17" t="s">
        <v>70</v>
      </c>
      <c r="C11101" s="17" t="s">
        <v>71</v>
      </c>
      <c r="D11101" t="s">
        <v>30487</v>
      </c>
      <c r="F11101" t="s">
        <v>30487</v>
      </c>
      <c r="K11101" s="18">
        <f>6287777104380</f>
        <v>6287777104380</v>
      </c>
      <c r="N11101" s="17" t="s">
        <v>77</v>
      </c>
      <c r="V11101" s="18">
        <f>6287777104380</f>
        <v>6287777104380</v>
      </c>
    </row>
    <row r="11102" ht="15" customHeight="1" spans="1:22" x14ac:dyDescent="0.25">
      <c r="A11102" s="17" t="s">
        <v>30488</v>
      </c>
      <c r="B11102" s="17" t="s">
        <v>70</v>
      </c>
      <c r="C11102" s="17" t="s">
        <v>71</v>
      </c>
      <c r="D11102" t="s">
        <v>1525</v>
      </c>
      <c r="F11102" t="s">
        <v>4621</v>
      </c>
      <c r="K11102" s="18">
        <f>6281289796767</f>
        <v>6281289796767</v>
      </c>
      <c r="N11102" s="17" t="s">
        <v>81</v>
      </c>
      <c r="V11102" s="18">
        <f>6281289796767</f>
        <v>6281289796767</v>
      </c>
    </row>
    <row r="11103" ht="15" customHeight="1" spans="1:22" x14ac:dyDescent="0.25">
      <c r="A11103" s="17" t="s">
        <v>30489</v>
      </c>
      <c r="B11103" s="17" t="s">
        <v>70</v>
      </c>
      <c r="C11103" s="17" t="s">
        <v>71</v>
      </c>
      <c r="D11103" t="s">
        <v>1070</v>
      </c>
      <c r="F11103" t="s">
        <v>1070</v>
      </c>
      <c r="K11103" s="18">
        <f>62811710777</f>
        <v>62811710777</v>
      </c>
      <c r="N11103" s="17" t="s">
        <v>81</v>
      </c>
      <c r="V11103" s="18">
        <f>62811710777</f>
        <v>62811710777</v>
      </c>
    </row>
    <row r="11104" ht="15" customHeight="1" spans="1:22" x14ac:dyDescent="0.25">
      <c r="A11104" s="17" t="s">
        <v>30490</v>
      </c>
      <c r="B11104" s="17" t="s">
        <v>70</v>
      </c>
      <c r="C11104" s="17" t="s">
        <v>71</v>
      </c>
      <c r="D11104" t="s">
        <v>1070</v>
      </c>
      <c r="F11104" t="s">
        <v>1070</v>
      </c>
      <c r="K11104" s="18">
        <f>62811880201</f>
        <v>62811880201</v>
      </c>
      <c r="N11104" s="17" t="s">
        <v>77</v>
      </c>
      <c r="V11104" s="18">
        <f>62811880201</f>
        <v>62811880201</v>
      </c>
    </row>
    <row r="11105" ht="15" customHeight="1" spans="1:22" x14ac:dyDescent="0.25">
      <c r="A11105" s="17" t="s">
        <v>30491</v>
      </c>
      <c r="B11105" s="17" t="s">
        <v>70</v>
      </c>
      <c r="C11105" s="17" t="s">
        <v>71</v>
      </c>
      <c r="D11105" t="s">
        <v>1070</v>
      </c>
      <c r="F11105" t="s">
        <v>30492</v>
      </c>
      <c r="K11105" s="18">
        <f>62811144779</f>
        <v>62811144779</v>
      </c>
      <c r="N11105" s="17" t="s">
        <v>81</v>
      </c>
      <c r="V11105" s="18">
        <f>62811144779</f>
        <v>62811144779</v>
      </c>
    </row>
    <row r="11106" ht="15" customHeight="1" spans="1:22" x14ac:dyDescent="0.25">
      <c r="A11106" s="17" t="s">
        <v>30493</v>
      </c>
      <c r="B11106" s="17" t="s">
        <v>70</v>
      </c>
      <c r="C11106" s="17" t="s">
        <v>71</v>
      </c>
      <c r="D11106" t="s">
        <v>1070</v>
      </c>
      <c r="F11106" t="s">
        <v>871</v>
      </c>
      <c r="K11106" s="18">
        <f>62811335352</f>
        <v>62811335352</v>
      </c>
      <c r="N11106" s="17" t="s">
        <v>74</v>
      </c>
      <c r="V11106" s="18">
        <f>62811335352</f>
        <v>62811335352</v>
      </c>
    </row>
    <row r="11107" ht="15" customHeight="1" spans="1:22" x14ac:dyDescent="0.25">
      <c r="A11107" s="17" t="s">
        <v>30494</v>
      </c>
      <c r="B11107" s="17" t="s">
        <v>70</v>
      </c>
      <c r="C11107" s="17" t="s">
        <v>71</v>
      </c>
      <c r="D11107" t="s">
        <v>1070</v>
      </c>
      <c r="F11107" t="s">
        <v>301</v>
      </c>
      <c r="K11107" s="18">
        <f>628128289899</f>
        <v>628128289899</v>
      </c>
      <c r="N11107" s="17" t="s">
        <v>81</v>
      </c>
      <c r="V11107" s="18">
        <f>628128289899</f>
        <v>628128289899</v>
      </c>
    </row>
    <row r="11108" ht="15" customHeight="1" spans="1:22" x14ac:dyDescent="0.25">
      <c r="A11108" s="17" t="s">
        <v>30495</v>
      </c>
      <c r="B11108" s="17" t="s">
        <v>70</v>
      </c>
      <c r="C11108" s="17" t="s">
        <v>71</v>
      </c>
      <c r="D11108" t="s">
        <v>30496</v>
      </c>
      <c r="F11108" t="s">
        <v>8225</v>
      </c>
      <c r="K11108" s="18">
        <f>628158886347</f>
        <v>628158886347</v>
      </c>
      <c r="N11108" s="17" t="s">
        <v>77</v>
      </c>
      <c r="V11108" s="18">
        <f>628158886347</f>
        <v>628158886347</v>
      </c>
    </row>
    <row r="11109" ht="15" customHeight="1" spans="1:22" x14ac:dyDescent="0.25">
      <c r="A11109" s="17" t="s">
        <v>30497</v>
      </c>
      <c r="B11109" s="17" t="s">
        <v>70</v>
      </c>
      <c r="C11109" s="17" t="s">
        <v>71</v>
      </c>
      <c r="D11109" t="s">
        <v>30496</v>
      </c>
      <c r="F11109" t="s">
        <v>30498</v>
      </c>
      <c r="K11109" s="18">
        <f>6282188812218</f>
        <v>6282188812218</v>
      </c>
      <c r="N11109" s="17" t="s">
        <v>74</v>
      </c>
      <c r="V11109" s="18">
        <f>6282188812218</f>
        <v>6282188812218</v>
      </c>
    </row>
    <row r="11110" ht="15" customHeight="1" spans="1:27" x14ac:dyDescent="0.25">
      <c r="A11110" s="17" t="s">
        <v>30499</v>
      </c>
      <c r="B11110" s="17" t="s">
        <v>70</v>
      </c>
      <c r="C11110" s="17" t="s">
        <v>71</v>
      </c>
      <c r="D11110" t="s">
        <v>30500</v>
      </c>
      <c r="F11110" t="s">
        <v>24781</v>
      </c>
      <c r="K11110" s="18">
        <f>62811818731</f>
        <v>62811818731</v>
      </c>
      <c r="N11110" s="17" t="s">
        <v>81</v>
      </c>
      <c r="U11110" s="17"/>
      <c r="V11110" s="18">
        <f>62811818731</f>
        <v>62811818731</v>
      </c>
      <c r="W11110" t="s">
        <v>30501</v>
      </c>
      <c r="Y11110" s="17" t="s">
        <v>96</v>
      </c>
      <c r="AA11110" s="17">
        <v>12350</v>
      </c>
    </row>
    <row r="11111" ht="15" customHeight="1" spans="1:22" x14ac:dyDescent="0.25">
      <c r="A11111" s="17" t="s">
        <v>30502</v>
      </c>
      <c r="B11111" s="17" t="s">
        <v>70</v>
      </c>
      <c r="C11111" s="17" t="s">
        <v>71</v>
      </c>
      <c r="D11111" t="s">
        <v>30503</v>
      </c>
      <c r="F11111" t="s">
        <v>30503</v>
      </c>
      <c r="K11111" s="18">
        <f>62811360920</f>
        <v>62811360920</v>
      </c>
      <c r="N11111" s="17" t="s">
        <v>77</v>
      </c>
      <c r="V11111" s="18">
        <f>62811360920</f>
        <v>62811360920</v>
      </c>
    </row>
    <row r="11112" ht="15" customHeight="1" spans="1:22" x14ac:dyDescent="0.25">
      <c r="A11112" s="17" t="s">
        <v>30504</v>
      </c>
      <c r="B11112" s="17" t="s">
        <v>70</v>
      </c>
      <c r="C11112" s="17" t="s">
        <v>71</v>
      </c>
      <c r="D11112" t="s">
        <v>30505</v>
      </c>
      <c r="F11112" t="s">
        <v>30506</v>
      </c>
      <c r="K11112" s="18">
        <f>62816919130</f>
        <v>62816919130</v>
      </c>
      <c r="N11112" s="17" t="s">
        <v>77</v>
      </c>
      <c r="V11112" s="18">
        <f>62816919130</f>
        <v>62816919130</v>
      </c>
    </row>
    <row r="11113" ht="15" customHeight="1" spans="1:22" x14ac:dyDescent="0.25">
      <c r="A11113" s="17" t="s">
        <v>30507</v>
      </c>
      <c r="B11113" s="17" t="s">
        <v>70</v>
      </c>
      <c r="C11113" s="17" t="s">
        <v>71</v>
      </c>
      <c r="D11113" t="s">
        <v>30508</v>
      </c>
      <c r="F11113" t="s">
        <v>30508</v>
      </c>
      <c r="K11113" s="18">
        <f>6285819815343</f>
        <v>6285819815343</v>
      </c>
      <c r="N11113" s="17" t="s">
        <v>77</v>
      </c>
      <c r="V11113" s="18">
        <f>6285819815343</f>
        <v>6285819815343</v>
      </c>
    </row>
    <row r="11114" ht="15" customHeight="1" spans="1:23" x14ac:dyDescent="0.25">
      <c r="A11114" s="17" t="s">
        <v>30509</v>
      </c>
      <c r="B11114" s="17" t="s">
        <v>70</v>
      </c>
      <c r="C11114" s="17" t="s">
        <v>71</v>
      </c>
      <c r="D11114" t="s">
        <v>30508</v>
      </c>
      <c r="F11114" t="s">
        <v>3155</v>
      </c>
      <c r="J11114" s="17" t="s">
        <v>30510</v>
      </c>
      <c r="K11114" s="18">
        <f>6281219013330</f>
        <v>6281219013330</v>
      </c>
      <c r="N11114" s="17" t="s">
        <v>81</v>
      </c>
      <c r="U11114" s="17"/>
      <c r="V11114" s="18">
        <f>6281219013330</f>
        <v>6281219013330</v>
      </c>
      <c r="W11114" t="s">
        <v>30511</v>
      </c>
    </row>
    <row r="11115" ht="15" customHeight="1" spans="1:28" x14ac:dyDescent="0.25">
      <c r="A11115" s="17" t="s">
        <v>30512</v>
      </c>
      <c r="B11115" s="17" t="s">
        <v>70</v>
      </c>
      <c r="C11115" s="17" t="s">
        <v>71</v>
      </c>
      <c r="D11115" t="s">
        <v>27565</v>
      </c>
      <c r="F11115" t="s">
        <v>30513</v>
      </c>
      <c r="J11115" t="s">
        <v>115</v>
      </c>
      <c r="K11115" s="18" t="s">
        <v>30514</v>
      </c>
      <c r="N11115" s="17" t="s">
        <v>77</v>
      </c>
      <c r="O11115" t="s">
        <v>117</v>
      </c>
      <c r="U11115" s="17"/>
      <c r="V11115" s="18" t="s">
        <v>30514</v>
      </c>
      <c r="W11115" t="s">
        <v>30515</v>
      </c>
      <c r="Y11115" t="s">
        <v>190</v>
      </c>
      <c r="AA11115" t="s">
        <v>118</v>
      </c>
      <c r="AB11115" t="s">
        <v>119</v>
      </c>
    </row>
    <row r="11116" ht="15" customHeight="1" spans="1:22" x14ac:dyDescent="0.25">
      <c r="A11116" s="17" t="s">
        <v>30516</v>
      </c>
      <c r="B11116" s="17" t="s">
        <v>70</v>
      </c>
      <c r="C11116" s="17" t="s">
        <v>71</v>
      </c>
      <c r="D11116" t="s">
        <v>13362</v>
      </c>
      <c r="F11116" t="s">
        <v>13362</v>
      </c>
      <c r="K11116" s="18">
        <f>628121288016</f>
        <v>628121288016</v>
      </c>
      <c r="N11116" s="17" t="s">
        <v>77</v>
      </c>
      <c r="V11116" s="18">
        <f>628121288016</f>
        <v>628121288016</v>
      </c>
    </row>
    <row r="11117" ht="15" customHeight="1" spans="1:27" x14ac:dyDescent="0.25">
      <c r="A11117" s="17" t="s">
        <v>30517</v>
      </c>
      <c r="B11117" s="17" t="s">
        <v>70</v>
      </c>
      <c r="C11117" s="17" t="s">
        <v>71</v>
      </c>
      <c r="D11117" t="s">
        <v>13362</v>
      </c>
      <c r="F11117" t="s">
        <v>28303</v>
      </c>
      <c r="K11117" s="18">
        <v>618285464</v>
      </c>
      <c r="N11117" s="17" t="s">
        <v>77</v>
      </c>
      <c r="U11117" s="17"/>
      <c r="V11117" s="18">
        <v>618285464</v>
      </c>
      <c r="W11117" t="s">
        <v>30518</v>
      </c>
      <c r="Y11117" s="17" t="s">
        <v>30519</v>
      </c>
      <c r="AA11117" s="17">
        <v>88200</v>
      </c>
    </row>
    <row r="11118" ht="15" customHeight="1" spans="1:22" x14ac:dyDescent="0.25">
      <c r="A11118" s="17" t="s">
        <v>30520</v>
      </c>
      <c r="B11118" s="17" t="s">
        <v>70</v>
      </c>
      <c r="C11118" s="17" t="s">
        <v>71</v>
      </c>
      <c r="D11118" t="s">
        <v>13362</v>
      </c>
      <c r="F11118" t="s">
        <v>414</v>
      </c>
      <c r="K11118" s="18">
        <f>62811079902</f>
        <v>62811079902</v>
      </c>
      <c r="N11118" s="17" t="s">
        <v>77</v>
      </c>
      <c r="V11118" s="18">
        <f>62811079902</f>
        <v>62811079902</v>
      </c>
    </row>
    <row r="11119" ht="15" customHeight="1" spans="1:28" x14ac:dyDescent="0.25">
      <c r="A11119" s="17" t="s">
        <v>30521</v>
      </c>
      <c r="B11119" s="17" t="s">
        <v>70</v>
      </c>
      <c r="C11119" s="17" t="s">
        <v>71</v>
      </c>
      <c r="D11119" t="s">
        <v>13362</v>
      </c>
      <c r="F11119" t="s">
        <v>30522</v>
      </c>
      <c r="J11119" s="17" t="s">
        <v>30523</v>
      </c>
      <c r="K11119" s="18" t="s">
        <v>30524</v>
      </c>
      <c r="N11119" s="17" t="s">
        <v>77</v>
      </c>
      <c r="O11119" t="s">
        <v>145</v>
      </c>
      <c r="V11119" s="18" t="s">
        <v>30524</v>
      </c>
      <c r="Y11119" t="s">
        <v>1553</v>
      </c>
      <c r="AA11119" t="s">
        <v>115</v>
      </c>
      <c r="AB11119" t="s">
        <v>119</v>
      </c>
    </row>
    <row r="11120" ht="15" customHeight="1" spans="1:25" x14ac:dyDescent="0.25">
      <c r="A11120" s="17" t="s">
        <v>30525</v>
      </c>
      <c r="B11120" s="17" t="s">
        <v>70</v>
      </c>
      <c r="C11120" s="17" t="s">
        <v>71</v>
      </c>
      <c r="D11120" t="s">
        <v>13362</v>
      </c>
      <c r="F11120" t="s">
        <v>30526</v>
      </c>
      <c r="J11120" s="17" t="s">
        <v>30527</v>
      </c>
      <c r="K11120" s="18">
        <f>60169001014</f>
        <v>60169001014</v>
      </c>
      <c r="N11120" s="17" t="s">
        <v>77</v>
      </c>
      <c r="V11120" s="18">
        <f>60169001014</f>
        <v>60169001014</v>
      </c>
      <c r="Y11120" s="17" t="s">
        <v>7229</v>
      </c>
    </row>
    <row r="11121" ht="15" customHeight="1" spans="1:28" x14ac:dyDescent="0.25">
      <c r="A11121" s="17" t="s">
        <v>30528</v>
      </c>
      <c r="B11121" s="17" t="s">
        <v>70</v>
      </c>
      <c r="C11121" s="17" t="s">
        <v>71</v>
      </c>
      <c r="D11121" t="s">
        <v>13362</v>
      </c>
      <c r="F11121" t="s">
        <v>5307</v>
      </c>
      <c r="J11121" s="17" t="s">
        <v>30529</v>
      </c>
      <c r="K11121" s="18" t="s">
        <v>30530</v>
      </c>
      <c r="N11121" s="17" t="s">
        <v>77</v>
      </c>
      <c r="O11121" t="s">
        <v>145</v>
      </c>
      <c r="U11121" s="17"/>
      <c r="V11121" s="18" t="s">
        <v>30530</v>
      </c>
      <c r="W11121" t="s">
        <v>30531</v>
      </c>
      <c r="Y11121" s="17" t="s">
        <v>90</v>
      </c>
      <c r="AA11121" s="17" t="s">
        <v>118</v>
      </c>
      <c r="AB11121" t="s">
        <v>119</v>
      </c>
    </row>
    <row r="11122" ht="15" customHeight="1" spans="1:22" x14ac:dyDescent="0.25">
      <c r="A11122" s="17" t="s">
        <v>30532</v>
      </c>
      <c r="B11122" s="17" t="s">
        <v>70</v>
      </c>
      <c r="C11122" s="17" t="s">
        <v>71</v>
      </c>
      <c r="D11122" t="s">
        <v>13362</v>
      </c>
      <c r="F11122" t="s">
        <v>2566</v>
      </c>
      <c r="K11122" s="18">
        <f>6285881116667</f>
        <v>6285881116667</v>
      </c>
      <c r="N11122" s="17" t="s">
        <v>77</v>
      </c>
      <c r="V11122" s="18">
        <f>6285881116667</f>
        <v>6285881116667</v>
      </c>
    </row>
    <row r="11123" ht="15" customHeight="1" spans="1:28" x14ac:dyDescent="0.25">
      <c r="A11123" s="17" t="s">
        <v>30533</v>
      </c>
      <c r="B11123" s="17" t="s">
        <v>70</v>
      </c>
      <c r="C11123" s="17" t="s">
        <v>71</v>
      </c>
      <c r="D11123" t="s">
        <v>13362</v>
      </c>
      <c r="F11123" t="s">
        <v>14482</v>
      </c>
      <c r="J11123" s="17" t="s">
        <v>30534</v>
      </c>
      <c r="K11123" s="18" t="s">
        <v>30535</v>
      </c>
      <c r="N11123" s="17" t="s">
        <v>77</v>
      </c>
      <c r="O11123" t="s">
        <v>199</v>
      </c>
      <c r="U11123" s="17"/>
      <c r="V11123" s="18" t="s">
        <v>30535</v>
      </c>
      <c r="W11123" t="s">
        <v>30536</v>
      </c>
      <c r="Y11123" t="s">
        <v>500</v>
      </c>
      <c r="AA11123" t="s">
        <v>501</v>
      </c>
      <c r="AB11123" t="s">
        <v>119</v>
      </c>
    </row>
    <row r="11124" ht="15" customHeight="1" spans="1:25" x14ac:dyDescent="0.25">
      <c r="A11124" s="17" t="s">
        <v>30537</v>
      </c>
      <c r="B11124" s="17" t="s">
        <v>70</v>
      </c>
      <c r="C11124" s="17" t="s">
        <v>71</v>
      </c>
      <c r="D11124" t="s">
        <v>13362</v>
      </c>
      <c r="F11124" t="s">
        <v>30538</v>
      </c>
      <c r="K11124" s="18">
        <f>62811942090</f>
        <v>62811942090</v>
      </c>
      <c r="N11124" s="17" t="s">
        <v>74</v>
      </c>
      <c r="V11124" s="18">
        <f>62811942090</f>
        <v>62811942090</v>
      </c>
      <c r="Y11124" s="17" t="s">
        <v>1157</v>
      </c>
    </row>
    <row r="11125" ht="15" customHeight="1" spans="1:28" x14ac:dyDescent="0.25">
      <c r="A11125" s="17" t="s">
        <v>30539</v>
      </c>
      <c r="B11125" s="17" t="s">
        <v>70</v>
      </c>
      <c r="C11125" s="17" t="s">
        <v>71</v>
      </c>
      <c r="D11125" t="s">
        <v>30540</v>
      </c>
      <c r="F11125" t="s">
        <v>8225</v>
      </c>
      <c r="J11125" t="s">
        <v>115</v>
      </c>
      <c r="K11125" s="18" t="s">
        <v>30541</v>
      </c>
      <c r="N11125" s="17" t="s">
        <v>77</v>
      </c>
      <c r="O11125" t="s">
        <v>117</v>
      </c>
      <c r="V11125" s="18" t="s">
        <v>30541</v>
      </c>
      <c r="Y11125" t="s">
        <v>115</v>
      </c>
      <c r="AA11125" t="s">
        <v>115</v>
      </c>
      <c r="AB11125" t="s">
        <v>119</v>
      </c>
    </row>
    <row r="11126" ht="15" customHeight="1" spans="1:25" x14ac:dyDescent="0.25">
      <c r="A11126" s="17" t="s">
        <v>30542</v>
      </c>
      <c r="B11126" s="17" t="s">
        <v>70</v>
      </c>
      <c r="C11126" s="17" t="s">
        <v>71</v>
      </c>
      <c r="D11126" t="s">
        <v>13362</v>
      </c>
      <c r="F11126" t="s">
        <v>18294</v>
      </c>
      <c r="K11126" s="18">
        <f>6287878219803</f>
        <v>6287878219803</v>
      </c>
      <c r="N11126" s="17" t="s">
        <v>81</v>
      </c>
      <c r="U11126" s="17"/>
      <c r="V11126" s="18">
        <f>6287878219803</f>
        <v>6287878219803</v>
      </c>
      <c r="W11126" t="s">
        <v>30543</v>
      </c>
      <c r="Y11126" s="17" t="s">
        <v>96</v>
      </c>
    </row>
    <row r="11127" ht="15" customHeight="1" spans="1:22" x14ac:dyDescent="0.25">
      <c r="A11127" s="17" t="s">
        <v>30544</v>
      </c>
      <c r="B11127" s="17" t="s">
        <v>70</v>
      </c>
      <c r="C11127" s="17" t="s">
        <v>71</v>
      </c>
      <c r="D11127" t="s">
        <v>13362</v>
      </c>
      <c r="F11127" t="s">
        <v>30545</v>
      </c>
      <c r="K11127" s="18">
        <f>6281316261826</f>
        <v>6281316261826</v>
      </c>
      <c r="N11127" s="17" t="s">
        <v>77</v>
      </c>
      <c r="V11127" s="18">
        <f>6281316261826</f>
        <v>6281316261826</v>
      </c>
    </row>
    <row r="11128" ht="15" customHeight="1" spans="1:28" x14ac:dyDescent="0.25">
      <c r="A11128" s="17" t="s">
        <v>30546</v>
      </c>
      <c r="B11128" s="17" t="s">
        <v>70</v>
      </c>
      <c r="C11128" s="17" t="s">
        <v>71</v>
      </c>
      <c r="D11128" t="s">
        <v>13362</v>
      </c>
      <c r="F11128" t="s">
        <v>30547</v>
      </c>
      <c r="J11128" s="17" t="s">
        <v>30548</v>
      </c>
      <c r="K11128" s="18" t="s">
        <v>30549</v>
      </c>
      <c r="N11128" s="17" t="s">
        <v>77</v>
      </c>
      <c r="O11128" t="s">
        <v>117</v>
      </c>
      <c r="U11128" s="17"/>
      <c r="V11128" s="18" t="s">
        <v>30549</v>
      </c>
      <c r="W11128" t="s">
        <v>30550</v>
      </c>
      <c r="Y11128" t="s">
        <v>378</v>
      </c>
      <c r="AA11128" s="17" t="s">
        <v>118</v>
      </c>
      <c r="AB11128" t="s">
        <v>119</v>
      </c>
    </row>
    <row r="11129" ht="15" customHeight="1" spans="1:22" x14ac:dyDescent="0.25">
      <c r="A11129" s="17" t="s">
        <v>30551</v>
      </c>
      <c r="B11129" s="17" t="s">
        <v>70</v>
      </c>
      <c r="C11129" s="17" t="s">
        <v>71</v>
      </c>
      <c r="D11129" t="s">
        <v>13362</v>
      </c>
      <c r="F11129" t="s">
        <v>30552</v>
      </c>
      <c r="K11129" s="18">
        <f>628116892000</f>
        <v>628116892000</v>
      </c>
      <c r="N11129" s="17" t="s">
        <v>77</v>
      </c>
      <c r="V11129" s="18">
        <f>628116892000</f>
        <v>628116892000</v>
      </c>
    </row>
    <row r="11130" ht="15" customHeight="1" spans="1:23" x14ac:dyDescent="0.25">
      <c r="A11130" s="17" t="s">
        <v>30553</v>
      </c>
      <c r="B11130" s="17" t="s">
        <v>70</v>
      </c>
      <c r="C11130" s="17" t="s">
        <v>71</v>
      </c>
      <c r="D11130" t="s">
        <v>13362</v>
      </c>
      <c r="F11130" t="s">
        <v>30554</v>
      </c>
      <c r="K11130" s="18">
        <f>6281228633899</f>
        <v>6281228633899</v>
      </c>
      <c r="N11130" s="17" t="s">
        <v>81</v>
      </c>
      <c r="U11130" s="17"/>
      <c r="V11130" s="18">
        <f>6281228633899</f>
        <v>6281228633899</v>
      </c>
      <c r="W11130" t="s">
        <v>30555</v>
      </c>
    </row>
    <row r="11131" ht="15" customHeight="1" spans="1:22" x14ac:dyDescent="0.25">
      <c r="A11131" s="17" t="s">
        <v>30556</v>
      </c>
      <c r="B11131" s="17" t="s">
        <v>70</v>
      </c>
      <c r="C11131" s="17" t="s">
        <v>71</v>
      </c>
      <c r="D11131" t="s">
        <v>13362</v>
      </c>
      <c r="F11131" t="s">
        <v>30557</v>
      </c>
      <c r="K11131" s="18">
        <f>62811964817</f>
        <v>62811964817</v>
      </c>
      <c r="N11131" s="17" t="s">
        <v>77</v>
      </c>
      <c r="V11131" s="18">
        <f>62811964817</f>
        <v>62811964817</v>
      </c>
    </row>
    <row r="11132" ht="15" customHeight="1" spans="1:23" x14ac:dyDescent="0.25">
      <c r="A11132" s="17" t="s">
        <v>30558</v>
      </c>
      <c r="B11132" s="17" t="s">
        <v>70</v>
      </c>
      <c r="C11132" s="17" t="s">
        <v>71</v>
      </c>
      <c r="D11132" t="s">
        <v>13362</v>
      </c>
      <c r="F11132" t="s">
        <v>12108</v>
      </c>
      <c r="K11132" s="18">
        <f>6285899459945</f>
        <v>6285899459945</v>
      </c>
      <c r="N11132" s="17" t="s">
        <v>81</v>
      </c>
      <c r="U11132" s="17"/>
      <c r="V11132" s="18">
        <f>6285899459945</f>
        <v>6285899459945</v>
      </c>
      <c r="W11132" t="s">
        <v>30559</v>
      </c>
    </row>
    <row r="11133" ht="15" customHeight="1" spans="1:28" x14ac:dyDescent="0.25">
      <c r="A11133" s="17" t="s">
        <v>30560</v>
      </c>
      <c r="B11133" s="17" t="s">
        <v>70</v>
      </c>
      <c r="C11133" s="17" t="s">
        <v>71</v>
      </c>
      <c r="D11133" t="s">
        <v>30561</v>
      </c>
      <c r="F11133" t="s">
        <v>30562</v>
      </c>
      <c r="J11133" s="17" t="s">
        <v>30563</v>
      </c>
      <c r="K11133" s="18" t="s">
        <v>30564</v>
      </c>
      <c r="N11133" s="17" t="s">
        <v>77</v>
      </c>
      <c r="O11133" t="s">
        <v>117</v>
      </c>
      <c r="U11133" s="17"/>
      <c r="V11133" s="18" t="s">
        <v>30564</v>
      </c>
      <c r="W11133" t="s">
        <v>30565</v>
      </c>
      <c r="Y11133" s="17" t="s">
        <v>90</v>
      </c>
      <c r="AA11133" s="17" t="s">
        <v>118</v>
      </c>
      <c r="AB11133" t="s">
        <v>119</v>
      </c>
    </row>
    <row r="11134" ht="15" customHeight="1" spans="1:22" x14ac:dyDescent="0.25">
      <c r="A11134" s="17" t="s">
        <v>30566</v>
      </c>
      <c r="B11134" s="17" t="s">
        <v>70</v>
      </c>
      <c r="C11134" s="17" t="s">
        <v>71</v>
      </c>
      <c r="D11134" t="s">
        <v>13362</v>
      </c>
      <c r="F11134" t="s">
        <v>30567</v>
      </c>
      <c r="K11134" s="18">
        <f>6281387300873</f>
        <v>6281387300873</v>
      </c>
      <c r="N11134" s="17" t="s">
        <v>81</v>
      </c>
      <c r="V11134" s="18">
        <f>6281387300873</f>
        <v>6281387300873</v>
      </c>
    </row>
    <row r="11135" ht="15" customHeight="1" spans="1:22" x14ac:dyDescent="0.25">
      <c r="A11135" s="17" t="s">
        <v>30568</v>
      </c>
      <c r="B11135" s="17" t="s">
        <v>70</v>
      </c>
      <c r="C11135" s="17" t="s">
        <v>71</v>
      </c>
      <c r="D11135" t="s">
        <v>13362</v>
      </c>
      <c r="F11135" t="s">
        <v>6588</v>
      </c>
      <c r="K11135" s="18">
        <f>6282308239090</f>
        <v>6282308239090</v>
      </c>
      <c r="N11135" s="17" t="s">
        <v>74</v>
      </c>
      <c r="V11135" s="18">
        <f>6282308239090</f>
        <v>6282308239090</v>
      </c>
    </row>
    <row r="11136" ht="15" customHeight="1" spans="1:22" x14ac:dyDescent="0.25">
      <c r="A11136" s="17" t="s">
        <v>30569</v>
      </c>
      <c r="B11136" s="17" t="s">
        <v>70</v>
      </c>
      <c r="C11136" s="17" t="s">
        <v>71</v>
      </c>
      <c r="D11136" t="s">
        <v>30570</v>
      </c>
      <c r="F11136" t="s">
        <v>30570</v>
      </c>
      <c r="K11136" s="18">
        <f>62811229763</f>
        <v>62811229763</v>
      </c>
      <c r="N11136" s="17" t="s">
        <v>81</v>
      </c>
      <c r="V11136" s="18">
        <f>62811229763</f>
        <v>62811229763</v>
      </c>
    </row>
    <row r="11137" ht="15" customHeight="1" spans="1:22" x14ac:dyDescent="0.25">
      <c r="A11137" s="17" t="s">
        <v>30571</v>
      </c>
      <c r="B11137" s="17" t="s">
        <v>70</v>
      </c>
      <c r="C11137" s="17" t="s">
        <v>71</v>
      </c>
      <c r="D11137" t="s">
        <v>30572</v>
      </c>
      <c r="F11137" t="s">
        <v>30572</v>
      </c>
      <c r="J11137" s="17" t="s">
        <v>30573</v>
      </c>
      <c r="K11137" s="18">
        <f>62818111984</f>
        <v>62818111984</v>
      </c>
      <c r="N11137" s="17" t="s">
        <v>81</v>
      </c>
      <c r="V11137" s="18">
        <f>62818111984</f>
        <v>62818111984</v>
      </c>
    </row>
    <row r="11138" ht="15" customHeight="1" spans="1:22" x14ac:dyDescent="0.25">
      <c r="A11138" s="17" t="s">
        <v>30574</v>
      </c>
      <c r="B11138" s="17" t="s">
        <v>70</v>
      </c>
      <c r="C11138" s="17" t="s">
        <v>71</v>
      </c>
      <c r="D11138" t="s">
        <v>30575</v>
      </c>
      <c r="F11138" t="s">
        <v>10058</v>
      </c>
      <c r="K11138" s="18">
        <f>6281294645533</f>
        <v>6281294645533</v>
      </c>
      <c r="N11138" s="17" t="s">
        <v>81</v>
      </c>
      <c r="V11138" s="18">
        <f>6281294645533</f>
        <v>6281294645533</v>
      </c>
    </row>
    <row r="11139" ht="15" customHeight="1" spans="1:25" x14ac:dyDescent="0.25">
      <c r="A11139" s="17" t="s">
        <v>30576</v>
      </c>
      <c r="B11139" s="17" t="s">
        <v>70</v>
      </c>
      <c r="C11139" s="17" t="s">
        <v>71</v>
      </c>
      <c r="D11139" t="s">
        <v>30577</v>
      </c>
      <c r="F11139" t="s">
        <v>30578</v>
      </c>
      <c r="K11139" s="18">
        <f>60122488814</f>
        <v>60122488814</v>
      </c>
      <c r="N11139" s="17" t="s">
        <v>81</v>
      </c>
      <c r="V11139" s="18">
        <f>60122488814</f>
        <v>60122488814</v>
      </c>
      <c r="Y11139" s="17" t="s">
        <v>7229</v>
      </c>
    </row>
    <row r="11140" ht="15" customHeight="1" spans="1:22" x14ac:dyDescent="0.25">
      <c r="A11140" s="17" t="s">
        <v>30579</v>
      </c>
      <c r="B11140" s="17" t="s">
        <v>70</v>
      </c>
      <c r="C11140" s="17" t="s">
        <v>71</v>
      </c>
      <c r="D11140" t="s">
        <v>30580</v>
      </c>
      <c r="F11140" t="s">
        <v>30580</v>
      </c>
      <c r="K11140" s="18">
        <f>6281289776664</f>
        <v>6281289776664</v>
      </c>
      <c r="N11140" s="17" t="s">
        <v>81</v>
      </c>
      <c r="V11140" s="18">
        <f>6281289776664</f>
        <v>6281289776664</v>
      </c>
    </row>
    <row r="11141" ht="15" customHeight="1" spans="1:25" x14ac:dyDescent="0.25">
      <c r="A11141" s="17" t="s">
        <v>30581</v>
      </c>
      <c r="B11141" s="17" t="s">
        <v>70</v>
      </c>
      <c r="C11141" s="17" t="s">
        <v>71</v>
      </c>
      <c r="D11141" t="s">
        <v>30580</v>
      </c>
      <c r="F11141" t="s">
        <v>30582</v>
      </c>
      <c r="J11141" s="17" t="s">
        <v>30583</v>
      </c>
      <c r="K11141" s="18">
        <f>628118406660</f>
        <v>628118406660</v>
      </c>
      <c r="N11141" s="17" t="s">
        <v>77</v>
      </c>
      <c r="U11141" s="17"/>
      <c r="V11141" s="18">
        <f>628118406660</f>
        <v>628118406660</v>
      </c>
      <c r="W11141" t="s">
        <v>30584</v>
      </c>
      <c r="Y11141" s="17" t="s">
        <v>1084</v>
      </c>
    </row>
    <row r="11142" ht="15" customHeight="1" spans="1:22" x14ac:dyDescent="0.25">
      <c r="A11142" s="17" t="s">
        <v>30585</v>
      </c>
      <c r="B11142" s="17" t="s">
        <v>70</v>
      </c>
      <c r="C11142" s="17" t="s">
        <v>71</v>
      </c>
      <c r="D11142" t="s">
        <v>30586</v>
      </c>
      <c r="F11142" t="s">
        <v>30586</v>
      </c>
      <c r="K11142" s="18">
        <v>6285286285123</v>
      </c>
      <c r="N11142" s="17" t="s">
        <v>81</v>
      </c>
      <c r="V11142" s="18">
        <v>6285286285123</v>
      </c>
    </row>
    <row r="11143" ht="15" customHeight="1" spans="1:22" x14ac:dyDescent="0.25">
      <c r="A11143" s="17" t="s">
        <v>30587</v>
      </c>
      <c r="B11143" s="17" t="s">
        <v>70</v>
      </c>
      <c r="C11143" s="17" t="s">
        <v>71</v>
      </c>
      <c r="D11143" t="s">
        <v>30588</v>
      </c>
      <c r="F11143" t="s">
        <v>30589</v>
      </c>
      <c r="K11143" s="18">
        <f>628129988114</f>
        <v>628129988114</v>
      </c>
      <c r="N11143" s="17" t="s">
        <v>77</v>
      </c>
      <c r="V11143" s="18">
        <f>628129988114</f>
        <v>628129988114</v>
      </c>
    </row>
    <row r="11144" ht="15" customHeight="1" spans="1:22" x14ac:dyDescent="0.25">
      <c r="A11144" s="17" t="s">
        <v>30590</v>
      </c>
      <c r="B11144" s="17" t="s">
        <v>70</v>
      </c>
      <c r="C11144" s="17" t="s">
        <v>71</v>
      </c>
      <c r="D11144" t="s">
        <v>30591</v>
      </c>
      <c r="F11144" t="s">
        <v>30591</v>
      </c>
      <c r="K11144" s="18">
        <f>62811487516</f>
        <v>62811487516</v>
      </c>
      <c r="N11144" s="17" t="s">
        <v>81</v>
      </c>
      <c r="V11144" s="18">
        <f>62811487516</f>
        <v>62811487516</v>
      </c>
    </row>
    <row r="11145" ht="15" customHeight="1" spans="1:23" x14ac:dyDescent="0.25">
      <c r="A11145" s="17" t="s">
        <v>30592</v>
      </c>
      <c r="B11145" s="17" t="s">
        <v>70</v>
      </c>
      <c r="C11145" s="17" t="s">
        <v>71</v>
      </c>
      <c r="D11145" t="s">
        <v>30593</v>
      </c>
      <c r="F11145" t="s">
        <v>30594</v>
      </c>
      <c r="K11145" s="18">
        <f>6281341477818</f>
        <v>6281341477818</v>
      </c>
      <c r="N11145" s="17" t="s">
        <v>77</v>
      </c>
      <c r="U11145" s="17"/>
      <c r="V11145" s="18">
        <f>6281341477818</f>
        <v>6281341477818</v>
      </c>
      <c r="W11145" t="s">
        <v>30595</v>
      </c>
    </row>
    <row r="11146" ht="15" customHeight="1" spans="1:22" x14ac:dyDescent="0.25">
      <c r="A11146" s="17" t="s">
        <v>30596</v>
      </c>
      <c r="B11146" s="17" t="s">
        <v>70</v>
      </c>
      <c r="C11146" s="17" t="s">
        <v>71</v>
      </c>
      <c r="D11146" t="s">
        <v>30597</v>
      </c>
      <c r="F11146" t="s">
        <v>494</v>
      </c>
      <c r="K11146" s="18">
        <f>62811817305</f>
        <v>62811817305</v>
      </c>
      <c r="N11146" s="17" t="s">
        <v>77</v>
      </c>
      <c r="V11146" s="18">
        <f>62811817305</f>
        <v>62811817305</v>
      </c>
    </row>
    <row r="11147" ht="15" customHeight="1" spans="1:23" x14ac:dyDescent="0.25">
      <c r="A11147" s="17" t="s">
        <v>30598</v>
      </c>
      <c r="B11147" s="17" t="s">
        <v>70</v>
      </c>
      <c r="C11147" s="17" t="s">
        <v>71</v>
      </c>
      <c r="D11147" t="s">
        <v>30599</v>
      </c>
      <c r="F11147" t="s">
        <v>30600</v>
      </c>
      <c r="K11147" s="18">
        <f>628129421499</f>
        <v>628129421499</v>
      </c>
      <c r="N11147" s="17" t="s">
        <v>77</v>
      </c>
      <c r="U11147" s="17"/>
      <c r="V11147" s="18">
        <f>628129421499</f>
        <v>628129421499</v>
      </c>
      <c r="W11147" t="s">
        <v>30601</v>
      </c>
    </row>
    <row r="11148" ht="15" customHeight="1" spans="1:23" x14ac:dyDescent="0.25">
      <c r="A11148" s="17" t="s">
        <v>30602</v>
      </c>
      <c r="B11148" s="17" t="s">
        <v>70</v>
      </c>
      <c r="C11148" s="17" t="s">
        <v>71</v>
      </c>
      <c r="D11148" t="s">
        <v>12108</v>
      </c>
      <c r="F11148" t="s">
        <v>12108</v>
      </c>
      <c r="K11148" s="18">
        <f>628135116000</f>
        <v>628135116000</v>
      </c>
      <c r="N11148" s="17" t="s">
        <v>77</v>
      </c>
      <c r="U11148" s="17"/>
      <c r="V11148" s="18">
        <f>628135116000</f>
        <v>628135116000</v>
      </c>
      <c r="W11148" t="s">
        <v>30603</v>
      </c>
    </row>
    <row r="11149" ht="15" customHeight="1" spans="1:23" x14ac:dyDescent="0.25">
      <c r="A11149" s="17" t="s">
        <v>30604</v>
      </c>
      <c r="B11149" s="17" t="s">
        <v>70</v>
      </c>
      <c r="C11149" s="17" t="s">
        <v>71</v>
      </c>
      <c r="D11149" t="s">
        <v>12108</v>
      </c>
      <c r="F11149" t="s">
        <v>12108</v>
      </c>
      <c r="K11149" s="18">
        <f>6282123749900</f>
        <v>6282123749900</v>
      </c>
      <c r="N11149" s="17" t="s">
        <v>74</v>
      </c>
      <c r="U11149" s="17"/>
      <c r="V11149" s="18">
        <f>6282123749900</f>
        <v>6282123749900</v>
      </c>
      <c r="W11149" t="s">
        <v>30605</v>
      </c>
    </row>
    <row r="11150" ht="15" customHeight="1" spans="1:27" x14ac:dyDescent="0.25">
      <c r="A11150" s="17" t="s">
        <v>30606</v>
      </c>
      <c r="B11150" s="17" t="s">
        <v>70</v>
      </c>
      <c r="C11150" s="17" t="s">
        <v>71</v>
      </c>
      <c r="D11150" t="s">
        <v>12108</v>
      </c>
      <c r="F11150" t="s">
        <v>12108</v>
      </c>
      <c r="K11150" s="18">
        <f>6281317859488</f>
        <v>6281317859488</v>
      </c>
      <c r="N11150" s="17" t="s">
        <v>74</v>
      </c>
      <c r="U11150" s="17"/>
      <c r="V11150" s="18">
        <f>6281317859488</f>
        <v>6281317859488</v>
      </c>
      <c r="W11150" t="s">
        <v>30607</v>
      </c>
      <c r="Y11150" s="17" t="s">
        <v>96</v>
      </c>
      <c r="AA11150" s="17" t="s">
        <v>30608</v>
      </c>
    </row>
    <row r="11151" ht="15" customHeight="1" spans="1:23" x14ac:dyDescent="0.25">
      <c r="A11151" s="17" t="s">
        <v>30609</v>
      </c>
      <c r="B11151" s="17" t="s">
        <v>70</v>
      </c>
      <c r="C11151" s="17" t="s">
        <v>71</v>
      </c>
      <c r="D11151" t="s">
        <v>12108</v>
      </c>
      <c r="F11151" t="s">
        <v>2146</v>
      </c>
      <c r="K11151" s="18">
        <f>628128156383</f>
        <v>628128156383</v>
      </c>
      <c r="N11151" s="17" t="s">
        <v>81</v>
      </c>
      <c r="U11151" s="17"/>
      <c r="V11151" s="18">
        <f>628128156383</f>
        <v>628128156383</v>
      </c>
      <c r="W11151" t="s">
        <v>30610</v>
      </c>
    </row>
    <row r="11152" ht="15" customHeight="1" spans="1:23" x14ac:dyDescent="0.25">
      <c r="A11152" s="17" t="s">
        <v>30611</v>
      </c>
      <c r="B11152" s="17" t="s">
        <v>70</v>
      </c>
      <c r="C11152" s="17" t="s">
        <v>71</v>
      </c>
      <c r="D11152" t="s">
        <v>12108</v>
      </c>
      <c r="F11152" t="s">
        <v>6205</v>
      </c>
      <c r="K11152" s="18">
        <f>62217251213</f>
        <v>62217251213</v>
      </c>
      <c r="N11152" s="17" t="s">
        <v>74</v>
      </c>
      <c r="U11152" s="17"/>
      <c r="V11152" s="18">
        <f>62217251213</f>
        <v>62217251213</v>
      </c>
      <c r="W11152" t="s">
        <v>30612</v>
      </c>
    </row>
    <row r="11153" ht="15" customHeight="1" spans="1:22" x14ac:dyDescent="0.25">
      <c r="A11153" s="17" t="s">
        <v>30613</v>
      </c>
      <c r="B11153" s="17" t="s">
        <v>70</v>
      </c>
      <c r="C11153" s="17" t="s">
        <v>71</v>
      </c>
      <c r="D11153" t="s">
        <v>12108</v>
      </c>
      <c r="F11153" t="s">
        <v>12108</v>
      </c>
      <c r="K11153" s="18">
        <f>6281378688999</f>
        <v>6281378688999</v>
      </c>
      <c r="N11153" s="17" t="s">
        <v>81</v>
      </c>
      <c r="V11153" s="18">
        <f>6281378688999</f>
        <v>6281378688999</v>
      </c>
    </row>
    <row r="11154" ht="15" customHeight="1" spans="1:22" x14ac:dyDescent="0.25">
      <c r="A11154" s="17" t="s">
        <v>30614</v>
      </c>
      <c r="B11154" s="17" t="s">
        <v>70</v>
      </c>
      <c r="C11154" s="17" t="s">
        <v>71</v>
      </c>
      <c r="D11154" t="s">
        <v>30615</v>
      </c>
      <c r="F11154" t="s">
        <v>30615</v>
      </c>
      <c r="K11154" s="18">
        <f>62816714610</f>
        <v>62816714610</v>
      </c>
      <c r="N11154" s="17" t="s">
        <v>77</v>
      </c>
      <c r="V11154" s="18">
        <f>62816714610</f>
        <v>62816714610</v>
      </c>
    </row>
    <row r="11155" ht="15" customHeight="1" spans="1:28" x14ac:dyDescent="0.25">
      <c r="A11155" s="17" t="s">
        <v>30616</v>
      </c>
      <c r="B11155" s="17" t="s">
        <v>70</v>
      </c>
      <c r="C11155" s="17" t="s">
        <v>71</v>
      </c>
      <c r="D11155" t="s">
        <v>30617</v>
      </c>
      <c r="F11155" t="s">
        <v>3197</v>
      </c>
      <c r="J11155" t="s">
        <v>115</v>
      </c>
      <c r="K11155" s="18" t="s">
        <v>30618</v>
      </c>
      <c r="N11155" s="17" t="s">
        <v>77</v>
      </c>
      <c r="O11155" t="s">
        <v>261</v>
      </c>
      <c r="U11155" s="17"/>
      <c r="V11155" s="18" t="s">
        <v>30618</v>
      </c>
      <c r="W11155" t="s">
        <v>4338</v>
      </c>
      <c r="Y11155" t="s">
        <v>90</v>
      </c>
      <c r="AA11155" t="s">
        <v>118</v>
      </c>
      <c r="AB11155" t="s">
        <v>119</v>
      </c>
    </row>
    <row r="11156" ht="15" customHeight="1" spans="1:23" x14ac:dyDescent="0.25">
      <c r="A11156" s="17" t="s">
        <v>30619</v>
      </c>
      <c r="B11156" s="17" t="s">
        <v>70</v>
      </c>
      <c r="C11156" s="17" t="s">
        <v>71</v>
      </c>
      <c r="D11156" t="s">
        <v>30620</v>
      </c>
      <c r="F11156" t="s">
        <v>509</v>
      </c>
      <c r="K11156" s="18">
        <f>62817771790</f>
        <v>62817771790</v>
      </c>
      <c r="N11156" s="17" t="s">
        <v>81</v>
      </c>
      <c r="U11156" s="17"/>
      <c r="V11156" s="18">
        <f>62817771790</f>
        <v>62817771790</v>
      </c>
      <c r="W11156" t="s">
        <v>30621</v>
      </c>
    </row>
    <row r="11157" ht="15" customHeight="1" spans="1:28" x14ac:dyDescent="0.25">
      <c r="A11157" s="17" t="s">
        <v>30622</v>
      </c>
      <c r="B11157" s="17" t="s">
        <v>70</v>
      </c>
      <c r="C11157" s="17" t="s">
        <v>71</v>
      </c>
      <c r="D11157" t="s">
        <v>30623</v>
      </c>
      <c r="F11157" t="s">
        <v>2226</v>
      </c>
      <c r="J11157" t="s">
        <v>115</v>
      </c>
      <c r="K11157" s="18" t="s">
        <v>30624</v>
      </c>
      <c r="N11157" s="17" t="s">
        <v>77</v>
      </c>
      <c r="O11157" t="s">
        <v>489</v>
      </c>
      <c r="V11157" s="18" t="s">
        <v>30624</v>
      </c>
      <c r="Y11157" t="s">
        <v>881</v>
      </c>
      <c r="AA11157" t="s">
        <v>115</v>
      </c>
      <c r="AB11157" t="s">
        <v>2356</v>
      </c>
    </row>
    <row r="11158" ht="15" customHeight="1" spans="1:28" x14ac:dyDescent="0.25">
      <c r="A11158" s="17" t="s">
        <v>30625</v>
      </c>
      <c r="B11158" s="17" t="s">
        <v>70</v>
      </c>
      <c r="C11158" s="17" t="s">
        <v>71</v>
      </c>
      <c r="D11158" t="s">
        <v>30626</v>
      </c>
      <c r="F11158" t="s">
        <v>4918</v>
      </c>
      <c r="J11158" t="s">
        <v>30627</v>
      </c>
      <c r="K11158" s="18" t="s">
        <v>30628</v>
      </c>
      <c r="N11158" s="17" t="s">
        <v>77</v>
      </c>
      <c r="O11158" t="s">
        <v>489</v>
      </c>
      <c r="V11158" s="18" t="s">
        <v>30628</v>
      </c>
      <c r="Y11158" t="s">
        <v>190</v>
      </c>
      <c r="AA11158" t="s">
        <v>118</v>
      </c>
      <c r="AB11158" t="s">
        <v>119</v>
      </c>
    </row>
    <row r="11159" ht="15" customHeight="1" spans="1:22" x14ac:dyDescent="0.25">
      <c r="A11159" s="17" t="s">
        <v>30629</v>
      </c>
      <c r="B11159" s="17" t="s">
        <v>70</v>
      </c>
      <c r="C11159" s="17" t="s">
        <v>71</v>
      </c>
      <c r="D11159" t="s">
        <v>30630</v>
      </c>
      <c r="F11159" t="s">
        <v>30631</v>
      </c>
      <c r="K11159" s="18">
        <f>628131546440</f>
        <v>628131546440</v>
      </c>
      <c r="N11159" s="17" t="s">
        <v>77</v>
      </c>
      <c r="V11159" s="18">
        <f>628131546440</f>
        <v>628131546440</v>
      </c>
    </row>
    <row r="11160" ht="15" customHeight="1" spans="1:25" x14ac:dyDescent="0.25">
      <c r="A11160" s="17" t="s">
        <v>30632</v>
      </c>
      <c r="B11160" s="17" t="s">
        <v>70</v>
      </c>
      <c r="C11160" s="17" t="s">
        <v>71</v>
      </c>
      <c r="D11160" t="s">
        <v>30630</v>
      </c>
      <c r="F11160" t="s">
        <v>30631</v>
      </c>
      <c r="J11160" s="17" t="s">
        <v>30633</v>
      </c>
      <c r="K11160" s="18">
        <f>6281315454400</f>
        <v>6281315454400</v>
      </c>
      <c r="N11160" s="17" t="s">
        <v>77</v>
      </c>
      <c r="U11160" s="17"/>
      <c r="V11160" s="18">
        <f>6281315454400</f>
        <v>6281315454400</v>
      </c>
      <c r="W11160" t="s">
        <v>30634</v>
      </c>
      <c r="Y11160" s="17" t="s">
        <v>622</v>
      </c>
    </row>
    <row r="11161" ht="15" customHeight="1" spans="1:22" x14ac:dyDescent="0.25">
      <c r="A11161" s="17" t="s">
        <v>30635</v>
      </c>
      <c r="B11161" s="17" t="s">
        <v>70</v>
      </c>
      <c r="C11161" s="17" t="s">
        <v>71</v>
      </c>
      <c r="D11161" t="s">
        <v>30636</v>
      </c>
      <c r="F11161" t="s">
        <v>1704</v>
      </c>
      <c r="K11161" s="18">
        <f>6281332220707</f>
        <v>6281332220707</v>
      </c>
      <c r="N11161" s="17" t="s">
        <v>77</v>
      </c>
      <c r="V11161" s="18">
        <f>6281332220707</f>
        <v>6281332220707</v>
      </c>
    </row>
    <row r="11162" ht="15" customHeight="1" spans="1:22" x14ac:dyDescent="0.25">
      <c r="A11162" s="17" t="s">
        <v>30637</v>
      </c>
      <c r="B11162" s="17" t="s">
        <v>70</v>
      </c>
      <c r="C11162" s="17" t="s">
        <v>71</v>
      </c>
      <c r="D11162" t="s">
        <v>30636</v>
      </c>
      <c r="F11162" t="s">
        <v>16445</v>
      </c>
      <c r="K11162" s="18">
        <f>628129095720</f>
        <v>628129095720</v>
      </c>
      <c r="N11162" s="17" t="s">
        <v>77</v>
      </c>
      <c r="V11162" s="18">
        <f>628129095720</f>
        <v>628129095720</v>
      </c>
    </row>
    <row r="11163" ht="15" customHeight="1" spans="1:22" x14ac:dyDescent="0.25">
      <c r="A11163" s="17" t="s">
        <v>30638</v>
      </c>
      <c r="B11163" s="17" t="s">
        <v>70</v>
      </c>
      <c r="C11163" s="17" t="s">
        <v>71</v>
      </c>
      <c r="D11163" t="s">
        <v>30639</v>
      </c>
      <c r="F11163" t="s">
        <v>30639</v>
      </c>
      <c r="K11163" s="18">
        <f>628118099989</f>
        <v>628118099989</v>
      </c>
      <c r="N11163" s="17" t="s">
        <v>77</v>
      </c>
      <c r="V11163" s="18">
        <f>628118099989</f>
        <v>628118099989</v>
      </c>
    </row>
    <row r="11164" ht="15" customHeight="1" spans="1:28" x14ac:dyDescent="0.25">
      <c r="A11164" s="17" t="s">
        <v>30640</v>
      </c>
      <c r="B11164" s="17" t="s">
        <v>70</v>
      </c>
      <c r="C11164" s="17" t="s">
        <v>71</v>
      </c>
      <c r="D11164" t="s">
        <v>7768</v>
      </c>
      <c r="F11164" t="s">
        <v>7768</v>
      </c>
      <c r="J11164" t="s">
        <v>115</v>
      </c>
      <c r="K11164" s="18" t="s">
        <v>30641</v>
      </c>
      <c r="N11164" s="17" t="s">
        <v>77</v>
      </c>
      <c r="O11164" t="s">
        <v>117</v>
      </c>
      <c r="V11164" s="18" t="s">
        <v>30641</v>
      </c>
      <c r="Y11164" t="s">
        <v>25931</v>
      </c>
      <c r="AA11164" t="s">
        <v>115</v>
      </c>
      <c r="AB11164" t="s">
        <v>119</v>
      </c>
    </row>
    <row r="11165" ht="15" customHeight="1" spans="1:22" x14ac:dyDescent="0.25">
      <c r="A11165" s="17" t="s">
        <v>30642</v>
      </c>
      <c r="B11165" s="17" t="s">
        <v>70</v>
      </c>
      <c r="C11165" s="17" t="s">
        <v>71</v>
      </c>
      <c r="D11165" t="s">
        <v>30643</v>
      </c>
      <c r="F11165" t="s">
        <v>30643</v>
      </c>
      <c r="K11165" s="18">
        <f>62811940332</f>
        <v>62811940332</v>
      </c>
      <c r="N11165" s="17" t="s">
        <v>77</v>
      </c>
      <c r="V11165" s="18">
        <f>62811940332</f>
        <v>62811940332</v>
      </c>
    </row>
    <row r="11166" ht="15" customHeight="1" spans="1:28" x14ac:dyDescent="0.25">
      <c r="A11166" s="17" t="s">
        <v>30644</v>
      </c>
      <c r="B11166" s="17" t="s">
        <v>70</v>
      </c>
      <c r="C11166" s="17" t="s">
        <v>71</v>
      </c>
      <c r="D11166" t="s">
        <v>30645</v>
      </c>
      <c r="F11166" t="s">
        <v>30646</v>
      </c>
      <c r="J11166" t="s">
        <v>115</v>
      </c>
      <c r="K11166" s="18" t="s">
        <v>30647</v>
      </c>
      <c r="N11166" s="17" t="s">
        <v>77</v>
      </c>
      <c r="O11166" t="s">
        <v>117</v>
      </c>
      <c r="V11166" s="18" t="s">
        <v>30647</v>
      </c>
      <c r="Y11166" t="s">
        <v>190</v>
      </c>
      <c r="AA11166" t="s">
        <v>118</v>
      </c>
      <c r="AB11166" t="s">
        <v>119</v>
      </c>
    </row>
    <row r="11167" ht="15" customHeight="1" spans="1:22" x14ac:dyDescent="0.25">
      <c r="A11167" s="17" t="s">
        <v>30648</v>
      </c>
      <c r="B11167" s="17" t="s">
        <v>70</v>
      </c>
      <c r="C11167" s="17" t="s">
        <v>71</v>
      </c>
      <c r="D11167" t="s">
        <v>14459</v>
      </c>
      <c r="F11167" t="s">
        <v>14459</v>
      </c>
      <c r="K11167" s="18">
        <f>628114031983</f>
        <v>628114031983</v>
      </c>
      <c r="N11167" s="17" t="s">
        <v>81</v>
      </c>
      <c r="V11167" s="18">
        <f>628114031983</f>
        <v>628114031983</v>
      </c>
    </row>
    <row r="11168" ht="15" customHeight="1" spans="1:28" x14ac:dyDescent="0.25">
      <c r="A11168" s="17" t="s">
        <v>30649</v>
      </c>
      <c r="B11168" s="17" t="s">
        <v>70</v>
      </c>
      <c r="C11168" s="17" t="s">
        <v>71</v>
      </c>
      <c r="D11168" t="s">
        <v>14459</v>
      </c>
      <c r="F11168" t="s">
        <v>30650</v>
      </c>
      <c r="J11168" t="s">
        <v>115</v>
      </c>
      <c r="K11168" s="18" t="s">
        <v>30651</v>
      </c>
      <c r="N11168" s="17" t="s">
        <v>77</v>
      </c>
      <c r="O11168" t="s">
        <v>117</v>
      </c>
      <c r="V11168" s="18" t="s">
        <v>30651</v>
      </c>
      <c r="Y11168" t="s">
        <v>90</v>
      </c>
      <c r="AA11168" t="s">
        <v>118</v>
      </c>
      <c r="AB11168" t="s">
        <v>119</v>
      </c>
    </row>
    <row r="11169" ht="15" customHeight="1" spans="1:25" x14ac:dyDescent="0.25">
      <c r="A11169" s="17" t="s">
        <v>30652</v>
      </c>
      <c r="B11169" s="17" t="s">
        <v>70</v>
      </c>
      <c r="C11169" s="17" t="s">
        <v>71</v>
      </c>
      <c r="D11169" t="s">
        <v>30653</v>
      </c>
      <c r="F11169" t="s">
        <v>30653</v>
      </c>
      <c r="K11169" s="18">
        <f>6287877115600</f>
        <v>6287877115600</v>
      </c>
      <c r="N11169" s="17" t="s">
        <v>77</v>
      </c>
      <c r="U11169" s="17"/>
      <c r="V11169" s="18">
        <f>6287877115600</f>
        <v>6287877115600</v>
      </c>
      <c r="W11169" t="s">
        <v>30654</v>
      </c>
      <c r="Y11169" s="17" t="s">
        <v>90</v>
      </c>
    </row>
    <row r="11170" ht="15" customHeight="1" spans="1:22" x14ac:dyDescent="0.25">
      <c r="A11170" s="17" t="s">
        <v>30655</v>
      </c>
      <c r="B11170" s="17" t="s">
        <v>70</v>
      </c>
      <c r="C11170" s="17" t="s">
        <v>71</v>
      </c>
      <c r="D11170" t="s">
        <v>30656</v>
      </c>
      <c r="F11170" t="s">
        <v>30656</v>
      </c>
      <c r="K11170" s="18">
        <f>6281325383999</f>
        <v>6281325383999</v>
      </c>
      <c r="N11170" s="17" t="s">
        <v>81</v>
      </c>
      <c r="V11170" s="18">
        <f>6281325383999</f>
        <v>6281325383999</v>
      </c>
    </row>
    <row r="11171" ht="15" customHeight="1" spans="1:22" x14ac:dyDescent="0.25">
      <c r="A11171" s="17" t="s">
        <v>30657</v>
      </c>
      <c r="B11171" s="17" t="s">
        <v>70</v>
      </c>
      <c r="C11171" s="17" t="s">
        <v>71</v>
      </c>
      <c r="D11171" t="s">
        <v>30658</v>
      </c>
      <c r="F11171" t="s">
        <v>30658</v>
      </c>
      <c r="K11171" s="18">
        <f>6282121200109</f>
        <v>6282121200109</v>
      </c>
      <c r="N11171" s="17" t="s">
        <v>77</v>
      </c>
      <c r="V11171" s="18">
        <f>6282121200109</f>
        <v>6282121200109</v>
      </c>
    </row>
    <row r="11172" ht="15" customHeight="1" spans="1:27" x14ac:dyDescent="0.25">
      <c r="A11172" s="17" t="s">
        <v>30659</v>
      </c>
      <c r="B11172" s="17" t="s">
        <v>70</v>
      </c>
      <c r="C11172" s="17" t="s">
        <v>71</v>
      </c>
      <c r="D11172" t="s">
        <v>30658</v>
      </c>
      <c r="F11172" t="s">
        <v>2714</v>
      </c>
      <c r="J11172" s="17" t="s">
        <v>30660</v>
      </c>
      <c r="K11172" s="18">
        <f>6281288993910</f>
        <v>6281288993910</v>
      </c>
      <c r="N11172" s="17" t="s">
        <v>77</v>
      </c>
      <c r="U11172" s="17"/>
      <c r="V11172" s="18">
        <f>6281288993910</f>
        <v>6281288993910</v>
      </c>
      <c r="W11172" t="s">
        <v>30661</v>
      </c>
      <c r="AA11172" s="17">
        <v>17147</v>
      </c>
    </row>
    <row r="11173" ht="15" customHeight="1" spans="1:28" x14ac:dyDescent="0.25">
      <c r="A11173" s="17" t="s">
        <v>30662</v>
      </c>
      <c r="B11173" s="17" t="s">
        <v>70</v>
      </c>
      <c r="C11173" s="17" t="s">
        <v>71</v>
      </c>
      <c r="D11173" t="s">
        <v>30658</v>
      </c>
      <c r="F11173" t="s">
        <v>30663</v>
      </c>
      <c r="J11173" t="s">
        <v>115</v>
      </c>
      <c r="K11173" s="18" t="s">
        <v>30664</v>
      </c>
      <c r="N11173" s="17" t="s">
        <v>77</v>
      </c>
      <c r="O11173" t="s">
        <v>489</v>
      </c>
      <c r="V11173" s="18" t="s">
        <v>30664</v>
      </c>
      <c r="Y11173" s="17" t="s">
        <v>190</v>
      </c>
      <c r="AA11173" t="s">
        <v>118</v>
      </c>
      <c r="AB11173" t="s">
        <v>119</v>
      </c>
    </row>
    <row r="11174" ht="15" customHeight="1" spans="1:28" x14ac:dyDescent="0.25">
      <c r="A11174" s="17" t="s">
        <v>30665</v>
      </c>
      <c r="B11174" s="17" t="s">
        <v>70</v>
      </c>
      <c r="C11174" s="17" t="s">
        <v>71</v>
      </c>
      <c r="D11174" t="s">
        <v>30658</v>
      </c>
      <c r="F11174" t="s">
        <v>13011</v>
      </c>
      <c r="J11174" t="s">
        <v>115</v>
      </c>
      <c r="K11174" s="18" t="s">
        <v>30666</v>
      </c>
      <c r="N11174" s="17" t="s">
        <v>81</v>
      </c>
      <c r="O11174" t="s">
        <v>199</v>
      </c>
      <c r="V11174" s="18" t="s">
        <v>30666</v>
      </c>
      <c r="Y11174" t="s">
        <v>96</v>
      </c>
      <c r="AA11174" t="s">
        <v>693</v>
      </c>
      <c r="AB11174" t="s">
        <v>119</v>
      </c>
    </row>
    <row r="11175" ht="15" customHeight="1" spans="1:22" x14ac:dyDescent="0.25">
      <c r="A11175" s="17" t="s">
        <v>30667</v>
      </c>
      <c r="B11175" s="17" t="s">
        <v>70</v>
      </c>
      <c r="C11175" s="17" t="s">
        <v>71</v>
      </c>
      <c r="D11175" t="s">
        <v>30658</v>
      </c>
      <c r="F11175" t="s">
        <v>17348</v>
      </c>
      <c r="K11175" s="18">
        <f>62817777302</f>
        <v>62817777302</v>
      </c>
      <c r="N11175" s="17" t="s">
        <v>74</v>
      </c>
      <c r="V11175" s="18">
        <f>62817777302</f>
        <v>62817777302</v>
      </c>
    </row>
    <row r="11176" ht="15" customHeight="1" spans="1:23" x14ac:dyDescent="0.25">
      <c r="A11176" s="17" t="s">
        <v>30668</v>
      </c>
      <c r="B11176" s="17" t="s">
        <v>70</v>
      </c>
      <c r="C11176" s="17" t="s">
        <v>71</v>
      </c>
      <c r="D11176" t="s">
        <v>30658</v>
      </c>
      <c r="F11176" t="s">
        <v>17348</v>
      </c>
      <c r="J11176" s="17" t="s">
        <v>30669</v>
      </c>
      <c r="K11176" s="18">
        <f>6281282955998</f>
        <v>6281282955998</v>
      </c>
      <c r="N11176" s="17" t="s">
        <v>77</v>
      </c>
      <c r="U11176" s="17"/>
      <c r="V11176" s="18">
        <f>6281282955998</f>
        <v>6281282955998</v>
      </c>
      <c r="W11176" t="s">
        <v>30670</v>
      </c>
    </row>
    <row r="11177" ht="15" customHeight="1" spans="1:28" x14ac:dyDescent="0.25">
      <c r="A11177" s="17" t="s">
        <v>30671</v>
      </c>
      <c r="B11177" s="17" t="s">
        <v>70</v>
      </c>
      <c r="C11177" s="17" t="s">
        <v>71</v>
      </c>
      <c r="D11177" t="s">
        <v>30672</v>
      </c>
      <c r="F11177" t="s">
        <v>30673</v>
      </c>
      <c r="J11177" t="s">
        <v>115</v>
      </c>
      <c r="K11177" s="18" t="s">
        <v>30674</v>
      </c>
      <c r="N11177" s="17" t="s">
        <v>81</v>
      </c>
      <c r="O11177" t="s">
        <v>199</v>
      </c>
      <c r="U11177" s="17"/>
      <c r="V11177" s="18" t="s">
        <v>30674</v>
      </c>
      <c r="W11177" t="s">
        <v>30675</v>
      </c>
      <c r="Y11177" s="17" t="s">
        <v>217</v>
      </c>
      <c r="AA11177" t="s">
        <v>218</v>
      </c>
      <c r="AB11177" t="s">
        <v>119</v>
      </c>
    </row>
    <row r="11178" ht="15" customHeight="1" spans="1:23" x14ac:dyDescent="0.25">
      <c r="A11178" s="17" t="s">
        <v>30676</v>
      </c>
      <c r="B11178" s="17" t="s">
        <v>70</v>
      </c>
      <c r="C11178" s="17" t="s">
        <v>71</v>
      </c>
      <c r="D11178" t="s">
        <v>30658</v>
      </c>
      <c r="F11178" t="s">
        <v>30677</v>
      </c>
      <c r="K11178" s="18">
        <f>62818210990</f>
        <v>62818210990</v>
      </c>
      <c r="N11178" s="17" t="s">
        <v>77</v>
      </c>
      <c r="U11178" s="17"/>
      <c r="V11178" s="18">
        <f>62818210990</f>
        <v>62818210990</v>
      </c>
      <c r="W11178" t="s">
        <v>30678</v>
      </c>
    </row>
    <row r="11179" ht="15" customHeight="1" spans="1:25" x14ac:dyDescent="0.25">
      <c r="A11179" s="17" t="s">
        <v>30679</v>
      </c>
      <c r="B11179" s="17" t="s">
        <v>70</v>
      </c>
      <c r="C11179" s="17" t="s">
        <v>71</v>
      </c>
      <c r="D11179" t="s">
        <v>30658</v>
      </c>
      <c r="F11179" t="s">
        <v>23188</v>
      </c>
      <c r="K11179" s="18">
        <f>6281277567179</f>
        <v>6281277567179</v>
      </c>
      <c r="N11179" s="17" t="s">
        <v>77</v>
      </c>
      <c r="U11179" s="17"/>
      <c r="V11179" s="18">
        <f>6281277567179</f>
        <v>6281277567179</v>
      </c>
      <c r="W11179" t="s">
        <v>30680</v>
      </c>
      <c r="Y11179" s="17" t="s">
        <v>217</v>
      </c>
    </row>
    <row r="11180" ht="15" customHeight="1" spans="1:23" x14ac:dyDescent="0.25">
      <c r="A11180" s="17" t="s">
        <v>30681</v>
      </c>
      <c r="B11180" s="17" t="s">
        <v>70</v>
      </c>
      <c r="C11180" s="17" t="s">
        <v>71</v>
      </c>
      <c r="D11180" t="s">
        <v>30658</v>
      </c>
      <c r="F11180" t="s">
        <v>3727</v>
      </c>
      <c r="K11180" s="18">
        <f>6282338429426</f>
        <v>6282338429426</v>
      </c>
      <c r="N11180" s="17" t="s">
        <v>81</v>
      </c>
      <c r="U11180" s="17"/>
      <c r="V11180" s="18">
        <f>6282338429426</f>
        <v>6282338429426</v>
      </c>
      <c r="W11180" t="s">
        <v>30682</v>
      </c>
    </row>
    <row r="11181" ht="15" customHeight="1" spans="1:28" x14ac:dyDescent="0.25">
      <c r="A11181" s="17" t="s">
        <v>30683</v>
      </c>
      <c r="B11181" s="17" t="s">
        <v>70</v>
      </c>
      <c r="C11181" s="17" t="s">
        <v>71</v>
      </c>
      <c r="D11181" t="s">
        <v>30658</v>
      </c>
      <c r="F11181" t="s">
        <v>16073</v>
      </c>
      <c r="J11181" t="s">
        <v>115</v>
      </c>
      <c r="K11181" s="18" t="s">
        <v>30684</v>
      </c>
      <c r="N11181" s="17" t="s">
        <v>77</v>
      </c>
      <c r="O11181" t="s">
        <v>489</v>
      </c>
      <c r="V11181" s="18" t="s">
        <v>30684</v>
      </c>
      <c r="Y11181" t="s">
        <v>90</v>
      </c>
      <c r="AA11181" t="s">
        <v>118</v>
      </c>
      <c r="AB11181" t="s">
        <v>119</v>
      </c>
    </row>
    <row r="11182" ht="15" customHeight="1" spans="1:28" x14ac:dyDescent="0.25">
      <c r="A11182" s="17" t="s">
        <v>30685</v>
      </c>
      <c r="B11182" s="17" t="s">
        <v>70</v>
      </c>
      <c r="C11182" s="17" t="s">
        <v>71</v>
      </c>
      <c r="D11182" t="s">
        <v>30686</v>
      </c>
      <c r="F11182" t="s">
        <v>30686</v>
      </c>
      <c r="J11182" t="s">
        <v>115</v>
      </c>
      <c r="K11182" s="18" t="s">
        <v>30687</v>
      </c>
      <c r="N11182" s="17" t="s">
        <v>81</v>
      </c>
      <c r="O11182" t="s">
        <v>261</v>
      </c>
      <c r="V11182" s="18" t="s">
        <v>30687</v>
      </c>
      <c r="Y11182" t="s">
        <v>90</v>
      </c>
      <c r="AA11182" t="s">
        <v>118</v>
      </c>
      <c r="AB11182" t="s">
        <v>119</v>
      </c>
    </row>
    <row r="11183" ht="15" customHeight="1" spans="1:27" x14ac:dyDescent="0.25">
      <c r="A11183" s="17" t="s">
        <v>30688</v>
      </c>
      <c r="B11183" s="17" t="s">
        <v>70</v>
      </c>
      <c r="C11183" s="17" t="s">
        <v>71</v>
      </c>
      <c r="D11183" t="s">
        <v>30689</v>
      </c>
      <c r="F11183" t="s">
        <v>30690</v>
      </c>
      <c r="K11183" s="18">
        <f>6281298554288</f>
        <v>6281298554288</v>
      </c>
      <c r="N11183" s="17" t="s">
        <v>77</v>
      </c>
      <c r="U11183" s="17"/>
      <c r="V11183" s="18">
        <f>6281298554288</f>
        <v>6281298554288</v>
      </c>
      <c r="W11183" t="s">
        <v>30691</v>
      </c>
      <c r="AA11183" s="17">
        <v>15720</v>
      </c>
    </row>
    <row r="11184" ht="15" customHeight="1" spans="1:22" x14ac:dyDescent="0.25">
      <c r="A11184" s="17" t="s">
        <v>30692</v>
      </c>
      <c r="B11184" s="17" t="s">
        <v>70</v>
      </c>
      <c r="C11184" s="17" t="s">
        <v>71</v>
      </c>
      <c r="D11184" t="s">
        <v>30693</v>
      </c>
      <c r="F11184" t="s">
        <v>18320</v>
      </c>
      <c r="K11184" s="18">
        <f>62811175555</f>
        <v>62811175555</v>
      </c>
      <c r="N11184" s="17" t="s">
        <v>77</v>
      </c>
      <c r="V11184" s="18">
        <f>62811175555</f>
        <v>62811175555</v>
      </c>
    </row>
    <row r="11185" ht="15" customHeight="1" spans="1:22" x14ac:dyDescent="0.25">
      <c r="A11185" s="17" t="s">
        <v>30694</v>
      </c>
      <c r="B11185" s="17" t="s">
        <v>70</v>
      </c>
      <c r="C11185" s="17" t="s">
        <v>71</v>
      </c>
      <c r="D11185" t="s">
        <v>30695</v>
      </c>
      <c r="F11185" t="s">
        <v>30695</v>
      </c>
      <c r="K11185" s="18">
        <f>628137177177</f>
        <v>628137177177</v>
      </c>
      <c r="N11185" s="17" t="s">
        <v>81</v>
      </c>
      <c r="V11185" s="18">
        <f>628137177177</f>
        <v>628137177177</v>
      </c>
    </row>
    <row r="11186" ht="15" customHeight="1" spans="1:22" x14ac:dyDescent="0.25">
      <c r="A11186" s="17" t="s">
        <v>30696</v>
      </c>
      <c r="B11186" s="17" t="s">
        <v>70</v>
      </c>
      <c r="C11186" s="17" t="s">
        <v>71</v>
      </c>
      <c r="D11186" t="s">
        <v>30697</v>
      </c>
      <c r="F11186" t="s">
        <v>30697</v>
      </c>
      <c r="K11186" s="18">
        <f>6281310094892</f>
        <v>6281310094892</v>
      </c>
      <c r="N11186" s="17" t="s">
        <v>81</v>
      </c>
      <c r="V11186" s="18">
        <f>6281310094892</f>
        <v>6281310094892</v>
      </c>
    </row>
    <row r="11187" ht="15" customHeight="1" spans="1:27" x14ac:dyDescent="0.25">
      <c r="A11187" s="17" t="s">
        <v>30698</v>
      </c>
      <c r="B11187" s="17" t="s">
        <v>70</v>
      </c>
      <c r="C11187" s="17" t="s">
        <v>71</v>
      </c>
      <c r="D11187" t="s">
        <v>30697</v>
      </c>
      <c r="F11187" t="s">
        <v>11065</v>
      </c>
      <c r="K11187" s="18">
        <v>56999424</v>
      </c>
      <c r="N11187" s="17" t="s">
        <v>74</v>
      </c>
      <c r="U11187" s="17"/>
      <c r="V11187" s="18">
        <v>56999424</v>
      </c>
      <c r="W11187" t="s">
        <v>30699</v>
      </c>
      <c r="Y11187" s="17" t="s">
        <v>626</v>
      </c>
      <c r="AA11187" s="17" t="s">
        <v>3468</v>
      </c>
    </row>
    <row r="11188" ht="15" customHeight="1" spans="1:22" x14ac:dyDescent="0.25">
      <c r="A11188" s="17" t="s">
        <v>30700</v>
      </c>
      <c r="B11188" s="17" t="s">
        <v>70</v>
      </c>
      <c r="C11188" s="17" t="s">
        <v>71</v>
      </c>
      <c r="D11188" t="s">
        <v>30701</v>
      </c>
      <c r="F11188" t="s">
        <v>30702</v>
      </c>
      <c r="K11188" s="18">
        <f>6281381188888</f>
        <v>6281381188888</v>
      </c>
      <c r="N11188" s="17" t="s">
        <v>81</v>
      </c>
      <c r="V11188" s="18">
        <f>6281381188888</f>
        <v>6281381188888</v>
      </c>
    </row>
    <row r="11189" ht="15" customHeight="1" spans="1:22" x14ac:dyDescent="0.25">
      <c r="A11189" s="17" t="s">
        <v>30703</v>
      </c>
      <c r="B11189" s="17" t="s">
        <v>70</v>
      </c>
      <c r="C11189" s="17" t="s">
        <v>71</v>
      </c>
      <c r="D11189" t="s">
        <v>30704</v>
      </c>
      <c r="F11189" t="s">
        <v>30704</v>
      </c>
      <c r="K11189" s="18">
        <f>628123202414</f>
        <v>628123202414</v>
      </c>
      <c r="N11189" s="17" t="s">
        <v>77</v>
      </c>
      <c r="V11189" s="18">
        <f>628123202414</f>
        <v>628123202414</v>
      </c>
    </row>
    <row r="11190" ht="15" customHeight="1" spans="1:22" x14ac:dyDescent="0.25">
      <c r="A11190" s="17" t="s">
        <v>30705</v>
      </c>
      <c r="B11190" s="17" t="s">
        <v>70</v>
      </c>
      <c r="C11190" s="17" t="s">
        <v>71</v>
      </c>
      <c r="D11190" t="s">
        <v>30706</v>
      </c>
      <c r="F11190" t="s">
        <v>26767</v>
      </c>
      <c r="K11190" s="18">
        <f>6287877390259</f>
        <v>6287877390259</v>
      </c>
      <c r="N11190" s="17" t="s">
        <v>77</v>
      </c>
      <c r="V11190" s="18">
        <f>6287877390259</f>
        <v>6287877390259</v>
      </c>
    </row>
    <row r="11191" ht="15" customHeight="1" spans="1:23" x14ac:dyDescent="0.25">
      <c r="A11191" s="17" t="s">
        <v>30707</v>
      </c>
      <c r="B11191" s="17" t="s">
        <v>70</v>
      </c>
      <c r="C11191" s="17" t="s">
        <v>71</v>
      </c>
      <c r="D11191" t="s">
        <v>30708</v>
      </c>
      <c r="F11191" t="s">
        <v>30709</v>
      </c>
      <c r="K11191" s="18">
        <f>380967742743</f>
        <v>380967742743</v>
      </c>
      <c r="N11191" s="17" t="s">
        <v>77</v>
      </c>
      <c r="U11191" s="17"/>
      <c r="V11191" s="18">
        <f>380967742743</f>
        <v>380967742743</v>
      </c>
      <c r="W11191" t="s">
        <v>30710</v>
      </c>
    </row>
    <row r="11192" ht="15" customHeight="1" spans="1:23" x14ac:dyDescent="0.25">
      <c r="A11192" s="17" t="s">
        <v>30711</v>
      </c>
      <c r="B11192" s="17" t="s">
        <v>70</v>
      </c>
      <c r="C11192" s="17" t="s">
        <v>71</v>
      </c>
      <c r="D11192" t="s">
        <v>30712</v>
      </c>
      <c r="F11192" t="s">
        <v>30713</v>
      </c>
      <c r="K11192" s="18">
        <f>6281340052076</f>
        <v>6281340052076</v>
      </c>
      <c r="N11192" s="17" t="s">
        <v>81</v>
      </c>
      <c r="U11192" s="17"/>
      <c r="V11192" s="18">
        <f>6281340052076</f>
        <v>6281340052076</v>
      </c>
      <c r="W11192" t="s">
        <v>30714</v>
      </c>
    </row>
    <row r="11193" ht="15" customHeight="1" spans="1:22" x14ac:dyDescent="0.25">
      <c r="A11193" s="17" t="s">
        <v>30715</v>
      </c>
      <c r="B11193" s="17" t="s">
        <v>70</v>
      </c>
      <c r="C11193" s="17" t="s">
        <v>71</v>
      </c>
      <c r="D11193" t="s">
        <v>30712</v>
      </c>
      <c r="F11193" t="s">
        <v>30716</v>
      </c>
      <c r="K11193" s="18">
        <f>62816935333</f>
        <v>62816935333</v>
      </c>
      <c r="N11193" s="17" t="s">
        <v>74</v>
      </c>
      <c r="V11193" s="18">
        <f>62816935333</f>
        <v>62816935333</v>
      </c>
    </row>
    <row r="11194" ht="15" customHeight="1" spans="1:27" x14ac:dyDescent="0.25">
      <c r="A11194" s="17" t="s">
        <v>30717</v>
      </c>
      <c r="B11194" s="17" t="s">
        <v>70</v>
      </c>
      <c r="C11194" s="17" t="s">
        <v>71</v>
      </c>
      <c r="D11194" t="s">
        <v>30718</v>
      </c>
      <c r="F11194" t="s">
        <v>30719</v>
      </c>
      <c r="K11194" s="18">
        <f>62811991144</f>
        <v>62811991144</v>
      </c>
      <c r="N11194" s="17" t="s">
        <v>74</v>
      </c>
      <c r="U11194" s="17"/>
      <c r="V11194" s="18">
        <f>62811991144</f>
        <v>62811991144</v>
      </c>
      <c r="W11194" t="s">
        <v>30720</v>
      </c>
      <c r="Y11194" s="17" t="s">
        <v>96</v>
      </c>
      <c r="AA11194" s="17" t="s">
        <v>30721</v>
      </c>
    </row>
    <row r="11195" ht="15" customHeight="1" spans="1:22" x14ac:dyDescent="0.25">
      <c r="A11195" s="17" t="s">
        <v>30722</v>
      </c>
      <c r="B11195" s="17" t="s">
        <v>70</v>
      </c>
      <c r="C11195" s="17" t="s">
        <v>71</v>
      </c>
      <c r="D11195" t="s">
        <v>30723</v>
      </c>
      <c r="F11195" t="s">
        <v>6189</v>
      </c>
      <c r="K11195" s="18">
        <f>79020519650</f>
        <v>79020519650</v>
      </c>
      <c r="N11195" s="17" t="s">
        <v>77</v>
      </c>
      <c r="V11195" s="18">
        <f>79020519650</f>
        <v>79020519650</v>
      </c>
    </row>
    <row r="11196" ht="15" customHeight="1" spans="1:22" x14ac:dyDescent="0.25">
      <c r="A11196" s="17" t="s">
        <v>30724</v>
      </c>
      <c r="B11196" s="17" t="s">
        <v>70</v>
      </c>
      <c r="C11196" s="17" t="s">
        <v>71</v>
      </c>
      <c r="D11196" t="s">
        <v>30725</v>
      </c>
      <c r="F11196" t="s">
        <v>30726</v>
      </c>
      <c r="K11196" s="18">
        <f>62817779999</f>
        <v>62817779999</v>
      </c>
      <c r="N11196" s="17" t="s">
        <v>74</v>
      </c>
      <c r="V11196" s="18">
        <f>62817779999</f>
        <v>62817779999</v>
      </c>
    </row>
    <row r="11197" ht="15" customHeight="1" spans="1:28" x14ac:dyDescent="0.25">
      <c r="A11197" s="17" t="s">
        <v>30727</v>
      </c>
      <c r="B11197" s="17" t="s">
        <v>70</v>
      </c>
      <c r="C11197" s="17" t="s">
        <v>71</v>
      </c>
      <c r="D11197" t="s">
        <v>30728</v>
      </c>
      <c r="F11197" t="s">
        <v>30729</v>
      </c>
      <c r="J11197" s="17" t="s">
        <v>30730</v>
      </c>
      <c r="K11197" s="18" t="s">
        <v>30731</v>
      </c>
      <c r="N11197" s="17" t="s">
        <v>77</v>
      </c>
      <c r="O11197" t="s">
        <v>145</v>
      </c>
      <c r="V11197" s="18" t="s">
        <v>30731</v>
      </c>
      <c r="Y11197" t="s">
        <v>181</v>
      </c>
      <c r="AA11197" t="s">
        <v>1672</v>
      </c>
      <c r="AB11197" t="s">
        <v>119</v>
      </c>
    </row>
    <row r="11198" ht="15" customHeight="1" spans="1:23" x14ac:dyDescent="0.25">
      <c r="A11198" s="17" t="s">
        <v>30732</v>
      </c>
      <c r="B11198" s="17" t="s">
        <v>70</v>
      </c>
      <c r="C11198" s="17" t="s">
        <v>71</v>
      </c>
      <c r="D11198" t="s">
        <v>30733</v>
      </c>
      <c r="F11198" t="s">
        <v>5264</v>
      </c>
      <c r="K11198" s="18">
        <f>9855303789</f>
        <v>9855303789</v>
      </c>
      <c r="N11198" s="17" t="s">
        <v>77</v>
      </c>
      <c r="U11198" s="17"/>
      <c r="V11198" s="18">
        <f>9855303789</f>
        <v>9855303789</v>
      </c>
      <c r="W11198" t="s">
        <v>1908</v>
      </c>
    </row>
    <row r="11199" ht="15" customHeight="1" spans="1:22" x14ac:dyDescent="0.25">
      <c r="A11199" s="17" t="s">
        <v>30734</v>
      </c>
      <c r="B11199" s="17" t="s">
        <v>70</v>
      </c>
      <c r="C11199" s="17" t="s">
        <v>71</v>
      </c>
      <c r="D11199" t="s">
        <v>30735</v>
      </c>
      <c r="F11199" t="s">
        <v>30735</v>
      </c>
      <c r="K11199" s="18">
        <f>62816626503</f>
        <v>62816626503</v>
      </c>
      <c r="N11199" s="17" t="s">
        <v>77</v>
      </c>
      <c r="V11199" s="18">
        <f>62816626503</f>
        <v>62816626503</v>
      </c>
    </row>
    <row r="11200" ht="15" customHeight="1" spans="1:28" x14ac:dyDescent="0.25">
      <c r="A11200" s="17" t="s">
        <v>30736</v>
      </c>
      <c r="B11200" s="17" t="s">
        <v>70</v>
      </c>
      <c r="C11200" s="17" t="s">
        <v>71</v>
      </c>
      <c r="D11200" t="s">
        <v>30735</v>
      </c>
      <c r="F11200" t="s">
        <v>30735</v>
      </c>
      <c r="J11200" t="s">
        <v>115</v>
      </c>
      <c r="K11200" s="18" t="s">
        <v>30737</v>
      </c>
      <c r="N11200" s="17" t="s">
        <v>81</v>
      </c>
      <c r="O11200" t="s">
        <v>117</v>
      </c>
      <c r="V11200" s="18" t="s">
        <v>30737</v>
      </c>
      <c r="Y11200" t="s">
        <v>704</v>
      </c>
      <c r="AA11200" t="s">
        <v>705</v>
      </c>
      <c r="AB11200" t="s">
        <v>119</v>
      </c>
    </row>
    <row r="11201" ht="15" customHeight="1" spans="1:28" x14ac:dyDescent="0.25">
      <c r="A11201" s="17" t="s">
        <v>30738</v>
      </c>
      <c r="B11201" s="17" t="s">
        <v>70</v>
      </c>
      <c r="C11201" s="17" t="s">
        <v>71</v>
      </c>
      <c r="D11201" t="s">
        <v>30739</v>
      </c>
      <c r="F11201" t="s">
        <v>84</v>
      </c>
      <c r="J11201" t="s">
        <v>115</v>
      </c>
      <c r="K11201" s="18" t="s">
        <v>30740</v>
      </c>
      <c r="N11201" s="17" t="s">
        <v>77</v>
      </c>
      <c r="O11201" t="s">
        <v>117</v>
      </c>
      <c r="V11201" s="18" t="s">
        <v>30740</v>
      </c>
      <c r="Y11201" t="s">
        <v>115</v>
      </c>
      <c r="AA11201" t="s">
        <v>115</v>
      </c>
      <c r="AB11201" t="s">
        <v>119</v>
      </c>
    </row>
    <row r="11202" ht="15" customHeight="1" spans="1:28" x14ac:dyDescent="0.25">
      <c r="A11202" s="17" t="s">
        <v>30741</v>
      </c>
      <c r="B11202" s="17" t="s">
        <v>70</v>
      </c>
      <c r="C11202" s="17" t="s">
        <v>71</v>
      </c>
      <c r="D11202" t="s">
        <v>30739</v>
      </c>
      <c r="F11202" t="s">
        <v>30742</v>
      </c>
      <c r="J11202" t="s">
        <v>115</v>
      </c>
      <c r="K11202" s="18" t="s">
        <v>30743</v>
      </c>
      <c r="N11202" s="17" t="s">
        <v>77</v>
      </c>
      <c r="O11202" t="s">
        <v>199</v>
      </c>
      <c r="V11202" s="18" t="s">
        <v>30743</v>
      </c>
      <c r="Y11202" t="s">
        <v>190</v>
      </c>
      <c r="AA11202" t="s">
        <v>118</v>
      </c>
      <c r="AB11202" t="s">
        <v>119</v>
      </c>
    </row>
    <row r="11203" ht="15" customHeight="1" spans="1:28" x14ac:dyDescent="0.25">
      <c r="A11203" s="17" t="s">
        <v>30744</v>
      </c>
      <c r="B11203" s="17" t="s">
        <v>70</v>
      </c>
      <c r="C11203" s="17" t="s">
        <v>71</v>
      </c>
      <c r="D11203" t="s">
        <v>15486</v>
      </c>
      <c r="F11203" t="s">
        <v>15486</v>
      </c>
      <c r="J11203" t="s">
        <v>115</v>
      </c>
      <c r="K11203" s="18" t="s">
        <v>30745</v>
      </c>
      <c r="N11203" s="17" t="s">
        <v>81</v>
      </c>
      <c r="O11203" t="s">
        <v>117</v>
      </c>
      <c r="V11203" s="18" t="s">
        <v>30745</v>
      </c>
      <c r="Y11203" t="s">
        <v>704</v>
      </c>
      <c r="AA11203" t="s">
        <v>705</v>
      </c>
      <c r="AB11203" t="s">
        <v>119</v>
      </c>
    </row>
    <row r="11204" ht="15" customHeight="1" spans="1:25" x14ac:dyDescent="0.25">
      <c r="A11204" s="17" t="s">
        <v>30746</v>
      </c>
      <c r="B11204" s="17" t="s">
        <v>70</v>
      </c>
      <c r="C11204" s="17" t="s">
        <v>71</v>
      </c>
      <c r="D11204" t="s">
        <v>15486</v>
      </c>
      <c r="F11204" t="s">
        <v>2957</v>
      </c>
      <c r="K11204" s="18">
        <f>6287885500060</f>
        <v>6287885500060</v>
      </c>
      <c r="N11204" s="17" t="s">
        <v>77</v>
      </c>
      <c r="U11204" s="17"/>
      <c r="V11204" s="18">
        <f>6287885500060</f>
        <v>6287885500060</v>
      </c>
      <c r="W11204" t="s">
        <v>30747</v>
      </c>
      <c r="Y11204" s="17" t="s">
        <v>1084</v>
      </c>
    </row>
    <row r="11205" ht="15" customHeight="1" spans="1:25" x14ac:dyDescent="0.25">
      <c r="A11205" s="17" t="s">
        <v>30748</v>
      </c>
      <c r="B11205" s="17" t="s">
        <v>70</v>
      </c>
      <c r="C11205" s="17" t="s">
        <v>71</v>
      </c>
      <c r="D11205" t="s">
        <v>30749</v>
      </c>
      <c r="F11205" t="s">
        <v>6671</v>
      </c>
      <c r="J11205" s="17" t="s">
        <v>30750</v>
      </c>
      <c r="K11205" s="18">
        <f>6281280433040</f>
        <v>6281280433040</v>
      </c>
      <c r="N11205" s="17" t="s">
        <v>77</v>
      </c>
      <c r="U11205" s="17"/>
      <c r="V11205" s="18">
        <f>6281280433040</f>
        <v>6281280433040</v>
      </c>
      <c r="W11205" t="s">
        <v>30751</v>
      </c>
      <c r="Y11205" s="17" t="s">
        <v>90</v>
      </c>
    </row>
    <row r="11206" ht="15" customHeight="1" spans="1:22" x14ac:dyDescent="0.25">
      <c r="A11206" s="17" t="s">
        <v>30752</v>
      </c>
      <c r="B11206" s="17" t="s">
        <v>70</v>
      </c>
      <c r="C11206" s="17" t="s">
        <v>71</v>
      </c>
      <c r="D11206" t="s">
        <v>30749</v>
      </c>
      <c r="F11206" t="s">
        <v>10885</v>
      </c>
      <c r="K11206" s="18">
        <f>628119935550</f>
        <v>628119935550</v>
      </c>
      <c r="N11206" s="17" t="s">
        <v>81</v>
      </c>
      <c r="V11206" s="18">
        <f>628119935550</f>
        <v>628119935550</v>
      </c>
    </row>
    <row r="11207" ht="15" customHeight="1" spans="1:23" x14ac:dyDescent="0.25">
      <c r="A11207" s="17" t="s">
        <v>30753</v>
      </c>
      <c r="B11207" s="17" t="s">
        <v>70</v>
      </c>
      <c r="C11207" s="17" t="s">
        <v>71</v>
      </c>
      <c r="D11207" t="s">
        <v>30754</v>
      </c>
      <c r="F11207" t="s">
        <v>30754</v>
      </c>
      <c r="K11207" s="18">
        <f>628117211485</f>
        <v>628117211485</v>
      </c>
      <c r="N11207" s="17" t="s">
        <v>77</v>
      </c>
      <c r="U11207" s="17"/>
      <c r="V11207" s="18">
        <f>628117211485</f>
        <v>628117211485</v>
      </c>
      <c r="W11207" t="s">
        <v>30755</v>
      </c>
    </row>
    <row r="11208" ht="15" customHeight="1" spans="1:22" x14ac:dyDescent="0.25">
      <c r="A11208" s="17" t="s">
        <v>30756</v>
      </c>
      <c r="B11208" s="17" t="s">
        <v>70</v>
      </c>
      <c r="C11208" s="17" t="s">
        <v>71</v>
      </c>
      <c r="D11208" t="s">
        <v>27777</v>
      </c>
      <c r="F11208" t="s">
        <v>30757</v>
      </c>
      <c r="K11208" s="18">
        <f>62811439675</f>
        <v>62811439675</v>
      </c>
      <c r="N11208" s="17" t="s">
        <v>77</v>
      </c>
      <c r="V11208" s="18">
        <f>62811439675</f>
        <v>62811439675</v>
      </c>
    </row>
    <row r="11209" ht="15" customHeight="1" spans="1:22" x14ac:dyDescent="0.25">
      <c r="A11209" s="17" t="s">
        <v>30758</v>
      </c>
      <c r="B11209" s="17" t="s">
        <v>70</v>
      </c>
      <c r="C11209" s="17" t="s">
        <v>71</v>
      </c>
      <c r="D11209" t="s">
        <v>30759</v>
      </c>
      <c r="F11209" t="s">
        <v>4268</v>
      </c>
      <c r="K11209" s="18">
        <f>62811399375</f>
        <v>62811399375</v>
      </c>
      <c r="N11209" s="17" t="s">
        <v>77</v>
      </c>
      <c r="V11209" s="18">
        <f>62811399375</f>
        <v>62811399375</v>
      </c>
    </row>
    <row r="11210" ht="15" customHeight="1" spans="1:22" x14ac:dyDescent="0.25">
      <c r="A11210" s="17" t="s">
        <v>30760</v>
      </c>
      <c r="B11210" s="17" t="s">
        <v>70</v>
      </c>
      <c r="C11210" s="17" t="s">
        <v>71</v>
      </c>
      <c r="D11210" t="s">
        <v>30761</v>
      </c>
      <c r="F11210" t="s">
        <v>30761</v>
      </c>
      <c r="K11210" s="18">
        <f>6281293243637</f>
        <v>6281293243637</v>
      </c>
      <c r="N11210" s="17" t="s">
        <v>77</v>
      </c>
      <c r="V11210" s="18">
        <f>6281293243637</f>
        <v>6281293243637</v>
      </c>
    </row>
    <row r="11211" ht="15" customHeight="1" spans="1:28" x14ac:dyDescent="0.25">
      <c r="A11211" s="17" t="s">
        <v>30762</v>
      </c>
      <c r="B11211" s="17" t="s">
        <v>70</v>
      </c>
      <c r="C11211" s="17" t="s">
        <v>71</v>
      </c>
      <c r="D11211" t="s">
        <v>30763</v>
      </c>
      <c r="F11211" t="s">
        <v>23220</v>
      </c>
      <c r="J11211" t="s">
        <v>115</v>
      </c>
      <c r="K11211" s="18" t="s">
        <v>30764</v>
      </c>
      <c r="N11211" s="17" t="s">
        <v>77</v>
      </c>
      <c r="O11211" t="s">
        <v>489</v>
      </c>
      <c r="U11211" s="17"/>
      <c r="V11211" s="18" t="s">
        <v>30764</v>
      </c>
      <c r="W11211" t="s">
        <v>30765</v>
      </c>
      <c r="Y11211" s="17" t="s">
        <v>190</v>
      </c>
      <c r="AA11211" t="s">
        <v>118</v>
      </c>
      <c r="AB11211" t="s">
        <v>119</v>
      </c>
    </row>
    <row r="11212" ht="15" customHeight="1" spans="1:22" x14ac:dyDescent="0.25">
      <c r="A11212" s="17" t="s">
        <v>30766</v>
      </c>
      <c r="B11212" s="17" t="s">
        <v>70</v>
      </c>
      <c r="C11212" s="17" t="s">
        <v>71</v>
      </c>
      <c r="D11212" t="s">
        <v>3725</v>
      </c>
      <c r="F11212" t="s">
        <v>9656</v>
      </c>
      <c r="K11212" s="18">
        <f>628155517772</f>
        <v>628155517772</v>
      </c>
      <c r="N11212" s="17" t="s">
        <v>74</v>
      </c>
      <c r="V11212" s="18">
        <f>628155517772</f>
        <v>628155517772</v>
      </c>
    </row>
    <row r="11213" ht="15" customHeight="1" spans="1:22" x14ac:dyDescent="0.25">
      <c r="A11213" s="17" t="s">
        <v>30767</v>
      </c>
      <c r="B11213" s="17" t="s">
        <v>70</v>
      </c>
      <c r="C11213" s="17" t="s">
        <v>71</v>
      </c>
      <c r="D11213" t="s">
        <v>5595</v>
      </c>
      <c r="F11213" t="s">
        <v>618</v>
      </c>
      <c r="K11213" s="18">
        <f>62816810004</f>
        <v>62816810004</v>
      </c>
      <c r="N11213" s="17" t="s">
        <v>77</v>
      </c>
      <c r="V11213" s="18">
        <f>62816810004</f>
        <v>62816810004</v>
      </c>
    </row>
    <row r="11214" ht="15" customHeight="1" spans="1:22" x14ac:dyDescent="0.25">
      <c r="A11214" s="17" t="s">
        <v>30768</v>
      </c>
      <c r="B11214" s="17" t="s">
        <v>70</v>
      </c>
      <c r="C11214" s="17" t="s">
        <v>71</v>
      </c>
      <c r="D11214" t="s">
        <v>30769</v>
      </c>
      <c r="F11214" t="s">
        <v>672</v>
      </c>
      <c r="K11214" s="18">
        <f>6287764511333</f>
        <v>6287764511333</v>
      </c>
      <c r="N11214" s="17" t="s">
        <v>77</v>
      </c>
      <c r="V11214" s="18">
        <f>6287764511333</f>
        <v>6287764511333</v>
      </c>
    </row>
    <row r="11215" ht="15" customHeight="1" spans="1:22" x14ac:dyDescent="0.25">
      <c r="A11215" s="17" t="s">
        <v>30770</v>
      </c>
      <c r="B11215" s="17" t="s">
        <v>70</v>
      </c>
      <c r="C11215" s="17" t="s">
        <v>71</v>
      </c>
      <c r="D11215" t="s">
        <v>30769</v>
      </c>
      <c r="F11215" t="s">
        <v>23220</v>
      </c>
      <c r="K11215" s="18">
        <f>62818973627</f>
        <v>62818973627</v>
      </c>
      <c r="N11215" s="17" t="s">
        <v>77</v>
      </c>
      <c r="V11215" s="18">
        <f>62818973627</f>
        <v>62818973627</v>
      </c>
    </row>
    <row r="11216" ht="15" customHeight="1" spans="1:22" x14ac:dyDescent="0.25">
      <c r="A11216" s="17" t="s">
        <v>30771</v>
      </c>
      <c r="B11216" s="17" t="s">
        <v>70</v>
      </c>
      <c r="C11216" s="17" t="s">
        <v>71</v>
      </c>
      <c r="D11216" t="s">
        <v>30769</v>
      </c>
      <c r="F11216" t="s">
        <v>30772</v>
      </c>
      <c r="K11216" s="18">
        <f>628180988858</f>
        <v>628180988858</v>
      </c>
      <c r="N11216" s="17" t="s">
        <v>77</v>
      </c>
      <c r="V11216" s="18">
        <f>628180988858</f>
        <v>628180988858</v>
      </c>
    </row>
    <row r="11217" ht="15" customHeight="1" spans="1:22" x14ac:dyDescent="0.25">
      <c r="A11217" s="17" t="s">
        <v>30773</v>
      </c>
      <c r="B11217" s="17" t="s">
        <v>70</v>
      </c>
      <c r="C11217" s="17" t="s">
        <v>71</v>
      </c>
      <c r="D11217" t="s">
        <v>30774</v>
      </c>
      <c r="F11217" t="s">
        <v>30774</v>
      </c>
      <c r="K11217" s="18">
        <f>62817118165</f>
        <v>62817118165</v>
      </c>
      <c r="N11217" s="17" t="s">
        <v>77</v>
      </c>
      <c r="V11217" s="18">
        <f>62817118165</f>
        <v>62817118165</v>
      </c>
    </row>
    <row r="11218" ht="15" customHeight="1" spans="1:28" x14ac:dyDescent="0.25">
      <c r="A11218" s="17" t="s">
        <v>30775</v>
      </c>
      <c r="B11218" s="17" t="s">
        <v>70</v>
      </c>
      <c r="C11218" s="17" t="s">
        <v>71</v>
      </c>
      <c r="D11218" t="s">
        <v>30776</v>
      </c>
      <c r="F11218" t="s">
        <v>30776</v>
      </c>
      <c r="J11218" t="s">
        <v>115</v>
      </c>
      <c r="K11218" s="18" t="s">
        <v>30777</v>
      </c>
      <c r="N11218" s="17" t="s">
        <v>77</v>
      </c>
      <c r="O11218" t="s">
        <v>145</v>
      </c>
      <c r="V11218" s="18" t="s">
        <v>30777</v>
      </c>
      <c r="Y11218" t="s">
        <v>1091</v>
      </c>
      <c r="AA11218" t="s">
        <v>115</v>
      </c>
      <c r="AB11218" t="s">
        <v>119</v>
      </c>
    </row>
    <row r="11219" ht="15" customHeight="1" spans="1:22" x14ac:dyDescent="0.25">
      <c r="A11219" s="17" t="s">
        <v>30778</v>
      </c>
      <c r="B11219" s="17" t="s">
        <v>70</v>
      </c>
      <c r="C11219" s="17" t="s">
        <v>71</v>
      </c>
      <c r="D11219" t="s">
        <v>30779</v>
      </c>
      <c r="F11219" t="s">
        <v>30779</v>
      </c>
      <c r="K11219" s="18">
        <f>628119772005</f>
        <v>628119772005</v>
      </c>
      <c r="N11219" s="17" t="s">
        <v>81</v>
      </c>
      <c r="V11219" s="18">
        <f>628119772005</f>
        <v>628119772005</v>
      </c>
    </row>
    <row r="11220" ht="15" customHeight="1" spans="1:23" x14ac:dyDescent="0.25">
      <c r="A11220" s="17" t="s">
        <v>30780</v>
      </c>
      <c r="B11220" s="17" t="s">
        <v>70</v>
      </c>
      <c r="C11220" s="17" t="s">
        <v>71</v>
      </c>
      <c r="D11220" t="s">
        <v>30781</v>
      </c>
      <c r="F11220" t="s">
        <v>30782</v>
      </c>
      <c r="J11220" s="17" t="s">
        <v>30783</v>
      </c>
      <c r="K11220" s="18">
        <f>819058753475</f>
        <v>819058753475</v>
      </c>
      <c r="N11220" s="17" t="s">
        <v>77</v>
      </c>
      <c r="U11220" s="17"/>
      <c r="V11220" s="18">
        <f>819058753475</f>
        <v>819058753475</v>
      </c>
      <c r="W11220" t="s">
        <v>2500</v>
      </c>
    </row>
    <row r="11221" ht="15" customHeight="1" spans="1:22" x14ac:dyDescent="0.25">
      <c r="A11221" s="17" t="s">
        <v>30784</v>
      </c>
      <c r="B11221" s="17" t="s">
        <v>70</v>
      </c>
      <c r="C11221" s="17" t="s">
        <v>71</v>
      </c>
      <c r="D11221" t="s">
        <v>30785</v>
      </c>
      <c r="F11221" t="s">
        <v>30786</v>
      </c>
      <c r="K11221" s="18">
        <f>628123457700</f>
        <v>628123457700</v>
      </c>
      <c r="N11221" s="17" t="s">
        <v>81</v>
      </c>
      <c r="V11221" s="18">
        <f>628123457700</f>
        <v>628123457700</v>
      </c>
    </row>
    <row r="11222" ht="15" customHeight="1" spans="1:22" x14ac:dyDescent="0.25">
      <c r="A11222" s="17" t="s">
        <v>30787</v>
      </c>
      <c r="B11222" s="17" t="s">
        <v>70</v>
      </c>
      <c r="C11222" s="17" t="s">
        <v>71</v>
      </c>
      <c r="D11222" t="s">
        <v>10791</v>
      </c>
      <c r="F11222" t="s">
        <v>10791</v>
      </c>
      <c r="K11222" s="18">
        <f>628161893829</f>
        <v>628161893829</v>
      </c>
      <c r="N11222" s="17" t="s">
        <v>77</v>
      </c>
      <c r="V11222" s="18">
        <f>628161893829</f>
        <v>628161893829</v>
      </c>
    </row>
    <row r="11223" ht="15" customHeight="1" spans="1:22" x14ac:dyDescent="0.25">
      <c r="A11223" s="17" t="s">
        <v>30788</v>
      </c>
      <c r="B11223" s="17" t="s">
        <v>70</v>
      </c>
      <c r="C11223" s="17" t="s">
        <v>71</v>
      </c>
      <c r="D11223" t="s">
        <v>10791</v>
      </c>
      <c r="F11223" t="s">
        <v>30789</v>
      </c>
      <c r="K11223" s="18">
        <f>821088218439</f>
        <v>821088218439</v>
      </c>
      <c r="N11223" s="17" t="s">
        <v>77</v>
      </c>
      <c r="V11223" s="18">
        <f>821088218439</f>
        <v>821088218439</v>
      </c>
    </row>
    <row r="11224" ht="15" customHeight="1" spans="1:22" x14ac:dyDescent="0.25">
      <c r="A11224" s="17" t="s">
        <v>30790</v>
      </c>
      <c r="B11224" s="17" t="s">
        <v>70</v>
      </c>
      <c r="C11224" s="17" t="s">
        <v>71</v>
      </c>
      <c r="D11224" t="s">
        <v>10791</v>
      </c>
      <c r="F11224" t="s">
        <v>30791</v>
      </c>
      <c r="J11224" s="17" t="s">
        <v>30792</v>
      </c>
      <c r="K11224" s="18">
        <f>6281317400237</f>
        <v>6281317400237</v>
      </c>
      <c r="N11224" s="17" t="s">
        <v>77</v>
      </c>
      <c r="V11224" s="18">
        <f>6281317400237</f>
        <v>6281317400237</v>
      </c>
    </row>
    <row r="11225" ht="15" customHeight="1" spans="1:22" x14ac:dyDescent="0.25">
      <c r="A11225" s="17" t="s">
        <v>30793</v>
      </c>
      <c r="B11225" s="17" t="s">
        <v>70</v>
      </c>
      <c r="C11225" s="17" t="s">
        <v>71</v>
      </c>
      <c r="D11225" t="s">
        <v>10791</v>
      </c>
      <c r="F11225" t="s">
        <v>30794</v>
      </c>
      <c r="J11225" s="17" t="s">
        <v>30795</v>
      </c>
      <c r="K11225" s="18">
        <f>8201036310540</f>
        <v>8201036310540</v>
      </c>
      <c r="N11225" s="17" t="s">
        <v>77</v>
      </c>
      <c r="V11225" s="18">
        <f>8201036310540</f>
        <v>8201036310540</v>
      </c>
    </row>
    <row r="11226" ht="15" customHeight="1" spans="1:22" x14ac:dyDescent="0.25">
      <c r="A11226" s="17" t="s">
        <v>30796</v>
      </c>
      <c r="B11226" s="17" t="s">
        <v>70</v>
      </c>
      <c r="C11226" s="17" t="s">
        <v>71</v>
      </c>
      <c r="D11226" t="s">
        <v>10791</v>
      </c>
      <c r="F11226" t="s">
        <v>30797</v>
      </c>
      <c r="K11226" s="18">
        <f>6281818908393</f>
        <v>6281818908393</v>
      </c>
      <c r="N11226" s="17" t="s">
        <v>77</v>
      </c>
      <c r="V11226" s="18">
        <f>6281818908393</f>
        <v>6281818908393</v>
      </c>
    </row>
    <row r="11227" ht="15" customHeight="1" spans="1:22" x14ac:dyDescent="0.25">
      <c r="A11227" s="17" t="s">
        <v>30798</v>
      </c>
      <c r="B11227" s="17" t="s">
        <v>70</v>
      </c>
      <c r="C11227" s="17" t="s">
        <v>71</v>
      </c>
      <c r="D11227" t="s">
        <v>30799</v>
      </c>
      <c r="F11227" t="s">
        <v>30800</v>
      </c>
      <c r="K11227" s="18">
        <f>628197224484</f>
        <v>628197224484</v>
      </c>
      <c r="N11227" s="17" t="s">
        <v>81</v>
      </c>
      <c r="V11227" s="18">
        <f>628197224484</f>
        <v>628197224484</v>
      </c>
    </row>
    <row r="11228" ht="15" customHeight="1" spans="1:22" x14ac:dyDescent="0.25">
      <c r="A11228" s="17" t="s">
        <v>30801</v>
      </c>
      <c r="B11228" s="17" t="s">
        <v>70</v>
      </c>
      <c r="C11228" s="17" t="s">
        <v>71</v>
      </c>
      <c r="D11228" t="s">
        <v>30802</v>
      </c>
      <c r="F11228" t="s">
        <v>30803</v>
      </c>
      <c r="K11228" s="18">
        <f>6281281516818</f>
        <v>6281281516818</v>
      </c>
      <c r="N11228" s="17" t="s">
        <v>77</v>
      </c>
      <c r="V11228" s="18">
        <f>6281281516818</f>
        <v>6281281516818</v>
      </c>
    </row>
    <row r="11229" ht="15" customHeight="1" spans="1:23" x14ac:dyDescent="0.25">
      <c r="A11229" s="17" t="s">
        <v>30804</v>
      </c>
      <c r="B11229" s="17" t="s">
        <v>70</v>
      </c>
      <c r="C11229" s="17" t="s">
        <v>71</v>
      </c>
      <c r="D11229" t="s">
        <v>30805</v>
      </c>
      <c r="F11229" t="s">
        <v>30806</v>
      </c>
      <c r="K11229" s="18">
        <f>62811993339</f>
        <v>62811993339</v>
      </c>
      <c r="N11229" s="17" t="s">
        <v>77</v>
      </c>
      <c r="U11229" s="17"/>
      <c r="V11229" s="18">
        <f>62811993339</f>
        <v>62811993339</v>
      </c>
      <c r="W11229" t="s">
        <v>30807</v>
      </c>
    </row>
    <row r="11230" ht="15" customHeight="1" spans="1:22" x14ac:dyDescent="0.25">
      <c r="A11230" s="17" t="s">
        <v>30808</v>
      </c>
      <c r="B11230" s="17" t="s">
        <v>70</v>
      </c>
      <c r="C11230" s="17" t="s">
        <v>71</v>
      </c>
      <c r="D11230" t="s">
        <v>30809</v>
      </c>
      <c r="F11230" t="s">
        <v>30809</v>
      </c>
      <c r="K11230" s="18">
        <f>628568284000</f>
        <v>628568284000</v>
      </c>
      <c r="N11230" s="17" t="s">
        <v>77</v>
      </c>
      <c r="V11230" s="18">
        <f>628568284000</f>
        <v>628568284000</v>
      </c>
    </row>
    <row r="11231" ht="15" customHeight="1" spans="1:27" x14ac:dyDescent="0.25">
      <c r="A11231" s="17" t="s">
        <v>30810</v>
      </c>
      <c r="B11231" s="17" t="s">
        <v>70</v>
      </c>
      <c r="C11231" s="17" t="s">
        <v>71</v>
      </c>
      <c r="D11231" t="s">
        <v>30811</v>
      </c>
      <c r="F11231" t="s">
        <v>4291</v>
      </c>
      <c r="J11231" s="17" t="s">
        <v>30812</v>
      </c>
      <c r="K11231" s="18">
        <f>628113070397</f>
        <v>628113070397</v>
      </c>
      <c r="N11231" s="17" t="s">
        <v>81</v>
      </c>
      <c r="U11231" s="17"/>
      <c r="V11231" s="18">
        <f>628113070397</f>
        <v>628113070397</v>
      </c>
      <c r="W11231" t="s">
        <v>30813</v>
      </c>
      <c r="AA11231" s="17">
        <v>61251</v>
      </c>
    </row>
    <row r="11232" ht="15" customHeight="1" spans="1:22" x14ac:dyDescent="0.25">
      <c r="A11232" s="17" t="s">
        <v>30814</v>
      </c>
      <c r="B11232" s="17" t="s">
        <v>70</v>
      </c>
      <c r="C11232" s="17" t="s">
        <v>71</v>
      </c>
      <c r="D11232" t="s">
        <v>30815</v>
      </c>
      <c r="F11232" t="s">
        <v>30815</v>
      </c>
      <c r="K11232" s="18">
        <f>6281574135111</f>
        <v>6281574135111</v>
      </c>
      <c r="N11232" s="17" t="s">
        <v>74</v>
      </c>
      <c r="V11232" s="18">
        <f>6281574135111</f>
        <v>6281574135111</v>
      </c>
    </row>
    <row r="11233" ht="15" customHeight="1" spans="1:28" x14ac:dyDescent="0.25">
      <c r="A11233" s="17" t="s">
        <v>30816</v>
      </c>
      <c r="B11233" s="17" t="s">
        <v>70</v>
      </c>
      <c r="C11233" s="17" t="s">
        <v>71</v>
      </c>
      <c r="D11233" t="s">
        <v>30815</v>
      </c>
      <c r="F11233" t="s">
        <v>30817</v>
      </c>
      <c r="J11233" t="s">
        <v>115</v>
      </c>
      <c r="K11233" s="18" t="s">
        <v>30818</v>
      </c>
      <c r="N11233" s="17" t="s">
        <v>77</v>
      </c>
      <c r="O11233" t="s">
        <v>261</v>
      </c>
      <c r="U11233" s="17"/>
      <c r="V11233" s="18" t="s">
        <v>30818</v>
      </c>
      <c r="W11233" t="s">
        <v>30819</v>
      </c>
      <c r="Y11233" t="s">
        <v>90</v>
      </c>
      <c r="AA11233" t="s">
        <v>118</v>
      </c>
      <c r="AB11233" t="s">
        <v>119</v>
      </c>
    </row>
    <row r="11234" ht="15" customHeight="1" spans="1:22" x14ac:dyDescent="0.25">
      <c r="A11234" s="17" t="s">
        <v>30820</v>
      </c>
      <c r="B11234" s="17" t="s">
        <v>70</v>
      </c>
      <c r="C11234" s="17" t="s">
        <v>71</v>
      </c>
      <c r="D11234" t="s">
        <v>30815</v>
      </c>
      <c r="F11234" t="s">
        <v>30821</v>
      </c>
      <c r="K11234" s="18">
        <f>628119881115</f>
        <v>628119881115</v>
      </c>
      <c r="N11234" s="17" t="s">
        <v>81</v>
      </c>
      <c r="V11234" s="18">
        <f>628119881115</f>
        <v>628119881115</v>
      </c>
    </row>
    <row r="11235" ht="15" customHeight="1" spans="1:23" x14ac:dyDescent="0.25">
      <c r="A11235" s="17" t="s">
        <v>30822</v>
      </c>
      <c r="B11235" s="17" t="s">
        <v>70</v>
      </c>
      <c r="C11235" s="17" t="s">
        <v>71</v>
      </c>
      <c r="D11235" t="s">
        <v>30815</v>
      </c>
      <c r="F11235" t="s">
        <v>6671</v>
      </c>
      <c r="K11235" s="18">
        <f>6282112990002</f>
        <v>6282112990002</v>
      </c>
      <c r="N11235" s="17" t="s">
        <v>81</v>
      </c>
      <c r="U11235" s="17"/>
      <c r="V11235" s="18">
        <f>6282112990002</f>
        <v>6282112990002</v>
      </c>
      <c r="W11235" t="s">
        <v>30823</v>
      </c>
    </row>
    <row r="11236" ht="15" customHeight="1" spans="1:22" x14ac:dyDescent="0.25">
      <c r="A11236" s="17" t="s">
        <v>30824</v>
      </c>
      <c r="B11236" s="17" t="s">
        <v>70</v>
      </c>
      <c r="C11236" s="17" t="s">
        <v>71</v>
      </c>
      <c r="D11236" t="s">
        <v>30825</v>
      </c>
      <c r="F11236" t="s">
        <v>30826</v>
      </c>
      <c r="K11236" s="18">
        <f>628119181888</f>
        <v>628119181888</v>
      </c>
      <c r="N11236" s="17" t="s">
        <v>81</v>
      </c>
      <c r="V11236" s="18">
        <f>628119181888</f>
        <v>628119181888</v>
      </c>
    </row>
    <row r="11237" ht="15" customHeight="1" spans="1:22" x14ac:dyDescent="0.25">
      <c r="A11237" s="17" t="s">
        <v>30827</v>
      </c>
      <c r="B11237" s="17" t="s">
        <v>70</v>
      </c>
      <c r="C11237" s="17" t="s">
        <v>71</v>
      </c>
      <c r="D11237" t="s">
        <v>21321</v>
      </c>
      <c r="F11237" t="s">
        <v>21321</v>
      </c>
      <c r="K11237" s="18">
        <f>628118203293</f>
        <v>628118203293</v>
      </c>
      <c r="N11237" s="17" t="s">
        <v>81</v>
      </c>
      <c r="V11237" s="18">
        <f>628118203293</f>
        <v>628118203293</v>
      </c>
    </row>
    <row r="11238" ht="15" customHeight="1" spans="1:28" x14ac:dyDescent="0.25">
      <c r="A11238" s="17" t="s">
        <v>30828</v>
      </c>
      <c r="B11238" s="17" t="s">
        <v>70</v>
      </c>
      <c r="C11238" s="17" t="s">
        <v>71</v>
      </c>
      <c r="D11238" t="s">
        <v>30829</v>
      </c>
      <c r="F11238" t="s">
        <v>30829</v>
      </c>
      <c r="J11238" t="s">
        <v>115</v>
      </c>
      <c r="K11238" s="18" t="s">
        <v>30830</v>
      </c>
      <c r="N11238" s="17" t="s">
        <v>77</v>
      </c>
      <c r="O11238" t="s">
        <v>489</v>
      </c>
      <c r="V11238" s="18" t="s">
        <v>30830</v>
      </c>
      <c r="Y11238" t="s">
        <v>190</v>
      </c>
      <c r="AA11238" t="s">
        <v>118</v>
      </c>
      <c r="AB11238" t="s">
        <v>119</v>
      </c>
    </row>
    <row r="11239" ht="15" customHeight="1" spans="1:22" x14ac:dyDescent="0.25">
      <c r="A11239" s="17" t="s">
        <v>30831</v>
      </c>
      <c r="B11239" s="17" t="s">
        <v>70</v>
      </c>
      <c r="C11239" s="17" t="s">
        <v>71</v>
      </c>
      <c r="D11239" t="s">
        <v>4821</v>
      </c>
      <c r="F11239" t="s">
        <v>11413</v>
      </c>
      <c r="K11239" s="18">
        <f>6287884031248</f>
        <v>6287884031248</v>
      </c>
      <c r="N11239" s="17" t="s">
        <v>77</v>
      </c>
      <c r="V11239" s="18">
        <f>6287884031248</f>
        <v>6287884031248</v>
      </c>
    </row>
    <row r="11240" ht="15" customHeight="1" spans="1:22" x14ac:dyDescent="0.25">
      <c r="A11240" s="17" t="s">
        <v>30832</v>
      </c>
      <c r="B11240" s="17" t="s">
        <v>70</v>
      </c>
      <c r="C11240" s="17" t="s">
        <v>71</v>
      </c>
      <c r="D11240" t="s">
        <v>30833</v>
      </c>
      <c r="F11240" t="s">
        <v>30833</v>
      </c>
      <c r="K11240" s="18">
        <f>628127573592</f>
        <v>628127573592</v>
      </c>
      <c r="N11240" s="17" t="s">
        <v>77</v>
      </c>
      <c r="V11240" s="18">
        <f>628127573592</f>
        <v>628127573592</v>
      </c>
    </row>
    <row r="11241" ht="15" customHeight="1" spans="1:22" x14ac:dyDescent="0.25">
      <c r="A11241" s="17" t="s">
        <v>30834</v>
      </c>
      <c r="B11241" s="17" t="s">
        <v>70</v>
      </c>
      <c r="C11241" s="17" t="s">
        <v>71</v>
      </c>
      <c r="D11241" t="s">
        <v>30835</v>
      </c>
      <c r="F11241" t="s">
        <v>10984</v>
      </c>
      <c r="K11241" s="18">
        <f>6281284268239</f>
        <v>6281284268239</v>
      </c>
      <c r="N11241" s="17" t="s">
        <v>77</v>
      </c>
      <c r="V11241" s="18">
        <f>6281284268239</f>
        <v>6281284268239</v>
      </c>
    </row>
    <row r="11242" ht="15" customHeight="1" spans="1:27" x14ac:dyDescent="0.25">
      <c r="A11242" s="17" t="s">
        <v>30836</v>
      </c>
      <c r="B11242" s="17" t="s">
        <v>70</v>
      </c>
      <c r="C11242" s="17" t="s">
        <v>71</v>
      </c>
      <c r="D11242" t="s">
        <v>30837</v>
      </c>
      <c r="F11242" t="s">
        <v>7178</v>
      </c>
      <c r="J11242" s="17" t="s">
        <v>30838</v>
      </c>
      <c r="K11242" s="18">
        <f>62818150161</f>
        <v>62818150161</v>
      </c>
      <c r="N11242" s="17" t="s">
        <v>77</v>
      </c>
      <c r="U11242" s="17"/>
      <c r="V11242" s="18">
        <f>62818150161</f>
        <v>62818150161</v>
      </c>
      <c r="W11242" t="s">
        <v>30839</v>
      </c>
      <c r="Y11242" s="17" t="s">
        <v>1084</v>
      </c>
      <c r="AA11242" s="17">
        <v>14350</v>
      </c>
    </row>
    <row r="11243" ht="15" customHeight="1" spans="1:22" x14ac:dyDescent="0.25">
      <c r="A11243" s="17" t="s">
        <v>30840</v>
      </c>
      <c r="B11243" s="17" t="s">
        <v>70</v>
      </c>
      <c r="C11243" s="17" t="s">
        <v>71</v>
      </c>
      <c r="D11243" t="s">
        <v>30841</v>
      </c>
      <c r="F11243" t="s">
        <v>30842</v>
      </c>
      <c r="K11243" s="18">
        <f>6287780627488</f>
        <v>6287780627488</v>
      </c>
      <c r="N11243" s="17" t="s">
        <v>81</v>
      </c>
      <c r="V11243" s="18">
        <f>6287780627488</f>
        <v>6287780627488</v>
      </c>
    </row>
    <row r="11244" ht="15" customHeight="1" spans="1:23" x14ac:dyDescent="0.25">
      <c r="A11244" s="17" t="s">
        <v>30843</v>
      </c>
      <c r="B11244" s="17" t="s">
        <v>70</v>
      </c>
      <c r="C11244" s="17" t="s">
        <v>71</v>
      </c>
      <c r="D11244" t="s">
        <v>30844</v>
      </c>
      <c r="F11244" t="s">
        <v>618</v>
      </c>
      <c r="K11244" s="18">
        <f>62818991136</f>
        <v>62818991136</v>
      </c>
      <c r="N11244" s="17" t="s">
        <v>77</v>
      </c>
      <c r="U11244" s="17"/>
      <c r="V11244" s="18">
        <f>62818991136</f>
        <v>62818991136</v>
      </c>
      <c r="W11244" t="s">
        <v>30845</v>
      </c>
    </row>
    <row r="11245" ht="15" customHeight="1" spans="1:25" x14ac:dyDescent="0.25">
      <c r="A11245" s="17" t="s">
        <v>30846</v>
      </c>
      <c r="B11245" s="17" t="s">
        <v>70</v>
      </c>
      <c r="C11245" s="17" t="s">
        <v>71</v>
      </c>
      <c r="D11245" t="s">
        <v>30847</v>
      </c>
      <c r="F11245" t="s">
        <v>30848</v>
      </c>
      <c r="K11245" s="18">
        <f>6281285004540</f>
        <v>6281285004540</v>
      </c>
      <c r="N11245" s="17" t="s">
        <v>77</v>
      </c>
      <c r="U11245" s="17"/>
      <c r="V11245" s="18">
        <f>6281285004540</f>
        <v>6281285004540</v>
      </c>
      <c r="W11245" t="s">
        <v>30849</v>
      </c>
      <c r="Y11245" s="17" t="s">
        <v>96</v>
      </c>
    </row>
    <row r="11246" ht="15" customHeight="1" spans="1:22" x14ac:dyDescent="0.25">
      <c r="A11246" s="17" t="s">
        <v>30850</v>
      </c>
      <c r="B11246" s="17" t="s">
        <v>70</v>
      </c>
      <c r="C11246" s="17" t="s">
        <v>71</v>
      </c>
      <c r="D11246" t="s">
        <v>30847</v>
      </c>
      <c r="F11246" t="s">
        <v>30851</v>
      </c>
      <c r="K11246" s="18">
        <f>6287877877962</f>
        <v>6287877877962</v>
      </c>
      <c r="N11246" s="17" t="s">
        <v>81</v>
      </c>
      <c r="V11246" s="18">
        <f>6287877877962</f>
        <v>6287877877962</v>
      </c>
    </row>
    <row r="11247" ht="15" customHeight="1" spans="1:28" x14ac:dyDescent="0.25">
      <c r="A11247" s="17" t="s">
        <v>30852</v>
      </c>
      <c r="B11247" s="17" t="s">
        <v>70</v>
      </c>
      <c r="C11247" s="17" t="s">
        <v>71</v>
      </c>
      <c r="D11247" t="s">
        <v>22895</v>
      </c>
      <c r="F11247" t="s">
        <v>22895</v>
      </c>
      <c r="J11247" t="s">
        <v>115</v>
      </c>
      <c r="K11247" s="18" t="s">
        <v>30853</v>
      </c>
      <c r="N11247" s="17" t="s">
        <v>77</v>
      </c>
      <c r="O11247" t="s">
        <v>489</v>
      </c>
      <c r="V11247" s="18" t="s">
        <v>30853</v>
      </c>
      <c r="Y11247" t="s">
        <v>115</v>
      </c>
      <c r="AA11247" t="s">
        <v>115</v>
      </c>
      <c r="AB11247" t="s">
        <v>119</v>
      </c>
    </row>
    <row r="11248" ht="15" customHeight="1" spans="1:28" x14ac:dyDescent="0.25">
      <c r="A11248" s="17" t="s">
        <v>30854</v>
      </c>
      <c r="B11248" s="17" t="s">
        <v>70</v>
      </c>
      <c r="C11248" s="17" t="s">
        <v>71</v>
      </c>
      <c r="D11248" t="s">
        <v>22895</v>
      </c>
      <c r="F11248" t="s">
        <v>30855</v>
      </c>
      <c r="J11248" t="s">
        <v>115</v>
      </c>
      <c r="K11248" s="18" t="s">
        <v>30856</v>
      </c>
      <c r="N11248" s="17" t="s">
        <v>77</v>
      </c>
      <c r="O11248" t="s">
        <v>199</v>
      </c>
      <c r="V11248" s="18" t="s">
        <v>30856</v>
      </c>
      <c r="Y11248" t="s">
        <v>1909</v>
      </c>
      <c r="AA11248" t="s">
        <v>115</v>
      </c>
      <c r="AB11248" t="s">
        <v>1909</v>
      </c>
    </row>
    <row r="11249" ht="15" customHeight="1" spans="1:23" x14ac:dyDescent="0.25">
      <c r="A11249" s="17" t="s">
        <v>30857</v>
      </c>
      <c r="B11249" s="17" t="s">
        <v>70</v>
      </c>
      <c r="C11249" s="17" t="s">
        <v>71</v>
      </c>
      <c r="D11249" t="s">
        <v>30858</v>
      </c>
      <c r="F11249" t="s">
        <v>14260</v>
      </c>
      <c r="K11249" s="18">
        <f>79136639204</f>
        <v>79136639204</v>
      </c>
      <c r="N11249" s="17" t="s">
        <v>77</v>
      </c>
      <c r="U11249" s="17"/>
      <c r="V11249" s="18">
        <f>79136639204</f>
        <v>79136639204</v>
      </c>
      <c r="W11249" t="s">
        <v>1908</v>
      </c>
    </row>
    <row r="11250" ht="15" customHeight="1" spans="1:22" x14ac:dyDescent="0.25">
      <c r="A11250" s="17" t="s">
        <v>30859</v>
      </c>
      <c r="B11250" s="17" t="s">
        <v>70</v>
      </c>
      <c r="C11250" s="17" t="s">
        <v>71</v>
      </c>
      <c r="D11250" t="s">
        <v>6491</v>
      </c>
      <c r="F11250" t="s">
        <v>30860</v>
      </c>
      <c r="J11250" s="17" t="s">
        <v>30861</v>
      </c>
      <c r="K11250" s="18">
        <f>79299994410</f>
        <v>79299994410</v>
      </c>
      <c r="N11250" s="17" t="s">
        <v>77</v>
      </c>
      <c r="V11250" s="18">
        <f>79299994410</f>
        <v>79299994410</v>
      </c>
    </row>
    <row r="11251" ht="15" customHeight="1" spans="1:22" x14ac:dyDescent="0.25">
      <c r="A11251" s="17" t="s">
        <v>30862</v>
      </c>
      <c r="B11251" s="17" t="s">
        <v>70</v>
      </c>
      <c r="C11251" s="17" t="s">
        <v>71</v>
      </c>
      <c r="D11251" t="s">
        <v>6491</v>
      </c>
      <c r="F11251" t="s">
        <v>30863</v>
      </c>
      <c r="J11251" s="17" t="s">
        <v>30864</v>
      </c>
      <c r="K11251" s="18">
        <f>891223167761</f>
        <v>891223167761</v>
      </c>
      <c r="N11251" s="17" t="s">
        <v>77</v>
      </c>
      <c r="V11251" s="18">
        <f>891223167761</f>
        <v>891223167761</v>
      </c>
    </row>
    <row r="11252" ht="15" customHeight="1" spans="1:23" x14ac:dyDescent="0.25">
      <c r="A11252" s="17" t="s">
        <v>30865</v>
      </c>
      <c r="B11252" s="17" t="s">
        <v>70</v>
      </c>
      <c r="C11252" s="17" t="s">
        <v>71</v>
      </c>
      <c r="D11252" t="s">
        <v>6491</v>
      </c>
      <c r="F11252" t="s">
        <v>30866</v>
      </c>
      <c r="K11252" s="18">
        <f>79139602977</f>
        <v>79139602977</v>
      </c>
      <c r="N11252" s="17" t="s">
        <v>81</v>
      </c>
      <c r="U11252" s="17"/>
      <c r="V11252" s="18">
        <f>79139602977</f>
        <v>79139602977</v>
      </c>
      <c r="W11252" t="s">
        <v>1908</v>
      </c>
    </row>
    <row r="11253" ht="15" customHeight="1" spans="1:28" x14ac:dyDescent="0.25">
      <c r="A11253" s="17" t="s">
        <v>30867</v>
      </c>
      <c r="B11253" s="17" t="s">
        <v>70</v>
      </c>
      <c r="C11253" s="17" t="s">
        <v>71</v>
      </c>
      <c r="D11253" t="s">
        <v>6491</v>
      </c>
      <c r="F11253" t="s">
        <v>2087</v>
      </c>
      <c r="J11253" t="s">
        <v>115</v>
      </c>
      <c r="K11253" s="18" t="s">
        <v>30868</v>
      </c>
      <c r="N11253" s="17" t="s">
        <v>77</v>
      </c>
      <c r="O11253" t="s">
        <v>117</v>
      </c>
      <c r="U11253" s="17"/>
      <c r="V11253" s="18" t="s">
        <v>30868</v>
      </c>
      <c r="W11253" t="s">
        <v>30869</v>
      </c>
      <c r="Y11253" t="s">
        <v>90</v>
      </c>
      <c r="AA11253" t="s">
        <v>118</v>
      </c>
      <c r="AB11253" t="s">
        <v>119</v>
      </c>
    </row>
    <row r="11254" ht="15" customHeight="1" spans="1:28" x14ac:dyDescent="0.25">
      <c r="A11254" s="17" t="s">
        <v>30870</v>
      </c>
      <c r="B11254" s="17" t="s">
        <v>70</v>
      </c>
      <c r="C11254" s="17" t="s">
        <v>71</v>
      </c>
      <c r="D11254" t="s">
        <v>6491</v>
      </c>
      <c r="F11254" t="s">
        <v>30871</v>
      </c>
      <c r="J11254" t="s">
        <v>115</v>
      </c>
      <c r="K11254" s="18" t="s">
        <v>30872</v>
      </c>
      <c r="N11254" s="17" t="s">
        <v>77</v>
      </c>
      <c r="O11254" t="s">
        <v>117</v>
      </c>
      <c r="V11254" s="18" t="s">
        <v>30872</v>
      </c>
      <c r="Y11254" t="s">
        <v>181</v>
      </c>
      <c r="AA11254" t="s">
        <v>1672</v>
      </c>
      <c r="AB11254" t="s">
        <v>119</v>
      </c>
    </row>
    <row r="11255" ht="15" customHeight="1" spans="1:28" x14ac:dyDescent="0.25">
      <c r="A11255" s="17" t="s">
        <v>30873</v>
      </c>
      <c r="B11255" s="17" t="s">
        <v>70</v>
      </c>
      <c r="C11255" s="17" t="s">
        <v>71</v>
      </c>
      <c r="D11255" t="s">
        <v>6491</v>
      </c>
      <c r="F11255" t="s">
        <v>30874</v>
      </c>
      <c r="J11255" s="17" t="s">
        <v>30875</v>
      </c>
      <c r="K11255" s="18" t="s">
        <v>30876</v>
      </c>
      <c r="N11255" s="17" t="s">
        <v>77</v>
      </c>
      <c r="O11255" t="s">
        <v>145</v>
      </c>
      <c r="V11255" s="18" t="s">
        <v>30876</v>
      </c>
      <c r="Y11255" s="17" t="s">
        <v>1908</v>
      </c>
      <c r="AA11255" t="s">
        <v>115</v>
      </c>
      <c r="AB11255" t="s">
        <v>2605</v>
      </c>
    </row>
    <row r="11256" ht="15" customHeight="1" spans="1:27" x14ac:dyDescent="0.25">
      <c r="A11256" s="17" t="s">
        <v>30877</v>
      </c>
      <c r="B11256" s="17" t="s">
        <v>70</v>
      </c>
      <c r="C11256" s="17" t="s">
        <v>71</v>
      </c>
      <c r="D11256" t="s">
        <v>30878</v>
      </c>
      <c r="F11256" t="s">
        <v>1125</v>
      </c>
      <c r="K11256" s="18">
        <f>62817810982</f>
        <v>62817810982</v>
      </c>
      <c r="N11256" s="17" t="s">
        <v>77</v>
      </c>
      <c r="U11256" s="17"/>
      <c r="V11256" s="18">
        <f>62817810982</f>
        <v>62817810982</v>
      </c>
      <c r="W11256" t="s">
        <v>30879</v>
      </c>
      <c r="Y11256" s="17" t="s">
        <v>96</v>
      </c>
      <c r="AA11256" s="17">
        <v>12530</v>
      </c>
    </row>
    <row r="11257" ht="15" customHeight="1" spans="1:23" x14ac:dyDescent="0.25">
      <c r="A11257" s="17" t="s">
        <v>30880</v>
      </c>
      <c r="B11257" s="17" t="s">
        <v>70</v>
      </c>
      <c r="C11257" s="17" t="s">
        <v>71</v>
      </c>
      <c r="D11257" t="s">
        <v>19746</v>
      </c>
      <c r="F11257" t="s">
        <v>26144</v>
      </c>
      <c r="K11257" s="18">
        <f>62811167271</f>
        <v>62811167271</v>
      </c>
      <c r="N11257" s="17" t="s">
        <v>77</v>
      </c>
      <c r="U11257" s="17"/>
      <c r="V11257" s="18">
        <f>62811167271</f>
        <v>62811167271</v>
      </c>
      <c r="W11257" t="s">
        <v>30881</v>
      </c>
    </row>
    <row r="11258" ht="15" customHeight="1" spans="1:28" x14ac:dyDescent="0.25">
      <c r="A11258" s="17" t="s">
        <v>30882</v>
      </c>
      <c r="B11258" s="17" t="s">
        <v>70</v>
      </c>
      <c r="C11258" s="17" t="s">
        <v>71</v>
      </c>
      <c r="D11258" t="s">
        <v>19746</v>
      </c>
      <c r="F11258" t="s">
        <v>30883</v>
      </c>
      <c r="J11258" t="s">
        <v>30884</v>
      </c>
      <c r="K11258" s="18" t="s">
        <v>30885</v>
      </c>
      <c r="N11258" s="17" t="s">
        <v>77</v>
      </c>
      <c r="O11258" t="s">
        <v>145</v>
      </c>
      <c r="V11258" s="18" t="s">
        <v>30885</v>
      </c>
      <c r="Y11258" t="s">
        <v>181</v>
      </c>
      <c r="AA11258" t="s">
        <v>1672</v>
      </c>
      <c r="AB11258" t="s">
        <v>119</v>
      </c>
    </row>
    <row r="11259" ht="15" customHeight="1" spans="1:22" x14ac:dyDescent="0.25">
      <c r="A11259" s="17" t="s">
        <v>30886</v>
      </c>
      <c r="B11259" s="17" t="s">
        <v>70</v>
      </c>
      <c r="C11259" s="17" t="s">
        <v>71</v>
      </c>
      <c r="D11259" t="s">
        <v>2087</v>
      </c>
      <c r="F11259" t="s">
        <v>2087</v>
      </c>
      <c r="K11259" s="18">
        <f>628129988336</f>
        <v>628129988336</v>
      </c>
      <c r="N11259" s="17" t="s">
        <v>77</v>
      </c>
      <c r="V11259" s="18">
        <f>628129988336</f>
        <v>628129988336</v>
      </c>
    </row>
    <row r="11260" ht="15" customHeight="1" spans="1:22" x14ac:dyDescent="0.25">
      <c r="A11260" s="17" t="s">
        <v>30887</v>
      </c>
      <c r="B11260" s="17" t="s">
        <v>70</v>
      </c>
      <c r="C11260" s="17" t="s">
        <v>71</v>
      </c>
      <c r="D11260" t="s">
        <v>2087</v>
      </c>
      <c r="F11260" t="s">
        <v>2087</v>
      </c>
      <c r="K11260" s="18">
        <f>62811131013</f>
        <v>62811131013</v>
      </c>
      <c r="N11260" s="17" t="s">
        <v>77</v>
      </c>
      <c r="V11260" s="18">
        <f>62811131013</f>
        <v>62811131013</v>
      </c>
    </row>
    <row r="11261" ht="15" customHeight="1" spans="1:22" x14ac:dyDescent="0.25">
      <c r="A11261" s="17" t="s">
        <v>30888</v>
      </c>
      <c r="B11261" s="17" t="s">
        <v>70</v>
      </c>
      <c r="C11261" s="17" t="s">
        <v>71</v>
      </c>
      <c r="D11261" t="s">
        <v>2087</v>
      </c>
      <c r="F11261" t="s">
        <v>2087</v>
      </c>
      <c r="K11261" s="18">
        <f>628127564888</f>
        <v>628127564888</v>
      </c>
      <c r="N11261" s="17" t="s">
        <v>81</v>
      </c>
      <c r="V11261" s="18">
        <f>628127564888</f>
        <v>628127564888</v>
      </c>
    </row>
    <row r="11262" ht="15" customHeight="1" spans="1:28" x14ac:dyDescent="0.25">
      <c r="A11262" s="17" t="s">
        <v>30889</v>
      </c>
      <c r="B11262" s="17" t="s">
        <v>70</v>
      </c>
      <c r="C11262" s="17" t="s">
        <v>71</v>
      </c>
      <c r="D11262" t="s">
        <v>2087</v>
      </c>
      <c r="F11262" t="s">
        <v>30890</v>
      </c>
      <c r="J11262" t="s">
        <v>115</v>
      </c>
      <c r="K11262" s="18" t="s">
        <v>30891</v>
      </c>
      <c r="N11262" s="17" t="s">
        <v>77</v>
      </c>
      <c r="O11262" t="s">
        <v>145</v>
      </c>
      <c r="V11262" s="18" t="s">
        <v>30891</v>
      </c>
      <c r="Y11262" t="s">
        <v>115</v>
      </c>
      <c r="AA11262" t="s">
        <v>115</v>
      </c>
      <c r="AB11262" t="s">
        <v>119</v>
      </c>
    </row>
    <row r="11263" ht="15" customHeight="1" spans="1:22" x14ac:dyDescent="0.25">
      <c r="A11263" s="17" t="s">
        <v>30892</v>
      </c>
      <c r="B11263" s="17" t="s">
        <v>70</v>
      </c>
      <c r="C11263" s="17" t="s">
        <v>71</v>
      </c>
      <c r="D11263" t="s">
        <v>2087</v>
      </c>
      <c r="F11263" t="s">
        <v>7709</v>
      </c>
      <c r="K11263" s="18">
        <f>62811379776</f>
        <v>62811379776</v>
      </c>
      <c r="N11263" s="17" t="s">
        <v>81</v>
      </c>
      <c r="V11263" s="18">
        <f>62811379776</f>
        <v>62811379776</v>
      </c>
    </row>
    <row r="11264" ht="15" customHeight="1" spans="1:28" x14ac:dyDescent="0.25">
      <c r="A11264" s="17" t="s">
        <v>30893</v>
      </c>
      <c r="B11264" s="17" t="s">
        <v>70</v>
      </c>
      <c r="C11264" s="17" t="s">
        <v>71</v>
      </c>
      <c r="D11264" t="s">
        <v>2087</v>
      </c>
      <c r="F11264" t="s">
        <v>30894</v>
      </c>
      <c r="J11264" t="s">
        <v>115</v>
      </c>
      <c r="K11264" s="18" t="s">
        <v>30895</v>
      </c>
      <c r="N11264" s="17" t="s">
        <v>77</v>
      </c>
      <c r="O11264" t="s">
        <v>145</v>
      </c>
      <c r="U11264" s="17"/>
      <c r="V11264" s="18" t="s">
        <v>30895</v>
      </c>
      <c r="W11264" t="s">
        <v>30896</v>
      </c>
      <c r="Y11264" s="17" t="s">
        <v>410</v>
      </c>
      <c r="AA11264" t="s">
        <v>5299</v>
      </c>
      <c r="AB11264" t="s">
        <v>119</v>
      </c>
    </row>
    <row r="11265" ht="15" customHeight="1" spans="1:22" x14ac:dyDescent="0.25">
      <c r="A11265" s="17" t="s">
        <v>30897</v>
      </c>
      <c r="B11265" s="17" t="s">
        <v>70</v>
      </c>
      <c r="C11265" s="17" t="s">
        <v>71</v>
      </c>
      <c r="D11265" t="s">
        <v>2087</v>
      </c>
      <c r="F11265" t="s">
        <v>1754</v>
      </c>
      <c r="K11265" s="18">
        <f>6281287569118</f>
        <v>6281287569118</v>
      </c>
      <c r="N11265" s="17" t="s">
        <v>81</v>
      </c>
      <c r="V11265" s="18">
        <f>6281287569118</f>
        <v>6281287569118</v>
      </c>
    </row>
    <row r="11266" ht="15" customHeight="1" spans="1:22" x14ac:dyDescent="0.25">
      <c r="A11266" s="17" t="s">
        <v>30898</v>
      </c>
      <c r="B11266" s="17" t="s">
        <v>70</v>
      </c>
      <c r="C11266" s="17" t="s">
        <v>71</v>
      </c>
      <c r="D11266" t="s">
        <v>2087</v>
      </c>
      <c r="F11266" t="s">
        <v>30899</v>
      </c>
      <c r="K11266" s="18">
        <f>6281238811964</f>
        <v>6281238811964</v>
      </c>
      <c r="N11266" s="17" t="s">
        <v>81</v>
      </c>
      <c r="V11266" s="18">
        <f>6281238811964</f>
        <v>6281238811964</v>
      </c>
    </row>
    <row r="11267" ht="15" customHeight="1" spans="1:28" x14ac:dyDescent="0.25">
      <c r="A11267" s="17" t="s">
        <v>30900</v>
      </c>
      <c r="B11267" s="17" t="s">
        <v>70</v>
      </c>
      <c r="C11267" s="17" t="s">
        <v>71</v>
      </c>
      <c r="D11267" t="s">
        <v>2087</v>
      </c>
      <c r="F11267" t="s">
        <v>30901</v>
      </c>
      <c r="J11267" s="17" t="s">
        <v>30902</v>
      </c>
      <c r="K11267" s="18" t="s">
        <v>30903</v>
      </c>
      <c r="N11267" s="17" t="s">
        <v>77</v>
      </c>
      <c r="O11267" t="s">
        <v>145</v>
      </c>
      <c r="U11267" s="17"/>
      <c r="V11267" s="18" t="s">
        <v>30903</v>
      </c>
      <c r="W11267" t="s">
        <v>30904</v>
      </c>
      <c r="Y11267" s="17" t="s">
        <v>190</v>
      </c>
      <c r="AA11267" t="s">
        <v>118</v>
      </c>
      <c r="AB11267" t="s">
        <v>119</v>
      </c>
    </row>
    <row r="11268" ht="15" customHeight="1" spans="1:22" x14ac:dyDescent="0.25">
      <c r="A11268" s="17" t="s">
        <v>30905</v>
      </c>
      <c r="B11268" s="17" t="s">
        <v>70</v>
      </c>
      <c r="C11268" s="17" t="s">
        <v>71</v>
      </c>
      <c r="D11268" t="s">
        <v>2087</v>
      </c>
      <c r="F11268" t="s">
        <v>30906</v>
      </c>
      <c r="K11268" s="18">
        <f>62811866600</f>
        <v>62811866600</v>
      </c>
      <c r="N11268" s="17" t="s">
        <v>81</v>
      </c>
      <c r="V11268" s="18">
        <f>62811866600</f>
        <v>62811866600</v>
      </c>
    </row>
    <row r="11269" ht="15" customHeight="1" spans="1:27" x14ac:dyDescent="0.25">
      <c r="A11269" s="17" t="s">
        <v>30907</v>
      </c>
      <c r="B11269" s="17" t="s">
        <v>70</v>
      </c>
      <c r="C11269" s="17" t="s">
        <v>71</v>
      </c>
      <c r="D11269" t="s">
        <v>2087</v>
      </c>
      <c r="F11269" t="s">
        <v>30908</v>
      </c>
      <c r="J11269" s="17" t="s">
        <v>30909</v>
      </c>
      <c r="K11269" s="18">
        <v>72791919</v>
      </c>
      <c r="N11269" s="17" t="s">
        <v>74</v>
      </c>
      <c r="U11269" s="17"/>
      <c r="V11269" s="18">
        <v>72791919</v>
      </c>
      <c r="W11269" t="s">
        <v>30910</v>
      </c>
      <c r="Y11269" s="17" t="s">
        <v>96</v>
      </c>
      <c r="AA11269" s="17">
        <v>12110</v>
      </c>
    </row>
    <row r="11270" ht="15" customHeight="1" spans="1:22" x14ac:dyDescent="0.25">
      <c r="A11270" s="17" t="s">
        <v>30911</v>
      </c>
      <c r="B11270" s="17" t="s">
        <v>70</v>
      </c>
      <c r="C11270" s="17" t="s">
        <v>71</v>
      </c>
      <c r="D11270" t="s">
        <v>2087</v>
      </c>
      <c r="F11270" t="s">
        <v>30912</v>
      </c>
      <c r="K11270" s="18">
        <f>6285719198681</f>
        <v>6285719198681</v>
      </c>
      <c r="N11270" s="17" t="s">
        <v>81</v>
      </c>
      <c r="V11270" s="18">
        <f>6285719198681</f>
        <v>6285719198681</v>
      </c>
    </row>
    <row r="11271" ht="15" customHeight="1" spans="1:22" x14ac:dyDescent="0.25">
      <c r="A11271" s="17" t="s">
        <v>30913</v>
      </c>
      <c r="B11271" s="17" t="s">
        <v>70</v>
      </c>
      <c r="C11271" s="17" t="s">
        <v>71</v>
      </c>
      <c r="D11271" t="s">
        <v>2087</v>
      </c>
      <c r="F11271" t="s">
        <v>30914</v>
      </c>
      <c r="K11271" s="18">
        <f>628119597778</f>
        <v>628119597778</v>
      </c>
      <c r="N11271" s="17" t="s">
        <v>81</v>
      </c>
      <c r="V11271" s="18">
        <f>628119597778</f>
        <v>628119597778</v>
      </c>
    </row>
    <row r="11272" ht="15" customHeight="1" spans="1:28" x14ac:dyDescent="0.25">
      <c r="A11272" s="17" t="s">
        <v>30915</v>
      </c>
      <c r="B11272" s="17" t="s">
        <v>70</v>
      </c>
      <c r="C11272" s="17" t="s">
        <v>71</v>
      </c>
      <c r="D11272" t="s">
        <v>30916</v>
      </c>
      <c r="F11272" t="s">
        <v>30917</v>
      </c>
      <c r="J11272" s="17" t="s">
        <v>30918</v>
      </c>
      <c r="K11272" s="18" t="s">
        <v>30919</v>
      </c>
      <c r="N11272" s="17" t="s">
        <v>77</v>
      </c>
      <c r="O11272" t="s">
        <v>199</v>
      </c>
      <c r="U11272" s="17"/>
      <c r="V11272" s="18" t="s">
        <v>30919</v>
      </c>
      <c r="W11272" t="s">
        <v>30920</v>
      </c>
      <c r="Y11272" t="s">
        <v>115</v>
      </c>
      <c r="AA11272" t="s">
        <v>115</v>
      </c>
      <c r="AB11272" t="s">
        <v>451</v>
      </c>
    </row>
    <row r="11273" ht="15" customHeight="1" spans="1:28" x14ac:dyDescent="0.25">
      <c r="A11273" s="17" t="s">
        <v>30921</v>
      </c>
      <c r="B11273" s="17" t="s">
        <v>70</v>
      </c>
      <c r="C11273" s="17" t="s">
        <v>71</v>
      </c>
      <c r="D11273" t="s">
        <v>2087</v>
      </c>
      <c r="F11273" t="s">
        <v>30922</v>
      </c>
      <c r="J11273" s="17" t="s">
        <v>30923</v>
      </c>
      <c r="K11273" s="18" t="s">
        <v>30924</v>
      </c>
      <c r="N11273" s="17" t="s">
        <v>77</v>
      </c>
      <c r="O11273" t="s">
        <v>145</v>
      </c>
      <c r="U11273" s="17"/>
      <c r="V11273" s="18" t="s">
        <v>30924</v>
      </c>
      <c r="W11273" t="s">
        <v>30925</v>
      </c>
      <c r="Y11273" t="s">
        <v>1042</v>
      </c>
      <c r="AA11273" s="17" t="s">
        <v>30926</v>
      </c>
      <c r="AB11273" t="s">
        <v>119</v>
      </c>
    </row>
    <row r="11274" ht="15" customHeight="1" spans="1:22" x14ac:dyDescent="0.25">
      <c r="A11274" s="17" t="s">
        <v>30927</v>
      </c>
      <c r="B11274" s="17" t="s">
        <v>70</v>
      </c>
      <c r="C11274" s="17" t="s">
        <v>71</v>
      </c>
      <c r="D11274" t="s">
        <v>2087</v>
      </c>
      <c r="F11274" t="s">
        <v>12313</v>
      </c>
      <c r="K11274" s="18">
        <f>628558977777</f>
        <v>628558977777</v>
      </c>
      <c r="N11274" s="17" t="s">
        <v>77</v>
      </c>
      <c r="V11274" s="18">
        <f>628558977777</f>
        <v>628558977777</v>
      </c>
    </row>
    <row r="11275" ht="15" customHeight="1" spans="1:28" x14ac:dyDescent="0.25">
      <c r="A11275" s="17" t="s">
        <v>30928</v>
      </c>
      <c r="B11275" s="17" t="s">
        <v>70</v>
      </c>
      <c r="C11275" s="17" t="s">
        <v>71</v>
      </c>
      <c r="D11275" t="s">
        <v>2087</v>
      </c>
      <c r="F11275" t="s">
        <v>5862</v>
      </c>
      <c r="J11275" s="17" t="s">
        <v>30929</v>
      </c>
      <c r="K11275" s="18" t="s">
        <v>30930</v>
      </c>
      <c r="N11275" s="17" t="s">
        <v>77</v>
      </c>
      <c r="O11275" t="s">
        <v>117</v>
      </c>
      <c r="U11275" s="17"/>
      <c r="V11275" s="18" t="s">
        <v>30930</v>
      </c>
      <c r="W11275" t="s">
        <v>2953</v>
      </c>
      <c r="Y11275" t="s">
        <v>90</v>
      </c>
      <c r="AA11275" t="s">
        <v>118</v>
      </c>
      <c r="AB11275" t="s">
        <v>119</v>
      </c>
    </row>
    <row r="11276" ht="15" customHeight="1" spans="1:22" x14ac:dyDescent="0.25">
      <c r="A11276" s="17" t="s">
        <v>30931</v>
      </c>
      <c r="B11276" s="17" t="s">
        <v>70</v>
      </c>
      <c r="C11276" s="17" t="s">
        <v>71</v>
      </c>
      <c r="D11276" t="s">
        <v>30932</v>
      </c>
      <c r="F11276" t="s">
        <v>30769</v>
      </c>
      <c r="K11276" s="18">
        <f>62816701997</f>
        <v>62816701997</v>
      </c>
      <c r="N11276" s="17" t="s">
        <v>81</v>
      </c>
      <c r="V11276" s="18">
        <f>62816701997</f>
        <v>62816701997</v>
      </c>
    </row>
    <row r="11277" ht="15" customHeight="1" spans="1:25" x14ac:dyDescent="0.25">
      <c r="A11277" s="17" t="s">
        <v>30933</v>
      </c>
      <c r="B11277" s="17" t="s">
        <v>70</v>
      </c>
      <c r="C11277" s="17" t="s">
        <v>71</v>
      </c>
      <c r="D11277" t="s">
        <v>30934</v>
      </c>
      <c r="F11277" t="s">
        <v>30935</v>
      </c>
      <c r="K11277" s="18">
        <f>6282188243908</f>
        <v>6282188243908</v>
      </c>
      <c r="N11277" s="17" t="s">
        <v>77</v>
      </c>
      <c r="U11277" s="17"/>
      <c r="V11277" s="18">
        <f>6282188243908</f>
        <v>6282188243908</v>
      </c>
      <c r="W11277" t="s">
        <v>30936</v>
      </c>
      <c r="Y11277" s="17" t="s">
        <v>626</v>
      </c>
    </row>
    <row r="11278" ht="15" customHeight="1" spans="1:22" x14ac:dyDescent="0.25">
      <c r="A11278" s="17" t="s">
        <v>30937</v>
      </c>
      <c r="B11278" s="17" t="s">
        <v>70</v>
      </c>
      <c r="C11278" s="17" t="s">
        <v>71</v>
      </c>
      <c r="D11278" t="s">
        <v>30938</v>
      </c>
      <c r="F11278" t="s">
        <v>30938</v>
      </c>
      <c r="K11278" s="18">
        <f>628176056838</f>
        <v>628176056838</v>
      </c>
      <c r="N11278" s="17" t="s">
        <v>81</v>
      </c>
      <c r="V11278" s="18">
        <f>628176056838</f>
        <v>628176056838</v>
      </c>
    </row>
    <row r="11279" ht="15" customHeight="1" spans="1:28" x14ac:dyDescent="0.25">
      <c r="A11279" s="17" t="s">
        <v>30939</v>
      </c>
      <c r="B11279" s="17" t="s">
        <v>70</v>
      </c>
      <c r="C11279" s="17" t="s">
        <v>71</v>
      </c>
      <c r="D11279" t="s">
        <v>30938</v>
      </c>
      <c r="F11279" t="s">
        <v>18013</v>
      </c>
      <c r="J11279" t="s">
        <v>115</v>
      </c>
      <c r="K11279" s="18" t="s">
        <v>30940</v>
      </c>
      <c r="N11279" s="17" t="s">
        <v>81</v>
      </c>
      <c r="O11279" t="s">
        <v>117</v>
      </c>
      <c r="U11279" s="17"/>
      <c r="V11279" s="18" t="s">
        <v>30940</v>
      </c>
      <c r="W11279" t="s">
        <v>30941</v>
      </c>
      <c r="Y11279" t="s">
        <v>96</v>
      </c>
      <c r="AA11279" t="s">
        <v>693</v>
      </c>
      <c r="AB11279" t="s">
        <v>119</v>
      </c>
    </row>
    <row r="11280" ht="15" customHeight="1" spans="1:22" x14ac:dyDescent="0.25">
      <c r="A11280" s="17" t="s">
        <v>30942</v>
      </c>
      <c r="B11280" s="17" t="s">
        <v>70</v>
      </c>
      <c r="C11280" s="17" t="s">
        <v>71</v>
      </c>
      <c r="D11280" t="s">
        <v>30943</v>
      </c>
      <c r="F11280" t="s">
        <v>30943</v>
      </c>
      <c r="K11280" s="18">
        <f>6287727051981</f>
        <v>6287727051981</v>
      </c>
      <c r="N11280" s="17" t="s">
        <v>81</v>
      </c>
      <c r="V11280" s="18">
        <f>6287727051981</f>
        <v>6287727051981</v>
      </c>
    </row>
    <row r="11281" ht="15" customHeight="1" spans="1:23" x14ac:dyDescent="0.25">
      <c r="A11281" s="17" t="s">
        <v>30944</v>
      </c>
      <c r="B11281" s="17" t="s">
        <v>70</v>
      </c>
      <c r="C11281" s="17" t="s">
        <v>71</v>
      </c>
      <c r="D11281" t="s">
        <v>30945</v>
      </c>
      <c r="F11281" t="s">
        <v>22145</v>
      </c>
      <c r="K11281" s="18">
        <f>6281294471352</f>
        <v>6281294471352</v>
      </c>
      <c r="N11281" s="17" t="s">
        <v>81</v>
      </c>
      <c r="U11281" s="17"/>
      <c r="V11281" s="18">
        <f>6281294471352</f>
        <v>6281294471352</v>
      </c>
      <c r="W11281" t="s">
        <v>30946</v>
      </c>
    </row>
    <row r="11282" ht="15" customHeight="1" spans="1:22" x14ac:dyDescent="0.25">
      <c r="A11282" s="17" t="s">
        <v>30947</v>
      </c>
      <c r="B11282" s="17" t="s">
        <v>70</v>
      </c>
      <c r="C11282" s="17" t="s">
        <v>71</v>
      </c>
      <c r="D11282" t="s">
        <v>30948</v>
      </c>
      <c r="F11282" t="s">
        <v>30948</v>
      </c>
      <c r="K11282" s="18">
        <f>628124299288</f>
        <v>628124299288</v>
      </c>
      <c r="N11282" s="17" t="s">
        <v>81</v>
      </c>
      <c r="V11282" s="18">
        <f>628124299288</f>
        <v>628124299288</v>
      </c>
    </row>
    <row r="11283" ht="15" customHeight="1" spans="1:22" x14ac:dyDescent="0.25">
      <c r="A11283" s="17" t="s">
        <v>30949</v>
      </c>
      <c r="B11283" s="17" t="s">
        <v>70</v>
      </c>
      <c r="C11283" s="17" t="s">
        <v>71</v>
      </c>
      <c r="D11283" t="s">
        <v>30948</v>
      </c>
      <c r="F11283" t="s">
        <v>8269</v>
      </c>
      <c r="K11283" s="18">
        <f>628114323202</f>
        <v>628114323202</v>
      </c>
      <c r="N11283" s="17" t="s">
        <v>77</v>
      </c>
      <c r="V11283" s="18">
        <f>628114323202</f>
        <v>628114323202</v>
      </c>
    </row>
    <row r="11284" ht="15" customHeight="1" spans="1:25" x14ac:dyDescent="0.25">
      <c r="A11284" s="17" t="s">
        <v>30950</v>
      </c>
      <c r="B11284" s="17" t="s">
        <v>70</v>
      </c>
      <c r="C11284" s="17" t="s">
        <v>71</v>
      </c>
      <c r="D11284" t="s">
        <v>30951</v>
      </c>
      <c r="F11284" t="s">
        <v>30952</v>
      </c>
      <c r="K11284" s="18">
        <f>628116655918</f>
        <v>628116655918</v>
      </c>
      <c r="N11284" s="17" t="s">
        <v>81</v>
      </c>
      <c r="V11284" s="18">
        <f>628116655918</f>
        <v>628116655918</v>
      </c>
      <c r="Y11284" s="17" t="s">
        <v>500</v>
      </c>
    </row>
    <row r="11285" ht="15" customHeight="1" spans="1:22" x14ac:dyDescent="0.25">
      <c r="A11285" s="17" t="s">
        <v>30953</v>
      </c>
      <c r="B11285" s="17" t="s">
        <v>70</v>
      </c>
      <c r="C11285" s="17" t="s">
        <v>71</v>
      </c>
      <c r="D11285" t="s">
        <v>16086</v>
      </c>
      <c r="F11285" t="s">
        <v>16086</v>
      </c>
      <c r="K11285" s="18">
        <f>6285891376774</f>
        <v>6285891376774</v>
      </c>
      <c r="N11285" s="17" t="s">
        <v>81</v>
      </c>
      <c r="V11285" s="18">
        <f>6285891376774</f>
        <v>6285891376774</v>
      </c>
    </row>
    <row r="11286" ht="15" customHeight="1" spans="1:28" x14ac:dyDescent="0.25">
      <c r="A11286" s="17" t="s">
        <v>30954</v>
      </c>
      <c r="B11286" s="17" t="s">
        <v>70</v>
      </c>
      <c r="C11286" s="17" t="s">
        <v>71</v>
      </c>
      <c r="D11286" t="s">
        <v>16086</v>
      </c>
      <c r="F11286" t="s">
        <v>2445</v>
      </c>
      <c r="J11286" s="17" t="s">
        <v>30955</v>
      </c>
      <c r="K11286" s="18" t="s">
        <v>30956</v>
      </c>
      <c r="N11286" s="17" t="s">
        <v>77</v>
      </c>
      <c r="O11286" t="s">
        <v>117</v>
      </c>
      <c r="V11286" s="18" t="s">
        <v>30956</v>
      </c>
      <c r="Y11286" t="s">
        <v>190</v>
      </c>
      <c r="AA11286" t="s">
        <v>118</v>
      </c>
      <c r="AB11286" t="s">
        <v>119</v>
      </c>
    </row>
    <row r="11287" ht="15" customHeight="1" spans="1:23" x14ac:dyDescent="0.25">
      <c r="A11287" s="17" t="s">
        <v>30957</v>
      </c>
      <c r="B11287" s="17" t="s">
        <v>70</v>
      </c>
      <c r="C11287" s="17" t="s">
        <v>71</v>
      </c>
      <c r="D11287" t="s">
        <v>30958</v>
      </c>
      <c r="F11287" t="s">
        <v>30959</v>
      </c>
      <c r="K11287" s="18">
        <f>4799309050</f>
        <v>4799309050</v>
      </c>
      <c r="N11287" s="17" t="s">
        <v>77</v>
      </c>
      <c r="U11287" s="17"/>
      <c r="V11287" s="18">
        <f>4799309050</f>
        <v>4799309050</v>
      </c>
      <c r="W11287" t="s">
        <v>30960</v>
      </c>
    </row>
    <row r="11288" ht="15" customHeight="1" spans="1:27" x14ac:dyDescent="0.25">
      <c r="A11288" s="17" t="s">
        <v>30961</v>
      </c>
      <c r="B11288" s="17" t="s">
        <v>70</v>
      </c>
      <c r="C11288" s="17" t="s">
        <v>71</v>
      </c>
      <c r="D11288" t="s">
        <v>30962</v>
      </c>
      <c r="F11288" t="s">
        <v>30962</v>
      </c>
      <c r="K11288" s="18">
        <f>62217375357</f>
        <v>62217375357</v>
      </c>
      <c r="N11288" s="17" t="s">
        <v>77</v>
      </c>
      <c r="U11288" s="17"/>
      <c r="V11288" s="18">
        <f>62217375357</f>
        <v>62217375357</v>
      </c>
      <c r="W11288" t="s">
        <v>30963</v>
      </c>
      <c r="Y11288" s="17" t="s">
        <v>96</v>
      </c>
      <c r="AA11288" s="17" t="s">
        <v>1410</v>
      </c>
    </row>
    <row r="11289" ht="15" customHeight="1" spans="1:28" x14ac:dyDescent="0.25">
      <c r="A11289" s="17" t="s">
        <v>30964</v>
      </c>
      <c r="B11289" s="17" t="s">
        <v>70</v>
      </c>
      <c r="C11289" s="17" t="s">
        <v>71</v>
      </c>
      <c r="D11289" t="s">
        <v>30965</v>
      </c>
      <c r="F11289" t="s">
        <v>30966</v>
      </c>
      <c r="J11289" s="17" t="s">
        <v>30967</v>
      </c>
      <c r="K11289" s="18" t="s">
        <v>30968</v>
      </c>
      <c r="N11289" s="17" t="s">
        <v>77</v>
      </c>
      <c r="O11289" t="s">
        <v>261</v>
      </c>
      <c r="U11289" s="17"/>
      <c r="V11289" s="18" t="s">
        <v>30968</v>
      </c>
      <c r="W11289" t="s">
        <v>30969</v>
      </c>
      <c r="Y11289" t="s">
        <v>96</v>
      </c>
      <c r="AA11289" t="s">
        <v>693</v>
      </c>
      <c r="AB11289" t="s">
        <v>119</v>
      </c>
    </row>
    <row r="11290" ht="15" customHeight="1" spans="1:28" x14ac:dyDescent="0.25">
      <c r="A11290" s="17" t="s">
        <v>30970</v>
      </c>
      <c r="B11290" s="17" t="s">
        <v>70</v>
      </c>
      <c r="C11290" s="17" t="s">
        <v>71</v>
      </c>
      <c r="D11290" t="s">
        <v>30971</v>
      </c>
      <c r="F11290" t="s">
        <v>30972</v>
      </c>
      <c r="J11290" t="s">
        <v>115</v>
      </c>
      <c r="K11290" s="18" t="s">
        <v>30973</v>
      </c>
      <c r="N11290" s="17" t="s">
        <v>77</v>
      </c>
      <c r="O11290" t="s">
        <v>145</v>
      </c>
      <c r="U11290" s="17"/>
      <c r="V11290" s="18" t="s">
        <v>30973</v>
      </c>
      <c r="W11290" t="s">
        <v>2356</v>
      </c>
      <c r="Y11290" t="s">
        <v>115</v>
      </c>
      <c r="AA11290" t="s">
        <v>115</v>
      </c>
      <c r="AB11290" t="s">
        <v>2356</v>
      </c>
    </row>
    <row r="11291" ht="15" customHeight="1" spans="1:23" x14ac:dyDescent="0.25">
      <c r="A11291" s="17" t="s">
        <v>30974</v>
      </c>
      <c r="B11291" s="17" t="s">
        <v>70</v>
      </c>
      <c r="C11291" s="17" t="s">
        <v>71</v>
      </c>
      <c r="D11291" t="s">
        <v>6028</v>
      </c>
      <c r="F11291" t="s">
        <v>8419</v>
      </c>
      <c r="K11291" s="18">
        <f>62088294299340</f>
        <v>62088294299340</v>
      </c>
      <c r="N11291" s="17" t="s">
        <v>81</v>
      </c>
      <c r="U11291" s="17"/>
      <c r="V11291" s="18">
        <f>62088294299340</f>
        <v>62088294299340</v>
      </c>
      <c r="W11291" t="s">
        <v>2356</v>
      </c>
    </row>
    <row r="11292" ht="15" customHeight="1" spans="1:22" x14ac:dyDescent="0.25">
      <c r="A11292" s="17" t="s">
        <v>30975</v>
      </c>
      <c r="B11292" s="17" t="s">
        <v>70</v>
      </c>
      <c r="C11292" s="17" t="s">
        <v>71</v>
      </c>
      <c r="D11292" t="s">
        <v>30976</v>
      </c>
      <c r="F11292" t="s">
        <v>30977</v>
      </c>
      <c r="K11292" s="18">
        <f>62817159608</f>
        <v>62817159608</v>
      </c>
      <c r="N11292" s="17" t="s">
        <v>81</v>
      </c>
      <c r="V11292" s="18">
        <f>62817159608</f>
        <v>62817159608</v>
      </c>
    </row>
    <row r="11293" ht="15" customHeight="1" spans="1:28" x14ac:dyDescent="0.25">
      <c r="A11293" s="17" t="s">
        <v>30978</v>
      </c>
      <c r="B11293" s="17" t="s">
        <v>70</v>
      </c>
      <c r="C11293" s="17" t="s">
        <v>71</v>
      </c>
      <c r="D11293" t="s">
        <v>30979</v>
      </c>
      <c r="F11293" t="s">
        <v>30980</v>
      </c>
      <c r="J11293" s="17" t="s">
        <v>30981</v>
      </c>
      <c r="K11293" s="18" t="s">
        <v>30982</v>
      </c>
      <c r="N11293" s="17" t="s">
        <v>77</v>
      </c>
      <c r="O11293" t="s">
        <v>489</v>
      </c>
      <c r="U11293" s="17"/>
      <c r="V11293" s="18" t="s">
        <v>30982</v>
      </c>
      <c r="W11293" t="s">
        <v>30983</v>
      </c>
      <c r="Y11293" t="s">
        <v>930</v>
      </c>
      <c r="AA11293" t="s">
        <v>115</v>
      </c>
      <c r="AB11293" t="s">
        <v>930</v>
      </c>
    </row>
    <row r="11294" ht="15" customHeight="1" spans="1:22" x14ac:dyDescent="0.25">
      <c r="A11294" s="17" t="s">
        <v>30984</v>
      </c>
      <c r="B11294" s="17" t="s">
        <v>70</v>
      </c>
      <c r="C11294" s="17" t="s">
        <v>71</v>
      </c>
      <c r="D11294" t="s">
        <v>30985</v>
      </c>
      <c r="F11294" t="s">
        <v>30986</v>
      </c>
      <c r="K11294" s="18">
        <f>6285228101990</f>
        <v>6285228101990</v>
      </c>
      <c r="N11294" s="17" t="s">
        <v>81</v>
      </c>
      <c r="V11294" s="18">
        <f>6285228101990</f>
        <v>6285228101990</v>
      </c>
    </row>
    <row r="11295" ht="15" customHeight="1" spans="1:23" x14ac:dyDescent="0.25">
      <c r="A11295" s="17" t="s">
        <v>30987</v>
      </c>
      <c r="B11295" s="17" t="s">
        <v>70</v>
      </c>
      <c r="C11295" s="17" t="s">
        <v>71</v>
      </c>
      <c r="D11295" t="s">
        <v>30988</v>
      </c>
      <c r="F11295" t="s">
        <v>30989</v>
      </c>
      <c r="K11295" s="18">
        <f>6282144254782</f>
        <v>6282144254782</v>
      </c>
      <c r="N11295" s="17" t="s">
        <v>81</v>
      </c>
      <c r="U11295" s="17"/>
      <c r="V11295" s="18">
        <f>6282144254782</f>
        <v>6282144254782</v>
      </c>
      <c r="W11295" t="s">
        <v>30990</v>
      </c>
    </row>
    <row r="11296" ht="15" customHeight="1" spans="1:22" x14ac:dyDescent="0.25">
      <c r="A11296" s="17" t="s">
        <v>30991</v>
      </c>
      <c r="B11296" s="17" t="s">
        <v>70</v>
      </c>
      <c r="C11296" s="17" t="s">
        <v>71</v>
      </c>
      <c r="D11296" t="s">
        <v>30992</v>
      </c>
      <c r="F11296" t="s">
        <v>30992</v>
      </c>
      <c r="K11296" s="18">
        <f>62811884979</f>
        <v>62811884979</v>
      </c>
      <c r="N11296" s="17" t="s">
        <v>74</v>
      </c>
      <c r="V11296" s="18">
        <f>62811884979</f>
        <v>62811884979</v>
      </c>
    </row>
    <row r="11297" ht="15" customHeight="1" spans="1:22" x14ac:dyDescent="0.25">
      <c r="A11297" s="17" t="s">
        <v>30993</v>
      </c>
      <c r="B11297" s="17" t="s">
        <v>70</v>
      </c>
      <c r="C11297" s="17" t="s">
        <v>71</v>
      </c>
      <c r="D11297" t="s">
        <v>30994</v>
      </c>
      <c r="F11297" t="s">
        <v>30994</v>
      </c>
      <c r="K11297" s="18">
        <f>6281214980600</f>
        <v>6281214980600</v>
      </c>
      <c r="N11297" s="17" t="s">
        <v>81</v>
      </c>
      <c r="V11297" s="18">
        <f>6281214980600</f>
        <v>6281214980600</v>
      </c>
    </row>
    <row r="11298" ht="15" customHeight="1" spans="1:22" x14ac:dyDescent="0.25">
      <c r="A11298" s="17" t="s">
        <v>30995</v>
      </c>
      <c r="B11298" s="17" t="s">
        <v>70</v>
      </c>
      <c r="C11298" s="17" t="s">
        <v>71</v>
      </c>
      <c r="D11298" t="s">
        <v>5757</v>
      </c>
      <c r="F11298" t="s">
        <v>5757</v>
      </c>
      <c r="K11298" s="18">
        <f>628569077579</f>
        <v>628569077579</v>
      </c>
      <c r="N11298" s="17" t="s">
        <v>81</v>
      </c>
      <c r="V11298" s="18">
        <f>628569077579</f>
        <v>628569077579</v>
      </c>
    </row>
    <row r="11299" ht="15" customHeight="1" spans="1:22" x14ac:dyDescent="0.25">
      <c r="A11299" s="17" t="s">
        <v>30996</v>
      </c>
      <c r="B11299" s="17" t="s">
        <v>70</v>
      </c>
      <c r="C11299" s="17" t="s">
        <v>71</v>
      </c>
      <c r="D11299" t="s">
        <v>5757</v>
      </c>
      <c r="F11299" t="s">
        <v>498</v>
      </c>
      <c r="K11299" s="18">
        <f>62215601885</f>
        <v>62215601885</v>
      </c>
      <c r="N11299" s="17" t="s">
        <v>77</v>
      </c>
      <c r="V11299" s="18">
        <f>62215601885</f>
        <v>62215601885</v>
      </c>
    </row>
    <row r="11300" ht="15" customHeight="1" spans="1:28" x14ac:dyDescent="0.25">
      <c r="A11300" s="17" t="s">
        <v>30997</v>
      </c>
      <c r="B11300" s="17" t="s">
        <v>70</v>
      </c>
      <c r="C11300" s="17" t="s">
        <v>71</v>
      </c>
      <c r="D11300" t="s">
        <v>5757</v>
      </c>
      <c r="F11300" t="s">
        <v>30998</v>
      </c>
      <c r="J11300" t="s">
        <v>115</v>
      </c>
      <c r="K11300" s="18" t="s">
        <v>30999</v>
      </c>
      <c r="N11300" s="17" t="s">
        <v>77</v>
      </c>
      <c r="O11300" t="s">
        <v>199</v>
      </c>
      <c r="U11300" s="17"/>
      <c r="V11300" s="18" t="s">
        <v>30999</v>
      </c>
      <c r="W11300" t="s">
        <v>1638</v>
      </c>
      <c r="Y11300" t="s">
        <v>1639</v>
      </c>
      <c r="AA11300" t="s">
        <v>115</v>
      </c>
      <c r="AB11300" t="s">
        <v>119</v>
      </c>
    </row>
    <row r="11301" ht="15" customHeight="1" spans="1:28" x14ac:dyDescent="0.25">
      <c r="A11301" s="17" t="s">
        <v>31000</v>
      </c>
      <c r="B11301" s="17" t="s">
        <v>70</v>
      </c>
      <c r="C11301" s="17" t="s">
        <v>71</v>
      </c>
      <c r="D11301" t="s">
        <v>31001</v>
      </c>
      <c r="F11301" t="s">
        <v>31002</v>
      </c>
      <c r="J11301" t="s">
        <v>115</v>
      </c>
      <c r="K11301" s="18" t="s">
        <v>31003</v>
      </c>
      <c r="N11301" s="17" t="s">
        <v>77</v>
      </c>
      <c r="O11301" t="s">
        <v>117</v>
      </c>
      <c r="U11301" s="17"/>
      <c r="V11301" s="18" t="s">
        <v>31003</v>
      </c>
      <c r="W11301" t="s">
        <v>31004</v>
      </c>
      <c r="Y11301" t="s">
        <v>11019</v>
      </c>
      <c r="AA11301" t="s">
        <v>115</v>
      </c>
      <c r="AB11301" t="s">
        <v>11019</v>
      </c>
    </row>
    <row r="11302" ht="15" customHeight="1" spans="1:28" x14ac:dyDescent="0.25">
      <c r="A11302" s="17" t="s">
        <v>31005</v>
      </c>
      <c r="B11302" s="17" t="s">
        <v>70</v>
      </c>
      <c r="C11302" s="17" t="s">
        <v>71</v>
      </c>
      <c r="D11302" t="s">
        <v>31006</v>
      </c>
      <c r="F11302" t="s">
        <v>17455</v>
      </c>
      <c r="J11302" s="17" t="s">
        <v>31007</v>
      </c>
      <c r="K11302" s="18" t="s">
        <v>31008</v>
      </c>
      <c r="N11302" s="17" t="s">
        <v>77</v>
      </c>
      <c r="O11302" t="s">
        <v>261</v>
      </c>
      <c r="U11302" s="17"/>
      <c r="V11302" s="18" t="s">
        <v>31008</v>
      </c>
      <c r="W11302" t="s">
        <v>2500</v>
      </c>
      <c r="Y11302" t="s">
        <v>2500</v>
      </c>
      <c r="AA11302" t="s">
        <v>115</v>
      </c>
      <c r="AB11302" t="s">
        <v>2500</v>
      </c>
    </row>
    <row r="11303" ht="15" customHeight="1" spans="1:28" x14ac:dyDescent="0.25">
      <c r="A11303" s="17" t="s">
        <v>31009</v>
      </c>
      <c r="B11303" s="17" t="s">
        <v>70</v>
      </c>
      <c r="C11303" s="17" t="s">
        <v>71</v>
      </c>
      <c r="D11303" t="s">
        <v>31010</v>
      </c>
      <c r="F11303" t="s">
        <v>31011</v>
      </c>
      <c r="J11303" t="s">
        <v>115</v>
      </c>
      <c r="K11303" s="18" t="s">
        <v>31012</v>
      </c>
      <c r="N11303" s="17" t="s">
        <v>81</v>
      </c>
      <c r="O11303" t="s">
        <v>199</v>
      </c>
      <c r="V11303" s="18" t="s">
        <v>31012</v>
      </c>
      <c r="Y11303" t="s">
        <v>190</v>
      </c>
      <c r="AA11303" t="s">
        <v>118</v>
      </c>
      <c r="AB11303" t="s">
        <v>119</v>
      </c>
    </row>
    <row r="11304" ht="15" customHeight="1" spans="1:25" x14ac:dyDescent="0.25">
      <c r="A11304" s="17" t="s">
        <v>31013</v>
      </c>
      <c r="B11304" s="17" t="s">
        <v>70</v>
      </c>
      <c r="C11304" s="17" t="s">
        <v>71</v>
      </c>
      <c r="D11304" t="s">
        <v>31014</v>
      </c>
      <c r="F11304" t="s">
        <v>31015</v>
      </c>
      <c r="J11304" s="17" t="s">
        <v>31016</v>
      </c>
      <c r="K11304" s="18">
        <f>6281318420412</f>
        <v>6281318420412</v>
      </c>
      <c r="N11304" s="17" t="s">
        <v>81</v>
      </c>
      <c r="U11304" s="17"/>
      <c r="V11304" s="18">
        <f>6281318420412</f>
        <v>6281318420412</v>
      </c>
      <c r="W11304" t="s">
        <v>31017</v>
      </c>
      <c r="Y11304" s="17" t="s">
        <v>567</v>
      </c>
    </row>
    <row r="11305" ht="15" customHeight="1" spans="1:22" x14ac:dyDescent="0.25">
      <c r="A11305" s="17" t="s">
        <v>31018</v>
      </c>
      <c r="B11305" s="17" t="s">
        <v>70</v>
      </c>
      <c r="C11305" s="17" t="s">
        <v>71</v>
      </c>
      <c r="D11305" t="s">
        <v>31019</v>
      </c>
      <c r="F11305" t="s">
        <v>31019</v>
      </c>
      <c r="K11305" s="18">
        <f>62818982020</f>
        <v>62818982020</v>
      </c>
      <c r="N11305" s="17" t="s">
        <v>77</v>
      </c>
      <c r="V11305" s="18">
        <f>62818982020</f>
        <v>62818982020</v>
      </c>
    </row>
    <row r="11306" ht="15" customHeight="1" spans="1:22" x14ac:dyDescent="0.25">
      <c r="A11306" s="17" t="s">
        <v>31020</v>
      </c>
      <c r="B11306" s="17" t="s">
        <v>70</v>
      </c>
      <c r="C11306" s="17" t="s">
        <v>71</v>
      </c>
      <c r="D11306" t="s">
        <v>31021</v>
      </c>
      <c r="F11306" t="s">
        <v>3746</v>
      </c>
      <c r="K11306" s="18">
        <f>62811146966</f>
        <v>62811146966</v>
      </c>
      <c r="N11306" s="17" t="s">
        <v>77</v>
      </c>
      <c r="V11306" s="18">
        <f>62811146966</f>
        <v>62811146966</v>
      </c>
    </row>
    <row r="11307" ht="15" customHeight="1" spans="1:22" x14ac:dyDescent="0.25">
      <c r="A11307" s="17" t="s">
        <v>31022</v>
      </c>
      <c r="B11307" s="17" t="s">
        <v>70</v>
      </c>
      <c r="C11307" s="17" t="s">
        <v>71</v>
      </c>
      <c r="D11307" t="s">
        <v>31023</v>
      </c>
      <c r="F11307" t="s">
        <v>31023</v>
      </c>
      <c r="K11307" s="18">
        <f>6281219999357</f>
        <v>6281219999357</v>
      </c>
      <c r="N11307" s="17" t="s">
        <v>74</v>
      </c>
      <c r="V11307" s="18">
        <f>6281219999357</f>
        <v>6281219999357</v>
      </c>
    </row>
    <row r="11308" ht="15" customHeight="1" spans="1:23" x14ac:dyDescent="0.25">
      <c r="A11308" s="17" t="s">
        <v>31024</v>
      </c>
      <c r="B11308" s="17" t="s">
        <v>70</v>
      </c>
      <c r="C11308" s="17" t="s">
        <v>71</v>
      </c>
      <c r="D11308" t="s">
        <v>31025</v>
      </c>
      <c r="F11308" t="s">
        <v>6713</v>
      </c>
      <c r="K11308" s="18">
        <f>6281315860417</f>
        <v>6281315860417</v>
      </c>
      <c r="N11308" s="17" t="s">
        <v>81</v>
      </c>
      <c r="U11308" s="17"/>
      <c r="V11308" s="18">
        <f>6281315860417</f>
        <v>6281315860417</v>
      </c>
      <c r="W11308" t="s">
        <v>31026</v>
      </c>
    </row>
    <row r="11309" ht="15" customHeight="1" spans="1:28" x14ac:dyDescent="0.25">
      <c r="A11309" s="17" t="s">
        <v>31027</v>
      </c>
      <c r="B11309" s="17" t="s">
        <v>70</v>
      </c>
      <c r="C11309" s="17" t="s">
        <v>71</v>
      </c>
      <c r="D11309" t="s">
        <v>31028</v>
      </c>
      <c r="F11309" t="s">
        <v>28546</v>
      </c>
      <c r="J11309" t="s">
        <v>115</v>
      </c>
      <c r="K11309" s="18" t="s">
        <v>31029</v>
      </c>
      <c r="N11309" s="17" t="s">
        <v>77</v>
      </c>
      <c r="O11309" t="s">
        <v>145</v>
      </c>
      <c r="V11309" s="18" t="s">
        <v>31029</v>
      </c>
      <c r="Y11309" t="s">
        <v>24508</v>
      </c>
      <c r="AA11309" t="s">
        <v>115</v>
      </c>
      <c r="AB11309" t="s">
        <v>119</v>
      </c>
    </row>
    <row r="11310" ht="15" customHeight="1" spans="1:22" x14ac:dyDescent="0.25">
      <c r="A11310" s="17" t="s">
        <v>31030</v>
      </c>
      <c r="B11310" s="17" t="s">
        <v>70</v>
      </c>
      <c r="C11310" s="17" t="s">
        <v>71</v>
      </c>
      <c r="D11310" t="s">
        <v>31031</v>
      </c>
      <c r="F11310" t="s">
        <v>31031</v>
      </c>
      <c r="K11310" s="18">
        <f>628129805508</f>
        <v>628129805508</v>
      </c>
      <c r="N11310" s="17" t="s">
        <v>77</v>
      </c>
      <c r="V11310" s="18">
        <f>628129805508</f>
        <v>628129805508</v>
      </c>
    </row>
    <row r="11311" ht="15" customHeight="1" spans="1:22" x14ac:dyDescent="0.25">
      <c r="A11311" s="17" t="s">
        <v>31032</v>
      </c>
      <c r="B11311" s="17" t="s">
        <v>70</v>
      </c>
      <c r="C11311" s="17" t="s">
        <v>71</v>
      </c>
      <c r="D11311" t="s">
        <v>31033</v>
      </c>
      <c r="F11311" t="s">
        <v>31033</v>
      </c>
      <c r="K11311" s="18">
        <f>6281315090009</f>
        <v>6281315090009</v>
      </c>
      <c r="N11311" s="17" t="s">
        <v>77</v>
      </c>
      <c r="V11311" s="18">
        <f>6281315090009</f>
        <v>6281315090009</v>
      </c>
    </row>
    <row r="11312" ht="15" customHeight="1" spans="1:22" x14ac:dyDescent="0.25">
      <c r="A11312" s="17" t="s">
        <v>31034</v>
      </c>
      <c r="B11312" s="17" t="s">
        <v>70</v>
      </c>
      <c r="C11312" s="17" t="s">
        <v>71</v>
      </c>
      <c r="D11312" t="s">
        <v>31035</v>
      </c>
      <c r="F11312" t="s">
        <v>31036</v>
      </c>
      <c r="K11312" s="18">
        <f>6281806221590</f>
        <v>6281806221590</v>
      </c>
      <c r="N11312" s="17" t="s">
        <v>77</v>
      </c>
      <c r="V11312" s="18">
        <f>6281806221590</f>
        <v>6281806221590</v>
      </c>
    </row>
    <row r="11313" ht="15" customHeight="1" spans="1:28" x14ac:dyDescent="0.25">
      <c r="A11313" s="17" t="s">
        <v>31037</v>
      </c>
      <c r="B11313" s="17" t="s">
        <v>70</v>
      </c>
      <c r="C11313" s="17" t="s">
        <v>71</v>
      </c>
      <c r="D11313" t="s">
        <v>31038</v>
      </c>
      <c r="F11313" t="s">
        <v>3490</v>
      </c>
      <c r="J11313" t="s">
        <v>115</v>
      </c>
      <c r="K11313" s="18" t="s">
        <v>31039</v>
      </c>
      <c r="N11313" s="17" t="s">
        <v>74</v>
      </c>
      <c r="O11313" t="s">
        <v>199</v>
      </c>
      <c r="V11313" s="18" t="s">
        <v>31039</v>
      </c>
      <c r="Y11313" t="s">
        <v>90</v>
      </c>
      <c r="AA11313" t="s">
        <v>118</v>
      </c>
      <c r="AB11313" t="s">
        <v>119</v>
      </c>
    </row>
    <row r="11314" ht="15" customHeight="1" spans="1:22" x14ac:dyDescent="0.25">
      <c r="A11314" s="17" t="s">
        <v>31040</v>
      </c>
      <c r="B11314" s="17" t="s">
        <v>70</v>
      </c>
      <c r="C11314" s="17" t="s">
        <v>71</v>
      </c>
      <c r="D11314" t="s">
        <v>31041</v>
      </c>
      <c r="F11314" t="s">
        <v>31042</v>
      </c>
      <c r="K11314" s="18">
        <v>9031063022</v>
      </c>
      <c r="N11314" s="17" t="s">
        <v>77</v>
      </c>
      <c r="V11314" s="18">
        <v>9031063022</v>
      </c>
    </row>
    <row r="11315" ht="15" customHeight="1" spans="1:28" x14ac:dyDescent="0.25">
      <c r="A11315" s="17" t="s">
        <v>31043</v>
      </c>
      <c r="B11315" s="17" t="s">
        <v>70</v>
      </c>
      <c r="C11315" s="17" t="s">
        <v>71</v>
      </c>
      <c r="D11315" t="s">
        <v>31044</v>
      </c>
      <c r="F11315" t="s">
        <v>31045</v>
      </c>
      <c r="J11315" t="s">
        <v>115</v>
      </c>
      <c r="K11315" s="18" t="s">
        <v>31046</v>
      </c>
      <c r="N11315" s="17" t="s">
        <v>77</v>
      </c>
      <c r="O11315" t="s">
        <v>199</v>
      </c>
      <c r="V11315" s="18" t="s">
        <v>31046</v>
      </c>
      <c r="Y11315" t="s">
        <v>90</v>
      </c>
      <c r="AA11315" t="s">
        <v>118</v>
      </c>
      <c r="AB11315" t="s">
        <v>119</v>
      </c>
    </row>
    <row r="11316" ht="15" customHeight="1" spans="1:23" x14ac:dyDescent="0.25">
      <c r="A11316" s="17" t="s">
        <v>31047</v>
      </c>
      <c r="B11316" s="17" t="s">
        <v>70</v>
      </c>
      <c r="C11316" s="17" t="s">
        <v>71</v>
      </c>
      <c r="D11316" t="s">
        <v>31048</v>
      </c>
      <c r="F11316" t="s">
        <v>31049</v>
      </c>
      <c r="K11316" s="18">
        <f>905323545458</f>
        <v>905323545458</v>
      </c>
      <c r="N11316" s="17" t="s">
        <v>81</v>
      </c>
      <c r="U11316" s="17"/>
      <c r="V11316" s="18">
        <f>905323545458</f>
        <v>905323545458</v>
      </c>
      <c r="W11316" t="s">
        <v>31050</v>
      </c>
    </row>
    <row r="11317" ht="15" customHeight="1" spans="1:22" x14ac:dyDescent="0.25">
      <c r="A11317" s="17" t="s">
        <v>31051</v>
      </c>
      <c r="B11317" s="17" t="s">
        <v>70</v>
      </c>
      <c r="C11317" s="17" t="s">
        <v>71</v>
      </c>
      <c r="D11317" t="s">
        <v>31052</v>
      </c>
      <c r="F11317" t="s">
        <v>22877</v>
      </c>
      <c r="K11317" s="18">
        <f>6287889089855</f>
        <v>6287889089855</v>
      </c>
      <c r="N11317" s="17" t="s">
        <v>77</v>
      </c>
      <c r="V11317" s="18">
        <f>6287889089855</f>
        <v>6287889089855</v>
      </c>
    </row>
    <row r="11318" ht="15" customHeight="1" spans="1:27" x14ac:dyDescent="0.25">
      <c r="A11318" s="17" t="s">
        <v>31053</v>
      </c>
      <c r="B11318" s="17" t="s">
        <v>70</v>
      </c>
      <c r="C11318" s="17" t="s">
        <v>71</v>
      </c>
      <c r="D11318" t="s">
        <v>31054</v>
      </c>
      <c r="F11318" t="s">
        <v>31055</v>
      </c>
      <c r="K11318" s="18">
        <v>8306617</v>
      </c>
      <c r="N11318" s="17" t="s">
        <v>77</v>
      </c>
      <c r="U11318" s="17"/>
      <c r="V11318" s="18">
        <v>8306617</v>
      </c>
      <c r="W11318" t="s">
        <v>31056</v>
      </c>
      <c r="Y11318" s="17" t="s">
        <v>96</v>
      </c>
      <c r="AA11318" s="17" t="s">
        <v>31057</v>
      </c>
    </row>
    <row r="11319" ht="15" customHeight="1" spans="1:28" x14ac:dyDescent="0.25">
      <c r="A11319" s="17" t="s">
        <v>31058</v>
      </c>
      <c r="B11319" s="17" t="s">
        <v>70</v>
      </c>
      <c r="C11319" s="17" t="s">
        <v>71</v>
      </c>
      <c r="D11319" t="s">
        <v>31059</v>
      </c>
      <c r="F11319" t="s">
        <v>1525</v>
      </c>
      <c r="J11319" t="s">
        <v>115</v>
      </c>
      <c r="K11319" s="18" t="s">
        <v>31060</v>
      </c>
      <c r="N11319" s="17" t="s">
        <v>81</v>
      </c>
      <c r="O11319" t="s">
        <v>117</v>
      </c>
      <c r="V11319" s="18" t="s">
        <v>31060</v>
      </c>
      <c r="Y11319" t="s">
        <v>90</v>
      </c>
      <c r="AA11319" t="s">
        <v>118</v>
      </c>
      <c r="AB11319" t="s">
        <v>119</v>
      </c>
    </row>
    <row r="11320" ht="15" customHeight="1" spans="1:23" x14ac:dyDescent="0.25">
      <c r="A11320" s="17" t="s">
        <v>31061</v>
      </c>
      <c r="B11320" s="17" t="s">
        <v>70</v>
      </c>
      <c r="C11320" s="17" t="s">
        <v>71</v>
      </c>
      <c r="D11320" t="s">
        <v>31059</v>
      </c>
      <c r="F11320" t="s">
        <v>1525</v>
      </c>
      <c r="K11320" s="18">
        <f>62215736226</f>
        <v>62215736226</v>
      </c>
      <c r="N11320" s="17" t="s">
        <v>81</v>
      </c>
      <c r="U11320" s="17"/>
      <c r="V11320" s="18">
        <f>62215736226</f>
        <v>62215736226</v>
      </c>
      <c r="W11320" t="s">
        <v>31062</v>
      </c>
    </row>
    <row r="11321" ht="15" customHeight="1" spans="1:23" x14ac:dyDescent="0.25">
      <c r="A11321" s="17" t="s">
        <v>31063</v>
      </c>
      <c r="B11321" s="17" t="s">
        <v>70</v>
      </c>
      <c r="C11321" s="17" t="s">
        <v>71</v>
      </c>
      <c r="D11321" t="s">
        <v>31064</v>
      </c>
      <c r="F11321" t="s">
        <v>31065</v>
      </c>
      <c r="K11321" s="18">
        <f>1347552965</f>
        <v>1347552965</v>
      </c>
      <c r="N11321" s="17" t="s">
        <v>77</v>
      </c>
      <c r="U11321" s="17"/>
      <c r="V11321" s="18">
        <f>1347552965</f>
        <v>1347552965</v>
      </c>
      <c r="W11321" t="s">
        <v>1908</v>
      </c>
    </row>
    <row r="11322" ht="15" customHeight="1" spans="1:22" x14ac:dyDescent="0.25">
      <c r="A11322" s="17" t="s">
        <v>31066</v>
      </c>
      <c r="B11322" s="17" t="s">
        <v>70</v>
      </c>
      <c r="C11322" s="17" t="s">
        <v>71</v>
      </c>
      <c r="D11322" t="s">
        <v>31067</v>
      </c>
      <c r="F11322" t="s">
        <v>31067</v>
      </c>
      <c r="K11322" s="18">
        <f>628170000008</f>
        <v>628170000008</v>
      </c>
      <c r="N11322" s="17" t="s">
        <v>77</v>
      </c>
      <c r="V11322" s="18">
        <f>628170000008</f>
        <v>628170000008</v>
      </c>
    </row>
    <row r="11323" ht="15" customHeight="1" spans="1:28" x14ac:dyDescent="0.25">
      <c r="A11323" s="17" t="s">
        <v>31068</v>
      </c>
      <c r="B11323" s="17" t="s">
        <v>70</v>
      </c>
      <c r="C11323" s="17" t="s">
        <v>71</v>
      </c>
      <c r="D11323" t="s">
        <v>31069</v>
      </c>
      <c r="F11323" t="s">
        <v>31070</v>
      </c>
      <c r="J11323" s="17" t="s">
        <v>31071</v>
      </c>
      <c r="K11323" s="18" t="s">
        <v>31072</v>
      </c>
      <c r="N11323" s="17" t="s">
        <v>77</v>
      </c>
      <c r="O11323" t="s">
        <v>145</v>
      </c>
      <c r="U11323" s="17"/>
      <c r="V11323" s="18" t="s">
        <v>31072</v>
      </c>
      <c r="W11323" t="s">
        <v>1585</v>
      </c>
      <c r="Y11323" t="s">
        <v>115</v>
      </c>
      <c r="AA11323" t="s">
        <v>115</v>
      </c>
      <c r="AB11323" t="s">
        <v>1586</v>
      </c>
    </row>
    <row r="11324" ht="15" customHeight="1" spans="1:22" x14ac:dyDescent="0.25">
      <c r="A11324" s="17" t="s">
        <v>31073</v>
      </c>
      <c r="B11324" s="17" t="s">
        <v>70</v>
      </c>
      <c r="C11324" s="17" t="s">
        <v>71</v>
      </c>
      <c r="D11324" t="s">
        <v>9766</v>
      </c>
      <c r="F11324" t="s">
        <v>4708</v>
      </c>
      <c r="K11324" s="18">
        <f>62811855121</f>
        <v>62811855121</v>
      </c>
      <c r="N11324" s="17" t="s">
        <v>81</v>
      </c>
      <c r="V11324" s="18">
        <f>62811855121</f>
        <v>62811855121</v>
      </c>
    </row>
    <row r="11325" ht="15" customHeight="1" spans="1:22" x14ac:dyDescent="0.25">
      <c r="A11325" s="17" t="s">
        <v>31074</v>
      </c>
      <c r="B11325" s="17" t="s">
        <v>70</v>
      </c>
      <c r="C11325" s="17" t="s">
        <v>71</v>
      </c>
      <c r="D11325" t="s">
        <v>29898</v>
      </c>
      <c r="F11325" t="s">
        <v>29898</v>
      </c>
      <c r="K11325" s="18">
        <f>628170716032</f>
        <v>628170716032</v>
      </c>
      <c r="N11325" s="17" t="s">
        <v>77</v>
      </c>
      <c r="V11325" s="18">
        <f>628170716032</f>
        <v>628170716032</v>
      </c>
    </row>
    <row r="11326" ht="15" customHeight="1" spans="1:22" x14ac:dyDescent="0.25">
      <c r="A11326" s="17" t="s">
        <v>31075</v>
      </c>
      <c r="B11326" s="17" t="s">
        <v>70</v>
      </c>
      <c r="C11326" s="17" t="s">
        <v>71</v>
      </c>
      <c r="D11326" t="s">
        <v>29898</v>
      </c>
      <c r="F11326" t="s">
        <v>29898</v>
      </c>
      <c r="K11326" s="18">
        <v>81287996369</v>
      </c>
      <c r="N11326" s="17" t="s">
        <v>81</v>
      </c>
      <c r="V11326" s="18">
        <v>81287996369</v>
      </c>
    </row>
    <row r="11327" ht="15" customHeight="1" spans="1:22" x14ac:dyDescent="0.25">
      <c r="A11327" s="17" t="s">
        <v>31076</v>
      </c>
      <c r="B11327" s="17" t="s">
        <v>70</v>
      </c>
      <c r="C11327" s="17" t="s">
        <v>71</v>
      </c>
      <c r="D11327" t="s">
        <v>29898</v>
      </c>
      <c r="F11327" t="s">
        <v>4458</v>
      </c>
      <c r="K11327" s="18">
        <v>99835955</v>
      </c>
      <c r="N11327" s="17" t="s">
        <v>77</v>
      </c>
      <c r="V11327" s="18">
        <v>99835955</v>
      </c>
    </row>
    <row r="11328" ht="15" customHeight="1" spans="1:28" x14ac:dyDescent="0.25">
      <c r="A11328" s="17" t="s">
        <v>31077</v>
      </c>
      <c r="B11328" s="17" t="s">
        <v>70</v>
      </c>
      <c r="C11328" s="17" t="s">
        <v>71</v>
      </c>
      <c r="D11328" t="s">
        <v>29898</v>
      </c>
      <c r="F11328" t="s">
        <v>22285</v>
      </c>
      <c r="J11328" s="17" t="s">
        <v>31078</v>
      </c>
      <c r="K11328" s="18" t="s">
        <v>31079</v>
      </c>
      <c r="N11328" s="17" t="s">
        <v>77</v>
      </c>
      <c r="O11328" t="s">
        <v>199</v>
      </c>
      <c r="V11328" s="18" t="s">
        <v>31079</v>
      </c>
      <c r="Y11328" t="s">
        <v>190</v>
      </c>
      <c r="AA11328" t="s">
        <v>118</v>
      </c>
      <c r="AB11328" t="s">
        <v>119</v>
      </c>
    </row>
    <row r="11329" ht="15" customHeight="1" spans="1:22" x14ac:dyDescent="0.25">
      <c r="A11329" s="17" t="s">
        <v>31080</v>
      </c>
      <c r="B11329" s="17" t="s">
        <v>70</v>
      </c>
      <c r="C11329" s="17" t="s">
        <v>71</v>
      </c>
      <c r="D11329" t="s">
        <v>29898</v>
      </c>
      <c r="F11329" t="s">
        <v>150</v>
      </c>
      <c r="K11329" s="18">
        <f>62818116913</f>
        <v>62818116913</v>
      </c>
      <c r="N11329" s="17" t="s">
        <v>77</v>
      </c>
      <c r="V11329" s="18">
        <f>62818116913</f>
        <v>62818116913</v>
      </c>
    </row>
    <row r="11330" ht="15" customHeight="1" spans="1:22" x14ac:dyDescent="0.25">
      <c r="A11330" s="17" t="s">
        <v>31081</v>
      </c>
      <c r="B11330" s="17" t="s">
        <v>70</v>
      </c>
      <c r="C11330" s="17" t="s">
        <v>71</v>
      </c>
      <c r="D11330" t="s">
        <v>29898</v>
      </c>
      <c r="F11330" t="s">
        <v>31082</v>
      </c>
      <c r="K11330" s="18">
        <f>6281808781993</f>
        <v>6281808781993</v>
      </c>
      <c r="N11330" s="17" t="s">
        <v>77</v>
      </c>
      <c r="V11330" s="18">
        <f>6281808781993</f>
        <v>6281808781993</v>
      </c>
    </row>
    <row r="11331" ht="15" customHeight="1" spans="1:28" x14ac:dyDescent="0.25">
      <c r="A11331" s="17" t="s">
        <v>31083</v>
      </c>
      <c r="B11331" s="17" t="s">
        <v>70</v>
      </c>
      <c r="C11331" s="17" t="s">
        <v>71</v>
      </c>
      <c r="D11331" t="s">
        <v>31084</v>
      </c>
      <c r="F11331" t="s">
        <v>31084</v>
      </c>
      <c r="J11331" t="s">
        <v>115</v>
      </c>
      <c r="K11331" s="18" t="s">
        <v>31085</v>
      </c>
      <c r="N11331" s="17" t="s">
        <v>81</v>
      </c>
      <c r="O11331" t="s">
        <v>199</v>
      </c>
      <c r="V11331" s="18" t="s">
        <v>31085</v>
      </c>
      <c r="Y11331" t="s">
        <v>115</v>
      </c>
      <c r="AA11331" t="s">
        <v>115</v>
      </c>
      <c r="AB11331" t="s">
        <v>119</v>
      </c>
    </row>
    <row r="11332" ht="15" customHeight="1" spans="1:28" x14ac:dyDescent="0.25">
      <c r="A11332" s="17" t="s">
        <v>31086</v>
      </c>
      <c r="B11332" s="17" t="s">
        <v>70</v>
      </c>
      <c r="C11332" s="17" t="s">
        <v>71</v>
      </c>
      <c r="D11332" t="s">
        <v>31087</v>
      </c>
      <c r="F11332" t="s">
        <v>5942</v>
      </c>
      <c r="J11332" t="s">
        <v>115</v>
      </c>
      <c r="K11332" s="18" t="s">
        <v>31088</v>
      </c>
      <c r="N11332" s="17" t="s">
        <v>77</v>
      </c>
      <c r="O11332" t="s">
        <v>117</v>
      </c>
      <c r="U11332" s="17"/>
      <c r="V11332" s="18" t="s">
        <v>31088</v>
      </c>
      <c r="W11332" t="s">
        <v>31089</v>
      </c>
      <c r="Y11332" t="s">
        <v>3140</v>
      </c>
      <c r="AA11332" t="s">
        <v>115</v>
      </c>
      <c r="AB11332" t="s">
        <v>3140</v>
      </c>
    </row>
    <row r="11333" ht="15" customHeight="1" spans="1:22" x14ac:dyDescent="0.25">
      <c r="A11333" s="17" t="s">
        <v>31090</v>
      </c>
      <c r="B11333" s="17" t="s">
        <v>70</v>
      </c>
      <c r="C11333" s="17" t="s">
        <v>71</v>
      </c>
      <c r="D11333" t="s">
        <v>31091</v>
      </c>
      <c r="F11333" t="s">
        <v>31091</v>
      </c>
      <c r="K11333" s="18">
        <f>62816820437</f>
        <v>62816820437</v>
      </c>
      <c r="N11333" s="17" t="s">
        <v>81</v>
      </c>
      <c r="V11333" s="18">
        <f>62816820437</f>
        <v>62816820437</v>
      </c>
    </row>
    <row r="11334" ht="15" customHeight="1" spans="1:22" x14ac:dyDescent="0.25">
      <c r="A11334" s="17" t="s">
        <v>31092</v>
      </c>
      <c r="B11334" s="17" t="s">
        <v>70</v>
      </c>
      <c r="C11334" s="17" t="s">
        <v>71</v>
      </c>
      <c r="D11334" t="s">
        <v>31091</v>
      </c>
      <c r="F11334" t="s">
        <v>10483</v>
      </c>
      <c r="K11334" s="18">
        <f>628184004408</f>
        <v>628184004408</v>
      </c>
      <c r="N11334" s="17" t="s">
        <v>77</v>
      </c>
      <c r="V11334" s="18">
        <f>628184004408</f>
        <v>628184004408</v>
      </c>
    </row>
    <row r="11335" ht="15" customHeight="1" spans="1:22" x14ac:dyDescent="0.25">
      <c r="A11335" s="17" t="s">
        <v>31093</v>
      </c>
      <c r="B11335" s="17" t="s">
        <v>70</v>
      </c>
      <c r="C11335" s="17" t="s">
        <v>71</v>
      </c>
      <c r="D11335" t="s">
        <v>31091</v>
      </c>
      <c r="F11335" t="s">
        <v>31094</v>
      </c>
      <c r="K11335" s="18">
        <f>628125032221</f>
        <v>628125032221</v>
      </c>
      <c r="N11335" s="17" t="s">
        <v>81</v>
      </c>
      <c r="V11335" s="18">
        <f>628125032221</f>
        <v>628125032221</v>
      </c>
    </row>
    <row r="11336" ht="15" customHeight="1" spans="1:23" x14ac:dyDescent="0.25">
      <c r="A11336" s="17" t="s">
        <v>31095</v>
      </c>
      <c r="B11336" s="17" t="s">
        <v>70</v>
      </c>
      <c r="C11336" s="17" t="s">
        <v>71</v>
      </c>
      <c r="D11336" t="s">
        <v>31096</v>
      </c>
      <c r="F11336" t="s">
        <v>31097</v>
      </c>
      <c r="K11336" s="18">
        <f>79649424548</f>
        <v>79649424548</v>
      </c>
      <c r="N11336" s="17" t="s">
        <v>77</v>
      </c>
      <c r="U11336" s="17"/>
      <c r="V11336" s="18">
        <f>79649424548</f>
        <v>79649424548</v>
      </c>
      <c r="W11336" t="s">
        <v>1909</v>
      </c>
    </row>
    <row r="11337" ht="15" customHeight="1" spans="1:23" x14ac:dyDescent="0.25">
      <c r="A11337" s="17" t="s">
        <v>31098</v>
      </c>
      <c r="B11337" s="17" t="s">
        <v>70</v>
      </c>
      <c r="C11337" s="17" t="s">
        <v>71</v>
      </c>
      <c r="D11337" t="s">
        <v>31096</v>
      </c>
      <c r="F11337" t="s">
        <v>31099</v>
      </c>
      <c r="K11337" s="18">
        <f>3806263760803</f>
        <v>3806263760803</v>
      </c>
      <c r="N11337" s="17" t="s">
        <v>77</v>
      </c>
      <c r="U11337" s="17"/>
      <c r="V11337" s="18">
        <f>3806263760803</f>
        <v>3806263760803</v>
      </c>
      <c r="W11337" t="s">
        <v>2914</v>
      </c>
    </row>
    <row r="11338" ht="15" customHeight="1" spans="1:22" x14ac:dyDescent="0.25">
      <c r="A11338" s="17" t="s">
        <v>31100</v>
      </c>
      <c r="B11338" s="17" t="s">
        <v>70</v>
      </c>
      <c r="C11338" s="17" t="s">
        <v>71</v>
      </c>
      <c r="D11338" t="s">
        <v>31101</v>
      </c>
      <c r="F11338" t="s">
        <v>31101</v>
      </c>
      <c r="K11338" s="18">
        <f>62811129879</f>
        <v>62811129879</v>
      </c>
      <c r="N11338" s="17" t="s">
        <v>77</v>
      </c>
      <c r="V11338" s="18">
        <f>62811129879</f>
        <v>62811129879</v>
      </c>
    </row>
    <row r="11339" ht="15" customHeight="1" spans="1:22" x14ac:dyDescent="0.25">
      <c r="A11339" s="17" t="s">
        <v>31102</v>
      </c>
      <c r="B11339" s="17" t="s">
        <v>70</v>
      </c>
      <c r="C11339" s="17" t="s">
        <v>71</v>
      </c>
      <c r="D11339" t="s">
        <v>31103</v>
      </c>
      <c r="F11339" t="s">
        <v>602</v>
      </c>
      <c r="K11339" s="18">
        <f>6282254994422</f>
        <v>6282254994422</v>
      </c>
      <c r="N11339" s="17" t="s">
        <v>81</v>
      </c>
      <c r="V11339" s="18">
        <f>6282254994422</f>
        <v>6282254994422</v>
      </c>
    </row>
    <row r="11340" ht="15" customHeight="1" spans="1:25" x14ac:dyDescent="0.25">
      <c r="A11340" s="17" t="s">
        <v>31104</v>
      </c>
      <c r="B11340" s="17" t="s">
        <v>70</v>
      </c>
      <c r="C11340" s="17" t="s">
        <v>71</v>
      </c>
      <c r="D11340" t="s">
        <v>31103</v>
      </c>
      <c r="F11340" t="s">
        <v>2816</v>
      </c>
      <c r="K11340" s="18">
        <f>62817187187</f>
        <v>62817187187</v>
      </c>
      <c r="N11340" s="17" t="s">
        <v>77</v>
      </c>
      <c r="U11340" s="17"/>
      <c r="V11340" s="18">
        <f>62817187187</f>
        <v>62817187187</v>
      </c>
      <c r="W11340" t="s">
        <v>31105</v>
      </c>
      <c r="Y11340" s="17" t="s">
        <v>217</v>
      </c>
    </row>
    <row r="11341" ht="15" customHeight="1" spans="1:23" x14ac:dyDescent="0.25">
      <c r="A11341" s="17" t="s">
        <v>31106</v>
      </c>
      <c r="B11341" s="17" t="s">
        <v>70</v>
      </c>
      <c r="C11341" s="17" t="s">
        <v>71</v>
      </c>
      <c r="D11341" t="s">
        <v>31107</v>
      </c>
      <c r="F11341" t="s">
        <v>31108</v>
      </c>
      <c r="K11341" s="18">
        <f>6281314826939</f>
        <v>6281314826939</v>
      </c>
      <c r="N11341" s="17" t="s">
        <v>81</v>
      </c>
      <c r="U11341" s="17"/>
      <c r="V11341" s="18">
        <f>6281314826939</f>
        <v>6281314826939</v>
      </c>
      <c r="W11341" t="s">
        <v>31109</v>
      </c>
    </row>
    <row r="11342" ht="15" customHeight="1" spans="1:23" x14ac:dyDescent="0.25">
      <c r="A11342" s="17" t="s">
        <v>31110</v>
      </c>
      <c r="B11342" s="17" t="s">
        <v>70</v>
      </c>
      <c r="C11342" s="17" t="s">
        <v>71</v>
      </c>
      <c r="D11342" t="s">
        <v>31107</v>
      </c>
      <c r="F11342" t="s">
        <v>7080</v>
      </c>
      <c r="J11342" s="17" t="s">
        <v>31111</v>
      </c>
      <c r="K11342" s="18">
        <f>628111543211</f>
        <v>628111543211</v>
      </c>
      <c r="N11342" s="17" t="s">
        <v>77</v>
      </c>
      <c r="U11342" s="17"/>
      <c r="V11342" s="18">
        <f>628111543211</f>
        <v>628111543211</v>
      </c>
      <c r="W11342" t="s">
        <v>31112</v>
      </c>
    </row>
    <row r="11343" ht="15" customHeight="1" spans="1:25" x14ac:dyDescent="0.25">
      <c r="A11343" s="17" t="s">
        <v>31113</v>
      </c>
      <c r="B11343" s="17" t="s">
        <v>70</v>
      </c>
      <c r="C11343" s="17" t="s">
        <v>71</v>
      </c>
      <c r="D11343" t="s">
        <v>31107</v>
      </c>
      <c r="F11343" t="s">
        <v>4291</v>
      </c>
      <c r="J11343" s="17" t="s">
        <v>31114</v>
      </c>
      <c r="K11343" s="18">
        <f>62811871527</f>
        <v>62811871527</v>
      </c>
      <c r="N11343" s="17" t="s">
        <v>77</v>
      </c>
      <c r="U11343" s="17"/>
      <c r="V11343" s="18">
        <f>62811871527</f>
        <v>62811871527</v>
      </c>
      <c r="W11343" t="s">
        <v>31115</v>
      </c>
      <c r="Y11343" s="17" t="s">
        <v>90</v>
      </c>
    </row>
    <row r="11344" ht="15" customHeight="1" spans="1:28" x14ac:dyDescent="0.25">
      <c r="A11344" s="17" t="s">
        <v>31116</v>
      </c>
      <c r="B11344" s="17" t="s">
        <v>70</v>
      </c>
      <c r="C11344" s="17" t="s">
        <v>71</v>
      </c>
      <c r="D11344" t="s">
        <v>31117</v>
      </c>
      <c r="F11344" t="s">
        <v>31118</v>
      </c>
      <c r="J11344" s="17" t="s">
        <v>31119</v>
      </c>
      <c r="K11344" s="18" t="s">
        <v>31120</v>
      </c>
      <c r="N11344" s="17" t="s">
        <v>77</v>
      </c>
      <c r="O11344" t="s">
        <v>145</v>
      </c>
      <c r="U11344" s="17"/>
      <c r="V11344" s="18" t="s">
        <v>31120</v>
      </c>
      <c r="W11344" t="s">
        <v>5437</v>
      </c>
      <c r="Y11344" t="s">
        <v>1349</v>
      </c>
      <c r="AA11344" t="s">
        <v>115</v>
      </c>
      <c r="AB11344" t="s">
        <v>1349</v>
      </c>
    </row>
    <row r="11345" ht="15" customHeight="1" spans="1:22" x14ac:dyDescent="0.25">
      <c r="A11345" s="17" t="s">
        <v>31121</v>
      </c>
      <c r="B11345" s="17" t="s">
        <v>70</v>
      </c>
      <c r="C11345" s="17" t="s">
        <v>71</v>
      </c>
      <c r="D11345" t="s">
        <v>31122</v>
      </c>
      <c r="F11345" t="s">
        <v>31122</v>
      </c>
      <c r="K11345" s="18">
        <f>6285882680707</f>
        <v>6285882680707</v>
      </c>
      <c r="N11345" s="17" t="s">
        <v>81</v>
      </c>
      <c r="V11345" s="18">
        <f>6285882680707</f>
        <v>6285882680707</v>
      </c>
    </row>
    <row r="11346" ht="15" customHeight="1" spans="1:28" x14ac:dyDescent="0.25">
      <c r="A11346" s="17" t="s">
        <v>31123</v>
      </c>
      <c r="B11346" s="17" t="s">
        <v>70</v>
      </c>
      <c r="C11346" s="17" t="s">
        <v>71</v>
      </c>
      <c r="D11346" t="s">
        <v>31124</v>
      </c>
      <c r="F11346" t="s">
        <v>2785</v>
      </c>
      <c r="J11346" t="s">
        <v>115</v>
      </c>
      <c r="K11346" s="18" t="s">
        <v>31125</v>
      </c>
      <c r="N11346" s="17" t="s">
        <v>77</v>
      </c>
      <c r="O11346" t="s">
        <v>145</v>
      </c>
      <c r="V11346" s="18" t="s">
        <v>31125</v>
      </c>
      <c r="Y11346" t="s">
        <v>90</v>
      </c>
      <c r="AA11346" t="s">
        <v>118</v>
      </c>
      <c r="AB11346" t="s">
        <v>119</v>
      </c>
    </row>
    <row r="11347" ht="15" customHeight="1" spans="1:28" x14ac:dyDescent="0.25">
      <c r="A11347" s="17" t="s">
        <v>31126</v>
      </c>
      <c r="B11347" s="17" t="s">
        <v>70</v>
      </c>
      <c r="C11347" s="17" t="s">
        <v>71</v>
      </c>
      <c r="D11347" t="s">
        <v>31127</v>
      </c>
      <c r="F11347" t="s">
        <v>25904</v>
      </c>
      <c r="J11347" t="s">
        <v>115</v>
      </c>
      <c r="K11347" s="18" t="s">
        <v>31128</v>
      </c>
      <c r="N11347" s="17" t="s">
        <v>81</v>
      </c>
      <c r="O11347" t="s">
        <v>199</v>
      </c>
      <c r="V11347" s="18" t="s">
        <v>31128</v>
      </c>
      <c r="Y11347" t="s">
        <v>190</v>
      </c>
      <c r="AA11347" t="s">
        <v>118</v>
      </c>
      <c r="AB11347" t="s">
        <v>119</v>
      </c>
    </row>
    <row r="11348" ht="15" customHeight="1" spans="1:28" x14ac:dyDescent="0.25">
      <c r="A11348" s="17" t="s">
        <v>31129</v>
      </c>
      <c r="B11348" s="17" t="s">
        <v>70</v>
      </c>
      <c r="C11348" s="17" t="s">
        <v>71</v>
      </c>
      <c r="D11348" t="s">
        <v>31130</v>
      </c>
      <c r="F11348" t="s">
        <v>31131</v>
      </c>
      <c r="J11348" t="s">
        <v>115</v>
      </c>
      <c r="K11348" s="18" t="s">
        <v>31132</v>
      </c>
      <c r="N11348" s="17" t="s">
        <v>77</v>
      </c>
      <c r="O11348" t="s">
        <v>199</v>
      </c>
      <c r="V11348" s="18" t="s">
        <v>31132</v>
      </c>
      <c r="Y11348" t="s">
        <v>90</v>
      </c>
      <c r="AA11348" t="s">
        <v>118</v>
      </c>
      <c r="AB11348" t="s">
        <v>119</v>
      </c>
    </row>
    <row r="11349" ht="15" customHeight="1" spans="1:28" x14ac:dyDescent="0.25">
      <c r="A11349" s="17" t="s">
        <v>31133</v>
      </c>
      <c r="B11349" s="17" t="s">
        <v>70</v>
      </c>
      <c r="C11349" s="17" t="s">
        <v>71</v>
      </c>
      <c r="D11349" t="s">
        <v>31134</v>
      </c>
      <c r="F11349" t="s">
        <v>983</v>
      </c>
      <c r="J11349" t="s">
        <v>115</v>
      </c>
      <c r="K11349" s="18" t="s">
        <v>31135</v>
      </c>
      <c r="N11349" s="17" t="s">
        <v>77</v>
      </c>
      <c r="O11349" t="s">
        <v>145</v>
      </c>
      <c r="U11349" s="17"/>
      <c r="V11349" s="18" t="s">
        <v>31135</v>
      </c>
      <c r="W11349" t="s">
        <v>31136</v>
      </c>
      <c r="Y11349" s="17" t="s">
        <v>90</v>
      </c>
      <c r="AA11349" s="17" t="s">
        <v>118</v>
      </c>
      <c r="AB11349" t="s">
        <v>119</v>
      </c>
    </row>
    <row r="11350" ht="15" customHeight="1" spans="1:22" x14ac:dyDescent="0.25">
      <c r="A11350" s="17" t="s">
        <v>31137</v>
      </c>
      <c r="B11350" s="17" t="s">
        <v>70</v>
      </c>
      <c r="C11350" s="17" t="s">
        <v>71</v>
      </c>
      <c r="D11350" t="s">
        <v>31138</v>
      </c>
      <c r="F11350" t="s">
        <v>3346</v>
      </c>
      <c r="K11350" s="18">
        <f>6281519131313</f>
        <v>6281519131313</v>
      </c>
      <c r="N11350" s="17" t="s">
        <v>81</v>
      </c>
      <c r="V11350" s="18">
        <f>6281519131313</f>
        <v>6281519131313</v>
      </c>
    </row>
    <row r="11351" ht="15" customHeight="1" spans="1:23" x14ac:dyDescent="0.25">
      <c r="A11351" s="17" t="s">
        <v>31139</v>
      </c>
      <c r="B11351" s="17" t="s">
        <v>70</v>
      </c>
      <c r="C11351" s="17" t="s">
        <v>71</v>
      </c>
      <c r="D11351" t="s">
        <v>31140</v>
      </c>
      <c r="F11351" t="s">
        <v>31065</v>
      </c>
      <c r="K11351" s="18">
        <f>79263940755</f>
        <v>79263940755</v>
      </c>
      <c r="N11351" s="17" t="s">
        <v>77</v>
      </c>
      <c r="U11351" s="17"/>
      <c r="V11351" s="18">
        <f>79263940755</f>
        <v>79263940755</v>
      </c>
      <c r="W11351" t="s">
        <v>1909</v>
      </c>
    </row>
    <row r="11352" ht="15" customHeight="1" spans="1:28" x14ac:dyDescent="0.25">
      <c r="A11352" s="17" t="s">
        <v>31141</v>
      </c>
      <c r="B11352" s="17" t="s">
        <v>70</v>
      </c>
      <c r="C11352" s="17" t="s">
        <v>71</v>
      </c>
      <c r="D11352" t="s">
        <v>31142</v>
      </c>
      <c r="F11352" t="s">
        <v>31143</v>
      </c>
      <c r="J11352" t="s">
        <v>115</v>
      </c>
      <c r="K11352" s="18" t="s">
        <v>31144</v>
      </c>
      <c r="N11352" s="17" t="s">
        <v>77</v>
      </c>
      <c r="O11352" t="s">
        <v>199</v>
      </c>
      <c r="V11352" s="18" t="s">
        <v>31144</v>
      </c>
      <c r="Y11352" t="s">
        <v>90</v>
      </c>
      <c r="AA11352" t="s">
        <v>118</v>
      </c>
      <c r="AB11352" t="s">
        <v>119</v>
      </c>
    </row>
    <row r="11353" ht="15" customHeight="1" spans="1:22" x14ac:dyDescent="0.25">
      <c r="A11353" s="17" t="s">
        <v>31145</v>
      </c>
      <c r="B11353" s="17" t="s">
        <v>70</v>
      </c>
      <c r="C11353" s="17" t="s">
        <v>71</v>
      </c>
      <c r="D11353" t="s">
        <v>14037</v>
      </c>
      <c r="F11353" t="s">
        <v>14037</v>
      </c>
      <c r="K11353" s="18">
        <f>628211172571</f>
        <v>628211172571</v>
      </c>
      <c r="N11353" s="17" t="s">
        <v>77</v>
      </c>
      <c r="V11353" s="18">
        <f>628211172571</f>
        <v>628211172571</v>
      </c>
    </row>
    <row r="11354" ht="15" customHeight="1" spans="1:22" x14ac:dyDescent="0.25">
      <c r="A11354" s="17" t="s">
        <v>31146</v>
      </c>
      <c r="B11354" s="17" t="s">
        <v>70</v>
      </c>
      <c r="C11354" s="17" t="s">
        <v>71</v>
      </c>
      <c r="D11354" t="s">
        <v>14037</v>
      </c>
      <c r="F11354" t="s">
        <v>14037</v>
      </c>
      <c r="K11354" s="18">
        <f>6281289991990</f>
        <v>6281289991990</v>
      </c>
      <c r="N11354" s="17" t="s">
        <v>81</v>
      </c>
      <c r="V11354" s="18">
        <f>6281289991990</f>
        <v>6281289991990</v>
      </c>
    </row>
    <row r="11355" ht="15" customHeight="1" spans="1:22" x14ac:dyDescent="0.25">
      <c r="A11355" s="17" t="s">
        <v>31147</v>
      </c>
      <c r="B11355" s="17" t="s">
        <v>70</v>
      </c>
      <c r="C11355" s="17" t="s">
        <v>71</v>
      </c>
      <c r="D11355" t="s">
        <v>14037</v>
      </c>
      <c r="F11355" t="s">
        <v>31148</v>
      </c>
      <c r="K11355" s="18">
        <f>62811981322</f>
        <v>62811981322</v>
      </c>
      <c r="N11355" s="17" t="s">
        <v>81</v>
      </c>
      <c r="V11355" s="18">
        <f>62811981322</f>
        <v>62811981322</v>
      </c>
    </row>
    <row r="11356" ht="15" customHeight="1" spans="1:28" x14ac:dyDescent="0.25">
      <c r="A11356" s="17" t="s">
        <v>31149</v>
      </c>
      <c r="B11356" s="17" t="s">
        <v>70</v>
      </c>
      <c r="C11356" s="17" t="s">
        <v>71</v>
      </c>
      <c r="D11356" t="s">
        <v>31150</v>
      </c>
      <c r="F11356" t="s">
        <v>3099</v>
      </c>
      <c r="J11356" t="s">
        <v>31151</v>
      </c>
      <c r="K11356" s="18" t="s">
        <v>31152</v>
      </c>
      <c r="N11356" s="17" t="s">
        <v>81</v>
      </c>
      <c r="O11356" t="s">
        <v>261</v>
      </c>
      <c r="V11356" s="18" t="s">
        <v>31152</v>
      </c>
      <c r="Y11356" t="s">
        <v>90</v>
      </c>
      <c r="AA11356" t="s">
        <v>118</v>
      </c>
      <c r="AB11356" t="s">
        <v>119</v>
      </c>
    </row>
    <row r="11357" ht="15" customHeight="1" spans="1:27" x14ac:dyDescent="0.25">
      <c r="A11357" s="17" t="s">
        <v>31153</v>
      </c>
      <c r="B11357" s="17" t="s">
        <v>70</v>
      </c>
      <c r="C11357" s="17" t="s">
        <v>71</v>
      </c>
      <c r="D11357" t="s">
        <v>14037</v>
      </c>
      <c r="F11357" t="s">
        <v>31154</v>
      </c>
      <c r="K11357" s="18">
        <f>628176480648</f>
        <v>628176480648</v>
      </c>
      <c r="N11357" s="17" t="s">
        <v>81</v>
      </c>
      <c r="U11357" s="17"/>
      <c r="V11357" s="18">
        <f>628176480648</f>
        <v>628176480648</v>
      </c>
      <c r="W11357" t="s">
        <v>31155</v>
      </c>
      <c r="AA11357" s="17">
        <v>12440</v>
      </c>
    </row>
    <row r="11358" ht="15" customHeight="1" spans="1:22" x14ac:dyDescent="0.25">
      <c r="A11358" s="17" t="s">
        <v>31156</v>
      </c>
      <c r="B11358" s="17" t="s">
        <v>70</v>
      </c>
      <c r="C11358" s="17" t="s">
        <v>71</v>
      </c>
      <c r="D11358" t="s">
        <v>14037</v>
      </c>
      <c r="F11358" t="s">
        <v>1850</v>
      </c>
      <c r="K11358" s="18">
        <f>62811146145</f>
        <v>62811146145</v>
      </c>
      <c r="N11358" s="17" t="s">
        <v>81</v>
      </c>
      <c r="V11358" s="18">
        <f>62811146145</f>
        <v>62811146145</v>
      </c>
    </row>
    <row r="11359" ht="15" customHeight="1" spans="1:22" x14ac:dyDescent="0.25">
      <c r="A11359" s="17" t="s">
        <v>31157</v>
      </c>
      <c r="B11359" s="17" t="s">
        <v>70</v>
      </c>
      <c r="C11359" s="17" t="s">
        <v>71</v>
      </c>
      <c r="D11359" t="s">
        <v>14037</v>
      </c>
      <c r="F11359" t="s">
        <v>19389</v>
      </c>
      <c r="K11359" s="18">
        <f>62811997452</f>
        <v>62811997452</v>
      </c>
      <c r="N11359" s="17" t="s">
        <v>81</v>
      </c>
      <c r="V11359" s="18">
        <f>62811997452</f>
        <v>62811997452</v>
      </c>
    </row>
    <row r="11360" ht="15" customHeight="1" spans="1:22" x14ac:dyDescent="0.25">
      <c r="A11360" s="17" t="s">
        <v>31158</v>
      </c>
      <c r="B11360" s="17" t="s">
        <v>70</v>
      </c>
      <c r="C11360" s="17" t="s">
        <v>71</v>
      </c>
      <c r="D11360" t="s">
        <v>7914</v>
      </c>
      <c r="F11360" t="s">
        <v>7914</v>
      </c>
      <c r="K11360" s="18">
        <f>6282237949497</f>
        <v>6282237949497</v>
      </c>
      <c r="N11360" s="17" t="s">
        <v>74</v>
      </c>
      <c r="V11360" s="18">
        <f>6282237949497</f>
        <v>6282237949497</v>
      </c>
    </row>
    <row r="11361" ht="15" customHeight="1" spans="1:23" x14ac:dyDescent="0.25">
      <c r="A11361" s="17" t="s">
        <v>31159</v>
      </c>
      <c r="B11361" s="17" t="s">
        <v>70</v>
      </c>
      <c r="C11361" s="17" t="s">
        <v>71</v>
      </c>
      <c r="D11361" t="s">
        <v>7914</v>
      </c>
      <c r="F11361" t="s">
        <v>31160</v>
      </c>
      <c r="K11361" s="18">
        <f>8210655554955</f>
        <v>8210655554955</v>
      </c>
      <c r="N11361" s="17" t="s">
        <v>77</v>
      </c>
      <c r="U11361" s="17"/>
      <c r="V11361" s="18">
        <f>8210655554955</f>
        <v>8210655554955</v>
      </c>
      <c r="W11361" t="s">
        <v>7007</v>
      </c>
    </row>
    <row r="11362" ht="15" customHeight="1" spans="1:28" x14ac:dyDescent="0.25">
      <c r="A11362" s="17" t="s">
        <v>31161</v>
      </c>
      <c r="B11362" s="17" t="s">
        <v>70</v>
      </c>
      <c r="C11362" s="17" t="s">
        <v>71</v>
      </c>
      <c r="D11362" t="s">
        <v>7914</v>
      </c>
      <c r="F11362" t="s">
        <v>31162</v>
      </c>
      <c r="J11362" t="s">
        <v>115</v>
      </c>
      <c r="K11362" s="18" t="s">
        <v>31163</v>
      </c>
      <c r="N11362" s="17" t="s">
        <v>77</v>
      </c>
      <c r="O11362" t="s">
        <v>261</v>
      </c>
      <c r="U11362" s="17"/>
      <c r="V11362" s="18" t="s">
        <v>31163</v>
      </c>
      <c r="W11362" t="s">
        <v>7007</v>
      </c>
      <c r="Y11362" t="s">
        <v>7007</v>
      </c>
      <c r="AA11362" t="s">
        <v>115</v>
      </c>
      <c r="AB11362" t="s">
        <v>119</v>
      </c>
    </row>
    <row r="11363" ht="15" customHeight="1" spans="1:27" x14ac:dyDescent="0.25">
      <c r="A11363" s="17" t="s">
        <v>31164</v>
      </c>
      <c r="B11363" s="17" t="s">
        <v>70</v>
      </c>
      <c r="C11363" s="17" t="s">
        <v>71</v>
      </c>
      <c r="D11363" t="s">
        <v>7914</v>
      </c>
      <c r="F11363" t="s">
        <v>31165</v>
      </c>
      <c r="K11363" s="18">
        <f>8201020009611</f>
        <v>8201020009611</v>
      </c>
      <c r="N11363" s="17" t="s">
        <v>77</v>
      </c>
      <c r="U11363" s="17"/>
      <c r="V11363" s="18">
        <f>8201020009611</f>
        <v>8201020009611</v>
      </c>
      <c r="W11363" t="s">
        <v>7007</v>
      </c>
      <c r="AA11363" s="17" t="s">
        <v>31166</v>
      </c>
    </row>
    <row r="11364" ht="15" customHeight="1" spans="1:22" x14ac:dyDescent="0.25">
      <c r="A11364" s="17" t="s">
        <v>31167</v>
      </c>
      <c r="B11364" s="17" t="s">
        <v>70</v>
      </c>
      <c r="C11364" s="17" t="s">
        <v>71</v>
      </c>
      <c r="D11364" t="s">
        <v>7914</v>
      </c>
      <c r="F11364" t="s">
        <v>7002</v>
      </c>
      <c r="K11364" s="18">
        <f>62816728599</f>
        <v>62816728599</v>
      </c>
      <c r="N11364" s="17" t="s">
        <v>77</v>
      </c>
      <c r="V11364" s="18">
        <f>62816728599</f>
        <v>62816728599</v>
      </c>
    </row>
    <row r="11365" ht="15" customHeight="1" spans="1:25" x14ac:dyDescent="0.25">
      <c r="A11365" s="17" t="s">
        <v>31168</v>
      </c>
      <c r="B11365" s="17" t="s">
        <v>70</v>
      </c>
      <c r="C11365" s="17" t="s">
        <v>71</v>
      </c>
      <c r="D11365" t="s">
        <v>7914</v>
      </c>
      <c r="F11365" t="s">
        <v>16691</v>
      </c>
      <c r="K11365" s="18">
        <f>6281519010729</f>
        <v>6281519010729</v>
      </c>
      <c r="N11365" s="17" t="s">
        <v>77</v>
      </c>
      <c r="U11365" s="17"/>
      <c r="V11365" s="18">
        <f>6281519010729</f>
        <v>6281519010729</v>
      </c>
      <c r="W11365" t="s">
        <v>31169</v>
      </c>
      <c r="Y11365" s="17" t="s">
        <v>96</v>
      </c>
    </row>
    <row r="11366" ht="15" customHeight="1" spans="1:23" x14ac:dyDescent="0.25">
      <c r="A11366" s="17" t="s">
        <v>31170</v>
      </c>
      <c r="B11366" s="17" t="s">
        <v>70</v>
      </c>
      <c r="C11366" s="17" t="s">
        <v>71</v>
      </c>
      <c r="D11366" t="s">
        <v>7914</v>
      </c>
      <c r="F11366" t="s">
        <v>22573</v>
      </c>
      <c r="K11366" s="18">
        <f>821027776035</f>
        <v>821027776035</v>
      </c>
      <c r="N11366" s="17" t="s">
        <v>77</v>
      </c>
      <c r="U11366" s="17"/>
      <c r="V11366" s="18">
        <f>821027776035</f>
        <v>821027776035</v>
      </c>
      <c r="W11366" t="s">
        <v>7007</v>
      </c>
    </row>
    <row r="11367" ht="15" customHeight="1" spans="1:22" x14ac:dyDescent="0.25">
      <c r="A11367" s="17" t="s">
        <v>31171</v>
      </c>
      <c r="B11367" s="17" t="s">
        <v>70</v>
      </c>
      <c r="C11367" s="17" t="s">
        <v>71</v>
      </c>
      <c r="D11367" t="s">
        <v>7914</v>
      </c>
      <c r="F11367" t="s">
        <v>31172</v>
      </c>
      <c r="K11367" s="18">
        <f>628551435740</f>
        <v>628551435740</v>
      </c>
      <c r="N11367" s="17" t="s">
        <v>81</v>
      </c>
      <c r="V11367" s="18">
        <f>628551435740</f>
        <v>628551435740</v>
      </c>
    </row>
    <row r="11368" ht="15" customHeight="1" spans="1:28" x14ac:dyDescent="0.25">
      <c r="A11368" s="17" t="s">
        <v>31173</v>
      </c>
      <c r="B11368" s="17" t="s">
        <v>70</v>
      </c>
      <c r="C11368" s="17" t="s">
        <v>71</v>
      </c>
      <c r="D11368" t="s">
        <v>31174</v>
      </c>
      <c r="F11368" t="s">
        <v>7914</v>
      </c>
      <c r="J11368" s="17" t="s">
        <v>31175</v>
      </c>
      <c r="K11368" s="18" t="s">
        <v>31176</v>
      </c>
      <c r="N11368" s="17" t="s">
        <v>77</v>
      </c>
      <c r="O11368" t="s">
        <v>145</v>
      </c>
      <c r="V11368" s="18" t="s">
        <v>31176</v>
      </c>
      <c r="Y11368" t="s">
        <v>115</v>
      </c>
      <c r="AA11368" t="s">
        <v>115</v>
      </c>
      <c r="AB11368" t="s">
        <v>1306</v>
      </c>
    </row>
    <row r="11369" ht="15" customHeight="1" spans="1:22" x14ac:dyDescent="0.25">
      <c r="A11369" s="17" t="s">
        <v>31177</v>
      </c>
      <c r="B11369" s="17" t="s">
        <v>70</v>
      </c>
      <c r="C11369" s="17" t="s">
        <v>71</v>
      </c>
      <c r="D11369" t="s">
        <v>7914</v>
      </c>
      <c r="F11369" t="s">
        <v>17798</v>
      </c>
      <c r="K11369" s="18">
        <f>6281510701004</f>
        <v>6281510701004</v>
      </c>
      <c r="N11369" s="17" t="s">
        <v>77</v>
      </c>
      <c r="V11369" s="18">
        <f>6281510701004</f>
        <v>6281510701004</v>
      </c>
    </row>
    <row r="11370" ht="15" customHeight="1" spans="1:28" x14ac:dyDescent="0.25">
      <c r="A11370" s="17" t="s">
        <v>31178</v>
      </c>
      <c r="B11370" s="17" t="s">
        <v>70</v>
      </c>
      <c r="C11370" s="17" t="s">
        <v>71</v>
      </c>
      <c r="D11370" t="s">
        <v>7914</v>
      </c>
      <c r="F11370" t="s">
        <v>31179</v>
      </c>
      <c r="J11370" s="17" t="s">
        <v>31180</v>
      </c>
      <c r="K11370" s="18" t="s">
        <v>31181</v>
      </c>
      <c r="N11370" s="17" t="s">
        <v>77</v>
      </c>
      <c r="O11370" t="s">
        <v>261</v>
      </c>
      <c r="U11370" s="17"/>
      <c r="V11370" s="18" t="s">
        <v>31181</v>
      </c>
      <c r="W11370" t="s">
        <v>148</v>
      </c>
      <c r="Y11370" t="s">
        <v>148</v>
      </c>
      <c r="AA11370" t="s">
        <v>115</v>
      </c>
      <c r="AB11370" t="s">
        <v>148</v>
      </c>
    </row>
    <row r="11371" ht="15" customHeight="1" spans="1:22" x14ac:dyDescent="0.25">
      <c r="A11371" s="17" t="s">
        <v>31182</v>
      </c>
      <c r="B11371" s="17" t="s">
        <v>70</v>
      </c>
      <c r="C11371" s="17" t="s">
        <v>71</v>
      </c>
      <c r="D11371" t="s">
        <v>7914</v>
      </c>
      <c r="F11371" t="s">
        <v>17836</v>
      </c>
      <c r="K11371" s="18">
        <f>628111074624</f>
        <v>628111074624</v>
      </c>
      <c r="N11371" s="17" t="s">
        <v>81</v>
      </c>
      <c r="V11371" s="18">
        <f>628111074624</f>
        <v>628111074624</v>
      </c>
    </row>
    <row r="11372" ht="15" customHeight="1" spans="1:22" x14ac:dyDescent="0.25">
      <c r="A11372" s="17" t="s">
        <v>31183</v>
      </c>
      <c r="B11372" s="17" t="s">
        <v>70</v>
      </c>
      <c r="C11372" s="17" t="s">
        <v>71</v>
      </c>
      <c r="D11372" t="s">
        <v>7914</v>
      </c>
      <c r="F11372" t="s">
        <v>6095</v>
      </c>
      <c r="K11372" s="18">
        <f>6285810982801</f>
        <v>6285810982801</v>
      </c>
      <c r="N11372" s="17" t="s">
        <v>77</v>
      </c>
      <c r="V11372" s="18">
        <f>6285810982801</f>
        <v>6285810982801</v>
      </c>
    </row>
    <row r="11373" ht="15" customHeight="1" spans="1:22" x14ac:dyDescent="0.25">
      <c r="A11373" s="17" t="s">
        <v>31184</v>
      </c>
      <c r="B11373" s="17" t="s">
        <v>70</v>
      </c>
      <c r="C11373" s="17" t="s">
        <v>71</v>
      </c>
      <c r="D11373" t="s">
        <v>7914</v>
      </c>
      <c r="F11373" t="s">
        <v>18367</v>
      </c>
      <c r="K11373" s="18">
        <f>62811877108</f>
        <v>62811877108</v>
      </c>
      <c r="N11373" s="17" t="s">
        <v>77</v>
      </c>
      <c r="V11373" s="18">
        <f>62811877108</f>
        <v>62811877108</v>
      </c>
    </row>
    <row r="11374" ht="15" customHeight="1" spans="1:27" x14ac:dyDescent="0.25">
      <c r="A11374" s="17" t="s">
        <v>31185</v>
      </c>
      <c r="B11374" s="17" t="s">
        <v>70</v>
      </c>
      <c r="C11374" s="17" t="s">
        <v>71</v>
      </c>
      <c r="D11374" t="s">
        <v>7914</v>
      </c>
      <c r="F11374" t="s">
        <v>23128</v>
      </c>
      <c r="K11374" s="18">
        <v>4263171</v>
      </c>
      <c r="N11374" s="17" t="s">
        <v>77</v>
      </c>
      <c r="U11374" s="17"/>
      <c r="V11374" s="18">
        <v>4263171</v>
      </c>
      <c r="W11374" t="s">
        <v>31186</v>
      </c>
      <c r="Y11374" s="17" t="s">
        <v>1084</v>
      </c>
      <c r="AA11374" s="17" t="s">
        <v>31187</v>
      </c>
    </row>
    <row r="11375" ht="15" customHeight="1" spans="1:22" x14ac:dyDescent="0.25">
      <c r="A11375" s="17" t="s">
        <v>31188</v>
      </c>
      <c r="B11375" s="17" t="s">
        <v>70</v>
      </c>
      <c r="C11375" s="17" t="s">
        <v>71</v>
      </c>
      <c r="D11375" t="s">
        <v>7914</v>
      </c>
      <c r="F11375" t="s">
        <v>16691</v>
      </c>
      <c r="K11375" s="18">
        <f>6282112660026</f>
        <v>6282112660026</v>
      </c>
      <c r="N11375" s="17" t="s">
        <v>77</v>
      </c>
      <c r="V11375" s="18">
        <f>6282112660026</f>
        <v>6282112660026</v>
      </c>
    </row>
    <row r="11376" ht="15" customHeight="1" spans="1:22" x14ac:dyDescent="0.25">
      <c r="A11376" s="17" t="s">
        <v>31189</v>
      </c>
      <c r="B11376" s="17" t="s">
        <v>70</v>
      </c>
      <c r="C11376" s="17" t="s">
        <v>71</v>
      </c>
      <c r="D11376" t="s">
        <v>7914</v>
      </c>
      <c r="F11376" t="s">
        <v>23128</v>
      </c>
      <c r="K11376" s="18">
        <f>6281519014440</f>
        <v>6281519014440</v>
      </c>
      <c r="N11376" s="17" t="s">
        <v>74</v>
      </c>
      <c r="V11376" s="18">
        <f>6281519014440</f>
        <v>6281519014440</v>
      </c>
    </row>
    <row r="11377" ht="15" customHeight="1" spans="1:22" x14ac:dyDescent="0.25">
      <c r="A11377" s="17" t="s">
        <v>31190</v>
      </c>
      <c r="B11377" s="17" t="s">
        <v>70</v>
      </c>
      <c r="C11377" s="17" t="s">
        <v>71</v>
      </c>
      <c r="D11377" t="s">
        <v>7914</v>
      </c>
      <c r="F11377" t="s">
        <v>31191</v>
      </c>
      <c r="K11377" s="18">
        <f>628119996668</f>
        <v>628119996668</v>
      </c>
      <c r="N11377" s="17" t="s">
        <v>77</v>
      </c>
      <c r="V11377" s="18">
        <f>628119996668</f>
        <v>628119996668</v>
      </c>
    </row>
    <row r="11378" ht="15" customHeight="1" spans="1:23" x14ac:dyDescent="0.25">
      <c r="A11378" s="17" t="s">
        <v>31192</v>
      </c>
      <c r="B11378" s="17" t="s">
        <v>70</v>
      </c>
      <c r="C11378" s="17" t="s">
        <v>71</v>
      </c>
      <c r="D11378" t="s">
        <v>7914</v>
      </c>
      <c r="F11378" t="s">
        <v>17558</v>
      </c>
      <c r="K11378" s="18">
        <f>628111388837</f>
        <v>628111388837</v>
      </c>
      <c r="N11378" s="17" t="s">
        <v>77</v>
      </c>
      <c r="U11378" s="17"/>
      <c r="V11378" s="18">
        <f>628111388837</f>
        <v>628111388837</v>
      </c>
      <c r="W11378" t="s">
        <v>31193</v>
      </c>
    </row>
    <row r="11379" ht="15" customHeight="1" spans="1:23" x14ac:dyDescent="0.25">
      <c r="A11379" s="17" t="s">
        <v>31194</v>
      </c>
      <c r="B11379" s="17" t="s">
        <v>70</v>
      </c>
      <c r="C11379" s="17" t="s">
        <v>71</v>
      </c>
      <c r="D11379" t="s">
        <v>7914</v>
      </c>
      <c r="F11379" t="s">
        <v>31195</v>
      </c>
      <c r="J11379" s="17" t="s">
        <v>31196</v>
      </c>
      <c r="K11379" s="18">
        <f>6281286036587</f>
        <v>6281286036587</v>
      </c>
      <c r="N11379" s="17" t="s">
        <v>77</v>
      </c>
      <c r="U11379" s="17"/>
      <c r="V11379" s="18">
        <f>6281286036587</f>
        <v>6281286036587</v>
      </c>
      <c r="W11379" t="s">
        <v>31197</v>
      </c>
    </row>
    <row r="11380" ht="15" customHeight="1" spans="1:28" x14ac:dyDescent="0.25">
      <c r="A11380" s="17" t="s">
        <v>31198</v>
      </c>
      <c r="B11380" s="17" t="s">
        <v>70</v>
      </c>
      <c r="C11380" s="17" t="s">
        <v>71</v>
      </c>
      <c r="D11380" t="s">
        <v>31199</v>
      </c>
      <c r="F11380" t="s">
        <v>7914</v>
      </c>
      <c r="J11380" t="s">
        <v>115</v>
      </c>
      <c r="K11380" s="18" t="s">
        <v>31200</v>
      </c>
      <c r="N11380" s="17" t="s">
        <v>74</v>
      </c>
      <c r="O11380" t="s">
        <v>117</v>
      </c>
      <c r="U11380" s="17"/>
      <c r="V11380" s="18" t="s">
        <v>31200</v>
      </c>
      <c r="W11380" t="s">
        <v>31201</v>
      </c>
      <c r="Y11380" t="s">
        <v>190</v>
      </c>
      <c r="AA11380" t="s">
        <v>118</v>
      </c>
      <c r="AB11380" t="s">
        <v>451</v>
      </c>
    </row>
    <row r="11381" ht="15" customHeight="1" spans="1:23" x14ac:dyDescent="0.25">
      <c r="A11381" s="17" t="s">
        <v>31202</v>
      </c>
      <c r="B11381" s="17" t="s">
        <v>70</v>
      </c>
      <c r="C11381" s="17" t="s">
        <v>71</v>
      </c>
      <c r="D11381" t="s">
        <v>7914</v>
      </c>
      <c r="F11381" t="s">
        <v>31203</v>
      </c>
      <c r="K11381" s="18">
        <f>821095745428</f>
        <v>821095745428</v>
      </c>
      <c r="N11381" s="17" t="s">
        <v>77</v>
      </c>
      <c r="U11381" s="17"/>
      <c r="V11381" s="18">
        <f>821095745428</f>
        <v>821095745428</v>
      </c>
      <c r="W11381" t="s">
        <v>7614</v>
      </c>
    </row>
    <row r="11382" ht="15" customHeight="1" spans="1:23" x14ac:dyDescent="0.25">
      <c r="A11382" s="17" t="s">
        <v>31204</v>
      </c>
      <c r="B11382" s="17" t="s">
        <v>70</v>
      </c>
      <c r="C11382" s="17" t="s">
        <v>71</v>
      </c>
      <c r="D11382" t="s">
        <v>31205</v>
      </c>
      <c r="F11382" t="s">
        <v>31206</v>
      </c>
      <c r="K11382" s="18">
        <f>18183263311</f>
        <v>18183263311</v>
      </c>
      <c r="N11382" s="17" t="s">
        <v>77</v>
      </c>
      <c r="U11382" s="17"/>
      <c r="V11382" s="18">
        <f>18183263311</f>
        <v>18183263311</v>
      </c>
      <c r="W11382" t="s">
        <v>15062</v>
      </c>
    </row>
    <row r="11383" ht="15" customHeight="1" spans="1:22" x14ac:dyDescent="0.25">
      <c r="A11383" s="17" t="s">
        <v>31207</v>
      </c>
      <c r="B11383" s="17" t="s">
        <v>70</v>
      </c>
      <c r="C11383" s="17" t="s">
        <v>71</v>
      </c>
      <c r="D11383" t="s">
        <v>31208</v>
      </c>
      <c r="F11383" t="s">
        <v>14739</v>
      </c>
      <c r="K11383" s="18">
        <f>6281276199627</f>
        <v>6281276199627</v>
      </c>
      <c r="N11383" s="17" t="s">
        <v>81</v>
      </c>
      <c r="V11383" s="18">
        <f>6281276199627</f>
        <v>6281276199627</v>
      </c>
    </row>
    <row r="11384" ht="15" customHeight="1" spans="1:23" x14ac:dyDescent="0.25">
      <c r="A11384" s="17" t="s">
        <v>31209</v>
      </c>
      <c r="B11384" s="17" t="s">
        <v>70</v>
      </c>
      <c r="C11384" s="17" t="s">
        <v>71</v>
      </c>
      <c r="D11384" t="s">
        <v>31210</v>
      </c>
      <c r="F11384" t="s">
        <v>6832</v>
      </c>
      <c r="J11384" s="17" t="s">
        <v>31211</v>
      </c>
      <c r="K11384" s="18">
        <f>61438999000</f>
        <v>61438999000</v>
      </c>
      <c r="N11384" s="17" t="s">
        <v>77</v>
      </c>
      <c r="U11384" s="17"/>
      <c r="V11384" s="18">
        <f>61438999000</f>
        <v>61438999000</v>
      </c>
      <c r="W11384" t="s">
        <v>1903</v>
      </c>
    </row>
    <row r="11385" ht="15" customHeight="1" spans="1:22" x14ac:dyDescent="0.25">
      <c r="A11385" s="17" t="s">
        <v>31212</v>
      </c>
      <c r="B11385" s="17" t="s">
        <v>70</v>
      </c>
      <c r="C11385" s="17" t="s">
        <v>71</v>
      </c>
      <c r="D11385" t="s">
        <v>31213</v>
      </c>
      <c r="F11385" t="s">
        <v>31214</v>
      </c>
      <c r="K11385" s="18">
        <f>658814470</f>
        <v>658814470</v>
      </c>
      <c r="N11385" s="17" t="s">
        <v>81</v>
      </c>
      <c r="V11385" s="18">
        <f>658814470</f>
        <v>658814470</v>
      </c>
    </row>
    <row r="11386" ht="15" customHeight="1" spans="1:25" x14ac:dyDescent="0.25">
      <c r="A11386" s="17" t="s">
        <v>31215</v>
      </c>
      <c r="B11386" s="17" t="s">
        <v>70</v>
      </c>
      <c r="C11386" s="17" t="s">
        <v>71</v>
      </c>
      <c r="D11386" t="s">
        <v>31216</v>
      </c>
      <c r="F11386" t="s">
        <v>31217</v>
      </c>
      <c r="J11386" s="17" t="s">
        <v>31218</v>
      </c>
      <c r="K11386" s="18">
        <f>6281586165030</f>
        <v>6281586165030</v>
      </c>
      <c r="N11386" s="17" t="s">
        <v>81</v>
      </c>
      <c r="U11386" s="17"/>
      <c r="V11386" s="18">
        <f>6281586165030</f>
        <v>6281586165030</v>
      </c>
      <c r="W11386" t="s">
        <v>31219</v>
      </c>
      <c r="Y11386" s="17" t="s">
        <v>378</v>
      </c>
    </row>
    <row r="11387" ht="15" customHeight="1" spans="1:22" x14ac:dyDescent="0.25">
      <c r="A11387" s="17" t="s">
        <v>31220</v>
      </c>
      <c r="B11387" s="17" t="s">
        <v>70</v>
      </c>
      <c r="C11387" s="17" t="s">
        <v>71</v>
      </c>
      <c r="D11387" t="s">
        <v>31221</v>
      </c>
      <c r="F11387" t="s">
        <v>7178</v>
      </c>
      <c r="K11387" s="18">
        <f>62811910512</f>
        <v>62811910512</v>
      </c>
      <c r="N11387" s="17" t="s">
        <v>81</v>
      </c>
      <c r="V11387" s="18">
        <f>62811910512</f>
        <v>62811910512</v>
      </c>
    </row>
    <row r="11388" ht="15" customHeight="1" spans="1:22" x14ac:dyDescent="0.25">
      <c r="A11388" s="17" t="s">
        <v>31222</v>
      </c>
      <c r="B11388" s="17" t="s">
        <v>70</v>
      </c>
      <c r="C11388" s="17" t="s">
        <v>71</v>
      </c>
      <c r="D11388" t="s">
        <v>24656</v>
      </c>
      <c r="F11388" t="s">
        <v>24656</v>
      </c>
      <c r="K11388" s="18">
        <f>62816939314</f>
        <v>62816939314</v>
      </c>
      <c r="N11388" s="17" t="s">
        <v>77</v>
      </c>
      <c r="V11388" s="18">
        <f>62816939314</f>
        <v>62816939314</v>
      </c>
    </row>
    <row r="11389" ht="15" customHeight="1" spans="1:22" x14ac:dyDescent="0.25">
      <c r="A11389" s="17" t="s">
        <v>31223</v>
      </c>
      <c r="B11389" s="17" t="s">
        <v>70</v>
      </c>
      <c r="C11389" s="17" t="s">
        <v>71</v>
      </c>
      <c r="D11389" t="s">
        <v>31224</v>
      </c>
      <c r="F11389" t="s">
        <v>31224</v>
      </c>
      <c r="K11389" s="18">
        <f>628119912288</f>
        <v>628119912288</v>
      </c>
      <c r="N11389" s="17" t="s">
        <v>81</v>
      </c>
      <c r="V11389" s="18">
        <f>628119912288</f>
        <v>628119912288</v>
      </c>
    </row>
    <row r="11390" ht="15" customHeight="1" spans="1:28" x14ac:dyDescent="0.25">
      <c r="A11390" s="17" t="s">
        <v>31225</v>
      </c>
      <c r="B11390" s="17" t="s">
        <v>70</v>
      </c>
      <c r="C11390" s="17" t="s">
        <v>71</v>
      </c>
      <c r="D11390" t="s">
        <v>4985</v>
      </c>
      <c r="F11390" t="s">
        <v>4985</v>
      </c>
      <c r="J11390" t="s">
        <v>115</v>
      </c>
      <c r="K11390" s="18" t="s">
        <v>31226</v>
      </c>
      <c r="N11390" s="17" t="s">
        <v>81</v>
      </c>
      <c r="O11390" t="s">
        <v>117</v>
      </c>
      <c r="V11390" s="18" t="s">
        <v>31226</v>
      </c>
      <c r="Y11390" t="s">
        <v>90</v>
      </c>
      <c r="AA11390" t="s">
        <v>118</v>
      </c>
      <c r="AB11390" t="s">
        <v>119</v>
      </c>
    </row>
    <row r="11391" ht="15" customHeight="1" spans="1:28" x14ac:dyDescent="0.25">
      <c r="A11391" s="17" t="s">
        <v>31227</v>
      </c>
      <c r="B11391" s="17" t="s">
        <v>70</v>
      </c>
      <c r="C11391" s="17" t="s">
        <v>71</v>
      </c>
      <c r="D11391" t="s">
        <v>31228</v>
      </c>
      <c r="F11391" t="s">
        <v>31229</v>
      </c>
      <c r="J11391" s="17" t="s">
        <v>31230</v>
      </c>
      <c r="K11391" s="18" t="s">
        <v>31231</v>
      </c>
      <c r="N11391" s="17" t="s">
        <v>77</v>
      </c>
      <c r="O11391" t="s">
        <v>199</v>
      </c>
      <c r="U11391" s="17"/>
      <c r="V11391" s="18" t="s">
        <v>31231</v>
      </c>
      <c r="W11391" t="s">
        <v>1909</v>
      </c>
      <c r="Y11391" t="s">
        <v>250</v>
      </c>
      <c r="AA11391" t="s">
        <v>115</v>
      </c>
      <c r="AB11391" t="s">
        <v>119</v>
      </c>
    </row>
    <row r="11392" ht="15" customHeight="1" spans="1:22" x14ac:dyDescent="0.25">
      <c r="A11392" s="17" t="s">
        <v>31232</v>
      </c>
      <c r="B11392" s="17" t="s">
        <v>70</v>
      </c>
      <c r="C11392" s="17" t="s">
        <v>71</v>
      </c>
      <c r="D11392" t="s">
        <v>31233</v>
      </c>
      <c r="F11392" t="s">
        <v>31233</v>
      </c>
      <c r="K11392" s="18">
        <f>6287888458050</f>
        <v>6287888458050</v>
      </c>
      <c r="N11392" s="17" t="s">
        <v>74</v>
      </c>
      <c r="V11392" s="18">
        <f>6287888458050</f>
        <v>6287888458050</v>
      </c>
    </row>
    <row r="11393" ht="15" customHeight="1" spans="1:23" x14ac:dyDescent="0.25">
      <c r="A11393" s="17" t="s">
        <v>31234</v>
      </c>
      <c r="B11393" s="17" t="s">
        <v>70</v>
      </c>
      <c r="C11393" s="17" t="s">
        <v>71</v>
      </c>
      <c r="D11393" t="s">
        <v>31235</v>
      </c>
      <c r="F11393" t="s">
        <v>1589</v>
      </c>
      <c r="J11393" s="17" t="s">
        <v>31236</v>
      </c>
      <c r="K11393" s="18">
        <f>6287889804944</f>
        <v>6287889804944</v>
      </c>
      <c r="N11393" s="17" t="s">
        <v>77</v>
      </c>
      <c r="U11393" s="17"/>
      <c r="V11393" s="18">
        <f>6287889804944</f>
        <v>6287889804944</v>
      </c>
      <c r="W11393" t="s">
        <v>31237</v>
      </c>
    </row>
    <row r="11394" ht="15" customHeight="1" spans="1:28" x14ac:dyDescent="0.25">
      <c r="A11394" s="17" t="s">
        <v>31238</v>
      </c>
      <c r="B11394" s="17" t="s">
        <v>70</v>
      </c>
      <c r="C11394" s="17" t="s">
        <v>71</v>
      </c>
      <c r="D11394" t="s">
        <v>31239</v>
      </c>
      <c r="F11394" t="s">
        <v>31240</v>
      </c>
      <c r="J11394" s="17" t="s">
        <v>31241</v>
      </c>
      <c r="K11394" s="18" t="s">
        <v>31242</v>
      </c>
      <c r="N11394" s="17" t="s">
        <v>77</v>
      </c>
      <c r="O11394" t="s">
        <v>145</v>
      </c>
      <c r="U11394" s="17"/>
      <c r="V11394" s="18" t="s">
        <v>31242</v>
      </c>
      <c r="W11394" t="s">
        <v>930</v>
      </c>
      <c r="Y11394" t="s">
        <v>930</v>
      </c>
      <c r="AA11394" t="s">
        <v>115</v>
      </c>
      <c r="AB11394" t="s">
        <v>930</v>
      </c>
    </row>
    <row r="11395" ht="15" customHeight="1" spans="1:23" x14ac:dyDescent="0.25">
      <c r="A11395" s="17" t="s">
        <v>31243</v>
      </c>
      <c r="B11395" s="17" t="s">
        <v>70</v>
      </c>
      <c r="C11395" s="17" t="s">
        <v>71</v>
      </c>
      <c r="D11395" t="s">
        <v>31240</v>
      </c>
      <c r="F11395" t="s">
        <v>31244</v>
      </c>
      <c r="K11395" s="18">
        <f>1423839492</f>
        <v>1423839492</v>
      </c>
      <c r="N11395" s="17" t="s">
        <v>77</v>
      </c>
      <c r="U11395" s="17"/>
      <c r="V11395" s="18">
        <f>1423839492</f>
        <v>1423839492</v>
      </c>
      <c r="W11395" t="s">
        <v>6829</v>
      </c>
    </row>
    <row r="11396" ht="15" customHeight="1" spans="1:23" x14ac:dyDescent="0.25">
      <c r="A11396" s="17" t="s">
        <v>31245</v>
      </c>
      <c r="B11396" s="17" t="s">
        <v>70</v>
      </c>
      <c r="C11396" s="17" t="s">
        <v>71</v>
      </c>
      <c r="D11396" t="s">
        <v>31240</v>
      </c>
      <c r="F11396" t="s">
        <v>31246</v>
      </c>
      <c r="J11396" s="17" t="s">
        <v>31247</v>
      </c>
      <c r="K11396" s="18">
        <f>61424274500</f>
        <v>61424274500</v>
      </c>
      <c r="N11396" s="17" t="s">
        <v>77</v>
      </c>
      <c r="U11396" s="17"/>
      <c r="V11396" s="18">
        <f>61424274500</f>
        <v>61424274500</v>
      </c>
      <c r="W11396" t="s">
        <v>1903</v>
      </c>
    </row>
    <row r="11397" ht="15" customHeight="1" spans="1:23" x14ac:dyDescent="0.25">
      <c r="A11397" s="17" t="s">
        <v>31248</v>
      </c>
      <c r="B11397" s="17" t="s">
        <v>70</v>
      </c>
      <c r="C11397" s="17" t="s">
        <v>71</v>
      </c>
      <c r="D11397" t="s">
        <v>31249</v>
      </c>
      <c r="F11397" t="s">
        <v>31250</v>
      </c>
      <c r="K11397" s="18">
        <f>919819348441</f>
        <v>919819348441</v>
      </c>
      <c r="N11397" s="17" t="s">
        <v>77</v>
      </c>
      <c r="U11397" s="17"/>
      <c r="V11397" s="18">
        <f>919819348441</f>
        <v>919819348441</v>
      </c>
      <c r="W11397" t="s">
        <v>920</v>
      </c>
    </row>
    <row r="11398" ht="15" customHeight="1" spans="1:27" x14ac:dyDescent="0.25">
      <c r="A11398" s="17" t="s">
        <v>31251</v>
      </c>
      <c r="B11398" s="17" t="s">
        <v>70</v>
      </c>
      <c r="C11398" s="17" t="s">
        <v>71</v>
      </c>
      <c r="D11398" t="s">
        <v>20122</v>
      </c>
      <c r="F11398" t="s">
        <v>13173</v>
      </c>
      <c r="K11398" s="18">
        <f>62818410959</f>
        <v>62818410959</v>
      </c>
      <c r="N11398" s="17" t="s">
        <v>77</v>
      </c>
      <c r="U11398" s="17"/>
      <c r="V11398" s="18">
        <f>62818410959</f>
        <v>62818410959</v>
      </c>
      <c r="W11398" t="s">
        <v>31252</v>
      </c>
      <c r="Y11398" s="17" t="s">
        <v>96</v>
      </c>
      <c r="AA11398" s="17" t="s">
        <v>133</v>
      </c>
    </row>
    <row r="11399" ht="15" customHeight="1" spans="1:23" x14ac:dyDescent="0.25">
      <c r="A11399" s="17" t="s">
        <v>31253</v>
      </c>
      <c r="B11399" s="17" t="s">
        <v>70</v>
      </c>
      <c r="C11399" s="17" t="s">
        <v>71</v>
      </c>
      <c r="D11399" t="s">
        <v>8349</v>
      </c>
      <c r="F11399" t="s">
        <v>4378</v>
      </c>
      <c r="J11399" s="17" t="s">
        <v>31254</v>
      </c>
      <c r="K11399" s="18">
        <f>628111027110</f>
        <v>628111027110</v>
      </c>
      <c r="N11399" s="17" t="s">
        <v>74</v>
      </c>
      <c r="U11399" s="17"/>
      <c r="V11399" s="18">
        <f>628111027110</f>
        <v>628111027110</v>
      </c>
      <c r="W11399" t="s">
        <v>31255</v>
      </c>
    </row>
    <row r="11400" ht="15" customHeight="1" spans="1:22" x14ac:dyDescent="0.25">
      <c r="A11400" s="17" t="s">
        <v>31256</v>
      </c>
      <c r="B11400" s="17" t="s">
        <v>70</v>
      </c>
      <c r="C11400" s="17" t="s">
        <v>71</v>
      </c>
      <c r="D11400" t="s">
        <v>31257</v>
      </c>
      <c r="F11400" t="s">
        <v>7145</v>
      </c>
      <c r="K11400" s="18">
        <f>6282111111592</f>
        <v>6282111111592</v>
      </c>
      <c r="N11400" s="17" t="s">
        <v>81</v>
      </c>
      <c r="V11400" s="18">
        <f>6282111111592</f>
        <v>6282111111592</v>
      </c>
    </row>
    <row r="11401" ht="15" customHeight="1" spans="1:22" x14ac:dyDescent="0.25">
      <c r="A11401" s="17" t="s">
        <v>31258</v>
      </c>
      <c r="B11401" s="17" t="s">
        <v>70</v>
      </c>
      <c r="C11401" s="17" t="s">
        <v>71</v>
      </c>
      <c r="D11401" t="s">
        <v>4980</v>
      </c>
      <c r="F11401" t="s">
        <v>4980</v>
      </c>
      <c r="K11401" s="18">
        <f>6287846914973</f>
        <v>6287846914973</v>
      </c>
      <c r="N11401" s="17" t="s">
        <v>81</v>
      </c>
      <c r="V11401" s="18">
        <f>6287846914973</f>
        <v>6287846914973</v>
      </c>
    </row>
    <row r="11402" ht="15" customHeight="1" spans="1:22" x14ac:dyDescent="0.25">
      <c r="A11402" s="17" t="s">
        <v>31259</v>
      </c>
      <c r="B11402" s="17" t="s">
        <v>70</v>
      </c>
      <c r="C11402" s="17" t="s">
        <v>71</v>
      </c>
      <c r="D11402" t="s">
        <v>4980</v>
      </c>
      <c r="F11402" t="s">
        <v>4980</v>
      </c>
      <c r="K11402" s="18">
        <f>62816842408</f>
        <v>62816842408</v>
      </c>
      <c r="N11402" s="17" t="s">
        <v>77</v>
      </c>
      <c r="V11402" s="18">
        <f>62816842408</f>
        <v>62816842408</v>
      </c>
    </row>
    <row r="11403" ht="15" customHeight="1" spans="1:22" x14ac:dyDescent="0.25">
      <c r="A11403" s="17" t="s">
        <v>31260</v>
      </c>
      <c r="B11403" s="17" t="s">
        <v>70</v>
      </c>
      <c r="C11403" s="17" t="s">
        <v>71</v>
      </c>
      <c r="D11403" t="s">
        <v>4980</v>
      </c>
      <c r="F11403" t="s">
        <v>4980</v>
      </c>
      <c r="K11403" s="18">
        <f>6281911110098</f>
        <v>6281911110098</v>
      </c>
      <c r="N11403" s="17" t="s">
        <v>77</v>
      </c>
      <c r="V11403" s="18">
        <f>6281911110098</f>
        <v>6281911110098</v>
      </c>
    </row>
    <row r="11404" ht="15" customHeight="1" spans="1:28" x14ac:dyDescent="0.25">
      <c r="A11404" s="17" t="s">
        <v>31261</v>
      </c>
      <c r="B11404" s="17" t="s">
        <v>70</v>
      </c>
      <c r="C11404" s="17" t="s">
        <v>71</v>
      </c>
      <c r="D11404" t="s">
        <v>4980</v>
      </c>
      <c r="F11404" t="s">
        <v>31262</v>
      </c>
      <c r="J11404" s="17" t="s">
        <v>31263</v>
      </c>
      <c r="K11404" s="18" t="s">
        <v>31264</v>
      </c>
      <c r="N11404" s="17" t="s">
        <v>77</v>
      </c>
      <c r="O11404" t="s">
        <v>261</v>
      </c>
      <c r="U11404" s="17"/>
      <c r="V11404" s="18" t="s">
        <v>31264</v>
      </c>
      <c r="W11404" t="s">
        <v>31265</v>
      </c>
      <c r="Y11404" t="s">
        <v>90</v>
      </c>
      <c r="AA11404" s="17" t="s">
        <v>118</v>
      </c>
      <c r="AB11404" t="s">
        <v>119</v>
      </c>
    </row>
    <row r="11405" ht="15" customHeight="1" spans="1:28" x14ac:dyDescent="0.25">
      <c r="A11405" s="17" t="s">
        <v>31266</v>
      </c>
      <c r="B11405" s="17" t="s">
        <v>70</v>
      </c>
      <c r="C11405" s="17" t="s">
        <v>71</v>
      </c>
      <c r="D11405" t="s">
        <v>4980</v>
      </c>
      <c r="F11405" t="s">
        <v>31267</v>
      </c>
      <c r="J11405" t="s">
        <v>115</v>
      </c>
      <c r="K11405" s="18" t="s">
        <v>31268</v>
      </c>
      <c r="N11405" s="17" t="s">
        <v>77</v>
      </c>
      <c r="O11405" t="s">
        <v>145</v>
      </c>
      <c r="V11405" s="18" t="s">
        <v>31268</v>
      </c>
      <c r="Y11405" t="s">
        <v>190</v>
      </c>
      <c r="AA11405" t="s">
        <v>118</v>
      </c>
      <c r="AB11405" t="s">
        <v>119</v>
      </c>
    </row>
    <row r="11406" ht="15" customHeight="1" spans="1:22" x14ac:dyDescent="0.25">
      <c r="A11406" s="17" t="s">
        <v>31269</v>
      </c>
      <c r="B11406" s="17" t="s">
        <v>70</v>
      </c>
      <c r="C11406" s="17" t="s">
        <v>71</v>
      </c>
      <c r="D11406" t="s">
        <v>4980</v>
      </c>
      <c r="F11406" t="s">
        <v>9637</v>
      </c>
      <c r="K11406" s="18">
        <f>6281210662908</f>
        <v>6281210662908</v>
      </c>
      <c r="N11406" s="17" t="s">
        <v>81</v>
      </c>
      <c r="V11406" s="18">
        <f>6281210662908</f>
        <v>6281210662908</v>
      </c>
    </row>
    <row r="11407" ht="15" customHeight="1" spans="1:22" x14ac:dyDescent="0.25">
      <c r="A11407" s="17" t="s">
        <v>31270</v>
      </c>
      <c r="B11407" s="17" t="s">
        <v>70</v>
      </c>
      <c r="C11407" s="17" t="s">
        <v>71</v>
      </c>
      <c r="D11407" t="s">
        <v>4980</v>
      </c>
      <c r="F11407" t="s">
        <v>25877</v>
      </c>
      <c r="K11407" s="18">
        <f>6281255081998</f>
        <v>6281255081998</v>
      </c>
      <c r="N11407" s="17" t="s">
        <v>77</v>
      </c>
      <c r="V11407" s="18">
        <f>6281255081998</f>
        <v>6281255081998</v>
      </c>
    </row>
    <row r="11408" ht="15" customHeight="1" spans="1:22" x14ac:dyDescent="0.25">
      <c r="A11408" s="17" t="s">
        <v>31271</v>
      </c>
      <c r="B11408" s="17" t="s">
        <v>70</v>
      </c>
      <c r="C11408" s="17" t="s">
        <v>71</v>
      </c>
      <c r="D11408" t="s">
        <v>4980</v>
      </c>
      <c r="F11408" t="s">
        <v>9742</v>
      </c>
      <c r="K11408" s="18">
        <f>6281559817766</f>
        <v>6281559817766</v>
      </c>
      <c r="N11408" s="17" t="s">
        <v>74</v>
      </c>
      <c r="V11408" s="18">
        <f>6281559817766</f>
        <v>6281559817766</v>
      </c>
    </row>
    <row r="11409" ht="15" customHeight="1" spans="1:28" x14ac:dyDescent="0.25">
      <c r="A11409" s="17" t="s">
        <v>31272</v>
      </c>
      <c r="B11409" s="17" t="s">
        <v>70</v>
      </c>
      <c r="C11409" s="17" t="s">
        <v>71</v>
      </c>
      <c r="D11409" t="s">
        <v>4980</v>
      </c>
      <c r="F11409" t="s">
        <v>31273</v>
      </c>
      <c r="J11409" t="s">
        <v>115</v>
      </c>
      <c r="K11409" s="18" t="s">
        <v>31274</v>
      </c>
      <c r="N11409" s="17" t="s">
        <v>77</v>
      </c>
      <c r="O11409" t="s">
        <v>117</v>
      </c>
      <c r="V11409" s="18" t="s">
        <v>31274</v>
      </c>
      <c r="Y11409" t="s">
        <v>90</v>
      </c>
      <c r="AA11409" t="s">
        <v>118</v>
      </c>
      <c r="AB11409" t="s">
        <v>119</v>
      </c>
    </row>
    <row r="11410" ht="15" customHeight="1" spans="1:22" x14ac:dyDescent="0.25">
      <c r="A11410" s="17" t="s">
        <v>31275</v>
      </c>
      <c r="B11410" s="17" t="s">
        <v>70</v>
      </c>
      <c r="C11410" s="17" t="s">
        <v>71</v>
      </c>
      <c r="D11410" t="s">
        <v>4980</v>
      </c>
      <c r="F11410" t="s">
        <v>864</v>
      </c>
      <c r="K11410" s="18">
        <f>62811146354</f>
        <v>62811146354</v>
      </c>
      <c r="N11410" s="17" t="s">
        <v>77</v>
      </c>
      <c r="V11410" s="18">
        <f>62811146354</f>
        <v>62811146354</v>
      </c>
    </row>
    <row r="11411" ht="15" customHeight="1" spans="1:28" x14ac:dyDescent="0.25">
      <c r="A11411" s="17" t="s">
        <v>31276</v>
      </c>
      <c r="B11411" s="17" t="s">
        <v>70</v>
      </c>
      <c r="C11411" s="17" t="s">
        <v>71</v>
      </c>
      <c r="D11411" t="s">
        <v>4980</v>
      </c>
      <c r="F11411" t="s">
        <v>31277</v>
      </c>
      <c r="J11411" s="17" t="s">
        <v>31278</v>
      </c>
      <c r="K11411" s="18" t="s">
        <v>31279</v>
      </c>
      <c r="N11411" s="17" t="s">
        <v>77</v>
      </c>
      <c r="O11411" t="s">
        <v>489</v>
      </c>
      <c r="U11411" s="17"/>
      <c r="V11411" s="18" t="s">
        <v>31279</v>
      </c>
      <c r="W11411" t="s">
        <v>31280</v>
      </c>
      <c r="Y11411" s="17" t="s">
        <v>190</v>
      </c>
      <c r="AA11411" t="s">
        <v>118</v>
      </c>
      <c r="AB11411" t="s">
        <v>119</v>
      </c>
    </row>
    <row r="11412" ht="15" customHeight="1" spans="1:28" x14ac:dyDescent="0.25">
      <c r="A11412" s="17" t="s">
        <v>31281</v>
      </c>
      <c r="B11412" s="17" t="s">
        <v>70</v>
      </c>
      <c r="C11412" s="17" t="s">
        <v>71</v>
      </c>
      <c r="D11412" t="s">
        <v>4980</v>
      </c>
      <c r="F11412" t="s">
        <v>4980</v>
      </c>
      <c r="J11412" t="s">
        <v>115</v>
      </c>
      <c r="K11412" s="18" t="s">
        <v>31282</v>
      </c>
      <c r="N11412" s="17" t="s">
        <v>77</v>
      </c>
      <c r="O11412" t="s">
        <v>199</v>
      </c>
      <c r="V11412" s="18" t="s">
        <v>31282</v>
      </c>
      <c r="Y11412" t="s">
        <v>190</v>
      </c>
      <c r="AA11412" t="s">
        <v>118</v>
      </c>
      <c r="AB11412" t="s">
        <v>119</v>
      </c>
    </row>
    <row r="11413" ht="15" customHeight="1" spans="1:27" x14ac:dyDescent="0.25">
      <c r="A11413" s="17" t="s">
        <v>31283</v>
      </c>
      <c r="B11413" s="17" t="s">
        <v>70</v>
      </c>
      <c r="C11413" s="17" t="s">
        <v>71</v>
      </c>
      <c r="D11413" t="s">
        <v>4980</v>
      </c>
      <c r="F11413" t="s">
        <v>31284</v>
      </c>
      <c r="J11413" s="17" t="s">
        <v>31285</v>
      </c>
      <c r="K11413" s="18">
        <f>628114106655</f>
        <v>628114106655</v>
      </c>
      <c r="N11413" s="17" t="s">
        <v>77</v>
      </c>
      <c r="U11413" s="17"/>
      <c r="V11413" s="18">
        <f>628114106655</f>
        <v>628114106655</v>
      </c>
      <c r="W11413" t="s">
        <v>31286</v>
      </c>
      <c r="Y11413" s="17" t="s">
        <v>397</v>
      </c>
      <c r="AA11413" s="17">
        <v>17148</v>
      </c>
    </row>
    <row r="11414" ht="15" customHeight="1" spans="1:28" x14ac:dyDescent="0.25">
      <c r="A11414" s="17" t="s">
        <v>31287</v>
      </c>
      <c r="B11414" s="17" t="s">
        <v>70</v>
      </c>
      <c r="C11414" s="17" t="s">
        <v>71</v>
      </c>
      <c r="D11414" t="s">
        <v>4980</v>
      </c>
      <c r="F11414" t="s">
        <v>31288</v>
      </c>
      <c r="J11414" t="s">
        <v>115</v>
      </c>
      <c r="K11414" s="18" t="s">
        <v>31289</v>
      </c>
      <c r="N11414" s="17" t="s">
        <v>77</v>
      </c>
      <c r="O11414" t="s">
        <v>199</v>
      </c>
      <c r="U11414" s="17"/>
      <c r="V11414" s="18" t="s">
        <v>31289</v>
      </c>
      <c r="W11414" t="s">
        <v>977</v>
      </c>
      <c r="Y11414" t="s">
        <v>190</v>
      </c>
      <c r="AA11414" t="s">
        <v>118</v>
      </c>
      <c r="AB11414" t="s">
        <v>119</v>
      </c>
    </row>
    <row r="11415" ht="15" customHeight="1" spans="1:22" x14ac:dyDescent="0.25">
      <c r="A11415" s="17" t="s">
        <v>31290</v>
      </c>
      <c r="B11415" s="17" t="s">
        <v>70</v>
      </c>
      <c r="C11415" s="17" t="s">
        <v>71</v>
      </c>
      <c r="D11415" t="s">
        <v>31291</v>
      </c>
      <c r="F11415" t="s">
        <v>31292</v>
      </c>
      <c r="K11415" s="18">
        <f>6287789088257</f>
        <v>6287789088257</v>
      </c>
      <c r="N11415" s="17" t="s">
        <v>77</v>
      </c>
      <c r="V11415" s="18">
        <f>6287789088257</f>
        <v>6287789088257</v>
      </c>
    </row>
    <row r="11416" ht="15" customHeight="1" spans="1:23" x14ac:dyDescent="0.25">
      <c r="A11416" s="17" t="s">
        <v>31293</v>
      </c>
      <c r="B11416" s="17" t="s">
        <v>70</v>
      </c>
      <c r="C11416" s="17" t="s">
        <v>71</v>
      </c>
      <c r="D11416" t="s">
        <v>31294</v>
      </c>
      <c r="F11416" t="s">
        <v>31295</v>
      </c>
      <c r="K11416" s="18">
        <f>352691552155</f>
        <v>352691552155</v>
      </c>
      <c r="N11416" s="17" t="s">
        <v>77</v>
      </c>
      <c r="U11416" s="17"/>
      <c r="V11416" s="18">
        <f>352691552155</f>
        <v>352691552155</v>
      </c>
      <c r="W11416" t="s">
        <v>14941</v>
      </c>
    </row>
    <row r="11417" ht="15" customHeight="1" spans="1:22" x14ac:dyDescent="0.25">
      <c r="A11417" s="17" t="s">
        <v>31296</v>
      </c>
      <c r="B11417" s="17" t="s">
        <v>70</v>
      </c>
      <c r="C11417" s="17" t="s">
        <v>71</v>
      </c>
      <c r="D11417" t="s">
        <v>31297</v>
      </c>
      <c r="F11417" t="s">
        <v>26262</v>
      </c>
      <c r="K11417" s="18">
        <f>62816817161</f>
        <v>62816817161</v>
      </c>
      <c r="N11417" s="17" t="s">
        <v>77</v>
      </c>
      <c r="V11417" s="18">
        <f>62816817161</f>
        <v>62816817161</v>
      </c>
    </row>
    <row r="11418" ht="15" customHeight="1" spans="1:22" x14ac:dyDescent="0.25">
      <c r="A11418" s="17" t="s">
        <v>31298</v>
      </c>
      <c r="B11418" s="17" t="s">
        <v>70</v>
      </c>
      <c r="C11418" s="17" t="s">
        <v>71</v>
      </c>
      <c r="D11418" t="s">
        <v>31297</v>
      </c>
      <c r="F11418" t="s">
        <v>31299</v>
      </c>
      <c r="K11418" s="18">
        <f>6281288111811</f>
        <v>6281288111811</v>
      </c>
      <c r="N11418" s="17" t="s">
        <v>77</v>
      </c>
      <c r="V11418" s="18">
        <f>6281288111811</f>
        <v>6281288111811</v>
      </c>
    </row>
    <row r="11419" ht="15" customHeight="1" spans="1:23" x14ac:dyDescent="0.25">
      <c r="A11419" s="17" t="s">
        <v>31300</v>
      </c>
      <c r="B11419" s="17" t="s">
        <v>70</v>
      </c>
      <c r="C11419" s="17" t="s">
        <v>71</v>
      </c>
      <c r="D11419" t="s">
        <v>31297</v>
      </c>
      <c r="F11419" t="s">
        <v>2698</v>
      </c>
      <c r="K11419" s="18">
        <f>6282111010802</f>
        <v>6282111010802</v>
      </c>
      <c r="N11419" s="17" t="s">
        <v>81</v>
      </c>
      <c r="U11419" s="17"/>
      <c r="V11419" s="18">
        <f>6282111010802</f>
        <v>6282111010802</v>
      </c>
      <c r="W11419" t="s">
        <v>31301</v>
      </c>
    </row>
    <row r="11420" ht="15" customHeight="1" spans="1:25" x14ac:dyDescent="0.25">
      <c r="A11420" s="17" t="s">
        <v>31302</v>
      </c>
      <c r="B11420" s="17" t="s">
        <v>70</v>
      </c>
      <c r="C11420" s="17" t="s">
        <v>71</v>
      </c>
      <c r="D11420" t="s">
        <v>31297</v>
      </c>
      <c r="F11420" t="s">
        <v>2231</v>
      </c>
      <c r="K11420" s="18">
        <f>628991005380</f>
        <v>628991005380</v>
      </c>
      <c r="N11420" s="17" t="s">
        <v>81</v>
      </c>
      <c r="U11420" s="17"/>
      <c r="V11420" s="18">
        <f>628991005380</f>
        <v>628991005380</v>
      </c>
      <c r="W11420" t="s">
        <v>31303</v>
      </c>
      <c r="Y11420" s="17" t="s">
        <v>90</v>
      </c>
    </row>
    <row r="11421" ht="15" customHeight="1" spans="1:28" x14ac:dyDescent="0.25">
      <c r="A11421" s="17" t="s">
        <v>31304</v>
      </c>
      <c r="B11421" s="17" t="s">
        <v>70</v>
      </c>
      <c r="C11421" s="17" t="s">
        <v>71</v>
      </c>
      <c r="D11421" t="s">
        <v>31305</v>
      </c>
      <c r="F11421" t="s">
        <v>5744</v>
      </c>
      <c r="J11421" t="s">
        <v>115</v>
      </c>
      <c r="K11421" s="18" t="s">
        <v>31306</v>
      </c>
      <c r="N11421" s="17" t="s">
        <v>81</v>
      </c>
      <c r="O11421" t="s">
        <v>199</v>
      </c>
      <c r="V11421" s="18" t="s">
        <v>31306</v>
      </c>
      <c r="Y11421" t="s">
        <v>10914</v>
      </c>
      <c r="AA11421" t="s">
        <v>115</v>
      </c>
      <c r="AB11421" t="s">
        <v>119</v>
      </c>
    </row>
    <row r="11422" ht="15" customHeight="1" spans="1:28" x14ac:dyDescent="0.25">
      <c r="A11422" s="17" t="s">
        <v>31307</v>
      </c>
      <c r="B11422" s="17" t="s">
        <v>70</v>
      </c>
      <c r="C11422" s="17" t="s">
        <v>71</v>
      </c>
      <c r="D11422" t="s">
        <v>31308</v>
      </c>
      <c r="F11422" t="s">
        <v>31309</v>
      </c>
      <c r="J11422" t="s">
        <v>115</v>
      </c>
      <c r="K11422" s="18" t="s">
        <v>31310</v>
      </c>
      <c r="N11422" s="17" t="s">
        <v>77</v>
      </c>
      <c r="O11422" t="s">
        <v>199</v>
      </c>
      <c r="U11422" s="17"/>
      <c r="V11422" s="18" t="s">
        <v>31310</v>
      </c>
      <c r="W11422" t="s">
        <v>31311</v>
      </c>
      <c r="Y11422" t="s">
        <v>3048</v>
      </c>
      <c r="AA11422" t="s">
        <v>115</v>
      </c>
      <c r="AB11422" t="s">
        <v>119</v>
      </c>
    </row>
    <row r="11423" ht="15" customHeight="1" spans="1:28" x14ac:dyDescent="0.25">
      <c r="A11423" s="17" t="s">
        <v>31312</v>
      </c>
      <c r="B11423" s="17" t="s">
        <v>70</v>
      </c>
      <c r="C11423" s="17" t="s">
        <v>71</v>
      </c>
      <c r="D11423" t="s">
        <v>31313</v>
      </c>
      <c r="F11423" t="s">
        <v>31314</v>
      </c>
      <c r="J11423" t="s">
        <v>31315</v>
      </c>
      <c r="K11423" s="18" t="s">
        <v>31316</v>
      </c>
      <c r="N11423" s="17" t="s">
        <v>81</v>
      </c>
      <c r="O11423" t="s">
        <v>489</v>
      </c>
      <c r="V11423" s="18" t="s">
        <v>31316</v>
      </c>
      <c r="Y11423" s="17" t="s">
        <v>5216</v>
      </c>
      <c r="AA11423" t="s">
        <v>115</v>
      </c>
      <c r="AB11423" t="s">
        <v>119</v>
      </c>
    </row>
    <row r="11424" ht="15" customHeight="1" spans="1:22" x14ac:dyDescent="0.25">
      <c r="A11424" s="17" t="s">
        <v>31317</v>
      </c>
      <c r="B11424" s="17" t="s">
        <v>70</v>
      </c>
      <c r="C11424" s="17" t="s">
        <v>71</v>
      </c>
      <c r="D11424" t="s">
        <v>31318</v>
      </c>
      <c r="F11424" t="s">
        <v>31318</v>
      </c>
      <c r="K11424" s="18">
        <f>6281294420573</f>
        <v>6281294420573</v>
      </c>
      <c r="N11424" s="17" t="s">
        <v>77</v>
      </c>
      <c r="V11424" s="18">
        <f>6281294420573</f>
        <v>6281294420573</v>
      </c>
    </row>
    <row r="11425" ht="15" customHeight="1" spans="1:25" x14ac:dyDescent="0.25">
      <c r="A11425" s="17" t="s">
        <v>31319</v>
      </c>
      <c r="B11425" s="17" t="s">
        <v>70</v>
      </c>
      <c r="C11425" s="17" t="s">
        <v>71</v>
      </c>
      <c r="D11425" t="s">
        <v>31318</v>
      </c>
      <c r="F11425" t="s">
        <v>26364</v>
      </c>
      <c r="K11425" s="18">
        <f>6281210230988</f>
        <v>6281210230988</v>
      </c>
      <c r="N11425" s="17" t="s">
        <v>74</v>
      </c>
      <c r="U11425" s="17"/>
      <c r="V11425" s="18">
        <f>6281210230988</f>
        <v>6281210230988</v>
      </c>
      <c r="W11425" t="s">
        <v>31320</v>
      </c>
      <c r="Y11425" s="17" t="s">
        <v>96</v>
      </c>
    </row>
    <row r="11426" ht="15" customHeight="1" spans="1:28" x14ac:dyDescent="0.25">
      <c r="A11426" s="17" t="s">
        <v>31321</v>
      </c>
      <c r="B11426" s="17" t="s">
        <v>70</v>
      </c>
      <c r="C11426" s="17" t="s">
        <v>71</v>
      </c>
      <c r="D11426" t="s">
        <v>31318</v>
      </c>
      <c r="F11426" t="s">
        <v>31322</v>
      </c>
      <c r="J11426" s="17" t="s">
        <v>31323</v>
      </c>
      <c r="K11426" s="18" t="s">
        <v>31324</v>
      </c>
      <c r="N11426" s="17" t="s">
        <v>74</v>
      </c>
      <c r="O11426" t="s">
        <v>145</v>
      </c>
      <c r="V11426" s="18" t="s">
        <v>31324</v>
      </c>
      <c r="Y11426" s="17" t="s">
        <v>90</v>
      </c>
      <c r="AA11426" t="s">
        <v>118</v>
      </c>
      <c r="AB11426" t="s">
        <v>119</v>
      </c>
    </row>
    <row r="11427" ht="15" customHeight="1" spans="1:22" x14ac:dyDescent="0.25">
      <c r="A11427" s="17" t="s">
        <v>31325</v>
      </c>
      <c r="B11427" s="17" t="s">
        <v>70</v>
      </c>
      <c r="C11427" s="17" t="s">
        <v>71</v>
      </c>
      <c r="D11427" t="s">
        <v>31326</v>
      </c>
      <c r="F11427" t="s">
        <v>1217</v>
      </c>
      <c r="K11427" s="18">
        <f>62811896830</f>
        <v>62811896830</v>
      </c>
      <c r="N11427" s="17" t="s">
        <v>77</v>
      </c>
      <c r="V11427" s="18">
        <f>62811896830</f>
        <v>62811896830</v>
      </c>
    </row>
    <row r="11428" ht="15" customHeight="1" spans="1:22" x14ac:dyDescent="0.25">
      <c r="A11428" s="17" t="s">
        <v>31327</v>
      </c>
      <c r="B11428" s="17" t="s">
        <v>70</v>
      </c>
      <c r="C11428" s="17" t="s">
        <v>71</v>
      </c>
      <c r="D11428" t="s">
        <v>31326</v>
      </c>
      <c r="F11428" t="s">
        <v>31328</v>
      </c>
      <c r="K11428" s="18">
        <f>6285244527017</f>
        <v>6285244527017</v>
      </c>
      <c r="N11428" s="17" t="s">
        <v>77</v>
      </c>
      <c r="V11428" s="18">
        <f>6285244527017</f>
        <v>6285244527017</v>
      </c>
    </row>
    <row r="11429" ht="15" customHeight="1" spans="1:25" x14ac:dyDescent="0.25">
      <c r="A11429" s="17" t="s">
        <v>31329</v>
      </c>
      <c r="B11429" s="17" t="s">
        <v>70</v>
      </c>
      <c r="C11429" s="17" t="s">
        <v>71</v>
      </c>
      <c r="D11429" t="s">
        <v>31326</v>
      </c>
      <c r="F11429" t="s">
        <v>31330</v>
      </c>
      <c r="J11429" s="17" t="s">
        <v>31331</v>
      </c>
      <c r="K11429" s="18">
        <f>6281110698539</f>
        <v>6281110698539</v>
      </c>
      <c r="N11429" s="17" t="s">
        <v>81</v>
      </c>
      <c r="U11429" s="17"/>
      <c r="V11429" s="18">
        <f>6281110698539</f>
        <v>6281110698539</v>
      </c>
      <c r="W11429" t="s">
        <v>31332</v>
      </c>
      <c r="Y11429" s="17" t="s">
        <v>90</v>
      </c>
    </row>
    <row r="11430" ht="15" customHeight="1" spans="1:22" x14ac:dyDescent="0.25">
      <c r="A11430" s="17" t="s">
        <v>31333</v>
      </c>
      <c r="B11430" s="17" t="s">
        <v>70</v>
      </c>
      <c r="C11430" s="17" t="s">
        <v>71</v>
      </c>
      <c r="D11430" t="s">
        <v>31326</v>
      </c>
      <c r="F11430" t="s">
        <v>31334</v>
      </c>
      <c r="K11430" s="18">
        <f>6281354428158</f>
        <v>6281354428158</v>
      </c>
      <c r="N11430" s="17" t="s">
        <v>77</v>
      </c>
      <c r="V11430" s="18">
        <f>6281354428158</f>
        <v>6281354428158</v>
      </c>
    </row>
    <row r="11431" ht="15" customHeight="1" spans="1:22" x14ac:dyDescent="0.25">
      <c r="A11431" s="17" t="s">
        <v>31335</v>
      </c>
      <c r="B11431" s="17" t="s">
        <v>70</v>
      </c>
      <c r="C11431" s="17" t="s">
        <v>71</v>
      </c>
      <c r="D11431" t="s">
        <v>12780</v>
      </c>
      <c r="F11431" t="s">
        <v>12780</v>
      </c>
      <c r="K11431" s="18">
        <f>628129100876</f>
        <v>628129100876</v>
      </c>
      <c r="N11431" s="17" t="s">
        <v>81</v>
      </c>
      <c r="V11431" s="18">
        <f>628129100876</f>
        <v>628129100876</v>
      </c>
    </row>
    <row r="11432" ht="15" customHeight="1" spans="1:25" x14ac:dyDescent="0.25">
      <c r="A11432" s="17" t="s">
        <v>31336</v>
      </c>
      <c r="B11432" s="17" t="s">
        <v>70</v>
      </c>
      <c r="C11432" s="17" t="s">
        <v>71</v>
      </c>
      <c r="D11432" t="s">
        <v>12780</v>
      </c>
      <c r="F11432" t="s">
        <v>12780</v>
      </c>
      <c r="K11432" s="18">
        <f>62817886404</f>
        <v>62817886404</v>
      </c>
      <c r="N11432" s="17" t="s">
        <v>77</v>
      </c>
      <c r="U11432" s="17"/>
      <c r="V11432" s="18">
        <f>62817886404</f>
        <v>62817886404</v>
      </c>
      <c r="W11432" t="s">
        <v>31337</v>
      </c>
      <c r="Y11432" s="17" t="s">
        <v>378</v>
      </c>
    </row>
    <row r="11433" ht="15" customHeight="1" spans="1:22" x14ac:dyDescent="0.25">
      <c r="A11433" s="17" t="s">
        <v>31338</v>
      </c>
      <c r="B11433" s="17" t="s">
        <v>70</v>
      </c>
      <c r="C11433" s="17" t="s">
        <v>71</v>
      </c>
      <c r="D11433" t="s">
        <v>12780</v>
      </c>
      <c r="F11433" t="s">
        <v>5545</v>
      </c>
      <c r="J11433" s="17" t="s">
        <v>31339</v>
      </c>
      <c r="K11433" s="18">
        <f>6281190018275</f>
        <v>6281190018275</v>
      </c>
      <c r="N11433" s="17" t="s">
        <v>77</v>
      </c>
      <c r="V11433" s="18">
        <f>6281190018275</f>
        <v>6281190018275</v>
      </c>
    </row>
    <row r="11434" ht="15" customHeight="1" spans="1:22" x14ac:dyDescent="0.25">
      <c r="A11434" s="17" t="s">
        <v>31340</v>
      </c>
      <c r="B11434" s="17" t="s">
        <v>70</v>
      </c>
      <c r="C11434" s="17" t="s">
        <v>71</v>
      </c>
      <c r="D11434" t="s">
        <v>12780</v>
      </c>
      <c r="F11434" t="s">
        <v>31341</v>
      </c>
      <c r="K11434" s="18">
        <f>6281807754107</f>
        <v>6281807754107</v>
      </c>
      <c r="N11434" s="17" t="s">
        <v>77</v>
      </c>
      <c r="V11434" s="18">
        <f>6281807754107</f>
        <v>6281807754107</v>
      </c>
    </row>
    <row r="11435" ht="15" customHeight="1" spans="1:23" x14ac:dyDescent="0.25">
      <c r="A11435" s="17" t="s">
        <v>31342</v>
      </c>
      <c r="B11435" s="17" t="s">
        <v>70</v>
      </c>
      <c r="C11435" s="17" t="s">
        <v>71</v>
      </c>
      <c r="D11435" t="s">
        <v>12780</v>
      </c>
      <c r="F11435" t="s">
        <v>31343</v>
      </c>
      <c r="K11435" s="18">
        <f>62817776389</f>
        <v>62817776389</v>
      </c>
      <c r="N11435" s="17" t="s">
        <v>81</v>
      </c>
      <c r="U11435" s="17"/>
      <c r="V11435" s="18">
        <f>62817776389</f>
        <v>62817776389</v>
      </c>
      <c r="W11435" t="s">
        <v>31344</v>
      </c>
    </row>
    <row r="11436" ht="15" customHeight="1" spans="1:28" x14ac:dyDescent="0.25">
      <c r="A11436" s="17" t="s">
        <v>31345</v>
      </c>
      <c r="B11436" s="17" t="s">
        <v>70</v>
      </c>
      <c r="C11436" s="17" t="s">
        <v>71</v>
      </c>
      <c r="D11436" t="s">
        <v>12780</v>
      </c>
      <c r="F11436" t="s">
        <v>27789</v>
      </c>
      <c r="J11436" t="s">
        <v>31346</v>
      </c>
      <c r="K11436" s="18" t="s">
        <v>31347</v>
      </c>
      <c r="N11436" s="17" t="s">
        <v>77</v>
      </c>
      <c r="O11436" t="s">
        <v>145</v>
      </c>
      <c r="U11436" s="17"/>
      <c r="V11436" s="18" t="s">
        <v>31347</v>
      </c>
      <c r="W11436" t="s">
        <v>31348</v>
      </c>
      <c r="Y11436" t="s">
        <v>96</v>
      </c>
      <c r="AA11436" t="s">
        <v>693</v>
      </c>
      <c r="AB11436" t="s">
        <v>119</v>
      </c>
    </row>
    <row r="11437" ht="15" customHeight="1" spans="1:27" x14ac:dyDescent="0.25">
      <c r="A11437" s="17" t="s">
        <v>31349</v>
      </c>
      <c r="B11437" s="17" t="s">
        <v>70</v>
      </c>
      <c r="C11437" s="17" t="s">
        <v>71</v>
      </c>
      <c r="D11437" t="s">
        <v>12780</v>
      </c>
      <c r="F11437" t="s">
        <v>20863</v>
      </c>
      <c r="J11437" s="17" t="s">
        <v>31350</v>
      </c>
      <c r="K11437" s="18">
        <f>628161191917</f>
        <v>628161191917</v>
      </c>
      <c r="N11437" s="17" t="s">
        <v>74</v>
      </c>
      <c r="U11437" s="17"/>
      <c r="V11437" s="18">
        <f>628161191917</f>
        <v>628161191917</v>
      </c>
      <c r="W11437" t="s">
        <v>31351</v>
      </c>
      <c r="Y11437" s="17" t="s">
        <v>378</v>
      </c>
      <c r="AA11437" s="17">
        <v>10350</v>
      </c>
    </row>
    <row r="11438" ht="15" customHeight="1" spans="1:25" x14ac:dyDescent="0.25">
      <c r="A11438" s="17" t="s">
        <v>31352</v>
      </c>
      <c r="B11438" s="17" t="s">
        <v>70</v>
      </c>
      <c r="C11438" s="17" t="s">
        <v>71</v>
      </c>
      <c r="D11438" t="s">
        <v>12780</v>
      </c>
      <c r="F11438" t="s">
        <v>16838</v>
      </c>
      <c r="J11438" s="17" t="s">
        <v>31353</v>
      </c>
      <c r="K11438" s="18">
        <f>6287752072662</f>
        <v>6287752072662</v>
      </c>
      <c r="N11438" s="17" t="s">
        <v>77</v>
      </c>
      <c r="U11438" s="17"/>
      <c r="V11438" s="18">
        <f>6287752072662</f>
        <v>6287752072662</v>
      </c>
      <c r="W11438" t="s">
        <v>31354</v>
      </c>
      <c r="Y11438" s="17" t="s">
        <v>626</v>
      </c>
    </row>
    <row r="11439" ht="15" customHeight="1" spans="1:22" x14ac:dyDescent="0.25">
      <c r="A11439" s="17" t="s">
        <v>31355</v>
      </c>
      <c r="B11439" s="17" t="s">
        <v>70</v>
      </c>
      <c r="C11439" s="17" t="s">
        <v>71</v>
      </c>
      <c r="D11439" t="s">
        <v>31356</v>
      </c>
      <c r="F11439" t="s">
        <v>31356</v>
      </c>
      <c r="K11439" s="18">
        <f>62811173335</f>
        <v>62811173335</v>
      </c>
      <c r="N11439" s="17" t="s">
        <v>81</v>
      </c>
      <c r="V11439" s="18">
        <f>62811173335</f>
        <v>62811173335</v>
      </c>
    </row>
    <row r="11440" ht="15" customHeight="1" spans="1:23" x14ac:dyDescent="0.25">
      <c r="A11440" s="17" t="s">
        <v>31357</v>
      </c>
      <c r="B11440" s="17" t="s">
        <v>70</v>
      </c>
      <c r="C11440" s="17" t="s">
        <v>71</v>
      </c>
      <c r="D11440" t="s">
        <v>31358</v>
      </c>
      <c r="F11440" t="s">
        <v>31358</v>
      </c>
      <c r="K11440" s="18">
        <f>6282112048007</f>
        <v>6282112048007</v>
      </c>
      <c r="N11440" s="17" t="s">
        <v>77</v>
      </c>
      <c r="U11440" s="17"/>
      <c r="V11440" s="18">
        <f>6282112048007</f>
        <v>6282112048007</v>
      </c>
      <c r="W11440" t="s">
        <v>31359</v>
      </c>
    </row>
    <row r="11441" ht="15" customHeight="1" spans="1:22" x14ac:dyDescent="0.25">
      <c r="A11441" s="17" t="s">
        <v>31360</v>
      </c>
      <c r="B11441" s="17" t="s">
        <v>70</v>
      </c>
      <c r="C11441" s="17" t="s">
        <v>71</v>
      </c>
      <c r="D11441" t="s">
        <v>31358</v>
      </c>
      <c r="F11441" t="s">
        <v>14605</v>
      </c>
      <c r="K11441" s="18">
        <f>6596775588</f>
        <v>6596775588</v>
      </c>
      <c r="N11441" s="17" t="s">
        <v>77</v>
      </c>
      <c r="V11441" s="18">
        <f>6596775588</f>
        <v>6596775588</v>
      </c>
    </row>
    <row r="11442" ht="15" customHeight="1" spans="1:22" x14ac:dyDescent="0.25">
      <c r="A11442" s="17" t="s">
        <v>31361</v>
      </c>
      <c r="B11442" s="17" t="s">
        <v>70</v>
      </c>
      <c r="C11442" s="17" t="s">
        <v>71</v>
      </c>
      <c r="D11442" t="s">
        <v>31358</v>
      </c>
      <c r="F11442" t="s">
        <v>10033</v>
      </c>
      <c r="K11442" s="18">
        <f>62818193790</f>
        <v>62818193790</v>
      </c>
      <c r="N11442" s="17" t="s">
        <v>81</v>
      </c>
      <c r="V11442" s="18">
        <f>62818193790</f>
        <v>62818193790</v>
      </c>
    </row>
    <row r="11443" ht="15" customHeight="1" spans="1:23" x14ac:dyDescent="0.25">
      <c r="A11443" s="17" t="s">
        <v>31362</v>
      </c>
      <c r="B11443" s="17" t="s">
        <v>70</v>
      </c>
      <c r="C11443" s="17" t="s">
        <v>71</v>
      </c>
      <c r="D11443" t="s">
        <v>31363</v>
      </c>
      <c r="F11443" t="s">
        <v>31363</v>
      </c>
      <c r="K11443" s="18">
        <f>6281320490909</f>
        <v>6281320490909</v>
      </c>
      <c r="N11443" s="17" t="s">
        <v>74</v>
      </c>
      <c r="U11443" s="17"/>
      <c r="V11443" s="18">
        <f>6281320490909</f>
        <v>6281320490909</v>
      </c>
      <c r="W11443" t="s">
        <v>31364</v>
      </c>
    </row>
    <row r="11444" ht="15" customHeight="1" spans="1:22" x14ac:dyDescent="0.25">
      <c r="A11444" s="17" t="s">
        <v>31365</v>
      </c>
      <c r="B11444" s="17" t="s">
        <v>70</v>
      </c>
      <c r="C11444" s="17" t="s">
        <v>71</v>
      </c>
      <c r="D11444" t="s">
        <v>31363</v>
      </c>
      <c r="F11444" t="s">
        <v>84</v>
      </c>
      <c r="K11444" s="18">
        <f>62816608181</f>
        <v>62816608181</v>
      </c>
      <c r="N11444" s="17" t="s">
        <v>74</v>
      </c>
      <c r="V11444" s="18">
        <f>62816608181</f>
        <v>62816608181</v>
      </c>
    </row>
    <row r="11445" ht="15" customHeight="1" spans="1:22" x14ac:dyDescent="0.25">
      <c r="A11445" s="17" t="s">
        <v>31366</v>
      </c>
      <c r="B11445" s="17" t="s">
        <v>70</v>
      </c>
      <c r="C11445" s="17" t="s">
        <v>71</v>
      </c>
      <c r="D11445" t="s">
        <v>532</v>
      </c>
      <c r="F11445" t="s">
        <v>532</v>
      </c>
      <c r="K11445" s="18">
        <f>62811133696</f>
        <v>62811133696</v>
      </c>
      <c r="N11445" s="17" t="s">
        <v>81</v>
      </c>
      <c r="V11445" s="18">
        <f>62811133696</f>
        <v>62811133696</v>
      </c>
    </row>
    <row r="11446" ht="15" customHeight="1" spans="1:22" x14ac:dyDescent="0.25">
      <c r="A11446" s="17" t="s">
        <v>31367</v>
      </c>
      <c r="B11446" s="17" t="s">
        <v>70</v>
      </c>
      <c r="C11446" s="17" t="s">
        <v>71</v>
      </c>
      <c r="D11446" t="s">
        <v>532</v>
      </c>
      <c r="F11446" t="s">
        <v>532</v>
      </c>
      <c r="K11446" s="18">
        <f>62811307782</f>
        <v>62811307782</v>
      </c>
      <c r="N11446" s="17" t="s">
        <v>81</v>
      </c>
      <c r="V11446" s="18">
        <f>62811307782</f>
        <v>62811307782</v>
      </c>
    </row>
    <row r="11447" ht="15" customHeight="1" spans="1:28" x14ac:dyDescent="0.25">
      <c r="A11447" s="17" t="s">
        <v>31368</v>
      </c>
      <c r="B11447" s="17" t="s">
        <v>70</v>
      </c>
      <c r="C11447" s="17" t="s">
        <v>71</v>
      </c>
      <c r="D11447" t="s">
        <v>532</v>
      </c>
      <c r="F11447" t="s">
        <v>5476</v>
      </c>
      <c r="J11447" t="s">
        <v>115</v>
      </c>
      <c r="K11447" s="18" t="s">
        <v>31369</v>
      </c>
      <c r="N11447" s="17" t="s">
        <v>77</v>
      </c>
      <c r="O11447" t="s">
        <v>117</v>
      </c>
      <c r="V11447" s="18" t="s">
        <v>31369</v>
      </c>
      <c r="Y11447" t="s">
        <v>90</v>
      </c>
      <c r="AA11447" t="s">
        <v>118</v>
      </c>
      <c r="AB11447" t="s">
        <v>119</v>
      </c>
    </row>
    <row r="11448" ht="15" customHeight="1" spans="1:22" x14ac:dyDescent="0.25">
      <c r="A11448" s="17" t="s">
        <v>31370</v>
      </c>
      <c r="B11448" s="17" t="s">
        <v>70</v>
      </c>
      <c r="C11448" s="17" t="s">
        <v>71</v>
      </c>
      <c r="D11448" t="s">
        <v>532</v>
      </c>
      <c r="F11448" t="s">
        <v>629</v>
      </c>
      <c r="K11448" s="18">
        <f>628158059115</f>
        <v>628158059115</v>
      </c>
      <c r="N11448" s="17" t="s">
        <v>77</v>
      </c>
      <c r="V11448" s="18">
        <f>628158059115</f>
        <v>628158059115</v>
      </c>
    </row>
    <row r="11449" ht="15" customHeight="1" spans="1:27" x14ac:dyDescent="0.25">
      <c r="A11449" s="17" t="s">
        <v>31371</v>
      </c>
      <c r="B11449" s="17" t="s">
        <v>70</v>
      </c>
      <c r="C11449" s="17" t="s">
        <v>71</v>
      </c>
      <c r="D11449" t="s">
        <v>532</v>
      </c>
      <c r="F11449" t="s">
        <v>26131</v>
      </c>
      <c r="K11449" s="18">
        <f>62811133301</f>
        <v>62811133301</v>
      </c>
      <c r="N11449" s="17" t="s">
        <v>77</v>
      </c>
      <c r="U11449" s="17"/>
      <c r="V11449" s="18">
        <f>62811133301</f>
        <v>62811133301</v>
      </c>
      <c r="W11449" t="s">
        <v>31372</v>
      </c>
      <c r="Y11449" s="17" t="s">
        <v>1084</v>
      </c>
      <c r="AA11449" s="17" t="s">
        <v>5003</v>
      </c>
    </row>
    <row r="11450" ht="15" customHeight="1" spans="1:23" x14ac:dyDescent="0.25">
      <c r="A11450" s="17" t="s">
        <v>31373</v>
      </c>
      <c r="B11450" s="17" t="s">
        <v>70</v>
      </c>
      <c r="C11450" s="17" t="s">
        <v>71</v>
      </c>
      <c r="D11450" t="s">
        <v>532</v>
      </c>
      <c r="F11450" t="s">
        <v>31374</v>
      </c>
      <c r="K11450" s="18">
        <f>6282112334445</f>
        <v>6282112334445</v>
      </c>
      <c r="N11450" s="17" t="s">
        <v>81</v>
      </c>
      <c r="U11450" s="17"/>
      <c r="V11450" s="18">
        <f>6282112334445</f>
        <v>6282112334445</v>
      </c>
      <c r="W11450" t="s">
        <v>31375</v>
      </c>
    </row>
    <row r="11451" ht="15" customHeight="1" spans="1:22" x14ac:dyDescent="0.25">
      <c r="A11451" s="17" t="s">
        <v>31376</v>
      </c>
      <c r="B11451" s="17" t="s">
        <v>70</v>
      </c>
      <c r="C11451" s="17" t="s">
        <v>71</v>
      </c>
      <c r="D11451" t="s">
        <v>31377</v>
      </c>
      <c r="F11451" t="s">
        <v>31378</v>
      </c>
      <c r="K11451" s="18">
        <f>628129679670</f>
        <v>628129679670</v>
      </c>
      <c r="N11451" s="17" t="s">
        <v>77</v>
      </c>
      <c r="V11451" s="18">
        <f>628129679670</f>
        <v>628129679670</v>
      </c>
    </row>
    <row r="11452" ht="15" customHeight="1" spans="1:23" x14ac:dyDescent="0.25">
      <c r="A11452" s="17" t="s">
        <v>31379</v>
      </c>
      <c r="B11452" s="17" t="s">
        <v>70</v>
      </c>
      <c r="C11452" s="17" t="s">
        <v>71</v>
      </c>
      <c r="D11452" t="s">
        <v>31380</v>
      </c>
      <c r="F11452" t="s">
        <v>31380</v>
      </c>
      <c r="K11452" s="18">
        <f>79099997696</f>
        <v>79099997696</v>
      </c>
      <c r="N11452" s="17" t="s">
        <v>81</v>
      </c>
      <c r="U11452" s="17"/>
      <c r="V11452" s="18">
        <f>79099997696</f>
        <v>79099997696</v>
      </c>
      <c r="W11452" t="s">
        <v>13111</v>
      </c>
    </row>
    <row r="11453" ht="15" customHeight="1" spans="1:28" x14ac:dyDescent="0.25">
      <c r="A11453" s="17" t="s">
        <v>31381</v>
      </c>
      <c r="B11453" s="17" t="s">
        <v>70</v>
      </c>
      <c r="C11453" s="17" t="s">
        <v>71</v>
      </c>
      <c r="D11453" t="s">
        <v>31380</v>
      </c>
      <c r="F11453" t="s">
        <v>31382</v>
      </c>
      <c r="J11453" s="17" t="s">
        <v>31383</v>
      </c>
      <c r="K11453" s="18" t="s">
        <v>31384</v>
      </c>
      <c r="N11453" s="17" t="s">
        <v>77</v>
      </c>
      <c r="O11453" t="s">
        <v>145</v>
      </c>
      <c r="V11453" s="18" t="s">
        <v>31384</v>
      </c>
      <c r="Y11453" t="s">
        <v>115</v>
      </c>
      <c r="AA11453" t="s">
        <v>115</v>
      </c>
      <c r="AB11453" t="s">
        <v>2605</v>
      </c>
    </row>
    <row r="11454" ht="15" customHeight="1" spans="1:28" x14ac:dyDescent="0.25">
      <c r="A11454" s="17" t="s">
        <v>31385</v>
      </c>
      <c r="B11454" s="17" t="s">
        <v>70</v>
      </c>
      <c r="C11454" s="17" t="s">
        <v>71</v>
      </c>
      <c r="D11454" t="s">
        <v>31386</v>
      </c>
      <c r="F11454" t="s">
        <v>5795</v>
      </c>
      <c r="J11454" t="s">
        <v>31387</v>
      </c>
      <c r="K11454" s="18" t="s">
        <v>31388</v>
      </c>
      <c r="N11454" s="17" t="s">
        <v>77</v>
      </c>
      <c r="O11454" t="s">
        <v>117</v>
      </c>
      <c r="U11454" s="17"/>
      <c r="V11454" s="18" t="s">
        <v>31388</v>
      </c>
      <c r="W11454" t="s">
        <v>31389</v>
      </c>
      <c r="Y11454" t="s">
        <v>90</v>
      </c>
      <c r="AA11454" t="s">
        <v>118</v>
      </c>
      <c r="AB11454" t="s">
        <v>119</v>
      </c>
    </row>
    <row r="11455" ht="15" customHeight="1" spans="1:22" x14ac:dyDescent="0.25">
      <c r="A11455" s="17" t="s">
        <v>31390</v>
      </c>
      <c r="B11455" s="17" t="s">
        <v>70</v>
      </c>
      <c r="C11455" s="17" t="s">
        <v>71</v>
      </c>
      <c r="D11455" t="s">
        <v>31391</v>
      </c>
      <c r="F11455" t="s">
        <v>31392</v>
      </c>
      <c r="K11455" s="18">
        <f>62818957668</f>
        <v>62818957668</v>
      </c>
      <c r="N11455" s="17" t="s">
        <v>81</v>
      </c>
      <c r="V11455" s="18">
        <f>62818957668</f>
        <v>62818957668</v>
      </c>
    </row>
    <row r="11456" ht="15" customHeight="1" spans="1:28" x14ac:dyDescent="0.25">
      <c r="A11456" s="17" t="s">
        <v>31393</v>
      </c>
      <c r="B11456" s="17" t="s">
        <v>70</v>
      </c>
      <c r="C11456" s="17" t="s">
        <v>71</v>
      </c>
      <c r="D11456" t="s">
        <v>31394</v>
      </c>
      <c r="F11456" t="s">
        <v>31395</v>
      </c>
      <c r="J11456" s="17" t="s">
        <v>31396</v>
      </c>
      <c r="K11456" s="18" t="s">
        <v>31397</v>
      </c>
      <c r="N11456" s="17" t="s">
        <v>77</v>
      </c>
      <c r="O11456" t="s">
        <v>199</v>
      </c>
      <c r="U11456" s="17"/>
      <c r="V11456" s="18" t="s">
        <v>31397</v>
      </c>
      <c r="W11456" t="s">
        <v>31398</v>
      </c>
      <c r="Y11456" t="s">
        <v>96</v>
      </c>
      <c r="AA11456" t="s">
        <v>693</v>
      </c>
      <c r="AB11456" t="s">
        <v>119</v>
      </c>
    </row>
    <row r="11457" ht="15" customHeight="1" spans="1:22" x14ac:dyDescent="0.25">
      <c r="A11457" s="17" t="s">
        <v>31399</v>
      </c>
      <c r="B11457" s="17" t="s">
        <v>70</v>
      </c>
      <c r="C11457" s="17" t="s">
        <v>71</v>
      </c>
      <c r="D11457" t="s">
        <v>31400</v>
      </c>
      <c r="F11457" t="s">
        <v>3125</v>
      </c>
      <c r="K11457" s="18">
        <f>6282140732621</f>
        <v>6282140732621</v>
      </c>
      <c r="N11457" s="17" t="s">
        <v>77</v>
      </c>
      <c r="V11457" s="18">
        <f>6282140732621</f>
        <v>6282140732621</v>
      </c>
    </row>
    <row r="11458" ht="15" customHeight="1" spans="1:23" x14ac:dyDescent="0.25">
      <c r="A11458" s="17" t="s">
        <v>31401</v>
      </c>
      <c r="B11458" s="17" t="s">
        <v>70</v>
      </c>
      <c r="C11458" s="17" t="s">
        <v>71</v>
      </c>
      <c r="D11458" t="s">
        <v>31402</v>
      </c>
      <c r="F11458" t="s">
        <v>3767</v>
      </c>
      <c r="K11458" s="18">
        <f>6281377759997</f>
        <v>6281377759997</v>
      </c>
      <c r="N11458" s="17" t="s">
        <v>77</v>
      </c>
      <c r="U11458" s="17"/>
      <c r="V11458" s="18">
        <f>6281377759997</f>
        <v>6281377759997</v>
      </c>
      <c r="W11458" t="s">
        <v>90</v>
      </c>
    </row>
    <row r="11459" ht="15" customHeight="1" spans="1:23" x14ac:dyDescent="0.25">
      <c r="A11459" s="17" t="s">
        <v>31403</v>
      </c>
      <c r="B11459" s="17" t="s">
        <v>70</v>
      </c>
      <c r="C11459" s="17" t="s">
        <v>71</v>
      </c>
      <c r="D11459" t="s">
        <v>31404</v>
      </c>
      <c r="F11459" t="s">
        <v>150</v>
      </c>
      <c r="J11459" s="17" t="s">
        <v>31405</v>
      </c>
      <c r="K11459" s="18">
        <f>6287875505977</f>
        <v>6287875505977</v>
      </c>
      <c r="N11459" s="17" t="s">
        <v>77</v>
      </c>
      <c r="U11459" s="17"/>
      <c r="V11459" s="18">
        <f>6287875505977</f>
        <v>6287875505977</v>
      </c>
      <c r="W11459" t="s">
        <v>31406</v>
      </c>
    </row>
    <row r="11460" ht="15" customHeight="1" spans="1:22" x14ac:dyDescent="0.25">
      <c r="A11460" s="17" t="s">
        <v>31407</v>
      </c>
      <c r="B11460" s="17" t="s">
        <v>70</v>
      </c>
      <c r="C11460" s="17" t="s">
        <v>71</v>
      </c>
      <c r="D11460" t="s">
        <v>31404</v>
      </c>
      <c r="F11460" t="s">
        <v>672</v>
      </c>
      <c r="K11460" s="18">
        <f>6281290209120</f>
        <v>6281290209120</v>
      </c>
      <c r="N11460" s="17" t="s">
        <v>77</v>
      </c>
      <c r="V11460" s="18">
        <f>6281290209120</f>
        <v>6281290209120</v>
      </c>
    </row>
    <row r="11461" ht="15" customHeight="1" spans="1:27" x14ac:dyDescent="0.25">
      <c r="A11461" s="17" t="s">
        <v>31408</v>
      </c>
      <c r="B11461" s="17" t="s">
        <v>70</v>
      </c>
      <c r="C11461" s="17" t="s">
        <v>71</v>
      </c>
      <c r="D11461" t="s">
        <v>31409</v>
      </c>
      <c r="F11461" t="s">
        <v>2593</v>
      </c>
      <c r="K11461" s="18">
        <f>62816708069</f>
        <v>62816708069</v>
      </c>
      <c r="N11461" s="17" t="s">
        <v>77</v>
      </c>
      <c r="U11461" s="17"/>
      <c r="V11461" s="18">
        <f>62816708069</f>
        <v>62816708069</v>
      </c>
      <c r="W11461" t="s">
        <v>31410</v>
      </c>
      <c r="Y11461" s="17" t="s">
        <v>96</v>
      </c>
      <c r="AA11461" s="17" t="s">
        <v>31411</v>
      </c>
    </row>
    <row r="11462" ht="15" customHeight="1" spans="1:23" x14ac:dyDescent="0.25">
      <c r="A11462" s="17" t="s">
        <v>31412</v>
      </c>
      <c r="B11462" s="17" t="s">
        <v>70</v>
      </c>
      <c r="C11462" s="17" t="s">
        <v>71</v>
      </c>
      <c r="D11462" t="s">
        <v>31413</v>
      </c>
      <c r="F11462" t="s">
        <v>150</v>
      </c>
      <c r="K11462" s="18">
        <f>61401601288</f>
        <v>61401601288</v>
      </c>
      <c r="N11462" s="17" t="s">
        <v>77</v>
      </c>
      <c r="U11462" s="17"/>
      <c r="V11462" s="18">
        <f>61401601288</f>
        <v>61401601288</v>
      </c>
      <c r="W11462" t="s">
        <v>704</v>
      </c>
    </row>
    <row r="11463" ht="15" customHeight="1" spans="1:28" x14ac:dyDescent="0.25">
      <c r="A11463" s="17" t="s">
        <v>31414</v>
      </c>
      <c r="B11463" s="17" t="s">
        <v>70</v>
      </c>
      <c r="C11463" s="17" t="s">
        <v>71</v>
      </c>
      <c r="D11463" t="s">
        <v>31415</v>
      </c>
      <c r="F11463" t="s">
        <v>31416</v>
      </c>
      <c r="J11463" s="17" t="s">
        <v>31417</v>
      </c>
      <c r="K11463" s="18" t="s">
        <v>31418</v>
      </c>
      <c r="N11463" s="17" t="s">
        <v>77</v>
      </c>
      <c r="O11463" t="s">
        <v>489</v>
      </c>
      <c r="U11463" s="17"/>
      <c r="V11463" s="18" t="s">
        <v>31418</v>
      </c>
      <c r="W11463" t="s">
        <v>31419</v>
      </c>
      <c r="Y11463" t="s">
        <v>115</v>
      </c>
      <c r="AA11463" t="s">
        <v>115</v>
      </c>
      <c r="AB11463" t="s">
        <v>451</v>
      </c>
    </row>
    <row r="11464" ht="15" customHeight="1" spans="1:22" x14ac:dyDescent="0.25">
      <c r="A11464" s="17" t="s">
        <v>31420</v>
      </c>
      <c r="B11464" s="17" t="s">
        <v>70</v>
      </c>
      <c r="C11464" s="17" t="s">
        <v>71</v>
      </c>
      <c r="D11464" t="s">
        <v>7234</v>
      </c>
      <c r="F11464" t="s">
        <v>20544</v>
      </c>
      <c r="K11464" s="18">
        <v>18267833313</v>
      </c>
      <c r="N11464" s="17" t="s">
        <v>77</v>
      </c>
      <c r="V11464" s="18">
        <v>18267833313</v>
      </c>
    </row>
    <row r="11465" ht="15" customHeight="1" spans="1:23" x14ac:dyDescent="0.25">
      <c r="A11465" s="17" t="s">
        <v>31421</v>
      </c>
      <c r="B11465" s="17" t="s">
        <v>70</v>
      </c>
      <c r="C11465" s="17" t="s">
        <v>71</v>
      </c>
      <c r="D11465" t="s">
        <v>7234</v>
      </c>
      <c r="F11465" t="s">
        <v>31422</v>
      </c>
      <c r="K11465" s="18">
        <f>8613902445757</f>
        <v>8613902445757</v>
      </c>
      <c r="N11465" s="17" t="s">
        <v>77</v>
      </c>
      <c r="U11465" s="17"/>
      <c r="V11465" s="18">
        <f>8613902445757</f>
        <v>8613902445757</v>
      </c>
      <c r="W11465" t="s">
        <v>3140</v>
      </c>
    </row>
    <row r="11466" ht="15" customHeight="1" spans="1:28" x14ac:dyDescent="0.25">
      <c r="A11466" s="17" t="s">
        <v>31423</v>
      </c>
      <c r="B11466" s="17" t="s">
        <v>70</v>
      </c>
      <c r="C11466" s="17" t="s">
        <v>71</v>
      </c>
      <c r="D11466" t="s">
        <v>7234</v>
      </c>
      <c r="F11466" t="s">
        <v>31424</v>
      </c>
      <c r="J11466" t="s">
        <v>115</v>
      </c>
      <c r="K11466" s="18" t="s">
        <v>31425</v>
      </c>
      <c r="N11466" s="17" t="s">
        <v>77</v>
      </c>
      <c r="O11466" t="s">
        <v>145</v>
      </c>
      <c r="U11466" s="17"/>
      <c r="V11466" s="18" t="s">
        <v>31425</v>
      </c>
      <c r="W11466" t="s">
        <v>3140</v>
      </c>
      <c r="Y11466" t="s">
        <v>115</v>
      </c>
      <c r="AA11466" t="s">
        <v>115</v>
      </c>
      <c r="AB11466" t="s">
        <v>119</v>
      </c>
    </row>
    <row r="11467" ht="15" customHeight="1" spans="1:28" x14ac:dyDescent="0.25">
      <c r="A11467" s="17" t="s">
        <v>31426</v>
      </c>
      <c r="B11467" s="17" t="s">
        <v>70</v>
      </c>
      <c r="C11467" s="17" t="s">
        <v>71</v>
      </c>
      <c r="D11467" t="s">
        <v>7234</v>
      </c>
      <c r="F11467" t="s">
        <v>31427</v>
      </c>
      <c r="J11467" t="s">
        <v>115</v>
      </c>
      <c r="K11467" s="18" t="s">
        <v>31428</v>
      </c>
      <c r="N11467" s="17" t="s">
        <v>77</v>
      </c>
      <c r="O11467" t="s">
        <v>199</v>
      </c>
      <c r="V11467" s="18" t="s">
        <v>31428</v>
      </c>
      <c r="Y11467" t="s">
        <v>190</v>
      </c>
      <c r="AA11467" t="s">
        <v>118</v>
      </c>
      <c r="AB11467" t="s">
        <v>119</v>
      </c>
    </row>
    <row r="11468" ht="15" customHeight="1" spans="1:28" x14ac:dyDescent="0.25">
      <c r="A11468" s="17" t="s">
        <v>31429</v>
      </c>
      <c r="B11468" s="17" t="s">
        <v>70</v>
      </c>
      <c r="C11468" s="17" t="s">
        <v>71</v>
      </c>
      <c r="D11468" t="s">
        <v>31430</v>
      </c>
      <c r="F11468" t="s">
        <v>31431</v>
      </c>
      <c r="J11468" s="17" t="s">
        <v>31432</v>
      </c>
      <c r="K11468" s="18" t="s">
        <v>31433</v>
      </c>
      <c r="N11468" s="17" t="s">
        <v>77</v>
      </c>
      <c r="O11468" t="s">
        <v>117</v>
      </c>
      <c r="U11468" s="17"/>
      <c r="V11468" s="18" t="s">
        <v>31433</v>
      </c>
      <c r="W11468" t="s">
        <v>3140</v>
      </c>
      <c r="Y11468" t="s">
        <v>3140</v>
      </c>
      <c r="AA11468" t="s">
        <v>115</v>
      </c>
      <c r="AB11468" t="s">
        <v>3140</v>
      </c>
    </row>
    <row r="11469" ht="15" customHeight="1" spans="1:22" x14ac:dyDescent="0.25">
      <c r="A11469" s="17" t="s">
        <v>31434</v>
      </c>
      <c r="B11469" s="17" t="s">
        <v>70</v>
      </c>
      <c r="C11469" s="17" t="s">
        <v>71</v>
      </c>
      <c r="D11469" t="s">
        <v>31435</v>
      </c>
      <c r="F11469" t="s">
        <v>2586</v>
      </c>
      <c r="K11469" s="18">
        <f>6281317030301</f>
        <v>6281317030301</v>
      </c>
      <c r="N11469" s="17" t="s">
        <v>77</v>
      </c>
      <c r="V11469" s="18">
        <f>6281317030301</f>
        <v>6281317030301</v>
      </c>
    </row>
    <row r="11470" ht="15" customHeight="1" spans="1:22" x14ac:dyDescent="0.25">
      <c r="A11470" s="17" t="s">
        <v>31436</v>
      </c>
      <c r="B11470" s="17" t="s">
        <v>70</v>
      </c>
      <c r="C11470" s="17" t="s">
        <v>71</v>
      </c>
      <c r="D11470" t="s">
        <v>31435</v>
      </c>
      <c r="F11470" t="s">
        <v>2586</v>
      </c>
      <c r="K11470" s="18">
        <f>6281311332090</f>
        <v>6281311332090</v>
      </c>
      <c r="N11470" s="17" t="s">
        <v>81</v>
      </c>
      <c r="V11470" s="18">
        <f>6281311332090</f>
        <v>6281311332090</v>
      </c>
    </row>
    <row r="11471" ht="15" customHeight="1" spans="1:22" x14ac:dyDescent="0.25">
      <c r="A11471" s="17" t="s">
        <v>31437</v>
      </c>
      <c r="B11471" s="17" t="s">
        <v>70</v>
      </c>
      <c r="C11471" s="17" t="s">
        <v>71</v>
      </c>
      <c r="D11471" t="s">
        <v>31438</v>
      </c>
      <c r="F11471" t="s">
        <v>31438</v>
      </c>
      <c r="K11471" s="18">
        <f>6281332313166</f>
        <v>6281332313166</v>
      </c>
      <c r="N11471" s="17" t="s">
        <v>81</v>
      </c>
      <c r="V11471" s="18">
        <f>6281332313166</f>
        <v>6281332313166</v>
      </c>
    </row>
    <row r="11472" ht="15" customHeight="1" spans="1:28" x14ac:dyDescent="0.25">
      <c r="A11472" s="17" t="s">
        <v>31439</v>
      </c>
      <c r="B11472" s="17" t="s">
        <v>70</v>
      </c>
      <c r="C11472" s="17" t="s">
        <v>71</v>
      </c>
      <c r="D11472" t="s">
        <v>31440</v>
      </c>
      <c r="F11472" t="s">
        <v>10444</v>
      </c>
      <c r="J11472" t="s">
        <v>115</v>
      </c>
      <c r="K11472" s="18" t="s">
        <v>31441</v>
      </c>
      <c r="N11472" s="17" t="s">
        <v>81</v>
      </c>
      <c r="O11472" t="s">
        <v>117</v>
      </c>
      <c r="V11472" s="18" t="s">
        <v>31441</v>
      </c>
      <c r="Y11472" t="s">
        <v>115</v>
      </c>
      <c r="AA11472" t="s">
        <v>115</v>
      </c>
      <c r="AB11472" t="s">
        <v>119</v>
      </c>
    </row>
    <row r="11473" ht="15" customHeight="1" spans="1:27" x14ac:dyDescent="0.25">
      <c r="A11473" s="17" t="s">
        <v>31442</v>
      </c>
      <c r="B11473" s="17" t="s">
        <v>70</v>
      </c>
      <c r="C11473" s="17" t="s">
        <v>71</v>
      </c>
      <c r="D11473" t="s">
        <v>31443</v>
      </c>
      <c r="F11473" t="s">
        <v>16465</v>
      </c>
      <c r="J11473" s="17" t="s">
        <v>31444</v>
      </c>
      <c r="K11473" s="18">
        <f>6282213231002</f>
        <v>6282213231002</v>
      </c>
      <c r="N11473" s="17" t="s">
        <v>81</v>
      </c>
      <c r="U11473" s="17"/>
      <c r="V11473" s="18">
        <f>6282213231002</f>
        <v>6282213231002</v>
      </c>
      <c r="W11473" t="s">
        <v>31445</v>
      </c>
      <c r="AA11473" s="17">
        <v>17530</v>
      </c>
    </row>
    <row r="11474" ht="15" customHeight="1" spans="1:22" x14ac:dyDescent="0.25">
      <c r="A11474" s="17" t="s">
        <v>31446</v>
      </c>
      <c r="B11474" s="17" t="s">
        <v>70</v>
      </c>
      <c r="C11474" s="17" t="s">
        <v>71</v>
      </c>
      <c r="D11474" t="s">
        <v>31447</v>
      </c>
      <c r="F11474" t="s">
        <v>31447</v>
      </c>
      <c r="K11474" s="18">
        <f>628117101986</f>
        <v>628117101986</v>
      </c>
      <c r="N11474" s="17" t="s">
        <v>77</v>
      </c>
      <c r="V11474" s="18">
        <f>628117101986</f>
        <v>628117101986</v>
      </c>
    </row>
    <row r="11475" ht="15" customHeight="1" spans="1:23" x14ac:dyDescent="0.25">
      <c r="A11475" s="17" t="s">
        <v>31448</v>
      </c>
      <c r="B11475" s="17" t="s">
        <v>70</v>
      </c>
      <c r="C11475" s="17" t="s">
        <v>71</v>
      </c>
      <c r="D11475" t="s">
        <v>31449</v>
      </c>
      <c r="F11475" t="s">
        <v>6299</v>
      </c>
      <c r="K11475" s="18">
        <f>573183497035</f>
        <v>573183497035</v>
      </c>
      <c r="N11475" s="17" t="s">
        <v>77</v>
      </c>
      <c r="U11475" s="17"/>
      <c r="V11475" s="18">
        <f>573183497035</f>
        <v>573183497035</v>
      </c>
      <c r="W11475" t="s">
        <v>31450</v>
      </c>
    </row>
    <row r="11476" ht="15" customHeight="1" spans="1:23" x14ac:dyDescent="0.25">
      <c r="A11476" s="17" t="s">
        <v>31451</v>
      </c>
      <c r="B11476" s="17" t="s">
        <v>70</v>
      </c>
      <c r="C11476" s="17" t="s">
        <v>71</v>
      </c>
      <c r="D11476" t="s">
        <v>31449</v>
      </c>
      <c r="F11476" t="s">
        <v>31452</v>
      </c>
      <c r="K11476" s="18">
        <f>524491234567</f>
        <v>524491234567</v>
      </c>
      <c r="N11476" s="17" t="s">
        <v>77</v>
      </c>
      <c r="U11476" s="17"/>
      <c r="V11476" s="18">
        <f>524491234567</f>
        <v>524491234567</v>
      </c>
      <c r="W11476" t="s">
        <v>1310</v>
      </c>
    </row>
    <row r="11477" ht="15" customHeight="1" spans="1:23" x14ac:dyDescent="0.25">
      <c r="A11477" s="17" t="s">
        <v>31453</v>
      </c>
      <c r="B11477" s="17" t="s">
        <v>70</v>
      </c>
      <c r="C11477" s="17" t="s">
        <v>71</v>
      </c>
      <c r="D11477" t="s">
        <v>31454</v>
      </c>
      <c r="F11477" t="s">
        <v>31454</v>
      </c>
      <c r="K11477" s="18">
        <f>6287877077809</f>
        <v>6287877077809</v>
      </c>
      <c r="N11477" s="17" t="s">
        <v>77</v>
      </c>
      <c r="U11477" s="17"/>
      <c r="V11477" s="18">
        <f>6287877077809</f>
        <v>6287877077809</v>
      </c>
      <c r="W11477" t="s">
        <v>31455</v>
      </c>
    </row>
    <row r="11478" ht="15" customHeight="1" spans="1:22" x14ac:dyDescent="0.25">
      <c r="A11478" s="17" t="s">
        <v>31456</v>
      </c>
      <c r="B11478" s="17" t="s">
        <v>70</v>
      </c>
      <c r="C11478" s="17" t="s">
        <v>71</v>
      </c>
      <c r="D11478" t="s">
        <v>31457</v>
      </c>
      <c r="F11478" t="s">
        <v>31457</v>
      </c>
      <c r="K11478" s="18">
        <f>628111333234</f>
        <v>628111333234</v>
      </c>
      <c r="N11478" s="17" t="s">
        <v>77</v>
      </c>
      <c r="V11478" s="18">
        <f>628111333234</f>
        <v>628111333234</v>
      </c>
    </row>
    <row r="11479" ht="15" customHeight="1" spans="1:25" x14ac:dyDescent="0.25">
      <c r="A11479" s="17" t="s">
        <v>31458</v>
      </c>
      <c r="B11479" s="17" t="s">
        <v>70</v>
      </c>
      <c r="C11479" s="17" t="s">
        <v>71</v>
      </c>
      <c r="D11479" t="s">
        <v>31457</v>
      </c>
      <c r="F11479" t="s">
        <v>31457</v>
      </c>
      <c r="K11479" s="18">
        <f>6287715151616</f>
        <v>6287715151616</v>
      </c>
      <c r="N11479" s="17" t="s">
        <v>74</v>
      </c>
      <c r="U11479" s="17"/>
      <c r="V11479" s="18">
        <f>6287715151616</f>
        <v>6287715151616</v>
      </c>
      <c r="W11479" t="s">
        <v>31459</v>
      </c>
      <c r="Y11479" s="17" t="s">
        <v>626</v>
      </c>
    </row>
    <row r="11480" ht="15" customHeight="1" spans="1:22" x14ac:dyDescent="0.25">
      <c r="A11480" s="17" t="s">
        <v>31460</v>
      </c>
      <c r="B11480" s="17" t="s">
        <v>70</v>
      </c>
      <c r="C11480" s="17" t="s">
        <v>71</v>
      </c>
      <c r="D11480" t="s">
        <v>31457</v>
      </c>
      <c r="F11480" t="s">
        <v>31461</v>
      </c>
      <c r="K11480" s="18">
        <f>62215365301</f>
        <v>62215365301</v>
      </c>
      <c r="N11480" s="17" t="s">
        <v>77</v>
      </c>
      <c r="V11480" s="18">
        <f>62215365301</f>
        <v>62215365301</v>
      </c>
    </row>
    <row r="11481" ht="15" customHeight="1" spans="1:23" x14ac:dyDescent="0.25">
      <c r="A11481" s="17" t="s">
        <v>31462</v>
      </c>
      <c r="B11481" s="17" t="s">
        <v>70</v>
      </c>
      <c r="C11481" s="17" t="s">
        <v>71</v>
      </c>
      <c r="D11481" t="s">
        <v>11076</v>
      </c>
      <c r="F11481" t="s">
        <v>618</v>
      </c>
      <c r="J11481" s="17" t="s">
        <v>31463</v>
      </c>
      <c r="K11481" s="18">
        <f>6285706018253</f>
        <v>6285706018253</v>
      </c>
      <c r="N11481" s="17" t="s">
        <v>77</v>
      </c>
      <c r="U11481" s="17"/>
      <c r="V11481" s="18">
        <f>6285706018253</f>
        <v>6285706018253</v>
      </c>
      <c r="W11481" t="s">
        <v>31464</v>
      </c>
    </row>
    <row r="11482" ht="15" customHeight="1" spans="1:22" x14ac:dyDescent="0.25">
      <c r="A11482" s="17" t="s">
        <v>31465</v>
      </c>
      <c r="B11482" s="17" t="s">
        <v>70</v>
      </c>
      <c r="C11482" s="17" t="s">
        <v>71</v>
      </c>
      <c r="D11482" t="s">
        <v>2345</v>
      </c>
      <c r="F11482" t="s">
        <v>1053</v>
      </c>
      <c r="K11482" s="18">
        <f>6281319708080</f>
        <v>6281319708080</v>
      </c>
      <c r="N11482" s="17" t="s">
        <v>77</v>
      </c>
      <c r="V11482" s="18">
        <f>6281319708080</f>
        <v>6281319708080</v>
      </c>
    </row>
    <row r="11483" ht="15" customHeight="1" spans="1:22" x14ac:dyDescent="0.25">
      <c r="A11483" s="17" t="s">
        <v>31466</v>
      </c>
      <c r="B11483" s="17" t="s">
        <v>70</v>
      </c>
      <c r="C11483" s="17" t="s">
        <v>71</v>
      </c>
      <c r="D11483" t="s">
        <v>2345</v>
      </c>
      <c r="F11483" t="s">
        <v>31467</v>
      </c>
      <c r="K11483" s="18">
        <f>62811169137</f>
        <v>62811169137</v>
      </c>
      <c r="N11483" s="17" t="s">
        <v>77</v>
      </c>
      <c r="V11483" s="18">
        <f>62811169137</f>
        <v>62811169137</v>
      </c>
    </row>
    <row r="11484" ht="15" customHeight="1" spans="1:22" x14ac:dyDescent="0.25">
      <c r="A11484" s="17" t="s">
        <v>31468</v>
      </c>
      <c r="B11484" s="17" t="s">
        <v>70</v>
      </c>
      <c r="C11484" s="17" t="s">
        <v>71</v>
      </c>
      <c r="D11484" t="s">
        <v>29330</v>
      </c>
      <c r="F11484" t="s">
        <v>2258</v>
      </c>
      <c r="K11484" s="18">
        <f>6281340719007</f>
        <v>6281340719007</v>
      </c>
      <c r="N11484" s="17" t="s">
        <v>77</v>
      </c>
      <c r="V11484" s="18">
        <f>6281340719007</f>
        <v>6281340719007</v>
      </c>
    </row>
    <row r="11485" ht="15" customHeight="1" spans="1:28" x14ac:dyDescent="0.25">
      <c r="A11485" s="17" t="s">
        <v>31469</v>
      </c>
      <c r="B11485" s="17" t="s">
        <v>70</v>
      </c>
      <c r="C11485" s="17" t="s">
        <v>71</v>
      </c>
      <c r="D11485" t="s">
        <v>29330</v>
      </c>
      <c r="F11485" t="s">
        <v>31470</v>
      </c>
      <c r="J11485" t="s">
        <v>115</v>
      </c>
      <c r="K11485" s="18" t="s">
        <v>31471</v>
      </c>
      <c r="N11485" s="17" t="s">
        <v>77</v>
      </c>
      <c r="O11485" t="s">
        <v>145</v>
      </c>
      <c r="V11485" s="18" t="s">
        <v>31471</v>
      </c>
      <c r="Y11485" t="s">
        <v>90</v>
      </c>
      <c r="AA11485" t="s">
        <v>118</v>
      </c>
      <c r="AB11485" t="s">
        <v>119</v>
      </c>
    </row>
    <row r="11486" ht="15" customHeight="1" spans="1:22" x14ac:dyDescent="0.25">
      <c r="A11486" s="17" t="s">
        <v>31472</v>
      </c>
      <c r="B11486" s="17" t="s">
        <v>70</v>
      </c>
      <c r="C11486" s="17" t="s">
        <v>71</v>
      </c>
      <c r="D11486" t="s">
        <v>31473</v>
      </c>
      <c r="F11486" t="s">
        <v>31473</v>
      </c>
      <c r="K11486" s="18">
        <f>62816823360</f>
        <v>62816823360</v>
      </c>
      <c r="N11486" s="17" t="s">
        <v>81</v>
      </c>
      <c r="V11486" s="18">
        <f>62816823360</f>
        <v>62816823360</v>
      </c>
    </row>
    <row r="11487" ht="15" customHeight="1" spans="1:22" x14ac:dyDescent="0.25">
      <c r="A11487" s="17" t="s">
        <v>31474</v>
      </c>
      <c r="B11487" s="17" t="s">
        <v>70</v>
      </c>
      <c r="C11487" s="17" t="s">
        <v>71</v>
      </c>
      <c r="D11487" t="s">
        <v>31473</v>
      </c>
      <c r="F11487" t="s">
        <v>31475</v>
      </c>
      <c r="K11487" s="18">
        <f>62816822360</f>
        <v>62816822360</v>
      </c>
      <c r="N11487" s="17" t="s">
        <v>77</v>
      </c>
      <c r="V11487" s="18">
        <f>62816822360</f>
        <v>62816822360</v>
      </c>
    </row>
    <row r="11488" ht="15" customHeight="1" spans="1:28" x14ac:dyDescent="0.25">
      <c r="A11488" s="17" t="s">
        <v>31476</v>
      </c>
      <c r="B11488" s="17" t="s">
        <v>70</v>
      </c>
      <c r="C11488" s="17" t="s">
        <v>71</v>
      </c>
      <c r="D11488" t="s">
        <v>31477</v>
      </c>
      <c r="F11488" t="s">
        <v>31478</v>
      </c>
      <c r="J11488" t="s">
        <v>115</v>
      </c>
      <c r="K11488" s="18" t="s">
        <v>31479</v>
      </c>
      <c r="N11488" s="17" t="s">
        <v>81</v>
      </c>
      <c r="O11488" t="s">
        <v>117</v>
      </c>
      <c r="V11488" s="18" t="s">
        <v>31479</v>
      </c>
      <c r="Y11488" t="s">
        <v>90</v>
      </c>
      <c r="AA11488" t="s">
        <v>118</v>
      </c>
      <c r="AB11488" t="s">
        <v>119</v>
      </c>
    </row>
    <row r="11489" ht="15" customHeight="1" spans="1:28" x14ac:dyDescent="0.25">
      <c r="A11489" s="17" t="s">
        <v>31480</v>
      </c>
      <c r="B11489" s="17" t="s">
        <v>70</v>
      </c>
      <c r="C11489" s="17" t="s">
        <v>71</v>
      </c>
      <c r="D11489" t="s">
        <v>31481</v>
      </c>
      <c r="F11489" t="s">
        <v>8324</v>
      </c>
      <c r="J11489" s="17" t="s">
        <v>31482</v>
      </c>
      <c r="K11489" s="18" t="s">
        <v>31483</v>
      </c>
      <c r="N11489" s="17" t="s">
        <v>77</v>
      </c>
      <c r="O11489" t="s">
        <v>145</v>
      </c>
      <c r="V11489" s="18" t="s">
        <v>31483</v>
      </c>
      <c r="Y11489" t="s">
        <v>115</v>
      </c>
      <c r="AA11489" t="s">
        <v>115</v>
      </c>
      <c r="AB11489" t="s">
        <v>451</v>
      </c>
    </row>
    <row r="11490" ht="15" customHeight="1" spans="1:22" x14ac:dyDescent="0.25">
      <c r="A11490" s="17" t="s">
        <v>31484</v>
      </c>
      <c r="B11490" s="17" t="s">
        <v>70</v>
      </c>
      <c r="C11490" s="17" t="s">
        <v>71</v>
      </c>
      <c r="D11490" t="s">
        <v>6832</v>
      </c>
      <c r="F11490" t="s">
        <v>6832</v>
      </c>
      <c r="K11490" s="18">
        <f>62811932092</f>
        <v>62811932092</v>
      </c>
      <c r="N11490" s="17" t="s">
        <v>77</v>
      </c>
      <c r="V11490" s="18">
        <f>62811932092</f>
        <v>62811932092</v>
      </c>
    </row>
    <row r="11491" ht="15" customHeight="1" spans="1:22" x14ac:dyDescent="0.25">
      <c r="A11491" s="17" t="s">
        <v>31485</v>
      </c>
      <c r="B11491" s="17" t="s">
        <v>70</v>
      </c>
      <c r="C11491" s="17" t="s">
        <v>71</v>
      </c>
      <c r="D11491" t="s">
        <v>6832</v>
      </c>
      <c r="F11491" t="s">
        <v>6832</v>
      </c>
      <c r="K11491" s="18">
        <f>6281703582369</f>
        <v>6281703582369</v>
      </c>
      <c r="N11491" s="17" t="s">
        <v>77</v>
      </c>
      <c r="V11491" s="18">
        <f>6281703582369</f>
        <v>6281703582369</v>
      </c>
    </row>
    <row r="11492" ht="15" customHeight="1" spans="1:22" x14ac:dyDescent="0.25">
      <c r="A11492" s="17" t="s">
        <v>31486</v>
      </c>
      <c r="B11492" s="17" t="s">
        <v>70</v>
      </c>
      <c r="C11492" s="17" t="s">
        <v>71</v>
      </c>
      <c r="D11492" t="s">
        <v>6832</v>
      </c>
      <c r="F11492" t="s">
        <v>6832</v>
      </c>
      <c r="K11492" s="18">
        <f>6281288406391</f>
        <v>6281288406391</v>
      </c>
      <c r="N11492" s="17" t="s">
        <v>77</v>
      </c>
      <c r="V11492" s="18">
        <f>6281288406391</f>
        <v>6281288406391</v>
      </c>
    </row>
    <row r="11493" ht="15" customHeight="1" spans="1:28" x14ac:dyDescent="0.25">
      <c r="A11493" s="17" t="s">
        <v>31487</v>
      </c>
      <c r="B11493" s="17" t="s">
        <v>70</v>
      </c>
      <c r="C11493" s="17" t="s">
        <v>71</v>
      </c>
      <c r="D11493" t="s">
        <v>6832</v>
      </c>
      <c r="F11493" t="s">
        <v>31488</v>
      </c>
      <c r="J11493" s="17" t="s">
        <v>31489</v>
      </c>
      <c r="K11493" s="18" t="s">
        <v>31490</v>
      </c>
      <c r="N11493" s="17" t="s">
        <v>77</v>
      </c>
      <c r="O11493" t="s">
        <v>199</v>
      </c>
      <c r="V11493" s="18" t="s">
        <v>31490</v>
      </c>
      <c r="Y11493" t="s">
        <v>115</v>
      </c>
      <c r="AA11493" t="s">
        <v>115</v>
      </c>
      <c r="AB11493" t="s">
        <v>2605</v>
      </c>
    </row>
    <row r="11494" ht="15" customHeight="1" spans="1:23" x14ac:dyDescent="0.25">
      <c r="A11494" s="17" t="s">
        <v>31491</v>
      </c>
      <c r="B11494" s="17" t="s">
        <v>70</v>
      </c>
      <c r="C11494" s="17" t="s">
        <v>71</v>
      </c>
      <c r="D11494" t="s">
        <v>6832</v>
      </c>
      <c r="F11494" t="s">
        <v>2159</v>
      </c>
      <c r="K11494" s="18">
        <f>6281211118079</f>
        <v>6281211118079</v>
      </c>
      <c r="N11494" s="17" t="s">
        <v>77</v>
      </c>
      <c r="U11494" s="17"/>
      <c r="V11494" s="18">
        <f>6281211118079</f>
        <v>6281211118079</v>
      </c>
      <c r="W11494" t="s">
        <v>31492</v>
      </c>
    </row>
    <row r="11495" ht="15" customHeight="1" spans="1:28" x14ac:dyDescent="0.25">
      <c r="A11495" s="17" t="s">
        <v>31493</v>
      </c>
      <c r="B11495" s="17" t="s">
        <v>70</v>
      </c>
      <c r="C11495" s="17" t="s">
        <v>71</v>
      </c>
      <c r="D11495" t="s">
        <v>6832</v>
      </c>
      <c r="F11495" t="s">
        <v>5897</v>
      </c>
      <c r="J11495" t="s">
        <v>115</v>
      </c>
      <c r="K11495" s="18" t="s">
        <v>31494</v>
      </c>
      <c r="N11495" s="17" t="s">
        <v>77</v>
      </c>
      <c r="O11495" t="s">
        <v>145</v>
      </c>
      <c r="V11495" s="18" t="s">
        <v>31494</v>
      </c>
      <c r="Y11495" t="s">
        <v>90</v>
      </c>
      <c r="AA11495" t="s">
        <v>118</v>
      </c>
      <c r="AB11495" t="s">
        <v>119</v>
      </c>
    </row>
    <row r="11496" ht="15" customHeight="1" spans="1:22" x14ac:dyDescent="0.25">
      <c r="A11496" s="17" t="s">
        <v>31495</v>
      </c>
      <c r="B11496" s="17" t="s">
        <v>70</v>
      </c>
      <c r="C11496" s="17" t="s">
        <v>71</v>
      </c>
      <c r="D11496" t="s">
        <v>6832</v>
      </c>
      <c r="F11496" t="s">
        <v>13405</v>
      </c>
      <c r="K11496" s="18">
        <f>6281284623028</f>
        <v>6281284623028</v>
      </c>
      <c r="N11496" s="17" t="s">
        <v>77</v>
      </c>
      <c r="V11496" s="18">
        <f>6281284623028</f>
        <v>6281284623028</v>
      </c>
    </row>
    <row r="11497" ht="15" customHeight="1" spans="1:22" x14ac:dyDescent="0.25">
      <c r="A11497" s="17" t="s">
        <v>31496</v>
      </c>
      <c r="B11497" s="17" t="s">
        <v>70</v>
      </c>
      <c r="C11497" s="17" t="s">
        <v>71</v>
      </c>
      <c r="D11497" t="s">
        <v>6832</v>
      </c>
      <c r="F11497" t="s">
        <v>31497</v>
      </c>
      <c r="K11497" s="18">
        <f>62816740237</f>
        <v>62816740237</v>
      </c>
      <c r="N11497" s="17" t="s">
        <v>77</v>
      </c>
      <c r="V11497" s="18">
        <f>62816740237</f>
        <v>62816740237</v>
      </c>
    </row>
    <row r="11498" ht="15" customHeight="1" spans="1:22" x14ac:dyDescent="0.25">
      <c r="A11498" s="17" t="s">
        <v>31498</v>
      </c>
      <c r="B11498" s="17" t="s">
        <v>70</v>
      </c>
      <c r="C11498" s="17" t="s">
        <v>71</v>
      </c>
      <c r="D11498" t="s">
        <v>6832</v>
      </c>
      <c r="F11498" t="s">
        <v>3816</v>
      </c>
      <c r="K11498" s="18">
        <f>6281289891988</f>
        <v>6281289891988</v>
      </c>
      <c r="N11498" s="17" t="s">
        <v>81</v>
      </c>
      <c r="V11498" s="18">
        <f>6281289891988</f>
        <v>6281289891988</v>
      </c>
    </row>
    <row r="11499" ht="15" customHeight="1" spans="1:23" x14ac:dyDescent="0.25">
      <c r="A11499" s="17" t="s">
        <v>31499</v>
      </c>
      <c r="B11499" s="17" t="s">
        <v>70</v>
      </c>
      <c r="C11499" s="17" t="s">
        <v>71</v>
      </c>
      <c r="D11499" t="s">
        <v>6832</v>
      </c>
      <c r="F11499" t="s">
        <v>4252</v>
      </c>
      <c r="J11499" s="17" t="s">
        <v>31500</v>
      </c>
      <c r="K11499" s="18">
        <f>628158901757</f>
        <v>628158901757</v>
      </c>
      <c r="N11499" s="17" t="s">
        <v>77</v>
      </c>
      <c r="U11499" s="17"/>
      <c r="V11499" s="18">
        <f>628158901757</f>
        <v>628158901757</v>
      </c>
      <c r="W11499" t="s">
        <v>31501</v>
      </c>
    </row>
    <row r="11500" ht="15" customHeight="1" spans="1:22" x14ac:dyDescent="0.25">
      <c r="A11500" s="17" t="s">
        <v>31502</v>
      </c>
      <c r="B11500" s="17" t="s">
        <v>70</v>
      </c>
      <c r="C11500" s="17" t="s">
        <v>71</v>
      </c>
      <c r="D11500" t="s">
        <v>6832</v>
      </c>
      <c r="F11500" t="s">
        <v>669</v>
      </c>
      <c r="K11500" s="18">
        <f>62816803289</f>
        <v>62816803289</v>
      </c>
      <c r="N11500" s="17" t="s">
        <v>81</v>
      </c>
      <c r="V11500" s="18">
        <f>62816803289</f>
        <v>62816803289</v>
      </c>
    </row>
    <row r="11501" ht="15" customHeight="1" spans="1:22" x14ac:dyDescent="0.25">
      <c r="A11501" s="17" t="s">
        <v>31503</v>
      </c>
      <c r="B11501" s="17" t="s">
        <v>70</v>
      </c>
      <c r="C11501" s="17" t="s">
        <v>71</v>
      </c>
      <c r="D11501" t="s">
        <v>6832</v>
      </c>
      <c r="F11501" t="s">
        <v>1130</v>
      </c>
      <c r="K11501" s="18">
        <f>62811912508</f>
        <v>62811912508</v>
      </c>
      <c r="N11501" s="17" t="s">
        <v>77</v>
      </c>
      <c r="V11501" s="18">
        <f>62811912508</f>
        <v>62811912508</v>
      </c>
    </row>
    <row r="11502" ht="15" customHeight="1" spans="1:25" x14ac:dyDescent="0.25">
      <c r="A11502" s="17" t="s">
        <v>31504</v>
      </c>
      <c r="B11502" s="17" t="s">
        <v>70</v>
      </c>
      <c r="C11502" s="17" t="s">
        <v>71</v>
      </c>
      <c r="D11502" t="s">
        <v>6832</v>
      </c>
      <c r="F11502" t="s">
        <v>31505</v>
      </c>
      <c r="K11502" s="18">
        <v>7222710</v>
      </c>
      <c r="N11502" s="17" t="s">
        <v>77</v>
      </c>
      <c r="U11502" s="17"/>
      <c r="V11502" s="18">
        <v>7222710</v>
      </c>
      <c r="W11502" t="s">
        <v>31506</v>
      </c>
      <c r="Y11502" s="17" t="s">
        <v>96</v>
      </c>
    </row>
    <row r="11503" ht="15" customHeight="1" spans="1:25" x14ac:dyDescent="0.25">
      <c r="A11503" s="17" t="s">
        <v>31507</v>
      </c>
      <c r="B11503" s="17" t="s">
        <v>70</v>
      </c>
      <c r="C11503" s="17" t="s">
        <v>71</v>
      </c>
      <c r="D11503" t="s">
        <v>6832</v>
      </c>
      <c r="F11503" t="s">
        <v>31508</v>
      </c>
      <c r="J11503" s="17" t="s">
        <v>31509</v>
      </c>
      <c r="K11503" s="18">
        <f>62811815835</f>
        <v>62811815835</v>
      </c>
      <c r="N11503" s="17" t="s">
        <v>81</v>
      </c>
      <c r="U11503" s="17"/>
      <c r="V11503" s="18">
        <f>62811815835</f>
        <v>62811815835</v>
      </c>
      <c r="W11503" t="s">
        <v>31510</v>
      </c>
      <c r="Y11503" s="17" t="s">
        <v>96</v>
      </c>
    </row>
    <row r="11504" ht="15" customHeight="1" spans="1:28" x14ac:dyDescent="0.25">
      <c r="A11504" s="17" t="s">
        <v>31511</v>
      </c>
      <c r="B11504" s="17" t="s">
        <v>70</v>
      </c>
      <c r="C11504" s="17" t="s">
        <v>71</v>
      </c>
      <c r="D11504" t="s">
        <v>31512</v>
      </c>
      <c r="F11504" t="s">
        <v>672</v>
      </c>
      <c r="J11504" t="s">
        <v>115</v>
      </c>
      <c r="K11504" s="18" t="s">
        <v>31513</v>
      </c>
      <c r="N11504" s="17" t="s">
        <v>81</v>
      </c>
      <c r="O11504" t="s">
        <v>489</v>
      </c>
      <c r="V11504" s="18" t="s">
        <v>31513</v>
      </c>
      <c r="Y11504" t="s">
        <v>90</v>
      </c>
      <c r="AA11504" t="s">
        <v>118</v>
      </c>
      <c r="AB11504" t="s">
        <v>119</v>
      </c>
    </row>
    <row r="11505" ht="15" customHeight="1" spans="1:22" x14ac:dyDescent="0.25">
      <c r="A11505" s="17" t="s">
        <v>31514</v>
      </c>
      <c r="B11505" s="17" t="s">
        <v>70</v>
      </c>
      <c r="C11505" s="17" t="s">
        <v>71</v>
      </c>
      <c r="D11505" t="s">
        <v>6832</v>
      </c>
      <c r="F11505" t="s">
        <v>3585</v>
      </c>
      <c r="K11505" s="18">
        <f>628159127999</f>
        <v>628159127999</v>
      </c>
      <c r="N11505" s="17" t="s">
        <v>77</v>
      </c>
      <c r="V11505" s="18">
        <f>628159127999</f>
        <v>628159127999</v>
      </c>
    </row>
    <row r="11506" ht="15" customHeight="1" spans="1:23" x14ac:dyDescent="0.25">
      <c r="A11506" s="17" t="s">
        <v>31515</v>
      </c>
      <c r="B11506" s="17" t="s">
        <v>70</v>
      </c>
      <c r="C11506" s="17" t="s">
        <v>71</v>
      </c>
      <c r="D11506" t="s">
        <v>6832</v>
      </c>
      <c r="F11506" t="s">
        <v>31516</v>
      </c>
      <c r="K11506" s="18">
        <f>6281230888887</f>
        <v>6281230888887</v>
      </c>
      <c r="N11506" s="17" t="s">
        <v>77</v>
      </c>
      <c r="U11506" s="17"/>
      <c r="V11506" s="18">
        <f>6281230888887</f>
        <v>6281230888887</v>
      </c>
      <c r="W11506" t="s">
        <v>31517</v>
      </c>
    </row>
    <row r="11507" ht="15" customHeight="1" spans="1:27" x14ac:dyDescent="0.25">
      <c r="A11507" s="17" t="s">
        <v>31518</v>
      </c>
      <c r="B11507" s="17" t="s">
        <v>70</v>
      </c>
      <c r="C11507" s="17" t="s">
        <v>71</v>
      </c>
      <c r="D11507" t="s">
        <v>6832</v>
      </c>
      <c r="F11507" t="s">
        <v>31519</v>
      </c>
      <c r="J11507" s="17" t="s">
        <v>31520</v>
      </c>
      <c r="K11507" s="18">
        <f>628129450427</f>
        <v>628129450427</v>
      </c>
      <c r="N11507" s="17" t="s">
        <v>81</v>
      </c>
      <c r="U11507" s="17"/>
      <c r="V11507" s="18">
        <f>628129450427</f>
        <v>628129450427</v>
      </c>
      <c r="W11507" t="s">
        <v>31521</v>
      </c>
      <c r="Y11507" s="17" t="s">
        <v>90</v>
      </c>
      <c r="AA11507" s="17">
        <v>14450</v>
      </c>
    </row>
    <row r="11508" ht="15" customHeight="1" spans="1:28" x14ac:dyDescent="0.25">
      <c r="A11508" s="17" t="s">
        <v>31522</v>
      </c>
      <c r="B11508" s="17" t="s">
        <v>70</v>
      </c>
      <c r="C11508" s="17" t="s">
        <v>71</v>
      </c>
      <c r="D11508" t="s">
        <v>6832</v>
      </c>
      <c r="F11508" t="s">
        <v>6832</v>
      </c>
      <c r="J11508" t="s">
        <v>115</v>
      </c>
      <c r="K11508" s="18" t="s">
        <v>31523</v>
      </c>
      <c r="N11508" s="17" t="s">
        <v>81</v>
      </c>
      <c r="O11508" t="s">
        <v>117</v>
      </c>
      <c r="V11508" s="18" t="s">
        <v>31523</v>
      </c>
      <c r="Y11508" t="s">
        <v>90</v>
      </c>
      <c r="AA11508" t="s">
        <v>118</v>
      </c>
      <c r="AB11508" t="s">
        <v>119</v>
      </c>
    </row>
    <row r="11509" ht="15" customHeight="1" spans="1:23" x14ac:dyDescent="0.25">
      <c r="A11509" s="17" t="s">
        <v>31524</v>
      </c>
      <c r="B11509" s="17" t="s">
        <v>70</v>
      </c>
      <c r="C11509" s="17" t="s">
        <v>71</v>
      </c>
      <c r="D11509" t="s">
        <v>3051</v>
      </c>
      <c r="F11509" t="s">
        <v>11341</v>
      </c>
      <c r="K11509" s="18">
        <f>16103895098</f>
        <v>16103895098</v>
      </c>
      <c r="N11509" s="17" t="s">
        <v>77</v>
      </c>
      <c r="U11509" s="17"/>
      <c r="V11509" s="18">
        <f>16103895098</f>
        <v>16103895098</v>
      </c>
      <c r="W11509" t="s">
        <v>537</v>
      </c>
    </row>
    <row r="11510" ht="15" customHeight="1" spans="1:22" x14ac:dyDescent="0.25">
      <c r="A11510" s="17" t="s">
        <v>31525</v>
      </c>
      <c r="B11510" s="17" t="s">
        <v>70</v>
      </c>
      <c r="C11510" s="17" t="s">
        <v>71</v>
      </c>
      <c r="D11510" t="s">
        <v>31526</v>
      </c>
      <c r="F11510" t="s">
        <v>31526</v>
      </c>
      <c r="K11510" s="18">
        <f>62811108182</f>
        <v>62811108182</v>
      </c>
      <c r="N11510" s="17" t="s">
        <v>74</v>
      </c>
      <c r="V11510" s="18">
        <f>62811108182</f>
        <v>62811108182</v>
      </c>
    </row>
    <row r="11511" ht="15" customHeight="1" spans="1:28" x14ac:dyDescent="0.25">
      <c r="A11511" s="17" t="s">
        <v>31527</v>
      </c>
      <c r="B11511" s="17" t="s">
        <v>70</v>
      </c>
      <c r="C11511" s="17" t="s">
        <v>71</v>
      </c>
      <c r="D11511" t="s">
        <v>31528</v>
      </c>
      <c r="F11511" t="s">
        <v>25415</v>
      </c>
      <c r="J11511" s="17" t="s">
        <v>31529</v>
      </c>
      <c r="K11511" s="18" t="s">
        <v>31530</v>
      </c>
      <c r="N11511" s="17" t="s">
        <v>77</v>
      </c>
      <c r="O11511" t="s">
        <v>489</v>
      </c>
      <c r="U11511" s="17"/>
      <c r="V11511" s="18" t="s">
        <v>31530</v>
      </c>
      <c r="W11511" t="s">
        <v>31531</v>
      </c>
      <c r="Y11511" t="s">
        <v>115</v>
      </c>
      <c r="AA11511" t="s">
        <v>115</v>
      </c>
      <c r="AB11511" t="s">
        <v>1903</v>
      </c>
    </row>
    <row r="11512" ht="15" customHeight="1" spans="1:22" x14ac:dyDescent="0.25">
      <c r="A11512" s="17" t="s">
        <v>31532</v>
      </c>
      <c r="B11512" s="17" t="s">
        <v>70</v>
      </c>
      <c r="C11512" s="17" t="s">
        <v>71</v>
      </c>
      <c r="D11512" t="s">
        <v>31533</v>
      </c>
      <c r="F11512" t="s">
        <v>31533</v>
      </c>
      <c r="K11512" s="18">
        <f>62811199313</f>
        <v>62811199313</v>
      </c>
      <c r="N11512" s="17" t="s">
        <v>77</v>
      </c>
      <c r="V11512" s="18">
        <f>62811199313</f>
        <v>62811199313</v>
      </c>
    </row>
    <row r="11513" ht="15" customHeight="1" spans="1:28" x14ac:dyDescent="0.25">
      <c r="A11513" s="17" t="s">
        <v>31534</v>
      </c>
      <c r="B11513" s="17" t="s">
        <v>70</v>
      </c>
      <c r="C11513" s="17" t="s">
        <v>71</v>
      </c>
      <c r="D11513" t="s">
        <v>31533</v>
      </c>
      <c r="F11513" t="s">
        <v>31535</v>
      </c>
      <c r="J11513" t="s">
        <v>115</v>
      </c>
      <c r="K11513" s="18" t="s">
        <v>31536</v>
      </c>
      <c r="N11513" s="17" t="s">
        <v>77</v>
      </c>
      <c r="O11513" t="s">
        <v>199</v>
      </c>
      <c r="U11513" s="17"/>
      <c r="V11513" s="18" t="s">
        <v>31536</v>
      </c>
      <c r="W11513" t="s">
        <v>31537</v>
      </c>
      <c r="Y11513" t="s">
        <v>181</v>
      </c>
      <c r="AA11513" t="s">
        <v>1672</v>
      </c>
      <c r="AB11513" t="s">
        <v>119</v>
      </c>
    </row>
    <row r="11514" ht="15" customHeight="1" spans="1:28" x14ac:dyDescent="0.25">
      <c r="A11514" s="17" t="s">
        <v>31538</v>
      </c>
      <c r="B11514" s="17" t="s">
        <v>70</v>
      </c>
      <c r="C11514" s="17" t="s">
        <v>71</v>
      </c>
      <c r="D11514" t="s">
        <v>31539</v>
      </c>
      <c r="F11514" t="s">
        <v>1205</v>
      </c>
      <c r="J11514" s="17" t="s">
        <v>31540</v>
      </c>
      <c r="K11514" s="18" t="s">
        <v>31541</v>
      </c>
      <c r="N11514" s="17" t="s">
        <v>77</v>
      </c>
      <c r="O11514" t="s">
        <v>145</v>
      </c>
      <c r="U11514" s="17"/>
      <c r="V11514" s="18" t="s">
        <v>31541</v>
      </c>
      <c r="W11514" t="s">
        <v>31542</v>
      </c>
      <c r="Y11514" s="17" t="s">
        <v>6840</v>
      </c>
      <c r="AA11514" t="s">
        <v>115</v>
      </c>
      <c r="AB11514" t="s">
        <v>119</v>
      </c>
    </row>
    <row r="11515" ht="15" customHeight="1" spans="1:25" x14ac:dyDescent="0.25">
      <c r="A11515" s="17" t="s">
        <v>31543</v>
      </c>
      <c r="B11515" s="17" t="s">
        <v>70</v>
      </c>
      <c r="C11515" s="17" t="s">
        <v>71</v>
      </c>
      <c r="D11515" t="s">
        <v>31544</v>
      </c>
      <c r="F11515" t="s">
        <v>31545</v>
      </c>
      <c r="K11515" s="18">
        <f>6285249050675</f>
        <v>6285249050675</v>
      </c>
      <c r="N11515" s="17" t="s">
        <v>81</v>
      </c>
      <c r="U11515" s="17"/>
      <c r="V11515" s="18">
        <f>6285249050675</f>
        <v>6285249050675</v>
      </c>
      <c r="W11515" t="s">
        <v>31546</v>
      </c>
      <c r="Y11515" s="17" t="s">
        <v>1247</v>
      </c>
    </row>
    <row r="11516" ht="15" customHeight="1" spans="1:23" x14ac:dyDescent="0.25">
      <c r="A11516" s="17" t="s">
        <v>31547</v>
      </c>
      <c r="B11516" s="17" t="s">
        <v>70</v>
      </c>
      <c r="C11516" s="17" t="s">
        <v>71</v>
      </c>
      <c r="D11516" t="s">
        <v>31548</v>
      </c>
      <c r="F11516" t="s">
        <v>31549</v>
      </c>
      <c r="K11516" s="18">
        <f>79032074062</f>
        <v>79032074062</v>
      </c>
      <c r="N11516" s="17" t="s">
        <v>77</v>
      </c>
      <c r="U11516" s="17"/>
      <c r="V11516" s="18">
        <f>79032074062</f>
        <v>79032074062</v>
      </c>
      <c r="W11516" t="s">
        <v>1908</v>
      </c>
    </row>
    <row r="11517" ht="15" customHeight="1" spans="1:25" x14ac:dyDescent="0.25">
      <c r="A11517" s="17" t="s">
        <v>31550</v>
      </c>
      <c r="B11517" s="17" t="s">
        <v>70</v>
      </c>
      <c r="C11517" s="17" t="s">
        <v>71</v>
      </c>
      <c r="D11517" t="s">
        <v>6505</v>
      </c>
      <c r="F11517" t="s">
        <v>31551</v>
      </c>
      <c r="K11517" s="18">
        <f>622131905050</f>
        <v>622131905050</v>
      </c>
      <c r="N11517" s="17" t="s">
        <v>74</v>
      </c>
      <c r="U11517" s="17"/>
      <c r="V11517" s="18">
        <f>622131905050</f>
        <v>622131905050</v>
      </c>
      <c r="W11517" t="s">
        <v>31552</v>
      </c>
      <c r="Y11517" s="17" t="s">
        <v>90</v>
      </c>
    </row>
    <row r="11518" ht="15" customHeight="1" spans="1:27" x14ac:dyDescent="0.25">
      <c r="A11518" s="17" t="s">
        <v>31553</v>
      </c>
      <c r="B11518" s="17" t="s">
        <v>70</v>
      </c>
      <c r="C11518" s="17" t="s">
        <v>71</v>
      </c>
      <c r="D11518" t="s">
        <v>6505</v>
      </c>
      <c r="F11518" t="s">
        <v>3481</v>
      </c>
      <c r="K11518" s="18">
        <f>628119590382</f>
        <v>628119590382</v>
      </c>
      <c r="N11518" s="17" t="s">
        <v>77</v>
      </c>
      <c r="U11518" s="17"/>
      <c r="V11518" s="18">
        <f>628119590382</f>
        <v>628119590382</v>
      </c>
      <c r="W11518" t="s">
        <v>31554</v>
      </c>
      <c r="AA11518" s="17">
        <v>14350</v>
      </c>
    </row>
    <row r="11519" ht="15" customHeight="1" spans="1:22" x14ac:dyDescent="0.25">
      <c r="A11519" s="17" t="s">
        <v>31555</v>
      </c>
      <c r="B11519" s="17" t="s">
        <v>70</v>
      </c>
      <c r="C11519" s="17" t="s">
        <v>71</v>
      </c>
      <c r="D11519" t="s">
        <v>6505</v>
      </c>
      <c r="F11519" t="s">
        <v>1125</v>
      </c>
      <c r="K11519" s="18">
        <f>6282282090081</f>
        <v>6282282090081</v>
      </c>
      <c r="N11519" s="17" t="s">
        <v>77</v>
      </c>
      <c r="V11519" s="18">
        <f>6282282090081</f>
        <v>6282282090081</v>
      </c>
    </row>
    <row r="11520" ht="15" customHeight="1" spans="1:22" x14ac:dyDescent="0.25">
      <c r="A11520" s="17" t="s">
        <v>31556</v>
      </c>
      <c r="B11520" s="17" t="s">
        <v>70</v>
      </c>
      <c r="C11520" s="17" t="s">
        <v>71</v>
      </c>
      <c r="D11520" t="s">
        <v>6505</v>
      </c>
      <c r="F11520" t="s">
        <v>31557</v>
      </c>
      <c r="K11520" s="18">
        <f>628158304705</f>
        <v>628158304705</v>
      </c>
      <c r="N11520" s="17" t="s">
        <v>81</v>
      </c>
      <c r="V11520" s="18">
        <f>628158304705</f>
        <v>628158304705</v>
      </c>
    </row>
    <row r="11521" ht="15" customHeight="1" spans="1:28" x14ac:dyDescent="0.25">
      <c r="A11521" s="17" t="s">
        <v>31558</v>
      </c>
      <c r="B11521" s="17" t="s">
        <v>70</v>
      </c>
      <c r="C11521" s="17" t="s">
        <v>71</v>
      </c>
      <c r="D11521" t="s">
        <v>31559</v>
      </c>
      <c r="F11521" t="s">
        <v>3746</v>
      </c>
      <c r="J11521" t="s">
        <v>115</v>
      </c>
      <c r="K11521" s="18" t="s">
        <v>31560</v>
      </c>
      <c r="N11521" s="17" t="s">
        <v>77</v>
      </c>
      <c r="O11521" t="s">
        <v>117</v>
      </c>
      <c r="V11521" s="18" t="s">
        <v>31560</v>
      </c>
      <c r="Y11521" t="s">
        <v>190</v>
      </c>
      <c r="AA11521" t="s">
        <v>118</v>
      </c>
      <c r="AB11521" t="s">
        <v>119</v>
      </c>
    </row>
    <row r="11522" ht="15" customHeight="1" spans="1:22" x14ac:dyDescent="0.25">
      <c r="A11522" s="17" t="s">
        <v>31561</v>
      </c>
      <c r="B11522" s="17" t="s">
        <v>70</v>
      </c>
      <c r="C11522" s="17" t="s">
        <v>71</v>
      </c>
      <c r="D11522" t="s">
        <v>31562</v>
      </c>
      <c r="F11522" t="s">
        <v>31563</v>
      </c>
      <c r="K11522" s="18">
        <f>628176697040</f>
        <v>628176697040</v>
      </c>
      <c r="N11522" s="17" t="s">
        <v>77</v>
      </c>
      <c r="V11522" s="18">
        <f>628176697040</f>
        <v>628176697040</v>
      </c>
    </row>
    <row r="11523" ht="15" customHeight="1" spans="1:22" x14ac:dyDescent="0.25">
      <c r="A11523" s="17" t="s">
        <v>31564</v>
      </c>
      <c r="B11523" s="17" t="s">
        <v>70</v>
      </c>
      <c r="C11523" s="17" t="s">
        <v>71</v>
      </c>
      <c r="D11523" t="s">
        <v>31565</v>
      </c>
      <c r="F11523" t="s">
        <v>31565</v>
      </c>
      <c r="K11523" s="18">
        <f>6287888516332</f>
        <v>6287888516332</v>
      </c>
      <c r="N11523" s="17" t="s">
        <v>81</v>
      </c>
      <c r="V11523" s="18">
        <f>6287888516332</f>
        <v>6287888516332</v>
      </c>
    </row>
    <row r="11524" ht="15" customHeight="1" spans="1:23" x14ac:dyDescent="0.25">
      <c r="A11524" s="17" t="s">
        <v>31566</v>
      </c>
      <c r="B11524" s="17" t="s">
        <v>70</v>
      </c>
      <c r="C11524" s="17" t="s">
        <v>71</v>
      </c>
      <c r="D11524" t="s">
        <v>31567</v>
      </c>
      <c r="F11524" t="s">
        <v>31568</v>
      </c>
      <c r="K11524" s="18">
        <f>17146053395</f>
        <v>17146053395</v>
      </c>
      <c r="N11524" s="17" t="s">
        <v>77</v>
      </c>
      <c r="U11524" s="17"/>
      <c r="V11524" s="18">
        <f>17146053395</f>
        <v>17146053395</v>
      </c>
      <c r="W11524" t="s">
        <v>930</v>
      </c>
    </row>
    <row r="11525" ht="15" customHeight="1" spans="1:28" x14ac:dyDescent="0.25">
      <c r="A11525" s="17" t="s">
        <v>31569</v>
      </c>
      <c r="B11525" s="17" t="s">
        <v>70</v>
      </c>
      <c r="C11525" s="17" t="s">
        <v>71</v>
      </c>
      <c r="D11525" t="s">
        <v>31567</v>
      </c>
      <c r="F11525" t="s">
        <v>31570</v>
      </c>
      <c r="J11525" s="17" t="s">
        <v>31571</v>
      </c>
      <c r="K11525" s="18" t="s">
        <v>31572</v>
      </c>
      <c r="N11525" s="17" t="s">
        <v>77</v>
      </c>
      <c r="O11525" t="s">
        <v>489</v>
      </c>
      <c r="V11525" s="18" t="s">
        <v>31572</v>
      </c>
      <c r="Y11525" t="s">
        <v>115</v>
      </c>
      <c r="AA11525" t="s">
        <v>115</v>
      </c>
      <c r="AB11525" t="s">
        <v>7229</v>
      </c>
    </row>
    <row r="11526" ht="15" customHeight="1" spans="1:28" x14ac:dyDescent="0.25">
      <c r="A11526" s="17" t="s">
        <v>31573</v>
      </c>
      <c r="B11526" s="17" t="s">
        <v>70</v>
      </c>
      <c r="C11526" s="17" t="s">
        <v>71</v>
      </c>
      <c r="D11526" t="s">
        <v>31574</v>
      </c>
      <c r="F11526" t="s">
        <v>23118</v>
      </c>
      <c r="J11526" s="17" t="s">
        <v>31575</v>
      </c>
      <c r="K11526" s="18" t="s">
        <v>31576</v>
      </c>
      <c r="N11526" s="17" t="s">
        <v>77</v>
      </c>
      <c r="O11526" t="s">
        <v>145</v>
      </c>
      <c r="U11526" s="17"/>
      <c r="V11526" s="18" t="s">
        <v>31576</v>
      </c>
      <c r="W11526" t="s">
        <v>31577</v>
      </c>
      <c r="Y11526" t="s">
        <v>115</v>
      </c>
      <c r="AA11526" t="s">
        <v>115</v>
      </c>
      <c r="AB11526" t="s">
        <v>31578</v>
      </c>
    </row>
    <row r="11527" ht="15" customHeight="1" spans="1:28" x14ac:dyDescent="0.25">
      <c r="A11527" s="17" t="s">
        <v>31579</v>
      </c>
      <c r="B11527" s="17" t="s">
        <v>70</v>
      </c>
      <c r="C11527" s="17" t="s">
        <v>71</v>
      </c>
      <c r="D11527" t="s">
        <v>31580</v>
      </c>
      <c r="F11527" t="s">
        <v>31581</v>
      </c>
      <c r="J11527" t="s">
        <v>31582</v>
      </c>
      <c r="K11527" s="18" t="s">
        <v>31583</v>
      </c>
      <c r="N11527" s="17" t="s">
        <v>77</v>
      </c>
      <c r="O11527" t="s">
        <v>145</v>
      </c>
      <c r="V11527" s="18" t="s">
        <v>31583</v>
      </c>
      <c r="Y11527" t="s">
        <v>90</v>
      </c>
      <c r="AA11527" t="s">
        <v>118</v>
      </c>
      <c r="AB11527" t="s">
        <v>119</v>
      </c>
    </row>
    <row r="11528" ht="15" customHeight="1" spans="1:22" x14ac:dyDescent="0.25">
      <c r="A11528" s="17" t="s">
        <v>31584</v>
      </c>
      <c r="B11528" s="17" t="s">
        <v>70</v>
      </c>
      <c r="C11528" s="17" t="s">
        <v>71</v>
      </c>
      <c r="D11528" t="s">
        <v>31585</v>
      </c>
      <c r="F11528" t="s">
        <v>8882</v>
      </c>
      <c r="K11528" s="18">
        <f>16178940152</f>
        <v>16178940152</v>
      </c>
      <c r="N11528" s="17" t="s">
        <v>77</v>
      </c>
      <c r="V11528" s="18">
        <f>16178940152</f>
        <v>16178940152</v>
      </c>
    </row>
    <row r="11529" ht="15" customHeight="1" spans="1:22" x14ac:dyDescent="0.25">
      <c r="A11529" s="17" t="s">
        <v>31586</v>
      </c>
      <c r="B11529" s="17" t="s">
        <v>70</v>
      </c>
      <c r="C11529" s="17" t="s">
        <v>71</v>
      </c>
      <c r="D11529" t="s">
        <v>31587</v>
      </c>
      <c r="F11529" t="s">
        <v>10541</v>
      </c>
      <c r="K11529" s="18">
        <f>628561717014</f>
        <v>628561717014</v>
      </c>
      <c r="N11529" s="17" t="s">
        <v>81</v>
      </c>
      <c r="V11529" s="18">
        <f>628561717014</f>
        <v>628561717014</v>
      </c>
    </row>
    <row r="11530" ht="15" customHeight="1" spans="1:22" x14ac:dyDescent="0.25">
      <c r="A11530" s="17" t="s">
        <v>31588</v>
      </c>
      <c r="B11530" s="17" t="s">
        <v>70</v>
      </c>
      <c r="C11530" s="17" t="s">
        <v>71</v>
      </c>
      <c r="D11530" t="s">
        <v>31589</v>
      </c>
      <c r="F11530" t="s">
        <v>31589</v>
      </c>
      <c r="K11530" s="18">
        <f>628111838788</f>
        <v>628111838788</v>
      </c>
      <c r="N11530" s="17" t="s">
        <v>81</v>
      </c>
      <c r="V11530" s="18">
        <f>628111838788</f>
        <v>628111838788</v>
      </c>
    </row>
    <row r="11531" ht="15" customHeight="1" spans="1:27" x14ac:dyDescent="0.25">
      <c r="A11531" s="17" t="s">
        <v>31590</v>
      </c>
      <c r="B11531" s="17" t="s">
        <v>70</v>
      </c>
      <c r="C11531" s="17" t="s">
        <v>71</v>
      </c>
      <c r="D11531" t="s">
        <v>31591</v>
      </c>
      <c r="F11531" t="s">
        <v>31592</v>
      </c>
      <c r="J11531" s="17" t="s">
        <v>31593</v>
      </c>
      <c r="K11531" s="18">
        <f>6281213933923</f>
        <v>6281213933923</v>
      </c>
      <c r="N11531" s="17" t="s">
        <v>77</v>
      </c>
      <c r="U11531" s="17"/>
      <c r="V11531" s="18">
        <f>6281213933923</f>
        <v>6281213933923</v>
      </c>
      <c r="W11531" t="s">
        <v>31594</v>
      </c>
      <c r="Y11531" s="17" t="s">
        <v>1084</v>
      </c>
      <c r="AA11531" s="17">
        <v>14470</v>
      </c>
    </row>
    <row r="11532" ht="15" customHeight="1" spans="1:22" x14ac:dyDescent="0.25">
      <c r="A11532" s="17" t="s">
        <v>31595</v>
      </c>
      <c r="B11532" s="17" t="s">
        <v>70</v>
      </c>
      <c r="C11532" s="17" t="s">
        <v>71</v>
      </c>
      <c r="D11532" t="s">
        <v>31596</v>
      </c>
      <c r="F11532" t="s">
        <v>31596</v>
      </c>
      <c r="K11532" s="18">
        <f>628159865000</f>
        <v>628159865000</v>
      </c>
      <c r="N11532" s="17" t="s">
        <v>77</v>
      </c>
      <c r="V11532" s="18">
        <f>628159865000</f>
        <v>628159865000</v>
      </c>
    </row>
    <row r="11533" ht="15" customHeight="1" spans="1:28" x14ac:dyDescent="0.25">
      <c r="A11533" s="17" t="s">
        <v>31597</v>
      </c>
      <c r="B11533" s="17" t="s">
        <v>70</v>
      </c>
      <c r="C11533" s="17" t="s">
        <v>71</v>
      </c>
      <c r="D11533" t="s">
        <v>31596</v>
      </c>
      <c r="F11533" t="s">
        <v>7933</v>
      </c>
      <c r="J11533" t="s">
        <v>115</v>
      </c>
      <c r="K11533" s="18" t="s">
        <v>31598</v>
      </c>
      <c r="N11533" s="17" t="s">
        <v>77</v>
      </c>
      <c r="O11533" t="s">
        <v>145</v>
      </c>
      <c r="V11533" s="18" t="s">
        <v>31598</v>
      </c>
      <c r="Y11533" t="s">
        <v>7007</v>
      </c>
      <c r="AA11533" t="s">
        <v>115</v>
      </c>
      <c r="AB11533" t="s">
        <v>119</v>
      </c>
    </row>
    <row r="11534" ht="15" customHeight="1" spans="1:25" x14ac:dyDescent="0.25">
      <c r="A11534" s="17" t="s">
        <v>31599</v>
      </c>
      <c r="B11534" s="17" t="s">
        <v>70</v>
      </c>
      <c r="C11534" s="17" t="s">
        <v>71</v>
      </c>
      <c r="D11534" t="s">
        <v>31600</v>
      </c>
      <c r="F11534" t="s">
        <v>31601</v>
      </c>
      <c r="K11534" s="18">
        <v>7207700</v>
      </c>
      <c r="N11534" s="17" t="s">
        <v>74</v>
      </c>
      <c r="U11534" s="17"/>
      <c r="V11534" s="18">
        <v>7207700</v>
      </c>
      <c r="W11534" t="s">
        <v>31602</v>
      </c>
      <c r="Y11534" s="17" t="s">
        <v>96</v>
      </c>
    </row>
    <row r="11535" ht="15" customHeight="1" spans="1:22" x14ac:dyDescent="0.25">
      <c r="A11535" s="17" t="s">
        <v>31603</v>
      </c>
      <c r="B11535" s="17" t="s">
        <v>70</v>
      </c>
      <c r="C11535" s="17" t="s">
        <v>71</v>
      </c>
      <c r="D11535" t="s">
        <v>31600</v>
      </c>
      <c r="F11535" t="s">
        <v>31604</v>
      </c>
      <c r="K11535" s="18">
        <f>6597292831</f>
        <v>6597292831</v>
      </c>
      <c r="N11535" s="17" t="s">
        <v>81</v>
      </c>
      <c r="V11535" s="18">
        <f>6597292831</f>
        <v>6597292831</v>
      </c>
    </row>
    <row r="11536" ht="15" customHeight="1" spans="1:28" x14ac:dyDescent="0.25">
      <c r="A11536" s="17" t="s">
        <v>31605</v>
      </c>
      <c r="B11536" s="17" t="s">
        <v>70</v>
      </c>
      <c r="C11536" s="17" t="s">
        <v>71</v>
      </c>
      <c r="D11536" t="s">
        <v>31606</v>
      </c>
      <c r="F11536" t="s">
        <v>1564</v>
      </c>
      <c r="J11536" t="s">
        <v>115</v>
      </c>
      <c r="K11536" s="18" t="s">
        <v>31607</v>
      </c>
      <c r="N11536" s="17" t="s">
        <v>77</v>
      </c>
      <c r="O11536" t="s">
        <v>145</v>
      </c>
      <c r="U11536" s="17"/>
      <c r="V11536" s="18" t="s">
        <v>31607</v>
      </c>
      <c r="W11536" t="s">
        <v>90</v>
      </c>
      <c r="Y11536" t="s">
        <v>115</v>
      </c>
      <c r="AA11536" t="s">
        <v>115</v>
      </c>
      <c r="AB11536" t="s">
        <v>119</v>
      </c>
    </row>
    <row r="11537" ht="15" customHeight="1" spans="1:22" x14ac:dyDescent="0.25">
      <c r="A11537" s="17" t="s">
        <v>31608</v>
      </c>
      <c r="B11537" s="17" t="s">
        <v>70</v>
      </c>
      <c r="C11537" s="17" t="s">
        <v>71</v>
      </c>
      <c r="D11537" t="s">
        <v>31609</v>
      </c>
      <c r="F11537" t="s">
        <v>7933</v>
      </c>
      <c r="K11537" s="18">
        <f>6281315179514</f>
        <v>6281315179514</v>
      </c>
      <c r="N11537" s="17" t="s">
        <v>74</v>
      </c>
      <c r="V11537" s="18">
        <f>6281315179514</f>
        <v>6281315179514</v>
      </c>
    </row>
    <row r="11538" ht="15" customHeight="1" spans="1:22" x14ac:dyDescent="0.25">
      <c r="A11538" s="17" t="s">
        <v>31610</v>
      </c>
      <c r="B11538" s="17" t="s">
        <v>70</v>
      </c>
      <c r="C11538" s="17" t="s">
        <v>71</v>
      </c>
      <c r="D11538" t="s">
        <v>31609</v>
      </c>
      <c r="F11538" t="s">
        <v>31611</v>
      </c>
      <c r="K11538" s="18">
        <f>628111634997</f>
        <v>628111634997</v>
      </c>
      <c r="N11538" s="17" t="s">
        <v>81</v>
      </c>
      <c r="V11538" s="18">
        <f>628111634997</f>
        <v>628111634997</v>
      </c>
    </row>
    <row r="11539" ht="15" customHeight="1" spans="1:28" x14ac:dyDescent="0.25">
      <c r="A11539" s="17" t="s">
        <v>31612</v>
      </c>
      <c r="B11539" s="17" t="s">
        <v>70</v>
      </c>
      <c r="C11539" s="17" t="s">
        <v>71</v>
      </c>
      <c r="D11539" t="s">
        <v>31613</v>
      </c>
      <c r="F11539" t="s">
        <v>31614</v>
      </c>
      <c r="J11539" t="s">
        <v>115</v>
      </c>
      <c r="K11539" s="18" t="s">
        <v>31615</v>
      </c>
      <c r="N11539" s="17" t="s">
        <v>77</v>
      </c>
      <c r="O11539" t="s">
        <v>145</v>
      </c>
      <c r="V11539" s="18" t="s">
        <v>31615</v>
      </c>
      <c r="Y11539" t="s">
        <v>90</v>
      </c>
      <c r="AA11539" t="s">
        <v>118</v>
      </c>
      <c r="AB11539" t="s">
        <v>119</v>
      </c>
    </row>
    <row r="11540" ht="15" customHeight="1" spans="1:22" x14ac:dyDescent="0.25">
      <c r="A11540" s="17" t="s">
        <v>31616</v>
      </c>
      <c r="B11540" s="17" t="s">
        <v>70</v>
      </c>
      <c r="C11540" s="17" t="s">
        <v>71</v>
      </c>
      <c r="D11540" t="s">
        <v>31617</v>
      </c>
      <c r="F11540" t="s">
        <v>31617</v>
      </c>
      <c r="K11540" s="18">
        <f>6285887531449</f>
        <v>6285887531449</v>
      </c>
      <c r="N11540" s="17" t="s">
        <v>81</v>
      </c>
      <c r="V11540" s="18">
        <f>6285887531449</f>
        <v>6285887531449</v>
      </c>
    </row>
    <row r="11541" ht="15" customHeight="1" spans="1:22" x14ac:dyDescent="0.25">
      <c r="A11541" s="17" t="s">
        <v>31618</v>
      </c>
      <c r="B11541" s="17" t="s">
        <v>70</v>
      </c>
      <c r="C11541" s="17" t="s">
        <v>71</v>
      </c>
      <c r="D11541" t="s">
        <v>31619</v>
      </c>
      <c r="F11541" t="s">
        <v>31620</v>
      </c>
      <c r="K11541" s="18">
        <f>6281808338505</f>
        <v>6281808338505</v>
      </c>
      <c r="N11541" s="17" t="s">
        <v>77</v>
      </c>
      <c r="V11541" s="18">
        <f>6281808338505</f>
        <v>6281808338505</v>
      </c>
    </row>
    <row r="11542" ht="15" customHeight="1" spans="1:28" x14ac:dyDescent="0.25">
      <c r="A11542" s="17" t="s">
        <v>31621</v>
      </c>
      <c r="B11542" s="17" t="s">
        <v>70</v>
      </c>
      <c r="C11542" s="17" t="s">
        <v>71</v>
      </c>
      <c r="D11542" t="s">
        <v>31622</v>
      </c>
      <c r="F11542" t="s">
        <v>31623</v>
      </c>
      <c r="J11542" t="s">
        <v>115</v>
      </c>
      <c r="K11542" s="18" t="s">
        <v>31624</v>
      </c>
      <c r="N11542" s="17" t="s">
        <v>77</v>
      </c>
      <c r="O11542" t="s">
        <v>199</v>
      </c>
      <c r="V11542" s="18" t="s">
        <v>31624</v>
      </c>
      <c r="Y11542" t="s">
        <v>115</v>
      </c>
      <c r="AA11542" t="s">
        <v>115</v>
      </c>
      <c r="AB11542" t="s">
        <v>31625</v>
      </c>
    </row>
    <row r="11543" ht="15" customHeight="1" spans="1:25" x14ac:dyDescent="0.25">
      <c r="A11543" s="17" t="s">
        <v>31626</v>
      </c>
      <c r="B11543" s="17" t="s">
        <v>70</v>
      </c>
      <c r="C11543" s="17" t="s">
        <v>71</v>
      </c>
      <c r="D11543" t="s">
        <v>31627</v>
      </c>
      <c r="F11543" t="s">
        <v>31628</v>
      </c>
      <c r="J11543" s="17" t="s">
        <v>31629</v>
      </c>
      <c r="K11543" s="18">
        <f>6281289818138</f>
        <v>6281289818138</v>
      </c>
      <c r="N11543" s="17" t="s">
        <v>77</v>
      </c>
      <c r="U11543" s="17"/>
      <c r="V11543" s="18">
        <f>6281289818138</f>
        <v>6281289818138</v>
      </c>
      <c r="W11543" t="s">
        <v>31630</v>
      </c>
      <c r="Y11543" s="17" t="s">
        <v>626</v>
      </c>
    </row>
    <row r="11544" ht="15" customHeight="1" spans="1:22" x14ac:dyDescent="0.25">
      <c r="A11544" s="17" t="s">
        <v>31631</v>
      </c>
      <c r="B11544" s="17" t="s">
        <v>70</v>
      </c>
      <c r="C11544" s="17" t="s">
        <v>71</v>
      </c>
      <c r="D11544" t="s">
        <v>31632</v>
      </c>
      <c r="F11544" t="s">
        <v>31633</v>
      </c>
      <c r="K11544" s="18">
        <f>62811917502</f>
        <v>62811917502</v>
      </c>
      <c r="N11544" s="17" t="s">
        <v>77</v>
      </c>
      <c r="V11544" s="18">
        <f>62811917502</f>
        <v>62811917502</v>
      </c>
    </row>
    <row r="11545" ht="15" customHeight="1" spans="1:23" x14ac:dyDescent="0.25">
      <c r="A11545" s="17" t="s">
        <v>31634</v>
      </c>
      <c r="B11545" s="17" t="s">
        <v>70</v>
      </c>
      <c r="C11545" s="17" t="s">
        <v>71</v>
      </c>
      <c r="D11545" t="s">
        <v>31635</v>
      </c>
      <c r="F11545" t="s">
        <v>31636</v>
      </c>
      <c r="J11545" s="17" t="s">
        <v>31637</v>
      </c>
      <c r="K11545" s="18">
        <f>8616657113337</f>
        <v>8616657113337</v>
      </c>
      <c r="N11545" s="17" t="s">
        <v>77</v>
      </c>
      <c r="U11545" s="17"/>
      <c r="V11545" s="18">
        <f>8616657113337</f>
        <v>8616657113337</v>
      </c>
      <c r="W11545" t="s">
        <v>3140</v>
      </c>
    </row>
    <row r="11546" ht="15" customHeight="1" spans="1:28" x14ac:dyDescent="0.25">
      <c r="A11546" s="17" t="s">
        <v>31638</v>
      </c>
      <c r="B11546" s="17" t="s">
        <v>70</v>
      </c>
      <c r="C11546" s="17" t="s">
        <v>71</v>
      </c>
      <c r="D11546" t="s">
        <v>31639</v>
      </c>
      <c r="F11546" t="s">
        <v>31639</v>
      </c>
      <c r="J11546" s="17" t="s">
        <v>31640</v>
      </c>
      <c r="K11546" s="18" t="s">
        <v>31641</v>
      </c>
      <c r="N11546" s="17" t="s">
        <v>77</v>
      </c>
      <c r="O11546" t="s">
        <v>145</v>
      </c>
      <c r="V11546" s="18" t="s">
        <v>31641</v>
      </c>
      <c r="Y11546" s="17" t="s">
        <v>1903</v>
      </c>
      <c r="AA11546" t="s">
        <v>115</v>
      </c>
      <c r="AB11546" t="s">
        <v>1903</v>
      </c>
    </row>
    <row r="11547" ht="15" customHeight="1" spans="1:22" x14ac:dyDescent="0.25">
      <c r="A11547" s="17" t="s">
        <v>31642</v>
      </c>
      <c r="B11547" s="17" t="s">
        <v>70</v>
      </c>
      <c r="C11547" s="17" t="s">
        <v>71</v>
      </c>
      <c r="D11547" t="s">
        <v>31643</v>
      </c>
      <c r="F11547" t="s">
        <v>31643</v>
      </c>
      <c r="K11547" s="18">
        <v>15802995673</v>
      </c>
      <c r="N11547" s="17" t="s">
        <v>77</v>
      </c>
      <c r="V11547" s="18">
        <v>15802995673</v>
      </c>
    </row>
    <row r="11548" ht="15" customHeight="1" spans="1:22" x14ac:dyDescent="0.25">
      <c r="A11548" s="17" t="s">
        <v>31644</v>
      </c>
      <c r="B11548" s="17" t="s">
        <v>70</v>
      </c>
      <c r="C11548" s="17" t="s">
        <v>71</v>
      </c>
      <c r="D11548" t="s">
        <v>31645</v>
      </c>
      <c r="F11548" t="s">
        <v>31646</v>
      </c>
      <c r="K11548" s="18">
        <f>61419630111</f>
        <v>61419630111</v>
      </c>
      <c r="N11548" s="17" t="s">
        <v>77</v>
      </c>
      <c r="V11548" s="18">
        <f>61419630111</f>
        <v>61419630111</v>
      </c>
    </row>
    <row r="11549" ht="15" customHeight="1" spans="1:22" x14ac:dyDescent="0.25">
      <c r="A11549" s="17" t="s">
        <v>31647</v>
      </c>
      <c r="B11549" s="17" t="s">
        <v>70</v>
      </c>
      <c r="C11549" s="17" t="s">
        <v>71</v>
      </c>
      <c r="D11549" t="s">
        <v>27817</v>
      </c>
      <c r="F11549" t="s">
        <v>27817</v>
      </c>
      <c r="K11549" s="18">
        <f>6282211111599</f>
        <v>6282211111599</v>
      </c>
      <c r="N11549" s="17" t="s">
        <v>81</v>
      </c>
      <c r="V11549" s="18">
        <f>6282211111599</f>
        <v>6282211111599</v>
      </c>
    </row>
    <row r="11550" ht="15" customHeight="1" spans="1:28" x14ac:dyDescent="0.25">
      <c r="A11550" s="17" t="s">
        <v>31648</v>
      </c>
      <c r="B11550" s="17" t="s">
        <v>70</v>
      </c>
      <c r="C11550" s="17" t="s">
        <v>71</v>
      </c>
      <c r="D11550" t="s">
        <v>31649</v>
      </c>
      <c r="F11550" t="s">
        <v>31650</v>
      </c>
      <c r="J11550" t="s">
        <v>115</v>
      </c>
      <c r="K11550" s="18" t="s">
        <v>31651</v>
      </c>
      <c r="N11550" s="17" t="s">
        <v>77</v>
      </c>
      <c r="O11550" t="s">
        <v>261</v>
      </c>
      <c r="V11550" s="18" t="s">
        <v>31651</v>
      </c>
      <c r="Y11550" t="s">
        <v>181</v>
      </c>
      <c r="AA11550" t="s">
        <v>1672</v>
      </c>
      <c r="AB11550" t="s">
        <v>119</v>
      </c>
    </row>
    <row r="11551" ht="15" customHeight="1" spans="1:22" x14ac:dyDescent="0.25">
      <c r="A11551" s="17" t="s">
        <v>31652</v>
      </c>
      <c r="B11551" s="17" t="s">
        <v>70</v>
      </c>
      <c r="C11551" s="17" t="s">
        <v>71</v>
      </c>
      <c r="D11551" t="s">
        <v>31653</v>
      </c>
      <c r="F11551" t="s">
        <v>31653</v>
      </c>
      <c r="K11551" s="18">
        <f>6281703682369</f>
        <v>6281703682369</v>
      </c>
      <c r="N11551" s="17" t="s">
        <v>74</v>
      </c>
      <c r="V11551" s="18">
        <f>6281703682369</f>
        <v>6281703682369</v>
      </c>
    </row>
    <row r="11552" ht="15" customHeight="1" spans="1:22" x14ac:dyDescent="0.25">
      <c r="A11552" s="17" t="s">
        <v>31654</v>
      </c>
      <c r="B11552" s="17" t="s">
        <v>70</v>
      </c>
      <c r="C11552" s="17" t="s">
        <v>71</v>
      </c>
      <c r="D11552" t="s">
        <v>31653</v>
      </c>
      <c r="F11552" t="s">
        <v>31653</v>
      </c>
      <c r="K11552" s="18">
        <f>6282132900128</f>
        <v>6282132900128</v>
      </c>
      <c r="N11552" s="17" t="s">
        <v>77</v>
      </c>
      <c r="V11552" s="18">
        <f>6282132900128</f>
        <v>6282132900128</v>
      </c>
    </row>
    <row r="11553" ht="15" customHeight="1" spans="1:22" x14ac:dyDescent="0.25">
      <c r="A11553" s="17" t="s">
        <v>31655</v>
      </c>
      <c r="B11553" s="17" t="s">
        <v>70</v>
      </c>
      <c r="C11553" s="17" t="s">
        <v>71</v>
      </c>
      <c r="D11553" t="s">
        <v>31653</v>
      </c>
      <c r="F11553" t="s">
        <v>2976</v>
      </c>
      <c r="K11553" s="18">
        <f>62215151515</f>
        <v>62215151515</v>
      </c>
      <c r="N11553" s="17" t="s">
        <v>77</v>
      </c>
      <c r="V11553" s="18">
        <f>62215151515</f>
        <v>62215151515</v>
      </c>
    </row>
    <row r="11554" ht="15" customHeight="1" spans="1:22" x14ac:dyDescent="0.25">
      <c r="A11554" s="17" t="s">
        <v>31656</v>
      </c>
      <c r="B11554" s="17" t="s">
        <v>70</v>
      </c>
      <c r="C11554" s="17" t="s">
        <v>71</v>
      </c>
      <c r="D11554" t="s">
        <v>31653</v>
      </c>
      <c r="F11554" t="s">
        <v>150</v>
      </c>
      <c r="K11554" s="18">
        <f>62811615825</f>
        <v>62811615825</v>
      </c>
      <c r="N11554" s="17" t="s">
        <v>74</v>
      </c>
      <c r="V11554" s="18">
        <f>62811615825</f>
        <v>62811615825</v>
      </c>
    </row>
    <row r="11555" ht="15" customHeight="1" spans="1:22" x14ac:dyDescent="0.25">
      <c r="A11555" s="17" t="s">
        <v>31657</v>
      </c>
      <c r="B11555" s="17" t="s">
        <v>70</v>
      </c>
      <c r="C11555" s="17" t="s">
        <v>71</v>
      </c>
      <c r="D11555" t="s">
        <v>31653</v>
      </c>
      <c r="F11555" t="s">
        <v>31658</v>
      </c>
      <c r="K11555" s="18">
        <f>62811182233</f>
        <v>62811182233</v>
      </c>
      <c r="N11555" s="17" t="s">
        <v>77</v>
      </c>
      <c r="V11555" s="18">
        <f>62811182233</f>
        <v>62811182233</v>
      </c>
    </row>
    <row r="11556" ht="15" customHeight="1" spans="1:28" x14ac:dyDescent="0.25">
      <c r="A11556" s="17" t="s">
        <v>31659</v>
      </c>
      <c r="B11556" s="17" t="s">
        <v>70</v>
      </c>
      <c r="C11556" s="17" t="s">
        <v>71</v>
      </c>
      <c r="D11556" t="s">
        <v>31660</v>
      </c>
      <c r="F11556" t="s">
        <v>31661</v>
      </c>
      <c r="J11556" s="17" t="s">
        <v>31662</v>
      </c>
      <c r="K11556" s="18" t="s">
        <v>31663</v>
      </c>
      <c r="N11556" s="17" t="s">
        <v>77</v>
      </c>
      <c r="O11556" t="s">
        <v>489</v>
      </c>
      <c r="U11556" s="17"/>
      <c r="V11556" s="18" t="s">
        <v>31663</v>
      </c>
      <c r="W11556" t="s">
        <v>31664</v>
      </c>
      <c r="Y11556" t="s">
        <v>6737</v>
      </c>
      <c r="AA11556" t="s">
        <v>115</v>
      </c>
      <c r="AB11556" t="s">
        <v>6737</v>
      </c>
    </row>
    <row r="11557" ht="15" customHeight="1" spans="1:23" x14ac:dyDescent="0.25">
      <c r="A11557" s="17" t="s">
        <v>31665</v>
      </c>
      <c r="B11557" s="17" t="s">
        <v>70</v>
      </c>
      <c r="C11557" s="17" t="s">
        <v>71</v>
      </c>
      <c r="D11557" t="s">
        <v>31666</v>
      </c>
      <c r="F11557" t="s">
        <v>31666</v>
      </c>
      <c r="K11557" s="18">
        <f>62818918125</f>
        <v>62818918125</v>
      </c>
      <c r="N11557" s="17" t="s">
        <v>77</v>
      </c>
      <c r="U11557" s="17"/>
      <c r="V11557" s="18">
        <f>62818918125</f>
        <v>62818918125</v>
      </c>
      <c r="W11557" t="s">
        <v>31667</v>
      </c>
    </row>
    <row r="11558" ht="15" customHeight="1" spans="1:22" x14ac:dyDescent="0.25">
      <c r="A11558" s="17" t="s">
        <v>31668</v>
      </c>
      <c r="B11558" s="17" t="s">
        <v>70</v>
      </c>
      <c r="C11558" s="17" t="s">
        <v>71</v>
      </c>
      <c r="D11558" t="s">
        <v>14606</v>
      </c>
      <c r="F11558" t="s">
        <v>30589</v>
      </c>
      <c r="K11558" s="18">
        <f>62811887108</f>
        <v>62811887108</v>
      </c>
      <c r="N11558" s="17" t="s">
        <v>81</v>
      </c>
      <c r="V11558" s="18">
        <f>62811887108</f>
        <v>62811887108</v>
      </c>
    </row>
    <row r="11559" ht="15" customHeight="1" spans="1:23" x14ac:dyDescent="0.25">
      <c r="A11559" s="17" t="s">
        <v>31669</v>
      </c>
      <c r="B11559" s="17" t="s">
        <v>70</v>
      </c>
      <c r="C11559" s="17" t="s">
        <v>71</v>
      </c>
      <c r="D11559" t="s">
        <v>31670</v>
      </c>
      <c r="F11559" t="s">
        <v>31671</v>
      </c>
      <c r="K11559" s="18">
        <f>6281311100296</f>
        <v>6281311100296</v>
      </c>
      <c r="N11559" s="17" t="s">
        <v>77</v>
      </c>
      <c r="U11559" s="17"/>
      <c r="V11559" s="18">
        <f>6281311100296</f>
        <v>6281311100296</v>
      </c>
      <c r="W11559" t="s">
        <v>31672</v>
      </c>
    </row>
    <row r="11560" ht="15" customHeight="1" spans="1:22" x14ac:dyDescent="0.25">
      <c r="A11560" s="17" t="s">
        <v>31673</v>
      </c>
      <c r="B11560" s="17" t="s">
        <v>70</v>
      </c>
      <c r="C11560" s="17" t="s">
        <v>71</v>
      </c>
      <c r="D11560" t="s">
        <v>24341</v>
      </c>
      <c r="F11560" t="s">
        <v>7846</v>
      </c>
      <c r="K11560" s="18" t="s">
        <v>31674</v>
      </c>
      <c r="N11560" s="17" t="s">
        <v>77</v>
      </c>
      <c r="V11560" s="18" t="s">
        <v>31674</v>
      </c>
    </row>
    <row r="11561" ht="15" customHeight="1" spans="1:22" x14ac:dyDescent="0.25">
      <c r="A11561" s="17" t="s">
        <v>31675</v>
      </c>
      <c r="B11561" s="17" t="s">
        <v>70</v>
      </c>
      <c r="C11561" s="17" t="s">
        <v>71</v>
      </c>
      <c r="D11561" t="s">
        <v>31676</v>
      </c>
      <c r="F11561" t="s">
        <v>2517</v>
      </c>
      <c r="K11561" s="18">
        <f>628159702072</f>
        <v>628159702072</v>
      </c>
      <c r="N11561" s="17" t="s">
        <v>81</v>
      </c>
      <c r="V11561" s="18">
        <f>628159702072</f>
        <v>628159702072</v>
      </c>
    </row>
    <row r="11562" ht="15" customHeight="1" spans="1:22" x14ac:dyDescent="0.25">
      <c r="A11562" s="17" t="s">
        <v>31677</v>
      </c>
      <c r="B11562" s="17" t="s">
        <v>70</v>
      </c>
      <c r="C11562" s="17" t="s">
        <v>71</v>
      </c>
      <c r="D11562" t="s">
        <v>31676</v>
      </c>
      <c r="F11562" t="s">
        <v>22049</v>
      </c>
      <c r="K11562" s="18">
        <f>6281519060909</f>
        <v>6281519060909</v>
      </c>
      <c r="N11562" s="17" t="s">
        <v>77</v>
      </c>
      <c r="V11562" s="18">
        <f>6281519060909</f>
        <v>6281519060909</v>
      </c>
    </row>
    <row r="11563" ht="15" customHeight="1" spans="1:28" x14ac:dyDescent="0.25">
      <c r="A11563" s="17" t="s">
        <v>31678</v>
      </c>
      <c r="B11563" s="17" t="s">
        <v>70</v>
      </c>
      <c r="C11563" s="17" t="s">
        <v>71</v>
      </c>
      <c r="D11563" t="s">
        <v>31679</v>
      </c>
      <c r="F11563" t="s">
        <v>31680</v>
      </c>
      <c r="J11563" t="s">
        <v>115</v>
      </c>
      <c r="K11563" s="18" t="s">
        <v>31681</v>
      </c>
      <c r="N11563" s="17" t="s">
        <v>81</v>
      </c>
      <c r="O11563" t="s">
        <v>117</v>
      </c>
      <c r="U11563" s="17"/>
      <c r="V11563" s="18" t="s">
        <v>31681</v>
      </c>
      <c r="W11563" t="s">
        <v>31682</v>
      </c>
      <c r="Y11563" t="s">
        <v>90</v>
      </c>
      <c r="AA11563" t="s">
        <v>118</v>
      </c>
      <c r="AB11563" t="s">
        <v>119</v>
      </c>
    </row>
    <row r="11564" ht="15" customHeight="1" spans="1:22" x14ac:dyDescent="0.25">
      <c r="A11564" s="17" t="s">
        <v>31683</v>
      </c>
      <c r="B11564" s="17" t="s">
        <v>70</v>
      </c>
      <c r="C11564" s="17" t="s">
        <v>71</v>
      </c>
      <c r="D11564" t="s">
        <v>31679</v>
      </c>
      <c r="F11564" t="s">
        <v>3369</v>
      </c>
      <c r="K11564" s="18">
        <f>628129136666</f>
        <v>628129136666</v>
      </c>
      <c r="N11564" s="17" t="s">
        <v>77</v>
      </c>
      <c r="V11564" s="18">
        <f>628129136666</f>
        <v>628129136666</v>
      </c>
    </row>
    <row r="11565" ht="15" customHeight="1" spans="1:28" x14ac:dyDescent="0.25">
      <c r="A11565" s="17" t="s">
        <v>31684</v>
      </c>
      <c r="B11565" s="17" t="s">
        <v>70</v>
      </c>
      <c r="C11565" s="17" t="s">
        <v>71</v>
      </c>
      <c r="D11565" t="s">
        <v>31685</v>
      </c>
      <c r="F11565" t="s">
        <v>3471</v>
      </c>
      <c r="J11565" s="17" t="s">
        <v>31686</v>
      </c>
      <c r="K11565" s="18" t="s">
        <v>31687</v>
      </c>
      <c r="N11565" s="17" t="s">
        <v>77</v>
      </c>
      <c r="O11565" t="s">
        <v>199</v>
      </c>
      <c r="U11565" s="17"/>
      <c r="V11565" s="18" t="s">
        <v>31687</v>
      </c>
      <c r="W11565" t="s">
        <v>31688</v>
      </c>
      <c r="Y11565" t="s">
        <v>490</v>
      </c>
      <c r="AA11565" t="s">
        <v>115</v>
      </c>
      <c r="AB11565" t="s">
        <v>119</v>
      </c>
    </row>
    <row r="11566" ht="15" customHeight="1" spans="1:23" x14ac:dyDescent="0.25">
      <c r="A11566" s="17" t="s">
        <v>31689</v>
      </c>
      <c r="B11566" s="17" t="s">
        <v>70</v>
      </c>
      <c r="C11566" s="17" t="s">
        <v>71</v>
      </c>
      <c r="D11566" t="s">
        <v>31690</v>
      </c>
      <c r="F11566" t="s">
        <v>31691</v>
      </c>
      <c r="K11566" s="18">
        <f>38098881977</f>
        <v>38098881977</v>
      </c>
      <c r="N11566" s="17" t="s">
        <v>77</v>
      </c>
      <c r="U11566" s="17"/>
      <c r="V11566" s="18">
        <f>38098881977</f>
        <v>38098881977</v>
      </c>
      <c r="W11566" t="s">
        <v>2914</v>
      </c>
    </row>
    <row r="11567" ht="15" customHeight="1" spans="1:22" x14ac:dyDescent="0.25">
      <c r="A11567" s="17" t="s">
        <v>31692</v>
      </c>
      <c r="B11567" s="17" t="s">
        <v>70</v>
      </c>
      <c r="C11567" s="17" t="s">
        <v>71</v>
      </c>
      <c r="D11567" t="s">
        <v>31693</v>
      </c>
      <c r="F11567" t="s">
        <v>3605</v>
      </c>
      <c r="K11567" s="18">
        <f>628524005268</f>
        <v>628524005268</v>
      </c>
      <c r="N11567" s="17" t="s">
        <v>74</v>
      </c>
      <c r="V11567" s="18">
        <f>628524005268</f>
        <v>628524005268</v>
      </c>
    </row>
    <row r="11568" ht="15" customHeight="1" spans="1:27" x14ac:dyDescent="0.25">
      <c r="A11568" s="17" t="s">
        <v>31694</v>
      </c>
      <c r="B11568" s="17" t="s">
        <v>70</v>
      </c>
      <c r="C11568" s="17" t="s">
        <v>71</v>
      </c>
      <c r="D11568" t="s">
        <v>31693</v>
      </c>
      <c r="F11568" t="s">
        <v>31695</v>
      </c>
      <c r="J11568" s="17" t="s">
        <v>31696</v>
      </c>
      <c r="K11568" s="18">
        <f>6285240005268</f>
        <v>6285240005268</v>
      </c>
      <c r="N11568" s="17" t="s">
        <v>77</v>
      </c>
      <c r="U11568" s="17"/>
      <c r="V11568" s="18">
        <f>6285240005268</f>
        <v>6285240005268</v>
      </c>
      <c r="W11568" t="s">
        <v>31697</v>
      </c>
      <c r="Y11568" s="17" t="s">
        <v>6155</v>
      </c>
      <c r="AA11568" s="17">
        <v>95211</v>
      </c>
    </row>
    <row r="11569" ht="15" customHeight="1" spans="1:22" x14ac:dyDescent="0.25">
      <c r="A11569" s="17" t="s">
        <v>31698</v>
      </c>
      <c r="B11569" s="17" t="s">
        <v>70</v>
      </c>
      <c r="C11569" s="17" t="s">
        <v>71</v>
      </c>
      <c r="D11569" t="s">
        <v>31699</v>
      </c>
      <c r="F11569" t="s">
        <v>1385</v>
      </c>
      <c r="K11569" s="18">
        <f>628567350105</f>
        <v>628567350105</v>
      </c>
      <c r="N11569" s="17" t="s">
        <v>81</v>
      </c>
      <c r="V11569" s="18">
        <f>628567350105</f>
        <v>628567350105</v>
      </c>
    </row>
    <row r="11570" ht="15" customHeight="1" spans="1:22" x14ac:dyDescent="0.25">
      <c r="A11570" s="17" t="s">
        <v>31700</v>
      </c>
      <c r="B11570" s="17" t="s">
        <v>70</v>
      </c>
      <c r="C11570" s="17" t="s">
        <v>71</v>
      </c>
      <c r="D11570" t="s">
        <v>31701</v>
      </c>
      <c r="F11570" t="s">
        <v>31701</v>
      </c>
      <c r="K11570" s="18">
        <f>628111901633</f>
        <v>628111901633</v>
      </c>
      <c r="N11570" s="17" t="s">
        <v>77</v>
      </c>
      <c r="V11570" s="18">
        <f>628111901633</f>
        <v>628111901633</v>
      </c>
    </row>
    <row r="11571" ht="15" customHeight="1" spans="1:23" x14ac:dyDescent="0.25">
      <c r="A11571" s="17" t="s">
        <v>31702</v>
      </c>
      <c r="B11571" s="17" t="s">
        <v>70</v>
      </c>
      <c r="C11571" s="17" t="s">
        <v>71</v>
      </c>
      <c r="D11571" t="s">
        <v>31703</v>
      </c>
      <c r="F11571" t="s">
        <v>31704</v>
      </c>
      <c r="K11571" s="18">
        <f>351919976101</f>
        <v>351919976101</v>
      </c>
      <c r="N11571" s="17" t="s">
        <v>77</v>
      </c>
      <c r="U11571" s="17"/>
      <c r="V11571" s="18">
        <f>351919976101</f>
        <v>351919976101</v>
      </c>
      <c r="W11571" t="s">
        <v>8931</v>
      </c>
    </row>
    <row r="11572" ht="15" customHeight="1" spans="1:28" x14ac:dyDescent="0.25">
      <c r="A11572" s="17" t="s">
        <v>31705</v>
      </c>
      <c r="B11572" s="17" t="s">
        <v>70</v>
      </c>
      <c r="C11572" s="17" t="s">
        <v>71</v>
      </c>
      <c r="D11572" t="s">
        <v>31706</v>
      </c>
      <c r="F11572" t="s">
        <v>31707</v>
      </c>
      <c r="J11572" t="s">
        <v>115</v>
      </c>
      <c r="K11572" s="18" t="s">
        <v>31708</v>
      </c>
      <c r="N11572" s="17" t="s">
        <v>77</v>
      </c>
      <c r="O11572" t="s">
        <v>117</v>
      </c>
      <c r="U11572" s="17"/>
      <c r="V11572" s="18" t="s">
        <v>31708</v>
      </c>
      <c r="W11572" t="s">
        <v>31709</v>
      </c>
      <c r="Y11572" t="s">
        <v>190</v>
      </c>
      <c r="AA11572" t="s">
        <v>118</v>
      </c>
      <c r="AB11572" t="s">
        <v>119</v>
      </c>
    </row>
    <row r="11573" ht="15" customHeight="1" spans="1:23" x14ac:dyDescent="0.25">
      <c r="A11573" s="17" t="s">
        <v>31710</v>
      </c>
      <c r="B11573" s="17" t="s">
        <v>70</v>
      </c>
      <c r="C11573" s="17" t="s">
        <v>71</v>
      </c>
      <c r="D11573" t="s">
        <v>31711</v>
      </c>
      <c r="F11573" t="s">
        <v>31712</v>
      </c>
      <c r="K11573" s="18">
        <f>37368952052</f>
        <v>37368952052</v>
      </c>
      <c r="N11573" s="17" t="s">
        <v>77</v>
      </c>
      <c r="U11573" s="17"/>
      <c r="V11573" s="18">
        <f>37368952052</f>
        <v>37368952052</v>
      </c>
      <c r="W11573" t="s">
        <v>28672</v>
      </c>
    </row>
    <row r="11574" ht="15" customHeight="1" spans="1:22" x14ac:dyDescent="0.25">
      <c r="A11574" s="17" t="s">
        <v>31713</v>
      </c>
      <c r="B11574" s="17" t="s">
        <v>70</v>
      </c>
      <c r="C11574" s="17" t="s">
        <v>71</v>
      </c>
      <c r="D11574" t="s">
        <v>31714</v>
      </c>
      <c r="F11574" t="s">
        <v>31715</v>
      </c>
      <c r="K11574" s="18">
        <f>62811340900</f>
        <v>62811340900</v>
      </c>
      <c r="N11574" s="17" t="s">
        <v>77</v>
      </c>
      <c r="V11574" s="18">
        <f>62811340900</f>
        <v>62811340900</v>
      </c>
    </row>
    <row r="11575" ht="15" customHeight="1" spans="1:22" x14ac:dyDescent="0.25">
      <c r="A11575" s="17" t="s">
        <v>31716</v>
      </c>
      <c r="B11575" s="17" t="s">
        <v>70</v>
      </c>
      <c r="C11575" s="17" t="s">
        <v>71</v>
      </c>
      <c r="D11575" t="s">
        <v>31717</v>
      </c>
      <c r="F11575" t="s">
        <v>31717</v>
      </c>
      <c r="K11575" s="18">
        <f>62812868688</f>
        <v>62812868688</v>
      </c>
      <c r="N11575" s="17" t="s">
        <v>77</v>
      </c>
      <c r="V11575" s="18">
        <f>62812868688</f>
        <v>62812868688</v>
      </c>
    </row>
    <row r="11576" ht="15" customHeight="1" spans="1:23" x14ac:dyDescent="0.25">
      <c r="A11576" s="17" t="s">
        <v>31718</v>
      </c>
      <c r="B11576" s="17" t="s">
        <v>70</v>
      </c>
      <c r="C11576" s="17" t="s">
        <v>71</v>
      </c>
      <c r="D11576" t="s">
        <v>31719</v>
      </c>
      <c r="F11576" t="s">
        <v>1579</v>
      </c>
      <c r="K11576" s="18">
        <f>5562998750808</f>
        <v>5562998750808</v>
      </c>
      <c r="N11576" s="17" t="s">
        <v>77</v>
      </c>
      <c r="U11576" s="17"/>
      <c r="V11576" s="18">
        <f>5562998750808</f>
        <v>5562998750808</v>
      </c>
      <c r="W11576" t="s">
        <v>1046</v>
      </c>
    </row>
    <row r="11577" ht="15" customHeight="1" spans="1:22" x14ac:dyDescent="0.25">
      <c r="A11577" s="17" t="s">
        <v>31720</v>
      </c>
      <c r="B11577" s="17" t="s">
        <v>70</v>
      </c>
      <c r="C11577" s="17" t="s">
        <v>71</v>
      </c>
      <c r="D11577" t="s">
        <v>31721</v>
      </c>
      <c r="F11577" t="s">
        <v>31721</v>
      </c>
      <c r="J11577" s="17" t="s">
        <v>31722</v>
      </c>
      <c r="K11577" s="18">
        <f>62811131051</f>
        <v>62811131051</v>
      </c>
      <c r="N11577" s="17" t="s">
        <v>77</v>
      </c>
      <c r="V11577" s="18">
        <f>62811131051</f>
        <v>62811131051</v>
      </c>
    </row>
    <row r="11578" ht="15" customHeight="1" spans="1:28" x14ac:dyDescent="0.25">
      <c r="A11578" s="17" t="s">
        <v>31723</v>
      </c>
      <c r="B11578" s="17" t="s">
        <v>70</v>
      </c>
      <c r="C11578" s="17" t="s">
        <v>71</v>
      </c>
      <c r="D11578" t="s">
        <v>31724</v>
      </c>
      <c r="F11578" t="s">
        <v>14900</v>
      </c>
      <c r="J11578" s="17" t="s">
        <v>31725</v>
      </c>
      <c r="K11578" s="18" t="s">
        <v>31726</v>
      </c>
      <c r="N11578" s="17" t="s">
        <v>77</v>
      </c>
      <c r="O11578" t="s">
        <v>489</v>
      </c>
      <c r="V11578" s="18" t="s">
        <v>31726</v>
      </c>
      <c r="Y11578" t="s">
        <v>115</v>
      </c>
      <c r="AA11578" t="s">
        <v>115</v>
      </c>
      <c r="AB11578" t="s">
        <v>2605</v>
      </c>
    </row>
    <row r="11579" ht="15" customHeight="1" spans="1:22" x14ac:dyDescent="0.25">
      <c r="A11579" s="17" t="s">
        <v>31727</v>
      </c>
      <c r="B11579" s="17" t="s">
        <v>70</v>
      </c>
      <c r="C11579" s="17" t="s">
        <v>71</v>
      </c>
      <c r="D11579" t="s">
        <v>31728</v>
      </c>
      <c r="F11579" t="s">
        <v>31728</v>
      </c>
      <c r="K11579" s="18">
        <f>628179966221</f>
        <v>628179966221</v>
      </c>
      <c r="N11579" s="17" t="s">
        <v>81</v>
      </c>
      <c r="V11579" s="18">
        <f>628179966221</f>
        <v>628179966221</v>
      </c>
    </row>
    <row r="11580" ht="15" customHeight="1" spans="1:22" x14ac:dyDescent="0.25">
      <c r="A11580" s="17" t="s">
        <v>31729</v>
      </c>
      <c r="B11580" s="17" t="s">
        <v>70</v>
      </c>
      <c r="C11580" s="17" t="s">
        <v>71</v>
      </c>
      <c r="D11580" t="s">
        <v>31730</v>
      </c>
      <c r="F11580" t="s">
        <v>1045</v>
      </c>
      <c r="K11580" s="18">
        <f>5511943480987</f>
        <v>5511943480987</v>
      </c>
      <c r="N11580" s="17" t="s">
        <v>81</v>
      </c>
      <c r="V11580" s="18">
        <f>5511943480987</f>
        <v>5511943480987</v>
      </c>
    </row>
    <row r="11581" ht="15" customHeight="1" spans="1:27" x14ac:dyDescent="0.25">
      <c r="A11581" s="17" t="s">
        <v>31731</v>
      </c>
      <c r="B11581" s="17" t="s">
        <v>70</v>
      </c>
      <c r="C11581" s="17" t="s">
        <v>71</v>
      </c>
      <c r="D11581" t="s">
        <v>31732</v>
      </c>
      <c r="F11581" t="s">
        <v>18826</v>
      </c>
      <c r="J11581" s="17" t="s">
        <v>31733</v>
      </c>
      <c r="K11581" s="18">
        <f>628128008884</f>
        <v>628128008884</v>
      </c>
      <c r="N11581" s="17" t="s">
        <v>77</v>
      </c>
      <c r="U11581" s="17"/>
      <c r="V11581" s="18">
        <f>628128008884</f>
        <v>628128008884</v>
      </c>
      <c r="W11581" t="s">
        <v>31734</v>
      </c>
      <c r="AA11581" s="17">
        <v>16966</v>
      </c>
    </row>
    <row r="11582" ht="15" customHeight="1" spans="1:23" x14ac:dyDescent="0.25">
      <c r="A11582" s="17" t="s">
        <v>31735</v>
      </c>
      <c r="B11582" s="17" t="s">
        <v>70</v>
      </c>
      <c r="C11582" s="17" t="s">
        <v>71</v>
      </c>
      <c r="D11582" t="s">
        <v>31736</v>
      </c>
      <c r="F11582" t="s">
        <v>31737</v>
      </c>
      <c r="K11582" s="18">
        <f>62811942249</f>
        <v>62811942249</v>
      </c>
      <c r="N11582" s="17" t="s">
        <v>77</v>
      </c>
      <c r="U11582" s="17"/>
      <c r="V11582" s="18">
        <f>62811942249</f>
        <v>62811942249</v>
      </c>
      <c r="W11582" t="s">
        <v>31738</v>
      </c>
    </row>
    <row r="11583" ht="15" customHeight="1" spans="1:22" x14ac:dyDescent="0.25">
      <c r="A11583" s="17" t="s">
        <v>31739</v>
      </c>
      <c r="B11583" s="17" t="s">
        <v>70</v>
      </c>
      <c r="C11583" s="17" t="s">
        <v>71</v>
      </c>
      <c r="D11583" t="s">
        <v>31740</v>
      </c>
      <c r="F11583" t="s">
        <v>31740</v>
      </c>
      <c r="K11583" s="18">
        <f>6287898006788</f>
        <v>6287898006788</v>
      </c>
      <c r="N11583" s="17" t="s">
        <v>77</v>
      </c>
      <c r="V11583" s="18">
        <f>6287898006788</f>
        <v>6287898006788</v>
      </c>
    </row>
    <row r="11584" ht="15" customHeight="1" spans="1:22" x14ac:dyDescent="0.25">
      <c r="A11584" s="17" t="s">
        <v>31741</v>
      </c>
      <c r="B11584" s="17" t="s">
        <v>70</v>
      </c>
      <c r="C11584" s="17" t="s">
        <v>71</v>
      </c>
      <c r="D11584" t="s">
        <v>31740</v>
      </c>
      <c r="F11584" t="s">
        <v>212</v>
      </c>
      <c r="J11584" s="17" t="s">
        <v>31742</v>
      </c>
      <c r="K11584" s="18">
        <f>6281286911911</f>
        <v>6281286911911</v>
      </c>
      <c r="N11584" s="17" t="s">
        <v>81</v>
      </c>
      <c r="V11584" s="18">
        <f>6281286911911</f>
        <v>6281286911911</v>
      </c>
    </row>
    <row r="11585" ht="15" customHeight="1" spans="1:22" x14ac:dyDescent="0.25">
      <c r="A11585" s="17" t="s">
        <v>31743</v>
      </c>
      <c r="B11585" s="17" t="s">
        <v>70</v>
      </c>
      <c r="C11585" s="17" t="s">
        <v>71</v>
      </c>
      <c r="D11585" t="s">
        <v>31744</v>
      </c>
      <c r="F11585" t="s">
        <v>31745</v>
      </c>
      <c r="K11585" s="18">
        <f>79295909208</f>
        <v>79295909208</v>
      </c>
      <c r="N11585" s="17" t="s">
        <v>77</v>
      </c>
      <c r="V11585" s="18">
        <f>79295909208</f>
        <v>79295909208</v>
      </c>
    </row>
    <row r="11586" ht="15" customHeight="1" spans="1:25" x14ac:dyDescent="0.25">
      <c r="A11586" s="17" t="s">
        <v>31746</v>
      </c>
      <c r="B11586" s="17" t="s">
        <v>70</v>
      </c>
      <c r="C11586" s="17" t="s">
        <v>71</v>
      </c>
      <c r="D11586" t="s">
        <v>31747</v>
      </c>
      <c r="F11586" t="s">
        <v>31748</v>
      </c>
      <c r="J11586" s="17" t="s">
        <v>31749</v>
      </c>
      <c r="K11586" s="18">
        <f>628118404553</f>
        <v>628118404553</v>
      </c>
      <c r="N11586" s="17" t="s">
        <v>77</v>
      </c>
      <c r="U11586" s="17"/>
      <c r="V11586" s="18">
        <f>628118404553</f>
        <v>628118404553</v>
      </c>
      <c r="W11586" t="s">
        <v>31750</v>
      </c>
      <c r="Y11586" s="17" t="s">
        <v>90</v>
      </c>
    </row>
    <row r="11587" ht="15" customHeight="1" spans="1:28" x14ac:dyDescent="0.25">
      <c r="A11587" s="17" t="s">
        <v>31751</v>
      </c>
      <c r="B11587" s="17" t="s">
        <v>70</v>
      </c>
      <c r="C11587" s="17" t="s">
        <v>71</v>
      </c>
      <c r="D11587" t="s">
        <v>31752</v>
      </c>
      <c r="F11587" t="s">
        <v>31753</v>
      </c>
      <c r="J11587" s="17" t="s">
        <v>31754</v>
      </c>
      <c r="K11587" s="18" t="s">
        <v>31755</v>
      </c>
      <c r="N11587" s="17" t="s">
        <v>77</v>
      </c>
      <c r="O11587" t="s">
        <v>489</v>
      </c>
      <c r="U11587" s="17"/>
      <c r="V11587" s="18" t="s">
        <v>31755</v>
      </c>
      <c r="W11587" t="s">
        <v>11019</v>
      </c>
      <c r="Y11587" t="s">
        <v>11019</v>
      </c>
      <c r="AA11587" t="s">
        <v>115</v>
      </c>
      <c r="AB11587" t="s">
        <v>11019</v>
      </c>
    </row>
    <row r="11588" ht="15" customHeight="1" spans="1:22" x14ac:dyDescent="0.25">
      <c r="A11588" s="17" t="s">
        <v>31756</v>
      </c>
      <c r="B11588" s="17" t="s">
        <v>70</v>
      </c>
      <c r="C11588" s="17" t="s">
        <v>71</v>
      </c>
      <c r="D11588" t="s">
        <v>31757</v>
      </c>
      <c r="F11588" t="s">
        <v>9613</v>
      </c>
      <c r="K11588" s="18">
        <f>6281310707920</f>
        <v>6281310707920</v>
      </c>
      <c r="N11588" s="17" t="s">
        <v>74</v>
      </c>
      <c r="V11588" s="18">
        <f>6281310707920</f>
        <v>6281310707920</v>
      </c>
    </row>
    <row r="11589" ht="15" customHeight="1" spans="1:22" x14ac:dyDescent="0.25">
      <c r="A11589" s="17" t="s">
        <v>31758</v>
      </c>
      <c r="B11589" s="17" t="s">
        <v>70</v>
      </c>
      <c r="C11589" s="17" t="s">
        <v>71</v>
      </c>
      <c r="D11589" t="s">
        <v>31759</v>
      </c>
      <c r="F11589" t="s">
        <v>31760</v>
      </c>
      <c r="K11589" s="18">
        <f>6282148748484</f>
        <v>6282148748484</v>
      </c>
      <c r="N11589" s="17" t="s">
        <v>81</v>
      </c>
      <c r="V11589" s="18">
        <f>6282148748484</f>
        <v>6282148748484</v>
      </c>
    </row>
    <row r="11590" ht="15" customHeight="1" spans="1:23" x14ac:dyDescent="0.25">
      <c r="A11590" s="17" t="s">
        <v>31761</v>
      </c>
      <c r="B11590" s="17" t="s">
        <v>70</v>
      </c>
      <c r="C11590" s="17" t="s">
        <v>71</v>
      </c>
      <c r="D11590" t="s">
        <v>31762</v>
      </c>
      <c r="F11590" t="s">
        <v>31763</v>
      </c>
      <c r="K11590" s="18">
        <f>628128553838</f>
        <v>628128553838</v>
      </c>
      <c r="N11590" s="17" t="s">
        <v>77</v>
      </c>
      <c r="U11590" s="17"/>
      <c r="V11590" s="18">
        <f>628128553838</f>
        <v>628128553838</v>
      </c>
      <c r="W11590" t="s">
        <v>31764</v>
      </c>
    </row>
    <row r="11591" ht="15" customHeight="1" spans="1:22" x14ac:dyDescent="0.25">
      <c r="A11591" s="17" t="s">
        <v>31765</v>
      </c>
      <c r="B11591" s="17" t="s">
        <v>70</v>
      </c>
      <c r="C11591" s="17" t="s">
        <v>71</v>
      </c>
      <c r="D11591" t="s">
        <v>31766</v>
      </c>
      <c r="F11591" t="s">
        <v>11042</v>
      </c>
      <c r="K11591" s="18">
        <f>6287877222784</f>
        <v>6287877222784</v>
      </c>
      <c r="N11591" s="17" t="s">
        <v>77</v>
      </c>
      <c r="V11591" s="18">
        <f>6287877222784</f>
        <v>6287877222784</v>
      </c>
    </row>
    <row r="11592" ht="15" customHeight="1" spans="1:22" x14ac:dyDescent="0.25">
      <c r="A11592" s="17" t="s">
        <v>31767</v>
      </c>
      <c r="B11592" s="17" t="s">
        <v>70</v>
      </c>
      <c r="C11592" s="17" t="s">
        <v>71</v>
      </c>
      <c r="D11592" t="s">
        <v>31768</v>
      </c>
      <c r="F11592" t="s">
        <v>31768</v>
      </c>
      <c r="K11592" s="18">
        <f>628788725267</f>
        <v>628788725267</v>
      </c>
      <c r="N11592" s="17" t="s">
        <v>77</v>
      </c>
      <c r="V11592" s="18">
        <f>628788725267</f>
        <v>628788725267</v>
      </c>
    </row>
    <row r="11593" ht="15" customHeight="1" spans="1:22" x14ac:dyDescent="0.25">
      <c r="A11593" s="17" t="s">
        <v>31769</v>
      </c>
      <c r="B11593" s="17" t="s">
        <v>70</v>
      </c>
      <c r="C11593" s="17" t="s">
        <v>71</v>
      </c>
      <c r="D11593" t="s">
        <v>31768</v>
      </c>
      <c r="F11593" t="s">
        <v>831</v>
      </c>
      <c r="K11593" s="18">
        <f>628161121079</f>
        <v>628161121079</v>
      </c>
      <c r="N11593" s="17" t="s">
        <v>77</v>
      </c>
      <c r="V11593" s="18">
        <f>628161121079</f>
        <v>628161121079</v>
      </c>
    </row>
    <row r="11594" ht="15" customHeight="1" spans="1:22" x14ac:dyDescent="0.25">
      <c r="A11594" s="17" t="s">
        <v>31770</v>
      </c>
      <c r="B11594" s="17" t="s">
        <v>70</v>
      </c>
      <c r="C11594" s="17" t="s">
        <v>71</v>
      </c>
      <c r="D11594" t="s">
        <v>31771</v>
      </c>
      <c r="F11594" t="s">
        <v>31772</v>
      </c>
      <c r="K11594" s="18">
        <f>628128193282</f>
        <v>628128193282</v>
      </c>
      <c r="N11594" s="17" t="s">
        <v>77</v>
      </c>
      <c r="V11594" s="18">
        <f>628128193282</f>
        <v>628128193282</v>
      </c>
    </row>
    <row r="11595" ht="15" customHeight="1" spans="1:23" x14ac:dyDescent="0.25">
      <c r="A11595" s="17" t="s">
        <v>31773</v>
      </c>
      <c r="B11595" s="17" t="s">
        <v>70</v>
      </c>
      <c r="C11595" s="17" t="s">
        <v>71</v>
      </c>
      <c r="D11595" t="s">
        <v>31771</v>
      </c>
      <c r="F11595" t="s">
        <v>1064</v>
      </c>
      <c r="K11595" s="18">
        <f>6285888881152</f>
        <v>6285888881152</v>
      </c>
      <c r="N11595" s="17" t="s">
        <v>77</v>
      </c>
      <c r="U11595" s="17"/>
      <c r="V11595" s="18">
        <f>6285888881152</f>
        <v>6285888881152</v>
      </c>
      <c r="W11595" t="s">
        <v>31774</v>
      </c>
    </row>
    <row r="11596" ht="15" customHeight="1" spans="1:22" x14ac:dyDescent="0.25">
      <c r="A11596" s="17" t="s">
        <v>31775</v>
      </c>
      <c r="B11596" s="17" t="s">
        <v>70</v>
      </c>
      <c r="C11596" s="17" t="s">
        <v>71</v>
      </c>
      <c r="D11596" t="s">
        <v>31776</v>
      </c>
      <c r="F11596" t="s">
        <v>5530</v>
      </c>
      <c r="K11596" s="18">
        <f>62811889797</f>
        <v>62811889797</v>
      </c>
      <c r="N11596" s="17" t="s">
        <v>77</v>
      </c>
      <c r="V11596" s="18">
        <f>62811889797</f>
        <v>62811889797</v>
      </c>
    </row>
    <row r="11597" ht="15" customHeight="1" spans="1:27" x14ac:dyDescent="0.25">
      <c r="A11597" s="17" t="s">
        <v>31777</v>
      </c>
      <c r="B11597" s="17" t="s">
        <v>70</v>
      </c>
      <c r="C11597" s="17" t="s">
        <v>71</v>
      </c>
      <c r="D11597" t="s">
        <v>31778</v>
      </c>
      <c r="F11597" t="s">
        <v>2508</v>
      </c>
      <c r="K11597" s="18">
        <f>62218400132</f>
        <v>62218400132</v>
      </c>
      <c r="N11597" s="17" t="s">
        <v>77</v>
      </c>
      <c r="U11597" s="17"/>
      <c r="V11597" s="18">
        <f>62218400132</f>
        <v>62218400132</v>
      </c>
      <c r="W11597" t="s">
        <v>31779</v>
      </c>
      <c r="Y11597" s="17" t="s">
        <v>515</v>
      </c>
      <c r="AA11597" s="17" t="s">
        <v>31780</v>
      </c>
    </row>
    <row r="11598" ht="15" customHeight="1" spans="1:22" x14ac:dyDescent="0.25">
      <c r="A11598" s="17" t="s">
        <v>31781</v>
      </c>
      <c r="B11598" s="17" t="s">
        <v>70</v>
      </c>
      <c r="C11598" s="17" t="s">
        <v>71</v>
      </c>
      <c r="D11598" t="s">
        <v>31778</v>
      </c>
      <c r="F11598" t="s">
        <v>2508</v>
      </c>
      <c r="K11598" s="18">
        <f>62811304545</f>
        <v>62811304545</v>
      </c>
      <c r="N11598" s="17" t="s">
        <v>77</v>
      </c>
      <c r="V11598" s="18">
        <f>62811304545</f>
        <v>62811304545</v>
      </c>
    </row>
    <row r="11599" ht="15" customHeight="1" spans="1:22" x14ac:dyDescent="0.25">
      <c r="A11599" s="17" t="s">
        <v>31782</v>
      </c>
      <c r="B11599" s="17" t="s">
        <v>70</v>
      </c>
      <c r="C11599" s="17" t="s">
        <v>71</v>
      </c>
      <c r="D11599" t="s">
        <v>31783</v>
      </c>
      <c r="F11599" t="s">
        <v>31784</v>
      </c>
      <c r="K11599" s="18">
        <f>6282188828800</f>
        <v>6282188828800</v>
      </c>
      <c r="N11599" s="17" t="s">
        <v>81</v>
      </c>
      <c r="V11599" s="18">
        <f>6282188828800</f>
        <v>6282188828800</v>
      </c>
    </row>
    <row r="11600" ht="15" customHeight="1" spans="1:23" x14ac:dyDescent="0.25">
      <c r="A11600" s="17" t="s">
        <v>31785</v>
      </c>
      <c r="B11600" s="17" t="s">
        <v>70</v>
      </c>
      <c r="C11600" s="17" t="s">
        <v>71</v>
      </c>
      <c r="D11600" t="s">
        <v>31786</v>
      </c>
      <c r="F11600" t="s">
        <v>31787</v>
      </c>
      <c r="K11600" s="18">
        <f>919972184749</f>
        <v>919972184749</v>
      </c>
      <c r="N11600" s="17" t="s">
        <v>77</v>
      </c>
      <c r="U11600" s="17"/>
      <c r="V11600" s="18">
        <f>919972184749</f>
        <v>919972184749</v>
      </c>
      <c r="W11600" t="s">
        <v>920</v>
      </c>
    </row>
    <row r="11601" ht="15" customHeight="1" spans="1:23" x14ac:dyDescent="0.25">
      <c r="A11601" s="17" t="s">
        <v>31788</v>
      </c>
      <c r="B11601" s="17" t="s">
        <v>70</v>
      </c>
      <c r="C11601" s="17" t="s">
        <v>71</v>
      </c>
      <c r="D11601" t="s">
        <v>31789</v>
      </c>
      <c r="F11601" t="s">
        <v>8741</v>
      </c>
      <c r="K11601" s="18">
        <f>79284167547</f>
        <v>79284167547</v>
      </c>
      <c r="N11601" s="17" t="s">
        <v>77</v>
      </c>
      <c r="U11601" s="17"/>
      <c r="V11601" s="18">
        <f>79284167547</f>
        <v>79284167547</v>
      </c>
      <c r="W11601" t="s">
        <v>1908</v>
      </c>
    </row>
    <row r="11602" ht="15" customHeight="1" spans="1:28" x14ac:dyDescent="0.25">
      <c r="A11602" s="17" t="s">
        <v>31790</v>
      </c>
      <c r="B11602" s="17" t="s">
        <v>70</v>
      </c>
      <c r="C11602" s="17" t="s">
        <v>71</v>
      </c>
      <c r="D11602" t="s">
        <v>31791</v>
      </c>
      <c r="F11602" t="s">
        <v>31792</v>
      </c>
      <c r="J11602" t="s">
        <v>115</v>
      </c>
      <c r="K11602" s="18" t="s">
        <v>31793</v>
      </c>
      <c r="N11602" s="17" t="s">
        <v>81</v>
      </c>
      <c r="O11602" t="s">
        <v>117</v>
      </c>
      <c r="V11602" s="18" t="s">
        <v>31793</v>
      </c>
      <c r="Y11602" t="s">
        <v>90</v>
      </c>
      <c r="AA11602" t="s">
        <v>118</v>
      </c>
      <c r="AB11602" t="s">
        <v>119</v>
      </c>
    </row>
    <row r="11603" ht="15" customHeight="1" spans="1:28" x14ac:dyDescent="0.25">
      <c r="A11603" s="17" t="s">
        <v>31794</v>
      </c>
      <c r="B11603" s="17" t="s">
        <v>70</v>
      </c>
      <c r="C11603" s="17" t="s">
        <v>71</v>
      </c>
      <c r="D11603" t="s">
        <v>31791</v>
      </c>
      <c r="F11603" t="s">
        <v>31791</v>
      </c>
      <c r="J11603" t="s">
        <v>31795</v>
      </c>
      <c r="K11603" s="18" t="s">
        <v>31796</v>
      </c>
      <c r="N11603" s="17" t="s">
        <v>77</v>
      </c>
      <c r="O11603" t="s">
        <v>117</v>
      </c>
      <c r="U11603" s="17"/>
      <c r="V11603" s="18" t="s">
        <v>31796</v>
      </c>
      <c r="W11603" t="s">
        <v>31797</v>
      </c>
      <c r="Y11603" s="17" t="s">
        <v>190</v>
      </c>
      <c r="AA11603" t="s">
        <v>118</v>
      </c>
      <c r="AB11603" t="s">
        <v>119</v>
      </c>
    </row>
    <row r="11604" ht="15" customHeight="1" spans="1:22" x14ac:dyDescent="0.25">
      <c r="A11604" s="17" t="s">
        <v>31798</v>
      </c>
      <c r="B11604" s="17" t="s">
        <v>70</v>
      </c>
      <c r="C11604" s="17" t="s">
        <v>71</v>
      </c>
      <c r="D11604" t="s">
        <v>31791</v>
      </c>
      <c r="F11604" t="s">
        <v>3253</v>
      </c>
      <c r="K11604" s="18">
        <f>6283192531466</f>
        <v>6283192531466</v>
      </c>
      <c r="N11604" s="17" t="s">
        <v>81</v>
      </c>
      <c r="V11604" s="18">
        <f>6283192531466</f>
        <v>6283192531466</v>
      </c>
    </row>
    <row r="11605" ht="15" customHeight="1" spans="1:22" x14ac:dyDescent="0.25">
      <c r="A11605" s="17" t="s">
        <v>31799</v>
      </c>
      <c r="B11605" s="17" t="s">
        <v>70</v>
      </c>
      <c r="C11605" s="17" t="s">
        <v>71</v>
      </c>
      <c r="D11605" t="s">
        <v>31791</v>
      </c>
      <c r="F11605" t="s">
        <v>31800</v>
      </c>
      <c r="K11605" s="18">
        <f>6281318069151</f>
        <v>6281318069151</v>
      </c>
      <c r="N11605" s="17" t="s">
        <v>81</v>
      </c>
      <c r="V11605" s="18">
        <f>6281318069151</f>
        <v>6281318069151</v>
      </c>
    </row>
    <row r="11606" ht="15" customHeight="1" spans="1:22" x14ac:dyDescent="0.25">
      <c r="A11606" s="17" t="s">
        <v>31801</v>
      </c>
      <c r="B11606" s="17" t="s">
        <v>70</v>
      </c>
      <c r="C11606" s="17" t="s">
        <v>71</v>
      </c>
      <c r="D11606" t="s">
        <v>31802</v>
      </c>
      <c r="F11606" t="s">
        <v>28258</v>
      </c>
      <c r="K11606" s="18">
        <f>6281317859486</f>
        <v>6281317859486</v>
      </c>
      <c r="N11606" s="17" t="s">
        <v>77</v>
      </c>
      <c r="V11606" s="18">
        <f>6281317859486</f>
        <v>6281317859486</v>
      </c>
    </row>
    <row r="11607" ht="15" customHeight="1" spans="1:27" x14ac:dyDescent="0.25">
      <c r="A11607" s="17" t="s">
        <v>31803</v>
      </c>
      <c r="B11607" s="17" t="s">
        <v>70</v>
      </c>
      <c r="C11607" s="17" t="s">
        <v>71</v>
      </c>
      <c r="D11607" t="s">
        <v>31804</v>
      </c>
      <c r="F11607" t="s">
        <v>3386</v>
      </c>
      <c r="J11607" s="17" t="s">
        <v>31805</v>
      </c>
      <c r="K11607" s="18">
        <f>62811180577</f>
        <v>62811180577</v>
      </c>
      <c r="N11607" s="17" t="s">
        <v>77</v>
      </c>
      <c r="U11607" s="17"/>
      <c r="V11607" s="18">
        <f>62811180577</f>
        <v>62811180577</v>
      </c>
      <c r="W11607" t="s">
        <v>31806</v>
      </c>
      <c r="Y11607" s="17" t="s">
        <v>90</v>
      </c>
      <c r="AA11607" s="17">
        <v>11830</v>
      </c>
    </row>
    <row r="11608" ht="15" customHeight="1" spans="1:22" x14ac:dyDescent="0.25">
      <c r="A11608" s="17" t="s">
        <v>31807</v>
      </c>
      <c r="B11608" s="17" t="s">
        <v>70</v>
      </c>
      <c r="C11608" s="17" t="s">
        <v>71</v>
      </c>
      <c r="D11608" t="s">
        <v>31808</v>
      </c>
      <c r="F11608" t="s">
        <v>31809</v>
      </c>
      <c r="K11608" s="18">
        <f>6281906077217</f>
        <v>6281906077217</v>
      </c>
      <c r="N11608" s="17" t="s">
        <v>77</v>
      </c>
      <c r="V11608" s="18">
        <f>6281906077217</f>
        <v>6281906077217</v>
      </c>
    </row>
    <row r="11609" ht="15" customHeight="1" spans="1:28" x14ac:dyDescent="0.25">
      <c r="A11609" s="17" t="s">
        <v>31810</v>
      </c>
      <c r="B11609" s="17" t="s">
        <v>70</v>
      </c>
      <c r="C11609" s="17" t="s">
        <v>71</v>
      </c>
      <c r="D11609" t="s">
        <v>31811</v>
      </c>
      <c r="F11609" t="s">
        <v>2288</v>
      </c>
      <c r="J11609" t="s">
        <v>115</v>
      </c>
      <c r="K11609" s="18" t="s">
        <v>31812</v>
      </c>
      <c r="N11609" s="17" t="s">
        <v>77</v>
      </c>
      <c r="O11609" t="s">
        <v>489</v>
      </c>
      <c r="U11609" s="17"/>
      <c r="V11609" s="18" t="s">
        <v>31812</v>
      </c>
      <c r="W11609" t="s">
        <v>31813</v>
      </c>
      <c r="Y11609" s="17" t="s">
        <v>181</v>
      </c>
      <c r="AA11609" t="s">
        <v>1672</v>
      </c>
      <c r="AB11609" t="s">
        <v>119</v>
      </c>
    </row>
    <row r="11610" ht="15" customHeight="1" spans="1:22" x14ac:dyDescent="0.25">
      <c r="A11610" s="17" t="s">
        <v>31814</v>
      </c>
      <c r="B11610" s="17" t="s">
        <v>70</v>
      </c>
      <c r="C11610" s="17" t="s">
        <v>71</v>
      </c>
      <c r="D11610" t="s">
        <v>31815</v>
      </c>
      <c r="F11610" t="s">
        <v>30749</v>
      </c>
      <c r="K11610" s="18">
        <f>6281297978711</f>
        <v>6281297978711</v>
      </c>
      <c r="N11610" s="17" t="s">
        <v>81</v>
      </c>
      <c r="V11610" s="18">
        <f>6281297978711</f>
        <v>6281297978711</v>
      </c>
    </row>
    <row r="11611" ht="15" customHeight="1" spans="1:28" x14ac:dyDescent="0.25">
      <c r="A11611" s="17" t="s">
        <v>31816</v>
      </c>
      <c r="B11611" s="17" t="s">
        <v>70</v>
      </c>
      <c r="C11611" s="17" t="s">
        <v>71</v>
      </c>
      <c r="D11611" t="s">
        <v>31817</v>
      </c>
      <c r="F11611" t="s">
        <v>14037</v>
      </c>
      <c r="J11611" t="s">
        <v>115</v>
      </c>
      <c r="K11611" s="18" t="s">
        <v>31818</v>
      </c>
      <c r="N11611" s="17" t="s">
        <v>74</v>
      </c>
      <c r="O11611" t="s">
        <v>145</v>
      </c>
      <c r="U11611" s="17"/>
      <c r="V11611" s="18" t="s">
        <v>31818</v>
      </c>
      <c r="W11611" t="s">
        <v>31819</v>
      </c>
      <c r="Y11611" s="17" t="s">
        <v>90</v>
      </c>
      <c r="AA11611" t="s">
        <v>118</v>
      </c>
      <c r="AB11611" t="s">
        <v>119</v>
      </c>
    </row>
    <row r="11612" ht="15" customHeight="1" spans="1:27" x14ac:dyDescent="0.25">
      <c r="A11612" s="17" t="s">
        <v>31820</v>
      </c>
      <c r="B11612" s="17" t="s">
        <v>70</v>
      </c>
      <c r="C11612" s="17" t="s">
        <v>71</v>
      </c>
      <c r="D11612" t="s">
        <v>31821</v>
      </c>
      <c r="F11612" t="s">
        <v>31822</v>
      </c>
      <c r="J11612" s="17" t="s">
        <v>31823</v>
      </c>
      <c r="K11612" s="18">
        <f>628158884440</f>
        <v>628158884440</v>
      </c>
      <c r="N11612" s="17" t="s">
        <v>77</v>
      </c>
      <c r="U11612" s="17"/>
      <c r="V11612" s="18">
        <f>628158884440</f>
        <v>628158884440</v>
      </c>
      <c r="W11612" t="s">
        <v>31824</v>
      </c>
      <c r="Y11612" s="17" t="s">
        <v>96</v>
      </c>
      <c r="AA11612" s="17">
        <v>12430</v>
      </c>
    </row>
    <row r="11613" ht="15" customHeight="1" spans="1:28" x14ac:dyDescent="0.25">
      <c r="A11613" s="17" t="s">
        <v>31825</v>
      </c>
      <c r="B11613" s="17" t="s">
        <v>70</v>
      </c>
      <c r="C11613" s="17" t="s">
        <v>71</v>
      </c>
      <c r="D11613" t="s">
        <v>31826</v>
      </c>
      <c r="F11613" t="s">
        <v>3471</v>
      </c>
      <c r="J11613" s="17" t="s">
        <v>31827</v>
      </c>
      <c r="K11613" s="18" t="s">
        <v>31828</v>
      </c>
      <c r="N11613" s="17" t="s">
        <v>77</v>
      </c>
      <c r="O11613" t="s">
        <v>145</v>
      </c>
      <c r="U11613" s="17"/>
      <c r="V11613" s="18" t="s">
        <v>31828</v>
      </c>
      <c r="W11613" t="s">
        <v>31829</v>
      </c>
      <c r="Y11613" t="s">
        <v>90</v>
      </c>
      <c r="AA11613" t="s">
        <v>118</v>
      </c>
      <c r="AB11613" t="s">
        <v>119</v>
      </c>
    </row>
    <row r="11614" ht="15" customHeight="1" spans="1:27" x14ac:dyDescent="0.25">
      <c r="A11614" s="17" t="s">
        <v>31830</v>
      </c>
      <c r="B11614" s="17" t="s">
        <v>70</v>
      </c>
      <c r="C11614" s="17" t="s">
        <v>71</v>
      </c>
      <c r="D11614" t="s">
        <v>31831</v>
      </c>
      <c r="F11614" t="s">
        <v>22300</v>
      </c>
      <c r="J11614" s="17" t="s">
        <v>31832</v>
      </c>
      <c r="K11614" s="18">
        <f>62816826666</f>
        <v>62816826666</v>
      </c>
      <c r="N11614" s="17" t="s">
        <v>77</v>
      </c>
      <c r="U11614" s="17"/>
      <c r="V11614" s="18">
        <f>62816826666</f>
        <v>62816826666</v>
      </c>
      <c r="W11614" t="s">
        <v>31833</v>
      </c>
      <c r="Y11614" s="17" t="s">
        <v>90</v>
      </c>
      <c r="AA11614" s="17">
        <v>11430</v>
      </c>
    </row>
    <row r="11615" ht="15" customHeight="1" spans="1:22" x14ac:dyDescent="0.25">
      <c r="A11615" s="17" t="s">
        <v>31834</v>
      </c>
      <c r="B11615" s="17" t="s">
        <v>70</v>
      </c>
      <c r="C11615" s="17" t="s">
        <v>71</v>
      </c>
      <c r="D11615" t="s">
        <v>638</v>
      </c>
      <c r="F11615" t="s">
        <v>31835</v>
      </c>
      <c r="K11615" s="18">
        <f>6281284285577</f>
        <v>6281284285577</v>
      </c>
      <c r="N11615" s="17" t="s">
        <v>77</v>
      </c>
      <c r="V11615" s="18">
        <f>6281284285577</f>
        <v>6281284285577</v>
      </c>
    </row>
    <row r="11616" ht="15" customHeight="1" spans="1:22" x14ac:dyDescent="0.25">
      <c r="A11616" s="17" t="s">
        <v>31836</v>
      </c>
      <c r="B11616" s="17" t="s">
        <v>70</v>
      </c>
      <c r="C11616" s="17" t="s">
        <v>71</v>
      </c>
      <c r="D11616" t="s">
        <v>31837</v>
      </c>
      <c r="F11616" t="s">
        <v>1856</v>
      </c>
      <c r="K11616" s="18">
        <f>6287881814343</f>
        <v>6287881814343</v>
      </c>
      <c r="N11616" s="17" t="s">
        <v>74</v>
      </c>
      <c r="V11616" s="18">
        <f>6287881814343</f>
        <v>6287881814343</v>
      </c>
    </row>
    <row r="11617" ht="15" customHeight="1" spans="1:22" x14ac:dyDescent="0.25">
      <c r="A11617" s="17" t="s">
        <v>31838</v>
      </c>
      <c r="B11617" s="17" t="s">
        <v>70</v>
      </c>
      <c r="C11617" s="17" t="s">
        <v>71</v>
      </c>
      <c r="D11617" t="s">
        <v>13128</v>
      </c>
      <c r="F11617" t="s">
        <v>13128</v>
      </c>
      <c r="K11617" s="18">
        <f>62818858202</f>
        <v>62818858202</v>
      </c>
      <c r="N11617" s="17" t="s">
        <v>74</v>
      </c>
      <c r="V11617" s="18">
        <f>62818858202</f>
        <v>62818858202</v>
      </c>
    </row>
    <row r="11618" ht="15" customHeight="1" spans="1:27" x14ac:dyDescent="0.25">
      <c r="A11618" s="17" t="s">
        <v>31839</v>
      </c>
      <c r="B11618" s="17" t="s">
        <v>70</v>
      </c>
      <c r="C11618" s="17" t="s">
        <v>71</v>
      </c>
      <c r="D11618" t="s">
        <v>4129</v>
      </c>
      <c r="F11618" t="s">
        <v>31840</v>
      </c>
      <c r="K11618" s="18">
        <f>62811998804</f>
        <v>62811998804</v>
      </c>
      <c r="N11618" s="17" t="s">
        <v>74</v>
      </c>
      <c r="U11618" s="17"/>
      <c r="V11618" s="18">
        <f>62811998804</f>
        <v>62811998804</v>
      </c>
      <c r="W11618" t="s">
        <v>31841</v>
      </c>
      <c r="Y11618" s="17" t="s">
        <v>96</v>
      </c>
      <c r="AA11618" s="17" t="s">
        <v>13849</v>
      </c>
    </row>
    <row r="11619" ht="15" customHeight="1" spans="1:28" x14ac:dyDescent="0.25">
      <c r="A11619" s="17" t="s">
        <v>31842</v>
      </c>
      <c r="B11619" s="17" t="s">
        <v>70</v>
      </c>
      <c r="C11619" s="17" t="s">
        <v>71</v>
      </c>
      <c r="D11619" t="s">
        <v>31843</v>
      </c>
      <c r="F11619" t="s">
        <v>31843</v>
      </c>
      <c r="J11619" t="s">
        <v>31844</v>
      </c>
      <c r="K11619" s="18" t="s">
        <v>31845</v>
      </c>
      <c r="N11619" s="17" t="s">
        <v>77</v>
      </c>
      <c r="O11619" t="s">
        <v>261</v>
      </c>
      <c r="U11619" s="17"/>
      <c r="V11619" s="18" t="s">
        <v>31845</v>
      </c>
      <c r="W11619" t="s">
        <v>31846</v>
      </c>
      <c r="Y11619" t="s">
        <v>1119</v>
      </c>
      <c r="AA11619" t="s">
        <v>115</v>
      </c>
      <c r="AB11619" t="s">
        <v>119</v>
      </c>
    </row>
    <row r="11620" ht="15" customHeight="1" spans="1:28" x14ac:dyDescent="0.25">
      <c r="A11620" s="17" t="s">
        <v>31847</v>
      </c>
      <c r="B11620" s="17" t="s">
        <v>70</v>
      </c>
      <c r="C11620" s="17" t="s">
        <v>71</v>
      </c>
      <c r="D11620" t="s">
        <v>16133</v>
      </c>
      <c r="F11620" t="s">
        <v>16133</v>
      </c>
      <c r="J11620" t="s">
        <v>115</v>
      </c>
      <c r="K11620" s="18" t="s">
        <v>31848</v>
      </c>
      <c r="N11620" s="17" t="s">
        <v>77</v>
      </c>
      <c r="O11620" t="s">
        <v>117</v>
      </c>
      <c r="V11620" s="18" t="s">
        <v>31848</v>
      </c>
      <c r="Y11620" t="s">
        <v>190</v>
      </c>
      <c r="AA11620" t="s">
        <v>118</v>
      </c>
      <c r="AB11620" t="s">
        <v>119</v>
      </c>
    </row>
    <row r="11621" ht="15" customHeight="1" spans="1:25" x14ac:dyDescent="0.25">
      <c r="A11621" s="17" t="s">
        <v>31849</v>
      </c>
      <c r="B11621" s="17" t="s">
        <v>70</v>
      </c>
      <c r="C11621" s="17" t="s">
        <v>71</v>
      </c>
      <c r="D11621" t="s">
        <v>16133</v>
      </c>
      <c r="F11621" t="s">
        <v>25237</v>
      </c>
      <c r="J11621" s="17" t="s">
        <v>31850</v>
      </c>
      <c r="K11621" s="18">
        <f>6281574809449</f>
        <v>6281574809449</v>
      </c>
      <c r="N11621" s="17" t="s">
        <v>77</v>
      </c>
      <c r="U11621" s="17"/>
      <c r="V11621" s="18">
        <f>6281574809449</f>
        <v>6281574809449</v>
      </c>
      <c r="W11621" t="s">
        <v>31851</v>
      </c>
      <c r="Y11621" s="17" t="s">
        <v>96</v>
      </c>
    </row>
    <row r="11622" ht="15" customHeight="1" spans="1:22" x14ac:dyDescent="0.25">
      <c r="A11622" s="17" t="s">
        <v>31852</v>
      </c>
      <c r="B11622" s="17" t="s">
        <v>70</v>
      </c>
      <c r="C11622" s="17" t="s">
        <v>71</v>
      </c>
      <c r="D11622" t="s">
        <v>31853</v>
      </c>
      <c r="F11622" t="s">
        <v>31854</v>
      </c>
      <c r="K11622" s="18">
        <f>66991517532</f>
        <v>66991517532</v>
      </c>
      <c r="N11622" s="17" t="s">
        <v>77</v>
      </c>
      <c r="V11622" s="18">
        <f>66991517532</f>
        <v>66991517532</v>
      </c>
    </row>
    <row r="11623" ht="15" customHeight="1" spans="1:23" x14ac:dyDescent="0.25">
      <c r="A11623" s="17" t="s">
        <v>31855</v>
      </c>
      <c r="B11623" s="17" t="s">
        <v>70</v>
      </c>
      <c r="C11623" s="17" t="s">
        <v>71</v>
      </c>
      <c r="D11623" t="s">
        <v>31856</v>
      </c>
      <c r="F11623" t="s">
        <v>31856</v>
      </c>
      <c r="K11623" s="18">
        <f>628123323088</f>
        <v>628123323088</v>
      </c>
      <c r="N11623" s="17" t="s">
        <v>81</v>
      </c>
      <c r="U11623" s="17"/>
      <c r="V11623" s="18">
        <f>628123323088</f>
        <v>628123323088</v>
      </c>
      <c r="W11623" t="s">
        <v>31857</v>
      </c>
    </row>
    <row r="11624" ht="15" customHeight="1" spans="1:25" x14ac:dyDescent="0.25">
      <c r="A11624" s="17" t="s">
        <v>31858</v>
      </c>
      <c r="B11624" s="17" t="s">
        <v>70</v>
      </c>
      <c r="C11624" s="17" t="s">
        <v>71</v>
      </c>
      <c r="D11624" t="s">
        <v>4291</v>
      </c>
      <c r="F11624" t="s">
        <v>4291</v>
      </c>
      <c r="K11624" s="18">
        <f>6281289980777</f>
        <v>6281289980777</v>
      </c>
      <c r="N11624" s="17" t="s">
        <v>77</v>
      </c>
      <c r="U11624" s="17"/>
      <c r="V11624" s="18">
        <f>6281289980777</f>
        <v>6281289980777</v>
      </c>
      <c r="W11624" t="s">
        <v>31859</v>
      </c>
      <c r="Y11624" s="17" t="s">
        <v>217</v>
      </c>
    </row>
    <row r="11625" ht="15" customHeight="1" spans="1:22" x14ac:dyDescent="0.25">
      <c r="A11625" s="17" t="s">
        <v>31860</v>
      </c>
      <c r="B11625" s="17" t="s">
        <v>70</v>
      </c>
      <c r="C11625" s="17" t="s">
        <v>71</v>
      </c>
      <c r="D11625" t="s">
        <v>4291</v>
      </c>
      <c r="F11625" t="s">
        <v>10530</v>
      </c>
      <c r="J11625" s="17" t="s">
        <v>31861</v>
      </c>
      <c r="K11625" s="18">
        <f>6281229666386</f>
        <v>6281229666386</v>
      </c>
      <c r="N11625" s="17" t="s">
        <v>81</v>
      </c>
      <c r="V11625" s="18">
        <f>6281229666386</f>
        <v>6281229666386</v>
      </c>
    </row>
    <row r="11626" ht="15" customHeight="1" spans="1:28" x14ac:dyDescent="0.25">
      <c r="A11626" s="17" t="s">
        <v>31862</v>
      </c>
      <c r="B11626" s="17" t="s">
        <v>70</v>
      </c>
      <c r="C11626" s="17" t="s">
        <v>71</v>
      </c>
      <c r="D11626" t="s">
        <v>4621</v>
      </c>
      <c r="F11626" t="s">
        <v>1754</v>
      </c>
      <c r="J11626" t="s">
        <v>115</v>
      </c>
      <c r="K11626" s="18" t="s">
        <v>31863</v>
      </c>
      <c r="N11626" s="17" t="s">
        <v>77</v>
      </c>
      <c r="O11626" t="s">
        <v>117</v>
      </c>
      <c r="V11626" s="18" t="s">
        <v>31863</v>
      </c>
      <c r="Y11626" t="s">
        <v>190</v>
      </c>
      <c r="AA11626" t="s">
        <v>118</v>
      </c>
      <c r="AB11626" t="s">
        <v>119</v>
      </c>
    </row>
    <row r="11627" ht="15" customHeight="1" spans="1:22" x14ac:dyDescent="0.25">
      <c r="A11627" s="17" t="s">
        <v>31864</v>
      </c>
      <c r="B11627" s="17" t="s">
        <v>70</v>
      </c>
      <c r="C11627" s="17" t="s">
        <v>71</v>
      </c>
      <c r="D11627" t="s">
        <v>31865</v>
      </c>
      <c r="F11627" t="s">
        <v>31866</v>
      </c>
      <c r="K11627" s="18">
        <f>62816915783</f>
        <v>62816915783</v>
      </c>
      <c r="N11627" s="17" t="s">
        <v>77</v>
      </c>
      <c r="V11627" s="18">
        <f>62816915783</f>
        <v>62816915783</v>
      </c>
    </row>
    <row r="11628" ht="15" customHeight="1" spans="1:23" x14ac:dyDescent="0.25">
      <c r="A11628" s="17" t="s">
        <v>31867</v>
      </c>
      <c r="B11628" s="17" t="s">
        <v>70</v>
      </c>
      <c r="C11628" s="17" t="s">
        <v>71</v>
      </c>
      <c r="D11628" t="s">
        <v>31865</v>
      </c>
      <c r="F11628" t="s">
        <v>31866</v>
      </c>
      <c r="K11628" s="18">
        <f>6281236016081</f>
        <v>6281236016081</v>
      </c>
      <c r="N11628" s="17" t="s">
        <v>77</v>
      </c>
      <c r="U11628" s="17"/>
      <c r="V11628" s="18">
        <f>6281236016081</f>
        <v>6281236016081</v>
      </c>
      <c r="W11628" t="s">
        <v>31868</v>
      </c>
    </row>
    <row r="11629" ht="15" customHeight="1" spans="1:23" x14ac:dyDescent="0.25">
      <c r="A11629" s="17" t="s">
        <v>31869</v>
      </c>
      <c r="B11629" s="17" t="s">
        <v>70</v>
      </c>
      <c r="C11629" s="17" t="s">
        <v>71</v>
      </c>
      <c r="D11629" t="s">
        <v>7657</v>
      </c>
      <c r="F11629" t="s">
        <v>7709</v>
      </c>
      <c r="K11629" s="18">
        <f>62811288949</f>
        <v>62811288949</v>
      </c>
      <c r="N11629" s="17" t="s">
        <v>81</v>
      </c>
      <c r="U11629" s="17"/>
      <c r="V11629" s="18">
        <f>62811288949</f>
        <v>62811288949</v>
      </c>
      <c r="W11629" t="s">
        <v>31870</v>
      </c>
    </row>
    <row r="11630" ht="15" customHeight="1" spans="1:22" x14ac:dyDescent="0.25">
      <c r="A11630" s="17" t="s">
        <v>31871</v>
      </c>
      <c r="B11630" s="17" t="s">
        <v>70</v>
      </c>
      <c r="C11630" s="17" t="s">
        <v>71</v>
      </c>
      <c r="D11630" t="s">
        <v>31872</v>
      </c>
      <c r="F11630" t="s">
        <v>21100</v>
      </c>
      <c r="K11630" s="18">
        <f>6282777487788</f>
        <v>6282777487788</v>
      </c>
      <c r="N11630" s="17" t="s">
        <v>77</v>
      </c>
      <c r="V11630" s="18">
        <f>6282777487788</f>
        <v>6282777487788</v>
      </c>
    </row>
    <row r="11631" ht="15" customHeight="1" spans="1:22" x14ac:dyDescent="0.25">
      <c r="A11631" s="17" t="s">
        <v>31873</v>
      </c>
      <c r="B11631" s="17" t="s">
        <v>70</v>
      </c>
      <c r="C11631" s="17" t="s">
        <v>71</v>
      </c>
      <c r="D11631" t="s">
        <v>31872</v>
      </c>
      <c r="F11631" t="s">
        <v>21100</v>
      </c>
      <c r="K11631" s="18">
        <f>6285921499494</f>
        <v>6285921499494</v>
      </c>
      <c r="N11631" s="17" t="s">
        <v>81</v>
      </c>
      <c r="V11631" s="18">
        <f>6285921499494</f>
        <v>6285921499494</v>
      </c>
    </row>
    <row r="11632" ht="15" customHeight="1" spans="1:22" x14ac:dyDescent="0.25">
      <c r="A11632" s="17" t="s">
        <v>31874</v>
      </c>
      <c r="B11632" s="17" t="s">
        <v>70</v>
      </c>
      <c r="C11632" s="17" t="s">
        <v>71</v>
      </c>
      <c r="D11632" t="s">
        <v>31875</v>
      </c>
      <c r="F11632" t="s">
        <v>1070</v>
      </c>
      <c r="K11632" s="18">
        <f>6281213310531</f>
        <v>6281213310531</v>
      </c>
      <c r="N11632" s="17" t="s">
        <v>77</v>
      </c>
      <c r="V11632" s="18">
        <f>6281213310531</f>
        <v>6281213310531</v>
      </c>
    </row>
    <row r="11633" ht="15" customHeight="1" spans="1:22" x14ac:dyDescent="0.25">
      <c r="A11633" s="17" t="s">
        <v>31876</v>
      </c>
      <c r="B11633" s="17" t="s">
        <v>70</v>
      </c>
      <c r="C11633" s="17" t="s">
        <v>71</v>
      </c>
      <c r="D11633" t="s">
        <v>31877</v>
      </c>
      <c r="F11633" t="s">
        <v>31877</v>
      </c>
      <c r="K11633" s="18">
        <f>62818807259</f>
        <v>62818807259</v>
      </c>
      <c r="N11633" s="17" t="s">
        <v>81</v>
      </c>
      <c r="V11633" s="18">
        <f>62818807259</f>
        <v>62818807259</v>
      </c>
    </row>
    <row r="11634" ht="15" customHeight="1" spans="1:28" x14ac:dyDescent="0.25">
      <c r="A11634" s="17" t="s">
        <v>31878</v>
      </c>
      <c r="B11634" s="17" t="s">
        <v>70</v>
      </c>
      <c r="C11634" s="17" t="s">
        <v>71</v>
      </c>
      <c r="D11634" t="s">
        <v>31879</v>
      </c>
      <c r="F11634" t="s">
        <v>31240</v>
      </c>
      <c r="J11634" t="s">
        <v>115</v>
      </c>
      <c r="K11634" s="18" t="s">
        <v>31880</v>
      </c>
      <c r="N11634" s="17" t="s">
        <v>77</v>
      </c>
      <c r="O11634" t="s">
        <v>199</v>
      </c>
      <c r="U11634" s="17"/>
      <c r="V11634" s="18" t="s">
        <v>31880</v>
      </c>
      <c r="W11634" t="s">
        <v>920</v>
      </c>
      <c r="Y11634" t="s">
        <v>115</v>
      </c>
      <c r="AA11634" t="s">
        <v>115</v>
      </c>
      <c r="AB11634" t="s">
        <v>1903</v>
      </c>
    </row>
    <row r="11635" ht="15" customHeight="1" spans="1:23" x14ac:dyDescent="0.25">
      <c r="A11635" s="17" t="s">
        <v>31881</v>
      </c>
      <c r="B11635" s="17" t="s">
        <v>70</v>
      </c>
      <c r="C11635" s="17" t="s">
        <v>71</v>
      </c>
      <c r="D11635" t="s">
        <v>31882</v>
      </c>
      <c r="F11635" t="s">
        <v>31883</v>
      </c>
      <c r="K11635" s="18">
        <f>6281802072107</f>
        <v>6281802072107</v>
      </c>
      <c r="N11635" s="17" t="s">
        <v>77</v>
      </c>
      <c r="U11635" s="17"/>
      <c r="V11635" s="18">
        <f>6281802072107</f>
        <v>6281802072107</v>
      </c>
      <c r="W11635" t="s">
        <v>31884</v>
      </c>
    </row>
    <row r="11636" ht="15" customHeight="1" spans="1:28" x14ac:dyDescent="0.25">
      <c r="A11636" s="17" t="s">
        <v>31885</v>
      </c>
      <c r="B11636" s="17" t="s">
        <v>70</v>
      </c>
      <c r="C11636" s="17" t="s">
        <v>71</v>
      </c>
      <c r="D11636" t="s">
        <v>31886</v>
      </c>
      <c r="F11636" t="s">
        <v>212</v>
      </c>
      <c r="J11636" t="s">
        <v>115</v>
      </c>
      <c r="K11636" s="18" t="s">
        <v>31887</v>
      </c>
      <c r="N11636" s="17" t="s">
        <v>74</v>
      </c>
      <c r="O11636" t="s">
        <v>117</v>
      </c>
      <c r="V11636" s="18" t="s">
        <v>31887</v>
      </c>
      <c r="Y11636" t="s">
        <v>90</v>
      </c>
      <c r="AA11636" t="s">
        <v>118</v>
      </c>
      <c r="AB11636" t="s">
        <v>119</v>
      </c>
    </row>
    <row r="11637" ht="15" customHeight="1" spans="1:28" x14ac:dyDescent="0.25">
      <c r="A11637" s="17" t="s">
        <v>31888</v>
      </c>
      <c r="B11637" s="17" t="s">
        <v>70</v>
      </c>
      <c r="C11637" s="17" t="s">
        <v>71</v>
      </c>
      <c r="D11637" t="s">
        <v>31886</v>
      </c>
      <c r="F11637" t="s">
        <v>31889</v>
      </c>
      <c r="J11637" s="17" t="s">
        <v>31890</v>
      </c>
      <c r="K11637" s="18" t="s">
        <v>31891</v>
      </c>
      <c r="N11637" s="17" t="s">
        <v>77</v>
      </c>
      <c r="O11637" t="s">
        <v>199</v>
      </c>
      <c r="V11637" s="18" t="s">
        <v>31891</v>
      </c>
      <c r="Y11637" t="s">
        <v>90</v>
      </c>
      <c r="AA11637" t="s">
        <v>118</v>
      </c>
      <c r="AB11637" t="s">
        <v>119</v>
      </c>
    </row>
    <row r="11638" ht="15" customHeight="1" spans="1:22" x14ac:dyDescent="0.25">
      <c r="A11638" s="17" t="s">
        <v>31892</v>
      </c>
      <c r="B11638" s="17" t="s">
        <v>70</v>
      </c>
      <c r="C11638" s="17" t="s">
        <v>71</v>
      </c>
      <c r="D11638" t="s">
        <v>31893</v>
      </c>
      <c r="F11638" t="s">
        <v>31893</v>
      </c>
      <c r="K11638" s="18">
        <f>62816819288</f>
        <v>62816819288</v>
      </c>
      <c r="N11638" s="17" t="s">
        <v>74</v>
      </c>
      <c r="V11638" s="18">
        <f>62816819288</f>
        <v>62816819288</v>
      </c>
    </row>
    <row r="11639" ht="15" customHeight="1" spans="1:22" x14ac:dyDescent="0.25">
      <c r="A11639" s="17" t="s">
        <v>31894</v>
      </c>
      <c r="B11639" s="17" t="s">
        <v>70</v>
      </c>
      <c r="C11639" s="17" t="s">
        <v>71</v>
      </c>
      <c r="D11639" t="s">
        <v>31893</v>
      </c>
      <c r="F11639" t="s">
        <v>31895</v>
      </c>
      <c r="K11639" s="18">
        <f>62818888089</f>
        <v>62818888089</v>
      </c>
      <c r="N11639" s="17" t="s">
        <v>81</v>
      </c>
      <c r="V11639" s="18">
        <f>62818888089</f>
        <v>62818888089</v>
      </c>
    </row>
    <row r="11640" ht="15" customHeight="1" spans="1:22" x14ac:dyDescent="0.25">
      <c r="A11640" s="17" t="s">
        <v>31896</v>
      </c>
      <c r="B11640" s="17" t="s">
        <v>70</v>
      </c>
      <c r="C11640" s="17" t="s">
        <v>71</v>
      </c>
      <c r="D11640" t="s">
        <v>20248</v>
      </c>
      <c r="F11640" t="s">
        <v>31897</v>
      </c>
      <c r="K11640" s="18">
        <f>6285715225363</f>
        <v>6285715225363</v>
      </c>
      <c r="N11640" s="17" t="s">
        <v>81</v>
      </c>
      <c r="V11640" s="18">
        <f>6285715225363</f>
        <v>6285715225363</v>
      </c>
    </row>
    <row r="11641" ht="15" customHeight="1" spans="1:25" x14ac:dyDescent="0.25">
      <c r="A11641" s="17" t="s">
        <v>31898</v>
      </c>
      <c r="B11641" s="17" t="s">
        <v>70</v>
      </c>
      <c r="C11641" s="17" t="s">
        <v>71</v>
      </c>
      <c r="D11641" t="s">
        <v>20248</v>
      </c>
      <c r="F11641" t="s">
        <v>31899</v>
      </c>
      <c r="K11641" s="18">
        <f>628117002085</f>
        <v>628117002085</v>
      </c>
      <c r="N11641" s="17" t="s">
        <v>77</v>
      </c>
      <c r="U11641" s="17"/>
      <c r="V11641" s="18">
        <f>628117002085</f>
        <v>628117002085</v>
      </c>
      <c r="W11641" t="s">
        <v>31900</v>
      </c>
      <c r="Y11641" s="17" t="s">
        <v>96</v>
      </c>
    </row>
    <row r="11642" ht="15" customHeight="1" spans="1:22" x14ac:dyDescent="0.25">
      <c r="A11642" s="17" t="s">
        <v>31901</v>
      </c>
      <c r="B11642" s="17" t="s">
        <v>70</v>
      </c>
      <c r="C11642" s="17" t="s">
        <v>71</v>
      </c>
      <c r="D11642" t="s">
        <v>20248</v>
      </c>
      <c r="F11642" t="s">
        <v>31902</v>
      </c>
      <c r="K11642" s="18">
        <f>6282164220889</f>
        <v>6282164220889</v>
      </c>
      <c r="N11642" s="17" t="s">
        <v>77</v>
      </c>
      <c r="V11642" s="18">
        <f>6282164220889</f>
        <v>6282164220889</v>
      </c>
    </row>
    <row r="11643" ht="15" customHeight="1" spans="1:22" x14ac:dyDescent="0.25">
      <c r="A11643" s="17" t="s">
        <v>31903</v>
      </c>
      <c r="B11643" s="17" t="s">
        <v>70</v>
      </c>
      <c r="C11643" s="17" t="s">
        <v>71</v>
      </c>
      <c r="D11643" t="s">
        <v>31904</v>
      </c>
      <c r="F11643" t="s">
        <v>31904</v>
      </c>
      <c r="K11643" s="18">
        <f>62817789777</f>
        <v>62817789777</v>
      </c>
      <c r="N11643" s="17" t="s">
        <v>81</v>
      </c>
      <c r="V11643" s="18">
        <f>62817789777</f>
        <v>62817789777</v>
      </c>
    </row>
    <row r="11644" ht="15" customHeight="1" spans="1:22" x14ac:dyDescent="0.25">
      <c r="A11644" s="17" t="s">
        <v>31905</v>
      </c>
      <c r="B11644" s="17" t="s">
        <v>70</v>
      </c>
      <c r="C11644" s="17" t="s">
        <v>71</v>
      </c>
      <c r="D11644" t="s">
        <v>31906</v>
      </c>
      <c r="F11644" t="s">
        <v>31907</v>
      </c>
      <c r="K11644" s="18">
        <f>6281510354422</f>
        <v>6281510354422</v>
      </c>
      <c r="N11644" s="17" t="s">
        <v>74</v>
      </c>
      <c r="V11644" s="18">
        <f>6281510354422</f>
        <v>6281510354422</v>
      </c>
    </row>
    <row r="11645" ht="15" customHeight="1" spans="1:22" x14ac:dyDescent="0.25">
      <c r="A11645" s="17" t="s">
        <v>31908</v>
      </c>
      <c r="B11645" s="17" t="s">
        <v>70</v>
      </c>
      <c r="C11645" s="17" t="s">
        <v>71</v>
      </c>
      <c r="D11645" t="s">
        <v>31909</v>
      </c>
      <c r="F11645" t="s">
        <v>31910</v>
      </c>
      <c r="K11645" s="18">
        <f>628121059930</f>
        <v>628121059930</v>
      </c>
      <c r="N11645" s="17" t="s">
        <v>81</v>
      </c>
      <c r="V11645" s="18">
        <f>628121059930</f>
        <v>628121059930</v>
      </c>
    </row>
    <row r="11646" ht="15" customHeight="1" spans="1:22" x14ac:dyDescent="0.25">
      <c r="A11646" s="17" t="s">
        <v>31911</v>
      </c>
      <c r="B11646" s="17" t="s">
        <v>70</v>
      </c>
      <c r="C11646" s="17" t="s">
        <v>71</v>
      </c>
      <c r="D11646" t="s">
        <v>31909</v>
      </c>
      <c r="F11646" t="s">
        <v>31912</v>
      </c>
      <c r="K11646" s="18">
        <f>62811059430</f>
        <v>62811059430</v>
      </c>
      <c r="N11646" s="17" t="s">
        <v>81</v>
      </c>
      <c r="V11646" s="18">
        <f>62811059430</f>
        <v>62811059430</v>
      </c>
    </row>
    <row r="11647" ht="15" customHeight="1" spans="1:22" x14ac:dyDescent="0.25">
      <c r="A11647" s="17" t="s">
        <v>31913</v>
      </c>
      <c r="B11647" s="17" t="s">
        <v>70</v>
      </c>
      <c r="C11647" s="17" t="s">
        <v>71</v>
      </c>
      <c r="D11647" t="s">
        <v>31914</v>
      </c>
      <c r="F11647" t="s">
        <v>2178</v>
      </c>
      <c r="K11647" s="18">
        <f>62816984780</f>
        <v>62816984780</v>
      </c>
      <c r="N11647" s="17" t="s">
        <v>81</v>
      </c>
      <c r="V11647" s="18">
        <f>62816984780</f>
        <v>62816984780</v>
      </c>
    </row>
    <row r="11648" ht="15" customHeight="1" spans="1:22" x14ac:dyDescent="0.25">
      <c r="A11648" s="17" t="s">
        <v>31915</v>
      </c>
      <c r="B11648" s="17" t="s">
        <v>70</v>
      </c>
      <c r="C11648" s="17" t="s">
        <v>71</v>
      </c>
      <c r="D11648" t="s">
        <v>15111</v>
      </c>
      <c r="F11648" t="s">
        <v>3252</v>
      </c>
      <c r="K11648" s="18">
        <f>6281574842111</f>
        <v>6281574842111</v>
      </c>
      <c r="N11648" s="17" t="s">
        <v>81</v>
      </c>
      <c r="V11648" s="18">
        <f>6281574842111</f>
        <v>6281574842111</v>
      </c>
    </row>
    <row r="11649" ht="15" customHeight="1" spans="1:22" x14ac:dyDescent="0.25">
      <c r="A11649" s="17" t="s">
        <v>31916</v>
      </c>
      <c r="B11649" s="17" t="s">
        <v>70</v>
      </c>
      <c r="C11649" s="17" t="s">
        <v>71</v>
      </c>
      <c r="D11649" t="s">
        <v>31917</v>
      </c>
      <c r="F11649" t="s">
        <v>31917</v>
      </c>
      <c r="K11649" s="18">
        <f>6282221100123</f>
        <v>6282221100123</v>
      </c>
      <c r="N11649" s="17" t="s">
        <v>81</v>
      </c>
      <c r="V11649" s="18">
        <f>6282221100123</f>
        <v>6282221100123</v>
      </c>
    </row>
    <row r="11650" ht="15" customHeight="1" spans="1:27" x14ac:dyDescent="0.25">
      <c r="A11650" s="17" t="s">
        <v>31918</v>
      </c>
      <c r="B11650" s="17" t="s">
        <v>70</v>
      </c>
      <c r="C11650" s="17" t="s">
        <v>71</v>
      </c>
      <c r="D11650" t="s">
        <v>31917</v>
      </c>
      <c r="F11650" t="s">
        <v>31919</v>
      </c>
      <c r="K11650" s="18">
        <f>628116695789</f>
        <v>628116695789</v>
      </c>
      <c r="N11650" s="17" t="s">
        <v>81</v>
      </c>
      <c r="U11650" s="17"/>
      <c r="V11650" s="18">
        <f>628116695789</f>
        <v>628116695789</v>
      </c>
      <c r="W11650" t="s">
        <v>31920</v>
      </c>
      <c r="AA11650" s="17">
        <v>11610</v>
      </c>
    </row>
    <row r="11651" ht="15" customHeight="1" spans="1:22" x14ac:dyDescent="0.25">
      <c r="A11651" s="17" t="s">
        <v>31921</v>
      </c>
      <c r="B11651" s="17" t="s">
        <v>70</v>
      </c>
      <c r="C11651" s="17" t="s">
        <v>71</v>
      </c>
      <c r="D11651" t="s">
        <v>31917</v>
      </c>
      <c r="F11651" t="s">
        <v>31922</v>
      </c>
      <c r="K11651" s="18">
        <f>628113985757</f>
        <v>628113985757</v>
      </c>
      <c r="N11651" s="17" t="s">
        <v>77</v>
      </c>
      <c r="V11651" s="18">
        <f>628113985757</f>
        <v>628113985757</v>
      </c>
    </row>
    <row r="11652" ht="15" customHeight="1" spans="1:28" x14ac:dyDescent="0.25">
      <c r="A11652" s="17" t="s">
        <v>31923</v>
      </c>
      <c r="B11652" s="17" t="s">
        <v>70</v>
      </c>
      <c r="C11652" s="17" t="s">
        <v>71</v>
      </c>
      <c r="D11652" t="s">
        <v>31917</v>
      </c>
      <c r="F11652" t="s">
        <v>139</v>
      </c>
      <c r="J11652" t="s">
        <v>115</v>
      </c>
      <c r="K11652" s="18" t="s">
        <v>31924</v>
      </c>
      <c r="N11652" s="17" t="s">
        <v>77</v>
      </c>
      <c r="O11652" t="s">
        <v>489</v>
      </c>
      <c r="V11652" s="18" t="s">
        <v>31924</v>
      </c>
      <c r="Y11652" t="s">
        <v>90</v>
      </c>
      <c r="AA11652" t="s">
        <v>118</v>
      </c>
      <c r="AB11652" t="s">
        <v>119</v>
      </c>
    </row>
    <row r="11653" ht="15" customHeight="1" spans="1:22" x14ac:dyDescent="0.25">
      <c r="A11653" s="17" t="s">
        <v>31925</v>
      </c>
      <c r="B11653" s="17" t="s">
        <v>70</v>
      </c>
      <c r="C11653" s="17" t="s">
        <v>71</v>
      </c>
      <c r="D11653" t="s">
        <v>31917</v>
      </c>
      <c r="F11653" t="s">
        <v>31926</v>
      </c>
      <c r="K11653" s="18">
        <f>628180243987</f>
        <v>628180243987</v>
      </c>
      <c r="N11653" s="17" t="s">
        <v>81</v>
      </c>
      <c r="V11653" s="18">
        <f>628180243987</f>
        <v>628180243987</v>
      </c>
    </row>
    <row r="11654" ht="15" customHeight="1" spans="1:22" x14ac:dyDescent="0.25">
      <c r="A11654" s="17" t="s">
        <v>31927</v>
      </c>
      <c r="B11654" s="17" t="s">
        <v>70</v>
      </c>
      <c r="C11654" s="17" t="s">
        <v>71</v>
      </c>
      <c r="D11654" t="s">
        <v>31917</v>
      </c>
      <c r="F11654" t="s">
        <v>31926</v>
      </c>
      <c r="K11654" s="18">
        <f>6281280243987</f>
        <v>6281280243987</v>
      </c>
      <c r="N11654" s="17" t="s">
        <v>77</v>
      </c>
      <c r="V11654" s="18">
        <f>6281280243987</f>
        <v>6281280243987</v>
      </c>
    </row>
    <row r="11655" ht="15" customHeight="1" spans="1:28" x14ac:dyDescent="0.25">
      <c r="A11655" s="17" t="s">
        <v>31928</v>
      </c>
      <c r="B11655" s="17" t="s">
        <v>70</v>
      </c>
      <c r="C11655" s="17" t="s">
        <v>71</v>
      </c>
      <c r="D11655" t="s">
        <v>31917</v>
      </c>
      <c r="F11655" t="s">
        <v>12297</v>
      </c>
      <c r="J11655" s="17" t="s">
        <v>31929</v>
      </c>
      <c r="K11655" s="18" t="s">
        <v>31930</v>
      </c>
      <c r="N11655" s="17" t="s">
        <v>74</v>
      </c>
      <c r="O11655" t="s">
        <v>145</v>
      </c>
      <c r="U11655" s="17"/>
      <c r="V11655" s="18" t="s">
        <v>31930</v>
      </c>
      <c r="W11655" t="s">
        <v>31931</v>
      </c>
      <c r="Y11655" s="17" t="s">
        <v>96</v>
      </c>
      <c r="AA11655" s="17" t="s">
        <v>693</v>
      </c>
      <c r="AB11655" t="s">
        <v>119</v>
      </c>
    </row>
    <row r="11656" ht="15" customHeight="1" spans="1:25" x14ac:dyDescent="0.25">
      <c r="A11656" s="17" t="s">
        <v>31932</v>
      </c>
      <c r="B11656" s="17" t="s">
        <v>70</v>
      </c>
      <c r="C11656" s="17" t="s">
        <v>71</v>
      </c>
      <c r="D11656" t="s">
        <v>31917</v>
      </c>
      <c r="F11656" t="s">
        <v>31933</v>
      </c>
      <c r="K11656" s="18">
        <f>62811278125</f>
        <v>62811278125</v>
      </c>
      <c r="N11656" s="17" t="s">
        <v>77</v>
      </c>
      <c r="U11656" s="17"/>
      <c r="V11656" s="18">
        <f>62811278125</f>
        <v>62811278125</v>
      </c>
      <c r="W11656" t="s">
        <v>31934</v>
      </c>
      <c r="Y11656" s="17" t="s">
        <v>90</v>
      </c>
    </row>
    <row r="11657" ht="15" customHeight="1" spans="1:28" x14ac:dyDescent="0.25">
      <c r="A11657" s="17" t="s">
        <v>31935</v>
      </c>
      <c r="B11657" s="17" t="s">
        <v>70</v>
      </c>
      <c r="C11657" s="17" t="s">
        <v>71</v>
      </c>
      <c r="D11657" t="s">
        <v>31936</v>
      </c>
      <c r="F11657" t="s">
        <v>31937</v>
      </c>
      <c r="J11657" t="s">
        <v>115</v>
      </c>
      <c r="K11657" s="18" t="s">
        <v>31938</v>
      </c>
      <c r="N11657" s="17" t="s">
        <v>81</v>
      </c>
      <c r="O11657" t="s">
        <v>145</v>
      </c>
      <c r="U11657" s="17"/>
      <c r="V11657" s="18" t="s">
        <v>31938</v>
      </c>
      <c r="W11657" t="s">
        <v>31939</v>
      </c>
      <c r="Y11657" s="17" t="s">
        <v>190</v>
      </c>
      <c r="AA11657" t="s">
        <v>118</v>
      </c>
      <c r="AB11657" t="s">
        <v>119</v>
      </c>
    </row>
    <row r="11658" ht="15" customHeight="1" spans="1:22" x14ac:dyDescent="0.25">
      <c r="A11658" s="17" t="s">
        <v>31940</v>
      </c>
      <c r="B11658" s="17" t="s">
        <v>70</v>
      </c>
      <c r="C11658" s="17" t="s">
        <v>71</v>
      </c>
      <c r="D11658" t="s">
        <v>31917</v>
      </c>
      <c r="F11658" t="s">
        <v>1169</v>
      </c>
      <c r="K11658" s="18">
        <f>628159013000</f>
        <v>628159013000</v>
      </c>
      <c r="N11658" s="17" t="s">
        <v>74</v>
      </c>
      <c r="V11658" s="18">
        <f>628159013000</f>
        <v>628159013000</v>
      </c>
    </row>
    <row r="11659" ht="15" customHeight="1" spans="1:23" x14ac:dyDescent="0.25">
      <c r="A11659" s="17" t="s">
        <v>31941</v>
      </c>
      <c r="B11659" s="17" t="s">
        <v>70</v>
      </c>
      <c r="C11659" s="17" t="s">
        <v>71</v>
      </c>
      <c r="D11659" t="s">
        <v>31942</v>
      </c>
      <c r="F11659" t="s">
        <v>4298</v>
      </c>
      <c r="J11659" s="17" t="s">
        <v>31943</v>
      </c>
      <c r="K11659" s="18">
        <f>628121077700</f>
        <v>628121077700</v>
      </c>
      <c r="N11659" s="17" t="s">
        <v>77</v>
      </c>
      <c r="U11659" s="17"/>
      <c r="V11659" s="18">
        <f>628121077700</f>
        <v>628121077700</v>
      </c>
      <c r="W11659" t="s">
        <v>31944</v>
      </c>
    </row>
    <row r="11660" ht="15" customHeight="1" spans="1:22" x14ac:dyDescent="0.25">
      <c r="A11660" s="17" t="s">
        <v>31945</v>
      </c>
      <c r="B11660" s="17" t="s">
        <v>70</v>
      </c>
      <c r="C11660" s="17" t="s">
        <v>71</v>
      </c>
      <c r="D11660" t="s">
        <v>24503</v>
      </c>
      <c r="F11660" t="s">
        <v>24503</v>
      </c>
      <c r="K11660" s="18">
        <f>6281363245712</f>
        <v>6281363245712</v>
      </c>
      <c r="N11660" s="17" t="s">
        <v>81</v>
      </c>
      <c r="V11660" s="18">
        <f>6281363245712</f>
        <v>6281363245712</v>
      </c>
    </row>
    <row r="11661" ht="15" customHeight="1" spans="1:22" x14ac:dyDescent="0.25">
      <c r="A11661" s="17" t="s">
        <v>31946</v>
      </c>
      <c r="B11661" s="17" t="s">
        <v>70</v>
      </c>
      <c r="C11661" s="17" t="s">
        <v>71</v>
      </c>
      <c r="D11661" t="s">
        <v>24503</v>
      </c>
      <c r="F11661" t="s">
        <v>983</v>
      </c>
      <c r="K11661" s="18">
        <f>6287878004343</f>
        <v>6287878004343</v>
      </c>
      <c r="N11661" s="17" t="s">
        <v>81</v>
      </c>
      <c r="V11661" s="18">
        <f>6287878004343</f>
        <v>6287878004343</v>
      </c>
    </row>
    <row r="11662" ht="15" customHeight="1" spans="1:22" x14ac:dyDescent="0.25">
      <c r="A11662" s="17" t="s">
        <v>31947</v>
      </c>
      <c r="B11662" s="17" t="s">
        <v>70</v>
      </c>
      <c r="C11662" s="17" t="s">
        <v>71</v>
      </c>
      <c r="D11662" t="s">
        <v>31948</v>
      </c>
      <c r="F11662" t="s">
        <v>31948</v>
      </c>
      <c r="K11662" s="18">
        <f>62811895456</f>
        <v>62811895456</v>
      </c>
      <c r="N11662" s="17" t="s">
        <v>81</v>
      </c>
      <c r="V11662" s="18">
        <f>62811895456</f>
        <v>62811895456</v>
      </c>
    </row>
    <row r="11663" ht="15" customHeight="1" spans="1:28" x14ac:dyDescent="0.25">
      <c r="A11663" s="17" t="s">
        <v>31949</v>
      </c>
      <c r="B11663" s="17" t="s">
        <v>70</v>
      </c>
      <c r="C11663" s="17" t="s">
        <v>71</v>
      </c>
      <c r="D11663" t="s">
        <v>17988</v>
      </c>
      <c r="F11663" t="s">
        <v>31950</v>
      </c>
      <c r="J11663" t="s">
        <v>115</v>
      </c>
      <c r="K11663" s="18" t="s">
        <v>31951</v>
      </c>
      <c r="N11663" s="17" t="s">
        <v>81</v>
      </c>
      <c r="O11663" t="s">
        <v>117</v>
      </c>
      <c r="V11663" s="18" t="s">
        <v>31951</v>
      </c>
      <c r="Y11663" t="s">
        <v>90</v>
      </c>
      <c r="AA11663" t="s">
        <v>118</v>
      </c>
      <c r="AB11663" t="s">
        <v>119</v>
      </c>
    </row>
    <row r="11664" ht="15" customHeight="1" spans="1:22" x14ac:dyDescent="0.25">
      <c r="A11664" s="17" t="s">
        <v>31952</v>
      </c>
      <c r="B11664" s="17" t="s">
        <v>70</v>
      </c>
      <c r="C11664" s="17" t="s">
        <v>71</v>
      </c>
      <c r="D11664" t="s">
        <v>31948</v>
      </c>
      <c r="F11664" t="s">
        <v>31948</v>
      </c>
      <c r="K11664" s="18">
        <f>628161650456</f>
        <v>628161650456</v>
      </c>
      <c r="N11664" s="17" t="s">
        <v>81</v>
      </c>
      <c r="V11664" s="18">
        <f>628161650456</f>
        <v>628161650456</v>
      </c>
    </row>
    <row r="11665" ht="15" customHeight="1" spans="1:23" x14ac:dyDescent="0.25">
      <c r="A11665" s="17" t="s">
        <v>31953</v>
      </c>
      <c r="B11665" s="17" t="s">
        <v>70</v>
      </c>
      <c r="C11665" s="17" t="s">
        <v>71</v>
      </c>
      <c r="D11665" t="s">
        <v>31954</v>
      </c>
      <c r="F11665" t="s">
        <v>31065</v>
      </c>
      <c r="K11665" s="18">
        <f>79122953000</f>
        <v>79122953000</v>
      </c>
      <c r="N11665" s="17" t="s">
        <v>77</v>
      </c>
      <c r="U11665" s="17"/>
      <c r="V11665" s="18">
        <f>79122953000</f>
        <v>79122953000</v>
      </c>
      <c r="W11665" t="s">
        <v>1908</v>
      </c>
    </row>
    <row r="11666" ht="15" customHeight="1" spans="1:23" x14ac:dyDescent="0.25">
      <c r="A11666" s="17" t="s">
        <v>31955</v>
      </c>
      <c r="B11666" s="17" t="s">
        <v>70</v>
      </c>
      <c r="C11666" s="17" t="s">
        <v>71</v>
      </c>
      <c r="D11666" t="s">
        <v>31956</v>
      </c>
      <c r="F11666" t="s">
        <v>31957</v>
      </c>
      <c r="K11666" s="18">
        <f>491719910251</f>
        <v>491719910251</v>
      </c>
      <c r="N11666" s="17" t="s">
        <v>77</v>
      </c>
      <c r="U11666" s="17"/>
      <c r="V11666" s="18">
        <f>491719910251</f>
        <v>491719910251</v>
      </c>
      <c r="W11666" t="s">
        <v>31958</v>
      </c>
    </row>
    <row r="11667" ht="15" customHeight="1" spans="1:22" x14ac:dyDescent="0.25">
      <c r="A11667" s="17" t="s">
        <v>31959</v>
      </c>
      <c r="B11667" s="17" t="s">
        <v>70</v>
      </c>
      <c r="C11667" s="17" t="s">
        <v>71</v>
      </c>
      <c r="D11667" t="s">
        <v>31960</v>
      </c>
      <c r="F11667" t="s">
        <v>31960</v>
      </c>
      <c r="K11667" s="18">
        <f>628129333502</f>
        <v>628129333502</v>
      </c>
      <c r="N11667" s="17" t="s">
        <v>77</v>
      </c>
      <c r="V11667" s="18">
        <f>628129333502</f>
        <v>628129333502</v>
      </c>
    </row>
    <row r="11668" ht="15" customHeight="1" spans="1:22" x14ac:dyDescent="0.25">
      <c r="A11668" s="17" t="s">
        <v>31961</v>
      </c>
      <c r="B11668" s="17" t="s">
        <v>70</v>
      </c>
      <c r="C11668" s="17" t="s">
        <v>71</v>
      </c>
      <c r="D11668" t="s">
        <v>31960</v>
      </c>
      <c r="F11668" t="s">
        <v>737</v>
      </c>
      <c r="K11668" s="18">
        <f>6281681257</f>
        <v>6281681257</v>
      </c>
      <c r="N11668" s="17" t="s">
        <v>77</v>
      </c>
      <c r="V11668" s="18">
        <f>6281681257</f>
        <v>6281681257</v>
      </c>
    </row>
    <row r="11669" ht="15" customHeight="1" spans="1:22" x14ac:dyDescent="0.25">
      <c r="A11669" s="17" t="s">
        <v>31962</v>
      </c>
      <c r="B11669" s="17" t="s">
        <v>70</v>
      </c>
      <c r="C11669" s="17" t="s">
        <v>71</v>
      </c>
      <c r="D11669" t="s">
        <v>31960</v>
      </c>
      <c r="F11669" t="s">
        <v>6205</v>
      </c>
      <c r="K11669" s="18">
        <f>628155550000</f>
        <v>628155550000</v>
      </c>
      <c r="N11669" s="17" t="s">
        <v>77</v>
      </c>
      <c r="V11669" s="18">
        <f>628155550000</f>
        <v>628155550000</v>
      </c>
    </row>
    <row r="11670" ht="15" customHeight="1" spans="1:22" x14ac:dyDescent="0.25">
      <c r="A11670" s="17" t="s">
        <v>31963</v>
      </c>
      <c r="B11670" s="17" t="s">
        <v>70</v>
      </c>
      <c r="C11670" s="17" t="s">
        <v>71</v>
      </c>
      <c r="D11670" t="s">
        <v>31964</v>
      </c>
      <c r="F11670" t="s">
        <v>31964</v>
      </c>
      <c r="K11670" s="18">
        <f>62811835346</f>
        <v>62811835346</v>
      </c>
      <c r="N11670" s="17" t="s">
        <v>81</v>
      </c>
      <c r="V11670" s="18">
        <f>62811835346</f>
        <v>62811835346</v>
      </c>
    </row>
    <row r="11671" ht="15" customHeight="1" spans="1:22" x14ac:dyDescent="0.25">
      <c r="A11671" s="17" t="s">
        <v>31965</v>
      </c>
      <c r="B11671" s="17" t="s">
        <v>70</v>
      </c>
      <c r="C11671" s="17" t="s">
        <v>71</v>
      </c>
      <c r="D11671" t="s">
        <v>31966</v>
      </c>
      <c r="F11671" t="s">
        <v>31967</v>
      </c>
      <c r="K11671" s="18">
        <f>62811712680</f>
        <v>62811712680</v>
      </c>
      <c r="N11671" s="17" t="s">
        <v>77</v>
      </c>
      <c r="V11671" s="18">
        <f>62811712680</f>
        <v>62811712680</v>
      </c>
    </row>
    <row r="11672" ht="15" customHeight="1" spans="1:28" x14ac:dyDescent="0.25">
      <c r="A11672" s="17" t="s">
        <v>31968</v>
      </c>
      <c r="B11672" s="17" t="s">
        <v>70</v>
      </c>
      <c r="C11672" s="17" t="s">
        <v>71</v>
      </c>
      <c r="D11672" t="s">
        <v>31969</v>
      </c>
      <c r="F11672" t="s">
        <v>19113</v>
      </c>
      <c r="J11672" s="17" t="s">
        <v>31970</v>
      </c>
      <c r="K11672" s="18" t="s">
        <v>31971</v>
      </c>
      <c r="N11672" s="17" t="s">
        <v>77</v>
      </c>
      <c r="O11672" t="s">
        <v>145</v>
      </c>
      <c r="U11672" s="17"/>
      <c r="V11672" s="18" t="s">
        <v>31971</v>
      </c>
      <c r="W11672" t="s">
        <v>1908</v>
      </c>
      <c r="Y11672" t="s">
        <v>1909</v>
      </c>
      <c r="AA11672" t="s">
        <v>115</v>
      </c>
      <c r="AB11672" t="s">
        <v>1909</v>
      </c>
    </row>
    <row r="11673" ht="15" customHeight="1" spans="1:28" x14ac:dyDescent="0.25">
      <c r="A11673" s="17" t="s">
        <v>31972</v>
      </c>
      <c r="B11673" s="17" t="s">
        <v>70</v>
      </c>
      <c r="C11673" s="17" t="s">
        <v>71</v>
      </c>
      <c r="D11673" t="s">
        <v>31973</v>
      </c>
      <c r="F11673" t="s">
        <v>19705</v>
      </c>
      <c r="J11673" s="17" t="s">
        <v>31974</v>
      </c>
      <c r="K11673" s="18" t="s">
        <v>31975</v>
      </c>
      <c r="N11673" s="17" t="s">
        <v>77</v>
      </c>
      <c r="O11673" t="s">
        <v>199</v>
      </c>
      <c r="U11673" s="17"/>
      <c r="V11673" s="18" t="s">
        <v>31975</v>
      </c>
      <c r="W11673" t="s">
        <v>31976</v>
      </c>
      <c r="Y11673" s="17" t="s">
        <v>378</v>
      </c>
      <c r="AA11673" t="s">
        <v>118</v>
      </c>
      <c r="AB11673" t="s">
        <v>119</v>
      </c>
    </row>
    <row r="11674" ht="15" customHeight="1" spans="1:22" x14ac:dyDescent="0.25">
      <c r="A11674" s="17" t="s">
        <v>31977</v>
      </c>
      <c r="B11674" s="17" t="s">
        <v>30184</v>
      </c>
      <c r="C11674" s="17" t="s">
        <v>71</v>
      </c>
      <c r="D11674" t="s">
        <v>31978</v>
      </c>
      <c r="F11674" t="s">
        <v>31979</v>
      </c>
      <c r="K11674" s="18">
        <v>18022025</v>
      </c>
      <c r="N11674" s="17" t="s">
        <v>77</v>
      </c>
      <c r="V11674" s="18">
        <v>18022025</v>
      </c>
    </row>
    <row r="11675" ht="15" customHeight="1" spans="1:27" x14ac:dyDescent="0.25">
      <c r="A11675" s="17" t="s">
        <v>31980</v>
      </c>
      <c r="B11675" s="17" t="s">
        <v>30184</v>
      </c>
      <c r="C11675" s="17" t="s">
        <v>71</v>
      </c>
      <c r="D11675" t="s">
        <v>31978</v>
      </c>
      <c r="F11675" t="s">
        <v>14126</v>
      </c>
      <c r="K11675" s="18">
        <f>62811179141</f>
        <v>62811179141</v>
      </c>
      <c r="N11675" s="17" t="s">
        <v>77</v>
      </c>
      <c r="U11675" s="17"/>
      <c r="V11675" s="18">
        <f>62811179141</f>
        <v>62811179141</v>
      </c>
      <c r="W11675" t="s">
        <v>31981</v>
      </c>
      <c r="Y11675" s="17" t="s">
        <v>96</v>
      </c>
      <c r="AA11675" s="17">
        <v>12980</v>
      </c>
    </row>
    <row r="11676" ht="15" customHeight="1" spans="1:22" x14ac:dyDescent="0.25">
      <c r="A11676" s="17" t="s">
        <v>31982</v>
      </c>
      <c r="B11676" s="17" t="s">
        <v>30184</v>
      </c>
      <c r="C11676" s="17" t="s">
        <v>71</v>
      </c>
      <c r="D11676" t="s">
        <v>31978</v>
      </c>
      <c r="F11676" t="s">
        <v>31983</v>
      </c>
      <c r="K11676" s="18">
        <f>6281212207991</f>
        <v>6281212207991</v>
      </c>
      <c r="N11676" s="17" t="s">
        <v>81</v>
      </c>
      <c r="V11676" s="18">
        <f>6281212207991</f>
        <v>6281212207991</v>
      </c>
    </row>
    <row r="11677" ht="15" customHeight="1" spans="1:25" x14ac:dyDescent="0.25">
      <c r="A11677" s="17" t="s">
        <v>31984</v>
      </c>
      <c r="B11677" s="17" t="s">
        <v>30184</v>
      </c>
      <c r="C11677" s="17" t="s">
        <v>71</v>
      </c>
      <c r="D11677" t="s">
        <v>31985</v>
      </c>
      <c r="F11677" t="s">
        <v>31986</v>
      </c>
      <c r="K11677" s="18">
        <f>62215208000</f>
        <v>62215208000</v>
      </c>
      <c r="N11677" s="17" t="s">
        <v>77</v>
      </c>
      <c r="U11677" s="17"/>
      <c r="V11677" s="18">
        <f>62215208000</f>
        <v>62215208000</v>
      </c>
      <c r="W11677" t="s">
        <v>31987</v>
      </c>
      <c r="Y11677" s="17" t="s">
        <v>90</v>
      </c>
    </row>
    <row r="11678" ht="15" customHeight="1" spans="1:27" x14ac:dyDescent="0.25">
      <c r="A11678" s="17" t="s">
        <v>31988</v>
      </c>
      <c r="B11678" s="17" t="s">
        <v>30184</v>
      </c>
      <c r="C11678" s="17" t="s">
        <v>71</v>
      </c>
      <c r="D11678" t="s">
        <v>31985</v>
      </c>
      <c r="F11678" t="s">
        <v>31989</v>
      </c>
      <c r="K11678" s="18">
        <f>628126063733</f>
        <v>628126063733</v>
      </c>
      <c r="N11678" s="17" t="s">
        <v>77</v>
      </c>
      <c r="U11678" s="17"/>
      <c r="V11678" s="18">
        <f>628126063733</f>
        <v>628126063733</v>
      </c>
      <c r="W11678" t="s">
        <v>31990</v>
      </c>
      <c r="Y11678" s="17" t="s">
        <v>18450</v>
      </c>
      <c r="AA11678" s="17">
        <v>20111</v>
      </c>
    </row>
    <row r="11679" ht="15" customHeight="1" spans="1:22" x14ac:dyDescent="0.25">
      <c r="A11679" s="17" t="s">
        <v>31991</v>
      </c>
      <c r="B11679" s="17" t="s">
        <v>30184</v>
      </c>
      <c r="C11679" s="17" t="s">
        <v>71</v>
      </c>
      <c r="D11679" t="s">
        <v>31985</v>
      </c>
      <c r="F11679" t="s">
        <v>7068</v>
      </c>
      <c r="K11679" s="18">
        <f>628159105767</f>
        <v>628159105767</v>
      </c>
      <c r="N11679" s="17" t="s">
        <v>77</v>
      </c>
      <c r="V11679" s="18">
        <f>628159105767</f>
        <v>628159105767</v>
      </c>
    </row>
    <row r="11680" ht="15" customHeight="1" spans="1:22" x14ac:dyDescent="0.25">
      <c r="A11680" s="17" t="s">
        <v>31992</v>
      </c>
      <c r="B11680" s="17" t="s">
        <v>30184</v>
      </c>
      <c r="C11680" s="17" t="s">
        <v>71</v>
      </c>
      <c r="D11680" t="s">
        <v>31985</v>
      </c>
      <c r="F11680" t="s">
        <v>119</v>
      </c>
      <c r="K11680" s="18">
        <f>6281519114051</f>
        <v>6281519114051</v>
      </c>
      <c r="N11680" s="17" t="s">
        <v>77</v>
      </c>
      <c r="V11680" s="18">
        <f>6281519114051</f>
        <v>6281519114051</v>
      </c>
    </row>
    <row r="11681" ht="15" customHeight="1" spans="1:28" x14ac:dyDescent="0.25">
      <c r="A11681" s="17" t="s">
        <v>31993</v>
      </c>
      <c r="B11681" s="17" t="s">
        <v>30184</v>
      </c>
      <c r="C11681" s="17" t="s">
        <v>71</v>
      </c>
      <c r="D11681" t="s">
        <v>31994</v>
      </c>
      <c r="F11681" t="s">
        <v>31995</v>
      </c>
      <c r="J11681" t="s">
        <v>115</v>
      </c>
      <c r="K11681" s="18" t="s">
        <v>31996</v>
      </c>
      <c r="N11681" s="17" t="s">
        <v>77</v>
      </c>
      <c r="O11681" t="s">
        <v>117</v>
      </c>
      <c r="U11681" s="17"/>
      <c r="V11681" s="18" t="s">
        <v>31996</v>
      </c>
      <c r="W11681" t="s">
        <v>31997</v>
      </c>
      <c r="Y11681" t="s">
        <v>190</v>
      </c>
      <c r="AA11681" t="s">
        <v>118</v>
      </c>
      <c r="AB11681" t="s">
        <v>119</v>
      </c>
    </row>
    <row r="11682" ht="15" customHeight="1" spans="1:23" x14ac:dyDescent="0.25">
      <c r="A11682" s="17" t="s">
        <v>31998</v>
      </c>
      <c r="B11682" s="17" t="s">
        <v>30184</v>
      </c>
      <c r="C11682" s="17" t="s">
        <v>71</v>
      </c>
      <c r="D11682" t="s">
        <v>31985</v>
      </c>
      <c r="F11682" t="s">
        <v>31999</v>
      </c>
      <c r="K11682" s="18">
        <f>628118707877</f>
        <v>628118707877</v>
      </c>
      <c r="N11682" s="17" t="s">
        <v>77</v>
      </c>
      <c r="U11682" s="17"/>
      <c r="V11682" s="18">
        <f>628118707877</f>
        <v>628118707877</v>
      </c>
      <c r="W11682" t="s">
        <v>32000</v>
      </c>
    </row>
    <row r="11683" ht="15" customHeight="1" spans="1:22" x14ac:dyDescent="0.25">
      <c r="A11683" s="17" t="s">
        <v>32001</v>
      </c>
      <c r="B11683" s="17" t="s">
        <v>30184</v>
      </c>
      <c r="C11683" s="17" t="s">
        <v>71</v>
      </c>
      <c r="D11683" t="s">
        <v>32002</v>
      </c>
      <c r="F11683" t="s">
        <v>864</v>
      </c>
      <c r="K11683" s="18">
        <f>6281511642240</f>
        <v>6281511642240</v>
      </c>
      <c r="N11683" s="17" t="s">
        <v>81</v>
      </c>
      <c r="V11683" s="18">
        <f>6281511642240</f>
        <v>6281511642240</v>
      </c>
    </row>
    <row r="11684" ht="15" customHeight="1" spans="1:22" x14ac:dyDescent="0.25">
      <c r="A11684" s="17" t="s">
        <v>32003</v>
      </c>
      <c r="B11684" s="17" t="s">
        <v>30184</v>
      </c>
      <c r="C11684" s="17" t="s">
        <v>71</v>
      </c>
      <c r="D11684" t="s">
        <v>32004</v>
      </c>
      <c r="F11684" t="s">
        <v>32005</v>
      </c>
      <c r="K11684" s="18">
        <f>6281318354444</f>
        <v>6281318354444</v>
      </c>
      <c r="N11684" s="17" t="s">
        <v>81</v>
      </c>
      <c r="V11684" s="18">
        <f>6281318354444</f>
        <v>6281318354444</v>
      </c>
    </row>
    <row r="11685" ht="15" customHeight="1" spans="1:27" x14ac:dyDescent="0.25">
      <c r="A11685" s="17" t="s">
        <v>32006</v>
      </c>
      <c r="B11685" s="17" t="s">
        <v>30184</v>
      </c>
      <c r="C11685" s="17" t="s">
        <v>71</v>
      </c>
      <c r="D11685" t="s">
        <v>32007</v>
      </c>
      <c r="F11685" t="s">
        <v>31995</v>
      </c>
      <c r="J11685" s="17" t="s">
        <v>32008</v>
      </c>
      <c r="K11685" s="18">
        <f>62811225063</f>
        <v>62811225063</v>
      </c>
      <c r="N11685" s="17" t="s">
        <v>81</v>
      </c>
      <c r="U11685" s="17"/>
      <c r="V11685" s="18">
        <f>62811225063</f>
        <v>62811225063</v>
      </c>
      <c r="W11685" t="s">
        <v>32009</v>
      </c>
      <c r="Y11685" s="17" t="s">
        <v>11128</v>
      </c>
      <c r="AA11685" s="17">
        <v>40141</v>
      </c>
    </row>
    <row r="11686" ht="15" customHeight="1" spans="1:27" x14ac:dyDescent="0.25">
      <c r="A11686" s="17" t="s">
        <v>32010</v>
      </c>
      <c r="B11686" s="17" t="s">
        <v>70</v>
      </c>
      <c r="C11686" s="17" t="s">
        <v>71</v>
      </c>
      <c r="D11686" t="s">
        <v>32011</v>
      </c>
      <c r="F11686" t="s">
        <v>5324</v>
      </c>
      <c r="K11686" s="18">
        <f>62816845859</f>
        <v>62816845859</v>
      </c>
      <c r="N11686" s="17" t="s">
        <v>77</v>
      </c>
      <c r="U11686" s="17"/>
      <c r="V11686" s="18">
        <f>62816845859</f>
        <v>62816845859</v>
      </c>
      <c r="W11686" t="s">
        <v>32012</v>
      </c>
      <c r="Y11686" s="17" t="s">
        <v>90</v>
      </c>
      <c r="AA11686" s="17">
        <v>12560</v>
      </c>
    </row>
    <row r="11687" ht="15" customHeight="1" spans="1:23" x14ac:dyDescent="0.25">
      <c r="A11687" s="17" t="s">
        <v>32013</v>
      </c>
      <c r="B11687" s="17" t="s">
        <v>70</v>
      </c>
      <c r="C11687" s="17" t="s">
        <v>71</v>
      </c>
      <c r="D11687" t="s">
        <v>32014</v>
      </c>
      <c r="F11687" t="s">
        <v>32015</v>
      </c>
      <c r="K11687" s="18">
        <f>628118002258</f>
        <v>628118002258</v>
      </c>
      <c r="N11687" s="17" t="s">
        <v>77</v>
      </c>
      <c r="U11687" s="17"/>
      <c r="V11687" s="18">
        <f>628118002258</f>
        <v>628118002258</v>
      </c>
      <c r="W11687" t="s">
        <v>32016</v>
      </c>
    </row>
    <row r="11688" ht="15" customHeight="1" spans="1:22" x14ac:dyDescent="0.25">
      <c r="A11688" s="17" t="s">
        <v>32017</v>
      </c>
      <c r="B11688" s="17" t="s">
        <v>70</v>
      </c>
      <c r="C11688" s="17" t="s">
        <v>71</v>
      </c>
      <c r="D11688" t="s">
        <v>32018</v>
      </c>
      <c r="F11688" t="s">
        <v>32018</v>
      </c>
      <c r="K11688" s="18">
        <f>628223424481</f>
        <v>628223424481</v>
      </c>
      <c r="N11688" s="17" t="s">
        <v>77</v>
      </c>
      <c r="V11688" s="18">
        <f>628223424481</f>
        <v>628223424481</v>
      </c>
    </row>
    <row r="11689" ht="15" customHeight="1" spans="1:28" x14ac:dyDescent="0.25">
      <c r="A11689" s="17" t="s">
        <v>32019</v>
      </c>
      <c r="B11689" s="17" t="s">
        <v>70</v>
      </c>
      <c r="C11689" s="17" t="s">
        <v>71</v>
      </c>
      <c r="D11689" t="s">
        <v>32018</v>
      </c>
      <c r="F11689" t="s">
        <v>864</v>
      </c>
      <c r="J11689" s="17" t="s">
        <v>32020</v>
      </c>
      <c r="K11689" s="18" t="s">
        <v>32021</v>
      </c>
      <c r="N11689" s="17" t="s">
        <v>77</v>
      </c>
      <c r="O11689" t="s">
        <v>199</v>
      </c>
      <c r="U11689" s="17"/>
      <c r="V11689" s="18" t="s">
        <v>32021</v>
      </c>
      <c r="W11689" t="s">
        <v>384</v>
      </c>
      <c r="Y11689" t="s">
        <v>190</v>
      </c>
      <c r="AA11689" t="s">
        <v>118</v>
      </c>
      <c r="AB11689" t="s">
        <v>119</v>
      </c>
    </row>
    <row r="11690" ht="15" customHeight="1" spans="1:28" x14ac:dyDescent="0.25">
      <c r="A11690" s="17" t="s">
        <v>32022</v>
      </c>
      <c r="B11690" s="17" t="s">
        <v>70</v>
      </c>
      <c r="C11690" s="17" t="s">
        <v>71</v>
      </c>
      <c r="D11690" t="s">
        <v>32018</v>
      </c>
      <c r="F11690" t="s">
        <v>1564</v>
      </c>
      <c r="J11690" t="s">
        <v>115</v>
      </c>
      <c r="K11690" s="18" t="s">
        <v>32023</v>
      </c>
      <c r="N11690" s="17" t="s">
        <v>77</v>
      </c>
      <c r="O11690" t="s">
        <v>199</v>
      </c>
      <c r="V11690" s="18" t="s">
        <v>32023</v>
      </c>
      <c r="Y11690" t="s">
        <v>190</v>
      </c>
      <c r="AA11690" t="s">
        <v>118</v>
      </c>
      <c r="AB11690" t="s">
        <v>119</v>
      </c>
    </row>
    <row r="11691" ht="15" customHeight="1" spans="1:22" x14ac:dyDescent="0.25">
      <c r="A11691" s="17" t="s">
        <v>32024</v>
      </c>
      <c r="B11691" s="17" t="s">
        <v>70</v>
      </c>
      <c r="C11691" s="17" t="s">
        <v>71</v>
      </c>
      <c r="D11691" t="s">
        <v>32025</v>
      </c>
      <c r="F11691" t="s">
        <v>32025</v>
      </c>
      <c r="K11691" s="18">
        <f>628112676777</f>
        <v>628112676777</v>
      </c>
      <c r="N11691" s="17" t="s">
        <v>77</v>
      </c>
      <c r="V11691" s="18">
        <f>628112676777</f>
        <v>628112676777</v>
      </c>
    </row>
    <row r="11692" ht="15" customHeight="1" spans="1:22" x14ac:dyDescent="0.25">
      <c r="A11692" s="17" t="s">
        <v>32026</v>
      </c>
      <c r="B11692" s="17" t="s">
        <v>70</v>
      </c>
      <c r="C11692" s="17" t="s">
        <v>71</v>
      </c>
      <c r="D11692" t="s">
        <v>32027</v>
      </c>
      <c r="F11692" t="s">
        <v>32028</v>
      </c>
      <c r="K11692" s="18">
        <f>62817212299</f>
        <v>62817212299</v>
      </c>
      <c r="N11692" s="17" t="s">
        <v>81</v>
      </c>
      <c r="V11692" s="18">
        <f>62817212299</f>
        <v>62817212299</v>
      </c>
    </row>
    <row r="11693" ht="15" customHeight="1" spans="1:25" x14ac:dyDescent="0.25">
      <c r="A11693" s="17" t="s">
        <v>32029</v>
      </c>
      <c r="B11693" s="17" t="s">
        <v>70</v>
      </c>
      <c r="C11693" s="17" t="s">
        <v>71</v>
      </c>
      <c r="D11693" t="s">
        <v>32030</v>
      </c>
      <c r="F11693" t="s">
        <v>32031</v>
      </c>
      <c r="J11693" s="17" t="s">
        <v>32032</v>
      </c>
      <c r="K11693" s="18">
        <f>628121928521</f>
        <v>628121928521</v>
      </c>
      <c r="N11693" s="17" t="s">
        <v>77</v>
      </c>
      <c r="U11693" s="17"/>
      <c r="V11693" s="18">
        <f>628121928521</f>
        <v>628121928521</v>
      </c>
      <c r="W11693" t="s">
        <v>32033</v>
      </c>
      <c r="Y11693" s="17" t="s">
        <v>96</v>
      </c>
    </row>
    <row r="11694" ht="15" customHeight="1" spans="1:27" x14ac:dyDescent="0.25">
      <c r="A11694" s="17" t="s">
        <v>32034</v>
      </c>
      <c r="B11694" s="17" t="s">
        <v>70</v>
      </c>
      <c r="C11694" s="17" t="s">
        <v>71</v>
      </c>
      <c r="D11694" t="s">
        <v>32035</v>
      </c>
      <c r="F11694" t="s">
        <v>32035</v>
      </c>
      <c r="K11694" s="18">
        <f>62811800342</f>
        <v>62811800342</v>
      </c>
      <c r="N11694" s="17" t="s">
        <v>77</v>
      </c>
      <c r="U11694" s="17"/>
      <c r="V11694" s="18">
        <f>62811800342</f>
        <v>62811800342</v>
      </c>
      <c r="W11694" t="s">
        <v>32036</v>
      </c>
      <c r="AA11694" s="17" t="s">
        <v>4257</v>
      </c>
    </row>
    <row r="11695" ht="15" customHeight="1" spans="1:25" x14ac:dyDescent="0.25">
      <c r="A11695" s="17" t="s">
        <v>32037</v>
      </c>
      <c r="B11695" s="17" t="s">
        <v>70</v>
      </c>
      <c r="C11695" s="17" t="s">
        <v>71</v>
      </c>
      <c r="D11695" t="s">
        <v>32035</v>
      </c>
      <c r="F11695" t="s">
        <v>18282</v>
      </c>
      <c r="K11695" s="18">
        <f>628888055844</f>
        <v>628888055844</v>
      </c>
      <c r="N11695" s="17" t="s">
        <v>77</v>
      </c>
      <c r="U11695" s="17"/>
      <c r="V11695" s="18">
        <f>628888055844</f>
        <v>628888055844</v>
      </c>
      <c r="W11695" t="s">
        <v>32038</v>
      </c>
      <c r="Y11695" s="17" t="s">
        <v>9942</v>
      </c>
    </row>
    <row r="11696" ht="15" customHeight="1" spans="1:22" x14ac:dyDescent="0.25">
      <c r="A11696" s="17" t="s">
        <v>32039</v>
      </c>
      <c r="B11696" s="17" t="s">
        <v>70</v>
      </c>
      <c r="C11696" s="17" t="s">
        <v>71</v>
      </c>
      <c r="D11696" t="s">
        <v>32040</v>
      </c>
      <c r="F11696" t="s">
        <v>32040</v>
      </c>
      <c r="K11696" s="18">
        <f>62811811922</f>
        <v>62811811922</v>
      </c>
      <c r="N11696" s="17" t="s">
        <v>81</v>
      </c>
      <c r="V11696" s="18">
        <f>62811811922</f>
        <v>62811811922</v>
      </c>
    </row>
    <row r="11697" ht="15" customHeight="1" spans="1:22" x14ac:dyDescent="0.25">
      <c r="A11697" s="17" t="s">
        <v>32041</v>
      </c>
      <c r="B11697" s="17" t="s">
        <v>70</v>
      </c>
      <c r="C11697" s="17" t="s">
        <v>71</v>
      </c>
      <c r="D11697" t="s">
        <v>32042</v>
      </c>
      <c r="F11697" t="s">
        <v>32042</v>
      </c>
      <c r="K11697" s="18">
        <f>6281319401964</f>
        <v>6281319401964</v>
      </c>
      <c r="N11697" s="17" t="s">
        <v>81</v>
      </c>
      <c r="V11697" s="18">
        <f>6281319401964</f>
        <v>6281319401964</v>
      </c>
    </row>
    <row r="11698" ht="15" customHeight="1" spans="1:22" x14ac:dyDescent="0.25">
      <c r="A11698" s="17" t="s">
        <v>32043</v>
      </c>
      <c r="B11698" s="17" t="s">
        <v>70</v>
      </c>
      <c r="C11698" s="17" t="s">
        <v>71</v>
      </c>
      <c r="D11698" t="s">
        <v>32044</v>
      </c>
      <c r="F11698" t="s">
        <v>5783</v>
      </c>
      <c r="K11698" s="18">
        <f>628158231580</f>
        <v>628158231580</v>
      </c>
      <c r="N11698" s="17" t="s">
        <v>77</v>
      </c>
      <c r="V11698" s="18">
        <f>628158231580</f>
        <v>628158231580</v>
      </c>
    </row>
    <row r="11699" ht="15" customHeight="1" spans="1:23" x14ac:dyDescent="0.25">
      <c r="A11699" s="17" t="s">
        <v>32045</v>
      </c>
      <c r="B11699" s="17" t="s">
        <v>70</v>
      </c>
      <c r="C11699" s="17" t="s">
        <v>71</v>
      </c>
      <c r="D11699" t="s">
        <v>32044</v>
      </c>
      <c r="F11699" t="s">
        <v>32046</v>
      </c>
      <c r="K11699" s="18">
        <f>628118190333</f>
        <v>628118190333</v>
      </c>
      <c r="N11699" s="17" t="s">
        <v>77</v>
      </c>
      <c r="U11699" s="17"/>
      <c r="V11699" s="18">
        <f>628118190333</f>
        <v>628118190333</v>
      </c>
      <c r="W11699" t="s">
        <v>32047</v>
      </c>
    </row>
    <row r="11700" ht="15" customHeight="1" spans="1:22" x14ac:dyDescent="0.25">
      <c r="A11700" s="17" t="s">
        <v>32048</v>
      </c>
      <c r="B11700" s="17" t="s">
        <v>70</v>
      </c>
      <c r="C11700" s="17" t="s">
        <v>71</v>
      </c>
      <c r="D11700" t="s">
        <v>32049</v>
      </c>
      <c r="F11700" t="s">
        <v>32050</v>
      </c>
      <c r="K11700" s="18">
        <f>6282110155598</f>
        <v>6282110155598</v>
      </c>
      <c r="N11700" s="17" t="s">
        <v>81</v>
      </c>
      <c r="V11700" s="18">
        <f>6282110155598</f>
        <v>6282110155598</v>
      </c>
    </row>
    <row r="11701" ht="15" customHeight="1" spans="1:23" x14ac:dyDescent="0.25">
      <c r="A11701" s="17" t="s">
        <v>32051</v>
      </c>
      <c r="B11701" s="17" t="s">
        <v>70</v>
      </c>
      <c r="C11701" s="17" t="s">
        <v>71</v>
      </c>
      <c r="D11701" t="s">
        <v>9771</v>
      </c>
      <c r="F11701" t="s">
        <v>32052</v>
      </c>
      <c r="K11701" s="18">
        <f>628118110118</f>
        <v>628118110118</v>
      </c>
      <c r="N11701" s="17" t="s">
        <v>77</v>
      </c>
      <c r="U11701" s="17"/>
      <c r="V11701" s="18">
        <f>628118110118</f>
        <v>628118110118</v>
      </c>
      <c r="W11701" t="s">
        <v>32053</v>
      </c>
    </row>
    <row r="11702" ht="15" customHeight="1" spans="1:22" x14ac:dyDescent="0.25">
      <c r="A11702" s="17" t="s">
        <v>32054</v>
      </c>
      <c r="B11702" s="17" t="s">
        <v>70</v>
      </c>
      <c r="C11702" s="17" t="s">
        <v>71</v>
      </c>
      <c r="D11702" t="s">
        <v>32055</v>
      </c>
      <c r="F11702" t="s">
        <v>32055</v>
      </c>
      <c r="K11702" s="18">
        <f>6282244224469</f>
        <v>6282244224469</v>
      </c>
      <c r="N11702" s="17" t="s">
        <v>77</v>
      </c>
      <c r="V11702" s="18">
        <f>6282244224469</f>
        <v>6282244224469</v>
      </c>
    </row>
    <row r="11703" ht="15" customHeight="1" spans="1:28" x14ac:dyDescent="0.25">
      <c r="A11703" s="17" t="s">
        <v>32056</v>
      </c>
      <c r="B11703" s="17" t="s">
        <v>70</v>
      </c>
      <c r="C11703" s="17" t="s">
        <v>71</v>
      </c>
      <c r="D11703" t="s">
        <v>6415</v>
      </c>
      <c r="F11703" t="s">
        <v>32057</v>
      </c>
      <c r="J11703" s="17" t="s">
        <v>32058</v>
      </c>
      <c r="K11703" s="18" t="s">
        <v>32059</v>
      </c>
      <c r="N11703" s="17" t="s">
        <v>77</v>
      </c>
      <c r="O11703" t="s">
        <v>489</v>
      </c>
      <c r="U11703" s="17"/>
      <c r="V11703" s="18" t="s">
        <v>32059</v>
      </c>
      <c r="W11703" t="s">
        <v>32060</v>
      </c>
      <c r="Y11703" t="s">
        <v>90</v>
      </c>
      <c r="AA11703" t="s">
        <v>118</v>
      </c>
      <c r="AB11703" t="s">
        <v>119</v>
      </c>
    </row>
    <row r="11704" ht="15" customHeight="1" spans="1:28" x14ac:dyDescent="0.25">
      <c r="A11704" s="17" t="s">
        <v>32061</v>
      </c>
      <c r="B11704" s="17" t="s">
        <v>70</v>
      </c>
      <c r="C11704" s="17" t="s">
        <v>71</v>
      </c>
      <c r="D11704" t="s">
        <v>32062</v>
      </c>
      <c r="F11704" t="s">
        <v>5476</v>
      </c>
      <c r="J11704" s="17" t="s">
        <v>32063</v>
      </c>
      <c r="K11704" s="18" t="s">
        <v>32064</v>
      </c>
      <c r="N11704" s="17" t="s">
        <v>74</v>
      </c>
      <c r="O11704" t="s">
        <v>261</v>
      </c>
      <c r="U11704" s="17"/>
      <c r="V11704" s="18" t="s">
        <v>32064</v>
      </c>
      <c r="W11704" t="s">
        <v>32065</v>
      </c>
      <c r="Y11704" t="s">
        <v>217</v>
      </c>
      <c r="AA11704" t="s">
        <v>218</v>
      </c>
      <c r="AB11704" t="s">
        <v>119</v>
      </c>
    </row>
    <row r="11705" ht="15" customHeight="1" spans="1:22" x14ac:dyDescent="0.25">
      <c r="A11705" s="17" t="s">
        <v>32066</v>
      </c>
      <c r="B11705" s="17" t="s">
        <v>70</v>
      </c>
      <c r="C11705" s="17" t="s">
        <v>71</v>
      </c>
      <c r="D11705" t="s">
        <v>6415</v>
      </c>
      <c r="F11705" t="s">
        <v>2258</v>
      </c>
      <c r="K11705" s="18">
        <f>6281219993199</f>
        <v>6281219993199</v>
      </c>
      <c r="N11705" s="17" t="s">
        <v>74</v>
      </c>
      <c r="V11705" s="18">
        <f>6281219993199</f>
        <v>6281219993199</v>
      </c>
    </row>
    <row r="11706" ht="15" customHeight="1" spans="1:25" x14ac:dyDescent="0.25">
      <c r="A11706" s="17" t="s">
        <v>32067</v>
      </c>
      <c r="B11706" s="17" t="s">
        <v>70</v>
      </c>
      <c r="C11706" s="17" t="s">
        <v>71</v>
      </c>
      <c r="D11706" t="s">
        <v>32068</v>
      </c>
      <c r="F11706" t="s">
        <v>32068</v>
      </c>
      <c r="K11706" s="18">
        <f>6281381008974</f>
        <v>6281381008974</v>
      </c>
      <c r="N11706" s="17" t="s">
        <v>77</v>
      </c>
      <c r="U11706" s="17"/>
      <c r="V11706" s="18">
        <f>6281381008974</f>
        <v>6281381008974</v>
      </c>
      <c r="W11706" t="s">
        <v>32069</v>
      </c>
      <c r="Y11706" s="17" t="s">
        <v>217</v>
      </c>
    </row>
    <row r="11707" ht="15" customHeight="1" spans="1:25" x14ac:dyDescent="0.25">
      <c r="A11707" s="17" t="s">
        <v>32070</v>
      </c>
      <c r="B11707" s="17" t="s">
        <v>70</v>
      </c>
      <c r="C11707" s="17" t="s">
        <v>71</v>
      </c>
      <c r="D11707" t="s">
        <v>32071</v>
      </c>
      <c r="F11707" t="s">
        <v>32071</v>
      </c>
      <c r="K11707" s="18">
        <f>62811937992</f>
        <v>62811937992</v>
      </c>
      <c r="N11707" s="17" t="s">
        <v>74</v>
      </c>
      <c r="V11707" s="18">
        <f>62811937992</f>
        <v>62811937992</v>
      </c>
      <c r="Y11707" s="17" t="s">
        <v>90</v>
      </c>
    </row>
    <row r="11708" ht="15" customHeight="1" spans="1:22" x14ac:dyDescent="0.25">
      <c r="A11708" s="17" t="s">
        <v>32072</v>
      </c>
      <c r="B11708" s="17" t="s">
        <v>70</v>
      </c>
      <c r="C11708" s="17" t="s">
        <v>71</v>
      </c>
      <c r="D11708" t="s">
        <v>32073</v>
      </c>
      <c r="F11708" t="s">
        <v>32073</v>
      </c>
      <c r="K11708" s="18">
        <f>6281212031005</f>
        <v>6281212031005</v>
      </c>
      <c r="N11708" s="17" t="s">
        <v>81</v>
      </c>
      <c r="V11708" s="18">
        <f>6281212031005</f>
        <v>6281212031005</v>
      </c>
    </row>
    <row r="11709" ht="15" customHeight="1" spans="1:22" x14ac:dyDescent="0.25">
      <c r="A11709" s="17" t="s">
        <v>32074</v>
      </c>
      <c r="B11709" s="17" t="s">
        <v>70</v>
      </c>
      <c r="C11709" s="17" t="s">
        <v>71</v>
      </c>
      <c r="D11709" t="s">
        <v>24299</v>
      </c>
      <c r="F11709" t="s">
        <v>6671</v>
      </c>
      <c r="K11709" s="18">
        <f>628159119884</f>
        <v>628159119884</v>
      </c>
      <c r="N11709" s="17" t="s">
        <v>81</v>
      </c>
      <c r="V11709" s="18">
        <f>628159119884</f>
        <v>628159119884</v>
      </c>
    </row>
    <row r="11710" ht="15" customHeight="1" spans="1:28" x14ac:dyDescent="0.25">
      <c r="A11710" s="17" t="s">
        <v>32075</v>
      </c>
      <c r="B11710" s="17" t="s">
        <v>70</v>
      </c>
      <c r="C11710" s="17" t="s">
        <v>71</v>
      </c>
      <c r="D11710" t="s">
        <v>322</v>
      </c>
      <c r="F11710" t="s">
        <v>2258</v>
      </c>
      <c r="J11710" t="s">
        <v>115</v>
      </c>
      <c r="K11710" s="18" t="s">
        <v>32076</v>
      </c>
      <c r="N11710" s="17" t="s">
        <v>81</v>
      </c>
      <c r="O11710" t="s">
        <v>199</v>
      </c>
      <c r="V11710" s="18" t="s">
        <v>32076</v>
      </c>
      <c r="Y11710" t="s">
        <v>115</v>
      </c>
      <c r="AA11710" t="s">
        <v>115</v>
      </c>
      <c r="AB11710" t="s">
        <v>119</v>
      </c>
    </row>
    <row r="11711" ht="15" customHeight="1" spans="1:22" x14ac:dyDescent="0.25">
      <c r="A11711" s="17" t="s">
        <v>32077</v>
      </c>
      <c r="B11711" s="17" t="s">
        <v>70</v>
      </c>
      <c r="C11711" s="17" t="s">
        <v>71</v>
      </c>
      <c r="D11711" t="s">
        <v>32078</v>
      </c>
      <c r="F11711" t="s">
        <v>32078</v>
      </c>
      <c r="K11711" s="18">
        <f>6281315837733</f>
        <v>6281315837733</v>
      </c>
      <c r="N11711" s="17" t="s">
        <v>81</v>
      </c>
      <c r="V11711" s="18">
        <f>6281315837733</f>
        <v>6281315837733</v>
      </c>
    </row>
    <row r="11712" ht="15" customHeight="1" spans="1:22" x14ac:dyDescent="0.25">
      <c r="A11712" s="17" t="s">
        <v>32079</v>
      </c>
      <c r="B11712" s="17" t="s">
        <v>70</v>
      </c>
      <c r="C11712" s="17" t="s">
        <v>71</v>
      </c>
      <c r="D11712" t="s">
        <v>32078</v>
      </c>
      <c r="F11712" t="s">
        <v>32080</v>
      </c>
      <c r="J11712" s="17" t="s">
        <v>32081</v>
      </c>
      <c r="K11712" s="18">
        <f>62811835566</f>
        <v>62811835566</v>
      </c>
      <c r="N11712" s="17" t="s">
        <v>77</v>
      </c>
      <c r="V11712" s="18">
        <f>62811835566</f>
        <v>62811835566</v>
      </c>
    </row>
    <row r="11713" ht="15" customHeight="1" spans="1:28" x14ac:dyDescent="0.25">
      <c r="A11713" s="17" t="s">
        <v>32082</v>
      </c>
      <c r="B11713" s="17" t="s">
        <v>70</v>
      </c>
      <c r="C11713" s="17" t="s">
        <v>71</v>
      </c>
      <c r="D11713" t="s">
        <v>32078</v>
      </c>
      <c r="F11713" t="s">
        <v>32083</v>
      </c>
      <c r="J11713" t="s">
        <v>115</v>
      </c>
      <c r="K11713" s="18" t="s">
        <v>32084</v>
      </c>
      <c r="N11713" s="17" t="s">
        <v>81</v>
      </c>
      <c r="O11713" t="s">
        <v>117</v>
      </c>
      <c r="V11713" s="18" t="s">
        <v>32084</v>
      </c>
      <c r="Y11713" t="s">
        <v>190</v>
      </c>
      <c r="AA11713" t="s">
        <v>118</v>
      </c>
      <c r="AB11713" t="s">
        <v>119</v>
      </c>
    </row>
    <row r="11714" ht="15" customHeight="1" spans="1:28" x14ac:dyDescent="0.25">
      <c r="A11714" s="17" t="s">
        <v>32085</v>
      </c>
      <c r="B11714" s="17" t="s">
        <v>70</v>
      </c>
      <c r="C11714" s="17" t="s">
        <v>71</v>
      </c>
      <c r="D11714" t="s">
        <v>32086</v>
      </c>
      <c r="F11714" t="s">
        <v>15089</v>
      </c>
      <c r="J11714" t="s">
        <v>115</v>
      </c>
      <c r="K11714" s="18" t="s">
        <v>32087</v>
      </c>
      <c r="N11714" s="17" t="s">
        <v>77</v>
      </c>
      <c r="O11714" t="s">
        <v>261</v>
      </c>
      <c r="U11714" s="17"/>
      <c r="V11714" s="18" t="s">
        <v>32087</v>
      </c>
      <c r="W11714" t="s">
        <v>32088</v>
      </c>
      <c r="Y11714" t="s">
        <v>96</v>
      </c>
      <c r="AA11714" t="s">
        <v>693</v>
      </c>
      <c r="AB11714" t="s">
        <v>119</v>
      </c>
    </row>
    <row r="11715" ht="15" customHeight="1" spans="1:23" x14ac:dyDescent="0.25">
      <c r="A11715" s="17" t="s">
        <v>32089</v>
      </c>
      <c r="B11715" s="17" t="s">
        <v>70</v>
      </c>
      <c r="C11715" s="17" t="s">
        <v>71</v>
      </c>
      <c r="D11715" t="s">
        <v>32078</v>
      </c>
      <c r="F11715" t="s">
        <v>32090</v>
      </c>
      <c r="K11715" s="18">
        <f>628129559379</f>
        <v>628129559379</v>
      </c>
      <c r="N11715" s="17" t="s">
        <v>81</v>
      </c>
      <c r="U11715" s="17"/>
      <c r="V11715" s="18">
        <f>628129559379</f>
        <v>628129559379</v>
      </c>
      <c r="W11715" t="s">
        <v>32091</v>
      </c>
    </row>
    <row r="11716" ht="15" customHeight="1" spans="1:22" x14ac:dyDescent="0.25">
      <c r="A11716" s="17" t="s">
        <v>32092</v>
      </c>
      <c r="B11716" s="17" t="s">
        <v>70</v>
      </c>
      <c r="C11716" s="17" t="s">
        <v>71</v>
      </c>
      <c r="D11716" t="s">
        <v>32093</v>
      </c>
      <c r="F11716" t="s">
        <v>32094</v>
      </c>
      <c r="K11716" s="18">
        <f>6598168852</f>
        <v>6598168852</v>
      </c>
      <c r="N11716" s="17" t="s">
        <v>81</v>
      </c>
      <c r="V11716" s="18">
        <f>6598168852</f>
        <v>6598168852</v>
      </c>
    </row>
    <row r="11717" ht="15" customHeight="1" spans="1:22" x14ac:dyDescent="0.25">
      <c r="A11717" s="17" t="s">
        <v>32095</v>
      </c>
      <c r="B11717" s="17" t="s">
        <v>70</v>
      </c>
      <c r="C11717" s="17" t="s">
        <v>71</v>
      </c>
      <c r="D11717" t="s">
        <v>1589</v>
      </c>
      <c r="F11717" t="s">
        <v>1589</v>
      </c>
      <c r="K11717" s="18">
        <f>628128871755</f>
        <v>628128871755</v>
      </c>
      <c r="N11717" s="17" t="s">
        <v>81</v>
      </c>
      <c r="V11717" s="18">
        <f>628128871755</f>
        <v>628128871755</v>
      </c>
    </row>
    <row r="11718" ht="15" customHeight="1" spans="1:23" x14ac:dyDescent="0.25">
      <c r="A11718" s="17" t="s">
        <v>32096</v>
      </c>
      <c r="B11718" s="17" t="s">
        <v>70</v>
      </c>
      <c r="C11718" s="17" t="s">
        <v>71</v>
      </c>
      <c r="D11718" t="s">
        <v>1589</v>
      </c>
      <c r="F11718" t="s">
        <v>32097</v>
      </c>
      <c r="K11718" s="18">
        <f>6281296371991</f>
        <v>6281296371991</v>
      </c>
      <c r="N11718" s="17" t="s">
        <v>77</v>
      </c>
      <c r="U11718" s="17"/>
      <c r="V11718" s="18">
        <f>6281296371991</f>
        <v>6281296371991</v>
      </c>
      <c r="W11718" t="s">
        <v>90</v>
      </c>
    </row>
    <row r="11719" ht="15" customHeight="1" spans="1:22" x14ac:dyDescent="0.25">
      <c r="A11719" s="17" t="s">
        <v>32098</v>
      </c>
      <c r="B11719" s="17" t="s">
        <v>70</v>
      </c>
      <c r="C11719" s="17" t="s">
        <v>71</v>
      </c>
      <c r="D11719" t="s">
        <v>1589</v>
      </c>
      <c r="F11719" t="s">
        <v>12333</v>
      </c>
      <c r="K11719" s="18">
        <f>628111919747</f>
        <v>628111919747</v>
      </c>
      <c r="N11719" s="17" t="s">
        <v>77</v>
      </c>
      <c r="V11719" s="18">
        <f>628111919747</f>
        <v>628111919747</v>
      </c>
    </row>
    <row r="11720" ht="15" customHeight="1" spans="1:22" x14ac:dyDescent="0.25">
      <c r="A11720" s="17" t="s">
        <v>32099</v>
      </c>
      <c r="B11720" s="17" t="s">
        <v>70</v>
      </c>
      <c r="C11720" s="17" t="s">
        <v>71</v>
      </c>
      <c r="D11720" t="s">
        <v>1589</v>
      </c>
      <c r="F11720" t="s">
        <v>388</v>
      </c>
      <c r="K11720" s="18">
        <f>628138738789</f>
        <v>628138738789</v>
      </c>
      <c r="N11720" s="17" t="s">
        <v>77</v>
      </c>
      <c r="V11720" s="18">
        <f>628138738789</f>
        <v>628138738789</v>
      </c>
    </row>
    <row r="11721" ht="15" customHeight="1" spans="1:22" x14ac:dyDescent="0.25">
      <c r="A11721" s="17" t="s">
        <v>32100</v>
      </c>
      <c r="B11721" s="17" t="s">
        <v>70</v>
      </c>
      <c r="C11721" s="17" t="s">
        <v>71</v>
      </c>
      <c r="D11721" t="s">
        <v>1589</v>
      </c>
      <c r="F11721" t="s">
        <v>16326</v>
      </c>
      <c r="K11721" s="18">
        <f>628118872688</f>
        <v>628118872688</v>
      </c>
      <c r="N11721" s="17" t="s">
        <v>81</v>
      </c>
      <c r="V11721" s="18">
        <f>628118872688</f>
        <v>628118872688</v>
      </c>
    </row>
    <row r="11722" ht="15" customHeight="1" spans="1:25" x14ac:dyDescent="0.25">
      <c r="A11722" s="17" t="s">
        <v>32101</v>
      </c>
      <c r="B11722" s="17" t="s">
        <v>70</v>
      </c>
      <c r="C11722" s="17" t="s">
        <v>71</v>
      </c>
      <c r="D11722" t="s">
        <v>1589</v>
      </c>
      <c r="F11722" t="s">
        <v>26879</v>
      </c>
      <c r="K11722" s="18">
        <f>6281281123334</f>
        <v>6281281123334</v>
      </c>
      <c r="N11722" s="17" t="s">
        <v>77</v>
      </c>
      <c r="U11722" s="17"/>
      <c r="V11722" s="18">
        <f>6281281123334</f>
        <v>6281281123334</v>
      </c>
      <c r="W11722" t="s">
        <v>32102</v>
      </c>
      <c r="Y11722" s="17" t="s">
        <v>96</v>
      </c>
    </row>
    <row r="11723" ht="15" customHeight="1" spans="1:27" x14ac:dyDescent="0.25">
      <c r="A11723" s="17" t="s">
        <v>32103</v>
      </c>
      <c r="B11723" s="17" t="s">
        <v>70</v>
      </c>
      <c r="C11723" s="17" t="s">
        <v>71</v>
      </c>
      <c r="D11723" t="s">
        <v>1589</v>
      </c>
      <c r="F11723" t="s">
        <v>29330</v>
      </c>
      <c r="K11723" s="18">
        <f>6281319816009</f>
        <v>6281319816009</v>
      </c>
      <c r="N11723" s="17" t="s">
        <v>81</v>
      </c>
      <c r="U11723" s="17"/>
      <c r="V11723" s="18">
        <f>6281319816009</f>
        <v>6281319816009</v>
      </c>
      <c r="W11723" t="s">
        <v>32104</v>
      </c>
      <c r="AA11723" s="17">
        <v>17530</v>
      </c>
    </row>
    <row r="11724" ht="15" customHeight="1" spans="1:22" x14ac:dyDescent="0.25">
      <c r="A11724" s="17" t="s">
        <v>32105</v>
      </c>
      <c r="B11724" s="17" t="s">
        <v>70</v>
      </c>
      <c r="C11724" s="17" t="s">
        <v>71</v>
      </c>
      <c r="D11724" t="s">
        <v>1589</v>
      </c>
      <c r="F11724" t="s">
        <v>32106</v>
      </c>
      <c r="K11724" s="18">
        <f>6282217755763</f>
        <v>6282217755763</v>
      </c>
      <c r="N11724" s="17" t="s">
        <v>81</v>
      </c>
      <c r="V11724" s="18">
        <f>6282217755763</f>
        <v>6282217755763</v>
      </c>
    </row>
    <row r="11725" ht="15" customHeight="1" spans="1:23" x14ac:dyDescent="0.25">
      <c r="A11725" s="17" t="s">
        <v>32107</v>
      </c>
      <c r="B11725" s="17" t="s">
        <v>70</v>
      </c>
      <c r="C11725" s="17" t="s">
        <v>71</v>
      </c>
      <c r="D11725" t="s">
        <v>1589</v>
      </c>
      <c r="F11725" t="s">
        <v>32108</v>
      </c>
      <c r="K11725" s="18">
        <f>6281999934488</f>
        <v>6281999934488</v>
      </c>
      <c r="N11725" s="17" t="s">
        <v>77</v>
      </c>
      <c r="U11725" s="17"/>
      <c r="V11725" s="18">
        <f>6281999934488</f>
        <v>6281999934488</v>
      </c>
      <c r="W11725" t="s">
        <v>32109</v>
      </c>
    </row>
    <row r="11726" ht="15" customHeight="1" spans="1:22" x14ac:dyDescent="0.25">
      <c r="A11726" s="17" t="s">
        <v>32110</v>
      </c>
      <c r="B11726" s="17" t="s">
        <v>70</v>
      </c>
      <c r="C11726" s="17" t="s">
        <v>71</v>
      </c>
      <c r="D11726" t="s">
        <v>1589</v>
      </c>
      <c r="F11726" t="s">
        <v>1564</v>
      </c>
      <c r="K11726" s="18">
        <f>6281231599995</f>
        <v>6281231599995</v>
      </c>
      <c r="N11726" s="17" t="s">
        <v>77</v>
      </c>
      <c r="V11726" s="18">
        <f>6281231599995</f>
        <v>6281231599995</v>
      </c>
    </row>
    <row r="11727" ht="15" customHeight="1" spans="1:22" x14ac:dyDescent="0.25">
      <c r="A11727" s="17" t="s">
        <v>32111</v>
      </c>
      <c r="B11727" s="17" t="s">
        <v>70</v>
      </c>
      <c r="C11727" s="17" t="s">
        <v>71</v>
      </c>
      <c r="D11727" t="s">
        <v>1208</v>
      </c>
      <c r="F11727" t="s">
        <v>1208</v>
      </c>
      <c r="K11727" s="18">
        <f>6281919050987</f>
        <v>6281919050987</v>
      </c>
      <c r="N11727" s="17" t="s">
        <v>77</v>
      </c>
      <c r="V11727" s="18">
        <f>6281919050987</f>
        <v>6281919050987</v>
      </c>
    </row>
    <row r="11728" ht="15" customHeight="1" spans="1:22" x14ac:dyDescent="0.25">
      <c r="A11728" s="17" t="s">
        <v>32112</v>
      </c>
      <c r="B11728" s="17" t="s">
        <v>70</v>
      </c>
      <c r="C11728" s="17" t="s">
        <v>71</v>
      </c>
      <c r="D11728" t="s">
        <v>1208</v>
      </c>
      <c r="F11728" t="s">
        <v>1208</v>
      </c>
      <c r="K11728" s="18">
        <f>6289637761148</f>
        <v>6289637761148</v>
      </c>
      <c r="N11728" s="17" t="s">
        <v>81</v>
      </c>
      <c r="V11728" s="18">
        <f>6289637761148</f>
        <v>6289637761148</v>
      </c>
    </row>
    <row r="11729" ht="15" customHeight="1" spans="1:22" x14ac:dyDescent="0.25">
      <c r="A11729" s="17" t="s">
        <v>32113</v>
      </c>
      <c r="B11729" s="17" t="s">
        <v>70</v>
      </c>
      <c r="C11729" s="17" t="s">
        <v>71</v>
      </c>
      <c r="D11729" t="s">
        <v>1208</v>
      </c>
      <c r="F11729" t="s">
        <v>1208</v>
      </c>
      <c r="K11729" s="18">
        <f>6281288041992</f>
        <v>6281288041992</v>
      </c>
      <c r="N11729" s="17" t="s">
        <v>81</v>
      </c>
      <c r="V11729" s="18">
        <f>6281288041992</f>
        <v>6281288041992</v>
      </c>
    </row>
    <row r="11730" ht="15" customHeight="1" spans="1:28" x14ac:dyDescent="0.25">
      <c r="A11730" s="17" t="s">
        <v>32114</v>
      </c>
      <c r="B11730" s="17" t="s">
        <v>70</v>
      </c>
      <c r="C11730" s="17" t="s">
        <v>71</v>
      </c>
      <c r="D11730" t="s">
        <v>1208</v>
      </c>
      <c r="F11730" t="s">
        <v>1208</v>
      </c>
      <c r="J11730" t="s">
        <v>115</v>
      </c>
      <c r="K11730" s="18" t="s">
        <v>32115</v>
      </c>
      <c r="N11730" s="17" t="s">
        <v>77</v>
      </c>
      <c r="O11730" t="s">
        <v>117</v>
      </c>
      <c r="U11730" s="17"/>
      <c r="V11730" s="18" t="s">
        <v>32115</v>
      </c>
      <c r="W11730" t="s">
        <v>32116</v>
      </c>
      <c r="Y11730" t="s">
        <v>115</v>
      </c>
      <c r="AA11730" t="s">
        <v>115</v>
      </c>
      <c r="AB11730" t="s">
        <v>119</v>
      </c>
    </row>
    <row r="11731" ht="15" customHeight="1" spans="1:25" x14ac:dyDescent="0.25">
      <c r="A11731" s="17" t="s">
        <v>32117</v>
      </c>
      <c r="B11731" s="17" t="s">
        <v>70</v>
      </c>
      <c r="C11731" s="17" t="s">
        <v>71</v>
      </c>
      <c r="D11731" t="s">
        <v>1208</v>
      </c>
      <c r="F11731" t="s">
        <v>2153</v>
      </c>
      <c r="K11731" s="18">
        <f>628176647029</f>
        <v>628176647029</v>
      </c>
      <c r="N11731" s="17" t="s">
        <v>77</v>
      </c>
      <c r="U11731" s="17"/>
      <c r="V11731" s="18">
        <f>628176647029</f>
        <v>628176647029</v>
      </c>
      <c r="W11731" t="s">
        <v>32118</v>
      </c>
      <c r="Y11731" s="17" t="s">
        <v>2953</v>
      </c>
    </row>
    <row r="11732" ht="15" customHeight="1" spans="1:22" x14ac:dyDescent="0.25">
      <c r="A11732" s="17" t="s">
        <v>32119</v>
      </c>
      <c r="B11732" s="17" t="s">
        <v>70</v>
      </c>
      <c r="C11732" s="17" t="s">
        <v>71</v>
      </c>
      <c r="D11732" t="s">
        <v>1208</v>
      </c>
      <c r="F11732" t="s">
        <v>2279</v>
      </c>
      <c r="K11732" s="18">
        <f>6287885858370</f>
        <v>6287885858370</v>
      </c>
      <c r="N11732" s="17" t="s">
        <v>81</v>
      </c>
      <c r="V11732" s="18">
        <f>6287885858370</f>
        <v>6287885858370</v>
      </c>
    </row>
    <row r="11733" ht="15" customHeight="1" spans="1:22" x14ac:dyDescent="0.25">
      <c r="A11733" s="17" t="s">
        <v>32120</v>
      </c>
      <c r="B11733" s="17" t="s">
        <v>70</v>
      </c>
      <c r="C11733" s="17" t="s">
        <v>71</v>
      </c>
      <c r="D11733" t="s">
        <v>1208</v>
      </c>
      <c r="F11733" t="s">
        <v>2279</v>
      </c>
      <c r="K11733" s="18">
        <f>62628788585837</f>
        <v>62628788585837</v>
      </c>
      <c r="N11733" s="17" t="s">
        <v>77</v>
      </c>
      <c r="V11733" s="18">
        <f>62628788585837</f>
        <v>62628788585837</v>
      </c>
    </row>
    <row r="11734" ht="15" customHeight="1" spans="1:23" x14ac:dyDescent="0.25">
      <c r="A11734" s="17" t="s">
        <v>32121</v>
      </c>
      <c r="B11734" s="17" t="s">
        <v>70</v>
      </c>
      <c r="C11734" s="17" t="s">
        <v>71</v>
      </c>
      <c r="D11734" t="s">
        <v>1208</v>
      </c>
      <c r="F11734" t="s">
        <v>2288</v>
      </c>
      <c r="K11734" s="18">
        <f>62819843400</f>
        <v>62819843400</v>
      </c>
      <c r="N11734" s="17" t="s">
        <v>77</v>
      </c>
      <c r="U11734" s="17"/>
      <c r="V11734" s="18">
        <f>62819843400</f>
        <v>62819843400</v>
      </c>
      <c r="W11734" t="s">
        <v>32122</v>
      </c>
    </row>
    <row r="11735" ht="15" customHeight="1" spans="1:28" x14ac:dyDescent="0.25">
      <c r="A11735" s="17" t="s">
        <v>32123</v>
      </c>
      <c r="B11735" s="17" t="s">
        <v>70</v>
      </c>
      <c r="C11735" s="17" t="s">
        <v>71</v>
      </c>
      <c r="D11735" t="s">
        <v>1208</v>
      </c>
      <c r="F11735" t="s">
        <v>32124</v>
      </c>
      <c r="J11735" s="17" t="s">
        <v>32125</v>
      </c>
      <c r="K11735" s="18" t="s">
        <v>32126</v>
      </c>
      <c r="N11735" s="17" t="s">
        <v>77</v>
      </c>
      <c r="O11735" t="s">
        <v>489</v>
      </c>
      <c r="V11735" s="18" t="s">
        <v>32126</v>
      </c>
      <c r="Y11735" t="s">
        <v>13148</v>
      </c>
      <c r="AA11735" t="s">
        <v>115</v>
      </c>
      <c r="AB11735" t="s">
        <v>119</v>
      </c>
    </row>
    <row r="11736" ht="15" customHeight="1" spans="1:28" x14ac:dyDescent="0.25">
      <c r="A11736" s="17" t="s">
        <v>32127</v>
      </c>
      <c r="B11736" s="17" t="s">
        <v>70</v>
      </c>
      <c r="C11736" s="17" t="s">
        <v>71</v>
      </c>
      <c r="D11736" t="s">
        <v>1208</v>
      </c>
      <c r="F11736" t="s">
        <v>32128</v>
      </c>
      <c r="J11736" s="17" t="s">
        <v>32129</v>
      </c>
      <c r="K11736" s="18" t="s">
        <v>32130</v>
      </c>
      <c r="N11736" s="17" t="s">
        <v>74</v>
      </c>
      <c r="O11736" t="s">
        <v>261</v>
      </c>
      <c r="U11736" s="17"/>
      <c r="V11736" s="18" t="s">
        <v>32130</v>
      </c>
      <c r="W11736" t="s">
        <v>32131</v>
      </c>
      <c r="Y11736" t="s">
        <v>90</v>
      </c>
      <c r="AA11736" t="s">
        <v>118</v>
      </c>
      <c r="AB11736" t="s">
        <v>119</v>
      </c>
    </row>
    <row r="11737" ht="15" customHeight="1" spans="1:22" x14ac:dyDescent="0.25">
      <c r="A11737" s="17" t="s">
        <v>32132</v>
      </c>
      <c r="B11737" s="17" t="s">
        <v>70</v>
      </c>
      <c r="C11737" s="17" t="s">
        <v>71</v>
      </c>
      <c r="D11737" t="s">
        <v>1208</v>
      </c>
      <c r="F11737" t="s">
        <v>14377</v>
      </c>
      <c r="K11737" s="18">
        <f>6281806730414</f>
        <v>6281806730414</v>
      </c>
      <c r="N11737" s="17" t="s">
        <v>81</v>
      </c>
      <c r="V11737" s="18">
        <f>6281806730414</f>
        <v>6281806730414</v>
      </c>
    </row>
    <row r="11738" ht="15" customHeight="1" spans="1:28" x14ac:dyDescent="0.25">
      <c r="A11738" s="17" t="s">
        <v>32133</v>
      </c>
      <c r="B11738" s="17" t="s">
        <v>70</v>
      </c>
      <c r="C11738" s="17" t="s">
        <v>71</v>
      </c>
      <c r="D11738" t="s">
        <v>1208</v>
      </c>
      <c r="F11738" t="s">
        <v>5307</v>
      </c>
      <c r="J11738" t="s">
        <v>32134</v>
      </c>
      <c r="K11738" s="18" t="s">
        <v>32135</v>
      </c>
      <c r="N11738" s="17" t="s">
        <v>77</v>
      </c>
      <c r="O11738" t="s">
        <v>145</v>
      </c>
      <c r="U11738" s="17"/>
      <c r="V11738" s="18" t="s">
        <v>32135</v>
      </c>
      <c r="W11738" t="s">
        <v>32136</v>
      </c>
      <c r="Y11738" s="17" t="s">
        <v>96</v>
      </c>
      <c r="AA11738" t="s">
        <v>693</v>
      </c>
      <c r="AB11738" t="s">
        <v>119</v>
      </c>
    </row>
    <row r="11739" ht="15" customHeight="1" spans="1:22" x14ac:dyDescent="0.25">
      <c r="A11739" s="17" t="s">
        <v>32137</v>
      </c>
      <c r="B11739" s="17" t="s">
        <v>70</v>
      </c>
      <c r="C11739" s="17" t="s">
        <v>71</v>
      </c>
      <c r="D11739" t="s">
        <v>1208</v>
      </c>
      <c r="F11739" t="s">
        <v>32138</v>
      </c>
      <c r="K11739" s="18">
        <f>6281110973</f>
        <v>6281110973</v>
      </c>
      <c r="N11739" s="17" t="s">
        <v>77</v>
      </c>
      <c r="V11739" s="18">
        <f>6281110973</f>
        <v>6281110973</v>
      </c>
    </row>
    <row r="11740" ht="15" customHeight="1" spans="1:23" x14ac:dyDescent="0.25">
      <c r="A11740" s="17" t="s">
        <v>32139</v>
      </c>
      <c r="B11740" s="17" t="s">
        <v>70</v>
      </c>
      <c r="C11740" s="17" t="s">
        <v>71</v>
      </c>
      <c r="D11740" t="s">
        <v>1208</v>
      </c>
      <c r="F11740" t="s">
        <v>4621</v>
      </c>
      <c r="K11740" s="18">
        <f>6281388888893</f>
        <v>6281388888893</v>
      </c>
      <c r="N11740" s="17" t="s">
        <v>81</v>
      </c>
      <c r="U11740" s="17"/>
      <c r="V11740" s="18">
        <f>6281388888893</f>
        <v>6281388888893</v>
      </c>
      <c r="W11740" t="s">
        <v>32140</v>
      </c>
    </row>
    <row r="11741" ht="15" customHeight="1" spans="1:22" x14ac:dyDescent="0.25">
      <c r="A11741" s="17" t="s">
        <v>32141</v>
      </c>
      <c r="B11741" s="17" t="s">
        <v>70</v>
      </c>
      <c r="C11741" s="17" t="s">
        <v>71</v>
      </c>
      <c r="D11741" t="s">
        <v>1208</v>
      </c>
      <c r="F11741" t="s">
        <v>32142</v>
      </c>
      <c r="K11741" s="18">
        <f>628216072999</f>
        <v>628216072999</v>
      </c>
      <c r="N11741" s="17" t="s">
        <v>77</v>
      </c>
      <c r="V11741" s="18">
        <f>628216072999</f>
        <v>628216072999</v>
      </c>
    </row>
    <row r="11742" ht="15" customHeight="1" spans="1:22" x14ac:dyDescent="0.25">
      <c r="A11742" s="17" t="s">
        <v>32143</v>
      </c>
      <c r="B11742" s="17" t="s">
        <v>70</v>
      </c>
      <c r="C11742" s="17" t="s">
        <v>71</v>
      </c>
      <c r="D11742" t="s">
        <v>1208</v>
      </c>
      <c r="F11742" t="s">
        <v>32144</v>
      </c>
      <c r="K11742" s="18">
        <f>628179898985</f>
        <v>628179898985</v>
      </c>
      <c r="N11742" s="17" t="s">
        <v>81</v>
      </c>
      <c r="V11742" s="18">
        <f>628179898985</f>
        <v>628179898985</v>
      </c>
    </row>
    <row r="11743" ht="15" customHeight="1" spans="1:28" x14ac:dyDescent="0.25">
      <c r="A11743" s="17" t="s">
        <v>32145</v>
      </c>
      <c r="B11743" s="17" t="s">
        <v>70</v>
      </c>
      <c r="C11743" s="17" t="s">
        <v>71</v>
      </c>
      <c r="D11743" t="s">
        <v>32146</v>
      </c>
      <c r="F11743" t="s">
        <v>2258</v>
      </c>
      <c r="J11743" s="17" t="s">
        <v>32147</v>
      </c>
      <c r="K11743" s="18" t="s">
        <v>32148</v>
      </c>
      <c r="N11743" s="17" t="s">
        <v>77</v>
      </c>
      <c r="O11743" t="s">
        <v>117</v>
      </c>
      <c r="V11743" s="18" t="s">
        <v>32148</v>
      </c>
      <c r="Y11743" t="s">
        <v>90</v>
      </c>
      <c r="AA11743" t="s">
        <v>118</v>
      </c>
      <c r="AB11743" t="s">
        <v>119</v>
      </c>
    </row>
    <row r="11744" ht="15" customHeight="1" spans="1:27" x14ac:dyDescent="0.25">
      <c r="A11744" s="17" t="s">
        <v>32149</v>
      </c>
      <c r="B11744" s="17" t="s">
        <v>70</v>
      </c>
      <c r="C11744" s="17" t="s">
        <v>71</v>
      </c>
      <c r="D11744" t="s">
        <v>1208</v>
      </c>
      <c r="F11744" t="s">
        <v>32150</v>
      </c>
      <c r="K11744" s="18">
        <f>6281318982939</f>
        <v>6281318982939</v>
      </c>
      <c r="N11744" s="17" t="s">
        <v>81</v>
      </c>
      <c r="U11744" s="17"/>
      <c r="V11744" s="18">
        <f>6281318982939</f>
        <v>6281318982939</v>
      </c>
      <c r="W11744" t="s">
        <v>32151</v>
      </c>
      <c r="AA11744" s="17">
        <v>12940</v>
      </c>
    </row>
    <row r="11745" ht="15" customHeight="1" spans="1:23" x14ac:dyDescent="0.25">
      <c r="A11745" s="17" t="s">
        <v>32152</v>
      </c>
      <c r="B11745" s="17" t="s">
        <v>70</v>
      </c>
      <c r="C11745" s="17" t="s">
        <v>71</v>
      </c>
      <c r="D11745" t="s">
        <v>1208</v>
      </c>
      <c r="F11745" t="s">
        <v>31866</v>
      </c>
      <c r="K11745" s="18">
        <f>6281319809993</f>
        <v>6281319809993</v>
      </c>
      <c r="N11745" s="17" t="s">
        <v>77</v>
      </c>
      <c r="U11745" s="17"/>
      <c r="V11745" s="18">
        <f>6281319809993</f>
        <v>6281319809993</v>
      </c>
      <c r="W11745" t="s">
        <v>32153</v>
      </c>
    </row>
    <row r="11746" ht="15" customHeight="1" spans="1:22" x14ac:dyDescent="0.25">
      <c r="A11746" s="17" t="s">
        <v>32154</v>
      </c>
      <c r="B11746" s="17" t="s">
        <v>70</v>
      </c>
      <c r="C11746" s="17" t="s">
        <v>71</v>
      </c>
      <c r="D11746" t="s">
        <v>1208</v>
      </c>
      <c r="F11746" t="s">
        <v>2936</v>
      </c>
      <c r="K11746" s="18">
        <f>6287881928383</f>
        <v>6287881928383</v>
      </c>
      <c r="N11746" s="17" t="s">
        <v>74</v>
      </c>
      <c r="V11746" s="18">
        <f>6287881928383</f>
        <v>6287881928383</v>
      </c>
    </row>
    <row r="11747" ht="15" customHeight="1" spans="1:23" x14ac:dyDescent="0.25">
      <c r="A11747" s="17" t="s">
        <v>32155</v>
      </c>
      <c r="B11747" s="17" t="s">
        <v>70</v>
      </c>
      <c r="C11747" s="17" t="s">
        <v>71</v>
      </c>
      <c r="D11747" t="s">
        <v>1208</v>
      </c>
      <c r="F11747" t="s">
        <v>32156</v>
      </c>
      <c r="J11747" s="17" t="s">
        <v>32157</v>
      </c>
      <c r="K11747" s="18">
        <f>6281286028888</f>
        <v>6281286028888</v>
      </c>
      <c r="N11747" s="17" t="s">
        <v>81</v>
      </c>
      <c r="U11747" s="17"/>
      <c r="V11747" s="18">
        <f>6281286028888</f>
        <v>6281286028888</v>
      </c>
      <c r="W11747" t="s">
        <v>32158</v>
      </c>
    </row>
    <row r="11748" ht="15" customHeight="1" spans="1:27" x14ac:dyDescent="0.25">
      <c r="A11748" s="17" t="s">
        <v>32159</v>
      </c>
      <c r="B11748" s="17" t="s">
        <v>70</v>
      </c>
      <c r="C11748" s="17" t="s">
        <v>71</v>
      </c>
      <c r="D11748" t="s">
        <v>1208</v>
      </c>
      <c r="F11748" t="s">
        <v>32160</v>
      </c>
      <c r="K11748" s="18">
        <f>6281809126460</f>
        <v>6281809126460</v>
      </c>
      <c r="N11748" s="17" t="s">
        <v>77</v>
      </c>
      <c r="U11748" s="17"/>
      <c r="V11748" s="18">
        <f>6281809126460</f>
        <v>6281809126460</v>
      </c>
      <c r="W11748" t="s">
        <v>32161</v>
      </c>
      <c r="Y11748" s="17" t="s">
        <v>90</v>
      </c>
      <c r="AA11748" s="17">
        <v>12960</v>
      </c>
    </row>
    <row r="11749" ht="15" customHeight="1" spans="1:22" x14ac:dyDescent="0.25">
      <c r="A11749" s="17" t="s">
        <v>32162</v>
      </c>
      <c r="B11749" s="17" t="s">
        <v>70</v>
      </c>
      <c r="C11749" s="17" t="s">
        <v>71</v>
      </c>
      <c r="D11749" t="s">
        <v>1208</v>
      </c>
      <c r="F11749" t="s">
        <v>13174</v>
      </c>
      <c r="K11749" s="18">
        <f>628117226778</f>
        <v>628117226778</v>
      </c>
      <c r="N11749" s="17" t="s">
        <v>77</v>
      </c>
      <c r="V11749" s="18">
        <f>628117226778</f>
        <v>628117226778</v>
      </c>
    </row>
    <row r="11750" ht="15" customHeight="1" spans="1:28" x14ac:dyDescent="0.25">
      <c r="A11750" s="17" t="s">
        <v>32163</v>
      </c>
      <c r="B11750" s="17" t="s">
        <v>70</v>
      </c>
      <c r="C11750" s="17" t="s">
        <v>71</v>
      </c>
      <c r="D11750" t="s">
        <v>1208</v>
      </c>
      <c r="F11750" t="s">
        <v>32164</v>
      </c>
      <c r="J11750" s="17" t="s">
        <v>32165</v>
      </c>
      <c r="K11750" s="18" t="s">
        <v>32166</v>
      </c>
      <c r="N11750" s="17" t="s">
        <v>77</v>
      </c>
      <c r="O11750" t="s">
        <v>199</v>
      </c>
      <c r="V11750" s="18" t="s">
        <v>32166</v>
      </c>
      <c r="Y11750" t="s">
        <v>190</v>
      </c>
      <c r="AA11750" t="s">
        <v>118</v>
      </c>
      <c r="AB11750" t="s">
        <v>119</v>
      </c>
    </row>
    <row r="11751" ht="15" customHeight="1" spans="1:22" x14ac:dyDescent="0.25">
      <c r="A11751" s="17" t="s">
        <v>32167</v>
      </c>
      <c r="B11751" s="17" t="s">
        <v>70</v>
      </c>
      <c r="C11751" s="17" t="s">
        <v>71</v>
      </c>
      <c r="D11751" t="s">
        <v>1208</v>
      </c>
      <c r="F11751" t="s">
        <v>32168</v>
      </c>
      <c r="K11751" s="18">
        <f>62811154129</f>
        <v>62811154129</v>
      </c>
      <c r="N11751" s="17" t="s">
        <v>77</v>
      </c>
      <c r="V11751" s="18">
        <f>62811154129</f>
        <v>62811154129</v>
      </c>
    </row>
    <row r="11752" ht="15" customHeight="1" spans="1:27" x14ac:dyDescent="0.25">
      <c r="A11752" s="17" t="s">
        <v>32169</v>
      </c>
      <c r="B11752" s="17" t="s">
        <v>70</v>
      </c>
      <c r="C11752" s="17" t="s">
        <v>71</v>
      </c>
      <c r="D11752" t="s">
        <v>1208</v>
      </c>
      <c r="F11752" t="s">
        <v>32170</v>
      </c>
      <c r="J11752" s="17" t="s">
        <v>32171</v>
      </c>
      <c r="K11752" s="18">
        <f>6283870001017</f>
        <v>6283870001017</v>
      </c>
      <c r="N11752" s="17" t="s">
        <v>77</v>
      </c>
      <c r="U11752" s="17"/>
      <c r="V11752" s="18">
        <f>6283870001017</f>
        <v>6283870001017</v>
      </c>
      <c r="W11752" t="s">
        <v>32172</v>
      </c>
      <c r="Y11752" s="17" t="s">
        <v>90</v>
      </c>
      <c r="AA11752" s="17">
        <v>12440</v>
      </c>
    </row>
    <row r="11753" ht="15" customHeight="1" spans="1:22" x14ac:dyDescent="0.25">
      <c r="A11753" s="17" t="s">
        <v>32173</v>
      </c>
      <c r="B11753" s="17" t="s">
        <v>70</v>
      </c>
      <c r="C11753" s="17" t="s">
        <v>71</v>
      </c>
      <c r="D11753" t="s">
        <v>1208</v>
      </c>
      <c r="F11753" t="s">
        <v>32174</v>
      </c>
      <c r="K11753" s="18">
        <f>6281382422146</f>
        <v>6281382422146</v>
      </c>
      <c r="N11753" s="17" t="s">
        <v>77</v>
      </c>
      <c r="V11753" s="18">
        <f>6281382422146</f>
        <v>6281382422146</v>
      </c>
    </row>
    <row r="11754" ht="15" customHeight="1" spans="1:22" x14ac:dyDescent="0.25">
      <c r="A11754" s="17" t="s">
        <v>32175</v>
      </c>
      <c r="B11754" s="17" t="s">
        <v>70</v>
      </c>
      <c r="C11754" s="17" t="s">
        <v>71</v>
      </c>
      <c r="D11754" t="s">
        <v>1208</v>
      </c>
      <c r="F11754" t="s">
        <v>7158</v>
      </c>
      <c r="K11754" s="18">
        <f>6282299994893</f>
        <v>6282299994893</v>
      </c>
      <c r="N11754" s="17" t="s">
        <v>81</v>
      </c>
      <c r="V11754" s="18">
        <f>6282299994893</f>
        <v>6282299994893</v>
      </c>
    </row>
    <row r="11755" ht="15" customHeight="1" spans="1:27" x14ac:dyDescent="0.25">
      <c r="A11755" s="17" t="s">
        <v>32176</v>
      </c>
      <c r="B11755" s="17" t="s">
        <v>70</v>
      </c>
      <c r="C11755" s="17" t="s">
        <v>71</v>
      </c>
      <c r="D11755" t="s">
        <v>1208</v>
      </c>
      <c r="F11755" t="s">
        <v>26386</v>
      </c>
      <c r="J11755" s="17" t="s">
        <v>32177</v>
      </c>
      <c r="K11755" s="18">
        <f>6281299393301</f>
        <v>6281299393301</v>
      </c>
      <c r="N11755" s="17" t="s">
        <v>77</v>
      </c>
      <c r="U11755" s="17"/>
      <c r="V11755" s="18">
        <f>6281299393301</f>
        <v>6281299393301</v>
      </c>
      <c r="W11755" t="s">
        <v>32178</v>
      </c>
      <c r="Y11755" s="17" t="s">
        <v>378</v>
      </c>
      <c r="AA11755" s="17">
        <v>10350</v>
      </c>
    </row>
    <row r="11756" ht="15" customHeight="1" spans="1:28" x14ac:dyDescent="0.25">
      <c r="A11756" s="17" t="s">
        <v>32179</v>
      </c>
      <c r="B11756" s="17" t="s">
        <v>70</v>
      </c>
      <c r="C11756" s="17" t="s">
        <v>71</v>
      </c>
      <c r="D11756" t="s">
        <v>32180</v>
      </c>
      <c r="F11756" t="s">
        <v>32181</v>
      </c>
      <c r="J11756" t="s">
        <v>115</v>
      </c>
      <c r="K11756" s="18" t="s">
        <v>32182</v>
      </c>
      <c r="N11756" s="17" t="s">
        <v>77</v>
      </c>
      <c r="O11756" t="s">
        <v>199</v>
      </c>
      <c r="U11756" s="17"/>
      <c r="V11756" s="18" t="s">
        <v>32182</v>
      </c>
      <c r="W11756" t="s">
        <v>26476</v>
      </c>
      <c r="Y11756" s="17" t="s">
        <v>90</v>
      </c>
      <c r="AA11756" t="s">
        <v>118</v>
      </c>
      <c r="AB11756" t="s">
        <v>119</v>
      </c>
    </row>
    <row r="11757" ht="15" customHeight="1" spans="1:22" x14ac:dyDescent="0.25">
      <c r="A11757" s="17" t="s">
        <v>32183</v>
      </c>
      <c r="B11757" s="17" t="s">
        <v>70</v>
      </c>
      <c r="C11757" s="17" t="s">
        <v>71</v>
      </c>
      <c r="D11757" t="s">
        <v>1208</v>
      </c>
      <c r="F11757" t="s">
        <v>32184</v>
      </c>
      <c r="K11757" s="18">
        <f>628127103995</f>
        <v>628127103995</v>
      </c>
      <c r="N11757" s="17" t="s">
        <v>77</v>
      </c>
      <c r="V11757" s="18">
        <f>628127103995</f>
        <v>628127103995</v>
      </c>
    </row>
    <row r="11758" ht="15" customHeight="1" spans="1:28" x14ac:dyDescent="0.25">
      <c r="A11758" s="17" t="s">
        <v>32185</v>
      </c>
      <c r="B11758" s="17" t="s">
        <v>70</v>
      </c>
      <c r="C11758" s="17" t="s">
        <v>71</v>
      </c>
      <c r="D11758" t="s">
        <v>32186</v>
      </c>
      <c r="F11758" t="s">
        <v>31701</v>
      </c>
      <c r="J11758" t="s">
        <v>115</v>
      </c>
      <c r="K11758" s="18" t="s">
        <v>32187</v>
      </c>
      <c r="N11758" s="17" t="s">
        <v>77</v>
      </c>
      <c r="O11758" t="s">
        <v>199</v>
      </c>
      <c r="V11758" s="18" t="s">
        <v>32187</v>
      </c>
      <c r="Y11758" t="s">
        <v>96</v>
      </c>
      <c r="AA11758" t="s">
        <v>693</v>
      </c>
      <c r="AB11758" t="s">
        <v>119</v>
      </c>
    </row>
    <row r="11759" ht="15" customHeight="1" spans="1:25" x14ac:dyDescent="0.25">
      <c r="A11759" s="17" t="s">
        <v>32188</v>
      </c>
      <c r="B11759" s="17" t="s">
        <v>70</v>
      </c>
      <c r="C11759" s="17" t="s">
        <v>71</v>
      </c>
      <c r="D11759" t="s">
        <v>1208</v>
      </c>
      <c r="F11759" t="s">
        <v>3176</v>
      </c>
      <c r="K11759" s="18">
        <f>6281317733689</f>
        <v>6281317733689</v>
      </c>
      <c r="N11759" s="17" t="s">
        <v>77</v>
      </c>
      <c r="U11759" s="17"/>
      <c r="V11759" s="18">
        <f>6281317733689</f>
        <v>6281317733689</v>
      </c>
      <c r="W11759" t="s">
        <v>32189</v>
      </c>
      <c r="Y11759" s="17" t="s">
        <v>6690</v>
      </c>
    </row>
    <row r="11760" ht="15" customHeight="1" spans="1:28" x14ac:dyDescent="0.25">
      <c r="A11760" s="17" t="s">
        <v>32190</v>
      </c>
      <c r="B11760" s="17" t="s">
        <v>70</v>
      </c>
      <c r="C11760" s="17" t="s">
        <v>71</v>
      </c>
      <c r="D11760" t="s">
        <v>1208</v>
      </c>
      <c r="F11760" t="s">
        <v>29330</v>
      </c>
      <c r="J11760" s="17" t="s">
        <v>32191</v>
      </c>
      <c r="K11760" s="18" t="s">
        <v>32192</v>
      </c>
      <c r="N11760" s="17" t="s">
        <v>74</v>
      </c>
      <c r="O11760" t="s">
        <v>145</v>
      </c>
      <c r="V11760" s="18" t="s">
        <v>32192</v>
      </c>
      <c r="Y11760" t="s">
        <v>90</v>
      </c>
      <c r="AA11760" t="s">
        <v>118</v>
      </c>
      <c r="AB11760" t="s">
        <v>119</v>
      </c>
    </row>
    <row r="11761" ht="15" customHeight="1" spans="1:22" x14ac:dyDescent="0.25">
      <c r="A11761" s="17" t="s">
        <v>32193</v>
      </c>
      <c r="B11761" s="17" t="s">
        <v>70</v>
      </c>
      <c r="C11761" s="17" t="s">
        <v>71</v>
      </c>
      <c r="D11761" t="s">
        <v>1208</v>
      </c>
      <c r="F11761" t="s">
        <v>6415</v>
      </c>
      <c r="K11761" s="18">
        <f>6281316237549</f>
        <v>6281316237549</v>
      </c>
      <c r="N11761" s="17" t="s">
        <v>74</v>
      </c>
      <c r="V11761" s="18">
        <f>6281316237549</f>
        <v>6281316237549</v>
      </c>
    </row>
    <row r="11762" ht="15" customHeight="1" spans="1:23" x14ac:dyDescent="0.25">
      <c r="A11762" s="17" t="s">
        <v>32194</v>
      </c>
      <c r="B11762" s="17" t="s">
        <v>70</v>
      </c>
      <c r="C11762" s="17" t="s">
        <v>71</v>
      </c>
      <c r="D11762" t="s">
        <v>1208</v>
      </c>
      <c r="F11762" t="s">
        <v>669</v>
      </c>
      <c r="K11762" s="18">
        <f>6287889925016</f>
        <v>6287889925016</v>
      </c>
      <c r="N11762" s="17" t="s">
        <v>77</v>
      </c>
      <c r="U11762" s="17"/>
      <c r="V11762" s="18">
        <f>6287889925016</f>
        <v>6287889925016</v>
      </c>
      <c r="W11762" t="s">
        <v>32195</v>
      </c>
    </row>
    <row r="11763" ht="15" customHeight="1" spans="1:22" x14ac:dyDescent="0.25">
      <c r="A11763" s="17" t="s">
        <v>32196</v>
      </c>
      <c r="B11763" s="17" t="s">
        <v>70</v>
      </c>
      <c r="C11763" s="17" t="s">
        <v>71</v>
      </c>
      <c r="D11763" t="s">
        <v>1208</v>
      </c>
      <c r="F11763" t="s">
        <v>1850</v>
      </c>
      <c r="K11763" s="18">
        <f>62811928009</f>
        <v>62811928009</v>
      </c>
      <c r="N11763" s="17" t="s">
        <v>77</v>
      </c>
      <c r="V11763" s="18">
        <f>62811928009</f>
        <v>62811928009</v>
      </c>
    </row>
    <row r="11764" ht="15" customHeight="1" spans="1:28" x14ac:dyDescent="0.25">
      <c r="A11764" s="17" t="s">
        <v>32197</v>
      </c>
      <c r="B11764" s="17" t="s">
        <v>70</v>
      </c>
      <c r="C11764" s="17" t="s">
        <v>71</v>
      </c>
      <c r="D11764" t="s">
        <v>1208</v>
      </c>
      <c r="F11764" t="s">
        <v>21953</v>
      </c>
      <c r="J11764" t="s">
        <v>115</v>
      </c>
      <c r="K11764" s="18" t="s">
        <v>32198</v>
      </c>
      <c r="N11764" s="17" t="s">
        <v>74</v>
      </c>
      <c r="O11764" t="s">
        <v>261</v>
      </c>
      <c r="V11764" s="18" t="s">
        <v>32198</v>
      </c>
      <c r="Y11764" t="s">
        <v>90</v>
      </c>
      <c r="AA11764" t="s">
        <v>118</v>
      </c>
      <c r="AB11764" t="s">
        <v>119</v>
      </c>
    </row>
    <row r="11765" ht="15" customHeight="1" spans="1:27" x14ac:dyDescent="0.25">
      <c r="A11765" s="17" t="s">
        <v>32199</v>
      </c>
      <c r="B11765" s="17" t="s">
        <v>70</v>
      </c>
      <c r="C11765" s="17" t="s">
        <v>71</v>
      </c>
      <c r="D11765" t="s">
        <v>1208</v>
      </c>
      <c r="F11765" t="s">
        <v>4476</v>
      </c>
      <c r="K11765" s="18">
        <f>62811808815</f>
        <v>62811808815</v>
      </c>
      <c r="N11765" s="17" t="s">
        <v>77</v>
      </c>
      <c r="U11765" s="17"/>
      <c r="V11765" s="18">
        <f>62811808815</f>
        <v>62811808815</v>
      </c>
      <c r="W11765" t="s">
        <v>32200</v>
      </c>
      <c r="Y11765" s="17" t="s">
        <v>90</v>
      </c>
      <c r="AA11765" s="17">
        <v>10310</v>
      </c>
    </row>
    <row r="11766" ht="15" customHeight="1" spans="1:23" x14ac:dyDescent="0.25">
      <c r="A11766" s="17" t="s">
        <v>32201</v>
      </c>
      <c r="B11766" s="17" t="s">
        <v>70</v>
      </c>
      <c r="C11766" s="17" t="s">
        <v>71</v>
      </c>
      <c r="D11766" t="s">
        <v>32202</v>
      </c>
      <c r="F11766" t="s">
        <v>32202</v>
      </c>
      <c r="J11766" s="17" t="s">
        <v>32203</v>
      </c>
      <c r="K11766" s="18">
        <f>62816940682</f>
        <v>62816940682</v>
      </c>
      <c r="N11766" s="17" t="s">
        <v>77</v>
      </c>
      <c r="U11766" s="17"/>
      <c r="V11766" s="18">
        <f>62816940682</f>
        <v>62816940682</v>
      </c>
      <c r="W11766" t="s">
        <v>32204</v>
      </c>
    </row>
    <row r="11767" ht="15" customHeight="1" spans="1:22" x14ac:dyDescent="0.25">
      <c r="A11767" s="17" t="s">
        <v>32205</v>
      </c>
      <c r="B11767" s="17" t="s">
        <v>70</v>
      </c>
      <c r="C11767" s="17" t="s">
        <v>71</v>
      </c>
      <c r="D11767" t="s">
        <v>18028</v>
      </c>
      <c r="F11767" t="s">
        <v>32206</v>
      </c>
      <c r="K11767" s="18">
        <f>62811994747</f>
        <v>62811994747</v>
      </c>
      <c r="N11767" s="17" t="s">
        <v>81</v>
      </c>
      <c r="V11767" s="18">
        <f>62811994747</f>
        <v>62811994747</v>
      </c>
    </row>
    <row r="11768" ht="15" customHeight="1" spans="1:25" x14ac:dyDescent="0.25">
      <c r="A11768" s="17" t="s">
        <v>32207</v>
      </c>
      <c r="B11768" s="17" t="s">
        <v>70</v>
      </c>
      <c r="C11768" s="17" t="s">
        <v>71</v>
      </c>
      <c r="D11768" t="s">
        <v>18028</v>
      </c>
      <c r="F11768" t="s">
        <v>12610</v>
      </c>
      <c r="K11768" s="18">
        <f>628123807033</f>
        <v>628123807033</v>
      </c>
      <c r="N11768" s="17" t="s">
        <v>77</v>
      </c>
      <c r="U11768" s="17"/>
      <c r="V11768" s="18">
        <f>628123807033</f>
        <v>628123807033</v>
      </c>
      <c r="W11768" t="s">
        <v>32208</v>
      </c>
      <c r="Y11768" s="17" t="s">
        <v>27975</v>
      </c>
    </row>
    <row r="11769" ht="15" customHeight="1" spans="1:22" x14ac:dyDescent="0.25">
      <c r="A11769" s="17" t="s">
        <v>32209</v>
      </c>
      <c r="B11769" s="17" t="s">
        <v>70</v>
      </c>
      <c r="C11769" s="17" t="s">
        <v>71</v>
      </c>
      <c r="D11769" t="s">
        <v>18028</v>
      </c>
      <c r="F11769" t="s">
        <v>32210</v>
      </c>
      <c r="K11769" s="18">
        <f>628111901515</f>
        <v>628111901515</v>
      </c>
      <c r="N11769" s="17" t="s">
        <v>77</v>
      </c>
      <c r="V11769" s="18">
        <f>628111901515</f>
        <v>628111901515</v>
      </c>
    </row>
    <row r="11770" ht="15" customHeight="1" spans="1:28" x14ac:dyDescent="0.25">
      <c r="A11770" s="17" t="s">
        <v>32211</v>
      </c>
      <c r="B11770" s="17" t="s">
        <v>70</v>
      </c>
      <c r="C11770" s="17" t="s">
        <v>71</v>
      </c>
      <c r="D11770" t="s">
        <v>32212</v>
      </c>
      <c r="F11770" t="s">
        <v>32213</v>
      </c>
      <c r="J11770" t="s">
        <v>32214</v>
      </c>
      <c r="K11770" s="18" t="s">
        <v>32215</v>
      </c>
      <c r="N11770" s="17" t="s">
        <v>77</v>
      </c>
      <c r="O11770" t="s">
        <v>145</v>
      </c>
      <c r="U11770" s="17"/>
      <c r="V11770" s="18" t="s">
        <v>32215</v>
      </c>
      <c r="W11770" t="s">
        <v>32216</v>
      </c>
      <c r="Y11770" s="17" t="s">
        <v>4993</v>
      </c>
      <c r="AA11770" t="s">
        <v>115</v>
      </c>
      <c r="AB11770" t="s">
        <v>119</v>
      </c>
    </row>
    <row r="11771" ht="15" customHeight="1" spans="1:25" x14ac:dyDescent="0.25">
      <c r="A11771" s="17" t="s">
        <v>32217</v>
      </c>
      <c r="B11771" s="17" t="s">
        <v>70</v>
      </c>
      <c r="C11771" s="17" t="s">
        <v>71</v>
      </c>
      <c r="D11771" t="s">
        <v>18028</v>
      </c>
      <c r="F11771" t="s">
        <v>30829</v>
      </c>
      <c r="K11771" s="18">
        <f>6281933030021</f>
        <v>6281933030021</v>
      </c>
      <c r="N11771" s="17" t="s">
        <v>77</v>
      </c>
      <c r="U11771" s="17"/>
      <c r="V11771" s="18">
        <f>6281933030021</f>
        <v>6281933030021</v>
      </c>
      <c r="W11771" t="s">
        <v>32218</v>
      </c>
      <c r="Y11771" s="17" t="s">
        <v>27975</v>
      </c>
    </row>
    <row r="11772" ht="15" customHeight="1" spans="1:23" x14ac:dyDescent="0.25">
      <c r="A11772" s="17" t="s">
        <v>32219</v>
      </c>
      <c r="B11772" s="17" t="s">
        <v>70</v>
      </c>
      <c r="C11772" s="17" t="s">
        <v>71</v>
      </c>
      <c r="D11772" t="s">
        <v>32220</v>
      </c>
      <c r="F11772" t="s">
        <v>22903</v>
      </c>
      <c r="J11772" s="17" t="s">
        <v>32221</v>
      </c>
      <c r="K11772" s="18">
        <f>380503398933</f>
        <v>380503398933</v>
      </c>
      <c r="N11772" s="17" t="s">
        <v>77</v>
      </c>
      <c r="U11772" s="17"/>
      <c r="V11772" s="18">
        <f>380503398933</f>
        <v>380503398933</v>
      </c>
      <c r="W11772" t="s">
        <v>2914</v>
      </c>
    </row>
    <row r="11773" ht="15" customHeight="1" spans="1:22" x14ac:dyDescent="0.25">
      <c r="A11773" s="17" t="s">
        <v>32222</v>
      </c>
      <c r="B11773" s="17" t="s">
        <v>70</v>
      </c>
      <c r="C11773" s="17" t="s">
        <v>71</v>
      </c>
      <c r="D11773" t="s">
        <v>32223</v>
      </c>
      <c r="F11773" t="s">
        <v>5035</v>
      </c>
      <c r="K11773" s="18">
        <f>6281329392447</f>
        <v>6281329392447</v>
      </c>
      <c r="N11773" s="17" t="s">
        <v>77</v>
      </c>
      <c r="V11773" s="18">
        <f>6281329392447</f>
        <v>6281329392447</v>
      </c>
    </row>
    <row r="11774" ht="15" customHeight="1" spans="1:23" x14ac:dyDescent="0.25">
      <c r="A11774" s="17" t="s">
        <v>32224</v>
      </c>
      <c r="B11774" s="17" t="s">
        <v>70</v>
      </c>
      <c r="C11774" s="17" t="s">
        <v>71</v>
      </c>
      <c r="D11774" t="s">
        <v>32225</v>
      </c>
      <c r="F11774" t="s">
        <v>13419</v>
      </c>
      <c r="K11774" s="18">
        <f>8615221949381</f>
        <v>8615221949381</v>
      </c>
      <c r="N11774" s="17" t="s">
        <v>77</v>
      </c>
      <c r="U11774" s="17"/>
      <c r="V11774" s="18">
        <f>8615221949381</f>
        <v>8615221949381</v>
      </c>
      <c r="W11774" t="s">
        <v>3140</v>
      </c>
    </row>
    <row r="11775" ht="15" customHeight="1" spans="1:23" x14ac:dyDescent="0.25">
      <c r="A11775" s="17" t="s">
        <v>32226</v>
      </c>
      <c r="B11775" s="17" t="s">
        <v>70</v>
      </c>
      <c r="C11775" s="17" t="s">
        <v>71</v>
      </c>
      <c r="D11775" t="s">
        <v>32225</v>
      </c>
      <c r="F11775" t="s">
        <v>32227</v>
      </c>
      <c r="K11775" s="18">
        <f>6285954733754</f>
        <v>6285954733754</v>
      </c>
      <c r="N11775" s="17" t="s">
        <v>77</v>
      </c>
      <c r="U11775" s="17"/>
      <c r="V11775" s="18">
        <f>6285954733754</f>
        <v>6285954733754</v>
      </c>
      <c r="W11775" t="s">
        <v>7107</v>
      </c>
    </row>
    <row r="11776" ht="15" customHeight="1" spans="1:22" x14ac:dyDescent="0.25">
      <c r="A11776" s="17" t="s">
        <v>32228</v>
      </c>
      <c r="B11776" s="17" t="s">
        <v>70</v>
      </c>
      <c r="C11776" s="17" t="s">
        <v>71</v>
      </c>
      <c r="D11776" t="s">
        <v>32229</v>
      </c>
      <c r="F11776" t="s">
        <v>32230</v>
      </c>
      <c r="K11776" s="18">
        <f>6281385691237</f>
        <v>6281385691237</v>
      </c>
      <c r="N11776" s="17" t="s">
        <v>81</v>
      </c>
      <c r="V11776" s="18">
        <f>6281385691237</f>
        <v>6281385691237</v>
      </c>
    </row>
    <row r="11777" ht="15" customHeight="1" spans="1:23" x14ac:dyDescent="0.25">
      <c r="A11777" s="17" t="s">
        <v>32231</v>
      </c>
      <c r="B11777" s="17" t="s">
        <v>70</v>
      </c>
      <c r="C11777" s="17" t="s">
        <v>71</v>
      </c>
      <c r="D11777" t="s">
        <v>32232</v>
      </c>
      <c r="F11777" t="s">
        <v>3135</v>
      </c>
      <c r="J11777" s="17" t="s">
        <v>32233</v>
      </c>
      <c r="K11777" s="18">
        <f>6592330968</f>
        <v>6592330968</v>
      </c>
      <c r="N11777" s="17" t="s">
        <v>77</v>
      </c>
      <c r="U11777" s="17"/>
      <c r="V11777" s="18">
        <f>6592330968</f>
        <v>6592330968</v>
      </c>
      <c r="W11777" t="s">
        <v>2356</v>
      </c>
    </row>
    <row r="11778" ht="15" customHeight="1" spans="1:23" x14ac:dyDescent="0.25">
      <c r="A11778" s="17" t="s">
        <v>32234</v>
      </c>
      <c r="B11778" s="17" t="s">
        <v>70</v>
      </c>
      <c r="C11778" s="17" t="s">
        <v>71</v>
      </c>
      <c r="D11778" t="s">
        <v>32232</v>
      </c>
      <c r="F11778" t="s">
        <v>32235</v>
      </c>
      <c r="K11778" s="18">
        <f>8615024406113</f>
        <v>8615024406113</v>
      </c>
      <c r="N11778" s="17" t="s">
        <v>77</v>
      </c>
      <c r="U11778" s="17"/>
      <c r="V11778" s="18">
        <f>8615024406113</f>
        <v>8615024406113</v>
      </c>
      <c r="W11778" t="s">
        <v>7376</v>
      </c>
    </row>
    <row r="11779" ht="15" customHeight="1" spans="1:22" x14ac:dyDescent="0.25">
      <c r="A11779" s="17" t="s">
        <v>32236</v>
      </c>
      <c r="B11779" s="17" t="s">
        <v>70</v>
      </c>
      <c r="C11779" s="17" t="s">
        <v>71</v>
      </c>
      <c r="D11779" t="s">
        <v>32237</v>
      </c>
      <c r="F11779" t="s">
        <v>6095</v>
      </c>
      <c r="K11779" s="18">
        <f>6282123539660</f>
        <v>6282123539660</v>
      </c>
      <c r="N11779" s="17" t="s">
        <v>81</v>
      </c>
      <c r="V11779" s="18">
        <f>6282123539660</f>
        <v>6282123539660</v>
      </c>
    </row>
    <row r="11780" ht="15" customHeight="1" spans="1:22" x14ac:dyDescent="0.25">
      <c r="A11780" s="17" t="s">
        <v>32238</v>
      </c>
      <c r="B11780" s="17" t="s">
        <v>70</v>
      </c>
      <c r="C11780" s="17" t="s">
        <v>71</v>
      </c>
      <c r="D11780" t="s">
        <v>6979</v>
      </c>
      <c r="F11780" t="s">
        <v>7124</v>
      </c>
      <c r="K11780" s="18">
        <f>6281322967103</f>
        <v>6281322967103</v>
      </c>
      <c r="N11780" s="17" t="s">
        <v>81</v>
      </c>
      <c r="V11780" s="18">
        <f>6281322967103</f>
        <v>6281322967103</v>
      </c>
    </row>
    <row r="11781" ht="15" customHeight="1" spans="1:22" x14ac:dyDescent="0.25">
      <c r="A11781" s="17" t="s">
        <v>32239</v>
      </c>
      <c r="B11781" s="17" t="s">
        <v>70</v>
      </c>
      <c r="C11781" s="17" t="s">
        <v>71</v>
      </c>
      <c r="D11781" t="s">
        <v>6979</v>
      </c>
      <c r="F11781" t="s">
        <v>10788</v>
      </c>
      <c r="K11781" s="18">
        <f>6281286536789</f>
        <v>6281286536789</v>
      </c>
      <c r="N11781" s="17" t="s">
        <v>81</v>
      </c>
      <c r="V11781" s="18">
        <f>6281286536789</f>
        <v>6281286536789</v>
      </c>
    </row>
    <row r="11782" ht="15" customHeight="1" spans="1:22" x14ac:dyDescent="0.25">
      <c r="A11782" s="17" t="s">
        <v>32240</v>
      </c>
      <c r="B11782" s="17" t="s">
        <v>70</v>
      </c>
      <c r="C11782" s="17" t="s">
        <v>71</v>
      </c>
      <c r="D11782" t="s">
        <v>13426</v>
      </c>
      <c r="F11782" t="s">
        <v>19897</v>
      </c>
      <c r="J11782" s="17" t="s">
        <v>32241</v>
      </c>
      <c r="K11782" s="18">
        <f>6281291133198</f>
        <v>6281291133198</v>
      </c>
      <c r="N11782" s="17" t="s">
        <v>77</v>
      </c>
      <c r="V11782" s="18">
        <f>6281291133198</f>
        <v>6281291133198</v>
      </c>
    </row>
    <row r="11783" ht="15" customHeight="1" spans="1:22" x14ac:dyDescent="0.25">
      <c r="A11783" s="17" t="s">
        <v>32242</v>
      </c>
      <c r="B11783" s="17" t="s">
        <v>70</v>
      </c>
      <c r="C11783" s="17" t="s">
        <v>71</v>
      </c>
      <c r="D11783" t="s">
        <v>32243</v>
      </c>
      <c r="F11783" t="s">
        <v>1208</v>
      </c>
      <c r="K11783" s="18">
        <f>6287855043482</f>
        <v>6287855043482</v>
      </c>
      <c r="N11783" s="17" t="s">
        <v>77</v>
      </c>
      <c r="V11783" s="18">
        <f>6287855043482</f>
        <v>6287855043482</v>
      </c>
    </row>
    <row r="11784" ht="15" customHeight="1" spans="1:22" x14ac:dyDescent="0.25">
      <c r="A11784" s="17" t="s">
        <v>32244</v>
      </c>
      <c r="B11784" s="17" t="s">
        <v>70</v>
      </c>
      <c r="C11784" s="17" t="s">
        <v>71</v>
      </c>
      <c r="D11784" t="s">
        <v>32245</v>
      </c>
      <c r="F11784" t="s">
        <v>32245</v>
      </c>
      <c r="K11784" s="18">
        <f>6281323922562</f>
        <v>6281323922562</v>
      </c>
      <c r="N11784" s="17" t="s">
        <v>77</v>
      </c>
      <c r="V11784" s="18">
        <f>6281323922562</f>
        <v>6281323922562</v>
      </c>
    </row>
    <row r="11785" ht="15" customHeight="1" spans="1:22" x14ac:dyDescent="0.25">
      <c r="A11785" s="17" t="s">
        <v>32246</v>
      </c>
      <c r="B11785" s="17" t="s">
        <v>70</v>
      </c>
      <c r="C11785" s="17" t="s">
        <v>71</v>
      </c>
      <c r="D11785" t="s">
        <v>32245</v>
      </c>
      <c r="F11785" t="s">
        <v>21814</v>
      </c>
      <c r="K11785" s="18">
        <f>6282111122608</f>
        <v>6282111122608</v>
      </c>
      <c r="N11785" s="17" t="s">
        <v>77</v>
      </c>
      <c r="V11785" s="18">
        <f>6282111122608</f>
        <v>6282111122608</v>
      </c>
    </row>
    <row r="11786" ht="15" customHeight="1" spans="1:28" x14ac:dyDescent="0.25">
      <c r="A11786" s="17" t="s">
        <v>32247</v>
      </c>
      <c r="B11786" s="17" t="s">
        <v>70</v>
      </c>
      <c r="C11786" s="17" t="s">
        <v>71</v>
      </c>
      <c r="D11786" t="s">
        <v>32245</v>
      </c>
      <c r="F11786" t="s">
        <v>32248</v>
      </c>
      <c r="J11786" s="17" t="s">
        <v>32249</v>
      </c>
      <c r="K11786" s="18" t="s">
        <v>32250</v>
      </c>
      <c r="N11786" s="17" t="s">
        <v>77</v>
      </c>
      <c r="O11786" t="s">
        <v>117</v>
      </c>
      <c r="U11786" s="17"/>
      <c r="V11786" s="18" t="s">
        <v>32250</v>
      </c>
      <c r="W11786" t="s">
        <v>3140</v>
      </c>
      <c r="Y11786" t="s">
        <v>3140</v>
      </c>
      <c r="AA11786" t="s">
        <v>115</v>
      </c>
      <c r="AB11786" t="s">
        <v>3140</v>
      </c>
    </row>
    <row r="11787" ht="15" customHeight="1" spans="1:28" x14ac:dyDescent="0.25">
      <c r="A11787" s="17" t="s">
        <v>32251</v>
      </c>
      <c r="B11787" s="17" t="s">
        <v>70</v>
      </c>
      <c r="C11787" s="17" t="s">
        <v>71</v>
      </c>
      <c r="D11787" t="s">
        <v>32245</v>
      </c>
      <c r="F11787" t="s">
        <v>6612</v>
      </c>
      <c r="J11787" s="17" t="s">
        <v>32252</v>
      </c>
      <c r="K11787" s="18" t="s">
        <v>32253</v>
      </c>
      <c r="N11787" s="17" t="s">
        <v>77</v>
      </c>
      <c r="O11787" t="s">
        <v>117</v>
      </c>
      <c r="V11787" s="18" t="s">
        <v>32253</v>
      </c>
      <c r="Y11787" t="s">
        <v>115</v>
      </c>
      <c r="AA11787" t="s">
        <v>115</v>
      </c>
      <c r="AB11787" t="s">
        <v>3140</v>
      </c>
    </row>
    <row r="11788" ht="15" customHeight="1" spans="1:23" x14ac:dyDescent="0.25">
      <c r="A11788" s="17" t="s">
        <v>32254</v>
      </c>
      <c r="B11788" s="17" t="s">
        <v>70</v>
      </c>
      <c r="C11788" s="17" t="s">
        <v>71</v>
      </c>
      <c r="D11788" t="s">
        <v>32255</v>
      </c>
      <c r="F11788" t="s">
        <v>32256</v>
      </c>
      <c r="J11788" s="17" t="s">
        <v>32257</v>
      </c>
      <c r="K11788" s="18">
        <f>8613862564061</f>
        <v>8613862564061</v>
      </c>
      <c r="N11788" s="17" t="s">
        <v>77</v>
      </c>
      <c r="U11788" s="17"/>
      <c r="V11788" s="18">
        <f>8613862564061</f>
        <v>8613862564061</v>
      </c>
      <c r="W11788" t="s">
        <v>32258</v>
      </c>
    </row>
    <row r="11789" ht="15" customHeight="1" spans="1:22" x14ac:dyDescent="0.25">
      <c r="A11789" s="17" t="s">
        <v>32259</v>
      </c>
      <c r="B11789" s="17" t="s">
        <v>70</v>
      </c>
      <c r="C11789" s="17" t="s">
        <v>71</v>
      </c>
      <c r="D11789" t="s">
        <v>32260</v>
      </c>
      <c r="F11789" t="s">
        <v>10788</v>
      </c>
      <c r="K11789" s="18">
        <f>8618373114088</f>
        <v>8618373114088</v>
      </c>
      <c r="N11789" s="17" t="s">
        <v>77</v>
      </c>
      <c r="V11789" s="18">
        <f>8618373114088</f>
        <v>8618373114088</v>
      </c>
    </row>
    <row r="11790" ht="15" customHeight="1" spans="1:23" x14ac:dyDescent="0.25">
      <c r="A11790" s="17" t="s">
        <v>32261</v>
      </c>
      <c r="B11790" s="17" t="s">
        <v>70</v>
      </c>
      <c r="C11790" s="17" t="s">
        <v>71</v>
      </c>
      <c r="D11790" t="s">
        <v>32262</v>
      </c>
      <c r="F11790" t="s">
        <v>322</v>
      </c>
      <c r="K11790" s="18">
        <f>628121920803</f>
        <v>628121920803</v>
      </c>
      <c r="N11790" s="17" t="s">
        <v>81</v>
      </c>
      <c r="U11790" s="17"/>
      <c r="V11790" s="18">
        <f>628121920803</f>
        <v>628121920803</v>
      </c>
      <c r="W11790" t="s">
        <v>32263</v>
      </c>
    </row>
    <row r="11791" ht="15" customHeight="1" spans="1:25" x14ac:dyDescent="0.25">
      <c r="A11791" s="17" t="s">
        <v>32264</v>
      </c>
      <c r="B11791" s="17" t="s">
        <v>70</v>
      </c>
      <c r="C11791" s="17" t="s">
        <v>71</v>
      </c>
      <c r="D11791" t="s">
        <v>32265</v>
      </c>
      <c r="F11791" t="s">
        <v>32266</v>
      </c>
      <c r="J11791" s="17" t="s">
        <v>32267</v>
      </c>
      <c r="K11791" s="18">
        <f>62816999510</f>
        <v>62816999510</v>
      </c>
      <c r="N11791" s="17" t="s">
        <v>77</v>
      </c>
      <c r="U11791" s="17"/>
      <c r="V11791" s="18">
        <f>62816999510</f>
        <v>62816999510</v>
      </c>
      <c r="W11791" t="s">
        <v>32268</v>
      </c>
      <c r="Y11791" s="17" t="s">
        <v>515</v>
      </c>
    </row>
    <row r="11792" ht="15" customHeight="1" spans="1:22" x14ac:dyDescent="0.25">
      <c r="A11792" s="17" t="s">
        <v>32269</v>
      </c>
      <c r="B11792" s="17" t="s">
        <v>70</v>
      </c>
      <c r="C11792" s="17" t="s">
        <v>71</v>
      </c>
      <c r="D11792" t="s">
        <v>32270</v>
      </c>
      <c r="F11792" t="s">
        <v>7400</v>
      </c>
      <c r="K11792" s="18">
        <f>6281212660666</f>
        <v>6281212660666</v>
      </c>
      <c r="N11792" s="17" t="s">
        <v>81</v>
      </c>
      <c r="V11792" s="18">
        <f>6281212660666</f>
        <v>6281212660666</v>
      </c>
    </row>
    <row r="11793" ht="15" customHeight="1" spans="1:28" x14ac:dyDescent="0.25">
      <c r="A11793" s="17" t="s">
        <v>32271</v>
      </c>
      <c r="B11793" s="17" t="s">
        <v>70</v>
      </c>
      <c r="C11793" s="17" t="s">
        <v>71</v>
      </c>
      <c r="D11793" t="s">
        <v>32270</v>
      </c>
      <c r="F11793" t="s">
        <v>32272</v>
      </c>
      <c r="J11793" s="17" t="s">
        <v>32273</v>
      </c>
      <c r="K11793" s="18" t="s">
        <v>32274</v>
      </c>
      <c r="N11793" s="17" t="s">
        <v>77</v>
      </c>
      <c r="O11793" t="s">
        <v>145</v>
      </c>
      <c r="V11793" s="18" t="s">
        <v>32274</v>
      </c>
      <c r="Y11793" s="17" t="s">
        <v>148</v>
      </c>
      <c r="AA11793" t="s">
        <v>115</v>
      </c>
      <c r="AB11793" t="s">
        <v>148</v>
      </c>
    </row>
    <row r="11794" ht="15" customHeight="1" spans="1:22" x14ac:dyDescent="0.25">
      <c r="A11794" s="17" t="s">
        <v>32275</v>
      </c>
      <c r="B11794" s="17" t="s">
        <v>70</v>
      </c>
      <c r="C11794" s="17" t="s">
        <v>71</v>
      </c>
      <c r="D11794" t="s">
        <v>27742</v>
      </c>
      <c r="F11794" t="s">
        <v>32276</v>
      </c>
      <c r="K11794" s="18">
        <f>6281311868388</f>
        <v>6281311868388</v>
      </c>
      <c r="N11794" s="17" t="s">
        <v>77</v>
      </c>
      <c r="V11794" s="18">
        <f>6281311868388</f>
        <v>6281311868388</v>
      </c>
    </row>
    <row r="11795" ht="15" customHeight="1" spans="1:28" x14ac:dyDescent="0.25">
      <c r="A11795" s="17" t="s">
        <v>32277</v>
      </c>
      <c r="B11795" s="17" t="s">
        <v>70</v>
      </c>
      <c r="C11795" s="17" t="s">
        <v>71</v>
      </c>
      <c r="D11795" t="s">
        <v>32278</v>
      </c>
      <c r="F11795" t="s">
        <v>20684</v>
      </c>
      <c r="J11795" t="s">
        <v>115</v>
      </c>
      <c r="K11795" s="18" t="s">
        <v>32279</v>
      </c>
      <c r="N11795" s="17" t="s">
        <v>77</v>
      </c>
      <c r="O11795" t="s">
        <v>199</v>
      </c>
      <c r="V11795" s="18" t="s">
        <v>32279</v>
      </c>
      <c r="Y11795" t="s">
        <v>3140</v>
      </c>
      <c r="AA11795" t="s">
        <v>115</v>
      </c>
      <c r="AB11795" t="s">
        <v>3140</v>
      </c>
    </row>
    <row r="11796" ht="15" customHeight="1" spans="1:28" x14ac:dyDescent="0.25">
      <c r="A11796" s="17" t="s">
        <v>32280</v>
      </c>
      <c r="B11796" s="17" t="s">
        <v>70</v>
      </c>
      <c r="C11796" s="17" t="s">
        <v>71</v>
      </c>
      <c r="D11796" t="s">
        <v>27687</v>
      </c>
      <c r="F11796" t="s">
        <v>19072</v>
      </c>
      <c r="J11796" t="s">
        <v>115</v>
      </c>
      <c r="K11796" s="18" t="s">
        <v>32281</v>
      </c>
      <c r="N11796" s="17" t="s">
        <v>74</v>
      </c>
      <c r="O11796" t="s">
        <v>117</v>
      </c>
      <c r="V11796" s="18" t="s">
        <v>32281</v>
      </c>
      <c r="Y11796" t="s">
        <v>90</v>
      </c>
      <c r="AA11796" t="s">
        <v>118</v>
      </c>
      <c r="AB11796" t="s">
        <v>119</v>
      </c>
    </row>
    <row r="11797" ht="15" customHeight="1" spans="1:23" x14ac:dyDescent="0.25">
      <c r="A11797" s="17" t="s">
        <v>32282</v>
      </c>
      <c r="B11797" s="17" t="s">
        <v>70</v>
      </c>
      <c r="C11797" s="17" t="s">
        <v>71</v>
      </c>
      <c r="D11797" t="s">
        <v>32283</v>
      </c>
      <c r="F11797" t="s">
        <v>32284</v>
      </c>
      <c r="K11797" s="18">
        <f>628111700027</f>
        <v>628111700027</v>
      </c>
      <c r="N11797" s="17" t="s">
        <v>77</v>
      </c>
      <c r="U11797" s="17"/>
      <c r="V11797" s="18">
        <f>628111700027</f>
        <v>628111700027</v>
      </c>
      <c r="W11797" t="s">
        <v>32285</v>
      </c>
    </row>
    <row r="11798" ht="15" customHeight="1" spans="1:22" x14ac:dyDescent="0.25">
      <c r="A11798" s="17" t="s">
        <v>32286</v>
      </c>
      <c r="B11798" s="17" t="s">
        <v>70</v>
      </c>
      <c r="C11798" s="17" t="s">
        <v>71</v>
      </c>
      <c r="D11798" t="s">
        <v>32287</v>
      </c>
      <c r="F11798" t="s">
        <v>20353</v>
      </c>
      <c r="K11798" s="18">
        <f>8129233824</f>
        <v>8129233824</v>
      </c>
      <c r="N11798" s="17" t="s">
        <v>81</v>
      </c>
      <c r="V11798" s="18">
        <f>8129233824</f>
        <v>8129233824</v>
      </c>
    </row>
    <row r="11799" ht="15" customHeight="1" spans="1:28" x14ac:dyDescent="0.25">
      <c r="A11799" s="17" t="s">
        <v>32288</v>
      </c>
      <c r="B11799" s="17" t="s">
        <v>70</v>
      </c>
      <c r="C11799" s="17" t="s">
        <v>71</v>
      </c>
      <c r="D11799" t="s">
        <v>32289</v>
      </c>
      <c r="F11799" t="s">
        <v>32290</v>
      </c>
      <c r="J11799" t="s">
        <v>115</v>
      </c>
      <c r="K11799" s="18" t="s">
        <v>32291</v>
      </c>
      <c r="N11799" s="17" t="s">
        <v>77</v>
      </c>
      <c r="O11799" t="s">
        <v>199</v>
      </c>
      <c r="U11799" s="17"/>
      <c r="V11799" s="18" t="s">
        <v>32291</v>
      </c>
      <c r="W11799" t="s">
        <v>32292</v>
      </c>
      <c r="Y11799" t="s">
        <v>90</v>
      </c>
      <c r="AA11799" s="17" t="s">
        <v>118</v>
      </c>
      <c r="AB11799" t="s">
        <v>119</v>
      </c>
    </row>
    <row r="11800" ht="15" customHeight="1" spans="1:22" x14ac:dyDescent="0.25">
      <c r="A11800" s="17" t="s">
        <v>32293</v>
      </c>
      <c r="B11800" s="17" t="s">
        <v>70</v>
      </c>
      <c r="C11800" s="17" t="s">
        <v>71</v>
      </c>
      <c r="D11800" t="s">
        <v>32294</v>
      </c>
      <c r="F11800" t="s">
        <v>32294</v>
      </c>
      <c r="K11800" s="18">
        <f>6281219545009</f>
        <v>6281219545009</v>
      </c>
      <c r="N11800" s="17" t="s">
        <v>77</v>
      </c>
      <c r="V11800" s="18">
        <f>6281219545009</f>
        <v>6281219545009</v>
      </c>
    </row>
    <row r="11801" ht="15" customHeight="1" spans="1:22" x14ac:dyDescent="0.25">
      <c r="A11801" s="17" t="s">
        <v>32295</v>
      </c>
      <c r="B11801" s="17" t="s">
        <v>70</v>
      </c>
      <c r="C11801" s="17" t="s">
        <v>71</v>
      </c>
      <c r="D11801" t="s">
        <v>32296</v>
      </c>
      <c r="F11801" t="s">
        <v>19683</v>
      </c>
      <c r="K11801" s="18">
        <f>62818118820</f>
        <v>62818118820</v>
      </c>
      <c r="N11801" s="17" t="s">
        <v>77</v>
      </c>
      <c r="V11801" s="18">
        <f>62818118820</f>
        <v>62818118820</v>
      </c>
    </row>
    <row r="11802" ht="15" customHeight="1" spans="1:28" x14ac:dyDescent="0.25">
      <c r="A11802" s="17" t="s">
        <v>32297</v>
      </c>
      <c r="B11802" s="17" t="s">
        <v>70</v>
      </c>
      <c r="C11802" s="17" t="s">
        <v>71</v>
      </c>
      <c r="D11802" t="s">
        <v>32298</v>
      </c>
      <c r="F11802" t="s">
        <v>6082</v>
      </c>
      <c r="J11802" t="s">
        <v>115</v>
      </c>
      <c r="K11802" s="18" t="s">
        <v>32299</v>
      </c>
      <c r="N11802" s="17" t="s">
        <v>77</v>
      </c>
      <c r="O11802" t="s">
        <v>145</v>
      </c>
      <c r="V11802" s="18" t="s">
        <v>32299</v>
      </c>
      <c r="Y11802" t="s">
        <v>115</v>
      </c>
      <c r="AA11802" t="s">
        <v>115</v>
      </c>
      <c r="AB11802" t="s">
        <v>119</v>
      </c>
    </row>
    <row r="11803" ht="15" customHeight="1" spans="1:25" x14ac:dyDescent="0.25">
      <c r="A11803" s="17" t="s">
        <v>32300</v>
      </c>
      <c r="B11803" s="17" t="s">
        <v>70</v>
      </c>
      <c r="C11803" s="17" t="s">
        <v>71</v>
      </c>
      <c r="D11803" t="s">
        <v>2517</v>
      </c>
      <c r="F11803" t="s">
        <v>16593</v>
      </c>
      <c r="K11803" s="18">
        <f>628122036676</f>
        <v>628122036676</v>
      </c>
      <c r="N11803" s="17" t="s">
        <v>81</v>
      </c>
      <c r="U11803" s="17"/>
      <c r="V11803" s="18">
        <f>628122036676</f>
        <v>628122036676</v>
      </c>
      <c r="W11803" t="s">
        <v>32301</v>
      </c>
      <c r="Y11803" s="17" t="s">
        <v>500</v>
      </c>
    </row>
    <row r="11804" ht="15" customHeight="1" spans="1:22" x14ac:dyDescent="0.25">
      <c r="A11804" s="17" t="s">
        <v>32302</v>
      </c>
      <c r="B11804" s="17" t="s">
        <v>70</v>
      </c>
      <c r="C11804" s="17" t="s">
        <v>71</v>
      </c>
      <c r="D11804" t="s">
        <v>2517</v>
      </c>
      <c r="F11804" t="s">
        <v>32303</v>
      </c>
      <c r="K11804" s="18">
        <f>6281388220837</f>
        <v>6281388220837</v>
      </c>
      <c r="N11804" s="17" t="s">
        <v>81</v>
      </c>
      <c r="V11804" s="18">
        <f>6281388220837</f>
        <v>6281388220837</v>
      </c>
    </row>
    <row r="11805" ht="15" customHeight="1" spans="1:22" x14ac:dyDescent="0.25">
      <c r="A11805" s="17" t="s">
        <v>32304</v>
      </c>
      <c r="B11805" s="17" t="s">
        <v>70</v>
      </c>
      <c r="C11805" s="17" t="s">
        <v>71</v>
      </c>
      <c r="D11805" t="s">
        <v>1434</v>
      </c>
      <c r="F11805" t="s">
        <v>1337</v>
      </c>
      <c r="K11805" s="18">
        <f>62811725650</f>
        <v>62811725650</v>
      </c>
      <c r="N11805" s="17" t="s">
        <v>77</v>
      </c>
      <c r="V11805" s="18">
        <f>62811725650</f>
        <v>62811725650</v>
      </c>
    </row>
    <row r="11806" ht="15" customHeight="1" spans="1:27" x14ac:dyDescent="0.25">
      <c r="A11806" s="17" t="s">
        <v>32305</v>
      </c>
      <c r="B11806" s="17" t="s">
        <v>70</v>
      </c>
      <c r="C11806" s="17" t="s">
        <v>71</v>
      </c>
      <c r="D11806" t="s">
        <v>1434</v>
      </c>
      <c r="F11806" t="s">
        <v>5459</v>
      </c>
      <c r="K11806" s="18">
        <f>62811898598</f>
        <v>62811898598</v>
      </c>
      <c r="N11806" s="17" t="s">
        <v>77</v>
      </c>
      <c r="U11806" s="17"/>
      <c r="V11806" s="18">
        <f>62811898598</f>
        <v>62811898598</v>
      </c>
      <c r="W11806" t="s">
        <v>32306</v>
      </c>
      <c r="Y11806" s="17" t="s">
        <v>96</v>
      </c>
      <c r="AA11806" s="17" t="s">
        <v>26476</v>
      </c>
    </row>
    <row r="11807" ht="15" customHeight="1" spans="1:23" x14ac:dyDescent="0.25">
      <c r="A11807" s="17" t="s">
        <v>32307</v>
      </c>
      <c r="B11807" s="17" t="s">
        <v>70</v>
      </c>
      <c r="C11807" s="17" t="s">
        <v>71</v>
      </c>
      <c r="D11807" t="s">
        <v>1434</v>
      </c>
      <c r="F11807" t="s">
        <v>5391</v>
      </c>
      <c r="J11807" s="17" t="s">
        <v>32308</v>
      </c>
      <c r="K11807" s="18">
        <f>6287877737774</f>
        <v>6287877737774</v>
      </c>
      <c r="N11807" s="17" t="s">
        <v>77</v>
      </c>
      <c r="U11807" s="17"/>
      <c r="V11807" s="18">
        <f>6287877737774</f>
        <v>6287877737774</v>
      </c>
      <c r="W11807" t="s">
        <v>32309</v>
      </c>
    </row>
    <row r="11808" ht="15" customHeight="1" spans="1:22" x14ac:dyDescent="0.25">
      <c r="A11808" s="17" t="s">
        <v>32310</v>
      </c>
      <c r="B11808" s="17" t="s">
        <v>70</v>
      </c>
      <c r="C11808" s="17" t="s">
        <v>71</v>
      </c>
      <c r="D11808" t="s">
        <v>1434</v>
      </c>
      <c r="F11808" t="s">
        <v>6671</v>
      </c>
      <c r="K11808" s="18">
        <v>271857652</v>
      </c>
      <c r="N11808" s="17" t="s">
        <v>74</v>
      </c>
      <c r="V11808" s="18">
        <v>271857652</v>
      </c>
    </row>
    <row r="11809" ht="15" customHeight="1" spans="1:22" x14ac:dyDescent="0.25">
      <c r="A11809" s="17" t="s">
        <v>32311</v>
      </c>
      <c r="B11809" s="17" t="s">
        <v>70</v>
      </c>
      <c r="C11809" s="17" t="s">
        <v>71</v>
      </c>
      <c r="D11809" t="s">
        <v>1434</v>
      </c>
      <c r="F11809" t="s">
        <v>14193</v>
      </c>
      <c r="K11809" s="18">
        <f>6281349591166</f>
        <v>6281349591166</v>
      </c>
      <c r="N11809" s="17" t="s">
        <v>77</v>
      </c>
      <c r="V11809" s="18">
        <f>6281349591166</f>
        <v>6281349591166</v>
      </c>
    </row>
    <row r="11810" ht="15" customHeight="1" spans="1:23" x14ac:dyDescent="0.25">
      <c r="A11810" s="17" t="s">
        <v>32312</v>
      </c>
      <c r="B11810" s="17" t="s">
        <v>70</v>
      </c>
      <c r="C11810" s="17" t="s">
        <v>71</v>
      </c>
      <c r="D11810" t="s">
        <v>1434</v>
      </c>
      <c r="F11810" t="s">
        <v>4669</v>
      </c>
      <c r="K11810" s="18">
        <f>62811803003</f>
        <v>62811803003</v>
      </c>
      <c r="N11810" s="17" t="s">
        <v>77</v>
      </c>
      <c r="U11810" s="17"/>
      <c r="V11810" s="18">
        <f>62811803003</f>
        <v>62811803003</v>
      </c>
      <c r="W11810" t="s">
        <v>32313</v>
      </c>
    </row>
    <row r="11811" ht="15" customHeight="1" spans="1:28" x14ac:dyDescent="0.25">
      <c r="A11811" s="17" t="s">
        <v>32314</v>
      </c>
      <c r="B11811" s="17" t="s">
        <v>70</v>
      </c>
      <c r="C11811" s="17" t="s">
        <v>71</v>
      </c>
      <c r="D11811" t="s">
        <v>32315</v>
      </c>
      <c r="F11811" t="s">
        <v>32316</v>
      </c>
      <c r="J11811" t="s">
        <v>115</v>
      </c>
      <c r="K11811" s="18" t="s">
        <v>32317</v>
      </c>
      <c r="N11811" s="17" t="s">
        <v>74</v>
      </c>
      <c r="O11811" t="s">
        <v>117</v>
      </c>
      <c r="U11811" s="17"/>
      <c r="V11811" s="18" t="s">
        <v>32317</v>
      </c>
      <c r="W11811" t="s">
        <v>32318</v>
      </c>
      <c r="Y11811" t="s">
        <v>90</v>
      </c>
      <c r="AA11811" t="s">
        <v>118</v>
      </c>
      <c r="AB11811" t="s">
        <v>119</v>
      </c>
    </row>
    <row r="11812" ht="15" customHeight="1" spans="1:22" x14ac:dyDescent="0.25">
      <c r="A11812" s="17" t="s">
        <v>32319</v>
      </c>
      <c r="B11812" s="17" t="s">
        <v>70</v>
      </c>
      <c r="C11812" s="17" t="s">
        <v>71</v>
      </c>
      <c r="D11812" t="s">
        <v>1434</v>
      </c>
      <c r="F11812" t="s">
        <v>32320</v>
      </c>
      <c r="K11812" s="18">
        <f>6281321767676</f>
        <v>6281321767676</v>
      </c>
      <c r="N11812" s="17" t="s">
        <v>77</v>
      </c>
      <c r="V11812" s="18">
        <f>6281321767676</f>
        <v>6281321767676</v>
      </c>
    </row>
    <row r="11813" ht="15" customHeight="1" spans="1:23" x14ac:dyDescent="0.25">
      <c r="A11813" s="17" t="s">
        <v>32321</v>
      </c>
      <c r="B11813" s="17" t="s">
        <v>70</v>
      </c>
      <c r="C11813" s="17" t="s">
        <v>71</v>
      </c>
      <c r="D11813" t="s">
        <v>32322</v>
      </c>
      <c r="F11813" t="s">
        <v>32323</v>
      </c>
      <c r="K11813" s="18">
        <f>62811878139</f>
        <v>62811878139</v>
      </c>
      <c r="N11813" s="17" t="s">
        <v>74</v>
      </c>
      <c r="U11813" s="17"/>
      <c r="V11813" s="18">
        <f>62811878139</f>
        <v>62811878139</v>
      </c>
      <c r="W11813" t="s">
        <v>32324</v>
      </c>
    </row>
    <row r="11814" ht="15" customHeight="1" spans="1:22" x14ac:dyDescent="0.25">
      <c r="A11814" s="17" t="s">
        <v>32325</v>
      </c>
      <c r="B11814" s="17" t="s">
        <v>70</v>
      </c>
      <c r="C11814" s="17" t="s">
        <v>71</v>
      </c>
      <c r="D11814" t="s">
        <v>32326</v>
      </c>
      <c r="F11814" t="s">
        <v>1589</v>
      </c>
      <c r="K11814" s="18">
        <f>6281321348484</f>
        <v>6281321348484</v>
      </c>
      <c r="N11814" s="17" t="s">
        <v>81</v>
      </c>
      <c r="V11814" s="18">
        <f>6281321348484</f>
        <v>6281321348484</v>
      </c>
    </row>
    <row r="11815" ht="15" customHeight="1" spans="1:25" x14ac:dyDescent="0.25">
      <c r="A11815" s="17" t="s">
        <v>32327</v>
      </c>
      <c r="B11815" s="17" t="s">
        <v>70</v>
      </c>
      <c r="C11815" s="17" t="s">
        <v>71</v>
      </c>
      <c r="D11815" t="s">
        <v>32328</v>
      </c>
      <c r="F11815" t="s">
        <v>32329</v>
      </c>
      <c r="K11815" s="18">
        <f>62318042208</f>
        <v>62318042208</v>
      </c>
      <c r="N11815" s="17" t="s">
        <v>77</v>
      </c>
      <c r="V11815" s="18">
        <f>62318042208</f>
        <v>62318042208</v>
      </c>
      <c r="Y11815" s="17" t="s">
        <v>181</v>
      </c>
    </row>
    <row r="11816" ht="15" customHeight="1" spans="1:23" x14ac:dyDescent="0.25">
      <c r="A11816" s="17" t="s">
        <v>32330</v>
      </c>
      <c r="B11816" s="17" t="s">
        <v>70</v>
      </c>
      <c r="C11816" s="17" t="s">
        <v>71</v>
      </c>
      <c r="D11816" t="s">
        <v>32331</v>
      </c>
      <c r="F11816" t="s">
        <v>2511</v>
      </c>
      <c r="K11816" s="18">
        <f>62811146403</f>
        <v>62811146403</v>
      </c>
      <c r="N11816" s="17" t="s">
        <v>77</v>
      </c>
      <c r="U11816" s="17"/>
      <c r="V11816" s="18">
        <f>62811146403</f>
        <v>62811146403</v>
      </c>
      <c r="W11816" t="s">
        <v>32332</v>
      </c>
    </row>
    <row r="11817" ht="15" customHeight="1" spans="1:22" x14ac:dyDescent="0.25">
      <c r="A11817" s="17" t="s">
        <v>32333</v>
      </c>
      <c r="B11817" s="17" t="s">
        <v>70</v>
      </c>
      <c r="C11817" s="17" t="s">
        <v>71</v>
      </c>
      <c r="D11817" t="s">
        <v>32334</v>
      </c>
      <c r="F11817" t="s">
        <v>6381</v>
      </c>
      <c r="K11817" s="18">
        <f>6281219109378</f>
        <v>6281219109378</v>
      </c>
      <c r="N11817" s="17" t="s">
        <v>81</v>
      </c>
      <c r="V11817" s="18">
        <f>6281219109378</f>
        <v>6281219109378</v>
      </c>
    </row>
    <row r="11818" ht="15" customHeight="1" spans="1:23" x14ac:dyDescent="0.25">
      <c r="A11818" s="17" t="s">
        <v>32335</v>
      </c>
      <c r="B11818" s="17" t="s">
        <v>70</v>
      </c>
      <c r="C11818" s="17" t="s">
        <v>71</v>
      </c>
      <c r="D11818" t="s">
        <v>32336</v>
      </c>
      <c r="F11818" t="s">
        <v>32337</v>
      </c>
      <c r="K11818" s="18">
        <f>62811182981</f>
        <v>62811182981</v>
      </c>
      <c r="N11818" s="17" t="s">
        <v>77</v>
      </c>
      <c r="U11818" s="17"/>
      <c r="V11818" s="18">
        <f>62811182981</f>
        <v>62811182981</v>
      </c>
      <c r="W11818" t="s">
        <v>32338</v>
      </c>
    </row>
    <row r="11819" ht="15" customHeight="1" spans="1:22" x14ac:dyDescent="0.25">
      <c r="A11819" s="17" t="s">
        <v>32339</v>
      </c>
      <c r="B11819" s="17" t="s">
        <v>70</v>
      </c>
      <c r="C11819" s="17" t="s">
        <v>71</v>
      </c>
      <c r="D11819" t="s">
        <v>32340</v>
      </c>
      <c r="F11819" t="s">
        <v>19389</v>
      </c>
      <c r="K11819" s="18">
        <f>6281298707099</f>
        <v>6281298707099</v>
      </c>
      <c r="N11819" s="17" t="s">
        <v>74</v>
      </c>
      <c r="V11819" s="18">
        <f>6281298707099</f>
        <v>6281298707099</v>
      </c>
    </row>
    <row r="11820" ht="15" customHeight="1" spans="1:28" x14ac:dyDescent="0.25">
      <c r="A11820" s="17" t="s">
        <v>32341</v>
      </c>
      <c r="B11820" s="17" t="s">
        <v>70</v>
      </c>
      <c r="C11820" s="17" t="s">
        <v>71</v>
      </c>
      <c r="D11820" t="s">
        <v>32342</v>
      </c>
      <c r="F11820" t="s">
        <v>32343</v>
      </c>
      <c r="J11820" s="17" t="s">
        <v>32344</v>
      </c>
      <c r="K11820" s="18" t="s">
        <v>32345</v>
      </c>
      <c r="N11820" s="17" t="s">
        <v>77</v>
      </c>
      <c r="O11820" t="s">
        <v>117</v>
      </c>
      <c r="U11820" s="17"/>
      <c r="V11820" s="18" t="s">
        <v>32345</v>
      </c>
      <c r="W11820" t="s">
        <v>32346</v>
      </c>
      <c r="Y11820" s="17" t="s">
        <v>96</v>
      </c>
      <c r="AA11820" s="17" t="s">
        <v>693</v>
      </c>
      <c r="AB11820" t="s">
        <v>119</v>
      </c>
    </row>
    <row r="11821" ht="15" customHeight="1" spans="1:22" x14ac:dyDescent="0.25">
      <c r="A11821" s="17" t="s">
        <v>32347</v>
      </c>
      <c r="B11821" s="17" t="s">
        <v>70</v>
      </c>
      <c r="C11821" s="17" t="s">
        <v>71</v>
      </c>
      <c r="D11821" t="s">
        <v>32348</v>
      </c>
      <c r="F11821" t="s">
        <v>32349</v>
      </c>
      <c r="K11821" s="18">
        <f>6282122703096</f>
        <v>6282122703096</v>
      </c>
      <c r="N11821" s="17" t="s">
        <v>81</v>
      </c>
      <c r="V11821" s="18">
        <f>6282122703096</f>
        <v>6282122703096</v>
      </c>
    </row>
    <row r="11822" ht="15" customHeight="1" spans="1:28" x14ac:dyDescent="0.25">
      <c r="A11822" s="17" t="s">
        <v>32350</v>
      </c>
      <c r="B11822" s="17" t="s">
        <v>70</v>
      </c>
      <c r="C11822" s="17" t="s">
        <v>71</v>
      </c>
      <c r="D11822" t="s">
        <v>24630</v>
      </c>
      <c r="F11822" t="s">
        <v>24630</v>
      </c>
      <c r="J11822" t="s">
        <v>115</v>
      </c>
      <c r="K11822" s="18" t="s">
        <v>32351</v>
      </c>
      <c r="N11822" s="17" t="s">
        <v>77</v>
      </c>
      <c r="O11822" t="s">
        <v>117</v>
      </c>
      <c r="V11822" s="18" t="s">
        <v>32351</v>
      </c>
      <c r="Y11822" t="s">
        <v>1903</v>
      </c>
      <c r="AA11822" t="s">
        <v>115</v>
      </c>
      <c r="AB11822" t="s">
        <v>1903</v>
      </c>
    </row>
    <row r="11823" ht="15" customHeight="1" spans="1:22" x14ac:dyDescent="0.25">
      <c r="A11823" s="17" t="s">
        <v>32352</v>
      </c>
      <c r="B11823" s="17" t="s">
        <v>70</v>
      </c>
      <c r="C11823" s="17" t="s">
        <v>71</v>
      </c>
      <c r="D11823" t="s">
        <v>24630</v>
      </c>
      <c r="F11823" t="s">
        <v>7153</v>
      </c>
      <c r="K11823" s="18">
        <f>6281212788828</f>
        <v>6281212788828</v>
      </c>
      <c r="N11823" s="17" t="s">
        <v>81</v>
      </c>
      <c r="V11823" s="18">
        <f>6281212788828</f>
        <v>6281212788828</v>
      </c>
    </row>
    <row r="11824" ht="15" customHeight="1" spans="1:22" x14ac:dyDescent="0.25">
      <c r="A11824" s="17" t="s">
        <v>32353</v>
      </c>
      <c r="B11824" s="17" t="s">
        <v>70</v>
      </c>
      <c r="C11824" s="17" t="s">
        <v>71</v>
      </c>
      <c r="D11824" t="s">
        <v>24630</v>
      </c>
      <c r="F11824" t="s">
        <v>32354</v>
      </c>
      <c r="K11824" s="18">
        <f>628114422777</f>
        <v>628114422777</v>
      </c>
      <c r="N11824" s="17" t="s">
        <v>81</v>
      </c>
      <c r="V11824" s="18">
        <f>628114422777</f>
        <v>628114422777</v>
      </c>
    </row>
    <row r="11825" ht="15" customHeight="1" spans="1:23" x14ac:dyDescent="0.25">
      <c r="A11825" s="17" t="s">
        <v>32355</v>
      </c>
      <c r="B11825" s="17" t="s">
        <v>70</v>
      </c>
      <c r="C11825" s="17" t="s">
        <v>71</v>
      </c>
      <c r="D11825" t="s">
        <v>24630</v>
      </c>
      <c r="F11825" t="s">
        <v>2471</v>
      </c>
      <c r="K11825" s="18">
        <f>62816911498</f>
        <v>62816911498</v>
      </c>
      <c r="N11825" s="17" t="s">
        <v>81</v>
      </c>
      <c r="U11825" s="17"/>
      <c r="V11825" s="18">
        <f>62816911498</f>
        <v>62816911498</v>
      </c>
      <c r="W11825" t="s">
        <v>32356</v>
      </c>
    </row>
    <row r="11826" ht="15" customHeight="1" spans="1:22" x14ac:dyDescent="0.25">
      <c r="A11826" s="17" t="s">
        <v>32357</v>
      </c>
      <c r="B11826" s="17" t="s">
        <v>70</v>
      </c>
      <c r="C11826" s="17" t="s">
        <v>71</v>
      </c>
      <c r="D11826" t="s">
        <v>24630</v>
      </c>
      <c r="F11826" t="s">
        <v>150</v>
      </c>
      <c r="K11826" s="18">
        <f>62816710738</f>
        <v>62816710738</v>
      </c>
      <c r="N11826" s="17" t="s">
        <v>74</v>
      </c>
      <c r="V11826" s="18">
        <f>62816710738</f>
        <v>62816710738</v>
      </c>
    </row>
    <row r="11827" ht="15" customHeight="1" spans="1:28" x14ac:dyDescent="0.25">
      <c r="A11827" s="17" t="s">
        <v>32358</v>
      </c>
      <c r="B11827" s="17" t="s">
        <v>70</v>
      </c>
      <c r="C11827" s="17" t="s">
        <v>71</v>
      </c>
      <c r="D11827" t="s">
        <v>32359</v>
      </c>
      <c r="F11827" t="s">
        <v>32360</v>
      </c>
      <c r="J11827" s="17" t="s">
        <v>32361</v>
      </c>
      <c r="K11827" s="18" t="s">
        <v>32362</v>
      </c>
      <c r="N11827" s="17" t="s">
        <v>77</v>
      </c>
      <c r="O11827" t="s">
        <v>145</v>
      </c>
      <c r="V11827" s="18" t="s">
        <v>32362</v>
      </c>
      <c r="Y11827" s="17" t="s">
        <v>4897</v>
      </c>
      <c r="AA11827" t="s">
        <v>115</v>
      </c>
      <c r="AB11827" t="s">
        <v>119</v>
      </c>
    </row>
    <row r="11828" ht="15" customHeight="1" spans="1:23" x14ac:dyDescent="0.25">
      <c r="A11828" s="17" t="s">
        <v>32363</v>
      </c>
      <c r="B11828" s="17" t="s">
        <v>70</v>
      </c>
      <c r="C11828" s="17" t="s">
        <v>71</v>
      </c>
      <c r="D11828" t="s">
        <v>24630</v>
      </c>
      <c r="F11828" t="s">
        <v>15486</v>
      </c>
      <c r="K11828" s="18">
        <f>62818993237</f>
        <v>62818993237</v>
      </c>
      <c r="N11828" s="17" t="s">
        <v>81</v>
      </c>
      <c r="U11828" s="17"/>
      <c r="V11828" s="18">
        <f>62818993237</f>
        <v>62818993237</v>
      </c>
      <c r="W11828" t="s">
        <v>32364</v>
      </c>
    </row>
    <row r="11829" ht="15" customHeight="1" spans="1:28" x14ac:dyDescent="0.25">
      <c r="A11829" s="17" t="s">
        <v>32365</v>
      </c>
      <c r="B11829" s="17" t="s">
        <v>70</v>
      </c>
      <c r="C11829" s="17" t="s">
        <v>71</v>
      </c>
      <c r="D11829" t="s">
        <v>24630</v>
      </c>
      <c r="F11829" t="s">
        <v>32366</v>
      </c>
      <c r="J11829" s="17" t="s">
        <v>32367</v>
      </c>
      <c r="K11829" s="18" t="s">
        <v>32368</v>
      </c>
      <c r="N11829" s="17" t="s">
        <v>77</v>
      </c>
      <c r="O11829" t="s">
        <v>199</v>
      </c>
      <c r="U11829" s="17"/>
      <c r="V11829" s="18" t="s">
        <v>32368</v>
      </c>
      <c r="W11829" t="s">
        <v>32369</v>
      </c>
      <c r="Y11829" t="s">
        <v>930</v>
      </c>
      <c r="AA11829" t="s">
        <v>115</v>
      </c>
      <c r="AB11829" t="s">
        <v>930</v>
      </c>
    </row>
    <row r="11830" ht="15" customHeight="1" spans="1:22" x14ac:dyDescent="0.25">
      <c r="A11830" s="17" t="s">
        <v>32370</v>
      </c>
      <c r="B11830" s="17" t="s">
        <v>70</v>
      </c>
      <c r="C11830" s="17" t="s">
        <v>71</v>
      </c>
      <c r="D11830" t="s">
        <v>32371</v>
      </c>
      <c r="F11830" t="s">
        <v>32371</v>
      </c>
      <c r="K11830" s="18">
        <f>628151822290</f>
        <v>628151822290</v>
      </c>
      <c r="N11830" s="17" t="s">
        <v>77</v>
      </c>
      <c r="V11830" s="18">
        <f>628151822290</f>
        <v>628151822290</v>
      </c>
    </row>
    <row r="11831" ht="15" customHeight="1" spans="1:23" x14ac:dyDescent="0.25">
      <c r="A11831" s="17" t="s">
        <v>32372</v>
      </c>
      <c r="B11831" s="17" t="s">
        <v>70</v>
      </c>
      <c r="C11831" s="17" t="s">
        <v>71</v>
      </c>
      <c r="D11831" s="19" t="s">
        <v>32373</v>
      </c>
      <c r="F11831" t="s">
        <v>32374</v>
      </c>
      <c r="J11831" s="17" t="s">
        <v>32375</v>
      </c>
      <c r="K11831" s="18">
        <f>6282298746602</f>
        <v>6282298746602</v>
      </c>
      <c r="N11831" s="17" t="s">
        <v>77</v>
      </c>
      <c r="U11831" s="17"/>
      <c r="V11831" s="18">
        <f>6282298746602</f>
        <v>6282298746602</v>
      </c>
      <c r="W11831" t="s">
        <v>32376</v>
      </c>
    </row>
    <row r="11832" ht="15" customHeight="1" spans="1:23" x14ac:dyDescent="0.25">
      <c r="A11832" s="17" t="s">
        <v>32377</v>
      </c>
      <c r="B11832" s="17" t="s">
        <v>70</v>
      </c>
      <c r="C11832" s="17" t="s">
        <v>71</v>
      </c>
      <c r="D11832" t="s">
        <v>3786</v>
      </c>
      <c r="F11832" t="s">
        <v>3786</v>
      </c>
      <c r="K11832" s="18">
        <f>6287808038000</f>
        <v>6287808038000</v>
      </c>
      <c r="N11832" s="17" t="s">
        <v>77</v>
      </c>
      <c r="U11832" s="17"/>
      <c r="V11832" s="18">
        <f>6287808038000</f>
        <v>6287808038000</v>
      </c>
      <c r="W11832" t="s">
        <v>32378</v>
      </c>
    </row>
    <row r="11833" ht="15" customHeight="1" spans="1:22" x14ac:dyDescent="0.25">
      <c r="A11833" s="17" t="s">
        <v>32379</v>
      </c>
      <c r="B11833" s="17" t="s">
        <v>70</v>
      </c>
      <c r="C11833" s="17" t="s">
        <v>71</v>
      </c>
      <c r="D11833" t="s">
        <v>32380</v>
      </c>
      <c r="F11833" t="s">
        <v>32381</v>
      </c>
      <c r="K11833" s="18">
        <f>6282178557766</f>
        <v>6282178557766</v>
      </c>
      <c r="N11833" s="17" t="s">
        <v>81</v>
      </c>
      <c r="V11833" s="18">
        <f>6282178557766</f>
        <v>6282178557766</v>
      </c>
    </row>
    <row r="11834" ht="15" customHeight="1" spans="1:22" x14ac:dyDescent="0.25">
      <c r="A11834" s="17" t="s">
        <v>32382</v>
      </c>
      <c r="B11834" s="17" t="s">
        <v>70</v>
      </c>
      <c r="C11834" s="17" t="s">
        <v>71</v>
      </c>
      <c r="D11834" t="s">
        <v>5238</v>
      </c>
      <c r="F11834" t="s">
        <v>14369</v>
      </c>
      <c r="K11834" s="18">
        <f>6285282880777</f>
        <v>6285282880777</v>
      </c>
      <c r="N11834" s="17" t="s">
        <v>77</v>
      </c>
      <c r="V11834" s="18">
        <f>6285282880777</f>
        <v>6285282880777</v>
      </c>
    </row>
    <row r="11835" ht="15" customHeight="1" spans="1:28" x14ac:dyDescent="0.25">
      <c r="A11835" s="17" t="s">
        <v>32383</v>
      </c>
      <c r="B11835" s="17" t="s">
        <v>70</v>
      </c>
      <c r="C11835" s="17" t="s">
        <v>71</v>
      </c>
      <c r="D11835" t="s">
        <v>5238</v>
      </c>
      <c r="F11835" t="s">
        <v>32384</v>
      </c>
      <c r="J11835" t="s">
        <v>115</v>
      </c>
      <c r="K11835" s="18" t="s">
        <v>32385</v>
      </c>
      <c r="N11835" s="17" t="s">
        <v>77</v>
      </c>
      <c r="O11835" t="s">
        <v>199</v>
      </c>
      <c r="U11835" s="17"/>
      <c r="V11835" s="18" t="s">
        <v>32385</v>
      </c>
      <c r="W11835" t="s">
        <v>8725</v>
      </c>
      <c r="Y11835" t="s">
        <v>8725</v>
      </c>
      <c r="AA11835" t="s">
        <v>115</v>
      </c>
      <c r="AB11835" t="s">
        <v>119</v>
      </c>
    </row>
    <row r="11836" ht="15" customHeight="1" spans="1:22" x14ac:dyDescent="0.25">
      <c r="A11836" s="17" t="s">
        <v>32386</v>
      </c>
      <c r="B11836" s="17" t="s">
        <v>70</v>
      </c>
      <c r="C11836" s="17" t="s">
        <v>71</v>
      </c>
      <c r="D11836" t="s">
        <v>5238</v>
      </c>
      <c r="F11836" t="s">
        <v>3605</v>
      </c>
      <c r="K11836" s="18">
        <f>6282190847000</f>
        <v>6282190847000</v>
      </c>
      <c r="N11836" s="17" t="s">
        <v>81</v>
      </c>
      <c r="V11836" s="18">
        <f>6282190847000</f>
        <v>6282190847000</v>
      </c>
    </row>
    <row r="11837" ht="15" customHeight="1" spans="1:23" x14ac:dyDescent="0.25">
      <c r="A11837" s="17" t="s">
        <v>32387</v>
      </c>
      <c r="B11837" s="17" t="s">
        <v>70</v>
      </c>
      <c r="C11837" s="17" t="s">
        <v>71</v>
      </c>
      <c r="D11837" t="s">
        <v>19643</v>
      </c>
      <c r="F11837" t="s">
        <v>19643</v>
      </c>
      <c r="K11837" s="18">
        <f>6281254176195</f>
        <v>6281254176195</v>
      </c>
      <c r="N11837" s="17" t="s">
        <v>81</v>
      </c>
      <c r="U11837" s="17"/>
      <c r="V11837" s="18">
        <f>6281254176195</f>
        <v>6281254176195</v>
      </c>
      <c r="W11837" t="s">
        <v>32388</v>
      </c>
    </row>
    <row r="11838" ht="15" customHeight="1" spans="1:22" x14ac:dyDescent="0.25">
      <c r="A11838" s="17" t="s">
        <v>32389</v>
      </c>
      <c r="B11838" s="17" t="s">
        <v>70</v>
      </c>
      <c r="C11838" s="17" t="s">
        <v>71</v>
      </c>
      <c r="D11838" t="s">
        <v>32390</v>
      </c>
      <c r="F11838" t="s">
        <v>32391</v>
      </c>
      <c r="K11838" s="18">
        <f>62811327045</f>
        <v>62811327045</v>
      </c>
      <c r="N11838" s="17" t="s">
        <v>77</v>
      </c>
      <c r="V11838" s="18">
        <f>62811327045</f>
        <v>62811327045</v>
      </c>
    </row>
    <row r="11839" ht="15" customHeight="1" spans="1:22" x14ac:dyDescent="0.25">
      <c r="A11839" s="17" t="s">
        <v>32392</v>
      </c>
      <c r="B11839" s="17" t="s">
        <v>70</v>
      </c>
      <c r="C11839" s="17" t="s">
        <v>71</v>
      </c>
      <c r="D11839" t="s">
        <v>32393</v>
      </c>
      <c r="F11839" t="s">
        <v>3559</v>
      </c>
      <c r="K11839" s="18">
        <f>6281293555233</f>
        <v>6281293555233</v>
      </c>
      <c r="N11839" s="17" t="s">
        <v>81</v>
      </c>
      <c r="V11839" s="18">
        <f>6281293555233</f>
        <v>6281293555233</v>
      </c>
    </row>
    <row r="11840" ht="15" customHeight="1" spans="1:23" x14ac:dyDescent="0.25">
      <c r="A11840" s="17" t="s">
        <v>32394</v>
      </c>
      <c r="B11840" s="17" t="s">
        <v>70</v>
      </c>
      <c r="C11840" s="17" t="s">
        <v>71</v>
      </c>
      <c r="D11840" t="s">
        <v>32393</v>
      </c>
      <c r="F11840" t="s">
        <v>32395</v>
      </c>
      <c r="K11840" s="18">
        <f>639776103589</f>
        <v>639776103589</v>
      </c>
      <c r="N11840" s="17" t="s">
        <v>77</v>
      </c>
      <c r="U11840" s="17"/>
      <c r="V11840" s="18">
        <f>639776103589</f>
        <v>639776103589</v>
      </c>
      <c r="W11840" t="s">
        <v>1349</v>
      </c>
    </row>
    <row r="11841" ht="15" customHeight="1" spans="1:23" x14ac:dyDescent="0.25">
      <c r="A11841" s="17" t="s">
        <v>32396</v>
      </c>
      <c r="B11841" s="17" t="s">
        <v>70</v>
      </c>
      <c r="C11841" s="17" t="s">
        <v>71</v>
      </c>
      <c r="D11841" t="s">
        <v>32393</v>
      </c>
      <c r="F11841" t="s">
        <v>32397</v>
      </c>
      <c r="K11841" s="18">
        <f>6281341944444</f>
        <v>6281341944444</v>
      </c>
      <c r="N11841" s="17" t="s">
        <v>77</v>
      </c>
      <c r="U11841" s="17"/>
      <c r="V11841" s="18">
        <f>6281341944444</f>
        <v>6281341944444</v>
      </c>
      <c r="W11841" t="s">
        <v>32398</v>
      </c>
    </row>
    <row r="11842" ht="15" customHeight="1" spans="1:28" x14ac:dyDescent="0.25">
      <c r="A11842" s="17" t="s">
        <v>32399</v>
      </c>
      <c r="B11842" s="17" t="s">
        <v>70</v>
      </c>
      <c r="C11842" s="17" t="s">
        <v>71</v>
      </c>
      <c r="D11842" t="s">
        <v>32400</v>
      </c>
      <c r="F11842" t="s">
        <v>32401</v>
      </c>
      <c r="J11842" t="s">
        <v>115</v>
      </c>
      <c r="K11842" s="18" t="s">
        <v>32402</v>
      </c>
      <c r="N11842" s="17" t="s">
        <v>77</v>
      </c>
      <c r="O11842" t="s">
        <v>199</v>
      </c>
      <c r="V11842" s="18" t="s">
        <v>32402</v>
      </c>
      <c r="Y11842" t="s">
        <v>1794</v>
      </c>
      <c r="AA11842" t="s">
        <v>115</v>
      </c>
      <c r="AB11842" t="s">
        <v>119</v>
      </c>
    </row>
    <row r="11843" ht="15" customHeight="1" spans="1:22" x14ac:dyDescent="0.25">
      <c r="A11843" s="17" t="s">
        <v>32403</v>
      </c>
      <c r="B11843" s="17" t="s">
        <v>70</v>
      </c>
      <c r="C11843" s="17" t="s">
        <v>71</v>
      </c>
      <c r="D11843" t="s">
        <v>32404</v>
      </c>
      <c r="F11843" t="s">
        <v>32405</v>
      </c>
      <c r="K11843" s="18">
        <f>628551080080</f>
        <v>628551080080</v>
      </c>
      <c r="N11843" s="17" t="s">
        <v>77</v>
      </c>
      <c r="V11843" s="18">
        <f>628551080080</f>
        <v>628551080080</v>
      </c>
    </row>
    <row r="11844" ht="15" customHeight="1" spans="1:23" x14ac:dyDescent="0.25">
      <c r="A11844" s="17" t="s">
        <v>32406</v>
      </c>
      <c r="B11844" s="17" t="s">
        <v>70</v>
      </c>
      <c r="C11844" s="17" t="s">
        <v>71</v>
      </c>
      <c r="D11844" t="s">
        <v>32407</v>
      </c>
      <c r="F11844" t="s">
        <v>32408</v>
      </c>
      <c r="K11844" s="18">
        <f>6287883954909</f>
        <v>6287883954909</v>
      </c>
      <c r="N11844" s="17" t="s">
        <v>77</v>
      </c>
      <c r="U11844" s="17"/>
      <c r="V11844" s="18">
        <f>6287883954909</f>
        <v>6287883954909</v>
      </c>
      <c r="W11844" t="s">
        <v>32409</v>
      </c>
    </row>
    <row r="11845" ht="15" customHeight="1" spans="1:22" x14ac:dyDescent="0.25">
      <c r="A11845" s="17" t="s">
        <v>32410</v>
      </c>
      <c r="B11845" s="17" t="s">
        <v>70</v>
      </c>
      <c r="C11845" s="17" t="s">
        <v>71</v>
      </c>
      <c r="D11845" t="s">
        <v>32411</v>
      </c>
      <c r="F11845" t="s">
        <v>32411</v>
      </c>
      <c r="K11845" s="18">
        <f>628159666777</f>
        <v>628159666777</v>
      </c>
      <c r="N11845" s="17" t="s">
        <v>74</v>
      </c>
      <c r="V11845" s="18">
        <f>628159666777</f>
        <v>628159666777</v>
      </c>
    </row>
    <row r="11846" ht="15" customHeight="1" spans="1:23" x14ac:dyDescent="0.25">
      <c r="A11846" s="17" t="s">
        <v>32412</v>
      </c>
      <c r="B11846" s="17" t="s">
        <v>70</v>
      </c>
      <c r="C11846" s="17" t="s">
        <v>71</v>
      </c>
      <c r="D11846" t="s">
        <v>32411</v>
      </c>
      <c r="F11846" t="s">
        <v>32413</v>
      </c>
      <c r="K11846" s="18">
        <f>62811805794</f>
        <v>62811805794</v>
      </c>
      <c r="N11846" s="17" t="s">
        <v>77</v>
      </c>
      <c r="U11846" s="17"/>
      <c r="V11846" s="18">
        <f>62811805794</f>
        <v>62811805794</v>
      </c>
      <c r="W11846" t="s">
        <v>32414</v>
      </c>
    </row>
    <row r="11847" ht="15" customHeight="1" spans="1:28" x14ac:dyDescent="0.25">
      <c r="A11847" s="17" t="s">
        <v>32415</v>
      </c>
      <c r="B11847" s="17" t="s">
        <v>70</v>
      </c>
      <c r="C11847" s="17" t="s">
        <v>71</v>
      </c>
      <c r="D11847" t="s">
        <v>32411</v>
      </c>
      <c r="F11847" t="s">
        <v>1856</v>
      </c>
      <c r="J11847" t="s">
        <v>115</v>
      </c>
      <c r="K11847" s="18" t="s">
        <v>32416</v>
      </c>
      <c r="N11847" s="17" t="s">
        <v>77</v>
      </c>
      <c r="O11847" t="s">
        <v>117</v>
      </c>
      <c r="U11847" s="17"/>
      <c r="V11847" s="18" t="s">
        <v>32416</v>
      </c>
      <c r="W11847" t="s">
        <v>32417</v>
      </c>
      <c r="Y11847" t="s">
        <v>96</v>
      </c>
      <c r="AA11847" t="s">
        <v>693</v>
      </c>
      <c r="AB11847" t="s">
        <v>119</v>
      </c>
    </row>
    <row r="11848" ht="15" customHeight="1" spans="1:22" x14ac:dyDescent="0.25">
      <c r="A11848" s="17" t="s">
        <v>32418</v>
      </c>
      <c r="B11848" s="17" t="s">
        <v>70</v>
      </c>
      <c r="C11848" s="17" t="s">
        <v>71</v>
      </c>
      <c r="D11848" t="s">
        <v>32419</v>
      </c>
      <c r="F11848" t="s">
        <v>11303</v>
      </c>
      <c r="J11848" s="17" t="s">
        <v>32420</v>
      </c>
      <c r="K11848" s="18">
        <f>628118833668</f>
        <v>628118833668</v>
      </c>
      <c r="N11848" s="17" t="s">
        <v>77</v>
      </c>
      <c r="V11848" s="18">
        <f>628118833668</f>
        <v>628118833668</v>
      </c>
    </row>
    <row r="11849" ht="15" customHeight="1" spans="1:28" x14ac:dyDescent="0.25">
      <c r="A11849" s="17" t="s">
        <v>32421</v>
      </c>
      <c r="B11849" s="17" t="s">
        <v>70</v>
      </c>
      <c r="C11849" s="17" t="s">
        <v>71</v>
      </c>
      <c r="D11849" t="s">
        <v>32422</v>
      </c>
      <c r="F11849" t="s">
        <v>27171</v>
      </c>
      <c r="J11849" t="s">
        <v>115</v>
      </c>
      <c r="K11849" s="18" t="s">
        <v>32423</v>
      </c>
      <c r="N11849" s="17" t="s">
        <v>81</v>
      </c>
      <c r="O11849" t="s">
        <v>145</v>
      </c>
      <c r="U11849" s="17"/>
      <c r="V11849" s="18" t="s">
        <v>32423</v>
      </c>
      <c r="W11849" t="s">
        <v>32424</v>
      </c>
      <c r="Y11849" t="s">
        <v>90</v>
      </c>
      <c r="AA11849" t="s">
        <v>118</v>
      </c>
      <c r="AB11849" t="s">
        <v>119</v>
      </c>
    </row>
    <row r="11850" ht="15" customHeight="1" spans="1:22" x14ac:dyDescent="0.25">
      <c r="A11850" s="17" t="s">
        <v>32425</v>
      </c>
      <c r="B11850" s="17" t="s">
        <v>70</v>
      </c>
      <c r="C11850" s="17" t="s">
        <v>71</v>
      </c>
      <c r="D11850" t="s">
        <v>32426</v>
      </c>
      <c r="F11850" t="s">
        <v>106</v>
      </c>
      <c r="K11850" s="18">
        <f>628119124999</f>
        <v>628119124999</v>
      </c>
      <c r="N11850" s="17" t="s">
        <v>81</v>
      </c>
      <c r="V11850" s="18">
        <f>628119124999</f>
        <v>628119124999</v>
      </c>
    </row>
    <row r="11851" ht="15" customHeight="1" spans="1:23" x14ac:dyDescent="0.25">
      <c r="A11851" s="17" t="s">
        <v>32427</v>
      </c>
      <c r="B11851" s="17" t="s">
        <v>70</v>
      </c>
      <c r="C11851" s="17" t="s">
        <v>71</v>
      </c>
      <c r="D11851" t="s">
        <v>30312</v>
      </c>
      <c r="F11851" t="s">
        <v>18102</v>
      </c>
      <c r="K11851" s="18">
        <f>62217441122</f>
        <v>62217441122</v>
      </c>
      <c r="N11851" s="17" t="s">
        <v>77</v>
      </c>
      <c r="U11851" s="17"/>
      <c r="V11851" s="18">
        <f>62217441122</f>
        <v>62217441122</v>
      </c>
      <c r="W11851" t="s">
        <v>32428</v>
      </c>
    </row>
    <row r="11852" ht="15" customHeight="1" spans="1:22" x14ac:dyDescent="0.25">
      <c r="A11852" s="17" t="s">
        <v>32429</v>
      </c>
      <c r="B11852" s="17" t="s">
        <v>70</v>
      </c>
      <c r="C11852" s="17" t="s">
        <v>71</v>
      </c>
      <c r="D11852" t="s">
        <v>30312</v>
      </c>
      <c r="F11852" t="s">
        <v>32430</v>
      </c>
      <c r="K11852" s="18">
        <f>6281381231700</f>
        <v>6281381231700</v>
      </c>
      <c r="N11852" s="17" t="s">
        <v>77</v>
      </c>
      <c r="V11852" s="18">
        <f>6281381231700</f>
        <v>6281381231700</v>
      </c>
    </row>
    <row r="11853" ht="15" customHeight="1" spans="1:22" x14ac:dyDescent="0.25">
      <c r="A11853" s="17" t="s">
        <v>32431</v>
      </c>
      <c r="B11853" s="17" t="s">
        <v>70</v>
      </c>
      <c r="C11853" s="17" t="s">
        <v>71</v>
      </c>
      <c r="D11853" t="s">
        <v>30312</v>
      </c>
      <c r="F11853" t="s">
        <v>32432</v>
      </c>
      <c r="K11853" s="18">
        <f>6281288875177</f>
        <v>6281288875177</v>
      </c>
      <c r="N11853" s="17" t="s">
        <v>81</v>
      </c>
      <c r="V11853" s="18">
        <f>6281288875177</f>
        <v>6281288875177</v>
      </c>
    </row>
    <row r="11854" ht="15" customHeight="1" spans="1:28" x14ac:dyDescent="0.25">
      <c r="A11854" s="17" t="s">
        <v>32433</v>
      </c>
      <c r="B11854" s="17" t="s">
        <v>70</v>
      </c>
      <c r="C11854" s="17" t="s">
        <v>71</v>
      </c>
      <c r="D11854" t="s">
        <v>30312</v>
      </c>
      <c r="F11854" t="s">
        <v>32434</v>
      </c>
      <c r="J11854" t="s">
        <v>115</v>
      </c>
      <c r="K11854" s="18" t="s">
        <v>32435</v>
      </c>
      <c r="N11854" s="17" t="s">
        <v>81</v>
      </c>
      <c r="O11854" t="s">
        <v>117</v>
      </c>
      <c r="V11854" s="18" t="s">
        <v>32435</v>
      </c>
      <c r="Y11854" t="s">
        <v>190</v>
      </c>
      <c r="AA11854" t="s">
        <v>118</v>
      </c>
      <c r="AB11854" t="s">
        <v>119</v>
      </c>
    </row>
    <row r="11855" ht="15" customHeight="1" spans="1:22" x14ac:dyDescent="0.25">
      <c r="A11855" s="17" t="s">
        <v>32436</v>
      </c>
      <c r="B11855" s="17" t="s">
        <v>70</v>
      </c>
      <c r="C11855" s="17" t="s">
        <v>71</v>
      </c>
      <c r="D11855" t="s">
        <v>32437</v>
      </c>
      <c r="F11855" t="s">
        <v>7027</v>
      </c>
      <c r="K11855" s="18">
        <f>628129491133</f>
        <v>628129491133</v>
      </c>
      <c r="N11855" s="17" t="s">
        <v>77</v>
      </c>
      <c r="V11855" s="18">
        <f>628129491133</f>
        <v>628129491133</v>
      </c>
    </row>
    <row r="11856" ht="15" customHeight="1" spans="1:23" x14ac:dyDescent="0.25">
      <c r="A11856" s="17" t="s">
        <v>32438</v>
      </c>
      <c r="B11856" s="17" t="s">
        <v>70</v>
      </c>
      <c r="C11856" s="17" t="s">
        <v>71</v>
      </c>
      <c r="D11856" t="s">
        <v>32439</v>
      </c>
      <c r="F11856" t="s">
        <v>32440</v>
      </c>
      <c r="K11856" s="18">
        <f>62815811800315</f>
        <v>62815811800315</v>
      </c>
      <c r="N11856" s="17" t="s">
        <v>77</v>
      </c>
      <c r="U11856" s="17"/>
      <c r="V11856" s="18">
        <f>62815811800315</f>
        <v>62815811800315</v>
      </c>
      <c r="W11856" t="s">
        <v>32441</v>
      </c>
    </row>
    <row r="11857" ht="15" customHeight="1" spans="1:25" x14ac:dyDescent="0.25">
      <c r="A11857" s="17" t="s">
        <v>32442</v>
      </c>
      <c r="B11857" s="17" t="s">
        <v>70</v>
      </c>
      <c r="C11857" s="17" t="s">
        <v>71</v>
      </c>
      <c r="D11857" t="s">
        <v>32443</v>
      </c>
      <c r="F11857" t="s">
        <v>32444</v>
      </c>
      <c r="K11857" s="18" t="s">
        <v>32445</v>
      </c>
      <c r="N11857" s="17" t="s">
        <v>77</v>
      </c>
      <c r="U11857" s="17"/>
      <c r="V11857" s="18" t="s">
        <v>32445</v>
      </c>
      <c r="W11857" t="s">
        <v>32446</v>
      </c>
      <c r="Y11857" s="17" t="s">
        <v>96</v>
      </c>
    </row>
    <row r="11858" ht="15" customHeight="1" spans="1:23" x14ac:dyDescent="0.25">
      <c r="A11858" s="17" t="s">
        <v>32447</v>
      </c>
      <c r="B11858" s="17" t="s">
        <v>70</v>
      </c>
      <c r="C11858" s="17" t="s">
        <v>71</v>
      </c>
      <c r="D11858" t="s">
        <v>32448</v>
      </c>
      <c r="F11858" t="s">
        <v>32449</v>
      </c>
      <c r="K11858" s="18">
        <f>62811914792</f>
        <v>62811914792</v>
      </c>
      <c r="N11858" s="17" t="s">
        <v>77</v>
      </c>
      <c r="U11858" s="17"/>
      <c r="V11858" s="18">
        <f>62811914792</f>
        <v>62811914792</v>
      </c>
      <c r="W11858" t="s">
        <v>32450</v>
      </c>
    </row>
    <row r="11859" ht="15" customHeight="1" spans="1:28" x14ac:dyDescent="0.25">
      <c r="A11859" s="17" t="s">
        <v>32451</v>
      </c>
      <c r="B11859" s="17" t="s">
        <v>70</v>
      </c>
      <c r="C11859" s="17" t="s">
        <v>71</v>
      </c>
      <c r="D11859" t="s">
        <v>32448</v>
      </c>
      <c r="F11859" t="s">
        <v>5017</v>
      </c>
      <c r="J11859" t="s">
        <v>115</v>
      </c>
      <c r="K11859" s="18" t="s">
        <v>32452</v>
      </c>
      <c r="N11859" s="17" t="s">
        <v>77</v>
      </c>
      <c r="O11859" t="s">
        <v>145</v>
      </c>
      <c r="V11859" s="18" t="s">
        <v>32452</v>
      </c>
      <c r="Y11859" t="s">
        <v>90</v>
      </c>
      <c r="AA11859" t="s">
        <v>118</v>
      </c>
      <c r="AB11859" t="s">
        <v>119</v>
      </c>
    </row>
    <row r="11860" ht="15" customHeight="1" spans="1:22" x14ac:dyDescent="0.25">
      <c r="A11860" s="17" t="s">
        <v>32453</v>
      </c>
      <c r="B11860" s="17" t="s">
        <v>70</v>
      </c>
      <c r="C11860" s="17" t="s">
        <v>71</v>
      </c>
      <c r="D11860" t="s">
        <v>32448</v>
      </c>
      <c r="F11860" t="s">
        <v>1850</v>
      </c>
      <c r="K11860" s="18">
        <f>62816977787</f>
        <v>62816977787</v>
      </c>
      <c r="N11860" s="17" t="s">
        <v>81</v>
      </c>
      <c r="V11860" s="18">
        <f>62816977787</f>
        <v>62816977787</v>
      </c>
    </row>
    <row r="11861" ht="15" customHeight="1" spans="1:22" x14ac:dyDescent="0.25">
      <c r="A11861" s="17" t="s">
        <v>32454</v>
      </c>
      <c r="B11861" s="17" t="s">
        <v>70</v>
      </c>
      <c r="C11861" s="17" t="s">
        <v>71</v>
      </c>
      <c r="D11861" t="s">
        <v>32455</v>
      </c>
      <c r="F11861" t="s">
        <v>32456</v>
      </c>
      <c r="K11861" s="18">
        <f>48660407400</f>
        <v>48660407400</v>
      </c>
      <c r="N11861" s="17" t="s">
        <v>77</v>
      </c>
      <c r="V11861" s="18">
        <f>48660407400</f>
        <v>48660407400</v>
      </c>
    </row>
    <row r="11862" ht="15" customHeight="1" spans="1:25" x14ac:dyDescent="0.25">
      <c r="A11862" s="17" t="s">
        <v>32457</v>
      </c>
      <c r="B11862" s="17" t="s">
        <v>70</v>
      </c>
      <c r="C11862" s="17" t="s">
        <v>71</v>
      </c>
      <c r="D11862" t="s">
        <v>32458</v>
      </c>
      <c r="F11862" t="s">
        <v>32459</v>
      </c>
      <c r="K11862" s="18">
        <f>622157945519</f>
        <v>622157945519</v>
      </c>
      <c r="N11862" s="17" t="s">
        <v>77</v>
      </c>
      <c r="U11862" s="17"/>
      <c r="V11862" s="18">
        <f>622157945519</f>
        <v>622157945519</v>
      </c>
      <c r="W11862" t="s">
        <v>32460</v>
      </c>
      <c r="Y11862" s="17" t="s">
        <v>90</v>
      </c>
    </row>
    <row r="11863" ht="15" customHeight="1" spans="1:25" x14ac:dyDescent="0.25">
      <c r="A11863" s="17" t="s">
        <v>32461</v>
      </c>
      <c r="B11863" s="17" t="s">
        <v>70</v>
      </c>
      <c r="C11863" s="17" t="s">
        <v>71</v>
      </c>
      <c r="D11863" t="s">
        <v>32462</v>
      </c>
      <c r="F11863" t="s">
        <v>414</v>
      </c>
      <c r="K11863" s="18">
        <f>62811936662</f>
        <v>62811936662</v>
      </c>
      <c r="N11863" s="17" t="s">
        <v>77</v>
      </c>
      <c r="U11863" s="17"/>
      <c r="V11863" s="18">
        <f>62811936662</f>
        <v>62811936662</v>
      </c>
      <c r="W11863" t="s">
        <v>32463</v>
      </c>
      <c r="Y11863" s="17" t="s">
        <v>626</v>
      </c>
    </row>
    <row r="11864" ht="15" customHeight="1" spans="1:22" x14ac:dyDescent="0.25">
      <c r="A11864" s="17" t="s">
        <v>32464</v>
      </c>
      <c r="B11864" s="17" t="s">
        <v>70</v>
      </c>
      <c r="C11864" s="17" t="s">
        <v>71</v>
      </c>
      <c r="D11864" t="s">
        <v>32465</v>
      </c>
      <c r="F11864" t="s">
        <v>14924</v>
      </c>
      <c r="K11864" s="18">
        <f>6285219761154</f>
        <v>6285219761154</v>
      </c>
      <c r="N11864" s="17" t="s">
        <v>81</v>
      </c>
      <c r="V11864" s="18">
        <f>6285219761154</f>
        <v>6285219761154</v>
      </c>
    </row>
    <row r="11865" ht="15" customHeight="1" spans="1:22" x14ac:dyDescent="0.25">
      <c r="A11865" s="17" t="s">
        <v>32466</v>
      </c>
      <c r="B11865" s="17" t="s">
        <v>70</v>
      </c>
      <c r="C11865" s="17" t="s">
        <v>71</v>
      </c>
      <c r="D11865" t="s">
        <v>32467</v>
      </c>
      <c r="F11865" t="s">
        <v>1730</v>
      </c>
      <c r="K11865" s="18">
        <f>62816356839</f>
        <v>62816356839</v>
      </c>
      <c r="N11865" s="17" t="s">
        <v>77</v>
      </c>
      <c r="V11865" s="18">
        <f>62816356839</f>
        <v>62816356839</v>
      </c>
    </row>
    <row r="11866" ht="15" customHeight="1" spans="1:22" x14ac:dyDescent="0.25">
      <c r="A11866" s="17" t="s">
        <v>32468</v>
      </c>
      <c r="B11866" s="17" t="s">
        <v>70</v>
      </c>
      <c r="C11866" s="17" t="s">
        <v>71</v>
      </c>
      <c r="D11866" t="s">
        <v>32469</v>
      </c>
      <c r="F11866" t="s">
        <v>32469</v>
      </c>
      <c r="K11866" s="18">
        <f>628119112865</f>
        <v>628119112865</v>
      </c>
      <c r="N11866" s="17" t="s">
        <v>77</v>
      </c>
      <c r="V11866" s="18">
        <f>628119112865</f>
        <v>628119112865</v>
      </c>
    </row>
    <row r="11867" ht="15" customHeight="1" spans="1:22" x14ac:dyDescent="0.25">
      <c r="A11867" s="17" t="s">
        <v>32470</v>
      </c>
      <c r="B11867" s="17" t="s">
        <v>70</v>
      </c>
      <c r="C11867" s="17" t="s">
        <v>71</v>
      </c>
      <c r="D11867" t="s">
        <v>487</v>
      </c>
      <c r="F11867" t="s">
        <v>487</v>
      </c>
      <c r="K11867" s="18">
        <f>628111770888</f>
        <v>628111770888</v>
      </c>
      <c r="N11867" s="17" t="s">
        <v>77</v>
      </c>
      <c r="V11867" s="18">
        <f>628111770888</f>
        <v>628111770888</v>
      </c>
    </row>
    <row r="11868" ht="15" customHeight="1" spans="1:22" x14ac:dyDescent="0.25">
      <c r="A11868" s="17" t="s">
        <v>32471</v>
      </c>
      <c r="B11868" s="17" t="s">
        <v>70</v>
      </c>
      <c r="C11868" s="17" t="s">
        <v>71</v>
      </c>
      <c r="D11868" t="s">
        <v>32472</v>
      </c>
      <c r="F11868" t="s">
        <v>32472</v>
      </c>
      <c r="K11868" s="18">
        <f>6282297267586</f>
        <v>6282297267586</v>
      </c>
      <c r="N11868" s="17" t="s">
        <v>77</v>
      </c>
      <c r="V11868" s="18">
        <f>6282297267586</f>
        <v>6282297267586</v>
      </c>
    </row>
    <row r="11869" ht="15" customHeight="1" spans="1:22" x14ac:dyDescent="0.25">
      <c r="A11869" s="17" t="s">
        <v>32473</v>
      </c>
      <c r="B11869" s="17" t="s">
        <v>70</v>
      </c>
      <c r="C11869" s="17" t="s">
        <v>71</v>
      </c>
      <c r="D11869" t="s">
        <v>32474</v>
      </c>
      <c r="F11869" t="s">
        <v>32474</v>
      </c>
      <c r="K11869" s="18">
        <v>551866234</v>
      </c>
      <c r="N11869" s="17" t="s">
        <v>81</v>
      </c>
      <c r="V11869" s="18">
        <v>551866234</v>
      </c>
    </row>
    <row r="11870" ht="15" customHeight="1" spans="1:22" x14ac:dyDescent="0.25">
      <c r="A11870" s="17" t="s">
        <v>32475</v>
      </c>
      <c r="B11870" s="17" t="s">
        <v>70</v>
      </c>
      <c r="C11870" s="17" t="s">
        <v>71</v>
      </c>
      <c r="D11870" t="s">
        <v>2833</v>
      </c>
      <c r="F11870" t="s">
        <v>16086</v>
      </c>
      <c r="K11870" s="18">
        <f>628126010126</f>
        <v>628126010126</v>
      </c>
      <c r="N11870" s="17" t="s">
        <v>77</v>
      </c>
      <c r="V11870" s="18">
        <f>628126010126</f>
        <v>628126010126</v>
      </c>
    </row>
    <row r="11871" ht="15" customHeight="1" spans="1:22" x14ac:dyDescent="0.25">
      <c r="A11871" s="17" t="s">
        <v>32476</v>
      </c>
      <c r="B11871" s="17" t="s">
        <v>70</v>
      </c>
      <c r="C11871" s="17" t="s">
        <v>71</v>
      </c>
      <c r="D11871" t="s">
        <v>26253</v>
      </c>
      <c r="F11871" t="s">
        <v>16481</v>
      </c>
      <c r="K11871" s="18">
        <f>628121111160</f>
        <v>628121111160</v>
      </c>
      <c r="N11871" s="17" t="s">
        <v>74</v>
      </c>
      <c r="V11871" s="18">
        <f>628121111160</f>
        <v>628121111160</v>
      </c>
    </row>
    <row r="11872" ht="15" customHeight="1" spans="1:28" x14ac:dyDescent="0.25">
      <c r="A11872" s="17" t="s">
        <v>32477</v>
      </c>
      <c r="B11872" s="17" t="s">
        <v>70</v>
      </c>
      <c r="C11872" s="17" t="s">
        <v>71</v>
      </c>
      <c r="D11872" t="s">
        <v>32478</v>
      </c>
      <c r="F11872" t="s">
        <v>32479</v>
      </c>
      <c r="J11872" s="17" t="s">
        <v>32480</v>
      </c>
      <c r="K11872" s="18" t="s">
        <v>32481</v>
      </c>
      <c r="N11872" s="17" t="s">
        <v>77</v>
      </c>
      <c r="O11872" t="s">
        <v>199</v>
      </c>
      <c r="U11872" s="17"/>
      <c r="V11872" s="18" t="s">
        <v>32481</v>
      </c>
      <c r="W11872" t="s">
        <v>32482</v>
      </c>
      <c r="Y11872" t="s">
        <v>190</v>
      </c>
      <c r="AA11872" t="s">
        <v>118</v>
      </c>
      <c r="AB11872" t="s">
        <v>119</v>
      </c>
    </row>
    <row r="11873" ht="15" customHeight="1" spans="1:25" x14ac:dyDescent="0.25">
      <c r="A11873" s="17" t="s">
        <v>32483</v>
      </c>
      <c r="B11873" s="17" t="s">
        <v>70</v>
      </c>
      <c r="C11873" s="17" t="s">
        <v>71</v>
      </c>
      <c r="D11873" t="s">
        <v>32484</v>
      </c>
      <c r="F11873" t="s">
        <v>32485</v>
      </c>
      <c r="K11873" s="18">
        <f>62811999680</f>
        <v>62811999680</v>
      </c>
      <c r="N11873" s="17" t="s">
        <v>74</v>
      </c>
      <c r="U11873" s="17"/>
      <c r="V11873" s="18">
        <f>62811999680</f>
        <v>62811999680</v>
      </c>
      <c r="W11873" t="s">
        <v>32486</v>
      </c>
      <c r="Y11873" s="17" t="s">
        <v>96</v>
      </c>
    </row>
    <row r="11874" ht="15" customHeight="1" spans="1:22" x14ac:dyDescent="0.25">
      <c r="A11874" s="17" t="s">
        <v>32487</v>
      </c>
      <c r="B11874" s="17" t="s">
        <v>70</v>
      </c>
      <c r="C11874" s="17" t="s">
        <v>71</v>
      </c>
      <c r="D11874" t="s">
        <v>4708</v>
      </c>
      <c r="F11874" t="s">
        <v>4708</v>
      </c>
      <c r="K11874" s="18">
        <f>628128220041</f>
        <v>628128220041</v>
      </c>
      <c r="N11874" s="17" t="s">
        <v>77</v>
      </c>
      <c r="V11874" s="18">
        <f>628128220041</f>
        <v>628128220041</v>
      </c>
    </row>
    <row r="11875" ht="15" customHeight="1" spans="1:22" x14ac:dyDescent="0.25">
      <c r="A11875" s="17" t="s">
        <v>32488</v>
      </c>
      <c r="B11875" s="17" t="s">
        <v>70</v>
      </c>
      <c r="C11875" s="17" t="s">
        <v>71</v>
      </c>
      <c r="D11875" t="s">
        <v>4708</v>
      </c>
      <c r="F11875" t="s">
        <v>11058</v>
      </c>
      <c r="K11875" s="18">
        <f>6282111082300</f>
        <v>6282111082300</v>
      </c>
      <c r="N11875" s="17" t="s">
        <v>81</v>
      </c>
      <c r="V11875" s="18">
        <f>6282111082300</f>
        <v>6282111082300</v>
      </c>
    </row>
    <row r="11876" ht="15" customHeight="1" spans="1:28" x14ac:dyDescent="0.25">
      <c r="A11876" s="17" t="s">
        <v>32489</v>
      </c>
      <c r="B11876" s="17" t="s">
        <v>70</v>
      </c>
      <c r="C11876" s="17" t="s">
        <v>71</v>
      </c>
      <c r="D11876" t="s">
        <v>4708</v>
      </c>
      <c r="F11876" t="s">
        <v>5202</v>
      </c>
      <c r="J11876" t="s">
        <v>115</v>
      </c>
      <c r="K11876" s="18" t="s">
        <v>32490</v>
      </c>
      <c r="N11876" s="17" t="s">
        <v>77</v>
      </c>
      <c r="O11876" t="s">
        <v>199</v>
      </c>
      <c r="V11876" s="18" t="s">
        <v>32490</v>
      </c>
      <c r="Y11876" t="s">
        <v>190</v>
      </c>
      <c r="AA11876" t="s">
        <v>118</v>
      </c>
      <c r="AB11876" t="s">
        <v>119</v>
      </c>
    </row>
    <row r="11877" ht="15" customHeight="1" spans="1:22" x14ac:dyDescent="0.25">
      <c r="A11877" s="17" t="s">
        <v>32491</v>
      </c>
      <c r="B11877" s="17" t="s">
        <v>70</v>
      </c>
      <c r="C11877" s="17" t="s">
        <v>71</v>
      </c>
      <c r="D11877" t="s">
        <v>4708</v>
      </c>
      <c r="F11877" t="s">
        <v>24299</v>
      </c>
      <c r="K11877" s="18">
        <f>6282163139689</f>
        <v>6282163139689</v>
      </c>
      <c r="N11877" s="17" t="s">
        <v>74</v>
      </c>
      <c r="V11877" s="18">
        <f>6282163139689</f>
        <v>6282163139689</v>
      </c>
    </row>
    <row r="11878" ht="15" customHeight="1" spans="1:28" x14ac:dyDescent="0.25">
      <c r="A11878" s="17" t="s">
        <v>32492</v>
      </c>
      <c r="B11878" s="17" t="s">
        <v>70</v>
      </c>
      <c r="C11878" s="17" t="s">
        <v>71</v>
      </c>
      <c r="D11878" t="s">
        <v>32493</v>
      </c>
      <c r="F11878" t="s">
        <v>32493</v>
      </c>
      <c r="J11878" t="s">
        <v>115</v>
      </c>
      <c r="K11878" s="18" t="s">
        <v>32494</v>
      </c>
      <c r="N11878" s="17" t="s">
        <v>77</v>
      </c>
      <c r="O11878" t="s">
        <v>199</v>
      </c>
      <c r="V11878" s="18" t="s">
        <v>32494</v>
      </c>
      <c r="Y11878" t="s">
        <v>90</v>
      </c>
      <c r="AA11878" t="s">
        <v>118</v>
      </c>
      <c r="AB11878" t="s">
        <v>119</v>
      </c>
    </row>
    <row r="11879" ht="15" customHeight="1" spans="1:22" x14ac:dyDescent="0.25">
      <c r="A11879" s="17" t="s">
        <v>32495</v>
      </c>
      <c r="B11879" s="17" t="s">
        <v>70</v>
      </c>
      <c r="C11879" s="17" t="s">
        <v>71</v>
      </c>
      <c r="D11879" t="s">
        <v>32493</v>
      </c>
      <c r="F11879" t="s">
        <v>1843</v>
      </c>
      <c r="K11879" s="18">
        <f>6281294054979</f>
        <v>6281294054979</v>
      </c>
      <c r="N11879" s="17" t="s">
        <v>81</v>
      </c>
      <c r="V11879" s="18">
        <f>6281294054979</f>
        <v>6281294054979</v>
      </c>
    </row>
    <row r="11880" ht="15" customHeight="1" spans="1:22" x14ac:dyDescent="0.25">
      <c r="A11880" s="17" t="s">
        <v>32496</v>
      </c>
      <c r="B11880" s="17" t="s">
        <v>70</v>
      </c>
      <c r="C11880" s="17" t="s">
        <v>71</v>
      </c>
      <c r="D11880" t="s">
        <v>32497</v>
      </c>
      <c r="F11880" t="s">
        <v>6235</v>
      </c>
      <c r="K11880" s="18">
        <f>62819870718</f>
        <v>62819870718</v>
      </c>
      <c r="N11880" s="17" t="s">
        <v>77</v>
      </c>
      <c r="V11880" s="18">
        <f>62819870718</f>
        <v>62819870718</v>
      </c>
    </row>
    <row r="11881" ht="15" customHeight="1" spans="1:23" x14ac:dyDescent="0.25">
      <c r="A11881" s="17" t="s">
        <v>32498</v>
      </c>
      <c r="B11881" s="17" t="s">
        <v>70</v>
      </c>
      <c r="C11881" s="17" t="s">
        <v>71</v>
      </c>
      <c r="D11881" t="s">
        <v>8968</v>
      </c>
      <c r="F11881" t="s">
        <v>8968</v>
      </c>
      <c r="K11881" s="18">
        <f>6281319995589</f>
        <v>6281319995589</v>
      </c>
      <c r="N11881" s="17" t="s">
        <v>74</v>
      </c>
      <c r="U11881" s="17"/>
      <c r="V11881" s="18">
        <f>6281319995589</f>
        <v>6281319995589</v>
      </c>
      <c r="W11881" t="s">
        <v>32499</v>
      </c>
    </row>
    <row r="11882" ht="15" customHeight="1" spans="1:23" x14ac:dyDescent="0.25">
      <c r="A11882" s="17" t="s">
        <v>32500</v>
      </c>
      <c r="B11882" s="17" t="s">
        <v>70</v>
      </c>
      <c r="C11882" s="17" t="s">
        <v>71</v>
      </c>
      <c r="D11882" t="s">
        <v>8968</v>
      </c>
      <c r="F11882" t="s">
        <v>824</v>
      </c>
      <c r="K11882" s="18">
        <f>6287888330628</f>
        <v>6287888330628</v>
      </c>
      <c r="N11882" s="17" t="s">
        <v>77</v>
      </c>
      <c r="U11882" s="17"/>
      <c r="V11882" s="18">
        <f>6287888330628</f>
        <v>6287888330628</v>
      </c>
      <c r="W11882" t="s">
        <v>32501</v>
      </c>
    </row>
    <row r="11883" ht="15" customHeight="1" spans="1:28" x14ac:dyDescent="0.25">
      <c r="A11883" s="17" t="s">
        <v>32502</v>
      </c>
      <c r="B11883" s="17" t="s">
        <v>70</v>
      </c>
      <c r="C11883" s="17" t="s">
        <v>71</v>
      </c>
      <c r="D11883" t="s">
        <v>18900</v>
      </c>
      <c r="F11883" t="s">
        <v>629</v>
      </c>
      <c r="J11883" t="s">
        <v>115</v>
      </c>
      <c r="K11883" s="18" t="s">
        <v>32503</v>
      </c>
      <c r="N11883" s="17" t="s">
        <v>77</v>
      </c>
      <c r="O11883" t="s">
        <v>145</v>
      </c>
      <c r="U11883" s="17"/>
      <c r="V11883" s="18" t="s">
        <v>32503</v>
      </c>
      <c r="W11883" t="s">
        <v>32504</v>
      </c>
      <c r="Y11883" t="s">
        <v>1247</v>
      </c>
      <c r="AA11883" t="s">
        <v>115</v>
      </c>
      <c r="AB11883" t="s">
        <v>119</v>
      </c>
    </row>
    <row r="11884" ht="15" customHeight="1" spans="1:22" x14ac:dyDescent="0.25">
      <c r="A11884" s="17" t="s">
        <v>32505</v>
      </c>
      <c r="B11884" s="17" t="s">
        <v>70</v>
      </c>
      <c r="C11884" s="17" t="s">
        <v>71</v>
      </c>
      <c r="D11884" t="s">
        <v>8968</v>
      </c>
      <c r="F11884" t="s">
        <v>1608</v>
      </c>
      <c r="K11884" s="18">
        <f>6282125520525</f>
        <v>6282125520525</v>
      </c>
      <c r="N11884" s="17" t="s">
        <v>81</v>
      </c>
      <c r="V11884" s="18">
        <f>6282125520525</f>
        <v>6282125520525</v>
      </c>
    </row>
    <row r="11885" ht="15" customHeight="1" spans="1:28" x14ac:dyDescent="0.25">
      <c r="A11885" s="17" t="s">
        <v>32506</v>
      </c>
      <c r="B11885" s="17" t="s">
        <v>70</v>
      </c>
      <c r="C11885" s="17" t="s">
        <v>71</v>
      </c>
      <c r="D11885" t="s">
        <v>8968</v>
      </c>
      <c r="F11885" t="s">
        <v>19761</v>
      </c>
      <c r="J11885" t="s">
        <v>115</v>
      </c>
      <c r="K11885" s="18" t="s">
        <v>32507</v>
      </c>
      <c r="N11885" s="17" t="s">
        <v>74</v>
      </c>
      <c r="O11885" t="s">
        <v>117</v>
      </c>
      <c r="U11885" s="17"/>
      <c r="V11885" s="18" t="s">
        <v>32507</v>
      </c>
      <c r="W11885" t="s">
        <v>32508</v>
      </c>
      <c r="Y11885" t="s">
        <v>704</v>
      </c>
      <c r="AA11885" t="s">
        <v>705</v>
      </c>
      <c r="AB11885" t="s">
        <v>119</v>
      </c>
    </row>
    <row r="11886" ht="15" customHeight="1" spans="1:27" x14ac:dyDescent="0.25">
      <c r="A11886" s="17" t="s">
        <v>32509</v>
      </c>
      <c r="B11886" s="17" t="s">
        <v>70</v>
      </c>
      <c r="C11886" s="17" t="s">
        <v>71</v>
      </c>
      <c r="D11886" t="s">
        <v>8968</v>
      </c>
      <c r="F11886" t="s">
        <v>27086</v>
      </c>
      <c r="K11886" s="18">
        <f>6282118292929</f>
        <v>6282118292929</v>
      </c>
      <c r="N11886" s="17" t="s">
        <v>77</v>
      </c>
      <c r="U11886" s="17"/>
      <c r="V11886" s="18">
        <f>6282118292929</f>
        <v>6282118292929</v>
      </c>
      <c r="W11886" t="s">
        <v>32510</v>
      </c>
      <c r="Y11886" s="17" t="s">
        <v>1084</v>
      </c>
      <c r="AA11886" s="17">
        <v>14240</v>
      </c>
    </row>
    <row r="11887" ht="15" customHeight="1" spans="1:27" x14ac:dyDescent="0.25">
      <c r="A11887" s="17" t="s">
        <v>32511</v>
      </c>
      <c r="B11887" s="17" t="s">
        <v>70</v>
      </c>
      <c r="C11887" s="17" t="s">
        <v>71</v>
      </c>
      <c r="D11887" t="s">
        <v>8968</v>
      </c>
      <c r="F11887" t="s">
        <v>11291</v>
      </c>
      <c r="K11887" s="18">
        <f>62818851935</f>
        <v>62818851935</v>
      </c>
      <c r="N11887" s="17" t="s">
        <v>77</v>
      </c>
      <c r="U11887" s="17"/>
      <c r="V11887" s="18">
        <f>62818851935</f>
        <v>62818851935</v>
      </c>
      <c r="W11887" t="s">
        <v>32512</v>
      </c>
      <c r="Y11887" s="17" t="s">
        <v>90</v>
      </c>
      <c r="AA11887" s="17">
        <v>12310</v>
      </c>
    </row>
    <row r="11888" ht="15" customHeight="1" spans="1:22" x14ac:dyDescent="0.25">
      <c r="A11888" s="17" t="s">
        <v>32513</v>
      </c>
      <c r="B11888" s="17" t="s">
        <v>70</v>
      </c>
      <c r="C11888" s="17" t="s">
        <v>71</v>
      </c>
      <c r="D11888" t="s">
        <v>16027</v>
      </c>
      <c r="F11888" t="s">
        <v>32514</v>
      </c>
      <c r="K11888" s="18">
        <f>6282277000922</f>
        <v>6282277000922</v>
      </c>
      <c r="N11888" s="17" t="s">
        <v>81</v>
      </c>
      <c r="V11888" s="18">
        <f>6282277000922</f>
        <v>6282277000922</v>
      </c>
    </row>
    <row r="11889" ht="15" customHeight="1" spans="1:28" x14ac:dyDescent="0.25">
      <c r="A11889" s="17" t="s">
        <v>32515</v>
      </c>
      <c r="B11889" s="17" t="s">
        <v>70</v>
      </c>
      <c r="C11889" s="17" t="s">
        <v>71</v>
      </c>
      <c r="D11889" t="s">
        <v>32408</v>
      </c>
      <c r="F11889" t="s">
        <v>4458</v>
      </c>
      <c r="J11889" t="s">
        <v>32516</v>
      </c>
      <c r="K11889" s="18" t="s">
        <v>32517</v>
      </c>
      <c r="N11889" s="17" t="s">
        <v>77</v>
      </c>
      <c r="O11889" t="s">
        <v>117</v>
      </c>
      <c r="V11889" s="18" t="s">
        <v>32517</v>
      </c>
      <c r="Y11889" t="s">
        <v>217</v>
      </c>
      <c r="AA11889" t="s">
        <v>218</v>
      </c>
      <c r="AB11889" t="s">
        <v>119</v>
      </c>
    </row>
    <row r="11890" ht="15" customHeight="1" spans="1:27" x14ac:dyDescent="0.25">
      <c r="A11890" s="17" t="s">
        <v>32518</v>
      </c>
      <c r="B11890" s="17" t="s">
        <v>70</v>
      </c>
      <c r="C11890" s="17" t="s">
        <v>71</v>
      </c>
      <c r="D11890" t="s">
        <v>16027</v>
      </c>
      <c r="F11890" t="s">
        <v>32018</v>
      </c>
      <c r="K11890" s="18">
        <f>6285276287977</f>
        <v>6285276287977</v>
      </c>
      <c r="N11890" s="17" t="s">
        <v>81</v>
      </c>
      <c r="U11890" s="17"/>
      <c r="V11890" s="18">
        <f>6285276287977</f>
        <v>6285276287977</v>
      </c>
      <c r="W11890" t="s">
        <v>32519</v>
      </c>
      <c r="AA11890" s="17">
        <v>13830</v>
      </c>
    </row>
    <row r="11891" ht="15" customHeight="1" spans="1:23" x14ac:dyDescent="0.25">
      <c r="A11891" s="17" t="s">
        <v>32520</v>
      </c>
      <c r="B11891" s="17" t="s">
        <v>70</v>
      </c>
      <c r="C11891" s="17" t="s">
        <v>71</v>
      </c>
      <c r="D11891" t="s">
        <v>32521</v>
      </c>
      <c r="F11891" t="s">
        <v>32522</v>
      </c>
      <c r="K11891" s="18">
        <f>628129933309</f>
        <v>628129933309</v>
      </c>
      <c r="N11891" s="17" t="s">
        <v>77</v>
      </c>
      <c r="U11891" s="17"/>
      <c r="V11891" s="18">
        <f>628129933309</f>
        <v>628129933309</v>
      </c>
      <c r="W11891" t="s">
        <v>32523</v>
      </c>
    </row>
    <row r="11892" ht="15" customHeight="1" spans="1:28" x14ac:dyDescent="0.25">
      <c r="A11892" s="17" t="s">
        <v>32524</v>
      </c>
      <c r="B11892" s="17" t="s">
        <v>70</v>
      </c>
      <c r="C11892" s="17" t="s">
        <v>71</v>
      </c>
      <c r="D11892" t="s">
        <v>32525</v>
      </c>
      <c r="F11892" t="s">
        <v>32526</v>
      </c>
      <c r="J11892" t="s">
        <v>115</v>
      </c>
      <c r="K11892" s="18" t="s">
        <v>32527</v>
      </c>
      <c r="N11892" s="17" t="s">
        <v>74</v>
      </c>
      <c r="O11892" t="s">
        <v>489</v>
      </c>
      <c r="V11892" s="18" t="s">
        <v>32527</v>
      </c>
      <c r="Y11892" t="s">
        <v>90</v>
      </c>
      <c r="AA11892" t="s">
        <v>118</v>
      </c>
      <c r="AB11892" t="s">
        <v>119</v>
      </c>
    </row>
    <row r="11893" ht="15" customHeight="1" spans="1:22" x14ac:dyDescent="0.25">
      <c r="A11893" s="17" t="s">
        <v>32528</v>
      </c>
      <c r="B11893" s="17" t="s">
        <v>70</v>
      </c>
      <c r="C11893" s="17" t="s">
        <v>71</v>
      </c>
      <c r="D11893" t="s">
        <v>32529</v>
      </c>
      <c r="F11893" t="s">
        <v>32529</v>
      </c>
      <c r="K11893" s="18">
        <f>6281280306990</f>
        <v>6281280306990</v>
      </c>
      <c r="N11893" s="17" t="s">
        <v>77</v>
      </c>
      <c r="V11893" s="18">
        <f>6281280306990</f>
        <v>6281280306990</v>
      </c>
    </row>
    <row r="11894" ht="15" customHeight="1" spans="1:23" x14ac:dyDescent="0.25">
      <c r="A11894" s="17" t="s">
        <v>32530</v>
      </c>
      <c r="B11894" s="17" t="s">
        <v>70</v>
      </c>
      <c r="C11894" s="17" t="s">
        <v>71</v>
      </c>
      <c r="D11894" t="s">
        <v>10646</v>
      </c>
      <c r="F11894" t="s">
        <v>10646</v>
      </c>
      <c r="K11894" s="18">
        <f>6282275766969</f>
        <v>6282275766969</v>
      </c>
      <c r="N11894" s="17" t="s">
        <v>81</v>
      </c>
      <c r="U11894" s="17"/>
      <c r="V11894" s="18">
        <f>6282275766969</f>
        <v>6282275766969</v>
      </c>
      <c r="W11894" t="s">
        <v>32531</v>
      </c>
    </row>
    <row r="11895" ht="15" customHeight="1" spans="1:23" x14ac:dyDescent="0.25">
      <c r="A11895" s="17" t="s">
        <v>32532</v>
      </c>
      <c r="B11895" s="17" t="s">
        <v>70</v>
      </c>
      <c r="C11895" s="17" t="s">
        <v>71</v>
      </c>
      <c r="D11895" t="s">
        <v>10646</v>
      </c>
      <c r="F11895" t="s">
        <v>32533</v>
      </c>
      <c r="J11895" s="17" t="s">
        <v>32534</v>
      </c>
      <c r="K11895" s="18">
        <f>6281213800090</f>
        <v>6281213800090</v>
      </c>
      <c r="N11895" s="17" t="s">
        <v>81</v>
      </c>
      <c r="U11895" s="17"/>
      <c r="V11895" s="18">
        <f>6281213800090</f>
        <v>6281213800090</v>
      </c>
      <c r="W11895" t="s">
        <v>32535</v>
      </c>
    </row>
    <row r="11896" ht="15" customHeight="1" spans="1:28" x14ac:dyDescent="0.25">
      <c r="A11896" s="17" t="s">
        <v>32536</v>
      </c>
      <c r="B11896" s="17" t="s">
        <v>70</v>
      </c>
      <c r="C11896" s="17" t="s">
        <v>71</v>
      </c>
      <c r="D11896" t="s">
        <v>10646</v>
      </c>
      <c r="F11896" t="s">
        <v>13711</v>
      </c>
      <c r="J11896" s="17" t="s">
        <v>32537</v>
      </c>
      <c r="K11896" s="18" t="s">
        <v>32538</v>
      </c>
      <c r="N11896" s="17" t="s">
        <v>77</v>
      </c>
      <c r="O11896" t="s">
        <v>199</v>
      </c>
      <c r="V11896" s="18" t="s">
        <v>32538</v>
      </c>
      <c r="Y11896" t="s">
        <v>90</v>
      </c>
      <c r="AA11896" t="s">
        <v>118</v>
      </c>
      <c r="AB11896" t="s">
        <v>119</v>
      </c>
    </row>
    <row r="11897" ht="15" customHeight="1" spans="1:28" x14ac:dyDescent="0.25">
      <c r="A11897" s="17" t="s">
        <v>32539</v>
      </c>
      <c r="B11897" s="17" t="s">
        <v>70</v>
      </c>
      <c r="C11897" s="17" t="s">
        <v>71</v>
      </c>
      <c r="D11897" t="s">
        <v>5238</v>
      </c>
      <c r="F11897" t="s">
        <v>32540</v>
      </c>
      <c r="J11897" t="s">
        <v>115</v>
      </c>
      <c r="K11897" s="18" t="s">
        <v>32541</v>
      </c>
      <c r="N11897" s="17" t="s">
        <v>81</v>
      </c>
      <c r="O11897" t="s">
        <v>117</v>
      </c>
      <c r="U11897" s="17"/>
      <c r="V11897" s="18" t="s">
        <v>32541</v>
      </c>
      <c r="W11897" t="s">
        <v>32542</v>
      </c>
      <c r="Y11897" s="17" t="s">
        <v>90</v>
      </c>
      <c r="AA11897" t="s">
        <v>118</v>
      </c>
      <c r="AB11897" t="s">
        <v>119</v>
      </c>
    </row>
    <row r="11898" ht="15" customHeight="1" spans="1:27" x14ac:dyDescent="0.25">
      <c r="A11898" s="17" t="s">
        <v>32543</v>
      </c>
      <c r="B11898" s="17" t="s">
        <v>70</v>
      </c>
      <c r="C11898" s="17" t="s">
        <v>71</v>
      </c>
      <c r="D11898" t="s">
        <v>10646</v>
      </c>
      <c r="F11898" t="s">
        <v>27659</v>
      </c>
      <c r="J11898" s="17" t="s">
        <v>32544</v>
      </c>
      <c r="K11898" s="18">
        <f>6285270656210</f>
        <v>6285270656210</v>
      </c>
      <c r="N11898" s="17" t="s">
        <v>77</v>
      </c>
      <c r="U11898" s="17"/>
      <c r="V11898" s="18">
        <f>6285270656210</f>
        <v>6285270656210</v>
      </c>
      <c r="W11898" t="s">
        <v>32545</v>
      </c>
      <c r="Y11898" s="17" t="s">
        <v>1157</v>
      </c>
      <c r="AA11898" s="17">
        <v>22524</v>
      </c>
    </row>
    <row r="11899" ht="15" customHeight="1" spans="1:22" x14ac:dyDescent="0.25">
      <c r="A11899" s="17" t="s">
        <v>32546</v>
      </c>
      <c r="B11899" s="17" t="s">
        <v>70</v>
      </c>
      <c r="C11899" s="17" t="s">
        <v>71</v>
      </c>
      <c r="D11899" t="s">
        <v>10646</v>
      </c>
      <c r="F11899" t="s">
        <v>32547</v>
      </c>
      <c r="K11899" s="18">
        <f>628116023227</f>
        <v>628116023227</v>
      </c>
      <c r="N11899" s="17" t="s">
        <v>81</v>
      </c>
      <c r="V11899" s="18">
        <f>628116023227</f>
        <v>628116023227</v>
      </c>
    </row>
    <row r="11900" ht="15" customHeight="1" spans="1:23" x14ac:dyDescent="0.25">
      <c r="A11900" s="17" t="s">
        <v>32548</v>
      </c>
      <c r="B11900" s="17" t="s">
        <v>70</v>
      </c>
      <c r="C11900" s="17" t="s">
        <v>71</v>
      </c>
      <c r="D11900" t="s">
        <v>8970</v>
      </c>
      <c r="F11900" t="s">
        <v>8970</v>
      </c>
      <c r="K11900" s="18">
        <f>6281290458883</f>
        <v>6281290458883</v>
      </c>
      <c r="N11900" s="17" t="s">
        <v>77</v>
      </c>
      <c r="U11900" s="17"/>
      <c r="V11900" s="18">
        <f>6281290458883</f>
        <v>6281290458883</v>
      </c>
      <c r="W11900" t="s">
        <v>32549</v>
      </c>
    </row>
    <row r="11901" ht="15" customHeight="1" spans="1:22" x14ac:dyDescent="0.25">
      <c r="A11901" s="17" t="s">
        <v>32550</v>
      </c>
      <c r="B11901" s="17" t="s">
        <v>70</v>
      </c>
      <c r="C11901" s="17" t="s">
        <v>71</v>
      </c>
      <c r="D11901" t="s">
        <v>8970</v>
      </c>
      <c r="F11901" t="s">
        <v>32551</v>
      </c>
      <c r="K11901" s="18">
        <f>6281310607266</f>
        <v>6281310607266</v>
      </c>
      <c r="N11901" s="17" t="s">
        <v>77</v>
      </c>
      <c r="V11901" s="18">
        <f>6281310607266</f>
        <v>6281310607266</v>
      </c>
    </row>
    <row r="11902" ht="15" customHeight="1" spans="1:25" x14ac:dyDescent="0.25">
      <c r="A11902" s="17" t="s">
        <v>32552</v>
      </c>
      <c r="B11902" s="17" t="s">
        <v>70</v>
      </c>
      <c r="C11902" s="17" t="s">
        <v>71</v>
      </c>
      <c r="D11902" t="s">
        <v>8970</v>
      </c>
      <c r="F11902" t="s">
        <v>17825</v>
      </c>
      <c r="K11902" s="18">
        <f>62811550170</f>
        <v>62811550170</v>
      </c>
      <c r="N11902" s="17" t="s">
        <v>77</v>
      </c>
      <c r="U11902" s="17"/>
      <c r="V11902" s="18">
        <f>62811550170</f>
        <v>62811550170</v>
      </c>
      <c r="W11902" t="s">
        <v>32553</v>
      </c>
      <c r="Y11902" s="17" t="s">
        <v>3195</v>
      </c>
    </row>
    <row r="11903" ht="15" customHeight="1" spans="1:23" x14ac:dyDescent="0.25">
      <c r="A11903" s="17" t="s">
        <v>32554</v>
      </c>
      <c r="B11903" s="17" t="s">
        <v>70</v>
      </c>
      <c r="C11903" s="17" t="s">
        <v>71</v>
      </c>
      <c r="D11903" t="s">
        <v>32555</v>
      </c>
      <c r="F11903" t="s">
        <v>32555</v>
      </c>
      <c r="J11903" s="17" t="s">
        <v>32556</v>
      </c>
      <c r="K11903" s="18">
        <f>62816713500</f>
        <v>62816713500</v>
      </c>
      <c r="N11903" s="17" t="s">
        <v>77</v>
      </c>
      <c r="U11903" s="17"/>
      <c r="V11903" s="18">
        <f>62816713500</f>
        <v>62816713500</v>
      </c>
      <c r="W11903" t="s">
        <v>32557</v>
      </c>
    </row>
    <row r="11904" ht="15" customHeight="1" spans="1:22" x14ac:dyDescent="0.25">
      <c r="A11904" s="17" t="s">
        <v>32558</v>
      </c>
      <c r="B11904" s="17" t="s">
        <v>70</v>
      </c>
      <c r="C11904" s="17" t="s">
        <v>71</v>
      </c>
      <c r="D11904" t="s">
        <v>32559</v>
      </c>
      <c r="F11904" t="s">
        <v>32559</v>
      </c>
      <c r="K11904" s="18">
        <f>628159171820</f>
        <v>628159171820</v>
      </c>
      <c r="N11904" s="17" t="s">
        <v>74</v>
      </c>
      <c r="V11904" s="18">
        <f>628159171820</f>
        <v>628159171820</v>
      </c>
    </row>
    <row r="11905" ht="15" customHeight="1" spans="1:22" x14ac:dyDescent="0.25">
      <c r="A11905" s="17" t="s">
        <v>32560</v>
      </c>
      <c r="B11905" s="17" t="s">
        <v>70</v>
      </c>
      <c r="C11905" s="17" t="s">
        <v>71</v>
      </c>
      <c r="D11905" t="s">
        <v>32561</v>
      </c>
      <c r="F11905" t="s">
        <v>1564</v>
      </c>
      <c r="K11905" s="18">
        <f>6282165501370</f>
        <v>6282165501370</v>
      </c>
      <c r="N11905" s="17" t="s">
        <v>81</v>
      </c>
      <c r="V11905" s="18">
        <f>6282165501370</f>
        <v>6282165501370</v>
      </c>
    </row>
    <row r="11906" ht="15" customHeight="1" spans="1:22" x14ac:dyDescent="0.25">
      <c r="A11906" s="17" t="s">
        <v>32562</v>
      </c>
      <c r="B11906" s="17" t="s">
        <v>70</v>
      </c>
      <c r="C11906" s="17" t="s">
        <v>71</v>
      </c>
      <c r="D11906" t="s">
        <v>32563</v>
      </c>
      <c r="F11906" t="s">
        <v>32564</v>
      </c>
      <c r="K11906" s="18">
        <f>6282260301110</f>
        <v>6282260301110</v>
      </c>
      <c r="N11906" s="17" t="s">
        <v>77</v>
      </c>
      <c r="V11906" s="18">
        <f>6282260301110</f>
        <v>6282260301110</v>
      </c>
    </row>
    <row r="11907" ht="15" customHeight="1" spans="1:25" x14ac:dyDescent="0.25">
      <c r="A11907" s="17" t="s">
        <v>32565</v>
      </c>
      <c r="B11907" s="17" t="s">
        <v>70</v>
      </c>
      <c r="C11907" s="17" t="s">
        <v>71</v>
      </c>
      <c r="D11907" t="s">
        <v>32566</v>
      </c>
      <c r="F11907" t="s">
        <v>32142</v>
      </c>
      <c r="K11907" s="18">
        <f>6221830124041</f>
        <v>6221830124041</v>
      </c>
      <c r="N11907" s="17" t="s">
        <v>74</v>
      </c>
      <c r="U11907" s="17"/>
      <c r="V11907" s="18">
        <f>6221830124041</f>
        <v>6221830124041</v>
      </c>
      <c r="W11907" t="s">
        <v>32567</v>
      </c>
      <c r="Y11907" s="17" t="s">
        <v>96</v>
      </c>
    </row>
    <row r="11908" ht="15" customHeight="1" spans="1:28" x14ac:dyDescent="0.25">
      <c r="A11908" s="17" t="s">
        <v>32568</v>
      </c>
      <c r="B11908" s="17" t="s">
        <v>70</v>
      </c>
      <c r="C11908" s="17" t="s">
        <v>71</v>
      </c>
      <c r="D11908" t="s">
        <v>2288</v>
      </c>
      <c r="F11908" t="s">
        <v>21123</v>
      </c>
      <c r="J11908" t="s">
        <v>115</v>
      </c>
      <c r="K11908" s="18" t="s">
        <v>32569</v>
      </c>
      <c r="N11908" s="17" t="s">
        <v>81</v>
      </c>
      <c r="O11908" t="s">
        <v>261</v>
      </c>
      <c r="U11908" s="17"/>
      <c r="V11908" s="18" t="s">
        <v>32569</v>
      </c>
      <c r="W11908" t="s">
        <v>32570</v>
      </c>
      <c r="Y11908" t="s">
        <v>90</v>
      </c>
      <c r="AA11908" t="s">
        <v>118</v>
      </c>
      <c r="AB11908" t="s">
        <v>119</v>
      </c>
    </row>
    <row r="11909" ht="15" customHeight="1" spans="1:28" x14ac:dyDescent="0.25">
      <c r="A11909" s="17" t="s">
        <v>32571</v>
      </c>
      <c r="B11909" s="17" t="s">
        <v>70</v>
      </c>
      <c r="C11909" s="17" t="s">
        <v>71</v>
      </c>
      <c r="D11909" t="s">
        <v>4113</v>
      </c>
      <c r="F11909" t="s">
        <v>4113</v>
      </c>
      <c r="J11909" t="s">
        <v>115</v>
      </c>
      <c r="K11909" s="18" t="s">
        <v>32572</v>
      </c>
      <c r="N11909" s="17" t="s">
        <v>81</v>
      </c>
      <c r="O11909" t="s">
        <v>117</v>
      </c>
      <c r="V11909" s="18" t="s">
        <v>32572</v>
      </c>
      <c r="Y11909" t="s">
        <v>115</v>
      </c>
      <c r="AA11909" t="s">
        <v>115</v>
      </c>
      <c r="AB11909" t="s">
        <v>119</v>
      </c>
    </row>
    <row r="11910" ht="15" customHeight="1" spans="1:28" x14ac:dyDescent="0.25">
      <c r="A11910" s="17" t="s">
        <v>32573</v>
      </c>
      <c r="B11910" s="17" t="s">
        <v>70</v>
      </c>
      <c r="C11910" s="17" t="s">
        <v>71</v>
      </c>
      <c r="D11910" t="s">
        <v>4113</v>
      </c>
      <c r="F11910" t="s">
        <v>32574</v>
      </c>
      <c r="J11910" t="s">
        <v>115</v>
      </c>
      <c r="K11910" s="18" t="s">
        <v>32575</v>
      </c>
      <c r="N11910" s="17" t="s">
        <v>77</v>
      </c>
      <c r="O11910" t="s">
        <v>199</v>
      </c>
      <c r="V11910" s="18" t="s">
        <v>32575</v>
      </c>
      <c r="Y11910" t="s">
        <v>190</v>
      </c>
      <c r="AA11910" t="s">
        <v>118</v>
      </c>
      <c r="AB11910" t="s">
        <v>119</v>
      </c>
    </row>
    <row r="11911" ht="15" customHeight="1" spans="1:22" x14ac:dyDescent="0.25">
      <c r="A11911" s="17" t="s">
        <v>32576</v>
      </c>
      <c r="B11911" s="17" t="s">
        <v>70</v>
      </c>
      <c r="C11911" s="17" t="s">
        <v>71</v>
      </c>
      <c r="D11911" t="s">
        <v>4113</v>
      </c>
      <c r="F11911" t="s">
        <v>32577</v>
      </c>
      <c r="K11911" s="18">
        <f>6281318755513</f>
        <v>6281318755513</v>
      </c>
      <c r="N11911" s="17" t="s">
        <v>77</v>
      </c>
      <c r="V11911" s="18">
        <f>6281318755513</f>
        <v>6281318755513</v>
      </c>
    </row>
    <row r="11912" ht="15" customHeight="1" spans="1:22" x14ac:dyDescent="0.25">
      <c r="A11912" s="17" t="s">
        <v>32578</v>
      </c>
      <c r="B11912" s="17" t="s">
        <v>70</v>
      </c>
      <c r="C11912" s="17" t="s">
        <v>71</v>
      </c>
      <c r="D11912" t="s">
        <v>4113</v>
      </c>
      <c r="F11912" t="s">
        <v>32579</v>
      </c>
      <c r="K11912" s="18">
        <f>628118476279</f>
        <v>628118476279</v>
      </c>
      <c r="N11912" s="17" t="s">
        <v>77</v>
      </c>
      <c r="V11912" s="18">
        <f>628118476279</f>
        <v>628118476279</v>
      </c>
    </row>
    <row r="11913" ht="15" customHeight="1" spans="1:22" x14ac:dyDescent="0.25">
      <c r="A11913" s="17" t="s">
        <v>32580</v>
      </c>
      <c r="B11913" s="17" t="s">
        <v>70</v>
      </c>
      <c r="C11913" s="17" t="s">
        <v>71</v>
      </c>
      <c r="D11913" t="s">
        <v>4113</v>
      </c>
      <c r="F11913" t="s">
        <v>1704</v>
      </c>
      <c r="K11913" s="18">
        <f>6287888290899</f>
        <v>6287888290899</v>
      </c>
      <c r="N11913" s="17" t="s">
        <v>81</v>
      </c>
      <c r="V11913" s="18">
        <f>6287888290899</f>
        <v>6287888290899</v>
      </c>
    </row>
    <row r="11914" ht="15" customHeight="1" spans="1:22" x14ac:dyDescent="0.25">
      <c r="A11914" s="17" t="s">
        <v>32581</v>
      </c>
      <c r="B11914" s="17" t="s">
        <v>70</v>
      </c>
      <c r="C11914" s="17" t="s">
        <v>71</v>
      </c>
      <c r="D11914" t="s">
        <v>32582</v>
      </c>
      <c r="F11914" t="s">
        <v>32583</v>
      </c>
      <c r="K11914" s="18">
        <f>6287877337604</f>
        <v>6287877337604</v>
      </c>
      <c r="N11914" s="17" t="s">
        <v>77</v>
      </c>
      <c r="V11914" s="18">
        <f>6287877337604</f>
        <v>6287877337604</v>
      </c>
    </row>
    <row r="11915" ht="15" customHeight="1" spans="1:23" x14ac:dyDescent="0.25">
      <c r="A11915" s="17" t="s">
        <v>32584</v>
      </c>
      <c r="B11915" s="17" t="s">
        <v>70</v>
      </c>
      <c r="C11915" s="17" t="s">
        <v>71</v>
      </c>
      <c r="D11915" t="s">
        <v>32585</v>
      </c>
      <c r="F11915" t="s">
        <v>31277</v>
      </c>
      <c r="K11915" s="18">
        <f>628161878446</f>
        <v>628161878446</v>
      </c>
      <c r="N11915" s="17" t="s">
        <v>77</v>
      </c>
      <c r="U11915" s="17"/>
      <c r="V11915" s="18">
        <f>628161878446</f>
        <v>628161878446</v>
      </c>
      <c r="W11915" t="s">
        <v>32586</v>
      </c>
    </row>
    <row r="11916" ht="15" customHeight="1" spans="1:25" x14ac:dyDescent="0.25">
      <c r="A11916" s="17" t="s">
        <v>32587</v>
      </c>
      <c r="B11916" s="17" t="s">
        <v>70</v>
      </c>
      <c r="C11916" s="17" t="s">
        <v>71</v>
      </c>
      <c r="D11916" t="s">
        <v>32588</v>
      </c>
      <c r="F11916" t="s">
        <v>31277</v>
      </c>
      <c r="K11916" s="18">
        <f>628164878446</f>
        <v>628164878446</v>
      </c>
      <c r="N11916" s="17" t="s">
        <v>77</v>
      </c>
      <c r="U11916" s="17"/>
      <c r="V11916" s="18">
        <f>628164878446</f>
        <v>628164878446</v>
      </c>
      <c r="W11916" t="s">
        <v>32589</v>
      </c>
      <c r="Y11916" s="17" t="s">
        <v>96</v>
      </c>
    </row>
    <row r="11917" ht="15" customHeight="1" spans="1:22" x14ac:dyDescent="0.25">
      <c r="A11917" s="17" t="s">
        <v>32590</v>
      </c>
      <c r="B11917" s="17" t="s">
        <v>70</v>
      </c>
      <c r="C11917" s="17" t="s">
        <v>71</v>
      </c>
      <c r="D11917" t="s">
        <v>20124</v>
      </c>
      <c r="F11917" t="s">
        <v>29129</v>
      </c>
      <c r="K11917" s="18">
        <f>628119999215</f>
        <v>628119999215</v>
      </c>
      <c r="N11917" s="17" t="s">
        <v>81</v>
      </c>
      <c r="V11917" s="18">
        <f>628119999215</f>
        <v>628119999215</v>
      </c>
    </row>
    <row r="11918" ht="15" customHeight="1" spans="1:22" x14ac:dyDescent="0.25">
      <c r="A11918" s="17" t="s">
        <v>32591</v>
      </c>
      <c r="B11918" s="17" t="s">
        <v>70</v>
      </c>
      <c r="C11918" s="17" t="s">
        <v>71</v>
      </c>
      <c r="D11918" t="s">
        <v>29390</v>
      </c>
      <c r="F11918" t="s">
        <v>29390</v>
      </c>
      <c r="K11918" s="18">
        <f>6281807700877</f>
        <v>6281807700877</v>
      </c>
      <c r="N11918" s="17" t="s">
        <v>77</v>
      </c>
      <c r="V11918" s="18">
        <f>6281807700877</f>
        <v>6281807700877</v>
      </c>
    </row>
    <row r="11919" ht="15" customHeight="1" spans="1:22" x14ac:dyDescent="0.25">
      <c r="A11919" s="17" t="s">
        <v>32592</v>
      </c>
      <c r="B11919" s="17" t="s">
        <v>70</v>
      </c>
      <c r="C11919" s="17" t="s">
        <v>71</v>
      </c>
      <c r="D11919" t="s">
        <v>29390</v>
      </c>
      <c r="F11919" t="s">
        <v>32593</v>
      </c>
      <c r="K11919" s="18">
        <f>6281281184335</f>
        <v>6281281184335</v>
      </c>
      <c r="N11919" s="17" t="s">
        <v>81</v>
      </c>
      <c r="V11919" s="18">
        <f>6281281184335</f>
        <v>6281281184335</v>
      </c>
    </row>
    <row r="11920" ht="15" customHeight="1" spans="1:22" x14ac:dyDescent="0.25">
      <c r="A11920" s="17" t="s">
        <v>32594</v>
      </c>
      <c r="B11920" s="17" t="s">
        <v>70</v>
      </c>
      <c r="C11920" s="17" t="s">
        <v>71</v>
      </c>
      <c r="D11920" t="s">
        <v>29390</v>
      </c>
      <c r="F11920" t="s">
        <v>19349</v>
      </c>
      <c r="K11920" s="18">
        <f>6281291977062</f>
        <v>6281291977062</v>
      </c>
      <c r="N11920" s="17" t="s">
        <v>77</v>
      </c>
      <c r="V11920" s="18">
        <f>6281291977062</f>
        <v>6281291977062</v>
      </c>
    </row>
    <row r="11921" ht="15" customHeight="1" spans="1:28" x14ac:dyDescent="0.25">
      <c r="A11921" s="17" t="s">
        <v>32595</v>
      </c>
      <c r="B11921" s="17" t="s">
        <v>70</v>
      </c>
      <c r="C11921" s="17" t="s">
        <v>71</v>
      </c>
      <c r="D11921" t="s">
        <v>32596</v>
      </c>
      <c r="F11921" t="s">
        <v>32597</v>
      </c>
      <c r="J11921" t="s">
        <v>115</v>
      </c>
      <c r="K11921" s="18" t="s">
        <v>32598</v>
      </c>
      <c r="N11921" s="17" t="s">
        <v>77</v>
      </c>
      <c r="O11921" t="s">
        <v>199</v>
      </c>
      <c r="V11921" s="18" t="s">
        <v>32598</v>
      </c>
      <c r="Y11921" t="s">
        <v>90</v>
      </c>
      <c r="AA11921" t="s">
        <v>118</v>
      </c>
      <c r="AB11921" t="s">
        <v>119</v>
      </c>
    </row>
    <row r="11922" ht="15" customHeight="1" spans="1:22" x14ac:dyDescent="0.25">
      <c r="A11922" s="17" t="s">
        <v>32599</v>
      </c>
      <c r="B11922" s="17" t="s">
        <v>70</v>
      </c>
      <c r="C11922" s="17" t="s">
        <v>71</v>
      </c>
      <c r="D11922" t="s">
        <v>32596</v>
      </c>
      <c r="F11922" t="s">
        <v>25120</v>
      </c>
      <c r="K11922" s="18">
        <f>628129699066</f>
        <v>628129699066</v>
      </c>
      <c r="N11922" s="17" t="s">
        <v>81</v>
      </c>
      <c r="V11922" s="18">
        <f>628129699066</f>
        <v>628129699066</v>
      </c>
    </row>
    <row r="11923" ht="15" customHeight="1" spans="1:28" x14ac:dyDescent="0.25">
      <c r="A11923" s="17" t="s">
        <v>32600</v>
      </c>
      <c r="B11923" s="17" t="s">
        <v>70</v>
      </c>
      <c r="C11923" s="17" t="s">
        <v>71</v>
      </c>
      <c r="D11923" t="s">
        <v>32601</v>
      </c>
      <c r="F11923" t="s">
        <v>32602</v>
      </c>
      <c r="J11923" t="s">
        <v>115</v>
      </c>
      <c r="K11923" s="18" t="s">
        <v>32603</v>
      </c>
      <c r="N11923" s="17" t="s">
        <v>77</v>
      </c>
      <c r="O11923" t="s">
        <v>145</v>
      </c>
      <c r="U11923" s="17"/>
      <c r="V11923" s="18" t="s">
        <v>32603</v>
      </c>
      <c r="W11923" t="s">
        <v>32604</v>
      </c>
      <c r="Y11923" s="17" t="s">
        <v>78</v>
      </c>
      <c r="AA11923" t="s">
        <v>115</v>
      </c>
      <c r="AB11923" t="s">
        <v>119</v>
      </c>
    </row>
    <row r="11924" ht="15" customHeight="1" spans="1:22" x14ac:dyDescent="0.25">
      <c r="A11924" s="17" t="s">
        <v>32605</v>
      </c>
      <c r="B11924" s="17" t="s">
        <v>70</v>
      </c>
      <c r="C11924" s="17" t="s">
        <v>71</v>
      </c>
      <c r="D11924" t="s">
        <v>32606</v>
      </c>
      <c r="F11924" t="s">
        <v>19823</v>
      </c>
      <c r="K11924" s="18">
        <f>628174877786</f>
        <v>628174877786</v>
      </c>
      <c r="N11924" s="17" t="s">
        <v>81</v>
      </c>
      <c r="V11924" s="18">
        <f>628174877786</f>
        <v>628174877786</v>
      </c>
    </row>
    <row r="11925" ht="15" customHeight="1" spans="1:28" x14ac:dyDescent="0.25">
      <c r="A11925" s="17" t="s">
        <v>32607</v>
      </c>
      <c r="B11925" s="17" t="s">
        <v>70</v>
      </c>
      <c r="C11925" s="17" t="s">
        <v>71</v>
      </c>
      <c r="D11925" t="s">
        <v>32608</v>
      </c>
      <c r="F11925" t="s">
        <v>32608</v>
      </c>
      <c r="J11925" t="s">
        <v>115</v>
      </c>
      <c r="K11925" s="18" t="s">
        <v>32609</v>
      </c>
      <c r="N11925" s="17" t="s">
        <v>77</v>
      </c>
      <c r="O11925" t="s">
        <v>261</v>
      </c>
      <c r="U11925" s="17"/>
      <c r="V11925" s="18" t="s">
        <v>32609</v>
      </c>
      <c r="W11925" t="s">
        <v>32610</v>
      </c>
      <c r="Y11925" t="s">
        <v>115</v>
      </c>
      <c r="AA11925" t="s">
        <v>115</v>
      </c>
      <c r="AB11925" t="s">
        <v>119</v>
      </c>
    </row>
    <row r="11926" ht="15" customHeight="1" spans="1:22" x14ac:dyDescent="0.25">
      <c r="A11926" s="17" t="s">
        <v>32611</v>
      </c>
      <c r="B11926" s="17" t="s">
        <v>70</v>
      </c>
      <c r="C11926" s="17" t="s">
        <v>71</v>
      </c>
      <c r="D11926" t="s">
        <v>32612</v>
      </c>
      <c r="F11926" t="s">
        <v>32613</v>
      </c>
      <c r="K11926" s="18">
        <f>62811123778</f>
        <v>62811123778</v>
      </c>
      <c r="N11926" s="17" t="s">
        <v>77</v>
      </c>
      <c r="V11926" s="18">
        <f>62811123778</f>
        <v>62811123778</v>
      </c>
    </row>
    <row r="11927" ht="15" customHeight="1" spans="1:23" x14ac:dyDescent="0.25">
      <c r="A11927" s="17" t="s">
        <v>32614</v>
      </c>
      <c r="B11927" s="17" t="s">
        <v>70</v>
      </c>
      <c r="C11927" s="17" t="s">
        <v>71</v>
      </c>
      <c r="D11927" t="s">
        <v>32615</v>
      </c>
      <c r="F11927" t="s">
        <v>32616</v>
      </c>
      <c r="K11927" s="18">
        <f>6282113401988</f>
        <v>6282113401988</v>
      </c>
      <c r="N11927" s="17" t="s">
        <v>81</v>
      </c>
      <c r="U11927" s="17"/>
      <c r="V11927" s="18">
        <f>6282113401988</f>
        <v>6282113401988</v>
      </c>
      <c r="W11927" t="s">
        <v>32617</v>
      </c>
    </row>
    <row r="11928" ht="15" customHeight="1" spans="1:22" x14ac:dyDescent="0.25">
      <c r="A11928" s="17" t="s">
        <v>32618</v>
      </c>
      <c r="B11928" s="17" t="s">
        <v>70</v>
      </c>
      <c r="C11928" s="17" t="s">
        <v>71</v>
      </c>
      <c r="D11928" t="s">
        <v>31160</v>
      </c>
      <c r="F11928" t="s">
        <v>29129</v>
      </c>
      <c r="K11928" s="18">
        <f>628111681207</f>
        <v>628111681207</v>
      </c>
      <c r="N11928" s="17" t="s">
        <v>74</v>
      </c>
      <c r="V11928" s="18">
        <f>628111681207</f>
        <v>628111681207</v>
      </c>
    </row>
    <row r="11929" ht="15" customHeight="1" spans="1:28" x14ac:dyDescent="0.25">
      <c r="A11929" s="17" t="s">
        <v>32619</v>
      </c>
      <c r="B11929" s="17" t="s">
        <v>70</v>
      </c>
      <c r="C11929" s="17" t="s">
        <v>71</v>
      </c>
      <c r="D11929" t="s">
        <v>31160</v>
      </c>
      <c r="F11929" t="s">
        <v>32620</v>
      </c>
      <c r="J11929" s="17" t="s">
        <v>32621</v>
      </c>
      <c r="K11929" s="18" t="s">
        <v>32622</v>
      </c>
      <c r="N11929" s="17" t="s">
        <v>77</v>
      </c>
      <c r="O11929" t="s">
        <v>145</v>
      </c>
      <c r="U11929" s="17"/>
      <c r="V11929" s="18" t="s">
        <v>32622</v>
      </c>
      <c r="W11929" t="s">
        <v>704</v>
      </c>
      <c r="Y11929" t="s">
        <v>1091</v>
      </c>
      <c r="AA11929" t="s">
        <v>115</v>
      </c>
      <c r="AB11929" t="s">
        <v>119</v>
      </c>
    </row>
    <row r="11930" ht="15" customHeight="1" spans="1:22" x14ac:dyDescent="0.25">
      <c r="A11930" s="17" t="s">
        <v>32623</v>
      </c>
      <c r="B11930" s="17" t="s">
        <v>70</v>
      </c>
      <c r="C11930" s="17" t="s">
        <v>71</v>
      </c>
      <c r="D11930" t="s">
        <v>32624</v>
      </c>
      <c r="F11930" t="s">
        <v>32624</v>
      </c>
      <c r="K11930" s="18">
        <f>62811886996</f>
        <v>62811886996</v>
      </c>
      <c r="N11930" s="17" t="s">
        <v>77</v>
      </c>
      <c r="V11930" s="18">
        <f>62811886996</f>
        <v>62811886996</v>
      </c>
    </row>
    <row r="11931" ht="15" customHeight="1" spans="1:22" x14ac:dyDescent="0.25">
      <c r="A11931" s="17" t="s">
        <v>32625</v>
      </c>
      <c r="B11931" s="17" t="s">
        <v>70</v>
      </c>
      <c r="C11931" s="17" t="s">
        <v>71</v>
      </c>
      <c r="D11931" t="s">
        <v>32624</v>
      </c>
      <c r="F11931" t="s">
        <v>32624</v>
      </c>
      <c r="K11931" s="18">
        <f>6285310159600</f>
        <v>6285310159600</v>
      </c>
      <c r="N11931" s="17" t="s">
        <v>77</v>
      </c>
      <c r="V11931" s="18">
        <f>6285310159600</f>
        <v>6285310159600</v>
      </c>
    </row>
    <row r="11932" ht="15" customHeight="1" spans="1:22" x14ac:dyDescent="0.25">
      <c r="A11932" s="17" t="s">
        <v>32626</v>
      </c>
      <c r="B11932" s="17" t="s">
        <v>70</v>
      </c>
      <c r="C11932" s="17" t="s">
        <v>71</v>
      </c>
      <c r="D11932" t="s">
        <v>32624</v>
      </c>
      <c r="F11932" t="s">
        <v>32624</v>
      </c>
      <c r="K11932" s="18">
        <f>628118403140</f>
        <v>628118403140</v>
      </c>
      <c r="N11932" s="17" t="s">
        <v>77</v>
      </c>
      <c r="V11932" s="18">
        <f>628118403140</f>
        <v>628118403140</v>
      </c>
    </row>
    <row r="11933" ht="15" customHeight="1" spans="1:23" x14ac:dyDescent="0.25">
      <c r="A11933" s="17" t="s">
        <v>32627</v>
      </c>
      <c r="B11933" s="17" t="s">
        <v>70</v>
      </c>
      <c r="C11933" s="17" t="s">
        <v>71</v>
      </c>
      <c r="D11933" t="s">
        <v>32624</v>
      </c>
      <c r="F11933" t="s">
        <v>32628</v>
      </c>
      <c r="K11933" s="18">
        <f>62811912924</f>
        <v>62811912924</v>
      </c>
      <c r="N11933" s="17" t="s">
        <v>77</v>
      </c>
      <c r="U11933" s="17"/>
      <c r="V11933" s="18">
        <f>62811912924</f>
        <v>62811912924</v>
      </c>
      <c r="W11933" t="s">
        <v>32629</v>
      </c>
    </row>
    <row r="11934" ht="15" customHeight="1" spans="1:22" x14ac:dyDescent="0.25">
      <c r="A11934" s="17" t="s">
        <v>32630</v>
      </c>
      <c r="B11934" s="17" t="s">
        <v>70</v>
      </c>
      <c r="C11934" s="17" t="s">
        <v>71</v>
      </c>
      <c r="D11934" t="s">
        <v>32624</v>
      </c>
      <c r="F11934" t="s">
        <v>7824</v>
      </c>
      <c r="K11934" s="18">
        <f>62818743504</f>
        <v>62818743504</v>
      </c>
      <c r="N11934" s="17" t="s">
        <v>81</v>
      </c>
      <c r="V11934" s="18">
        <f>62818743504</f>
        <v>62818743504</v>
      </c>
    </row>
    <row r="11935" ht="15" customHeight="1" spans="1:22" x14ac:dyDescent="0.25">
      <c r="A11935" s="17" t="s">
        <v>32631</v>
      </c>
      <c r="B11935" s="17" t="s">
        <v>70</v>
      </c>
      <c r="C11935" s="17" t="s">
        <v>71</v>
      </c>
      <c r="D11935" t="s">
        <v>32624</v>
      </c>
      <c r="F11935" t="s">
        <v>30312</v>
      </c>
      <c r="K11935" s="18">
        <f>6281384964606</f>
        <v>6281384964606</v>
      </c>
      <c r="N11935" s="17" t="s">
        <v>81</v>
      </c>
      <c r="V11935" s="18">
        <f>6281384964606</f>
        <v>6281384964606</v>
      </c>
    </row>
    <row r="11936" ht="15" customHeight="1" spans="1:22" x14ac:dyDescent="0.25">
      <c r="A11936" s="17" t="s">
        <v>32632</v>
      </c>
      <c r="B11936" s="17" t="s">
        <v>70</v>
      </c>
      <c r="C11936" s="17" t="s">
        <v>71</v>
      </c>
      <c r="D11936" s="19" t="s">
        <v>32624</v>
      </c>
      <c r="F11936" t="s">
        <v>32624</v>
      </c>
      <c r="K11936" s="18">
        <f>6282186998383</f>
        <v>6282186998383</v>
      </c>
      <c r="N11936" s="17" t="s">
        <v>77</v>
      </c>
      <c r="V11936" s="18">
        <f>6282186998383</f>
        <v>6282186998383</v>
      </c>
    </row>
    <row r="11937" ht="15" customHeight="1" spans="1:27" x14ac:dyDescent="0.25">
      <c r="A11937" s="17" t="s">
        <v>32633</v>
      </c>
      <c r="B11937" s="17" t="s">
        <v>70</v>
      </c>
      <c r="C11937" s="17" t="s">
        <v>71</v>
      </c>
      <c r="D11937" t="s">
        <v>32634</v>
      </c>
      <c r="F11937" t="s">
        <v>32635</v>
      </c>
      <c r="K11937" s="18">
        <f>628129991652</f>
        <v>628129991652</v>
      </c>
      <c r="N11937" s="17" t="s">
        <v>74</v>
      </c>
      <c r="U11937" s="17"/>
      <c r="V11937" s="18">
        <f>628129991652</f>
        <v>628129991652</v>
      </c>
      <c r="W11937" t="s">
        <v>32636</v>
      </c>
      <c r="Y11937" s="17" t="s">
        <v>96</v>
      </c>
      <c r="AA11937" s="17" t="s">
        <v>32637</v>
      </c>
    </row>
    <row r="11938" ht="15" customHeight="1" spans="1:22" x14ac:dyDescent="0.25">
      <c r="A11938" s="17" t="s">
        <v>32638</v>
      </c>
      <c r="B11938" s="17" t="s">
        <v>70</v>
      </c>
      <c r="C11938" s="17" t="s">
        <v>71</v>
      </c>
      <c r="D11938" t="s">
        <v>32639</v>
      </c>
      <c r="F11938" t="s">
        <v>32640</v>
      </c>
      <c r="K11938" s="18">
        <f>6281286666650</f>
        <v>6281286666650</v>
      </c>
      <c r="N11938" s="17" t="s">
        <v>77</v>
      </c>
      <c r="V11938" s="18">
        <f>6281286666650</f>
        <v>6281286666650</v>
      </c>
    </row>
    <row r="11939" ht="15" customHeight="1" spans="1:23" x14ac:dyDescent="0.25">
      <c r="A11939" s="17" t="s">
        <v>32641</v>
      </c>
      <c r="B11939" s="17" t="s">
        <v>70</v>
      </c>
      <c r="C11939" s="17" t="s">
        <v>71</v>
      </c>
      <c r="D11939" t="s">
        <v>32642</v>
      </c>
      <c r="F11939" t="s">
        <v>860</v>
      </c>
      <c r="K11939" s="18">
        <f>62811924692</f>
        <v>62811924692</v>
      </c>
      <c r="N11939" s="17" t="s">
        <v>81</v>
      </c>
      <c r="U11939" s="17"/>
      <c r="V11939" s="18">
        <f>62811924692</f>
        <v>62811924692</v>
      </c>
      <c r="W11939" t="s">
        <v>32643</v>
      </c>
    </row>
    <row r="11940" ht="15" customHeight="1" spans="1:28" x14ac:dyDescent="0.25">
      <c r="A11940" s="17" t="s">
        <v>32644</v>
      </c>
      <c r="B11940" s="17" t="s">
        <v>70</v>
      </c>
      <c r="C11940" s="17" t="s">
        <v>71</v>
      </c>
      <c r="D11940" t="s">
        <v>32642</v>
      </c>
      <c r="F11940" t="s">
        <v>860</v>
      </c>
      <c r="J11940" s="17" t="s">
        <v>32645</v>
      </c>
      <c r="K11940" s="18" t="s">
        <v>32646</v>
      </c>
      <c r="N11940" s="17" t="s">
        <v>81</v>
      </c>
      <c r="O11940" t="s">
        <v>261</v>
      </c>
      <c r="V11940" s="18" t="s">
        <v>32646</v>
      </c>
      <c r="Y11940" t="s">
        <v>90</v>
      </c>
      <c r="AA11940" t="s">
        <v>118</v>
      </c>
      <c r="AB11940" t="s">
        <v>119</v>
      </c>
    </row>
    <row r="11941" ht="15" customHeight="1" spans="1:28" x14ac:dyDescent="0.25">
      <c r="A11941" s="17" t="s">
        <v>32647</v>
      </c>
      <c r="B11941" s="17" t="s">
        <v>70</v>
      </c>
      <c r="C11941" s="17" t="s">
        <v>71</v>
      </c>
      <c r="D11941" t="s">
        <v>32648</v>
      </c>
      <c r="F11941" t="s">
        <v>32648</v>
      </c>
      <c r="J11941" t="s">
        <v>115</v>
      </c>
      <c r="K11941" s="18" t="s">
        <v>32649</v>
      </c>
      <c r="N11941" s="17" t="s">
        <v>77</v>
      </c>
      <c r="O11941" t="s">
        <v>199</v>
      </c>
      <c r="U11941" s="17"/>
      <c r="V11941" s="18" t="s">
        <v>32649</v>
      </c>
      <c r="W11941" t="s">
        <v>32650</v>
      </c>
      <c r="Y11941" t="s">
        <v>90</v>
      </c>
      <c r="AA11941" t="s">
        <v>118</v>
      </c>
      <c r="AB11941" t="s">
        <v>119</v>
      </c>
    </row>
    <row r="11942" ht="15" customHeight="1" spans="1:22" x14ac:dyDescent="0.25">
      <c r="A11942" s="17" t="s">
        <v>32651</v>
      </c>
      <c r="B11942" s="17" t="s">
        <v>70</v>
      </c>
      <c r="C11942" s="17" t="s">
        <v>71</v>
      </c>
      <c r="D11942" t="s">
        <v>32652</v>
      </c>
      <c r="F11942" t="s">
        <v>32653</v>
      </c>
      <c r="K11942" s="18">
        <f>919790950666</f>
        <v>919790950666</v>
      </c>
      <c r="N11942" s="17" t="s">
        <v>77</v>
      </c>
      <c r="V11942" s="18">
        <f>919790950666</f>
        <v>919790950666</v>
      </c>
    </row>
    <row r="11943" ht="15" customHeight="1" spans="1:22" x14ac:dyDescent="0.25">
      <c r="A11943" s="17" t="s">
        <v>32654</v>
      </c>
      <c r="B11943" s="17" t="s">
        <v>70</v>
      </c>
      <c r="C11943" s="17" t="s">
        <v>71</v>
      </c>
      <c r="D11943" t="s">
        <v>32655</v>
      </c>
      <c r="F11943" t="s">
        <v>28435</v>
      </c>
      <c r="K11943" s="18">
        <f>628119501911</f>
        <v>628119501911</v>
      </c>
      <c r="N11943" s="17" t="s">
        <v>77</v>
      </c>
      <c r="V11943" s="18">
        <f>628119501911</f>
        <v>628119501911</v>
      </c>
    </row>
    <row r="11944" ht="15" customHeight="1" spans="1:23" x14ac:dyDescent="0.25">
      <c r="A11944" s="17" t="s">
        <v>32656</v>
      </c>
      <c r="B11944" s="17" t="s">
        <v>70</v>
      </c>
      <c r="C11944" s="17" t="s">
        <v>71</v>
      </c>
      <c r="D11944" t="s">
        <v>32657</v>
      </c>
      <c r="F11944" t="s">
        <v>32658</v>
      </c>
      <c r="K11944" s="18">
        <f>6281288888998</f>
        <v>6281288888998</v>
      </c>
      <c r="N11944" s="17" t="s">
        <v>81</v>
      </c>
      <c r="U11944" s="17"/>
      <c r="V11944" s="18">
        <f>6281288888998</f>
        <v>6281288888998</v>
      </c>
      <c r="W11944" t="s">
        <v>32659</v>
      </c>
    </row>
    <row r="11945" ht="15" customHeight="1" spans="1:22" x14ac:dyDescent="0.25">
      <c r="A11945" s="17" t="s">
        <v>32660</v>
      </c>
      <c r="B11945" s="17" t="s">
        <v>70</v>
      </c>
      <c r="C11945" s="17" t="s">
        <v>71</v>
      </c>
      <c r="D11945" s="19" t="s">
        <v>32661</v>
      </c>
      <c r="F11945" t="s">
        <v>32662</v>
      </c>
      <c r="K11945" s="18">
        <f>62817799800</f>
        <v>62817799800</v>
      </c>
      <c r="N11945" s="17" t="s">
        <v>77</v>
      </c>
      <c r="V11945" s="18">
        <f>62817799800</f>
        <v>62817799800</v>
      </c>
    </row>
    <row r="11946" ht="15" customHeight="1" spans="1:22" x14ac:dyDescent="0.25">
      <c r="A11946" s="17" t="s">
        <v>32663</v>
      </c>
      <c r="B11946" s="17" t="s">
        <v>70</v>
      </c>
      <c r="C11946" s="17" t="s">
        <v>71</v>
      </c>
      <c r="D11946" t="s">
        <v>32664</v>
      </c>
      <c r="F11946" t="s">
        <v>1499</v>
      </c>
      <c r="K11946" s="18">
        <f>6282110309553</f>
        <v>6282110309553</v>
      </c>
      <c r="N11946" s="17" t="s">
        <v>77</v>
      </c>
      <c r="V11946" s="18">
        <f>6282110309553</f>
        <v>6282110309553</v>
      </c>
    </row>
    <row r="11947" ht="15" customHeight="1" spans="1:22" x14ac:dyDescent="0.25">
      <c r="A11947" s="17" t="s">
        <v>32665</v>
      </c>
      <c r="B11947" s="17" t="s">
        <v>70</v>
      </c>
      <c r="C11947" s="17" t="s">
        <v>71</v>
      </c>
      <c r="D11947" t="s">
        <v>32666</v>
      </c>
      <c r="F11947" t="s">
        <v>32667</v>
      </c>
      <c r="K11947" s="18">
        <f>62816526709</f>
        <v>62816526709</v>
      </c>
      <c r="N11947" s="17" t="s">
        <v>77</v>
      </c>
      <c r="V11947" s="18">
        <f>62816526709</f>
        <v>62816526709</v>
      </c>
    </row>
    <row r="11948" ht="15" customHeight="1" spans="1:22" x14ac:dyDescent="0.25">
      <c r="A11948" s="17" t="s">
        <v>32668</v>
      </c>
      <c r="B11948" s="17" t="s">
        <v>70</v>
      </c>
      <c r="C11948" s="17" t="s">
        <v>71</v>
      </c>
      <c r="D11948" t="s">
        <v>15580</v>
      </c>
      <c r="F11948" t="s">
        <v>15580</v>
      </c>
      <c r="K11948" s="18">
        <f>6281218252939</f>
        <v>6281218252939</v>
      </c>
      <c r="N11948" s="17" t="s">
        <v>77</v>
      </c>
      <c r="V11948" s="18">
        <f>6281218252939</f>
        <v>6281218252939</v>
      </c>
    </row>
    <row r="11949" ht="15" customHeight="1" spans="1:25" x14ac:dyDescent="0.25">
      <c r="A11949" s="17" t="s">
        <v>32669</v>
      </c>
      <c r="B11949" s="17" t="s">
        <v>70</v>
      </c>
      <c r="C11949" s="17" t="s">
        <v>71</v>
      </c>
      <c r="D11949" t="s">
        <v>32670</v>
      </c>
      <c r="F11949" t="s">
        <v>32670</v>
      </c>
      <c r="K11949" s="18">
        <f>6281219201920</f>
        <v>6281219201920</v>
      </c>
      <c r="N11949" s="17" t="s">
        <v>77</v>
      </c>
      <c r="U11949" s="17"/>
      <c r="V11949" s="18">
        <f>6281219201920</f>
        <v>6281219201920</v>
      </c>
      <c r="W11949" t="s">
        <v>32671</v>
      </c>
      <c r="Y11949" s="17" t="s">
        <v>32672</v>
      </c>
    </row>
    <row r="11950" ht="15" customHeight="1" spans="1:28" x14ac:dyDescent="0.25">
      <c r="A11950" s="17" t="s">
        <v>32673</v>
      </c>
      <c r="B11950" s="17" t="s">
        <v>70</v>
      </c>
      <c r="C11950" s="17" t="s">
        <v>71</v>
      </c>
      <c r="D11950" t="s">
        <v>32670</v>
      </c>
      <c r="F11950" t="s">
        <v>32674</v>
      </c>
      <c r="J11950" t="s">
        <v>115</v>
      </c>
      <c r="K11950" s="18" t="s">
        <v>32675</v>
      </c>
      <c r="N11950" s="17" t="s">
        <v>74</v>
      </c>
      <c r="O11950" t="s">
        <v>261</v>
      </c>
      <c r="U11950" s="17"/>
      <c r="V11950" s="18" t="s">
        <v>32675</v>
      </c>
      <c r="W11950" t="s">
        <v>32676</v>
      </c>
      <c r="Y11950" t="s">
        <v>90</v>
      </c>
      <c r="AA11950" t="s">
        <v>118</v>
      </c>
      <c r="AB11950" t="s">
        <v>119</v>
      </c>
    </row>
    <row r="11951" ht="15" customHeight="1" spans="1:28" x14ac:dyDescent="0.25">
      <c r="A11951" s="17" t="s">
        <v>32677</v>
      </c>
      <c r="B11951" s="17" t="s">
        <v>70</v>
      </c>
      <c r="C11951" s="17" t="s">
        <v>71</v>
      </c>
      <c r="D11951" t="s">
        <v>32678</v>
      </c>
      <c r="F11951" t="s">
        <v>32679</v>
      </c>
      <c r="J11951" t="s">
        <v>115</v>
      </c>
      <c r="K11951" s="18" t="s">
        <v>32680</v>
      </c>
      <c r="N11951" s="17" t="s">
        <v>77</v>
      </c>
      <c r="O11951" t="s">
        <v>199</v>
      </c>
      <c r="V11951" s="18" t="s">
        <v>32680</v>
      </c>
      <c r="Y11951" t="s">
        <v>90</v>
      </c>
      <c r="AA11951" t="s">
        <v>118</v>
      </c>
      <c r="AB11951" t="s">
        <v>119</v>
      </c>
    </row>
    <row r="11952" ht="15" customHeight="1" spans="1:22" x14ac:dyDescent="0.25">
      <c r="A11952" s="17" t="s">
        <v>32681</v>
      </c>
      <c r="B11952" s="17" t="s">
        <v>70</v>
      </c>
      <c r="C11952" s="17" t="s">
        <v>71</v>
      </c>
      <c r="D11952" t="s">
        <v>32682</v>
      </c>
      <c r="F11952" t="s">
        <v>1850</v>
      </c>
      <c r="K11952" s="18">
        <f>62811885911</f>
        <v>62811885911</v>
      </c>
      <c r="N11952" s="17" t="s">
        <v>74</v>
      </c>
      <c r="V11952" s="18">
        <f>62811885911</f>
        <v>62811885911</v>
      </c>
    </row>
    <row r="11953" ht="15" customHeight="1" spans="1:28" x14ac:dyDescent="0.25">
      <c r="A11953" s="17" t="s">
        <v>32683</v>
      </c>
      <c r="B11953" s="17" t="s">
        <v>70</v>
      </c>
      <c r="C11953" s="17" t="s">
        <v>71</v>
      </c>
      <c r="D11953" t="s">
        <v>32682</v>
      </c>
      <c r="F11953" t="s">
        <v>22186</v>
      </c>
      <c r="J11953" t="s">
        <v>115</v>
      </c>
      <c r="K11953" s="18" t="s">
        <v>32684</v>
      </c>
      <c r="N11953" s="17" t="s">
        <v>77</v>
      </c>
      <c r="O11953" t="s">
        <v>199</v>
      </c>
      <c r="V11953" s="18" t="s">
        <v>32684</v>
      </c>
      <c r="Y11953" t="s">
        <v>190</v>
      </c>
      <c r="AA11953" t="s">
        <v>118</v>
      </c>
      <c r="AB11953" t="s">
        <v>119</v>
      </c>
    </row>
    <row r="11954" ht="15" customHeight="1" spans="1:22" x14ac:dyDescent="0.25">
      <c r="A11954" s="17" t="s">
        <v>32685</v>
      </c>
      <c r="B11954" s="17" t="s">
        <v>70</v>
      </c>
      <c r="C11954" s="17" t="s">
        <v>71</v>
      </c>
      <c r="D11954" t="s">
        <v>32682</v>
      </c>
      <c r="F11954" t="s">
        <v>755</v>
      </c>
      <c r="K11954" s="18">
        <f>6281310789789</f>
        <v>6281310789789</v>
      </c>
      <c r="N11954" s="17" t="s">
        <v>77</v>
      </c>
      <c r="V11954" s="18">
        <f>6281310789789</f>
        <v>6281310789789</v>
      </c>
    </row>
    <row r="11955" ht="15" customHeight="1" spans="1:25" x14ac:dyDescent="0.25">
      <c r="A11955" s="17" t="s">
        <v>32686</v>
      </c>
      <c r="B11955" s="17" t="s">
        <v>70</v>
      </c>
      <c r="C11955" s="17" t="s">
        <v>71</v>
      </c>
      <c r="D11955" t="s">
        <v>32682</v>
      </c>
      <c r="F11955" t="s">
        <v>32687</v>
      </c>
      <c r="J11955" s="17" t="s">
        <v>32688</v>
      </c>
      <c r="K11955" s="18">
        <f>628119301350</f>
        <v>628119301350</v>
      </c>
      <c r="N11955" s="17" t="s">
        <v>77</v>
      </c>
      <c r="U11955" s="17"/>
      <c r="V11955" s="18">
        <f>628119301350</f>
        <v>628119301350</v>
      </c>
      <c r="W11955" t="s">
        <v>32689</v>
      </c>
      <c r="Y11955" s="17" t="s">
        <v>90</v>
      </c>
    </row>
    <row r="11956" ht="15" customHeight="1" spans="1:25" x14ac:dyDescent="0.25">
      <c r="A11956" s="17" t="s">
        <v>32690</v>
      </c>
      <c r="B11956" s="17" t="s">
        <v>70</v>
      </c>
      <c r="C11956" s="17" t="s">
        <v>71</v>
      </c>
      <c r="D11956" t="s">
        <v>32691</v>
      </c>
      <c r="F11956" t="s">
        <v>32691</v>
      </c>
      <c r="K11956" s="18">
        <f>628119700702</f>
        <v>628119700702</v>
      </c>
      <c r="N11956" s="17" t="s">
        <v>81</v>
      </c>
      <c r="U11956" s="17"/>
      <c r="V11956" s="18">
        <f>628119700702</f>
        <v>628119700702</v>
      </c>
      <c r="W11956" t="s">
        <v>32692</v>
      </c>
      <c r="Y11956" s="17" t="s">
        <v>384</v>
      </c>
    </row>
    <row r="11957" ht="15" customHeight="1" spans="1:22" x14ac:dyDescent="0.25">
      <c r="A11957" s="17" t="s">
        <v>32693</v>
      </c>
      <c r="B11957" s="17" t="s">
        <v>70</v>
      </c>
      <c r="C11957" s="17" t="s">
        <v>71</v>
      </c>
      <c r="D11957" t="s">
        <v>32691</v>
      </c>
      <c r="F11957" t="s">
        <v>32694</v>
      </c>
      <c r="J11957" s="17" t="s">
        <v>32695</v>
      </c>
      <c r="K11957" s="18">
        <f>6281293066622</f>
        <v>6281293066622</v>
      </c>
      <c r="N11957" s="17" t="s">
        <v>77</v>
      </c>
      <c r="V11957" s="18">
        <f>6281293066622</f>
        <v>6281293066622</v>
      </c>
    </row>
    <row r="11958" ht="15" customHeight="1" spans="1:22" x14ac:dyDescent="0.25">
      <c r="A11958" s="17" t="s">
        <v>32696</v>
      </c>
      <c r="B11958" s="17" t="s">
        <v>70</v>
      </c>
      <c r="C11958" s="17" t="s">
        <v>71</v>
      </c>
      <c r="D11958" t="s">
        <v>32697</v>
      </c>
      <c r="F11958" t="s">
        <v>32697</v>
      </c>
      <c r="K11958" s="18">
        <f>62818151864</f>
        <v>62818151864</v>
      </c>
      <c r="N11958" s="17" t="s">
        <v>74</v>
      </c>
      <c r="V11958" s="18">
        <f>62818151864</f>
        <v>62818151864</v>
      </c>
    </row>
    <row r="11959" ht="15" customHeight="1" spans="1:22" x14ac:dyDescent="0.25">
      <c r="A11959" s="17" t="s">
        <v>32698</v>
      </c>
      <c r="B11959" s="17" t="s">
        <v>70</v>
      </c>
      <c r="C11959" s="17" t="s">
        <v>71</v>
      </c>
      <c r="D11959" t="s">
        <v>32697</v>
      </c>
      <c r="F11959" t="s">
        <v>32697</v>
      </c>
      <c r="K11959" s="18">
        <f>628119936261</f>
        <v>628119936261</v>
      </c>
      <c r="N11959" s="17" t="s">
        <v>77</v>
      </c>
      <c r="V11959" s="18">
        <f>628119936261</f>
        <v>628119936261</v>
      </c>
    </row>
    <row r="11960" ht="15" customHeight="1" spans="1:28" x14ac:dyDescent="0.25">
      <c r="A11960" s="17" t="s">
        <v>32699</v>
      </c>
      <c r="B11960" s="17" t="s">
        <v>70</v>
      </c>
      <c r="C11960" s="17" t="s">
        <v>71</v>
      </c>
      <c r="D11960" t="s">
        <v>32697</v>
      </c>
      <c r="F11960" t="s">
        <v>2195</v>
      </c>
      <c r="J11960" s="17" t="s">
        <v>32700</v>
      </c>
      <c r="K11960" s="18" t="s">
        <v>32701</v>
      </c>
      <c r="N11960" s="17" t="s">
        <v>77</v>
      </c>
      <c r="O11960" t="s">
        <v>145</v>
      </c>
      <c r="U11960" s="17"/>
      <c r="V11960" s="18" t="s">
        <v>32701</v>
      </c>
      <c r="W11960" t="s">
        <v>32702</v>
      </c>
      <c r="Y11960" t="s">
        <v>90</v>
      </c>
      <c r="AA11960" t="s">
        <v>118</v>
      </c>
      <c r="AB11960" t="s">
        <v>119</v>
      </c>
    </row>
    <row r="11961" ht="15" customHeight="1" spans="1:28" x14ac:dyDescent="0.25">
      <c r="A11961" s="17" t="s">
        <v>32703</v>
      </c>
      <c r="B11961" s="17" t="s">
        <v>70</v>
      </c>
      <c r="C11961" s="17" t="s">
        <v>71</v>
      </c>
      <c r="D11961" t="s">
        <v>32697</v>
      </c>
      <c r="F11961" t="s">
        <v>2288</v>
      </c>
      <c r="J11961" s="17" t="s">
        <v>32704</v>
      </c>
      <c r="K11961" s="18" t="s">
        <v>32705</v>
      </c>
      <c r="N11961" s="17" t="s">
        <v>77</v>
      </c>
      <c r="O11961" t="s">
        <v>145</v>
      </c>
      <c r="V11961" s="18" t="s">
        <v>32705</v>
      </c>
      <c r="Y11961" s="17" t="s">
        <v>881</v>
      </c>
      <c r="AA11961" t="s">
        <v>115</v>
      </c>
      <c r="AB11961" t="s">
        <v>119</v>
      </c>
    </row>
    <row r="11962" ht="15" customHeight="1" spans="1:22" x14ac:dyDescent="0.25">
      <c r="A11962" s="17" t="s">
        <v>32706</v>
      </c>
      <c r="B11962" s="17" t="s">
        <v>70</v>
      </c>
      <c r="C11962" s="17" t="s">
        <v>71</v>
      </c>
      <c r="D11962" t="s">
        <v>32697</v>
      </c>
      <c r="F11962" t="s">
        <v>4194</v>
      </c>
      <c r="K11962" s="18">
        <f>628129287270</f>
        <v>628129287270</v>
      </c>
      <c r="N11962" s="17" t="s">
        <v>77</v>
      </c>
      <c r="V11962" s="18">
        <f>628129287270</f>
        <v>628129287270</v>
      </c>
    </row>
    <row r="11963" ht="15" customHeight="1" spans="1:22" x14ac:dyDescent="0.25">
      <c r="A11963" s="17" t="s">
        <v>32707</v>
      </c>
      <c r="B11963" s="17" t="s">
        <v>70</v>
      </c>
      <c r="C11963" s="17" t="s">
        <v>71</v>
      </c>
      <c r="D11963" t="s">
        <v>32697</v>
      </c>
      <c r="F11963" t="s">
        <v>32708</v>
      </c>
      <c r="K11963" s="18">
        <f>628170776789</f>
        <v>628170776789</v>
      </c>
      <c r="N11963" s="17" t="s">
        <v>77</v>
      </c>
      <c r="V11963" s="18">
        <f>628170776789</f>
        <v>628170776789</v>
      </c>
    </row>
    <row r="11964" ht="15" customHeight="1" spans="1:22" x14ac:dyDescent="0.25">
      <c r="A11964" s="17" t="s">
        <v>32709</v>
      </c>
      <c r="B11964" s="17" t="s">
        <v>70</v>
      </c>
      <c r="C11964" s="17" t="s">
        <v>71</v>
      </c>
      <c r="D11964" t="s">
        <v>32697</v>
      </c>
      <c r="F11964" t="s">
        <v>4602</v>
      </c>
      <c r="J11964" s="17" t="s">
        <v>32710</v>
      </c>
      <c r="K11964" s="18">
        <f>6281318550533</f>
        <v>6281318550533</v>
      </c>
      <c r="N11964" s="17" t="s">
        <v>81</v>
      </c>
      <c r="V11964" s="18">
        <f>6281318550533</f>
        <v>6281318550533</v>
      </c>
    </row>
    <row r="11965" ht="15" customHeight="1" spans="1:22" x14ac:dyDescent="0.25">
      <c r="A11965" s="17" t="s">
        <v>32711</v>
      </c>
      <c r="B11965" s="17" t="s">
        <v>70</v>
      </c>
      <c r="C11965" s="17" t="s">
        <v>71</v>
      </c>
      <c r="D11965" t="s">
        <v>32697</v>
      </c>
      <c r="F11965" t="s">
        <v>32712</v>
      </c>
      <c r="K11965" s="18">
        <f>6281212300321</f>
        <v>6281212300321</v>
      </c>
      <c r="N11965" s="17" t="s">
        <v>81</v>
      </c>
      <c r="V11965" s="18">
        <f>6281212300321</f>
        <v>6281212300321</v>
      </c>
    </row>
    <row r="11966" ht="15" customHeight="1" spans="1:22" x14ac:dyDescent="0.25">
      <c r="A11966" s="17" t="s">
        <v>32713</v>
      </c>
      <c r="B11966" s="17" t="s">
        <v>70</v>
      </c>
      <c r="C11966" s="17" t="s">
        <v>71</v>
      </c>
      <c r="D11966" t="s">
        <v>32697</v>
      </c>
      <c r="F11966" t="s">
        <v>3767</v>
      </c>
      <c r="K11966" s="18">
        <f>62817133524</f>
        <v>62817133524</v>
      </c>
      <c r="N11966" s="17" t="s">
        <v>77</v>
      </c>
      <c r="V11966" s="18">
        <f>62817133524</f>
        <v>62817133524</v>
      </c>
    </row>
    <row r="11967" ht="15" customHeight="1" spans="1:27" x14ac:dyDescent="0.25">
      <c r="A11967" s="17" t="s">
        <v>32714</v>
      </c>
      <c r="B11967" s="17" t="s">
        <v>70</v>
      </c>
      <c r="C11967" s="17" t="s">
        <v>71</v>
      </c>
      <c r="D11967" t="s">
        <v>32697</v>
      </c>
      <c r="F11967" t="s">
        <v>32715</v>
      </c>
      <c r="J11967" s="17" t="s">
        <v>32716</v>
      </c>
      <c r="K11967" s="18">
        <f>6281296084747</f>
        <v>6281296084747</v>
      </c>
      <c r="N11967" s="17" t="s">
        <v>77</v>
      </c>
      <c r="U11967" s="17"/>
      <c r="V11967" s="18">
        <f>6281296084747</f>
        <v>6281296084747</v>
      </c>
      <c r="W11967" t="s">
        <v>32717</v>
      </c>
      <c r="AA11967" s="17">
        <v>12310</v>
      </c>
    </row>
    <row r="11968" ht="15" customHeight="1" spans="1:28" x14ac:dyDescent="0.25">
      <c r="A11968" s="17" t="s">
        <v>32718</v>
      </c>
      <c r="B11968" s="17" t="s">
        <v>70</v>
      </c>
      <c r="C11968" s="17" t="s">
        <v>71</v>
      </c>
      <c r="D11968" t="s">
        <v>32697</v>
      </c>
      <c r="F11968" t="s">
        <v>32719</v>
      </c>
      <c r="J11968" s="17" t="s">
        <v>32720</v>
      </c>
      <c r="K11968" s="18" t="s">
        <v>32721</v>
      </c>
      <c r="N11968" s="17" t="s">
        <v>77</v>
      </c>
      <c r="O11968" t="s">
        <v>117</v>
      </c>
      <c r="V11968" s="18" t="s">
        <v>32721</v>
      </c>
      <c r="Y11968" s="17" t="s">
        <v>397</v>
      </c>
      <c r="AA11968" s="17" t="s">
        <v>1199</v>
      </c>
      <c r="AB11968" t="s">
        <v>119</v>
      </c>
    </row>
    <row r="11969" ht="15" customHeight="1" spans="1:22" x14ac:dyDescent="0.25">
      <c r="A11969" s="17" t="s">
        <v>32722</v>
      </c>
      <c r="B11969" s="17" t="s">
        <v>70</v>
      </c>
      <c r="C11969" s="17" t="s">
        <v>71</v>
      </c>
      <c r="D11969" t="s">
        <v>32697</v>
      </c>
      <c r="F11969" t="s">
        <v>3121</v>
      </c>
      <c r="K11969" s="18">
        <f>62217891526</f>
        <v>62217891526</v>
      </c>
      <c r="N11969" s="17" t="s">
        <v>77</v>
      </c>
      <c r="V11969" s="18">
        <f>62217891526</f>
        <v>62217891526</v>
      </c>
    </row>
    <row r="11970" ht="15" customHeight="1" spans="1:23" x14ac:dyDescent="0.25">
      <c r="A11970" s="17" t="s">
        <v>32723</v>
      </c>
      <c r="B11970" s="17" t="s">
        <v>70</v>
      </c>
      <c r="C11970" s="17" t="s">
        <v>71</v>
      </c>
      <c r="D11970" t="s">
        <v>32697</v>
      </c>
      <c r="F11970" t="s">
        <v>32724</v>
      </c>
      <c r="K11970" s="18">
        <f>6285100599777</f>
        <v>6285100599777</v>
      </c>
      <c r="N11970" s="17" t="s">
        <v>77</v>
      </c>
      <c r="U11970" s="17"/>
      <c r="V11970" s="18">
        <f>6285100599777</f>
        <v>6285100599777</v>
      </c>
      <c r="W11970" t="s">
        <v>32725</v>
      </c>
    </row>
    <row r="11971" ht="15" customHeight="1" spans="1:22" x14ac:dyDescent="0.25">
      <c r="A11971" s="17" t="s">
        <v>32726</v>
      </c>
      <c r="B11971" s="17" t="s">
        <v>70</v>
      </c>
      <c r="C11971" s="17" t="s">
        <v>71</v>
      </c>
      <c r="D11971" t="s">
        <v>32697</v>
      </c>
      <c r="F11971" t="s">
        <v>32727</v>
      </c>
      <c r="K11971" s="18">
        <f>628129405424</f>
        <v>628129405424</v>
      </c>
      <c r="N11971" s="17" t="s">
        <v>77</v>
      </c>
      <c r="V11971" s="18">
        <f>628129405424</f>
        <v>628129405424</v>
      </c>
    </row>
    <row r="11972" ht="15" customHeight="1" spans="1:22" x14ac:dyDescent="0.25">
      <c r="A11972" s="17" t="s">
        <v>32728</v>
      </c>
      <c r="B11972" s="17" t="s">
        <v>70</v>
      </c>
      <c r="C11972" s="17" t="s">
        <v>71</v>
      </c>
      <c r="D11972" t="s">
        <v>32697</v>
      </c>
      <c r="F11972" t="s">
        <v>1226</v>
      </c>
      <c r="K11972" s="18">
        <f>62818164202</f>
        <v>62818164202</v>
      </c>
      <c r="N11972" s="17" t="s">
        <v>77</v>
      </c>
      <c r="V11972" s="18">
        <f>62818164202</f>
        <v>62818164202</v>
      </c>
    </row>
    <row r="11973" ht="15" customHeight="1" spans="1:23" x14ac:dyDescent="0.25">
      <c r="A11973" s="17" t="s">
        <v>32729</v>
      </c>
      <c r="B11973" s="17" t="s">
        <v>70</v>
      </c>
      <c r="C11973" s="17" t="s">
        <v>71</v>
      </c>
      <c r="D11973" t="s">
        <v>14967</v>
      </c>
      <c r="F11973" t="s">
        <v>3199</v>
      </c>
      <c r="K11973" s="18">
        <f>6285921030529</f>
        <v>6285921030529</v>
      </c>
      <c r="N11973" s="17" t="s">
        <v>77</v>
      </c>
      <c r="U11973" s="17"/>
      <c r="V11973" s="18">
        <f>6285921030529</f>
        <v>6285921030529</v>
      </c>
      <c r="W11973" t="s">
        <v>32730</v>
      </c>
    </row>
    <row r="11974" ht="15" customHeight="1" spans="1:23" x14ac:dyDescent="0.25">
      <c r="A11974" s="17" t="s">
        <v>32731</v>
      </c>
      <c r="B11974" s="17" t="s">
        <v>70</v>
      </c>
      <c r="C11974" s="17" t="s">
        <v>71</v>
      </c>
      <c r="D11974" t="s">
        <v>14967</v>
      </c>
      <c r="F11974" t="s">
        <v>32732</v>
      </c>
      <c r="K11974" s="18">
        <f>6282225383282</f>
        <v>6282225383282</v>
      </c>
      <c r="N11974" s="17" t="s">
        <v>77</v>
      </c>
      <c r="U11974" s="17"/>
      <c r="V11974" s="18">
        <f>6282225383282</f>
        <v>6282225383282</v>
      </c>
      <c r="W11974" t="s">
        <v>7565</v>
      </c>
    </row>
    <row r="11975" ht="15" customHeight="1" spans="1:22" x14ac:dyDescent="0.25">
      <c r="A11975" s="17" t="s">
        <v>32733</v>
      </c>
      <c r="B11975" s="17" t="s">
        <v>70</v>
      </c>
      <c r="C11975" s="17" t="s">
        <v>71</v>
      </c>
      <c r="D11975" t="s">
        <v>32734</v>
      </c>
      <c r="F11975" t="s">
        <v>32734</v>
      </c>
      <c r="K11975" s="18">
        <f>628588324567</f>
        <v>628588324567</v>
      </c>
      <c r="N11975" s="17" t="s">
        <v>77</v>
      </c>
      <c r="V11975" s="18">
        <f>628588324567</f>
        <v>628588324567</v>
      </c>
    </row>
    <row r="11976" ht="15" customHeight="1" spans="1:22" x14ac:dyDescent="0.25">
      <c r="A11976" s="17" t="s">
        <v>32735</v>
      </c>
      <c r="B11976" s="17" t="s">
        <v>70</v>
      </c>
      <c r="C11976" s="17" t="s">
        <v>71</v>
      </c>
      <c r="D11976" t="s">
        <v>32736</v>
      </c>
      <c r="F11976" t="s">
        <v>32737</v>
      </c>
      <c r="K11976" s="18">
        <f>628121257000</f>
        <v>628121257000</v>
      </c>
      <c r="N11976" s="17" t="s">
        <v>81</v>
      </c>
      <c r="V11976" s="18">
        <f>628121257000</f>
        <v>628121257000</v>
      </c>
    </row>
    <row r="11977" ht="15" customHeight="1" spans="1:25" x14ac:dyDescent="0.25">
      <c r="A11977" s="17" t="s">
        <v>32738</v>
      </c>
      <c r="B11977" s="17" t="s">
        <v>70</v>
      </c>
      <c r="C11977" s="17" t="s">
        <v>71</v>
      </c>
      <c r="D11977" t="s">
        <v>32739</v>
      </c>
      <c r="F11977" t="s">
        <v>32739</v>
      </c>
      <c r="K11977" s="18">
        <f>628121800003</f>
        <v>628121800003</v>
      </c>
      <c r="N11977" s="17" t="s">
        <v>77</v>
      </c>
      <c r="U11977" s="17"/>
      <c r="V11977" s="18">
        <f>628121800003</f>
        <v>628121800003</v>
      </c>
      <c r="W11977" t="s">
        <v>32740</v>
      </c>
      <c r="Y11977" s="17" t="s">
        <v>96</v>
      </c>
    </row>
    <row r="11978" ht="15" customHeight="1" spans="1:22" x14ac:dyDescent="0.25">
      <c r="A11978" s="17" t="s">
        <v>32741</v>
      </c>
      <c r="B11978" s="17" t="s">
        <v>70</v>
      </c>
      <c r="C11978" s="17" t="s">
        <v>71</v>
      </c>
      <c r="D11978" t="s">
        <v>32742</v>
      </c>
      <c r="F11978" t="s">
        <v>32742</v>
      </c>
      <c r="K11978" s="18">
        <f>6281380090909</f>
        <v>6281380090909</v>
      </c>
      <c r="N11978" s="17" t="s">
        <v>77</v>
      </c>
      <c r="V11978" s="18">
        <f>6281380090909</f>
        <v>6281380090909</v>
      </c>
    </row>
    <row r="11979" ht="15" customHeight="1" spans="1:22" x14ac:dyDescent="0.25">
      <c r="A11979" s="17" t="s">
        <v>32743</v>
      </c>
      <c r="B11979" s="17" t="s">
        <v>70</v>
      </c>
      <c r="C11979" s="17" t="s">
        <v>71</v>
      </c>
      <c r="D11979" t="s">
        <v>32742</v>
      </c>
      <c r="F11979" t="s">
        <v>2159</v>
      </c>
      <c r="K11979" s="18">
        <f>6281372483965</f>
        <v>6281372483965</v>
      </c>
      <c r="N11979" s="17" t="s">
        <v>81</v>
      </c>
      <c r="V11979" s="18">
        <f>6281372483965</f>
        <v>6281372483965</v>
      </c>
    </row>
    <row r="11980" ht="15" customHeight="1" spans="1:22" x14ac:dyDescent="0.25">
      <c r="A11980" s="17" t="s">
        <v>32744</v>
      </c>
      <c r="B11980" s="17" t="s">
        <v>70</v>
      </c>
      <c r="C11980" s="17" t="s">
        <v>71</v>
      </c>
      <c r="D11980" t="s">
        <v>32742</v>
      </c>
      <c r="F11980" t="s">
        <v>32745</v>
      </c>
      <c r="K11980" s="18">
        <f>6281310364848</f>
        <v>6281310364848</v>
      </c>
      <c r="N11980" s="17" t="s">
        <v>77</v>
      </c>
      <c r="V11980" s="18">
        <f>6281310364848</f>
        <v>6281310364848</v>
      </c>
    </row>
    <row r="11981" ht="15" customHeight="1" spans="1:28" x14ac:dyDescent="0.25">
      <c r="A11981" s="17" t="s">
        <v>32746</v>
      </c>
      <c r="B11981" s="17" t="s">
        <v>70</v>
      </c>
      <c r="C11981" s="17" t="s">
        <v>71</v>
      </c>
      <c r="D11981" t="s">
        <v>32747</v>
      </c>
      <c r="F11981" t="s">
        <v>19460</v>
      </c>
      <c r="J11981" t="s">
        <v>115</v>
      </c>
      <c r="K11981" s="18" t="s">
        <v>32748</v>
      </c>
      <c r="N11981" s="17" t="s">
        <v>74</v>
      </c>
      <c r="O11981" t="s">
        <v>117</v>
      </c>
      <c r="U11981" s="17"/>
      <c r="V11981" s="18" t="s">
        <v>32748</v>
      </c>
      <c r="W11981" t="s">
        <v>32749</v>
      </c>
      <c r="Y11981" t="s">
        <v>115</v>
      </c>
      <c r="AA11981" t="s">
        <v>115</v>
      </c>
      <c r="AB11981" t="s">
        <v>119</v>
      </c>
    </row>
    <row r="11982" ht="15" customHeight="1" spans="1:23" x14ac:dyDescent="0.25">
      <c r="A11982" s="17" t="s">
        <v>32750</v>
      </c>
      <c r="B11982" s="17" t="s">
        <v>70</v>
      </c>
      <c r="C11982" s="17" t="s">
        <v>71</v>
      </c>
      <c r="D11982" t="s">
        <v>32751</v>
      </c>
      <c r="F11982" t="s">
        <v>6671</v>
      </c>
      <c r="J11982" s="17" t="s">
        <v>32752</v>
      </c>
      <c r="K11982" s="18">
        <f>628127712879</f>
        <v>628127712879</v>
      </c>
      <c r="N11982" s="17" t="s">
        <v>77</v>
      </c>
      <c r="U11982" s="17"/>
      <c r="V11982" s="18">
        <f>628127712879</f>
        <v>628127712879</v>
      </c>
      <c r="W11982" t="s">
        <v>32753</v>
      </c>
    </row>
    <row r="11983" ht="15" customHeight="1" spans="1:22" x14ac:dyDescent="0.25">
      <c r="A11983" s="17" t="s">
        <v>32754</v>
      </c>
      <c r="B11983" s="17" t="s">
        <v>70</v>
      </c>
      <c r="C11983" s="17" t="s">
        <v>71</v>
      </c>
      <c r="D11983" t="s">
        <v>32755</v>
      </c>
      <c r="F11983" t="s">
        <v>32755</v>
      </c>
      <c r="K11983" s="18">
        <f>62818983989</f>
        <v>62818983989</v>
      </c>
      <c r="N11983" s="17" t="s">
        <v>74</v>
      </c>
      <c r="V11983" s="18">
        <f>62818983989</f>
        <v>62818983989</v>
      </c>
    </row>
    <row r="11984" ht="15" customHeight="1" spans="1:27" x14ac:dyDescent="0.25">
      <c r="A11984" s="17" t="s">
        <v>32756</v>
      </c>
      <c r="B11984" s="17" t="s">
        <v>70</v>
      </c>
      <c r="C11984" s="17" t="s">
        <v>71</v>
      </c>
      <c r="D11984" t="s">
        <v>32755</v>
      </c>
      <c r="F11984" t="s">
        <v>2563</v>
      </c>
      <c r="K11984" s="18">
        <v>9391324</v>
      </c>
      <c r="N11984" s="17" t="s">
        <v>77</v>
      </c>
      <c r="U11984" s="17"/>
      <c r="V11984" s="18">
        <v>9391324</v>
      </c>
      <c r="W11984" t="s">
        <v>32757</v>
      </c>
      <c r="Y11984" s="17" t="s">
        <v>96</v>
      </c>
      <c r="AA11984" s="17" t="s">
        <v>32758</v>
      </c>
    </row>
    <row r="11985" ht="15" customHeight="1" spans="1:28" x14ac:dyDescent="0.25">
      <c r="A11985" s="17" t="s">
        <v>32759</v>
      </c>
      <c r="B11985" s="17" t="s">
        <v>70</v>
      </c>
      <c r="C11985" s="17" t="s">
        <v>71</v>
      </c>
      <c r="D11985" t="s">
        <v>32760</v>
      </c>
      <c r="F11985" t="s">
        <v>32761</v>
      </c>
      <c r="J11985" t="s">
        <v>115</v>
      </c>
      <c r="K11985" s="18" t="s">
        <v>32762</v>
      </c>
      <c r="N11985" s="17" t="s">
        <v>74</v>
      </c>
      <c r="O11985" t="s">
        <v>145</v>
      </c>
      <c r="V11985" s="18" t="s">
        <v>32762</v>
      </c>
      <c r="Y11985" t="s">
        <v>90</v>
      </c>
      <c r="AA11985" t="s">
        <v>118</v>
      </c>
      <c r="AB11985" t="s">
        <v>119</v>
      </c>
    </row>
    <row r="11986" ht="15" customHeight="1" spans="1:23" x14ac:dyDescent="0.25">
      <c r="A11986" s="17" t="s">
        <v>32763</v>
      </c>
      <c r="B11986" s="17" t="s">
        <v>70</v>
      </c>
      <c r="C11986" s="17" t="s">
        <v>71</v>
      </c>
      <c r="D11986" t="s">
        <v>32094</v>
      </c>
      <c r="F11986" t="s">
        <v>106</v>
      </c>
      <c r="K11986" s="18">
        <f>917014327544</f>
        <v>917014327544</v>
      </c>
      <c r="N11986" s="17" t="s">
        <v>77</v>
      </c>
      <c r="U11986" s="17"/>
      <c r="V11986" s="18">
        <f>917014327544</f>
        <v>917014327544</v>
      </c>
      <c r="W11986" t="s">
        <v>920</v>
      </c>
    </row>
    <row r="11987" ht="15" customHeight="1" spans="1:22" x14ac:dyDescent="0.25">
      <c r="A11987" s="17" t="s">
        <v>32764</v>
      </c>
      <c r="B11987" s="17" t="s">
        <v>70</v>
      </c>
      <c r="C11987" s="17" t="s">
        <v>71</v>
      </c>
      <c r="D11987" t="s">
        <v>32765</v>
      </c>
      <c r="F11987" t="s">
        <v>32765</v>
      </c>
      <c r="K11987" s="18">
        <f>6282179206011</f>
        <v>6282179206011</v>
      </c>
      <c r="N11987" s="17" t="s">
        <v>81</v>
      </c>
      <c r="V11987" s="18">
        <f>6282179206011</f>
        <v>6282179206011</v>
      </c>
    </row>
    <row r="11988" ht="15" customHeight="1" spans="1:25" x14ac:dyDescent="0.25">
      <c r="A11988" s="17" t="s">
        <v>32766</v>
      </c>
      <c r="B11988" s="17" t="s">
        <v>70</v>
      </c>
      <c r="C11988" s="17" t="s">
        <v>71</v>
      </c>
      <c r="D11988" t="s">
        <v>3359</v>
      </c>
      <c r="F11988" t="s">
        <v>3359</v>
      </c>
      <c r="K11988" s="18">
        <f>6281263323666</f>
        <v>6281263323666</v>
      </c>
      <c r="N11988" s="17" t="s">
        <v>81</v>
      </c>
      <c r="U11988" s="17"/>
      <c r="V11988" s="18">
        <f>6281263323666</f>
        <v>6281263323666</v>
      </c>
      <c r="W11988" t="s">
        <v>32767</v>
      </c>
      <c r="Y11988" s="17" t="s">
        <v>19498</v>
      </c>
    </row>
    <row r="11989" ht="15" customHeight="1" spans="1:23" x14ac:dyDescent="0.25">
      <c r="A11989" s="17" t="s">
        <v>32768</v>
      </c>
      <c r="B11989" s="17" t="s">
        <v>70</v>
      </c>
      <c r="C11989" s="17" t="s">
        <v>71</v>
      </c>
      <c r="D11989" t="s">
        <v>3359</v>
      </c>
      <c r="F11989" t="s">
        <v>32769</v>
      </c>
      <c r="K11989" s="18">
        <f>6282228659393</f>
        <v>6282228659393</v>
      </c>
      <c r="N11989" s="17" t="s">
        <v>81</v>
      </c>
      <c r="U11989" s="17"/>
      <c r="V11989" s="18">
        <f>6282228659393</f>
        <v>6282228659393</v>
      </c>
      <c r="W11989" t="s">
        <v>32770</v>
      </c>
    </row>
    <row r="11990" ht="15" customHeight="1" spans="1:27" x14ac:dyDescent="0.25">
      <c r="A11990" s="17" t="s">
        <v>32771</v>
      </c>
      <c r="B11990" s="17" t="s">
        <v>70</v>
      </c>
      <c r="C11990" s="17" t="s">
        <v>71</v>
      </c>
      <c r="D11990" t="s">
        <v>3359</v>
      </c>
      <c r="F11990" t="s">
        <v>32772</v>
      </c>
      <c r="J11990" s="17" t="s">
        <v>32773</v>
      </c>
      <c r="K11990" s="18">
        <f>6281380055401</f>
        <v>6281380055401</v>
      </c>
      <c r="N11990" s="17" t="s">
        <v>81</v>
      </c>
      <c r="U11990" s="17"/>
      <c r="V11990" s="18">
        <f>6281380055401</f>
        <v>6281380055401</v>
      </c>
      <c r="W11990" t="s">
        <v>32774</v>
      </c>
      <c r="Y11990" s="17" t="s">
        <v>378</v>
      </c>
      <c r="AA11990" s="17">
        <v>10310</v>
      </c>
    </row>
    <row r="11991" ht="15" customHeight="1" spans="1:28" x14ac:dyDescent="0.25">
      <c r="A11991" s="17" t="s">
        <v>32775</v>
      </c>
      <c r="B11991" s="17" t="s">
        <v>70</v>
      </c>
      <c r="C11991" s="17" t="s">
        <v>71</v>
      </c>
      <c r="D11991" t="s">
        <v>3359</v>
      </c>
      <c r="F11991" t="s">
        <v>32776</v>
      </c>
      <c r="J11991" t="s">
        <v>115</v>
      </c>
      <c r="K11991" s="18" t="s">
        <v>32777</v>
      </c>
      <c r="N11991" s="17" t="s">
        <v>77</v>
      </c>
      <c r="O11991" t="s">
        <v>117</v>
      </c>
      <c r="V11991" s="18" t="s">
        <v>32777</v>
      </c>
      <c r="Y11991" t="s">
        <v>10914</v>
      </c>
      <c r="AA11991" t="s">
        <v>115</v>
      </c>
      <c r="AB11991" t="s">
        <v>119</v>
      </c>
    </row>
    <row r="11992" ht="15" customHeight="1" spans="1:22" x14ac:dyDescent="0.25">
      <c r="A11992" s="17" t="s">
        <v>32778</v>
      </c>
      <c r="B11992" s="17" t="s">
        <v>70</v>
      </c>
      <c r="C11992" s="17" t="s">
        <v>71</v>
      </c>
      <c r="D11992" t="s">
        <v>32779</v>
      </c>
      <c r="F11992" t="s">
        <v>4607</v>
      </c>
      <c r="K11992" s="18">
        <f>6282123779990</f>
        <v>6282123779990</v>
      </c>
      <c r="N11992" s="17" t="s">
        <v>77</v>
      </c>
      <c r="V11992" s="18">
        <f>6282123779990</f>
        <v>6282123779990</v>
      </c>
    </row>
    <row r="11993" ht="15" customHeight="1" spans="1:28" x14ac:dyDescent="0.25">
      <c r="A11993" s="17" t="s">
        <v>32780</v>
      </c>
      <c r="B11993" s="17" t="s">
        <v>70</v>
      </c>
      <c r="C11993" s="17" t="s">
        <v>71</v>
      </c>
      <c r="D11993" t="s">
        <v>32652</v>
      </c>
      <c r="F11993" t="s">
        <v>32781</v>
      </c>
      <c r="J11993" t="s">
        <v>115</v>
      </c>
      <c r="K11993" s="18" t="s">
        <v>32782</v>
      </c>
      <c r="N11993" s="17" t="s">
        <v>77</v>
      </c>
      <c r="O11993" t="s">
        <v>199</v>
      </c>
      <c r="V11993" s="18" t="s">
        <v>32782</v>
      </c>
      <c r="Y11993" s="17" t="s">
        <v>920</v>
      </c>
      <c r="AA11993" t="s">
        <v>115</v>
      </c>
      <c r="AB11993" t="s">
        <v>920</v>
      </c>
    </row>
    <row r="11994" ht="15" customHeight="1" spans="1:22" x14ac:dyDescent="0.25">
      <c r="A11994" s="17" t="s">
        <v>32783</v>
      </c>
      <c r="B11994" s="17" t="s">
        <v>70</v>
      </c>
      <c r="C11994" s="17" t="s">
        <v>71</v>
      </c>
      <c r="D11994" t="s">
        <v>32784</v>
      </c>
      <c r="F11994" t="s">
        <v>32784</v>
      </c>
      <c r="K11994" s="18">
        <f>628121242499</f>
        <v>628121242499</v>
      </c>
      <c r="N11994" s="17" t="s">
        <v>77</v>
      </c>
      <c r="V11994" s="18">
        <f>628121242499</f>
        <v>628121242499</v>
      </c>
    </row>
    <row r="11995" ht="15" customHeight="1" spans="1:22" x14ac:dyDescent="0.25">
      <c r="A11995" s="17" t="s">
        <v>32785</v>
      </c>
      <c r="B11995" s="17" t="s">
        <v>70</v>
      </c>
      <c r="C11995" s="17" t="s">
        <v>71</v>
      </c>
      <c r="D11995" t="s">
        <v>32786</v>
      </c>
      <c r="F11995" t="s">
        <v>13151</v>
      </c>
      <c r="K11995" s="18">
        <f>6281380443981</f>
        <v>6281380443981</v>
      </c>
      <c r="N11995" s="17" t="s">
        <v>77</v>
      </c>
      <c r="V11995" s="18">
        <f>6281380443981</f>
        <v>6281380443981</v>
      </c>
    </row>
    <row r="11996" ht="15" customHeight="1" spans="1:22" x14ac:dyDescent="0.25">
      <c r="A11996" s="17" t="s">
        <v>32787</v>
      </c>
      <c r="B11996" s="17" t="s">
        <v>70</v>
      </c>
      <c r="C11996" s="17" t="s">
        <v>71</v>
      </c>
      <c r="D11996" t="s">
        <v>32788</v>
      </c>
      <c r="F11996" t="s">
        <v>32789</v>
      </c>
      <c r="K11996" s="18">
        <f>628161474601</f>
        <v>628161474601</v>
      </c>
      <c r="N11996" s="17" t="s">
        <v>81</v>
      </c>
      <c r="V11996" s="18">
        <f>628161474601</f>
        <v>628161474601</v>
      </c>
    </row>
    <row r="11997" ht="15" customHeight="1" spans="1:22" x14ac:dyDescent="0.25">
      <c r="A11997" s="17" t="s">
        <v>32790</v>
      </c>
      <c r="B11997" s="17" t="s">
        <v>70</v>
      </c>
      <c r="C11997" s="17" t="s">
        <v>71</v>
      </c>
      <c r="D11997" t="s">
        <v>16487</v>
      </c>
      <c r="F11997" t="s">
        <v>16487</v>
      </c>
      <c r="K11997" s="18">
        <f>62811815584</f>
        <v>62811815584</v>
      </c>
      <c r="N11997" s="17" t="s">
        <v>77</v>
      </c>
      <c r="V11997" s="18">
        <f>62811815584</f>
        <v>62811815584</v>
      </c>
    </row>
    <row r="11998" ht="15" customHeight="1" spans="1:28" x14ac:dyDescent="0.25">
      <c r="A11998" s="17" t="s">
        <v>32791</v>
      </c>
      <c r="B11998" s="17" t="s">
        <v>70</v>
      </c>
      <c r="C11998" s="17" t="s">
        <v>71</v>
      </c>
      <c r="D11998" t="s">
        <v>32792</v>
      </c>
      <c r="F11998" t="s">
        <v>32793</v>
      </c>
      <c r="J11998" s="17" t="s">
        <v>32794</v>
      </c>
      <c r="K11998" s="18" t="s">
        <v>32795</v>
      </c>
      <c r="N11998" s="17" t="s">
        <v>77</v>
      </c>
      <c r="O11998" t="s">
        <v>261</v>
      </c>
      <c r="U11998" s="17"/>
      <c r="V11998" s="18" t="s">
        <v>32795</v>
      </c>
      <c r="W11998" t="s">
        <v>32796</v>
      </c>
      <c r="Y11998" t="s">
        <v>96</v>
      </c>
      <c r="AA11998" t="s">
        <v>693</v>
      </c>
      <c r="AB11998" t="s">
        <v>119</v>
      </c>
    </row>
    <row r="11999" ht="15" customHeight="1" spans="1:22" x14ac:dyDescent="0.25">
      <c r="A11999" s="17" t="s">
        <v>32797</v>
      </c>
      <c r="B11999" s="17" t="s">
        <v>70</v>
      </c>
      <c r="C11999" s="17" t="s">
        <v>71</v>
      </c>
      <c r="D11999" t="s">
        <v>32798</v>
      </c>
      <c r="F11999" t="s">
        <v>32798</v>
      </c>
      <c r="K11999" s="18">
        <f>62819678814</f>
        <v>62819678814</v>
      </c>
      <c r="N11999" s="17" t="s">
        <v>77</v>
      </c>
      <c r="V11999" s="18">
        <f>62819678814</f>
        <v>62819678814</v>
      </c>
    </row>
    <row r="12000" ht="15" customHeight="1" spans="1:28" x14ac:dyDescent="0.25">
      <c r="A12000" s="17" t="s">
        <v>32799</v>
      </c>
      <c r="B12000" s="17" t="s">
        <v>70</v>
      </c>
      <c r="C12000" s="17" t="s">
        <v>71</v>
      </c>
      <c r="D12000" t="s">
        <v>32798</v>
      </c>
      <c r="F12000" t="s">
        <v>4228</v>
      </c>
      <c r="J12000" s="17" t="s">
        <v>32800</v>
      </c>
      <c r="K12000" s="18" t="s">
        <v>32801</v>
      </c>
      <c r="N12000" s="17" t="s">
        <v>77</v>
      </c>
      <c r="O12000" t="s">
        <v>199</v>
      </c>
      <c r="V12000" s="18" t="s">
        <v>32801</v>
      </c>
      <c r="Y12000" t="s">
        <v>217</v>
      </c>
      <c r="AA12000" t="s">
        <v>218</v>
      </c>
      <c r="AB12000" t="s">
        <v>119</v>
      </c>
    </row>
    <row r="12001" ht="15" customHeight="1" spans="1:27" x14ac:dyDescent="0.25">
      <c r="A12001" s="17" t="s">
        <v>32802</v>
      </c>
      <c r="B12001" s="17" t="s">
        <v>70</v>
      </c>
      <c r="C12001" s="17" t="s">
        <v>71</v>
      </c>
      <c r="D12001" t="s">
        <v>73</v>
      </c>
      <c r="F12001" t="s">
        <v>73</v>
      </c>
      <c r="K12001" s="18">
        <f>62817881953</f>
        <v>62817881953</v>
      </c>
      <c r="N12001" s="17" t="s">
        <v>77</v>
      </c>
      <c r="U12001" s="17"/>
      <c r="V12001" s="18">
        <f>62817881953</f>
        <v>62817881953</v>
      </c>
      <c r="W12001" t="s">
        <v>32803</v>
      </c>
      <c r="Y12001" s="17" t="s">
        <v>217</v>
      </c>
      <c r="AA12001" s="17" t="s">
        <v>32804</v>
      </c>
    </row>
    <row r="12002" ht="15" customHeight="1" spans="1:22" x14ac:dyDescent="0.25">
      <c r="A12002" s="17" t="s">
        <v>32805</v>
      </c>
      <c r="B12002" s="17" t="s">
        <v>70</v>
      </c>
      <c r="C12002" s="17" t="s">
        <v>71</v>
      </c>
      <c r="D12002" t="s">
        <v>73</v>
      </c>
      <c r="F12002" t="s">
        <v>73</v>
      </c>
      <c r="K12002" s="18">
        <f>62811195363</f>
        <v>62811195363</v>
      </c>
      <c r="N12002" s="17" t="s">
        <v>77</v>
      </c>
      <c r="V12002" s="18">
        <f>62811195363</f>
        <v>62811195363</v>
      </c>
    </row>
    <row r="12003" ht="15" customHeight="1" spans="1:28" x14ac:dyDescent="0.25">
      <c r="A12003" s="17" t="s">
        <v>32806</v>
      </c>
      <c r="B12003" s="17" t="s">
        <v>70</v>
      </c>
      <c r="C12003" s="17" t="s">
        <v>71</v>
      </c>
      <c r="D12003" t="s">
        <v>73</v>
      </c>
      <c r="F12003" t="s">
        <v>2288</v>
      </c>
      <c r="J12003" t="s">
        <v>115</v>
      </c>
      <c r="K12003" s="18" t="s">
        <v>32807</v>
      </c>
      <c r="N12003" s="17" t="s">
        <v>77</v>
      </c>
      <c r="O12003" t="s">
        <v>117</v>
      </c>
      <c r="V12003" s="18" t="s">
        <v>32807</v>
      </c>
      <c r="Y12003" s="17" t="s">
        <v>90</v>
      </c>
      <c r="AA12003" t="s">
        <v>118</v>
      </c>
      <c r="AB12003" t="s">
        <v>119</v>
      </c>
    </row>
    <row r="12004" ht="15" customHeight="1" spans="1:25" x14ac:dyDescent="0.25">
      <c r="A12004" s="17" t="s">
        <v>32808</v>
      </c>
      <c r="B12004" s="17" t="s">
        <v>70</v>
      </c>
      <c r="C12004" s="17" t="s">
        <v>71</v>
      </c>
      <c r="D12004" t="s">
        <v>73</v>
      </c>
      <c r="F12004" t="s">
        <v>32809</v>
      </c>
      <c r="K12004" s="18">
        <f>62811991655</f>
        <v>62811991655</v>
      </c>
      <c r="N12004" s="17" t="s">
        <v>77</v>
      </c>
      <c r="U12004" s="17"/>
      <c r="V12004" s="18">
        <f>62811991655</f>
        <v>62811991655</v>
      </c>
      <c r="W12004" t="s">
        <v>32810</v>
      </c>
      <c r="Y12004" s="17" t="s">
        <v>217</v>
      </c>
    </row>
    <row r="12005" ht="15" customHeight="1" spans="1:28" x14ac:dyDescent="0.25">
      <c r="A12005" s="17" t="s">
        <v>32811</v>
      </c>
      <c r="B12005" s="17" t="s">
        <v>70</v>
      </c>
      <c r="C12005" s="17" t="s">
        <v>71</v>
      </c>
      <c r="D12005" t="s">
        <v>73</v>
      </c>
      <c r="F12005" t="s">
        <v>7709</v>
      </c>
      <c r="J12005" s="17" t="s">
        <v>32812</v>
      </c>
      <c r="K12005" s="18" t="s">
        <v>32813</v>
      </c>
      <c r="N12005" s="17" t="s">
        <v>77</v>
      </c>
      <c r="O12005" t="s">
        <v>199</v>
      </c>
      <c r="V12005" s="18" t="s">
        <v>32813</v>
      </c>
      <c r="Y12005" t="s">
        <v>115</v>
      </c>
      <c r="AA12005" t="s">
        <v>115</v>
      </c>
      <c r="AB12005" t="s">
        <v>119</v>
      </c>
    </row>
    <row r="12006" ht="15" customHeight="1" spans="1:25" x14ac:dyDescent="0.25">
      <c r="A12006" s="17" t="s">
        <v>32814</v>
      </c>
      <c r="B12006" s="17" t="s">
        <v>70</v>
      </c>
      <c r="C12006" s="17" t="s">
        <v>71</v>
      </c>
      <c r="D12006" t="s">
        <v>73</v>
      </c>
      <c r="F12006" t="s">
        <v>12375</v>
      </c>
      <c r="K12006" s="18">
        <f>62818525001</f>
        <v>62818525001</v>
      </c>
      <c r="N12006" s="17" t="s">
        <v>74</v>
      </c>
      <c r="U12006" s="17"/>
      <c r="V12006" s="18">
        <f>62818525001</f>
        <v>62818525001</v>
      </c>
      <c r="W12006" t="s">
        <v>32815</v>
      </c>
      <c r="Y12006" s="17" t="s">
        <v>704</v>
      </c>
    </row>
    <row r="12007" ht="15" customHeight="1" spans="1:22" x14ac:dyDescent="0.25">
      <c r="A12007" s="17" t="s">
        <v>32816</v>
      </c>
      <c r="B12007" s="17" t="s">
        <v>70</v>
      </c>
      <c r="C12007" s="17" t="s">
        <v>71</v>
      </c>
      <c r="D12007" t="s">
        <v>73</v>
      </c>
      <c r="F12007" t="s">
        <v>32817</v>
      </c>
      <c r="K12007" s="18">
        <f>6281252390094</f>
        <v>6281252390094</v>
      </c>
      <c r="N12007" s="17" t="s">
        <v>77</v>
      </c>
      <c r="V12007" s="18">
        <f>6281252390094</f>
        <v>6281252390094</v>
      </c>
    </row>
    <row r="12008" ht="15" customHeight="1" spans="1:22" x14ac:dyDescent="0.25">
      <c r="A12008" s="17" t="s">
        <v>32818</v>
      </c>
      <c r="B12008" s="17" t="s">
        <v>70</v>
      </c>
      <c r="C12008" s="17" t="s">
        <v>71</v>
      </c>
      <c r="D12008" t="s">
        <v>73</v>
      </c>
      <c r="F12008" t="s">
        <v>31865</v>
      </c>
      <c r="K12008" s="18">
        <f>6281310656582</f>
        <v>6281310656582</v>
      </c>
      <c r="N12008" s="17" t="s">
        <v>81</v>
      </c>
      <c r="V12008" s="18">
        <f>6281310656582</f>
        <v>6281310656582</v>
      </c>
    </row>
    <row r="12009" ht="15" customHeight="1" spans="1:23" x14ac:dyDescent="0.25">
      <c r="A12009" s="17" t="s">
        <v>32819</v>
      </c>
      <c r="B12009" s="17" t="s">
        <v>70</v>
      </c>
      <c r="C12009" s="17" t="s">
        <v>71</v>
      </c>
      <c r="D12009" t="s">
        <v>73</v>
      </c>
      <c r="F12009" t="s">
        <v>7657</v>
      </c>
      <c r="J12009" s="17" t="s">
        <v>32820</v>
      </c>
      <c r="K12009" s="18">
        <f>62818192727</f>
        <v>62818192727</v>
      </c>
      <c r="N12009" s="17" t="s">
        <v>81</v>
      </c>
      <c r="U12009" s="17"/>
      <c r="V12009" s="18">
        <f>62818192727</f>
        <v>62818192727</v>
      </c>
      <c r="W12009" t="s">
        <v>32821</v>
      </c>
    </row>
    <row r="12010" ht="15" customHeight="1" spans="1:22" x14ac:dyDescent="0.25">
      <c r="A12010" s="17" t="s">
        <v>32822</v>
      </c>
      <c r="B12010" s="17" t="s">
        <v>70</v>
      </c>
      <c r="C12010" s="17" t="s">
        <v>71</v>
      </c>
      <c r="D12010" t="s">
        <v>73</v>
      </c>
      <c r="F12010" t="s">
        <v>32823</v>
      </c>
      <c r="J12010" s="17" t="s">
        <v>32824</v>
      </c>
      <c r="K12010" s="18">
        <f>6281270922329</f>
        <v>6281270922329</v>
      </c>
      <c r="N12010" s="17" t="s">
        <v>81</v>
      </c>
      <c r="V12010" s="18">
        <f>6281270922329</f>
        <v>6281270922329</v>
      </c>
    </row>
    <row r="12011" ht="15" customHeight="1" spans="1:28" x14ac:dyDescent="0.25">
      <c r="A12011" s="17" t="s">
        <v>32825</v>
      </c>
      <c r="B12011" s="17" t="s">
        <v>70</v>
      </c>
      <c r="C12011" s="17" t="s">
        <v>71</v>
      </c>
      <c r="D12011" t="s">
        <v>73</v>
      </c>
      <c r="F12011" t="s">
        <v>29579</v>
      </c>
      <c r="J12011" t="s">
        <v>115</v>
      </c>
      <c r="K12011" s="18" t="s">
        <v>32826</v>
      </c>
      <c r="N12011" s="17" t="s">
        <v>77</v>
      </c>
      <c r="O12011" t="s">
        <v>117</v>
      </c>
      <c r="V12011" s="18" t="s">
        <v>32826</v>
      </c>
      <c r="Y12011" t="s">
        <v>190</v>
      </c>
      <c r="AA12011" t="s">
        <v>118</v>
      </c>
      <c r="AB12011" t="s">
        <v>119</v>
      </c>
    </row>
    <row r="12012" ht="15" customHeight="1" spans="1:22" x14ac:dyDescent="0.25">
      <c r="A12012" s="17" t="s">
        <v>32827</v>
      </c>
      <c r="B12012" s="17" t="s">
        <v>70</v>
      </c>
      <c r="C12012" s="17" t="s">
        <v>71</v>
      </c>
      <c r="D12012" t="s">
        <v>73</v>
      </c>
      <c r="F12012" t="s">
        <v>32828</v>
      </c>
      <c r="K12012" s="18">
        <f>6287889675189</f>
        <v>6287889675189</v>
      </c>
      <c r="N12012" s="17" t="s">
        <v>81</v>
      </c>
      <c r="V12012" s="18">
        <f>6287889675189</f>
        <v>6287889675189</v>
      </c>
    </row>
    <row r="12013" ht="15" customHeight="1" spans="1:22" x14ac:dyDescent="0.25">
      <c r="A12013" s="17" t="s">
        <v>32829</v>
      </c>
      <c r="B12013" s="17" t="s">
        <v>70</v>
      </c>
      <c r="C12013" s="17" t="s">
        <v>71</v>
      </c>
      <c r="D12013" t="s">
        <v>32830</v>
      </c>
      <c r="F12013" t="s">
        <v>32830</v>
      </c>
      <c r="K12013" s="18">
        <f>6281255118899</f>
        <v>6281255118899</v>
      </c>
      <c r="N12013" s="17" t="s">
        <v>77</v>
      </c>
      <c r="V12013" s="18">
        <f>6281255118899</f>
        <v>6281255118899</v>
      </c>
    </row>
    <row r="12014" ht="15" customHeight="1" spans="1:23" x14ac:dyDescent="0.25">
      <c r="A12014" s="17" t="s">
        <v>32831</v>
      </c>
      <c r="B12014" s="17" t="s">
        <v>70</v>
      </c>
      <c r="C12014" s="17" t="s">
        <v>71</v>
      </c>
      <c r="D12014" t="s">
        <v>32832</v>
      </c>
      <c r="F12014" t="s">
        <v>32832</v>
      </c>
      <c r="K12014" s="18">
        <f>628569093988</f>
        <v>628569093988</v>
      </c>
      <c r="N12014" s="17" t="s">
        <v>81</v>
      </c>
      <c r="U12014" s="17"/>
      <c r="V12014" s="18">
        <f>628569093988</f>
        <v>628569093988</v>
      </c>
      <c r="W12014" t="s">
        <v>32833</v>
      </c>
    </row>
    <row r="12015" ht="15" customHeight="1" spans="1:23" x14ac:dyDescent="0.25">
      <c r="A12015" s="17" t="s">
        <v>32834</v>
      </c>
      <c r="B12015" s="17" t="s">
        <v>70</v>
      </c>
      <c r="C12015" s="17" t="s">
        <v>71</v>
      </c>
      <c r="D12015" t="s">
        <v>32835</v>
      </c>
      <c r="F12015" t="s">
        <v>13011</v>
      </c>
      <c r="J12015" s="17" t="s">
        <v>32836</v>
      </c>
      <c r="K12015" s="18">
        <f>62816890814</f>
        <v>62816890814</v>
      </c>
      <c r="N12015" s="17" t="s">
        <v>81</v>
      </c>
      <c r="U12015" s="17"/>
      <c r="V12015" s="18">
        <f>62816890814</f>
        <v>62816890814</v>
      </c>
      <c r="W12015" t="s">
        <v>32837</v>
      </c>
    </row>
    <row r="12016" ht="15" customHeight="1" spans="1:22" x14ac:dyDescent="0.25">
      <c r="A12016" s="17" t="s">
        <v>32838</v>
      </c>
      <c r="B12016" s="17" t="s">
        <v>70</v>
      </c>
      <c r="C12016" s="17" t="s">
        <v>71</v>
      </c>
      <c r="D12016" t="s">
        <v>32835</v>
      </c>
      <c r="F12016" t="s">
        <v>13011</v>
      </c>
      <c r="K12016" s="18" t="s">
        <v>32839</v>
      </c>
      <c r="N12016" s="17" t="s">
        <v>77</v>
      </c>
      <c r="V12016" s="18" t="s">
        <v>32839</v>
      </c>
    </row>
    <row r="12017" ht="15" customHeight="1" spans="1:22" x14ac:dyDescent="0.25">
      <c r="A12017" s="17" t="s">
        <v>32840</v>
      </c>
      <c r="B12017" s="17" t="s">
        <v>70</v>
      </c>
      <c r="C12017" s="17" t="s">
        <v>71</v>
      </c>
      <c r="D12017" t="s">
        <v>11082</v>
      </c>
      <c r="F12017" t="s">
        <v>11082</v>
      </c>
      <c r="K12017" s="18">
        <f>62816895883</f>
        <v>62816895883</v>
      </c>
      <c r="N12017" s="17" t="s">
        <v>81</v>
      </c>
      <c r="V12017" s="18">
        <f>62816895883</f>
        <v>62816895883</v>
      </c>
    </row>
    <row r="12018" ht="15" customHeight="1" spans="1:22" x14ac:dyDescent="0.25">
      <c r="A12018" s="17" t="s">
        <v>32841</v>
      </c>
      <c r="B12018" s="17" t="s">
        <v>70</v>
      </c>
      <c r="C12018" s="17" t="s">
        <v>71</v>
      </c>
      <c r="D12018" t="s">
        <v>11082</v>
      </c>
      <c r="F12018" t="s">
        <v>11082</v>
      </c>
      <c r="K12018" s="18">
        <f>628123016877</f>
        <v>628123016877</v>
      </c>
      <c r="N12018" s="17" t="s">
        <v>77</v>
      </c>
      <c r="V12018" s="18">
        <f>628123016877</f>
        <v>628123016877</v>
      </c>
    </row>
    <row r="12019" ht="15" customHeight="1" spans="1:27" x14ac:dyDescent="0.25">
      <c r="A12019" s="17" t="s">
        <v>32842</v>
      </c>
      <c r="B12019" s="17" t="s">
        <v>70</v>
      </c>
      <c r="C12019" s="17" t="s">
        <v>71</v>
      </c>
      <c r="D12019" t="s">
        <v>11082</v>
      </c>
      <c r="F12019" t="s">
        <v>11082</v>
      </c>
      <c r="K12019" s="18" t="s">
        <v>32843</v>
      </c>
      <c r="N12019" s="17" t="s">
        <v>77</v>
      </c>
      <c r="U12019" s="17"/>
      <c r="V12019" s="18" t="s">
        <v>32843</v>
      </c>
      <c r="W12019" t="s">
        <v>32844</v>
      </c>
      <c r="Y12019" s="17" t="s">
        <v>90</v>
      </c>
      <c r="AA12019" s="17">
        <v>14350</v>
      </c>
    </row>
    <row r="12020" ht="15" customHeight="1" spans="1:22" x14ac:dyDescent="0.25">
      <c r="A12020" s="17" t="s">
        <v>32845</v>
      </c>
      <c r="B12020" s="17" t="s">
        <v>70</v>
      </c>
      <c r="C12020" s="17" t="s">
        <v>71</v>
      </c>
      <c r="D12020" t="s">
        <v>11082</v>
      </c>
      <c r="F12020" t="s">
        <v>11082</v>
      </c>
      <c r="K12020" s="18">
        <f>6281380012239</f>
        <v>6281380012239</v>
      </c>
      <c r="N12020" s="17" t="s">
        <v>81</v>
      </c>
      <c r="V12020" s="18">
        <f>6281380012239</f>
        <v>6281380012239</v>
      </c>
    </row>
    <row r="12021" ht="15" customHeight="1" spans="1:22" x14ac:dyDescent="0.25">
      <c r="A12021" s="17" t="s">
        <v>32846</v>
      </c>
      <c r="B12021" s="17" t="s">
        <v>70</v>
      </c>
      <c r="C12021" s="17" t="s">
        <v>71</v>
      </c>
      <c r="D12021" t="s">
        <v>11082</v>
      </c>
      <c r="F12021" t="s">
        <v>2381</v>
      </c>
      <c r="K12021" s="18">
        <f>628161456065</f>
        <v>628161456065</v>
      </c>
      <c r="N12021" s="17" t="s">
        <v>74</v>
      </c>
      <c r="V12021" s="18">
        <f>628161456065</f>
        <v>628161456065</v>
      </c>
    </row>
    <row r="12022" ht="15" customHeight="1" spans="1:22" x14ac:dyDescent="0.25">
      <c r="A12022" s="17" t="s">
        <v>32847</v>
      </c>
      <c r="B12022" s="17" t="s">
        <v>70</v>
      </c>
      <c r="C12022" s="17" t="s">
        <v>71</v>
      </c>
      <c r="D12022" t="s">
        <v>11082</v>
      </c>
      <c r="F12022" t="s">
        <v>2987</v>
      </c>
      <c r="K12022" s="18">
        <f>62811153655</f>
        <v>62811153655</v>
      </c>
      <c r="N12022" s="17" t="s">
        <v>74</v>
      </c>
      <c r="V12022" s="18">
        <f>62811153655</f>
        <v>62811153655</v>
      </c>
    </row>
    <row r="12023" ht="15" customHeight="1" spans="1:22" x14ac:dyDescent="0.25">
      <c r="A12023" s="17" t="s">
        <v>32848</v>
      </c>
      <c r="B12023" s="17" t="s">
        <v>70</v>
      </c>
      <c r="C12023" s="17" t="s">
        <v>71</v>
      </c>
      <c r="D12023" t="s">
        <v>11082</v>
      </c>
      <c r="F12023" t="s">
        <v>2668</v>
      </c>
      <c r="K12023" s="18">
        <f>628161165425</f>
        <v>628161165425</v>
      </c>
      <c r="N12023" s="17" t="s">
        <v>81</v>
      </c>
      <c r="V12023" s="18">
        <f>628161165425</f>
        <v>628161165425</v>
      </c>
    </row>
    <row r="12024" ht="15" customHeight="1" spans="1:23" x14ac:dyDescent="0.25">
      <c r="A12024" s="17" t="s">
        <v>32849</v>
      </c>
      <c r="B12024" s="17" t="s">
        <v>70</v>
      </c>
      <c r="C12024" s="17" t="s">
        <v>71</v>
      </c>
      <c r="D12024" t="s">
        <v>11082</v>
      </c>
      <c r="F12024" t="s">
        <v>32850</v>
      </c>
      <c r="K12024" s="18">
        <f>62811849310</f>
        <v>62811849310</v>
      </c>
      <c r="N12024" s="17" t="s">
        <v>77</v>
      </c>
      <c r="U12024" s="17"/>
      <c r="V12024" s="18">
        <f>62811849310</f>
        <v>62811849310</v>
      </c>
      <c r="W12024" t="s">
        <v>32851</v>
      </c>
    </row>
    <row r="12025" ht="15" customHeight="1" spans="1:27" x14ac:dyDescent="0.25">
      <c r="A12025" s="17" t="s">
        <v>32852</v>
      </c>
      <c r="B12025" s="17" t="s">
        <v>70</v>
      </c>
      <c r="C12025" s="17" t="s">
        <v>71</v>
      </c>
      <c r="D12025" t="s">
        <v>11082</v>
      </c>
      <c r="F12025" t="s">
        <v>8509</v>
      </c>
      <c r="K12025" s="18">
        <f>62811848258</f>
        <v>62811848258</v>
      </c>
      <c r="N12025" s="17" t="s">
        <v>77</v>
      </c>
      <c r="U12025" s="17"/>
      <c r="V12025" s="18">
        <f>62811848258</f>
        <v>62811848258</v>
      </c>
      <c r="W12025" t="s">
        <v>32853</v>
      </c>
      <c r="Y12025" s="17" t="s">
        <v>96</v>
      </c>
      <c r="AA12025" s="17" t="s">
        <v>32758</v>
      </c>
    </row>
    <row r="12026" ht="15" customHeight="1" spans="1:22" x14ac:dyDescent="0.25">
      <c r="A12026" s="17" t="s">
        <v>32854</v>
      </c>
      <c r="B12026" s="17" t="s">
        <v>70</v>
      </c>
      <c r="C12026" s="17" t="s">
        <v>71</v>
      </c>
      <c r="D12026" t="s">
        <v>11082</v>
      </c>
      <c r="F12026" t="s">
        <v>6671</v>
      </c>
      <c r="K12026" s="18">
        <f>628129115774</f>
        <v>628129115774</v>
      </c>
      <c r="N12026" s="17" t="s">
        <v>77</v>
      </c>
      <c r="V12026" s="18">
        <f>628129115774</f>
        <v>628129115774</v>
      </c>
    </row>
    <row r="12027" ht="15" customHeight="1" spans="1:25" x14ac:dyDescent="0.25">
      <c r="A12027" s="17" t="s">
        <v>32855</v>
      </c>
      <c r="B12027" s="17" t="s">
        <v>70</v>
      </c>
      <c r="C12027" s="17" t="s">
        <v>71</v>
      </c>
      <c r="D12027" t="s">
        <v>11082</v>
      </c>
      <c r="F12027" t="s">
        <v>4630</v>
      </c>
      <c r="K12027" s="18">
        <f>62816806966</f>
        <v>62816806966</v>
      </c>
      <c r="N12027" s="17" t="s">
        <v>77</v>
      </c>
      <c r="U12027" s="17"/>
      <c r="V12027" s="18">
        <f>62816806966</f>
        <v>62816806966</v>
      </c>
      <c r="W12027" t="s">
        <v>32856</v>
      </c>
      <c r="Y12027" s="17" t="s">
        <v>90</v>
      </c>
    </row>
    <row r="12028" ht="15" customHeight="1" spans="1:28" x14ac:dyDescent="0.25">
      <c r="A12028" s="17" t="s">
        <v>32857</v>
      </c>
      <c r="B12028" s="17" t="s">
        <v>70</v>
      </c>
      <c r="C12028" s="17" t="s">
        <v>71</v>
      </c>
      <c r="D12028" t="s">
        <v>11082</v>
      </c>
      <c r="F12028" t="s">
        <v>618</v>
      </c>
      <c r="J12028" t="s">
        <v>115</v>
      </c>
      <c r="K12028" s="18" t="s">
        <v>32858</v>
      </c>
      <c r="N12028" s="17" t="s">
        <v>77</v>
      </c>
      <c r="O12028" t="s">
        <v>117</v>
      </c>
      <c r="V12028" s="18" t="s">
        <v>32858</v>
      </c>
      <c r="Y12028" t="s">
        <v>90</v>
      </c>
      <c r="AA12028" t="s">
        <v>118</v>
      </c>
      <c r="AB12028" t="s">
        <v>119</v>
      </c>
    </row>
    <row r="12029" ht="15" customHeight="1" spans="1:22" x14ac:dyDescent="0.25">
      <c r="A12029" s="17" t="s">
        <v>32859</v>
      </c>
      <c r="B12029" s="17" t="s">
        <v>70</v>
      </c>
      <c r="C12029" s="17" t="s">
        <v>71</v>
      </c>
      <c r="D12029" t="s">
        <v>11082</v>
      </c>
      <c r="F12029" t="s">
        <v>16072</v>
      </c>
      <c r="K12029" s="18">
        <f>62811362978</f>
        <v>62811362978</v>
      </c>
      <c r="N12029" s="17" t="s">
        <v>81</v>
      </c>
      <c r="V12029" s="18">
        <f>62811362978</f>
        <v>62811362978</v>
      </c>
    </row>
    <row r="12030" ht="15" customHeight="1" spans="1:22" x14ac:dyDescent="0.25">
      <c r="A12030" s="17" t="s">
        <v>32860</v>
      </c>
      <c r="B12030" s="17" t="s">
        <v>70</v>
      </c>
      <c r="C12030" s="17" t="s">
        <v>71</v>
      </c>
      <c r="D12030" t="s">
        <v>11082</v>
      </c>
      <c r="F12030" t="s">
        <v>32861</v>
      </c>
      <c r="K12030" s="18">
        <f>62811362478</f>
        <v>62811362478</v>
      </c>
      <c r="N12030" s="17" t="s">
        <v>81</v>
      </c>
      <c r="V12030" s="18">
        <f>62811362478</f>
        <v>62811362478</v>
      </c>
    </row>
    <row r="12031" ht="15" customHeight="1" spans="1:22" x14ac:dyDescent="0.25">
      <c r="A12031" s="17" t="s">
        <v>32862</v>
      </c>
      <c r="B12031" s="17" t="s">
        <v>70</v>
      </c>
      <c r="C12031" s="17" t="s">
        <v>71</v>
      </c>
      <c r="D12031" t="s">
        <v>11082</v>
      </c>
      <c r="F12031" t="s">
        <v>32863</v>
      </c>
      <c r="K12031" s="18">
        <f>628151872727</f>
        <v>628151872727</v>
      </c>
      <c r="N12031" s="17" t="s">
        <v>81</v>
      </c>
      <c r="V12031" s="18">
        <f>628151872727</f>
        <v>628151872727</v>
      </c>
    </row>
    <row r="12032" ht="15" customHeight="1" spans="1:22" x14ac:dyDescent="0.25">
      <c r="A12032" s="17" t="s">
        <v>32864</v>
      </c>
      <c r="B12032" s="17" t="s">
        <v>70</v>
      </c>
      <c r="C12032" s="17" t="s">
        <v>71</v>
      </c>
      <c r="D12032" t="s">
        <v>11082</v>
      </c>
      <c r="F12032" t="s">
        <v>21480</v>
      </c>
      <c r="K12032" s="18">
        <f>6281219929267</f>
        <v>6281219929267</v>
      </c>
      <c r="N12032" s="17" t="s">
        <v>81</v>
      </c>
      <c r="V12032" s="18">
        <f>6281219929267</f>
        <v>6281219929267</v>
      </c>
    </row>
    <row r="12033" ht="15" customHeight="1" spans="1:23" x14ac:dyDescent="0.25">
      <c r="A12033" s="17" t="s">
        <v>32865</v>
      </c>
      <c r="B12033" s="17" t="s">
        <v>70</v>
      </c>
      <c r="C12033" s="17" t="s">
        <v>71</v>
      </c>
      <c r="D12033" t="s">
        <v>11082</v>
      </c>
      <c r="F12033" t="s">
        <v>32866</v>
      </c>
      <c r="J12033" s="17" t="s">
        <v>32867</v>
      </c>
      <c r="K12033" s="18">
        <f>628122714878</f>
        <v>628122714878</v>
      </c>
      <c r="N12033" s="17" t="s">
        <v>74</v>
      </c>
      <c r="U12033" s="17"/>
      <c r="V12033" s="18">
        <f>628122714878</f>
        <v>628122714878</v>
      </c>
      <c r="W12033" t="s">
        <v>32868</v>
      </c>
    </row>
    <row r="12034" ht="15" customHeight="1" spans="1:22" x14ac:dyDescent="0.25">
      <c r="A12034" s="17" t="s">
        <v>32869</v>
      </c>
      <c r="B12034" s="17" t="s">
        <v>70</v>
      </c>
      <c r="C12034" s="17" t="s">
        <v>71</v>
      </c>
      <c r="D12034" t="s">
        <v>11082</v>
      </c>
      <c r="F12034" t="s">
        <v>8817</v>
      </c>
      <c r="K12034" s="18">
        <f>62816784320</f>
        <v>62816784320</v>
      </c>
      <c r="N12034" s="17" t="s">
        <v>77</v>
      </c>
      <c r="V12034" s="18">
        <f>62816784320</f>
        <v>62816784320</v>
      </c>
    </row>
    <row r="12035" ht="15" customHeight="1" spans="1:23" x14ac:dyDescent="0.25">
      <c r="A12035" s="17" t="s">
        <v>32870</v>
      </c>
      <c r="B12035" s="17" t="s">
        <v>70</v>
      </c>
      <c r="C12035" s="17" t="s">
        <v>71</v>
      </c>
      <c r="D12035" t="s">
        <v>11082</v>
      </c>
      <c r="F12035" t="s">
        <v>24654</v>
      </c>
      <c r="K12035" s="18">
        <f>628179996679</f>
        <v>628179996679</v>
      </c>
      <c r="N12035" s="17" t="s">
        <v>81</v>
      </c>
      <c r="U12035" s="17"/>
      <c r="V12035" s="18">
        <f>628179996679</f>
        <v>628179996679</v>
      </c>
      <c r="W12035" t="s">
        <v>32871</v>
      </c>
    </row>
    <row r="12036" ht="15" customHeight="1" spans="1:23" x14ac:dyDescent="0.25">
      <c r="A12036" s="17" t="s">
        <v>32872</v>
      </c>
      <c r="B12036" s="17" t="s">
        <v>70</v>
      </c>
      <c r="C12036" s="17" t="s">
        <v>71</v>
      </c>
      <c r="D12036" t="s">
        <v>11082</v>
      </c>
      <c r="F12036" t="s">
        <v>32873</v>
      </c>
      <c r="K12036" s="18">
        <f>62818618880</f>
        <v>62818618880</v>
      </c>
      <c r="N12036" s="17" t="s">
        <v>77</v>
      </c>
      <c r="U12036" s="17"/>
      <c r="V12036" s="18">
        <f>62818618880</f>
        <v>62818618880</v>
      </c>
      <c r="W12036" t="s">
        <v>32874</v>
      </c>
    </row>
    <row r="12037" ht="15" customHeight="1" spans="1:28" x14ac:dyDescent="0.25">
      <c r="A12037" s="17" t="s">
        <v>32875</v>
      </c>
      <c r="B12037" s="17" t="s">
        <v>70</v>
      </c>
      <c r="C12037" s="17" t="s">
        <v>71</v>
      </c>
      <c r="D12037" t="s">
        <v>32876</v>
      </c>
      <c r="F12037" t="s">
        <v>32877</v>
      </c>
      <c r="J12037" s="17" t="s">
        <v>32878</v>
      </c>
      <c r="K12037" s="18" t="s">
        <v>32879</v>
      </c>
      <c r="N12037" s="17" t="s">
        <v>77</v>
      </c>
      <c r="O12037" t="s">
        <v>145</v>
      </c>
      <c r="U12037" s="17"/>
      <c r="V12037" s="18" t="s">
        <v>32879</v>
      </c>
      <c r="W12037" t="s">
        <v>32880</v>
      </c>
      <c r="Y12037" t="s">
        <v>190</v>
      </c>
      <c r="AA12037" t="s">
        <v>118</v>
      </c>
      <c r="AB12037" t="s">
        <v>119</v>
      </c>
    </row>
    <row r="12038" ht="15" customHeight="1" spans="1:22" x14ac:dyDescent="0.25">
      <c r="A12038" s="17" t="s">
        <v>32881</v>
      </c>
      <c r="B12038" s="17" t="s">
        <v>70</v>
      </c>
      <c r="C12038" s="17" t="s">
        <v>71</v>
      </c>
      <c r="D12038" t="s">
        <v>11082</v>
      </c>
      <c r="F12038" t="s">
        <v>6671</v>
      </c>
      <c r="K12038" s="18">
        <f>6281287778473</f>
        <v>6281287778473</v>
      </c>
      <c r="N12038" s="17" t="s">
        <v>77</v>
      </c>
      <c r="V12038" s="18">
        <f>6281287778473</f>
        <v>6281287778473</v>
      </c>
    </row>
    <row r="12039" ht="15" customHeight="1" spans="1:23" x14ac:dyDescent="0.25">
      <c r="A12039" s="17" t="s">
        <v>32882</v>
      </c>
      <c r="B12039" s="17" t="s">
        <v>70</v>
      </c>
      <c r="C12039" s="17" t="s">
        <v>71</v>
      </c>
      <c r="D12039" t="s">
        <v>11082</v>
      </c>
      <c r="F12039" t="s">
        <v>3369</v>
      </c>
      <c r="K12039" s="18">
        <f>62811992393</f>
        <v>62811992393</v>
      </c>
      <c r="N12039" s="17" t="s">
        <v>81</v>
      </c>
      <c r="U12039" s="17"/>
      <c r="V12039" s="18">
        <f>62811992393</f>
        <v>62811992393</v>
      </c>
      <c r="W12039" t="s">
        <v>7565</v>
      </c>
    </row>
    <row r="12040" ht="15" customHeight="1" spans="1:28" x14ac:dyDescent="0.25">
      <c r="A12040" s="17" t="s">
        <v>32883</v>
      </c>
      <c r="B12040" s="17" t="s">
        <v>70</v>
      </c>
      <c r="C12040" s="17" t="s">
        <v>71</v>
      </c>
      <c r="D12040" t="s">
        <v>11082</v>
      </c>
      <c r="F12040" t="s">
        <v>913</v>
      </c>
      <c r="J12040" t="s">
        <v>115</v>
      </c>
      <c r="K12040" s="18" t="s">
        <v>32884</v>
      </c>
      <c r="N12040" s="17" t="s">
        <v>74</v>
      </c>
      <c r="O12040" t="s">
        <v>145</v>
      </c>
      <c r="U12040" s="17"/>
      <c r="V12040" s="18" t="s">
        <v>32884</v>
      </c>
      <c r="W12040" t="s">
        <v>32885</v>
      </c>
      <c r="Y12040" t="s">
        <v>90</v>
      </c>
      <c r="AA12040" t="s">
        <v>118</v>
      </c>
      <c r="AB12040" t="s">
        <v>119</v>
      </c>
    </row>
    <row r="12041" ht="15" customHeight="1" spans="1:22" x14ac:dyDescent="0.25">
      <c r="A12041" s="17" t="s">
        <v>32886</v>
      </c>
      <c r="B12041" s="17" t="s">
        <v>70</v>
      </c>
      <c r="C12041" s="17" t="s">
        <v>71</v>
      </c>
      <c r="D12041" t="s">
        <v>11082</v>
      </c>
      <c r="F12041" t="s">
        <v>30008</v>
      </c>
      <c r="K12041" s="18">
        <f>6281317698599</f>
        <v>6281317698599</v>
      </c>
      <c r="N12041" s="17" t="s">
        <v>77</v>
      </c>
      <c r="V12041" s="18">
        <f>6281317698599</f>
        <v>6281317698599</v>
      </c>
    </row>
    <row r="12042" ht="15" customHeight="1" spans="1:28" x14ac:dyDescent="0.25">
      <c r="A12042" s="17" t="s">
        <v>32887</v>
      </c>
      <c r="B12042" s="17" t="s">
        <v>70</v>
      </c>
      <c r="C12042" s="17" t="s">
        <v>71</v>
      </c>
      <c r="D12042" t="s">
        <v>17384</v>
      </c>
      <c r="F12042" t="s">
        <v>32888</v>
      </c>
      <c r="J12042" t="s">
        <v>115</v>
      </c>
      <c r="K12042" s="18" t="s">
        <v>32889</v>
      </c>
      <c r="N12042" s="17" t="s">
        <v>74</v>
      </c>
      <c r="O12042" t="s">
        <v>117</v>
      </c>
      <c r="V12042" s="18" t="s">
        <v>32889</v>
      </c>
      <c r="Y12042" t="s">
        <v>90</v>
      </c>
      <c r="AA12042" t="s">
        <v>118</v>
      </c>
      <c r="AB12042" t="s">
        <v>119</v>
      </c>
    </row>
    <row r="12043" ht="15" customHeight="1" spans="1:22" x14ac:dyDescent="0.25">
      <c r="A12043" s="17" t="s">
        <v>32890</v>
      </c>
      <c r="B12043" s="17" t="s">
        <v>70</v>
      </c>
      <c r="C12043" s="17" t="s">
        <v>71</v>
      </c>
      <c r="D12043" t="s">
        <v>32891</v>
      </c>
      <c r="F12043" t="s">
        <v>32891</v>
      </c>
      <c r="K12043" s="18">
        <f>62811996715</f>
        <v>62811996715</v>
      </c>
      <c r="N12043" s="17" t="s">
        <v>77</v>
      </c>
      <c r="V12043" s="18">
        <f>62811996715</f>
        <v>62811996715</v>
      </c>
    </row>
    <row r="12044" ht="15" customHeight="1" spans="1:25" x14ac:dyDescent="0.25">
      <c r="A12044" s="17" t="s">
        <v>32892</v>
      </c>
      <c r="B12044" s="17" t="s">
        <v>70</v>
      </c>
      <c r="C12044" s="17" t="s">
        <v>71</v>
      </c>
      <c r="D12044" t="s">
        <v>32893</v>
      </c>
      <c r="F12044" t="s">
        <v>16871</v>
      </c>
      <c r="K12044" s="18">
        <f>62818922039</f>
        <v>62818922039</v>
      </c>
      <c r="N12044" s="17" t="s">
        <v>77</v>
      </c>
      <c r="U12044" s="17"/>
      <c r="V12044" s="18">
        <f>62818922039</f>
        <v>62818922039</v>
      </c>
      <c r="W12044" t="s">
        <v>32894</v>
      </c>
      <c r="Y12044" s="17" t="s">
        <v>96</v>
      </c>
    </row>
    <row r="12045" ht="15" customHeight="1" spans="1:22" x14ac:dyDescent="0.25">
      <c r="A12045" s="17" t="s">
        <v>32895</v>
      </c>
      <c r="B12045" s="17" t="s">
        <v>70</v>
      </c>
      <c r="C12045" s="17" t="s">
        <v>71</v>
      </c>
      <c r="D12045" t="s">
        <v>32896</v>
      </c>
      <c r="F12045" t="s">
        <v>12690</v>
      </c>
      <c r="K12045" s="18">
        <f>6281313139985</f>
        <v>6281313139985</v>
      </c>
      <c r="N12045" s="17" t="s">
        <v>77</v>
      </c>
      <c r="V12045" s="18">
        <f>6281313139985</f>
        <v>6281313139985</v>
      </c>
    </row>
    <row r="12046" ht="15" customHeight="1" spans="1:25" x14ac:dyDescent="0.25">
      <c r="A12046" s="17" t="s">
        <v>32897</v>
      </c>
      <c r="B12046" s="17" t="s">
        <v>70</v>
      </c>
      <c r="C12046" s="17" t="s">
        <v>71</v>
      </c>
      <c r="D12046" t="s">
        <v>32898</v>
      </c>
      <c r="F12046" t="s">
        <v>32899</v>
      </c>
      <c r="K12046" s="18">
        <f>62811183067</f>
        <v>62811183067</v>
      </c>
      <c r="N12046" s="17" t="s">
        <v>77</v>
      </c>
      <c r="U12046" s="17"/>
      <c r="V12046" s="18">
        <f>62811183067</f>
        <v>62811183067</v>
      </c>
      <c r="W12046" t="s">
        <v>32900</v>
      </c>
      <c r="Y12046" s="17" t="s">
        <v>96</v>
      </c>
    </row>
    <row r="12047" ht="15" customHeight="1" spans="1:28" x14ac:dyDescent="0.25">
      <c r="A12047" s="17" t="s">
        <v>32901</v>
      </c>
      <c r="B12047" s="17" t="s">
        <v>70</v>
      </c>
      <c r="C12047" s="17" t="s">
        <v>71</v>
      </c>
      <c r="D12047" t="s">
        <v>9782</v>
      </c>
      <c r="F12047" t="s">
        <v>32902</v>
      </c>
      <c r="J12047" s="17" t="s">
        <v>32903</v>
      </c>
      <c r="K12047" s="18" t="s">
        <v>32904</v>
      </c>
      <c r="N12047" s="17" t="s">
        <v>77</v>
      </c>
      <c r="O12047" t="s">
        <v>117</v>
      </c>
      <c r="U12047" s="17"/>
      <c r="V12047" s="18" t="s">
        <v>32904</v>
      </c>
      <c r="W12047" t="s">
        <v>32905</v>
      </c>
      <c r="Y12047" s="17" t="s">
        <v>90</v>
      </c>
      <c r="AA12047" s="17" t="s">
        <v>118</v>
      </c>
      <c r="AB12047" t="s">
        <v>119</v>
      </c>
    </row>
    <row r="12048" ht="15" customHeight="1" spans="1:23" x14ac:dyDescent="0.25">
      <c r="A12048" s="17" t="s">
        <v>32906</v>
      </c>
      <c r="B12048" s="17" t="s">
        <v>70</v>
      </c>
      <c r="C12048" s="17" t="s">
        <v>71</v>
      </c>
      <c r="D12048" t="s">
        <v>9782</v>
      </c>
      <c r="F12048" t="s">
        <v>32907</v>
      </c>
      <c r="J12048" s="17" t="s">
        <v>32908</v>
      </c>
      <c r="K12048" s="18">
        <f>6287887728471</f>
        <v>6287887728471</v>
      </c>
      <c r="N12048" s="17" t="s">
        <v>77</v>
      </c>
      <c r="U12048" s="17"/>
      <c r="V12048" s="18">
        <f>6287887728471</f>
        <v>6287887728471</v>
      </c>
      <c r="W12048" t="s">
        <v>32909</v>
      </c>
    </row>
    <row r="12049" ht="15" customHeight="1" spans="1:28" x14ac:dyDescent="0.25">
      <c r="A12049" s="17" t="s">
        <v>32910</v>
      </c>
      <c r="B12049" s="17" t="s">
        <v>70</v>
      </c>
      <c r="C12049" s="17" t="s">
        <v>71</v>
      </c>
      <c r="D12049" t="s">
        <v>9782</v>
      </c>
      <c r="F12049" t="s">
        <v>14276</v>
      </c>
      <c r="J12049" t="s">
        <v>32911</v>
      </c>
      <c r="K12049" s="18" t="s">
        <v>32912</v>
      </c>
      <c r="N12049" s="17" t="s">
        <v>81</v>
      </c>
      <c r="O12049" t="s">
        <v>489</v>
      </c>
      <c r="V12049" s="18" t="s">
        <v>32912</v>
      </c>
      <c r="Y12049" t="s">
        <v>90</v>
      </c>
      <c r="AA12049" t="s">
        <v>118</v>
      </c>
      <c r="AB12049" t="s">
        <v>119</v>
      </c>
    </row>
    <row r="12050" ht="15" customHeight="1" spans="1:22" x14ac:dyDescent="0.25">
      <c r="A12050" s="17" t="s">
        <v>32913</v>
      </c>
      <c r="B12050" s="17" t="s">
        <v>70</v>
      </c>
      <c r="C12050" s="17" t="s">
        <v>71</v>
      </c>
      <c r="D12050" t="s">
        <v>9782</v>
      </c>
      <c r="F12050" t="s">
        <v>28312</v>
      </c>
      <c r="K12050" s="18">
        <f>6285211648219</f>
        <v>6285211648219</v>
      </c>
      <c r="N12050" s="17" t="s">
        <v>77</v>
      </c>
      <c r="V12050" s="18">
        <f>6285211648219</f>
        <v>6285211648219</v>
      </c>
    </row>
    <row r="12051" ht="15" customHeight="1" spans="1:28" x14ac:dyDescent="0.25">
      <c r="A12051" s="17" t="s">
        <v>32914</v>
      </c>
      <c r="B12051" s="17" t="s">
        <v>70</v>
      </c>
      <c r="C12051" s="17" t="s">
        <v>71</v>
      </c>
      <c r="D12051" t="s">
        <v>9782</v>
      </c>
      <c r="F12051" t="s">
        <v>28947</v>
      </c>
      <c r="J12051" t="s">
        <v>32915</v>
      </c>
      <c r="K12051" s="18" t="s">
        <v>32916</v>
      </c>
      <c r="N12051" s="17" t="s">
        <v>77</v>
      </c>
      <c r="O12051" t="s">
        <v>199</v>
      </c>
      <c r="V12051" s="18" t="s">
        <v>32916</v>
      </c>
      <c r="Y12051" t="s">
        <v>90</v>
      </c>
      <c r="AA12051" t="s">
        <v>118</v>
      </c>
      <c r="AB12051" t="s">
        <v>119</v>
      </c>
    </row>
    <row r="12052" ht="15" customHeight="1" spans="1:22" x14ac:dyDescent="0.25">
      <c r="A12052" s="17" t="s">
        <v>32917</v>
      </c>
      <c r="B12052" s="17" t="s">
        <v>70</v>
      </c>
      <c r="C12052" s="17" t="s">
        <v>71</v>
      </c>
      <c r="D12052" t="s">
        <v>9782</v>
      </c>
      <c r="F12052" t="s">
        <v>26673</v>
      </c>
      <c r="K12052" s="18">
        <f>628121904059</f>
        <v>628121904059</v>
      </c>
      <c r="N12052" s="17" t="s">
        <v>77</v>
      </c>
      <c r="V12052" s="18">
        <f>628121904059</f>
        <v>628121904059</v>
      </c>
    </row>
    <row r="12053" ht="15" customHeight="1" spans="1:22" x14ac:dyDescent="0.25">
      <c r="A12053" s="17" t="s">
        <v>32918</v>
      </c>
      <c r="B12053" s="17" t="s">
        <v>70</v>
      </c>
      <c r="C12053" s="17" t="s">
        <v>71</v>
      </c>
      <c r="D12053" t="s">
        <v>32919</v>
      </c>
      <c r="F12053" t="s">
        <v>32920</v>
      </c>
      <c r="K12053" s="18">
        <f>6281387382003</f>
        <v>6281387382003</v>
      </c>
      <c r="N12053" s="17" t="s">
        <v>77</v>
      </c>
      <c r="V12053" s="18">
        <f>6281387382003</f>
        <v>6281387382003</v>
      </c>
    </row>
    <row r="12054" ht="15" customHeight="1" spans="1:22" x14ac:dyDescent="0.25">
      <c r="A12054" s="17" t="s">
        <v>32921</v>
      </c>
      <c r="B12054" s="17" t="s">
        <v>70</v>
      </c>
      <c r="C12054" s="17" t="s">
        <v>71</v>
      </c>
      <c r="D12054" t="s">
        <v>32922</v>
      </c>
      <c r="F12054" t="s">
        <v>32923</v>
      </c>
      <c r="K12054" s="18">
        <f>67073316666</f>
        <v>67073316666</v>
      </c>
      <c r="N12054" s="17" t="s">
        <v>81</v>
      </c>
      <c r="V12054" s="18">
        <f>67073316666</f>
        <v>67073316666</v>
      </c>
    </row>
    <row r="12055" ht="15" customHeight="1" spans="1:22" x14ac:dyDescent="0.25">
      <c r="A12055" s="17" t="s">
        <v>32924</v>
      </c>
      <c r="B12055" s="17" t="s">
        <v>70</v>
      </c>
      <c r="C12055" s="17" t="s">
        <v>71</v>
      </c>
      <c r="D12055" t="s">
        <v>32925</v>
      </c>
      <c r="F12055" t="s">
        <v>32925</v>
      </c>
      <c r="K12055" s="18">
        <f>62811944841</f>
        <v>62811944841</v>
      </c>
      <c r="N12055" s="17" t="s">
        <v>81</v>
      </c>
      <c r="V12055" s="18">
        <f>62811944841</f>
        <v>62811944841</v>
      </c>
    </row>
    <row r="12056" ht="15" customHeight="1" spans="1:25" x14ac:dyDescent="0.25">
      <c r="A12056" s="17" t="s">
        <v>32926</v>
      </c>
      <c r="B12056" s="17" t="s">
        <v>70</v>
      </c>
      <c r="C12056" s="17" t="s">
        <v>71</v>
      </c>
      <c r="D12056" t="s">
        <v>32927</v>
      </c>
      <c r="F12056" t="s">
        <v>32928</v>
      </c>
      <c r="K12056" s="18">
        <f>6285711292288</f>
        <v>6285711292288</v>
      </c>
      <c r="N12056" s="17" t="s">
        <v>77</v>
      </c>
      <c r="U12056" s="17"/>
      <c r="V12056" s="18">
        <f>6285711292288</f>
        <v>6285711292288</v>
      </c>
      <c r="W12056" t="s">
        <v>32929</v>
      </c>
      <c r="Y12056" s="17" t="s">
        <v>90</v>
      </c>
    </row>
    <row r="12057" ht="15" customHeight="1" spans="1:28" x14ac:dyDescent="0.25">
      <c r="A12057" s="17" t="s">
        <v>32930</v>
      </c>
      <c r="B12057" s="17" t="s">
        <v>70</v>
      </c>
      <c r="C12057" s="17" t="s">
        <v>71</v>
      </c>
      <c r="D12057" t="s">
        <v>32927</v>
      </c>
      <c r="F12057" t="s">
        <v>32931</v>
      </c>
      <c r="J12057" t="s">
        <v>115</v>
      </c>
      <c r="K12057" s="18" t="s">
        <v>32932</v>
      </c>
      <c r="N12057" s="17" t="s">
        <v>77</v>
      </c>
      <c r="O12057" t="s">
        <v>199</v>
      </c>
      <c r="V12057" s="18" t="s">
        <v>32932</v>
      </c>
      <c r="Y12057" t="s">
        <v>920</v>
      </c>
      <c r="AA12057" t="s">
        <v>115</v>
      </c>
      <c r="AB12057" t="s">
        <v>920</v>
      </c>
    </row>
    <row r="12058" ht="15" customHeight="1" spans="1:28" x14ac:dyDescent="0.25">
      <c r="A12058" s="17" t="s">
        <v>32933</v>
      </c>
      <c r="B12058" s="17" t="s">
        <v>70</v>
      </c>
      <c r="C12058" s="17" t="s">
        <v>71</v>
      </c>
      <c r="D12058" t="s">
        <v>32934</v>
      </c>
      <c r="F12058" t="s">
        <v>32935</v>
      </c>
      <c r="J12058" s="17" t="s">
        <v>32936</v>
      </c>
      <c r="K12058" s="18" t="s">
        <v>32937</v>
      </c>
      <c r="N12058" s="17" t="s">
        <v>77</v>
      </c>
      <c r="O12058" t="s">
        <v>199</v>
      </c>
      <c r="U12058" s="17"/>
      <c r="V12058" s="18" t="s">
        <v>32937</v>
      </c>
      <c r="W12058" t="s">
        <v>13647</v>
      </c>
      <c r="Y12058" t="s">
        <v>13647</v>
      </c>
      <c r="AA12058" t="s">
        <v>115</v>
      </c>
      <c r="AB12058" t="s">
        <v>119</v>
      </c>
    </row>
    <row r="12059" ht="15" customHeight="1" spans="1:22" x14ac:dyDescent="0.25">
      <c r="A12059" s="17" t="s">
        <v>32938</v>
      </c>
      <c r="B12059" s="17" t="s">
        <v>70</v>
      </c>
      <c r="C12059" s="17" t="s">
        <v>71</v>
      </c>
      <c r="D12059" t="s">
        <v>32939</v>
      </c>
      <c r="F12059" t="s">
        <v>301</v>
      </c>
      <c r="K12059" s="18">
        <f>62811887664</f>
        <v>62811887664</v>
      </c>
      <c r="N12059" s="17" t="s">
        <v>74</v>
      </c>
      <c r="V12059" s="18">
        <f>62811887664</f>
        <v>62811887664</v>
      </c>
    </row>
    <row r="12060" ht="15" customHeight="1" spans="1:22" x14ac:dyDescent="0.25">
      <c r="A12060" s="17" t="s">
        <v>32940</v>
      </c>
      <c r="B12060" s="17" t="s">
        <v>70</v>
      </c>
      <c r="C12060" s="17" t="s">
        <v>71</v>
      </c>
      <c r="D12060" t="s">
        <v>4686</v>
      </c>
      <c r="F12060" t="s">
        <v>4686</v>
      </c>
      <c r="K12060" s="18">
        <f>622192963076</f>
        <v>622192963076</v>
      </c>
      <c r="N12060" s="17" t="s">
        <v>81</v>
      </c>
      <c r="V12060" s="18">
        <f>622192963076</f>
        <v>622192963076</v>
      </c>
    </row>
    <row r="12061" ht="15" customHeight="1" spans="1:28" x14ac:dyDescent="0.25">
      <c r="A12061" s="17" t="s">
        <v>32941</v>
      </c>
      <c r="B12061" s="17" t="s">
        <v>70</v>
      </c>
      <c r="C12061" s="17" t="s">
        <v>71</v>
      </c>
      <c r="D12061" t="s">
        <v>4686</v>
      </c>
      <c r="F12061" t="s">
        <v>32942</v>
      </c>
      <c r="J12061" t="s">
        <v>115</v>
      </c>
      <c r="K12061" s="18" t="s">
        <v>32943</v>
      </c>
      <c r="N12061" s="17" t="s">
        <v>77</v>
      </c>
      <c r="O12061" t="s">
        <v>199</v>
      </c>
      <c r="V12061" s="18" t="s">
        <v>32943</v>
      </c>
      <c r="Y12061" t="s">
        <v>90</v>
      </c>
      <c r="AA12061" t="s">
        <v>118</v>
      </c>
      <c r="AB12061" t="s">
        <v>119</v>
      </c>
    </row>
    <row r="12062" ht="15" customHeight="1" spans="1:25" x14ac:dyDescent="0.25">
      <c r="A12062" s="17" t="s">
        <v>32944</v>
      </c>
      <c r="B12062" s="17" t="s">
        <v>70</v>
      </c>
      <c r="C12062" s="17" t="s">
        <v>71</v>
      </c>
      <c r="D12062" t="s">
        <v>32945</v>
      </c>
      <c r="F12062" t="s">
        <v>3684</v>
      </c>
      <c r="K12062" s="18">
        <f>62811836255</f>
        <v>62811836255</v>
      </c>
      <c r="N12062" s="17" t="s">
        <v>77</v>
      </c>
      <c r="U12062" s="17"/>
      <c r="V12062" s="18">
        <f>62811836255</f>
        <v>62811836255</v>
      </c>
      <c r="W12062" t="s">
        <v>32946</v>
      </c>
      <c r="Y12062" s="17" t="s">
        <v>90</v>
      </c>
    </row>
    <row r="12063" ht="15" customHeight="1" spans="1:22" x14ac:dyDescent="0.25">
      <c r="A12063" s="17" t="s">
        <v>32947</v>
      </c>
      <c r="B12063" s="17" t="s">
        <v>70</v>
      </c>
      <c r="C12063" s="17" t="s">
        <v>71</v>
      </c>
      <c r="D12063" t="s">
        <v>32948</v>
      </c>
      <c r="F12063" t="s">
        <v>205</v>
      </c>
      <c r="K12063" s="18">
        <f>6285920559429</f>
        <v>6285920559429</v>
      </c>
      <c r="N12063" s="17" t="s">
        <v>77</v>
      </c>
      <c r="V12063" s="18">
        <f>6285920559429</f>
        <v>6285920559429</v>
      </c>
    </row>
    <row r="12064" ht="15" customHeight="1" spans="1:22" x14ac:dyDescent="0.25">
      <c r="A12064" s="17" t="s">
        <v>32949</v>
      </c>
      <c r="B12064" s="17" t="s">
        <v>70</v>
      </c>
      <c r="C12064" s="17" t="s">
        <v>71</v>
      </c>
      <c r="D12064" t="s">
        <v>32950</v>
      </c>
      <c r="F12064" t="s">
        <v>32951</v>
      </c>
      <c r="J12064" s="17" t="s">
        <v>32952</v>
      </c>
      <c r="K12064" s="18">
        <f>6281808953888</f>
        <v>6281808953888</v>
      </c>
      <c r="N12064" s="17" t="s">
        <v>81</v>
      </c>
      <c r="V12064" s="18">
        <f>6281808953888</f>
        <v>6281808953888</v>
      </c>
    </row>
    <row r="12065" ht="15" customHeight="1" spans="1:28" x14ac:dyDescent="0.25">
      <c r="A12065" s="17" t="s">
        <v>32953</v>
      </c>
      <c r="B12065" s="17" t="s">
        <v>70</v>
      </c>
      <c r="C12065" s="17" t="s">
        <v>71</v>
      </c>
      <c r="D12065" t="s">
        <v>32950</v>
      </c>
      <c r="F12065" t="s">
        <v>32954</v>
      </c>
      <c r="J12065" t="s">
        <v>115</v>
      </c>
      <c r="K12065" s="18" t="s">
        <v>32955</v>
      </c>
      <c r="N12065" s="17" t="s">
        <v>74</v>
      </c>
      <c r="O12065" t="s">
        <v>117</v>
      </c>
      <c r="U12065" s="17"/>
      <c r="V12065" s="18" t="s">
        <v>32955</v>
      </c>
      <c r="W12065" t="s">
        <v>32956</v>
      </c>
      <c r="Y12065" t="s">
        <v>6937</v>
      </c>
      <c r="AA12065" t="s">
        <v>115</v>
      </c>
      <c r="AB12065" t="s">
        <v>6937</v>
      </c>
    </row>
    <row r="12066" ht="15" customHeight="1" spans="1:23" x14ac:dyDescent="0.25">
      <c r="A12066" s="17" t="s">
        <v>32957</v>
      </c>
      <c r="B12066" s="17" t="s">
        <v>70</v>
      </c>
      <c r="C12066" s="17" t="s">
        <v>71</v>
      </c>
      <c r="D12066" t="s">
        <v>32958</v>
      </c>
      <c r="F12066" t="s">
        <v>32959</v>
      </c>
      <c r="J12066" s="17" t="s">
        <v>32960</v>
      </c>
      <c r="K12066" s="18">
        <f>628175453708</f>
        <v>628175453708</v>
      </c>
      <c r="N12066" s="17" t="s">
        <v>74</v>
      </c>
      <c r="U12066" s="17"/>
      <c r="V12066" s="18">
        <f>628175453708</f>
        <v>628175453708</v>
      </c>
      <c r="W12066" t="s">
        <v>32961</v>
      </c>
    </row>
    <row r="12067" ht="15" customHeight="1" spans="1:22" x14ac:dyDescent="0.25">
      <c r="A12067" s="17" t="s">
        <v>32962</v>
      </c>
      <c r="B12067" s="17" t="s">
        <v>70</v>
      </c>
      <c r="C12067" s="17" t="s">
        <v>71</v>
      </c>
      <c r="D12067" t="s">
        <v>32963</v>
      </c>
      <c r="F12067" t="s">
        <v>32963</v>
      </c>
      <c r="K12067" s="18">
        <f>62819888711</f>
        <v>62819888711</v>
      </c>
      <c r="N12067" s="17" t="s">
        <v>81</v>
      </c>
      <c r="V12067" s="18">
        <f>62819888711</f>
        <v>62819888711</v>
      </c>
    </row>
    <row r="12068" ht="15" customHeight="1" spans="1:22" x14ac:dyDescent="0.25">
      <c r="A12068" s="17" t="s">
        <v>32964</v>
      </c>
      <c r="B12068" s="17" t="s">
        <v>70</v>
      </c>
      <c r="C12068" s="17" t="s">
        <v>71</v>
      </c>
      <c r="D12068" t="s">
        <v>32963</v>
      </c>
      <c r="F12068" t="s">
        <v>32963</v>
      </c>
      <c r="K12068" s="18">
        <f>6281252026666</f>
        <v>6281252026666</v>
      </c>
      <c r="N12068" s="17" t="s">
        <v>77</v>
      </c>
      <c r="V12068" s="18">
        <f>6281252026666</f>
        <v>6281252026666</v>
      </c>
    </row>
    <row r="12069" ht="15" customHeight="1" spans="1:23" x14ac:dyDescent="0.25">
      <c r="A12069" s="17" t="s">
        <v>32965</v>
      </c>
      <c r="B12069" s="17" t="s">
        <v>70</v>
      </c>
      <c r="C12069" s="17" t="s">
        <v>71</v>
      </c>
      <c r="D12069" t="s">
        <v>32963</v>
      </c>
      <c r="F12069" t="s">
        <v>669</v>
      </c>
      <c r="J12069" s="17" t="s">
        <v>32966</v>
      </c>
      <c r="K12069" s="18">
        <f>6285881812376</f>
        <v>6285881812376</v>
      </c>
      <c r="N12069" s="17" t="s">
        <v>77</v>
      </c>
      <c r="U12069" s="17"/>
      <c r="V12069" s="18">
        <f>6285881812376</f>
        <v>6285881812376</v>
      </c>
      <c r="W12069" t="s">
        <v>32967</v>
      </c>
    </row>
    <row r="12070" ht="15" customHeight="1" spans="1:22" x14ac:dyDescent="0.25">
      <c r="A12070" s="17" t="s">
        <v>32968</v>
      </c>
      <c r="B12070" s="17" t="s">
        <v>70</v>
      </c>
      <c r="C12070" s="17" t="s">
        <v>71</v>
      </c>
      <c r="D12070" t="s">
        <v>32963</v>
      </c>
      <c r="F12070" t="s">
        <v>84</v>
      </c>
      <c r="K12070" s="18">
        <f>628170181997</f>
        <v>628170181997</v>
      </c>
      <c r="N12070" s="17" t="s">
        <v>81</v>
      </c>
      <c r="V12070" s="18">
        <f>628170181997</f>
        <v>628170181997</v>
      </c>
    </row>
    <row r="12071" ht="15" customHeight="1" spans="1:28" x14ac:dyDescent="0.25">
      <c r="A12071" s="17" t="s">
        <v>32969</v>
      </c>
      <c r="B12071" s="17" t="s">
        <v>70</v>
      </c>
      <c r="C12071" s="17" t="s">
        <v>71</v>
      </c>
      <c r="D12071" t="s">
        <v>32963</v>
      </c>
      <c r="F12071" t="s">
        <v>32970</v>
      </c>
      <c r="J12071" t="s">
        <v>115</v>
      </c>
      <c r="K12071" s="18" t="s">
        <v>32971</v>
      </c>
      <c r="N12071" s="17" t="s">
        <v>77</v>
      </c>
      <c r="O12071" t="s">
        <v>199</v>
      </c>
      <c r="V12071" s="18" t="s">
        <v>32971</v>
      </c>
      <c r="Y12071" t="s">
        <v>90</v>
      </c>
      <c r="AA12071" t="s">
        <v>118</v>
      </c>
      <c r="AB12071" t="s">
        <v>119</v>
      </c>
    </row>
    <row r="12072" ht="15" customHeight="1" spans="1:28" x14ac:dyDescent="0.25">
      <c r="A12072" s="17" t="s">
        <v>32972</v>
      </c>
      <c r="B12072" s="17" t="s">
        <v>70</v>
      </c>
      <c r="C12072" s="17" t="s">
        <v>71</v>
      </c>
      <c r="D12072" t="s">
        <v>32963</v>
      </c>
      <c r="F12072" t="s">
        <v>22834</v>
      </c>
      <c r="J12072" t="s">
        <v>115</v>
      </c>
      <c r="K12072" s="18" t="s">
        <v>32973</v>
      </c>
      <c r="N12072" s="17" t="s">
        <v>81</v>
      </c>
      <c r="O12072" t="s">
        <v>261</v>
      </c>
      <c r="U12072" s="17"/>
      <c r="V12072" s="18" t="s">
        <v>32973</v>
      </c>
      <c r="W12072" t="s">
        <v>32974</v>
      </c>
      <c r="Y12072" s="17" t="s">
        <v>90</v>
      </c>
      <c r="AA12072" s="17" t="s">
        <v>118</v>
      </c>
      <c r="AB12072" t="s">
        <v>119</v>
      </c>
    </row>
    <row r="12073" ht="15" customHeight="1" spans="1:28" x14ac:dyDescent="0.25">
      <c r="A12073" s="17" t="s">
        <v>32975</v>
      </c>
      <c r="B12073" s="17" t="s">
        <v>70</v>
      </c>
      <c r="C12073" s="17" t="s">
        <v>71</v>
      </c>
      <c r="D12073" t="s">
        <v>32963</v>
      </c>
      <c r="F12073" t="s">
        <v>32976</v>
      </c>
      <c r="J12073" t="s">
        <v>115</v>
      </c>
      <c r="K12073" s="18" t="s">
        <v>32977</v>
      </c>
      <c r="N12073" s="17" t="s">
        <v>77</v>
      </c>
      <c r="O12073" t="s">
        <v>145</v>
      </c>
      <c r="V12073" s="18" t="s">
        <v>32977</v>
      </c>
      <c r="Y12073" t="s">
        <v>32978</v>
      </c>
      <c r="AA12073" t="s">
        <v>115</v>
      </c>
      <c r="AB12073" t="s">
        <v>119</v>
      </c>
    </row>
    <row r="12074" ht="15" customHeight="1" spans="1:25" x14ac:dyDescent="0.25">
      <c r="A12074" s="17" t="s">
        <v>32979</v>
      </c>
      <c r="B12074" s="17" t="s">
        <v>70</v>
      </c>
      <c r="C12074" s="17" t="s">
        <v>71</v>
      </c>
      <c r="D12074" t="s">
        <v>32963</v>
      </c>
      <c r="F12074" t="s">
        <v>755</v>
      </c>
      <c r="K12074" s="18">
        <f>6282113028889</f>
        <v>6282113028889</v>
      </c>
      <c r="N12074" s="17" t="s">
        <v>77</v>
      </c>
      <c r="U12074" s="17"/>
      <c r="V12074" s="18">
        <f>6282113028889</f>
        <v>6282113028889</v>
      </c>
      <c r="W12074" t="s">
        <v>32980</v>
      </c>
      <c r="Y12074" s="17" t="s">
        <v>96</v>
      </c>
    </row>
    <row r="12075" ht="15" customHeight="1" spans="1:23" x14ac:dyDescent="0.25">
      <c r="A12075" s="17" t="s">
        <v>32981</v>
      </c>
      <c r="B12075" s="17" t="s">
        <v>70</v>
      </c>
      <c r="C12075" s="17" t="s">
        <v>71</v>
      </c>
      <c r="D12075" t="s">
        <v>32963</v>
      </c>
      <c r="F12075" t="s">
        <v>6415</v>
      </c>
      <c r="K12075" s="18">
        <f>6281934316265</f>
        <v>6281934316265</v>
      </c>
      <c r="N12075" s="17" t="s">
        <v>74</v>
      </c>
      <c r="U12075" s="17"/>
      <c r="V12075" s="18">
        <f>6281934316265</f>
        <v>6281934316265</v>
      </c>
      <c r="W12075" t="s">
        <v>32982</v>
      </c>
    </row>
    <row r="12076" ht="15" customHeight="1" spans="1:25" x14ac:dyDescent="0.25">
      <c r="A12076" s="17" t="s">
        <v>32983</v>
      </c>
      <c r="B12076" s="17" t="s">
        <v>70</v>
      </c>
      <c r="C12076" s="17" t="s">
        <v>71</v>
      </c>
      <c r="D12076" t="s">
        <v>32963</v>
      </c>
      <c r="F12076" t="s">
        <v>8877</v>
      </c>
      <c r="K12076" s="18">
        <f>6282291932962</f>
        <v>6282291932962</v>
      </c>
      <c r="N12076" s="17" t="s">
        <v>81</v>
      </c>
      <c r="U12076" s="17"/>
      <c r="V12076" s="18">
        <f>6282291932962</f>
        <v>6282291932962</v>
      </c>
      <c r="W12076" t="s">
        <v>32984</v>
      </c>
      <c r="Y12076" s="17" t="s">
        <v>7143</v>
      </c>
    </row>
    <row r="12077" ht="15" customHeight="1" spans="1:25" x14ac:dyDescent="0.25">
      <c r="A12077" s="17" t="s">
        <v>32985</v>
      </c>
      <c r="B12077" s="17" t="s">
        <v>70</v>
      </c>
      <c r="C12077" s="17" t="s">
        <v>71</v>
      </c>
      <c r="D12077" t="s">
        <v>32986</v>
      </c>
      <c r="F12077" t="s">
        <v>32987</v>
      </c>
      <c r="K12077" s="18">
        <f>6281807388082</f>
        <v>6281807388082</v>
      </c>
      <c r="N12077" s="17" t="s">
        <v>77</v>
      </c>
      <c r="U12077" s="17"/>
      <c r="V12077" s="18">
        <f>6281807388082</f>
        <v>6281807388082</v>
      </c>
      <c r="W12077" t="s">
        <v>32988</v>
      </c>
      <c r="Y12077" s="17" t="s">
        <v>6412</v>
      </c>
    </row>
    <row r="12078" ht="15" customHeight="1" spans="1:28" x14ac:dyDescent="0.25">
      <c r="A12078" s="17" t="s">
        <v>32989</v>
      </c>
      <c r="B12078" s="17" t="s">
        <v>70</v>
      </c>
      <c r="C12078" s="17" t="s">
        <v>71</v>
      </c>
      <c r="D12078" t="s">
        <v>32990</v>
      </c>
      <c r="F12078" t="s">
        <v>669</v>
      </c>
      <c r="J12078" t="s">
        <v>115</v>
      </c>
      <c r="K12078" s="18" t="s">
        <v>32991</v>
      </c>
      <c r="N12078" s="17" t="s">
        <v>81</v>
      </c>
      <c r="O12078" t="s">
        <v>117</v>
      </c>
      <c r="U12078" s="17"/>
      <c r="V12078" s="18" t="s">
        <v>32991</v>
      </c>
      <c r="W12078" t="s">
        <v>32992</v>
      </c>
      <c r="Y12078" s="17" t="s">
        <v>90</v>
      </c>
      <c r="AA12078" t="s">
        <v>118</v>
      </c>
      <c r="AB12078" t="s">
        <v>119</v>
      </c>
    </row>
    <row r="12079" ht="15" customHeight="1" spans="1:28" x14ac:dyDescent="0.25">
      <c r="A12079" s="17" t="s">
        <v>32993</v>
      </c>
      <c r="B12079" s="17" t="s">
        <v>70</v>
      </c>
      <c r="C12079" s="17" t="s">
        <v>71</v>
      </c>
      <c r="D12079" t="s">
        <v>32994</v>
      </c>
      <c r="F12079" t="s">
        <v>2151</v>
      </c>
      <c r="J12079" t="s">
        <v>32995</v>
      </c>
      <c r="K12079" s="18" t="s">
        <v>32996</v>
      </c>
      <c r="N12079" s="17" t="s">
        <v>77</v>
      </c>
      <c r="O12079" t="s">
        <v>117</v>
      </c>
      <c r="V12079" s="18" t="s">
        <v>32996</v>
      </c>
      <c r="Y12079" t="s">
        <v>115</v>
      </c>
      <c r="AA12079" t="s">
        <v>115</v>
      </c>
      <c r="AB12079" t="s">
        <v>119</v>
      </c>
    </row>
    <row r="12080" ht="15" customHeight="1" spans="1:22" x14ac:dyDescent="0.25">
      <c r="A12080" s="17" t="s">
        <v>32997</v>
      </c>
      <c r="B12080" s="17" t="s">
        <v>70</v>
      </c>
      <c r="C12080" s="17" t="s">
        <v>71</v>
      </c>
      <c r="D12080" t="s">
        <v>32998</v>
      </c>
      <c r="F12080" t="s">
        <v>186</v>
      </c>
      <c r="K12080" s="18">
        <f>628128000253</f>
        <v>628128000253</v>
      </c>
      <c r="N12080" s="17" t="s">
        <v>74</v>
      </c>
      <c r="V12080" s="18">
        <f>628128000253</f>
        <v>628128000253</v>
      </c>
    </row>
    <row r="12081" ht="15" customHeight="1" spans="1:22" x14ac:dyDescent="0.25">
      <c r="A12081" s="17" t="s">
        <v>32999</v>
      </c>
      <c r="B12081" s="17" t="s">
        <v>70</v>
      </c>
      <c r="C12081" s="17" t="s">
        <v>71</v>
      </c>
      <c r="D12081" t="s">
        <v>33000</v>
      </c>
      <c r="F12081" t="s">
        <v>994</v>
      </c>
      <c r="K12081" s="18">
        <f>62811870208</f>
        <v>62811870208</v>
      </c>
      <c r="N12081" s="17" t="s">
        <v>74</v>
      </c>
      <c r="V12081" s="18">
        <f>62811870208</f>
        <v>62811870208</v>
      </c>
    </row>
    <row r="12082" ht="15" customHeight="1" spans="1:23" x14ac:dyDescent="0.25">
      <c r="A12082" s="17" t="s">
        <v>33001</v>
      </c>
      <c r="B12082" s="17" t="s">
        <v>70</v>
      </c>
      <c r="C12082" s="17" t="s">
        <v>71</v>
      </c>
      <c r="D12082" t="s">
        <v>33002</v>
      </c>
      <c r="F12082" t="s">
        <v>33002</v>
      </c>
      <c r="K12082" s="18">
        <f>81802341992</f>
        <v>81802341992</v>
      </c>
      <c r="N12082" s="17" t="s">
        <v>81</v>
      </c>
      <c r="U12082" s="17"/>
      <c r="V12082" s="18">
        <f>81802341992</f>
        <v>81802341992</v>
      </c>
      <c r="W12082" t="s">
        <v>33003</v>
      </c>
    </row>
    <row r="12083" ht="15" customHeight="1" spans="1:23" x14ac:dyDescent="0.25">
      <c r="A12083" s="17" t="s">
        <v>33004</v>
      </c>
      <c r="B12083" s="17" t="s">
        <v>70</v>
      </c>
      <c r="C12083" s="17" t="s">
        <v>71</v>
      </c>
      <c r="D12083" t="s">
        <v>33002</v>
      </c>
      <c r="F12083" t="s">
        <v>33005</v>
      </c>
      <c r="K12083" s="18">
        <f>6283893713651</f>
        <v>6283893713651</v>
      </c>
      <c r="N12083" s="17" t="s">
        <v>77</v>
      </c>
      <c r="U12083" s="17"/>
      <c r="V12083" s="18">
        <f>6283893713651</f>
        <v>6283893713651</v>
      </c>
      <c r="W12083" t="s">
        <v>33006</v>
      </c>
    </row>
    <row r="12084" ht="15" customHeight="1" spans="1:23" x14ac:dyDescent="0.25">
      <c r="A12084" s="17" t="s">
        <v>33007</v>
      </c>
      <c r="B12084" s="17" t="s">
        <v>70</v>
      </c>
      <c r="C12084" s="17" t="s">
        <v>71</v>
      </c>
      <c r="D12084" t="s">
        <v>33008</v>
      </c>
      <c r="F12084" t="s">
        <v>33009</v>
      </c>
      <c r="K12084" s="18">
        <f>6281585135569</f>
        <v>6281585135569</v>
      </c>
      <c r="N12084" s="17" t="s">
        <v>81</v>
      </c>
      <c r="U12084" s="17"/>
      <c r="V12084" s="18">
        <f>6281585135569</f>
        <v>6281585135569</v>
      </c>
      <c r="W12084" t="s">
        <v>33010</v>
      </c>
    </row>
    <row r="12085" ht="15" customHeight="1" spans="1:25" x14ac:dyDescent="0.25">
      <c r="A12085" s="17" t="s">
        <v>33011</v>
      </c>
      <c r="B12085" s="17" t="s">
        <v>70</v>
      </c>
      <c r="C12085" s="17" t="s">
        <v>71</v>
      </c>
      <c r="D12085" t="s">
        <v>33012</v>
      </c>
      <c r="F12085" t="s">
        <v>33012</v>
      </c>
      <c r="K12085" s="18">
        <f>628161935670</f>
        <v>628161935670</v>
      </c>
      <c r="N12085" s="17" t="s">
        <v>77</v>
      </c>
      <c r="U12085" s="17"/>
      <c r="V12085" s="18">
        <f>628161935670</f>
        <v>628161935670</v>
      </c>
      <c r="W12085" t="s">
        <v>33013</v>
      </c>
      <c r="Y12085" s="17" t="s">
        <v>1084</v>
      </c>
    </row>
    <row r="12086" ht="15" customHeight="1" spans="1:27" x14ac:dyDescent="0.25">
      <c r="A12086" s="17" t="s">
        <v>33014</v>
      </c>
      <c r="B12086" s="17" t="s">
        <v>70</v>
      </c>
      <c r="C12086" s="17" t="s">
        <v>71</v>
      </c>
      <c r="D12086" t="s">
        <v>33012</v>
      </c>
      <c r="F12086" t="s">
        <v>3849</v>
      </c>
      <c r="K12086" s="18">
        <v>6617768</v>
      </c>
      <c r="N12086" s="17" t="s">
        <v>74</v>
      </c>
      <c r="U12086" s="17"/>
      <c r="V12086" s="18">
        <v>6617768</v>
      </c>
      <c r="W12086" t="s">
        <v>33015</v>
      </c>
      <c r="Y12086" s="17" t="s">
        <v>1084</v>
      </c>
      <c r="AA12086" s="17">
        <v>14440</v>
      </c>
    </row>
    <row r="12087" ht="15" customHeight="1" spans="1:28" x14ac:dyDescent="0.25">
      <c r="A12087" s="17" t="s">
        <v>33016</v>
      </c>
      <c r="B12087" s="17" t="s">
        <v>70</v>
      </c>
      <c r="C12087" s="17" t="s">
        <v>71</v>
      </c>
      <c r="D12087" t="s">
        <v>33012</v>
      </c>
      <c r="F12087" t="s">
        <v>15366</v>
      </c>
      <c r="J12087" t="s">
        <v>115</v>
      </c>
      <c r="K12087" s="18" t="s">
        <v>33017</v>
      </c>
      <c r="N12087" s="17" t="s">
        <v>74</v>
      </c>
      <c r="O12087" t="s">
        <v>261</v>
      </c>
      <c r="U12087" s="17"/>
      <c r="V12087" s="18" t="s">
        <v>33017</v>
      </c>
      <c r="W12087" t="s">
        <v>33018</v>
      </c>
      <c r="Y12087" t="s">
        <v>96</v>
      </c>
      <c r="AA12087" t="s">
        <v>693</v>
      </c>
      <c r="AB12087" t="s">
        <v>119</v>
      </c>
    </row>
    <row r="12088" ht="15" customHeight="1" spans="1:22" x14ac:dyDescent="0.25">
      <c r="A12088" s="17" t="s">
        <v>33019</v>
      </c>
      <c r="B12088" s="17" t="s">
        <v>70</v>
      </c>
      <c r="C12088" s="17" t="s">
        <v>71</v>
      </c>
      <c r="D12088" t="s">
        <v>33020</v>
      </c>
      <c r="F12088" t="s">
        <v>33020</v>
      </c>
      <c r="K12088" s="18">
        <f>62817845332</f>
        <v>62817845332</v>
      </c>
      <c r="N12088" s="17" t="s">
        <v>74</v>
      </c>
      <c r="V12088" s="18">
        <f>62817845332</f>
        <v>62817845332</v>
      </c>
    </row>
    <row r="12089" ht="15" customHeight="1" spans="1:22" x14ac:dyDescent="0.25">
      <c r="A12089" s="17" t="s">
        <v>33021</v>
      </c>
      <c r="B12089" s="17" t="s">
        <v>70</v>
      </c>
      <c r="C12089" s="17" t="s">
        <v>71</v>
      </c>
      <c r="D12089" t="s">
        <v>33022</v>
      </c>
      <c r="F12089" t="s">
        <v>33022</v>
      </c>
      <c r="K12089" s="18">
        <f>628129989999</f>
        <v>628129989999</v>
      </c>
      <c r="N12089" s="17" t="s">
        <v>81</v>
      </c>
      <c r="V12089" s="18">
        <f>628129989999</f>
        <v>628129989999</v>
      </c>
    </row>
    <row r="12090" ht="15" customHeight="1" spans="1:25" x14ac:dyDescent="0.25">
      <c r="A12090" s="17" t="s">
        <v>33023</v>
      </c>
      <c r="B12090" s="17" t="s">
        <v>70</v>
      </c>
      <c r="C12090" s="17" t="s">
        <v>71</v>
      </c>
      <c r="D12090" t="s">
        <v>33024</v>
      </c>
      <c r="F12090" t="s">
        <v>33025</v>
      </c>
      <c r="K12090" s="18">
        <f>966505667990</f>
        <v>966505667990</v>
      </c>
      <c r="N12090" s="17" t="s">
        <v>81</v>
      </c>
      <c r="V12090" s="18">
        <f>966505667990</f>
        <v>966505667990</v>
      </c>
      <c r="Y12090" s="17" t="s">
        <v>22392</v>
      </c>
    </row>
    <row r="12091" ht="15" customHeight="1" spans="1:22" x14ac:dyDescent="0.25">
      <c r="A12091" s="17" t="s">
        <v>33026</v>
      </c>
      <c r="B12091" s="17" t="s">
        <v>70</v>
      </c>
      <c r="C12091" s="17" t="s">
        <v>71</v>
      </c>
      <c r="D12091" t="s">
        <v>33024</v>
      </c>
      <c r="F12091" t="s">
        <v>186</v>
      </c>
      <c r="K12091" s="18">
        <f>96599170663</f>
        <v>96599170663</v>
      </c>
      <c r="N12091" s="17" t="s">
        <v>81</v>
      </c>
      <c r="V12091" s="18">
        <f>96599170663</f>
        <v>96599170663</v>
      </c>
    </row>
    <row r="12092" ht="15" customHeight="1" spans="1:28" x14ac:dyDescent="0.25">
      <c r="A12092" s="17" t="s">
        <v>33027</v>
      </c>
      <c r="B12092" s="17" t="s">
        <v>70</v>
      </c>
      <c r="C12092" s="17" t="s">
        <v>71</v>
      </c>
      <c r="D12092" t="s">
        <v>33028</v>
      </c>
      <c r="F12092" t="s">
        <v>33029</v>
      </c>
      <c r="J12092" s="17" t="s">
        <v>33030</v>
      </c>
      <c r="K12092" s="18" t="s">
        <v>33031</v>
      </c>
      <c r="N12092" s="17" t="s">
        <v>77</v>
      </c>
      <c r="O12092" t="s">
        <v>145</v>
      </c>
      <c r="V12092" s="18" t="s">
        <v>33031</v>
      </c>
      <c r="Y12092" s="17" t="s">
        <v>251</v>
      </c>
      <c r="AA12092" t="s">
        <v>115</v>
      </c>
      <c r="AB12092" t="s">
        <v>251</v>
      </c>
    </row>
    <row r="12093" ht="15" customHeight="1" spans="1:22" x14ac:dyDescent="0.25">
      <c r="A12093" s="17" t="s">
        <v>33032</v>
      </c>
      <c r="B12093" s="17" t="s">
        <v>70</v>
      </c>
      <c r="C12093" s="17" t="s">
        <v>71</v>
      </c>
      <c r="D12093" t="s">
        <v>33033</v>
      </c>
      <c r="F12093" t="s">
        <v>33033</v>
      </c>
      <c r="K12093" s="18">
        <f>6281320003626</f>
        <v>6281320003626</v>
      </c>
      <c r="N12093" s="17" t="s">
        <v>77</v>
      </c>
      <c r="V12093" s="18">
        <f>6281320003626</f>
        <v>6281320003626</v>
      </c>
    </row>
    <row r="12094" ht="15" customHeight="1" spans="1:27" x14ac:dyDescent="0.25">
      <c r="A12094" s="17" t="s">
        <v>33034</v>
      </c>
      <c r="B12094" s="17" t="s">
        <v>70</v>
      </c>
      <c r="C12094" s="17" t="s">
        <v>71</v>
      </c>
      <c r="D12094" t="s">
        <v>33035</v>
      </c>
      <c r="F12094" t="s">
        <v>33035</v>
      </c>
      <c r="K12094" s="18">
        <f>628557801662</f>
        <v>628557801662</v>
      </c>
      <c r="N12094" s="17" t="s">
        <v>77</v>
      </c>
      <c r="U12094" s="17"/>
      <c r="V12094" s="18">
        <f>628557801662</f>
        <v>628557801662</v>
      </c>
      <c r="W12094" t="s">
        <v>33036</v>
      </c>
      <c r="Y12094" s="17" t="s">
        <v>96</v>
      </c>
      <c r="AA12094" s="17" t="s">
        <v>133</v>
      </c>
    </row>
    <row r="12095" ht="15" customHeight="1" spans="1:22" x14ac:dyDescent="0.25">
      <c r="A12095" s="17" t="s">
        <v>33037</v>
      </c>
      <c r="B12095" s="17" t="s">
        <v>70</v>
      </c>
      <c r="C12095" s="17" t="s">
        <v>71</v>
      </c>
      <c r="D12095" t="s">
        <v>33038</v>
      </c>
      <c r="F12095" t="s">
        <v>33038</v>
      </c>
      <c r="K12095" s="18">
        <f>62215725650</f>
        <v>62215725650</v>
      </c>
      <c r="N12095" s="17" t="s">
        <v>74</v>
      </c>
      <c r="V12095" s="18">
        <f>62215725650</f>
        <v>62215725650</v>
      </c>
    </row>
    <row r="12096" ht="15" customHeight="1" spans="1:22" x14ac:dyDescent="0.25">
      <c r="A12096" s="17" t="s">
        <v>33039</v>
      </c>
      <c r="B12096" s="17" t="s">
        <v>70</v>
      </c>
      <c r="C12096" s="17" t="s">
        <v>71</v>
      </c>
      <c r="D12096" t="s">
        <v>33040</v>
      </c>
      <c r="F12096" t="s">
        <v>33040</v>
      </c>
      <c r="K12096" s="18">
        <f>62816869448</f>
        <v>62816869448</v>
      </c>
      <c r="N12096" s="17" t="s">
        <v>77</v>
      </c>
      <c r="V12096" s="18">
        <f>62816869448</f>
        <v>62816869448</v>
      </c>
    </row>
    <row r="12097" ht="15" customHeight="1" spans="1:23" x14ac:dyDescent="0.25">
      <c r="A12097" s="17" t="s">
        <v>33041</v>
      </c>
      <c r="B12097" s="17" t="s">
        <v>70</v>
      </c>
      <c r="C12097" s="17" t="s">
        <v>71</v>
      </c>
      <c r="D12097" t="s">
        <v>33040</v>
      </c>
      <c r="F12097" t="s">
        <v>33042</v>
      </c>
      <c r="K12097" s="18">
        <f>62811869448</f>
        <v>62811869448</v>
      </c>
      <c r="N12097" s="17" t="s">
        <v>77</v>
      </c>
      <c r="U12097" s="17"/>
      <c r="V12097" s="18">
        <f>62811869448</f>
        <v>62811869448</v>
      </c>
      <c r="W12097" t="s">
        <v>33043</v>
      </c>
    </row>
    <row r="12098" ht="15" customHeight="1" spans="1:22" x14ac:dyDescent="0.25">
      <c r="A12098" s="17" t="s">
        <v>33044</v>
      </c>
      <c r="B12098" s="17" t="s">
        <v>70</v>
      </c>
      <c r="C12098" s="17" t="s">
        <v>71</v>
      </c>
      <c r="D12098" t="s">
        <v>33045</v>
      </c>
      <c r="F12098" t="s">
        <v>33046</v>
      </c>
      <c r="K12098" s="18">
        <f>62819100888</f>
        <v>62819100888</v>
      </c>
      <c r="N12098" s="17" t="s">
        <v>77</v>
      </c>
      <c r="V12098" s="18">
        <f>62819100888</f>
        <v>62819100888</v>
      </c>
    </row>
    <row r="12099" ht="15" customHeight="1" spans="1:22" x14ac:dyDescent="0.25">
      <c r="A12099" s="17" t="s">
        <v>33047</v>
      </c>
      <c r="B12099" s="17" t="s">
        <v>70</v>
      </c>
      <c r="C12099" s="17" t="s">
        <v>71</v>
      </c>
      <c r="D12099" t="s">
        <v>33048</v>
      </c>
      <c r="F12099" t="s">
        <v>33048</v>
      </c>
      <c r="K12099" s="18">
        <f>62816102028</f>
        <v>62816102028</v>
      </c>
      <c r="N12099" s="17" t="s">
        <v>77</v>
      </c>
      <c r="V12099" s="18">
        <f>62816102028</f>
        <v>62816102028</v>
      </c>
    </row>
    <row r="12100" ht="15" customHeight="1" spans="1:22" x14ac:dyDescent="0.25">
      <c r="A12100" s="17" t="s">
        <v>33049</v>
      </c>
      <c r="B12100" s="17" t="s">
        <v>70</v>
      </c>
      <c r="C12100" s="17" t="s">
        <v>71</v>
      </c>
      <c r="D12100" t="s">
        <v>33050</v>
      </c>
      <c r="F12100" t="s">
        <v>33050</v>
      </c>
      <c r="K12100" s="18">
        <f>8111969969</f>
        <v>8111969969</v>
      </c>
      <c r="N12100" s="17" t="s">
        <v>81</v>
      </c>
      <c r="V12100" s="18">
        <f>8111969969</f>
        <v>8111969969</v>
      </c>
    </row>
    <row r="12101" ht="15" customHeight="1" spans="1:22" x14ac:dyDescent="0.25">
      <c r="A12101" s="17" t="s">
        <v>33051</v>
      </c>
      <c r="B12101" s="17" t="s">
        <v>70</v>
      </c>
      <c r="C12101" s="17" t="s">
        <v>71</v>
      </c>
      <c r="D12101" t="s">
        <v>26740</v>
      </c>
      <c r="F12101" t="s">
        <v>26740</v>
      </c>
      <c r="K12101" s="18">
        <f>6287781023618</f>
        <v>6287781023618</v>
      </c>
      <c r="N12101" s="17" t="s">
        <v>77</v>
      </c>
      <c r="V12101" s="18">
        <f>6287781023618</f>
        <v>6287781023618</v>
      </c>
    </row>
    <row r="12102" ht="15" customHeight="1" spans="1:23" x14ac:dyDescent="0.25">
      <c r="A12102" s="17" t="s">
        <v>33052</v>
      </c>
      <c r="B12102" s="17" t="s">
        <v>70</v>
      </c>
      <c r="C12102" s="17" t="s">
        <v>71</v>
      </c>
      <c r="D12102" t="s">
        <v>26740</v>
      </c>
      <c r="F12102" t="s">
        <v>26740</v>
      </c>
      <c r="J12102" s="17" t="s">
        <v>33053</v>
      </c>
      <c r="K12102" s="18">
        <f>6281319778461</f>
        <v>6281319778461</v>
      </c>
      <c r="N12102" s="17" t="s">
        <v>74</v>
      </c>
      <c r="U12102" s="17"/>
      <c r="V12102" s="18">
        <f>6281319778461</f>
        <v>6281319778461</v>
      </c>
      <c r="W12102" t="s">
        <v>33054</v>
      </c>
    </row>
    <row r="12103" ht="15" customHeight="1" spans="1:27" x14ac:dyDescent="0.25">
      <c r="A12103" s="17" t="s">
        <v>33055</v>
      </c>
      <c r="B12103" s="17" t="s">
        <v>70</v>
      </c>
      <c r="C12103" s="17" t="s">
        <v>71</v>
      </c>
      <c r="D12103" t="s">
        <v>26740</v>
      </c>
      <c r="F12103" t="s">
        <v>5266</v>
      </c>
      <c r="J12103" s="17" t="s">
        <v>33056</v>
      </c>
      <c r="K12103" s="18">
        <f>6281294634972</f>
        <v>6281294634972</v>
      </c>
      <c r="N12103" s="17" t="s">
        <v>81</v>
      </c>
      <c r="U12103" s="17"/>
      <c r="V12103" s="18">
        <f>6281294634972</f>
        <v>6281294634972</v>
      </c>
      <c r="W12103" t="s">
        <v>33057</v>
      </c>
      <c r="AA12103" s="17">
        <v>13890</v>
      </c>
    </row>
    <row r="12104" ht="15" customHeight="1" spans="1:28" x14ac:dyDescent="0.25">
      <c r="A12104" s="17" t="s">
        <v>33058</v>
      </c>
      <c r="B12104" s="17" t="s">
        <v>70</v>
      </c>
      <c r="C12104" s="17" t="s">
        <v>71</v>
      </c>
      <c r="D12104" t="s">
        <v>26740</v>
      </c>
      <c r="F12104" t="s">
        <v>5795</v>
      </c>
      <c r="J12104" t="s">
        <v>115</v>
      </c>
      <c r="K12104" s="18" t="s">
        <v>33059</v>
      </c>
      <c r="N12104" s="17" t="s">
        <v>77</v>
      </c>
      <c r="O12104" t="s">
        <v>117</v>
      </c>
      <c r="U12104" s="17"/>
      <c r="V12104" s="18" t="s">
        <v>33059</v>
      </c>
      <c r="W12104" t="s">
        <v>33060</v>
      </c>
      <c r="Y12104" t="s">
        <v>626</v>
      </c>
      <c r="AA12104" t="s">
        <v>3090</v>
      </c>
      <c r="AB12104" t="s">
        <v>119</v>
      </c>
    </row>
    <row r="12105" ht="15" customHeight="1" spans="1:28" x14ac:dyDescent="0.25">
      <c r="A12105" s="17" t="s">
        <v>33061</v>
      </c>
      <c r="B12105" s="17" t="s">
        <v>70</v>
      </c>
      <c r="C12105" s="17" t="s">
        <v>71</v>
      </c>
      <c r="D12105" t="s">
        <v>26740</v>
      </c>
      <c r="F12105" t="s">
        <v>33062</v>
      </c>
      <c r="J12105" s="17" t="s">
        <v>11832</v>
      </c>
      <c r="K12105" s="18" t="s">
        <v>33063</v>
      </c>
      <c r="N12105" s="17" t="s">
        <v>77</v>
      </c>
      <c r="O12105" t="s">
        <v>117</v>
      </c>
      <c r="U12105" s="17"/>
      <c r="V12105" s="18" t="s">
        <v>33063</v>
      </c>
      <c r="W12105" t="s">
        <v>11834</v>
      </c>
      <c r="Y12105" s="17" t="s">
        <v>96</v>
      </c>
      <c r="AA12105" t="s">
        <v>693</v>
      </c>
      <c r="AB12105" t="s">
        <v>119</v>
      </c>
    </row>
    <row r="12106" ht="15" customHeight="1" spans="1:23" x14ac:dyDescent="0.25">
      <c r="A12106" s="17" t="s">
        <v>33064</v>
      </c>
      <c r="B12106" s="17" t="s">
        <v>70</v>
      </c>
      <c r="C12106" s="17" t="s">
        <v>71</v>
      </c>
      <c r="D12106" t="s">
        <v>26740</v>
      </c>
      <c r="F12106" t="s">
        <v>33065</v>
      </c>
      <c r="K12106" s="18">
        <f>62811102815</f>
        <v>62811102815</v>
      </c>
      <c r="N12106" s="17" t="s">
        <v>77</v>
      </c>
      <c r="U12106" s="17"/>
      <c r="V12106" s="18">
        <f>62811102815</f>
        <v>62811102815</v>
      </c>
      <c r="W12106" t="s">
        <v>33066</v>
      </c>
    </row>
    <row r="12107" ht="15" customHeight="1" spans="1:22" x14ac:dyDescent="0.25">
      <c r="A12107" s="17" t="s">
        <v>33067</v>
      </c>
      <c r="B12107" s="17" t="s">
        <v>70</v>
      </c>
      <c r="C12107" s="17" t="s">
        <v>71</v>
      </c>
      <c r="D12107" t="s">
        <v>26740</v>
      </c>
      <c r="F12107" t="s">
        <v>17090</v>
      </c>
      <c r="K12107" s="18">
        <f>12064955678</f>
        <v>12064955678</v>
      </c>
      <c r="N12107" s="17" t="s">
        <v>77</v>
      </c>
      <c r="V12107" s="18">
        <f>12064955678</f>
        <v>12064955678</v>
      </c>
    </row>
    <row r="12108" ht="15" customHeight="1" spans="1:28" x14ac:dyDescent="0.25">
      <c r="A12108" s="17" t="s">
        <v>33068</v>
      </c>
      <c r="B12108" s="17" t="s">
        <v>70</v>
      </c>
      <c r="C12108" s="17" t="s">
        <v>71</v>
      </c>
      <c r="D12108" t="s">
        <v>33069</v>
      </c>
      <c r="F12108" t="s">
        <v>33070</v>
      </c>
      <c r="J12108" s="17" t="s">
        <v>33071</v>
      </c>
      <c r="K12108" s="18" t="s">
        <v>33072</v>
      </c>
      <c r="N12108" s="17" t="s">
        <v>77</v>
      </c>
      <c r="O12108" t="s">
        <v>489</v>
      </c>
      <c r="U12108" s="17"/>
      <c r="V12108" s="18" t="s">
        <v>33072</v>
      </c>
      <c r="W12108" t="s">
        <v>33073</v>
      </c>
      <c r="Y12108" s="17" t="s">
        <v>449</v>
      </c>
      <c r="AA12108" s="17" t="s">
        <v>33074</v>
      </c>
      <c r="AB12108" t="s">
        <v>451</v>
      </c>
    </row>
    <row r="12109" ht="15" customHeight="1" spans="1:23" x14ac:dyDescent="0.25">
      <c r="A12109" s="17" t="s">
        <v>33075</v>
      </c>
      <c r="B12109" s="17" t="s">
        <v>70</v>
      </c>
      <c r="C12109" s="17" t="s">
        <v>71</v>
      </c>
      <c r="D12109" t="s">
        <v>33076</v>
      </c>
      <c r="F12109" t="s">
        <v>33077</v>
      </c>
      <c r="K12109" s="18">
        <f>628175755775</f>
        <v>628175755775</v>
      </c>
      <c r="N12109" s="17" t="s">
        <v>77</v>
      </c>
      <c r="U12109" s="17"/>
      <c r="V12109" s="18">
        <f>628175755775</f>
        <v>628175755775</v>
      </c>
      <c r="W12109" t="s">
        <v>33078</v>
      </c>
    </row>
    <row r="12110" ht="15" customHeight="1" spans="1:23" x14ac:dyDescent="0.25">
      <c r="A12110" s="17" t="s">
        <v>33079</v>
      </c>
      <c r="B12110" s="17" t="s">
        <v>70</v>
      </c>
      <c r="C12110" s="17" t="s">
        <v>71</v>
      </c>
      <c r="D12110" t="s">
        <v>33080</v>
      </c>
      <c r="F12110" t="s">
        <v>33081</v>
      </c>
      <c r="K12110" s="18">
        <f>628117670771</f>
        <v>628117670771</v>
      </c>
      <c r="N12110" s="17" t="s">
        <v>81</v>
      </c>
      <c r="U12110" s="17"/>
      <c r="V12110" s="18">
        <f>628117670771</f>
        <v>628117670771</v>
      </c>
      <c r="W12110" t="s">
        <v>10538</v>
      </c>
    </row>
    <row r="12111" ht="15" customHeight="1" spans="1:28" x14ac:dyDescent="0.25">
      <c r="A12111" s="17" t="s">
        <v>33082</v>
      </c>
      <c r="B12111" s="17" t="s">
        <v>70</v>
      </c>
      <c r="C12111" s="17" t="s">
        <v>71</v>
      </c>
      <c r="D12111" t="s">
        <v>33083</v>
      </c>
      <c r="F12111" t="s">
        <v>33084</v>
      </c>
      <c r="J12111" s="17" t="s">
        <v>33085</v>
      </c>
      <c r="K12111" s="18" t="s">
        <v>33086</v>
      </c>
      <c r="N12111" s="17" t="s">
        <v>77</v>
      </c>
      <c r="O12111" t="s">
        <v>261</v>
      </c>
      <c r="U12111" s="17"/>
      <c r="V12111" s="18" t="s">
        <v>33086</v>
      </c>
      <c r="W12111" t="s">
        <v>33087</v>
      </c>
      <c r="Y12111" t="s">
        <v>90</v>
      </c>
      <c r="AA12111" t="s">
        <v>118</v>
      </c>
      <c r="AB12111" t="s">
        <v>119</v>
      </c>
    </row>
    <row r="12112" ht="15" customHeight="1" spans="1:28" x14ac:dyDescent="0.25">
      <c r="A12112" s="17" t="s">
        <v>33088</v>
      </c>
      <c r="B12112" s="17" t="s">
        <v>70</v>
      </c>
      <c r="C12112" s="17" t="s">
        <v>71</v>
      </c>
      <c r="D12112" t="s">
        <v>5264</v>
      </c>
      <c r="F12112" t="s">
        <v>33089</v>
      </c>
      <c r="J12112" t="s">
        <v>115</v>
      </c>
      <c r="K12112" s="18" t="s">
        <v>33090</v>
      </c>
      <c r="N12112" s="17" t="s">
        <v>74</v>
      </c>
      <c r="O12112" t="s">
        <v>117</v>
      </c>
      <c r="V12112" s="18" t="s">
        <v>33090</v>
      </c>
      <c r="Y12112" t="s">
        <v>96</v>
      </c>
      <c r="AA12112" t="s">
        <v>693</v>
      </c>
      <c r="AB12112" t="s">
        <v>119</v>
      </c>
    </row>
    <row r="12113" ht="15" customHeight="1" spans="1:22" x14ac:dyDescent="0.25">
      <c r="A12113" s="17" t="s">
        <v>33091</v>
      </c>
      <c r="B12113" s="17" t="s">
        <v>70</v>
      </c>
      <c r="C12113" s="17" t="s">
        <v>71</v>
      </c>
      <c r="D12113" t="s">
        <v>33092</v>
      </c>
      <c r="F12113" t="s">
        <v>24645</v>
      </c>
      <c r="K12113" s="18">
        <f>62811101554</f>
        <v>62811101554</v>
      </c>
      <c r="N12113" s="17" t="s">
        <v>77</v>
      </c>
      <c r="V12113" s="18">
        <f>62811101554</f>
        <v>62811101554</v>
      </c>
    </row>
    <row r="12114" ht="15" customHeight="1" spans="1:28" x14ac:dyDescent="0.25">
      <c r="A12114" s="17" t="s">
        <v>33093</v>
      </c>
      <c r="B12114" s="17" t="s">
        <v>70</v>
      </c>
      <c r="C12114" s="17" t="s">
        <v>71</v>
      </c>
      <c r="D12114" t="s">
        <v>33094</v>
      </c>
      <c r="F12114" t="s">
        <v>3638</v>
      </c>
      <c r="J12114" t="s">
        <v>115</v>
      </c>
      <c r="K12114" s="18" t="s">
        <v>33095</v>
      </c>
      <c r="N12114" s="17" t="s">
        <v>77</v>
      </c>
      <c r="O12114" t="s">
        <v>117</v>
      </c>
      <c r="V12114" s="18" t="s">
        <v>33095</v>
      </c>
      <c r="Y12114" t="s">
        <v>190</v>
      </c>
      <c r="AA12114" t="s">
        <v>118</v>
      </c>
      <c r="AB12114" t="s">
        <v>119</v>
      </c>
    </row>
    <row r="12115" ht="15" customHeight="1" spans="1:22" x14ac:dyDescent="0.25">
      <c r="A12115" s="17" t="s">
        <v>33096</v>
      </c>
      <c r="B12115" s="17" t="s">
        <v>70</v>
      </c>
      <c r="C12115" s="17" t="s">
        <v>71</v>
      </c>
      <c r="D12115" t="s">
        <v>33097</v>
      </c>
      <c r="F12115" t="s">
        <v>33097</v>
      </c>
      <c r="K12115" s="18">
        <f>6285233233333</f>
        <v>6285233233333</v>
      </c>
      <c r="N12115" s="17" t="s">
        <v>77</v>
      </c>
      <c r="V12115" s="18">
        <f>6285233233333</f>
        <v>6285233233333</v>
      </c>
    </row>
    <row r="12116" ht="15" customHeight="1" spans="1:22" x14ac:dyDescent="0.25">
      <c r="A12116" s="17" t="s">
        <v>33098</v>
      </c>
      <c r="B12116" s="17" t="s">
        <v>70</v>
      </c>
      <c r="C12116" s="17" t="s">
        <v>71</v>
      </c>
      <c r="D12116" t="s">
        <v>33099</v>
      </c>
      <c r="F12116" t="s">
        <v>33100</v>
      </c>
      <c r="K12116" s="18">
        <f>6281318460885</f>
        <v>6281318460885</v>
      </c>
      <c r="N12116" s="17" t="s">
        <v>81</v>
      </c>
      <c r="V12116" s="18">
        <f>6281318460885</f>
        <v>6281318460885</v>
      </c>
    </row>
    <row r="12117" ht="15" customHeight="1" spans="1:22" x14ac:dyDescent="0.25">
      <c r="A12117" s="17" t="s">
        <v>33101</v>
      </c>
      <c r="B12117" s="17" t="s">
        <v>70</v>
      </c>
      <c r="C12117" s="17" t="s">
        <v>71</v>
      </c>
      <c r="D12117" t="s">
        <v>33102</v>
      </c>
      <c r="F12117" t="s">
        <v>33103</v>
      </c>
      <c r="K12117" s="18">
        <f>628118150000</f>
        <v>628118150000</v>
      </c>
      <c r="N12117" s="17" t="s">
        <v>77</v>
      </c>
      <c r="V12117" s="18">
        <f>628118150000</f>
        <v>628118150000</v>
      </c>
    </row>
    <row r="12118" ht="15" customHeight="1" spans="1:22" x14ac:dyDescent="0.25">
      <c r="A12118" s="17" t="s">
        <v>33104</v>
      </c>
      <c r="B12118" s="17" t="s">
        <v>70</v>
      </c>
      <c r="C12118" s="17" t="s">
        <v>71</v>
      </c>
      <c r="D12118" t="s">
        <v>33105</v>
      </c>
      <c r="F12118" t="s">
        <v>33106</v>
      </c>
      <c r="K12118" s="18">
        <f>6281586005424</f>
        <v>6281586005424</v>
      </c>
      <c r="N12118" s="17" t="s">
        <v>81</v>
      </c>
      <c r="V12118" s="18">
        <f>6281586005424</f>
        <v>6281586005424</v>
      </c>
    </row>
    <row r="12119" ht="15" customHeight="1" spans="1:28" x14ac:dyDescent="0.25">
      <c r="A12119" s="17" t="s">
        <v>33107</v>
      </c>
      <c r="B12119" s="17" t="s">
        <v>70</v>
      </c>
      <c r="C12119" s="17" t="s">
        <v>71</v>
      </c>
      <c r="D12119" t="s">
        <v>33108</v>
      </c>
      <c r="F12119" t="s">
        <v>33109</v>
      </c>
      <c r="J12119" t="s">
        <v>33110</v>
      </c>
      <c r="K12119" s="18" t="s">
        <v>33111</v>
      </c>
      <c r="N12119" s="17" t="s">
        <v>77</v>
      </c>
      <c r="O12119" t="s">
        <v>145</v>
      </c>
      <c r="V12119" s="18" t="s">
        <v>33111</v>
      </c>
      <c r="Y12119" t="s">
        <v>190</v>
      </c>
      <c r="AA12119" t="s">
        <v>118</v>
      </c>
      <c r="AB12119" t="s">
        <v>119</v>
      </c>
    </row>
    <row r="12120" ht="15" customHeight="1" spans="1:22" x14ac:dyDescent="0.25">
      <c r="A12120" s="17" t="s">
        <v>33112</v>
      </c>
      <c r="B12120" s="17" t="s">
        <v>70</v>
      </c>
      <c r="C12120" s="17" t="s">
        <v>71</v>
      </c>
      <c r="D12120" t="s">
        <v>33113</v>
      </c>
      <c r="F12120" t="s">
        <v>33113</v>
      </c>
      <c r="K12120" s="18">
        <f>62811957232</f>
        <v>62811957232</v>
      </c>
      <c r="N12120" s="17" t="s">
        <v>77</v>
      </c>
      <c r="V12120" s="18">
        <f>62811957232</f>
        <v>62811957232</v>
      </c>
    </row>
    <row r="12121" ht="15" customHeight="1" spans="1:23" x14ac:dyDescent="0.25">
      <c r="A12121" s="17" t="s">
        <v>33114</v>
      </c>
      <c r="B12121" s="17" t="s">
        <v>70</v>
      </c>
      <c r="C12121" s="17" t="s">
        <v>71</v>
      </c>
      <c r="D12121" t="s">
        <v>33115</v>
      </c>
      <c r="F12121" t="s">
        <v>21808</v>
      </c>
      <c r="K12121" s="18">
        <v>3907231</v>
      </c>
      <c r="N12121" s="17" t="s">
        <v>77</v>
      </c>
      <c r="U12121" s="17"/>
      <c r="V12121" s="18">
        <v>3907231</v>
      </c>
      <c r="W12121" t="s">
        <v>33116</v>
      </c>
    </row>
    <row r="12122" ht="15" customHeight="1" spans="1:28" x14ac:dyDescent="0.25">
      <c r="A12122" s="17" t="s">
        <v>33117</v>
      </c>
      <c r="B12122" s="17" t="s">
        <v>70</v>
      </c>
      <c r="C12122" s="17" t="s">
        <v>71</v>
      </c>
      <c r="D12122" t="s">
        <v>33118</v>
      </c>
      <c r="F12122" t="s">
        <v>33119</v>
      </c>
      <c r="J12122" t="s">
        <v>33120</v>
      </c>
      <c r="K12122" s="18" t="s">
        <v>33121</v>
      </c>
      <c r="N12122" s="17" t="s">
        <v>77</v>
      </c>
      <c r="O12122" t="s">
        <v>117</v>
      </c>
      <c r="V12122" s="18" t="s">
        <v>33121</v>
      </c>
      <c r="Y12122" t="s">
        <v>115</v>
      </c>
      <c r="AA12122" t="s">
        <v>115</v>
      </c>
      <c r="AB12122" t="s">
        <v>119</v>
      </c>
    </row>
    <row r="12123" ht="15" customHeight="1" spans="1:28" x14ac:dyDescent="0.25">
      <c r="A12123" s="17" t="s">
        <v>33122</v>
      </c>
      <c r="B12123" s="17" t="s">
        <v>70</v>
      </c>
      <c r="C12123" s="17" t="s">
        <v>71</v>
      </c>
      <c r="D12123" t="s">
        <v>33123</v>
      </c>
      <c r="F12123" t="s">
        <v>32687</v>
      </c>
      <c r="J12123" t="s">
        <v>115</v>
      </c>
      <c r="K12123" s="18" t="s">
        <v>33124</v>
      </c>
      <c r="N12123" s="17" t="s">
        <v>77</v>
      </c>
      <c r="O12123" t="s">
        <v>261</v>
      </c>
      <c r="V12123" s="18" t="s">
        <v>33124</v>
      </c>
      <c r="Y12123" t="s">
        <v>90</v>
      </c>
      <c r="AA12123" t="s">
        <v>118</v>
      </c>
      <c r="AB12123" t="s">
        <v>119</v>
      </c>
    </row>
    <row r="12124" ht="15" customHeight="1" spans="1:22" x14ac:dyDescent="0.25">
      <c r="A12124" s="17" t="s">
        <v>33125</v>
      </c>
      <c r="B12124" s="17" t="s">
        <v>70</v>
      </c>
      <c r="C12124" s="17" t="s">
        <v>71</v>
      </c>
      <c r="D12124" t="s">
        <v>33126</v>
      </c>
      <c r="F12124" t="s">
        <v>5897</v>
      </c>
      <c r="K12124" s="18">
        <f>628179819210</f>
        <v>628179819210</v>
      </c>
      <c r="N12124" s="17" t="s">
        <v>81</v>
      </c>
      <c r="V12124" s="18">
        <f>628179819210</f>
        <v>628179819210</v>
      </c>
    </row>
    <row r="12125" ht="15" customHeight="1" spans="1:28" x14ac:dyDescent="0.25">
      <c r="A12125" s="17" t="s">
        <v>33127</v>
      </c>
      <c r="B12125" s="17" t="s">
        <v>70</v>
      </c>
      <c r="C12125" s="17" t="s">
        <v>71</v>
      </c>
      <c r="D12125" t="s">
        <v>33126</v>
      </c>
      <c r="F12125" t="s">
        <v>8419</v>
      </c>
      <c r="J12125" s="17" t="s">
        <v>33128</v>
      </c>
      <c r="K12125" s="18" t="s">
        <v>33129</v>
      </c>
      <c r="N12125" s="17" t="s">
        <v>77</v>
      </c>
      <c r="O12125" t="s">
        <v>145</v>
      </c>
      <c r="U12125" s="17"/>
      <c r="V12125" s="18" t="s">
        <v>33129</v>
      </c>
      <c r="W12125" t="s">
        <v>33130</v>
      </c>
      <c r="Y12125" t="s">
        <v>115</v>
      </c>
      <c r="AA12125" t="s">
        <v>115</v>
      </c>
      <c r="AB12125" t="s">
        <v>1903</v>
      </c>
    </row>
    <row r="12126" ht="15" customHeight="1" spans="1:22" x14ac:dyDescent="0.25">
      <c r="A12126" s="17" t="s">
        <v>33131</v>
      </c>
      <c r="B12126" s="17" t="s">
        <v>70</v>
      </c>
      <c r="C12126" s="17" t="s">
        <v>71</v>
      </c>
      <c r="D12126" t="s">
        <v>33126</v>
      </c>
      <c r="F12126" t="s">
        <v>17672</v>
      </c>
      <c r="K12126" s="18">
        <v>13817339439</v>
      </c>
      <c r="N12126" s="17" t="s">
        <v>81</v>
      </c>
      <c r="V12126" s="18">
        <v>13817339439</v>
      </c>
    </row>
    <row r="12127" ht="15" customHeight="1" spans="1:28" x14ac:dyDescent="0.25">
      <c r="A12127" s="17" t="s">
        <v>33132</v>
      </c>
      <c r="B12127" s="17" t="s">
        <v>70</v>
      </c>
      <c r="C12127" s="17" t="s">
        <v>71</v>
      </c>
      <c r="D12127" t="s">
        <v>33126</v>
      </c>
      <c r="F12127" t="s">
        <v>33133</v>
      </c>
      <c r="J12127" t="s">
        <v>115</v>
      </c>
      <c r="K12127" s="18" t="s">
        <v>33134</v>
      </c>
      <c r="N12127" s="17" t="s">
        <v>77</v>
      </c>
      <c r="O12127" t="s">
        <v>145</v>
      </c>
      <c r="V12127" s="18" t="s">
        <v>33134</v>
      </c>
      <c r="Y12127" t="s">
        <v>3140</v>
      </c>
      <c r="AA12127" t="s">
        <v>115</v>
      </c>
      <c r="AB12127" t="s">
        <v>3140</v>
      </c>
    </row>
    <row r="12128" ht="15" customHeight="1" spans="1:27" x14ac:dyDescent="0.25">
      <c r="A12128" s="17" t="s">
        <v>33135</v>
      </c>
      <c r="B12128" s="17" t="s">
        <v>70</v>
      </c>
      <c r="C12128" s="17" t="s">
        <v>71</v>
      </c>
      <c r="D12128" t="s">
        <v>33136</v>
      </c>
      <c r="F12128" t="s">
        <v>17795</v>
      </c>
      <c r="J12128" s="17" t="s">
        <v>33137</v>
      </c>
      <c r="K12128" s="18">
        <f>62811130631</f>
        <v>62811130631</v>
      </c>
      <c r="N12128" s="17" t="s">
        <v>77</v>
      </c>
      <c r="U12128" s="17"/>
      <c r="V12128" s="18">
        <f>62811130631</f>
        <v>62811130631</v>
      </c>
      <c r="W12128" t="s">
        <v>33138</v>
      </c>
      <c r="Y12128" s="17" t="s">
        <v>96</v>
      </c>
      <c r="AA12128" s="17">
        <v>12560</v>
      </c>
    </row>
    <row r="12129" ht="15" customHeight="1" spans="1:23" x14ac:dyDescent="0.25">
      <c r="A12129" s="17" t="s">
        <v>33139</v>
      </c>
      <c r="B12129" s="17" t="s">
        <v>70</v>
      </c>
      <c r="C12129" s="17" t="s">
        <v>71</v>
      </c>
      <c r="D12129" t="s">
        <v>33136</v>
      </c>
      <c r="F12129" t="s">
        <v>26573</v>
      </c>
      <c r="K12129" s="18">
        <f>6281333505784</f>
        <v>6281333505784</v>
      </c>
      <c r="N12129" s="17" t="s">
        <v>77</v>
      </c>
      <c r="U12129" s="17"/>
      <c r="V12129" s="18">
        <f>6281333505784</f>
        <v>6281333505784</v>
      </c>
      <c r="W12129" t="s">
        <v>33140</v>
      </c>
    </row>
    <row r="12130" ht="15" customHeight="1" spans="1:22" x14ac:dyDescent="0.25">
      <c r="A12130" s="17" t="s">
        <v>33141</v>
      </c>
      <c r="B12130" s="17" t="s">
        <v>70</v>
      </c>
      <c r="C12130" s="17" t="s">
        <v>71</v>
      </c>
      <c r="D12130" t="s">
        <v>33142</v>
      </c>
      <c r="F12130" t="s">
        <v>33143</v>
      </c>
      <c r="K12130" s="18">
        <f>6281399096555</f>
        <v>6281399096555</v>
      </c>
      <c r="N12130" s="17" t="s">
        <v>77</v>
      </c>
      <c r="V12130" s="18">
        <f>6281399096555</f>
        <v>6281399096555</v>
      </c>
    </row>
    <row r="12131" ht="15" customHeight="1" spans="1:22" x14ac:dyDescent="0.25">
      <c r="A12131" s="17" t="s">
        <v>33144</v>
      </c>
      <c r="B12131" s="17" t="s">
        <v>70</v>
      </c>
      <c r="C12131" s="17" t="s">
        <v>71</v>
      </c>
      <c r="D12131" t="s">
        <v>3264</v>
      </c>
      <c r="F12131" t="s">
        <v>3264</v>
      </c>
      <c r="K12131" s="18">
        <f>6281210077777</f>
        <v>6281210077777</v>
      </c>
      <c r="N12131" s="17" t="s">
        <v>77</v>
      </c>
      <c r="V12131" s="18">
        <f>6281210077777</f>
        <v>6281210077777</v>
      </c>
    </row>
    <row r="12132" ht="15" customHeight="1" spans="1:22" x14ac:dyDescent="0.25">
      <c r="A12132" s="17" t="s">
        <v>33145</v>
      </c>
      <c r="B12132" s="17" t="s">
        <v>70</v>
      </c>
      <c r="C12132" s="17" t="s">
        <v>71</v>
      </c>
      <c r="D12132" t="s">
        <v>3264</v>
      </c>
      <c r="F12132" t="s">
        <v>33146</v>
      </c>
      <c r="K12132" s="18">
        <f>628111185889</f>
        <v>628111185889</v>
      </c>
      <c r="N12132" s="17" t="s">
        <v>74</v>
      </c>
      <c r="V12132" s="18">
        <f>628111185889</f>
        <v>628111185889</v>
      </c>
    </row>
    <row r="12133" ht="15" customHeight="1" spans="1:27" x14ac:dyDescent="0.25">
      <c r="A12133" s="17" t="s">
        <v>33147</v>
      </c>
      <c r="B12133" s="17" t="s">
        <v>70</v>
      </c>
      <c r="C12133" s="17" t="s">
        <v>71</v>
      </c>
      <c r="D12133" t="s">
        <v>3264</v>
      </c>
      <c r="F12133" t="s">
        <v>3176</v>
      </c>
      <c r="J12133" s="17" t="s">
        <v>33148</v>
      </c>
      <c r="K12133" s="18">
        <f>62811895238</f>
        <v>62811895238</v>
      </c>
      <c r="N12133" s="17" t="s">
        <v>77</v>
      </c>
      <c r="U12133" s="17"/>
      <c r="V12133" s="18">
        <f>62811895238</f>
        <v>62811895238</v>
      </c>
      <c r="W12133" t="s">
        <v>33149</v>
      </c>
      <c r="Y12133" s="17" t="s">
        <v>96</v>
      </c>
      <c r="AA12133" s="17" t="s">
        <v>19040</v>
      </c>
    </row>
    <row r="12134" ht="15" customHeight="1" spans="1:22" x14ac:dyDescent="0.25">
      <c r="A12134" s="17" t="s">
        <v>33150</v>
      </c>
      <c r="B12134" s="17" t="s">
        <v>70</v>
      </c>
      <c r="C12134" s="17" t="s">
        <v>71</v>
      </c>
      <c r="D12134" t="s">
        <v>3264</v>
      </c>
      <c r="F12134" t="s">
        <v>33151</v>
      </c>
      <c r="K12134" s="18">
        <f>6281511110659</f>
        <v>6281511110659</v>
      </c>
      <c r="N12134" s="17" t="s">
        <v>77</v>
      </c>
      <c r="V12134" s="18">
        <f>6281511110659</f>
        <v>6281511110659</v>
      </c>
    </row>
    <row r="12135" ht="15" customHeight="1" spans="1:22" x14ac:dyDescent="0.25">
      <c r="A12135" s="17" t="s">
        <v>33152</v>
      </c>
      <c r="B12135" s="17" t="s">
        <v>70</v>
      </c>
      <c r="C12135" s="17" t="s">
        <v>71</v>
      </c>
      <c r="D12135" t="s">
        <v>33153</v>
      </c>
      <c r="F12135" t="s">
        <v>33153</v>
      </c>
      <c r="K12135" s="18">
        <f>628111048686</f>
        <v>628111048686</v>
      </c>
      <c r="N12135" s="17" t="s">
        <v>77</v>
      </c>
      <c r="V12135" s="18">
        <f>628111048686</f>
        <v>628111048686</v>
      </c>
    </row>
    <row r="12136" ht="15" customHeight="1" spans="1:22" x14ac:dyDescent="0.25">
      <c r="A12136" s="17" t="s">
        <v>33154</v>
      </c>
      <c r="B12136" s="17" t="s">
        <v>70</v>
      </c>
      <c r="C12136" s="17" t="s">
        <v>71</v>
      </c>
      <c r="D12136" t="s">
        <v>33155</v>
      </c>
      <c r="F12136" t="s">
        <v>33155</v>
      </c>
      <c r="K12136" s="18">
        <f>6281218990138</f>
        <v>6281218990138</v>
      </c>
      <c r="N12136" s="17" t="s">
        <v>81</v>
      </c>
      <c r="V12136" s="18">
        <f>6281218990138</f>
        <v>6281218990138</v>
      </c>
    </row>
    <row r="12137" ht="15" customHeight="1" spans="1:22" x14ac:dyDescent="0.25">
      <c r="A12137" s="17" t="s">
        <v>33156</v>
      </c>
      <c r="B12137" s="17" t="s">
        <v>70</v>
      </c>
      <c r="C12137" s="17" t="s">
        <v>71</v>
      </c>
      <c r="D12137" t="s">
        <v>33155</v>
      </c>
      <c r="F12137" t="s">
        <v>6235</v>
      </c>
      <c r="K12137" s="18">
        <f>6281330684304</f>
        <v>6281330684304</v>
      </c>
      <c r="N12137" s="17" t="s">
        <v>81</v>
      </c>
      <c r="V12137" s="18">
        <f>6281330684304</f>
        <v>6281330684304</v>
      </c>
    </row>
    <row r="12138" ht="15" customHeight="1" spans="1:28" x14ac:dyDescent="0.25">
      <c r="A12138" s="17" t="s">
        <v>33157</v>
      </c>
      <c r="B12138" s="17" t="s">
        <v>70</v>
      </c>
      <c r="C12138" s="17" t="s">
        <v>71</v>
      </c>
      <c r="D12138" t="s">
        <v>33155</v>
      </c>
      <c r="F12138" t="s">
        <v>33158</v>
      </c>
      <c r="J12138" t="s">
        <v>115</v>
      </c>
      <c r="K12138" s="18" t="s">
        <v>33159</v>
      </c>
      <c r="N12138" s="17" t="s">
        <v>77</v>
      </c>
      <c r="O12138" t="s">
        <v>145</v>
      </c>
      <c r="V12138" s="18" t="s">
        <v>33159</v>
      </c>
      <c r="Y12138" t="s">
        <v>33160</v>
      </c>
      <c r="AA12138" t="s">
        <v>115</v>
      </c>
      <c r="AB12138" t="s">
        <v>119</v>
      </c>
    </row>
    <row r="12139" ht="15" customHeight="1" spans="1:27" x14ac:dyDescent="0.25">
      <c r="A12139" s="17" t="s">
        <v>33161</v>
      </c>
      <c r="B12139" s="17" t="s">
        <v>70</v>
      </c>
      <c r="C12139" s="17" t="s">
        <v>71</v>
      </c>
      <c r="D12139" t="s">
        <v>33162</v>
      </c>
      <c r="F12139" t="s">
        <v>212</v>
      </c>
      <c r="K12139" s="18">
        <f>6281261392222</f>
        <v>6281261392222</v>
      </c>
      <c r="N12139" s="17" t="s">
        <v>77</v>
      </c>
      <c r="U12139" s="17"/>
      <c r="V12139" s="18">
        <f>6281261392222</f>
        <v>6281261392222</v>
      </c>
      <c r="W12139" t="s">
        <v>33163</v>
      </c>
      <c r="Y12139" s="17" t="s">
        <v>10014</v>
      </c>
      <c r="AA12139" s="17">
        <v>25112</v>
      </c>
    </row>
    <row r="12140" ht="15" customHeight="1" spans="1:23" x14ac:dyDescent="0.25">
      <c r="A12140" s="17" t="s">
        <v>33164</v>
      </c>
      <c r="B12140" s="17" t="s">
        <v>70</v>
      </c>
      <c r="C12140" s="17" t="s">
        <v>71</v>
      </c>
      <c r="D12140" t="s">
        <v>33162</v>
      </c>
      <c r="F12140" t="s">
        <v>26879</v>
      </c>
      <c r="K12140" s="18">
        <f>628122171710</f>
        <v>628122171710</v>
      </c>
      <c r="N12140" s="17" t="s">
        <v>77</v>
      </c>
      <c r="U12140" s="17"/>
      <c r="V12140" s="18">
        <f>628122171710</f>
        <v>628122171710</v>
      </c>
      <c r="W12140" t="s">
        <v>33165</v>
      </c>
    </row>
    <row r="12141" ht="15" customHeight="1" spans="1:28" x14ac:dyDescent="0.25">
      <c r="A12141" s="17" t="s">
        <v>33166</v>
      </c>
      <c r="B12141" s="17" t="s">
        <v>70</v>
      </c>
      <c r="C12141" s="17" t="s">
        <v>71</v>
      </c>
      <c r="D12141" t="s">
        <v>33162</v>
      </c>
      <c r="F12141" t="s">
        <v>33167</v>
      </c>
      <c r="J12141" t="s">
        <v>115</v>
      </c>
      <c r="K12141" s="18" t="s">
        <v>33168</v>
      </c>
      <c r="N12141" s="17" t="s">
        <v>74</v>
      </c>
      <c r="O12141" t="s">
        <v>489</v>
      </c>
      <c r="U12141" s="17"/>
      <c r="V12141" s="18" t="s">
        <v>33168</v>
      </c>
      <c r="W12141" t="s">
        <v>33169</v>
      </c>
      <c r="Y12141" t="s">
        <v>704</v>
      </c>
      <c r="AA12141" t="s">
        <v>705</v>
      </c>
      <c r="AB12141" t="s">
        <v>119</v>
      </c>
    </row>
    <row r="12142" ht="15" customHeight="1" spans="1:28" x14ac:dyDescent="0.25">
      <c r="A12142" s="17" t="s">
        <v>33170</v>
      </c>
      <c r="B12142" s="17" t="s">
        <v>70</v>
      </c>
      <c r="C12142" s="17" t="s">
        <v>71</v>
      </c>
      <c r="D12142" t="s">
        <v>33171</v>
      </c>
      <c r="F12142" t="s">
        <v>1704</v>
      </c>
      <c r="J12142" t="s">
        <v>115</v>
      </c>
      <c r="K12142" s="18" t="s">
        <v>33172</v>
      </c>
      <c r="N12142" s="17" t="s">
        <v>74</v>
      </c>
      <c r="O12142" t="s">
        <v>117</v>
      </c>
      <c r="V12142" s="18" t="s">
        <v>33172</v>
      </c>
      <c r="Y12142" t="s">
        <v>90</v>
      </c>
      <c r="AA12142" t="s">
        <v>118</v>
      </c>
      <c r="AB12142" t="s">
        <v>119</v>
      </c>
    </row>
    <row r="12143" ht="15" customHeight="1" spans="1:22" x14ac:dyDescent="0.25">
      <c r="A12143" s="17" t="s">
        <v>33173</v>
      </c>
      <c r="B12143" s="17" t="s">
        <v>70</v>
      </c>
      <c r="C12143" s="17" t="s">
        <v>71</v>
      </c>
      <c r="D12143" t="s">
        <v>33174</v>
      </c>
      <c r="F12143" t="s">
        <v>33174</v>
      </c>
      <c r="K12143" s="18">
        <f>628221369998</f>
        <v>628221369998</v>
      </c>
      <c r="N12143" s="17" t="s">
        <v>81</v>
      </c>
      <c r="V12143" s="18">
        <f>628221369998</f>
        <v>628221369998</v>
      </c>
    </row>
    <row r="12144" ht="15" customHeight="1" spans="1:25" x14ac:dyDescent="0.25">
      <c r="A12144" s="17" t="s">
        <v>33175</v>
      </c>
      <c r="B12144" s="17" t="s">
        <v>70</v>
      </c>
      <c r="C12144" s="17" t="s">
        <v>71</v>
      </c>
      <c r="D12144" t="s">
        <v>33174</v>
      </c>
      <c r="F12144" t="s">
        <v>15489</v>
      </c>
      <c r="K12144" s="18">
        <f>62818858523</f>
        <v>62818858523</v>
      </c>
      <c r="N12144" s="17" t="s">
        <v>77</v>
      </c>
      <c r="U12144" s="17"/>
      <c r="V12144" s="18">
        <f>62818858523</f>
        <v>62818858523</v>
      </c>
      <c r="W12144" t="s">
        <v>33176</v>
      </c>
      <c r="Y12144" s="17" t="s">
        <v>90</v>
      </c>
    </row>
    <row r="12145" ht="15" customHeight="1" spans="1:28" x14ac:dyDescent="0.25">
      <c r="A12145" s="17" t="s">
        <v>33177</v>
      </c>
      <c r="B12145" s="17" t="s">
        <v>70</v>
      </c>
      <c r="C12145" s="17" t="s">
        <v>71</v>
      </c>
      <c r="D12145" t="s">
        <v>33178</v>
      </c>
      <c r="F12145" t="s">
        <v>33179</v>
      </c>
      <c r="J12145" s="17" t="s">
        <v>33180</v>
      </c>
      <c r="K12145" s="18" t="s">
        <v>33181</v>
      </c>
      <c r="N12145" s="17" t="s">
        <v>77</v>
      </c>
      <c r="O12145" t="s">
        <v>145</v>
      </c>
      <c r="U12145" s="17"/>
      <c r="V12145" s="18" t="s">
        <v>33181</v>
      </c>
      <c r="W12145" t="s">
        <v>15062</v>
      </c>
      <c r="Y12145" t="s">
        <v>930</v>
      </c>
      <c r="AA12145" t="s">
        <v>115</v>
      </c>
      <c r="AB12145" t="s">
        <v>930</v>
      </c>
    </row>
    <row r="12146" ht="15" customHeight="1" spans="1:22" x14ac:dyDescent="0.25">
      <c r="A12146" s="17" t="s">
        <v>33182</v>
      </c>
      <c r="B12146" s="17" t="s">
        <v>70</v>
      </c>
      <c r="C12146" s="17" t="s">
        <v>71</v>
      </c>
      <c r="D12146" t="s">
        <v>33183</v>
      </c>
      <c r="F12146" t="s">
        <v>33184</v>
      </c>
      <c r="J12146" s="17" t="s">
        <v>33185</v>
      </c>
      <c r="K12146" s="18">
        <f>62811401234</f>
        <v>62811401234</v>
      </c>
      <c r="N12146" s="17" t="s">
        <v>77</v>
      </c>
      <c r="V12146" s="18">
        <f>62811401234</f>
        <v>62811401234</v>
      </c>
    </row>
    <row r="12147" ht="15" customHeight="1" spans="1:22" x14ac:dyDescent="0.25">
      <c r="A12147" s="17" t="s">
        <v>33186</v>
      </c>
      <c r="B12147" s="17" t="s">
        <v>70</v>
      </c>
      <c r="C12147" s="17" t="s">
        <v>71</v>
      </c>
      <c r="D12147" t="s">
        <v>7631</v>
      </c>
      <c r="F12147" t="s">
        <v>7631</v>
      </c>
      <c r="K12147" s="18">
        <f>6281372723723</f>
        <v>6281372723723</v>
      </c>
      <c r="N12147" s="17" t="s">
        <v>81</v>
      </c>
      <c r="V12147" s="18">
        <f>6281372723723</f>
        <v>6281372723723</v>
      </c>
    </row>
    <row r="12148" ht="15" customHeight="1" spans="1:28" x14ac:dyDescent="0.25">
      <c r="A12148" s="17" t="s">
        <v>33187</v>
      </c>
      <c r="B12148" s="17" t="s">
        <v>70</v>
      </c>
      <c r="C12148" s="17" t="s">
        <v>71</v>
      </c>
      <c r="D12148" t="s">
        <v>7631</v>
      </c>
      <c r="F12148" t="s">
        <v>33188</v>
      </c>
      <c r="J12148" t="s">
        <v>33189</v>
      </c>
      <c r="K12148" s="18" t="s">
        <v>33190</v>
      </c>
      <c r="N12148" s="17" t="s">
        <v>77</v>
      </c>
      <c r="O12148" t="s">
        <v>199</v>
      </c>
      <c r="U12148" s="17"/>
      <c r="V12148" s="18" t="s">
        <v>33190</v>
      </c>
      <c r="W12148" t="s">
        <v>33191</v>
      </c>
      <c r="Y12148" t="s">
        <v>1119</v>
      </c>
      <c r="AA12148" t="s">
        <v>115</v>
      </c>
      <c r="AB12148" t="s">
        <v>119</v>
      </c>
    </row>
    <row r="12149" ht="15" customHeight="1" spans="1:22" x14ac:dyDescent="0.25">
      <c r="A12149" s="17" t="s">
        <v>33192</v>
      </c>
      <c r="B12149" s="17" t="s">
        <v>70</v>
      </c>
      <c r="C12149" s="17" t="s">
        <v>71</v>
      </c>
      <c r="D12149" t="s">
        <v>7631</v>
      </c>
      <c r="F12149" t="s">
        <v>4616</v>
      </c>
      <c r="K12149" s="18">
        <f>628111890901</f>
        <v>628111890901</v>
      </c>
      <c r="N12149" s="17" t="s">
        <v>77</v>
      </c>
      <c r="V12149" s="18">
        <f>628111890901</f>
        <v>628111890901</v>
      </c>
    </row>
    <row r="12150" ht="15" customHeight="1" spans="1:22" x14ac:dyDescent="0.25">
      <c r="A12150" s="17" t="s">
        <v>33193</v>
      </c>
      <c r="B12150" s="17" t="s">
        <v>70</v>
      </c>
      <c r="C12150" s="17" t="s">
        <v>71</v>
      </c>
      <c r="D12150" t="s">
        <v>7631</v>
      </c>
      <c r="F12150" t="s">
        <v>33194</v>
      </c>
      <c r="K12150" s="18">
        <f>62817119696</f>
        <v>62817119696</v>
      </c>
      <c r="N12150" s="17" t="s">
        <v>81</v>
      </c>
      <c r="V12150" s="18">
        <f>62817119696</f>
        <v>62817119696</v>
      </c>
    </row>
    <row r="12151" ht="15" customHeight="1" spans="1:28" x14ac:dyDescent="0.25">
      <c r="A12151" s="17" t="s">
        <v>33195</v>
      </c>
      <c r="B12151" s="17" t="s">
        <v>70</v>
      </c>
      <c r="C12151" s="17" t="s">
        <v>71</v>
      </c>
      <c r="D12151" t="s">
        <v>33196</v>
      </c>
      <c r="F12151" t="s">
        <v>21646</v>
      </c>
      <c r="J12151" s="17" t="s">
        <v>33197</v>
      </c>
      <c r="K12151" s="18" t="s">
        <v>33198</v>
      </c>
      <c r="N12151" s="17" t="s">
        <v>74</v>
      </c>
      <c r="O12151" t="s">
        <v>1188</v>
      </c>
      <c r="U12151" s="17"/>
      <c r="V12151" s="18" t="s">
        <v>33198</v>
      </c>
      <c r="W12151" t="s">
        <v>33199</v>
      </c>
      <c r="Y12151" t="s">
        <v>90</v>
      </c>
      <c r="AA12151" t="s">
        <v>118</v>
      </c>
      <c r="AB12151" t="s">
        <v>119</v>
      </c>
    </row>
    <row r="12152" ht="15" customHeight="1" spans="1:25" x14ac:dyDescent="0.25">
      <c r="A12152" s="17" t="s">
        <v>33200</v>
      </c>
      <c r="B12152" s="17" t="s">
        <v>70</v>
      </c>
      <c r="C12152" s="17" t="s">
        <v>71</v>
      </c>
      <c r="D12152" t="s">
        <v>33196</v>
      </c>
      <c r="F12152" t="s">
        <v>33201</v>
      </c>
      <c r="K12152" s="18">
        <f>62811154123</f>
        <v>62811154123</v>
      </c>
      <c r="N12152" s="17" t="s">
        <v>77</v>
      </c>
      <c r="U12152" s="17"/>
      <c r="V12152" s="18">
        <f>62811154123</f>
        <v>62811154123</v>
      </c>
      <c r="W12152" t="s">
        <v>33202</v>
      </c>
      <c r="Y12152" s="17" t="s">
        <v>515</v>
      </c>
    </row>
    <row r="12153" ht="15" customHeight="1" spans="1:25" x14ac:dyDescent="0.25">
      <c r="A12153" s="17" t="s">
        <v>33203</v>
      </c>
      <c r="B12153" s="17" t="s">
        <v>70</v>
      </c>
      <c r="C12153" s="17" t="s">
        <v>71</v>
      </c>
      <c r="D12153" t="s">
        <v>33196</v>
      </c>
      <c r="F12153" t="s">
        <v>672</v>
      </c>
      <c r="K12153" s="18">
        <f>62818898961</f>
        <v>62818898961</v>
      </c>
      <c r="N12153" s="17" t="s">
        <v>81</v>
      </c>
      <c r="U12153" s="17"/>
      <c r="V12153" s="18">
        <f>62818898961</f>
        <v>62818898961</v>
      </c>
      <c r="W12153" t="s">
        <v>33204</v>
      </c>
      <c r="Y12153" s="17" t="s">
        <v>12043</v>
      </c>
    </row>
    <row r="12154" ht="15" customHeight="1" spans="1:22" x14ac:dyDescent="0.25">
      <c r="A12154" s="17" t="s">
        <v>33205</v>
      </c>
      <c r="B12154" s="17" t="s">
        <v>70</v>
      </c>
      <c r="C12154" s="17" t="s">
        <v>71</v>
      </c>
      <c r="D12154" t="s">
        <v>33196</v>
      </c>
      <c r="F12154" t="s">
        <v>20956</v>
      </c>
      <c r="K12154" s="18">
        <f>62811897953</f>
        <v>62811897953</v>
      </c>
      <c r="N12154" s="17" t="s">
        <v>81</v>
      </c>
      <c r="V12154" s="18">
        <f>62811897953</f>
        <v>62811897953</v>
      </c>
    </row>
    <row r="12155" ht="15" customHeight="1" spans="1:22" x14ac:dyDescent="0.25">
      <c r="A12155" s="17" t="s">
        <v>33206</v>
      </c>
      <c r="B12155" s="17" t="s">
        <v>70</v>
      </c>
      <c r="C12155" s="17" t="s">
        <v>71</v>
      </c>
      <c r="D12155" t="s">
        <v>33207</v>
      </c>
      <c r="F12155" t="s">
        <v>26592</v>
      </c>
      <c r="K12155" s="18">
        <f>628121223559</f>
        <v>628121223559</v>
      </c>
      <c r="N12155" s="17" t="s">
        <v>77</v>
      </c>
      <c r="V12155" s="18">
        <f>628121223559</f>
        <v>628121223559</v>
      </c>
    </row>
    <row r="12156" ht="15" customHeight="1" spans="1:28" x14ac:dyDescent="0.25">
      <c r="A12156" s="17" t="s">
        <v>33208</v>
      </c>
      <c r="B12156" s="17" t="s">
        <v>70</v>
      </c>
      <c r="C12156" s="17" t="s">
        <v>71</v>
      </c>
      <c r="D12156" t="s">
        <v>33209</v>
      </c>
      <c r="F12156" t="s">
        <v>11557</v>
      </c>
      <c r="J12156" t="s">
        <v>115</v>
      </c>
      <c r="K12156" s="18" t="s">
        <v>33210</v>
      </c>
      <c r="N12156" s="17" t="s">
        <v>77</v>
      </c>
      <c r="O12156" t="s">
        <v>145</v>
      </c>
      <c r="V12156" s="18" t="s">
        <v>33210</v>
      </c>
      <c r="Y12156" t="s">
        <v>90</v>
      </c>
      <c r="AA12156" t="s">
        <v>118</v>
      </c>
      <c r="AB12156" t="s">
        <v>119</v>
      </c>
    </row>
    <row r="12157" ht="15" customHeight="1" spans="1:23" x14ac:dyDescent="0.25">
      <c r="A12157" s="17" t="s">
        <v>33211</v>
      </c>
      <c r="B12157" s="17" t="s">
        <v>70</v>
      </c>
      <c r="C12157" s="17" t="s">
        <v>71</v>
      </c>
      <c r="D12157" t="s">
        <v>33212</v>
      </c>
      <c r="F12157" t="s">
        <v>33213</v>
      </c>
      <c r="J12157" s="17" t="s">
        <v>33214</v>
      </c>
      <c r="K12157" s="18">
        <f>628129538585</f>
        <v>628129538585</v>
      </c>
      <c r="N12157" s="17" t="s">
        <v>81</v>
      </c>
      <c r="U12157" s="17"/>
      <c r="V12157" s="18">
        <f>628129538585</f>
        <v>628129538585</v>
      </c>
      <c r="W12157" t="s">
        <v>33215</v>
      </c>
    </row>
    <row r="12158" ht="15" customHeight="1" spans="1:28" x14ac:dyDescent="0.25">
      <c r="A12158" s="17" t="s">
        <v>33216</v>
      </c>
      <c r="B12158" s="17" t="s">
        <v>70</v>
      </c>
      <c r="C12158" s="17" t="s">
        <v>71</v>
      </c>
      <c r="D12158" t="s">
        <v>33217</v>
      </c>
      <c r="F12158" t="s">
        <v>33218</v>
      </c>
      <c r="J12158" t="s">
        <v>115</v>
      </c>
      <c r="K12158" s="18" t="s">
        <v>33219</v>
      </c>
      <c r="N12158" s="17" t="s">
        <v>77</v>
      </c>
      <c r="O12158" t="s">
        <v>117</v>
      </c>
      <c r="V12158" s="18" t="s">
        <v>33219</v>
      </c>
      <c r="Y12158" t="s">
        <v>190</v>
      </c>
      <c r="AA12158" t="s">
        <v>118</v>
      </c>
      <c r="AB12158" t="s">
        <v>119</v>
      </c>
    </row>
    <row r="12159" ht="15" customHeight="1" spans="1:22" x14ac:dyDescent="0.25">
      <c r="A12159" s="17" t="s">
        <v>33220</v>
      </c>
      <c r="B12159" s="17" t="s">
        <v>70</v>
      </c>
      <c r="C12159" s="17" t="s">
        <v>71</v>
      </c>
      <c r="D12159" t="s">
        <v>33217</v>
      </c>
      <c r="F12159" t="s">
        <v>33221</v>
      </c>
      <c r="K12159" s="18">
        <f>62811803400</f>
        <v>62811803400</v>
      </c>
      <c r="N12159" s="17" t="s">
        <v>77</v>
      </c>
      <c r="V12159" s="18">
        <f>62811803400</f>
        <v>62811803400</v>
      </c>
    </row>
    <row r="12160" ht="15" customHeight="1" spans="1:28" x14ac:dyDescent="0.25">
      <c r="A12160" s="17" t="s">
        <v>33222</v>
      </c>
      <c r="B12160" s="17" t="s">
        <v>70</v>
      </c>
      <c r="C12160" s="17" t="s">
        <v>71</v>
      </c>
      <c r="D12160" t="s">
        <v>33217</v>
      </c>
      <c r="F12160" t="s">
        <v>6639</v>
      </c>
      <c r="J12160" t="s">
        <v>115</v>
      </c>
      <c r="K12160" s="18" t="s">
        <v>33223</v>
      </c>
      <c r="N12160" s="17" t="s">
        <v>74</v>
      </c>
      <c r="O12160" t="s">
        <v>145</v>
      </c>
      <c r="U12160" s="17"/>
      <c r="V12160" s="18" t="s">
        <v>33223</v>
      </c>
      <c r="W12160" t="s">
        <v>33224</v>
      </c>
      <c r="Y12160" t="s">
        <v>3028</v>
      </c>
      <c r="AA12160" t="s">
        <v>9062</v>
      </c>
      <c r="AB12160" t="s">
        <v>119</v>
      </c>
    </row>
    <row r="12161" ht="15" customHeight="1" spans="1:22" x14ac:dyDescent="0.25">
      <c r="A12161" s="17" t="s">
        <v>33225</v>
      </c>
      <c r="B12161" s="17" t="s">
        <v>70</v>
      </c>
      <c r="C12161" s="17" t="s">
        <v>71</v>
      </c>
      <c r="D12161" t="s">
        <v>33226</v>
      </c>
      <c r="F12161" t="s">
        <v>2159</v>
      </c>
      <c r="K12161" s="18">
        <f>6282125482017</f>
        <v>6282125482017</v>
      </c>
      <c r="N12161" s="17" t="s">
        <v>81</v>
      </c>
      <c r="V12161" s="18">
        <f>6282125482017</f>
        <v>6282125482017</v>
      </c>
    </row>
    <row r="12162" ht="15" customHeight="1" spans="1:22" x14ac:dyDescent="0.25">
      <c r="A12162" s="17" t="s">
        <v>33227</v>
      </c>
      <c r="B12162" s="17" t="s">
        <v>70</v>
      </c>
      <c r="C12162" s="17" t="s">
        <v>71</v>
      </c>
      <c r="D12162" t="s">
        <v>33228</v>
      </c>
      <c r="F12162" t="s">
        <v>33228</v>
      </c>
      <c r="K12162" s="18">
        <f>6281289022069</f>
        <v>6281289022069</v>
      </c>
      <c r="N12162" s="17" t="s">
        <v>81</v>
      </c>
      <c r="V12162" s="18">
        <f>6281289022069</f>
        <v>6281289022069</v>
      </c>
    </row>
    <row r="12163" ht="15" customHeight="1" spans="1:22" x14ac:dyDescent="0.25">
      <c r="A12163" s="17" t="s">
        <v>33229</v>
      </c>
      <c r="B12163" s="17" t="s">
        <v>70</v>
      </c>
      <c r="C12163" s="17" t="s">
        <v>71</v>
      </c>
      <c r="D12163" t="s">
        <v>33230</v>
      </c>
      <c r="F12163" t="s">
        <v>33230</v>
      </c>
      <c r="K12163" s="18">
        <f>6281291656777</f>
        <v>6281291656777</v>
      </c>
      <c r="N12163" s="17" t="s">
        <v>77</v>
      </c>
      <c r="V12163" s="18">
        <f>6281291656777</f>
        <v>6281291656777</v>
      </c>
    </row>
    <row r="12164" ht="15" customHeight="1" spans="1:23" x14ac:dyDescent="0.25">
      <c r="A12164" s="17" t="s">
        <v>33231</v>
      </c>
      <c r="B12164" s="17" t="s">
        <v>70</v>
      </c>
      <c r="C12164" s="17" t="s">
        <v>71</v>
      </c>
      <c r="D12164" t="s">
        <v>33230</v>
      </c>
      <c r="F12164" t="s">
        <v>33232</v>
      </c>
      <c r="K12164" s="18">
        <f>6281511892103</f>
        <v>6281511892103</v>
      </c>
      <c r="N12164" s="17" t="s">
        <v>81</v>
      </c>
      <c r="U12164" s="17"/>
      <c r="V12164" s="18">
        <f>6281511892103</f>
        <v>6281511892103</v>
      </c>
      <c r="W12164" t="s">
        <v>33233</v>
      </c>
    </row>
    <row r="12165" ht="15" customHeight="1" spans="1:28" x14ac:dyDescent="0.25">
      <c r="A12165" s="17" t="s">
        <v>33234</v>
      </c>
      <c r="B12165" s="17" t="s">
        <v>70</v>
      </c>
      <c r="C12165" s="17" t="s">
        <v>71</v>
      </c>
      <c r="D12165" t="s">
        <v>33235</v>
      </c>
      <c r="F12165" t="s">
        <v>1704</v>
      </c>
      <c r="J12165" t="s">
        <v>115</v>
      </c>
      <c r="K12165" s="18" t="s">
        <v>33236</v>
      </c>
      <c r="N12165" s="17" t="s">
        <v>74</v>
      </c>
      <c r="O12165" t="s">
        <v>117</v>
      </c>
      <c r="U12165" s="17"/>
      <c r="V12165" s="18" t="s">
        <v>33236</v>
      </c>
      <c r="W12165" t="s">
        <v>33237</v>
      </c>
      <c r="Y12165" s="17" t="s">
        <v>626</v>
      </c>
      <c r="AA12165" t="s">
        <v>3090</v>
      </c>
      <c r="AB12165" t="s">
        <v>119</v>
      </c>
    </row>
    <row r="12166" ht="15" customHeight="1" spans="1:23" x14ac:dyDescent="0.25">
      <c r="A12166" s="17" t="s">
        <v>33238</v>
      </c>
      <c r="B12166" s="17" t="s">
        <v>70</v>
      </c>
      <c r="C12166" s="17" t="s">
        <v>71</v>
      </c>
      <c r="D12166" t="s">
        <v>33230</v>
      </c>
      <c r="F12166" t="s">
        <v>33239</v>
      </c>
      <c r="K12166" s="18">
        <f>628118388189</f>
        <v>628118388189</v>
      </c>
      <c r="N12166" s="17" t="s">
        <v>77</v>
      </c>
      <c r="U12166" s="17"/>
      <c r="V12166" s="18">
        <f>628118388189</f>
        <v>628118388189</v>
      </c>
      <c r="W12166" t="s">
        <v>33240</v>
      </c>
    </row>
    <row r="12167" ht="15" customHeight="1" spans="1:27" x14ac:dyDescent="0.25">
      <c r="A12167" s="17" t="s">
        <v>33241</v>
      </c>
      <c r="B12167" s="17" t="s">
        <v>70</v>
      </c>
      <c r="C12167" s="17" t="s">
        <v>71</v>
      </c>
      <c r="D12167" t="s">
        <v>33230</v>
      </c>
      <c r="F12167" t="s">
        <v>672</v>
      </c>
      <c r="K12167" s="18">
        <f>6287880122122</f>
        <v>6287880122122</v>
      </c>
      <c r="N12167" s="17" t="s">
        <v>81</v>
      </c>
      <c r="U12167" s="17"/>
      <c r="V12167" s="18">
        <f>6287880122122</f>
        <v>6287880122122</v>
      </c>
      <c r="W12167" t="s">
        <v>33242</v>
      </c>
      <c r="Y12167" s="17" t="s">
        <v>1084</v>
      </c>
      <c r="AA12167" s="17">
        <v>14250</v>
      </c>
    </row>
    <row r="12168" ht="15" customHeight="1" spans="1:22" x14ac:dyDescent="0.25">
      <c r="A12168" s="17" t="s">
        <v>33243</v>
      </c>
      <c r="B12168" s="17" t="s">
        <v>70</v>
      </c>
      <c r="C12168" s="17" t="s">
        <v>71</v>
      </c>
      <c r="D12168" t="s">
        <v>33244</v>
      </c>
      <c r="F12168" t="s">
        <v>33245</v>
      </c>
      <c r="K12168" s="18">
        <f>628111715639</f>
        <v>628111715639</v>
      </c>
      <c r="N12168" s="17" t="s">
        <v>77</v>
      </c>
      <c r="V12168" s="18">
        <f>628111715639</f>
        <v>628111715639</v>
      </c>
    </row>
    <row r="12169" ht="15" customHeight="1" spans="1:28" x14ac:dyDescent="0.25">
      <c r="A12169" s="17" t="s">
        <v>33246</v>
      </c>
      <c r="B12169" s="17" t="s">
        <v>70</v>
      </c>
      <c r="C12169" s="17" t="s">
        <v>71</v>
      </c>
      <c r="D12169" t="s">
        <v>33247</v>
      </c>
      <c r="F12169" t="s">
        <v>33248</v>
      </c>
      <c r="J12169" t="s">
        <v>115</v>
      </c>
      <c r="K12169" s="18" t="s">
        <v>33249</v>
      </c>
      <c r="N12169" s="17" t="s">
        <v>77</v>
      </c>
      <c r="O12169" t="s">
        <v>117</v>
      </c>
      <c r="V12169" s="18" t="s">
        <v>33249</v>
      </c>
      <c r="Y12169" t="s">
        <v>190</v>
      </c>
      <c r="AA12169" t="s">
        <v>118</v>
      </c>
      <c r="AB12169" t="s">
        <v>119</v>
      </c>
    </row>
    <row r="12170" ht="15" customHeight="1" spans="1:28" x14ac:dyDescent="0.25">
      <c r="A12170" s="17" t="s">
        <v>33250</v>
      </c>
      <c r="B12170" s="17" t="s">
        <v>70</v>
      </c>
      <c r="C12170" s="17" t="s">
        <v>71</v>
      </c>
      <c r="D12170" t="s">
        <v>33247</v>
      </c>
      <c r="F12170" t="s">
        <v>33251</v>
      </c>
      <c r="J12170" s="17" t="s">
        <v>33252</v>
      </c>
      <c r="K12170" s="18" t="s">
        <v>33253</v>
      </c>
      <c r="N12170" s="17" t="s">
        <v>77</v>
      </c>
      <c r="O12170" t="s">
        <v>145</v>
      </c>
      <c r="V12170" s="18" t="s">
        <v>33253</v>
      </c>
      <c r="Y12170" t="s">
        <v>90</v>
      </c>
      <c r="AA12170" t="s">
        <v>118</v>
      </c>
      <c r="AB12170" t="s">
        <v>119</v>
      </c>
    </row>
    <row r="12171" ht="15" customHeight="1" spans="1:22" x14ac:dyDescent="0.25">
      <c r="A12171" s="17" t="s">
        <v>33254</v>
      </c>
      <c r="B12171" s="17" t="s">
        <v>70</v>
      </c>
      <c r="C12171" s="17" t="s">
        <v>71</v>
      </c>
      <c r="D12171" t="s">
        <v>33247</v>
      </c>
      <c r="F12171" t="s">
        <v>25639</v>
      </c>
      <c r="K12171" s="18">
        <f>6281279998888</f>
        <v>6281279998888</v>
      </c>
      <c r="N12171" s="17" t="s">
        <v>74</v>
      </c>
      <c r="V12171" s="18">
        <f>6281279998888</f>
        <v>6281279998888</v>
      </c>
    </row>
    <row r="12172" ht="15" customHeight="1" spans="1:23" x14ac:dyDescent="0.25">
      <c r="A12172" s="17" t="s">
        <v>33255</v>
      </c>
      <c r="B12172" s="17" t="s">
        <v>70</v>
      </c>
      <c r="C12172" s="17" t="s">
        <v>71</v>
      </c>
      <c r="D12172" t="s">
        <v>33256</v>
      </c>
      <c r="F12172" t="s">
        <v>14124</v>
      </c>
      <c r="K12172" s="18">
        <f>5511991491003</f>
        <v>5511991491003</v>
      </c>
      <c r="N12172" s="17" t="s">
        <v>77</v>
      </c>
      <c r="U12172" s="17"/>
      <c r="V12172" s="18">
        <f>5511991491003</f>
        <v>5511991491003</v>
      </c>
      <c r="W12172" t="s">
        <v>1046</v>
      </c>
    </row>
    <row r="12173" ht="15" customHeight="1" spans="1:22" x14ac:dyDescent="0.25">
      <c r="A12173" s="17" t="s">
        <v>33257</v>
      </c>
      <c r="B12173" s="17" t="s">
        <v>70</v>
      </c>
      <c r="C12173" s="17" t="s">
        <v>71</v>
      </c>
      <c r="D12173" t="s">
        <v>25239</v>
      </c>
      <c r="F12173" t="s">
        <v>25239</v>
      </c>
      <c r="K12173" s="18">
        <f>6281285934934</f>
        <v>6281285934934</v>
      </c>
      <c r="N12173" s="17" t="s">
        <v>81</v>
      </c>
      <c r="V12173" s="18">
        <f>6281285934934</f>
        <v>6281285934934</v>
      </c>
    </row>
    <row r="12174" ht="15" customHeight="1" spans="1:22" x14ac:dyDescent="0.25">
      <c r="A12174" s="17" t="s">
        <v>33258</v>
      </c>
      <c r="B12174" s="17" t="s">
        <v>70</v>
      </c>
      <c r="C12174" s="17" t="s">
        <v>71</v>
      </c>
      <c r="D12174" t="s">
        <v>33259</v>
      </c>
      <c r="F12174" t="s">
        <v>33259</v>
      </c>
      <c r="K12174" s="18">
        <f>6282121616109</f>
        <v>6282121616109</v>
      </c>
      <c r="N12174" s="17" t="s">
        <v>74</v>
      </c>
      <c r="V12174" s="18">
        <f>6282121616109</f>
        <v>6282121616109</v>
      </c>
    </row>
    <row r="12175" ht="15" customHeight="1" spans="1:22" x14ac:dyDescent="0.25">
      <c r="A12175" s="17" t="s">
        <v>33260</v>
      </c>
      <c r="B12175" s="17" t="s">
        <v>70</v>
      </c>
      <c r="C12175" s="17" t="s">
        <v>71</v>
      </c>
      <c r="D12175" t="s">
        <v>33261</v>
      </c>
      <c r="F12175" t="s">
        <v>33262</v>
      </c>
      <c r="K12175" s="18">
        <f>628181813755</f>
        <v>628181813755</v>
      </c>
      <c r="N12175" s="17" t="s">
        <v>77</v>
      </c>
      <c r="V12175" s="18">
        <f>628181813755</f>
        <v>628181813755</v>
      </c>
    </row>
    <row r="12176" ht="15" customHeight="1" spans="1:22" x14ac:dyDescent="0.25">
      <c r="A12176" s="17" t="s">
        <v>33263</v>
      </c>
      <c r="B12176" s="17" t="s">
        <v>70</v>
      </c>
      <c r="C12176" s="17" t="s">
        <v>71</v>
      </c>
      <c r="D12176" t="s">
        <v>33264</v>
      </c>
      <c r="F12176" t="s">
        <v>33262</v>
      </c>
      <c r="K12176" s="18">
        <f>628161813744</f>
        <v>628161813744</v>
      </c>
      <c r="N12176" s="17" t="s">
        <v>77</v>
      </c>
      <c r="V12176" s="18">
        <f>628161813744</f>
        <v>628161813744</v>
      </c>
    </row>
    <row r="12177" ht="15" customHeight="1" spans="1:23" x14ac:dyDescent="0.25">
      <c r="A12177" s="17" t="s">
        <v>33265</v>
      </c>
      <c r="B12177" s="17" t="s">
        <v>70</v>
      </c>
      <c r="C12177" s="17" t="s">
        <v>71</v>
      </c>
      <c r="D12177" t="s">
        <v>33266</v>
      </c>
      <c r="F12177" t="s">
        <v>33267</v>
      </c>
      <c r="K12177" s="18">
        <f>6282113880157</f>
        <v>6282113880157</v>
      </c>
      <c r="N12177" s="17" t="s">
        <v>77</v>
      </c>
      <c r="U12177" s="17"/>
      <c r="V12177" s="18">
        <f>6282113880157</f>
        <v>6282113880157</v>
      </c>
      <c r="W12177" t="s">
        <v>33268</v>
      </c>
    </row>
    <row r="12178" ht="15" customHeight="1" spans="1:28" x14ac:dyDescent="0.25">
      <c r="A12178" s="17" t="s">
        <v>33269</v>
      </c>
      <c r="B12178" s="17" t="s">
        <v>70</v>
      </c>
      <c r="C12178" s="17" t="s">
        <v>71</v>
      </c>
      <c r="D12178" t="s">
        <v>33270</v>
      </c>
      <c r="F12178" t="s">
        <v>33271</v>
      </c>
      <c r="J12178" s="17" t="s">
        <v>33272</v>
      </c>
      <c r="K12178" s="18" t="s">
        <v>33273</v>
      </c>
      <c r="N12178" s="17" t="s">
        <v>77</v>
      </c>
      <c r="O12178" t="s">
        <v>489</v>
      </c>
      <c r="U12178" s="17"/>
      <c r="V12178" s="18" t="s">
        <v>33273</v>
      </c>
      <c r="W12178" t="s">
        <v>5358</v>
      </c>
      <c r="Y12178" t="s">
        <v>115</v>
      </c>
      <c r="AA12178" t="s">
        <v>115</v>
      </c>
      <c r="AB12178" t="s">
        <v>5358</v>
      </c>
    </row>
    <row r="12179" ht="15" customHeight="1" spans="1:27" x14ac:dyDescent="0.25">
      <c r="A12179" s="17" t="s">
        <v>33274</v>
      </c>
      <c r="B12179" s="17" t="s">
        <v>70</v>
      </c>
      <c r="C12179" s="17" t="s">
        <v>71</v>
      </c>
      <c r="D12179" t="s">
        <v>33275</v>
      </c>
      <c r="F12179" t="s">
        <v>33275</v>
      </c>
      <c r="K12179" s="18">
        <f>6282119607513</f>
        <v>6282119607513</v>
      </c>
      <c r="N12179" s="17" t="s">
        <v>81</v>
      </c>
      <c r="U12179" s="17"/>
      <c r="V12179" s="18">
        <f>6282119607513</f>
        <v>6282119607513</v>
      </c>
      <c r="W12179" t="s">
        <v>33276</v>
      </c>
      <c r="Y12179" s="17" t="s">
        <v>1794</v>
      </c>
      <c r="AA12179" s="17">
        <v>46182</v>
      </c>
    </row>
    <row r="12180" ht="15" customHeight="1" spans="1:23" x14ac:dyDescent="0.25">
      <c r="A12180" s="17" t="s">
        <v>33277</v>
      </c>
      <c r="B12180" s="17" t="s">
        <v>70</v>
      </c>
      <c r="C12180" s="17" t="s">
        <v>71</v>
      </c>
      <c r="D12180" t="s">
        <v>33278</v>
      </c>
      <c r="F12180" t="s">
        <v>2502</v>
      </c>
      <c r="K12180" s="18">
        <f>6282111160008</f>
        <v>6282111160008</v>
      </c>
      <c r="N12180" s="17" t="s">
        <v>81</v>
      </c>
      <c r="U12180" s="17"/>
      <c r="V12180" s="18">
        <f>6282111160008</f>
        <v>6282111160008</v>
      </c>
      <c r="W12180" t="s">
        <v>33279</v>
      </c>
    </row>
    <row r="12181" ht="15" customHeight="1" spans="1:23" x14ac:dyDescent="0.25">
      <c r="A12181" s="17" t="s">
        <v>33280</v>
      </c>
      <c r="B12181" s="17" t="s">
        <v>70</v>
      </c>
      <c r="C12181" s="17" t="s">
        <v>71</v>
      </c>
      <c r="D12181" t="s">
        <v>33281</v>
      </c>
      <c r="F12181" t="s">
        <v>33282</v>
      </c>
      <c r="K12181" s="18">
        <f>62821130408</f>
        <v>62821130408</v>
      </c>
      <c r="N12181" s="17" t="s">
        <v>77</v>
      </c>
      <c r="U12181" s="17"/>
      <c r="V12181" s="18">
        <f>62821130408</f>
        <v>62821130408</v>
      </c>
      <c r="W12181" t="s">
        <v>90</v>
      </c>
    </row>
    <row r="12182" ht="15" customHeight="1" spans="1:22" x14ac:dyDescent="0.25">
      <c r="A12182" s="17" t="s">
        <v>33283</v>
      </c>
      <c r="B12182" s="17" t="s">
        <v>70</v>
      </c>
      <c r="C12182" s="17" t="s">
        <v>71</v>
      </c>
      <c r="D12182" t="s">
        <v>23210</v>
      </c>
      <c r="F12182" t="s">
        <v>23210</v>
      </c>
      <c r="K12182" s="18">
        <f>628129027678</f>
        <v>628129027678</v>
      </c>
      <c r="N12182" s="17" t="s">
        <v>77</v>
      </c>
      <c r="V12182" s="18">
        <f>628129027678</f>
        <v>628129027678</v>
      </c>
    </row>
    <row r="12183" ht="15" customHeight="1" spans="1:28" x14ac:dyDescent="0.25">
      <c r="A12183" s="17" t="s">
        <v>33284</v>
      </c>
      <c r="B12183" s="17" t="s">
        <v>70</v>
      </c>
      <c r="C12183" s="17" t="s">
        <v>71</v>
      </c>
      <c r="D12183" t="s">
        <v>33285</v>
      </c>
      <c r="F12183" t="s">
        <v>24565</v>
      </c>
      <c r="J12183" t="s">
        <v>115</v>
      </c>
      <c r="K12183" s="18" t="s">
        <v>33286</v>
      </c>
      <c r="N12183" s="17" t="s">
        <v>81</v>
      </c>
      <c r="O12183" t="s">
        <v>117</v>
      </c>
      <c r="V12183" s="18" t="s">
        <v>33286</v>
      </c>
      <c r="Y12183" t="s">
        <v>90</v>
      </c>
      <c r="AA12183" t="s">
        <v>118</v>
      </c>
      <c r="AB12183" t="s">
        <v>119</v>
      </c>
    </row>
    <row r="12184" ht="15" customHeight="1" spans="1:28" x14ac:dyDescent="0.25">
      <c r="A12184" s="17" t="s">
        <v>33287</v>
      </c>
      <c r="B12184" s="17" t="s">
        <v>70</v>
      </c>
      <c r="C12184" s="17" t="s">
        <v>71</v>
      </c>
      <c r="D12184" t="s">
        <v>23210</v>
      </c>
      <c r="F12184" t="s">
        <v>33288</v>
      </c>
      <c r="J12184" t="s">
        <v>115</v>
      </c>
      <c r="K12184" s="18" t="s">
        <v>33289</v>
      </c>
      <c r="N12184" s="17" t="s">
        <v>81</v>
      </c>
      <c r="O12184" t="s">
        <v>145</v>
      </c>
      <c r="V12184" s="18" t="s">
        <v>33289</v>
      </c>
      <c r="Y12184" t="s">
        <v>96</v>
      </c>
      <c r="AA12184" t="s">
        <v>693</v>
      </c>
      <c r="AB12184" t="s">
        <v>119</v>
      </c>
    </row>
    <row r="12185" ht="15" customHeight="1" spans="1:22" x14ac:dyDescent="0.25">
      <c r="A12185" s="17" t="s">
        <v>33290</v>
      </c>
      <c r="B12185" s="17" t="s">
        <v>70</v>
      </c>
      <c r="C12185" s="17" t="s">
        <v>71</v>
      </c>
      <c r="D12185" t="s">
        <v>33291</v>
      </c>
      <c r="F12185" t="s">
        <v>17348</v>
      </c>
      <c r="K12185" s="18">
        <f>6281283731992</f>
        <v>6281283731992</v>
      </c>
      <c r="N12185" s="17" t="s">
        <v>77</v>
      </c>
      <c r="V12185" s="18">
        <f>6281283731992</f>
        <v>6281283731992</v>
      </c>
    </row>
    <row r="12186" ht="15" customHeight="1" spans="1:22" x14ac:dyDescent="0.25">
      <c r="A12186" s="17" t="s">
        <v>33292</v>
      </c>
      <c r="B12186" s="17" t="s">
        <v>70</v>
      </c>
      <c r="C12186" s="17" t="s">
        <v>71</v>
      </c>
      <c r="D12186" t="s">
        <v>33293</v>
      </c>
      <c r="F12186" t="s">
        <v>33294</v>
      </c>
      <c r="K12186" s="18">
        <f>628111123173</f>
        <v>628111123173</v>
      </c>
      <c r="N12186" s="17" t="s">
        <v>81</v>
      </c>
      <c r="V12186" s="18">
        <f>628111123173</f>
        <v>628111123173</v>
      </c>
    </row>
    <row r="12187" ht="15" customHeight="1" spans="1:28" x14ac:dyDescent="0.25">
      <c r="A12187" s="17" t="s">
        <v>33295</v>
      </c>
      <c r="B12187" s="17" t="s">
        <v>70</v>
      </c>
      <c r="C12187" s="17" t="s">
        <v>71</v>
      </c>
      <c r="D12187" t="s">
        <v>33293</v>
      </c>
      <c r="F12187" t="s">
        <v>10216</v>
      </c>
      <c r="J12187" s="17" t="s">
        <v>33296</v>
      </c>
      <c r="K12187" s="18" t="s">
        <v>33297</v>
      </c>
      <c r="N12187" s="17" t="s">
        <v>77</v>
      </c>
      <c r="O12187" t="s">
        <v>117</v>
      </c>
      <c r="V12187" s="18" t="s">
        <v>33297</v>
      </c>
      <c r="Y12187" t="s">
        <v>190</v>
      </c>
      <c r="AA12187" t="s">
        <v>118</v>
      </c>
      <c r="AB12187" t="s">
        <v>119</v>
      </c>
    </row>
    <row r="12188" ht="15" customHeight="1" spans="1:22" x14ac:dyDescent="0.25">
      <c r="A12188" s="17" t="s">
        <v>33298</v>
      </c>
      <c r="B12188" s="17" t="s">
        <v>70</v>
      </c>
      <c r="C12188" s="17" t="s">
        <v>71</v>
      </c>
      <c r="D12188" t="s">
        <v>29740</v>
      </c>
      <c r="F12188" t="s">
        <v>29740</v>
      </c>
      <c r="K12188" s="18">
        <f>62811725522</f>
        <v>62811725522</v>
      </c>
      <c r="N12188" s="17" t="s">
        <v>81</v>
      </c>
      <c r="V12188" s="18">
        <f>62811725522</f>
        <v>62811725522</v>
      </c>
    </row>
    <row r="12189" ht="15" customHeight="1" spans="1:22" x14ac:dyDescent="0.25">
      <c r="A12189" s="17" t="s">
        <v>33299</v>
      </c>
      <c r="B12189" s="17" t="s">
        <v>70</v>
      </c>
      <c r="C12189" s="17" t="s">
        <v>71</v>
      </c>
      <c r="D12189" t="s">
        <v>33300</v>
      </c>
      <c r="F12189" t="s">
        <v>33300</v>
      </c>
      <c r="K12189" s="18">
        <f>62811151619</f>
        <v>62811151619</v>
      </c>
      <c r="N12189" s="17" t="s">
        <v>77</v>
      </c>
      <c r="V12189" s="18">
        <f>62811151619</f>
        <v>62811151619</v>
      </c>
    </row>
    <row r="12190" ht="15" customHeight="1" spans="1:25" x14ac:dyDescent="0.25">
      <c r="A12190" s="17" t="s">
        <v>33301</v>
      </c>
      <c r="B12190" s="17" t="s">
        <v>70</v>
      </c>
      <c r="C12190" s="17" t="s">
        <v>71</v>
      </c>
      <c r="D12190" t="s">
        <v>33300</v>
      </c>
      <c r="F12190" t="s">
        <v>33302</v>
      </c>
      <c r="K12190" s="18">
        <v>7396571</v>
      </c>
      <c r="N12190" s="17" t="s">
        <v>77</v>
      </c>
      <c r="U12190" s="17"/>
      <c r="V12190" s="18">
        <v>7396571</v>
      </c>
      <c r="W12190" t="s">
        <v>33303</v>
      </c>
      <c r="Y12190" s="17" t="s">
        <v>96</v>
      </c>
    </row>
    <row r="12191" ht="15" customHeight="1" spans="1:23" x14ac:dyDescent="0.25">
      <c r="A12191" s="17" t="s">
        <v>33304</v>
      </c>
      <c r="B12191" s="17" t="s">
        <v>70</v>
      </c>
      <c r="C12191" s="17" t="s">
        <v>71</v>
      </c>
      <c r="D12191" t="s">
        <v>33300</v>
      </c>
      <c r="F12191" t="s">
        <v>13238</v>
      </c>
      <c r="K12191" s="18">
        <f>628119891305</f>
        <v>628119891305</v>
      </c>
      <c r="N12191" s="17" t="s">
        <v>74</v>
      </c>
      <c r="U12191" s="17"/>
      <c r="V12191" s="18">
        <f>628119891305</f>
        <v>628119891305</v>
      </c>
      <c r="W12191" t="s">
        <v>33305</v>
      </c>
    </row>
    <row r="12192" ht="15" customHeight="1" spans="1:27" x14ac:dyDescent="0.25">
      <c r="A12192" s="17" t="s">
        <v>33306</v>
      </c>
      <c r="B12192" s="17" t="s">
        <v>70</v>
      </c>
      <c r="C12192" s="17" t="s">
        <v>71</v>
      </c>
      <c r="D12192" t="s">
        <v>33300</v>
      </c>
      <c r="F12192" t="s">
        <v>16481</v>
      </c>
      <c r="K12192" s="18">
        <f>628159718409</f>
        <v>628159718409</v>
      </c>
      <c r="N12192" s="17" t="s">
        <v>77</v>
      </c>
      <c r="U12192" s="17"/>
      <c r="V12192" s="18">
        <f>628159718409</f>
        <v>628159718409</v>
      </c>
      <c r="W12192" t="s">
        <v>33307</v>
      </c>
      <c r="Y12192" s="17" t="s">
        <v>626</v>
      </c>
      <c r="AA12192" s="17">
        <v>11410</v>
      </c>
    </row>
    <row r="12193" ht="15" customHeight="1" spans="1:28" x14ac:dyDescent="0.25">
      <c r="A12193" s="17" t="s">
        <v>33308</v>
      </c>
      <c r="B12193" s="17" t="s">
        <v>70</v>
      </c>
      <c r="C12193" s="17" t="s">
        <v>71</v>
      </c>
      <c r="D12193" t="s">
        <v>33300</v>
      </c>
      <c r="F12193" t="s">
        <v>33309</v>
      </c>
      <c r="J12193" s="17" t="s">
        <v>33310</v>
      </c>
      <c r="K12193" s="18" t="s">
        <v>33311</v>
      </c>
      <c r="N12193" s="17" t="s">
        <v>77</v>
      </c>
      <c r="O12193" t="s">
        <v>145</v>
      </c>
      <c r="U12193" s="17"/>
      <c r="V12193" s="18" t="s">
        <v>33311</v>
      </c>
      <c r="W12193" t="s">
        <v>33312</v>
      </c>
      <c r="Y12193" t="s">
        <v>190</v>
      </c>
      <c r="AA12193" t="s">
        <v>118</v>
      </c>
      <c r="AB12193" t="s">
        <v>119</v>
      </c>
    </row>
    <row r="12194" ht="15" customHeight="1" spans="1:22" x14ac:dyDescent="0.25">
      <c r="A12194" s="17" t="s">
        <v>33313</v>
      </c>
      <c r="B12194" s="17" t="s">
        <v>70</v>
      </c>
      <c r="C12194" s="17" t="s">
        <v>71</v>
      </c>
      <c r="D12194" t="s">
        <v>33300</v>
      </c>
      <c r="F12194" t="s">
        <v>33314</v>
      </c>
      <c r="K12194" s="18">
        <f>62811192031</f>
        <v>62811192031</v>
      </c>
      <c r="N12194" s="17" t="s">
        <v>77</v>
      </c>
      <c r="V12194" s="18">
        <f>62811192031</f>
        <v>62811192031</v>
      </c>
    </row>
    <row r="12195" ht="15" customHeight="1" spans="1:28" x14ac:dyDescent="0.25">
      <c r="A12195" s="17" t="s">
        <v>33315</v>
      </c>
      <c r="B12195" s="17" t="s">
        <v>70</v>
      </c>
      <c r="C12195" s="17" t="s">
        <v>71</v>
      </c>
      <c r="D12195" t="s">
        <v>33300</v>
      </c>
      <c r="F12195" t="s">
        <v>33316</v>
      </c>
      <c r="J12195" t="s">
        <v>115</v>
      </c>
      <c r="K12195" s="18" t="s">
        <v>33317</v>
      </c>
      <c r="N12195" s="17" t="s">
        <v>74</v>
      </c>
      <c r="O12195" t="s">
        <v>117</v>
      </c>
      <c r="V12195" s="18" t="s">
        <v>33317</v>
      </c>
      <c r="Y12195" t="s">
        <v>190</v>
      </c>
      <c r="AA12195" t="s">
        <v>118</v>
      </c>
      <c r="AB12195" t="s">
        <v>119</v>
      </c>
    </row>
    <row r="12196" ht="15" customHeight="1" spans="1:28" x14ac:dyDescent="0.25">
      <c r="A12196" s="17" t="s">
        <v>33318</v>
      </c>
      <c r="B12196" s="17" t="s">
        <v>70</v>
      </c>
      <c r="C12196" s="17" t="s">
        <v>71</v>
      </c>
      <c r="D12196" t="s">
        <v>33300</v>
      </c>
      <c r="F12196" t="s">
        <v>33319</v>
      </c>
      <c r="J12196" s="17" t="s">
        <v>33320</v>
      </c>
      <c r="K12196" s="18" t="s">
        <v>33321</v>
      </c>
      <c r="N12196" s="17" t="s">
        <v>77</v>
      </c>
      <c r="O12196" t="s">
        <v>261</v>
      </c>
      <c r="U12196" s="17"/>
      <c r="V12196" s="18" t="s">
        <v>33321</v>
      </c>
      <c r="W12196" t="s">
        <v>33322</v>
      </c>
      <c r="Y12196" t="s">
        <v>96</v>
      </c>
      <c r="AA12196" t="s">
        <v>693</v>
      </c>
      <c r="AB12196" t="s">
        <v>119</v>
      </c>
    </row>
    <row r="12197" ht="15" customHeight="1" spans="1:23" x14ac:dyDescent="0.25">
      <c r="A12197" s="17" t="s">
        <v>33323</v>
      </c>
      <c r="B12197" s="17" t="s">
        <v>70</v>
      </c>
      <c r="C12197" s="17" t="s">
        <v>71</v>
      </c>
      <c r="D12197" t="s">
        <v>33300</v>
      </c>
      <c r="F12197" t="s">
        <v>33324</v>
      </c>
      <c r="J12197" s="17" t="s">
        <v>33325</v>
      </c>
      <c r="K12197" s="18">
        <f>6283114755928</f>
        <v>6283114755928</v>
      </c>
      <c r="N12197" s="17" t="s">
        <v>81</v>
      </c>
      <c r="U12197" s="17"/>
      <c r="V12197" s="18">
        <f>6283114755928</f>
        <v>6283114755928</v>
      </c>
      <c r="W12197" t="s">
        <v>33326</v>
      </c>
    </row>
    <row r="12198" ht="15" customHeight="1" spans="1:22" x14ac:dyDescent="0.25">
      <c r="A12198" s="17" t="s">
        <v>33327</v>
      </c>
      <c r="B12198" s="17" t="s">
        <v>70</v>
      </c>
      <c r="C12198" s="17" t="s">
        <v>71</v>
      </c>
      <c r="D12198" t="s">
        <v>33328</v>
      </c>
      <c r="F12198" t="s">
        <v>18358</v>
      </c>
      <c r="K12198" s="18">
        <f>628161912345</f>
        <v>628161912345</v>
      </c>
      <c r="N12198" s="17" t="s">
        <v>77</v>
      </c>
      <c r="V12198" s="18">
        <f>628161912345</f>
        <v>628161912345</v>
      </c>
    </row>
    <row r="12199" ht="15" customHeight="1" spans="1:22" x14ac:dyDescent="0.25">
      <c r="A12199" s="17" t="s">
        <v>33329</v>
      </c>
      <c r="B12199" s="17" t="s">
        <v>70</v>
      </c>
      <c r="C12199" s="17" t="s">
        <v>71</v>
      </c>
      <c r="D12199" t="s">
        <v>33330</v>
      </c>
      <c r="F12199" t="s">
        <v>33330</v>
      </c>
      <c r="K12199" s="18">
        <f>6281807706647</f>
        <v>6281807706647</v>
      </c>
      <c r="N12199" s="17" t="s">
        <v>77</v>
      </c>
      <c r="V12199" s="18">
        <f>6281807706647</f>
        <v>6281807706647</v>
      </c>
    </row>
    <row r="12200" ht="15" customHeight="1" spans="1:22" x14ac:dyDescent="0.25">
      <c r="A12200" s="17" t="s">
        <v>33331</v>
      </c>
      <c r="B12200" s="17" t="s">
        <v>70</v>
      </c>
      <c r="C12200" s="17" t="s">
        <v>71</v>
      </c>
      <c r="D12200" t="s">
        <v>33332</v>
      </c>
      <c r="F12200" t="s">
        <v>33333</v>
      </c>
      <c r="J12200" s="17" t="s">
        <v>33334</v>
      </c>
      <c r="K12200" s="18">
        <f>62811293212</f>
        <v>62811293212</v>
      </c>
      <c r="N12200" s="17" t="s">
        <v>81</v>
      </c>
      <c r="V12200" s="18">
        <f>62811293212</f>
        <v>62811293212</v>
      </c>
    </row>
    <row r="12201" ht="15" customHeight="1" spans="1:22" x14ac:dyDescent="0.25">
      <c r="A12201" s="17" t="s">
        <v>33335</v>
      </c>
      <c r="B12201" s="17" t="s">
        <v>70</v>
      </c>
      <c r="C12201" s="17" t="s">
        <v>71</v>
      </c>
      <c r="D12201" t="s">
        <v>33336</v>
      </c>
      <c r="F12201" t="s">
        <v>33337</v>
      </c>
      <c r="K12201" s="18">
        <f>628118821047</f>
        <v>628118821047</v>
      </c>
      <c r="N12201" s="17" t="s">
        <v>81</v>
      </c>
      <c r="V12201" s="18">
        <f>628118821047</f>
        <v>628118821047</v>
      </c>
    </row>
    <row r="12202" ht="15" customHeight="1" spans="1:25" x14ac:dyDescent="0.25">
      <c r="A12202" s="17" t="s">
        <v>33338</v>
      </c>
      <c r="B12202" s="17" t="s">
        <v>70</v>
      </c>
      <c r="C12202" s="17" t="s">
        <v>71</v>
      </c>
      <c r="D12202" t="s">
        <v>33339</v>
      </c>
      <c r="F12202" t="s">
        <v>26393</v>
      </c>
      <c r="K12202" s="18">
        <f>6281932922999</f>
        <v>6281932922999</v>
      </c>
      <c r="N12202" s="17" t="s">
        <v>77</v>
      </c>
      <c r="U12202" s="17"/>
      <c r="V12202" s="18">
        <f>6281932922999</f>
        <v>6281932922999</v>
      </c>
      <c r="W12202" t="s">
        <v>33340</v>
      </c>
      <c r="Y12202" s="17" t="s">
        <v>626</v>
      </c>
    </row>
    <row r="12203" ht="15" customHeight="1" spans="1:22" x14ac:dyDescent="0.25">
      <c r="A12203" s="17" t="s">
        <v>33341</v>
      </c>
      <c r="B12203" s="17" t="s">
        <v>70</v>
      </c>
      <c r="C12203" s="17" t="s">
        <v>71</v>
      </c>
      <c r="D12203" t="s">
        <v>33339</v>
      </c>
      <c r="F12203" t="s">
        <v>8925</v>
      </c>
      <c r="K12203" s="18">
        <f>6282110098729</f>
        <v>6282110098729</v>
      </c>
      <c r="N12203" s="17" t="s">
        <v>81</v>
      </c>
      <c r="V12203" s="18">
        <f>6282110098729</f>
        <v>6282110098729</v>
      </c>
    </row>
    <row r="12204" ht="15" customHeight="1" spans="1:22" x14ac:dyDescent="0.25">
      <c r="A12204" s="17" t="s">
        <v>33342</v>
      </c>
      <c r="B12204" s="17" t="s">
        <v>70</v>
      </c>
      <c r="C12204" s="17" t="s">
        <v>71</v>
      </c>
      <c r="D12204" t="s">
        <v>33343</v>
      </c>
      <c r="F12204" t="s">
        <v>33343</v>
      </c>
      <c r="K12204" s="18">
        <f>6281212127865</f>
        <v>6281212127865</v>
      </c>
      <c r="N12204" s="17" t="s">
        <v>81</v>
      </c>
      <c r="V12204" s="18">
        <f>6281212127865</f>
        <v>6281212127865</v>
      </c>
    </row>
    <row r="12205" ht="15" customHeight="1" spans="1:27" x14ac:dyDescent="0.25">
      <c r="A12205" s="17" t="s">
        <v>33344</v>
      </c>
      <c r="B12205" s="17" t="s">
        <v>70</v>
      </c>
      <c r="C12205" s="17" t="s">
        <v>71</v>
      </c>
      <c r="D12205" t="s">
        <v>33345</v>
      </c>
      <c r="F12205" t="s">
        <v>33346</v>
      </c>
      <c r="J12205" s="17" t="s">
        <v>33347</v>
      </c>
      <c r="K12205" s="18">
        <f>6281282359595</f>
        <v>6281282359595</v>
      </c>
      <c r="N12205" s="17" t="s">
        <v>77</v>
      </c>
      <c r="U12205" s="17"/>
      <c r="V12205" s="18">
        <f>6281282359595</f>
        <v>6281282359595</v>
      </c>
      <c r="W12205" t="s">
        <v>32637</v>
      </c>
      <c r="AA12205" s="17">
        <v>12950</v>
      </c>
    </row>
    <row r="12206" ht="15" customHeight="1" spans="1:22" x14ac:dyDescent="0.25">
      <c r="A12206" s="17" t="s">
        <v>33348</v>
      </c>
      <c r="B12206" s="17" t="s">
        <v>70</v>
      </c>
      <c r="C12206" s="17" t="s">
        <v>71</v>
      </c>
      <c r="D12206" t="s">
        <v>33349</v>
      </c>
      <c r="F12206" t="s">
        <v>33349</v>
      </c>
      <c r="K12206" s="18">
        <f>6287782226533</f>
        <v>6287782226533</v>
      </c>
      <c r="N12206" s="17" t="s">
        <v>81</v>
      </c>
      <c r="V12206" s="18">
        <f>6287782226533</f>
        <v>6287782226533</v>
      </c>
    </row>
    <row r="12207" ht="15" customHeight="1" spans="1:23" x14ac:dyDescent="0.25">
      <c r="A12207" s="17" t="s">
        <v>33350</v>
      </c>
      <c r="B12207" s="17" t="s">
        <v>70</v>
      </c>
      <c r="C12207" s="17" t="s">
        <v>71</v>
      </c>
      <c r="D12207" t="s">
        <v>33351</v>
      </c>
      <c r="F12207" t="s">
        <v>33352</v>
      </c>
      <c r="J12207" s="17" t="s">
        <v>33353</v>
      </c>
      <c r="K12207" s="18">
        <f>62811847681</f>
        <v>62811847681</v>
      </c>
      <c r="N12207" s="17" t="s">
        <v>77</v>
      </c>
      <c r="U12207" s="17"/>
      <c r="V12207" s="18">
        <f>62811847681</f>
        <v>62811847681</v>
      </c>
      <c r="W12207" t="s">
        <v>33354</v>
      </c>
    </row>
    <row r="12208" ht="15" customHeight="1" spans="1:27" x14ac:dyDescent="0.25">
      <c r="A12208" s="17" t="s">
        <v>33355</v>
      </c>
      <c r="B12208" s="17" t="s">
        <v>70</v>
      </c>
      <c r="C12208" s="17" t="s">
        <v>71</v>
      </c>
      <c r="D12208" t="s">
        <v>33356</v>
      </c>
      <c r="F12208" t="s">
        <v>33357</v>
      </c>
      <c r="K12208" s="18">
        <f>6281310991024</f>
        <v>6281310991024</v>
      </c>
      <c r="N12208" s="17" t="s">
        <v>77</v>
      </c>
      <c r="U12208" s="17"/>
      <c r="V12208" s="18">
        <f>6281310991024</f>
        <v>6281310991024</v>
      </c>
      <c r="W12208" t="s">
        <v>33358</v>
      </c>
      <c r="Y12208" s="17" t="s">
        <v>515</v>
      </c>
      <c r="AA12208" s="17">
        <v>13120</v>
      </c>
    </row>
    <row r="12209" ht="15" customHeight="1" spans="1:28" x14ac:dyDescent="0.25">
      <c r="A12209" s="17" t="s">
        <v>33359</v>
      </c>
      <c r="B12209" s="17" t="s">
        <v>70</v>
      </c>
      <c r="C12209" s="17" t="s">
        <v>71</v>
      </c>
      <c r="D12209" t="s">
        <v>33360</v>
      </c>
      <c r="F12209" t="s">
        <v>9888</v>
      </c>
      <c r="J12209" t="s">
        <v>33361</v>
      </c>
      <c r="K12209" s="18" t="s">
        <v>33362</v>
      </c>
      <c r="N12209" s="17" t="s">
        <v>77</v>
      </c>
      <c r="O12209" t="s">
        <v>199</v>
      </c>
      <c r="V12209" s="18" t="s">
        <v>33362</v>
      </c>
      <c r="Y12209" t="s">
        <v>90</v>
      </c>
      <c r="AA12209" t="s">
        <v>118</v>
      </c>
      <c r="AB12209" t="s">
        <v>119</v>
      </c>
    </row>
    <row r="12210" ht="15" customHeight="1" spans="1:22" x14ac:dyDescent="0.25">
      <c r="A12210" s="17" t="s">
        <v>33363</v>
      </c>
      <c r="B12210" s="17" t="s">
        <v>70</v>
      </c>
      <c r="C12210" s="17" t="s">
        <v>71</v>
      </c>
      <c r="D12210" t="s">
        <v>33364</v>
      </c>
      <c r="F12210" t="s">
        <v>2762</v>
      </c>
      <c r="K12210" s="18">
        <f>6281290008954</f>
        <v>6281290008954</v>
      </c>
      <c r="N12210" s="17" t="s">
        <v>81</v>
      </c>
      <c r="V12210" s="18">
        <f>6281290008954</f>
        <v>6281290008954</v>
      </c>
    </row>
    <row r="12211" ht="15" customHeight="1" spans="1:22" x14ac:dyDescent="0.25">
      <c r="A12211" s="17" t="s">
        <v>33365</v>
      </c>
      <c r="B12211" s="17" t="s">
        <v>70</v>
      </c>
      <c r="C12211" s="17" t="s">
        <v>71</v>
      </c>
      <c r="D12211" t="s">
        <v>33366</v>
      </c>
      <c r="F12211" t="s">
        <v>25994</v>
      </c>
      <c r="K12211" s="18">
        <f>628561412357</f>
        <v>628561412357</v>
      </c>
      <c r="N12211" s="17" t="s">
        <v>81</v>
      </c>
      <c r="V12211" s="18">
        <f>628561412357</f>
        <v>628561412357</v>
      </c>
    </row>
    <row r="12212" ht="15" customHeight="1" spans="1:23" x14ac:dyDescent="0.25">
      <c r="A12212" s="17" t="s">
        <v>33367</v>
      </c>
      <c r="B12212" s="17" t="s">
        <v>70</v>
      </c>
      <c r="C12212" s="17" t="s">
        <v>71</v>
      </c>
      <c r="D12212" t="s">
        <v>33366</v>
      </c>
      <c r="F12212" t="s">
        <v>5190</v>
      </c>
      <c r="K12212" s="18">
        <f>628111550529</f>
        <v>628111550529</v>
      </c>
      <c r="N12212" s="17" t="s">
        <v>81</v>
      </c>
      <c r="U12212" s="17"/>
      <c r="V12212" s="18">
        <f>628111550529</f>
        <v>628111550529</v>
      </c>
      <c r="W12212" t="s">
        <v>33368</v>
      </c>
    </row>
    <row r="12213" ht="15" customHeight="1" spans="1:28" x14ac:dyDescent="0.25">
      <c r="A12213" s="17" t="s">
        <v>33369</v>
      </c>
      <c r="B12213" s="17" t="s">
        <v>70</v>
      </c>
      <c r="C12213" s="17" t="s">
        <v>71</v>
      </c>
      <c r="D12213" t="s">
        <v>1269</v>
      </c>
      <c r="F12213" t="s">
        <v>1269</v>
      </c>
      <c r="J12213" t="s">
        <v>115</v>
      </c>
      <c r="K12213" s="18" t="s">
        <v>33370</v>
      </c>
      <c r="N12213" s="17" t="s">
        <v>81</v>
      </c>
      <c r="O12213" t="s">
        <v>117</v>
      </c>
      <c r="V12213" s="18" t="s">
        <v>33370</v>
      </c>
      <c r="Y12213" t="s">
        <v>90</v>
      </c>
      <c r="AA12213" t="s">
        <v>118</v>
      </c>
      <c r="AB12213" t="s">
        <v>119</v>
      </c>
    </row>
    <row r="12214" ht="15" customHeight="1" spans="1:23" x14ac:dyDescent="0.25">
      <c r="A12214" s="17" t="s">
        <v>33371</v>
      </c>
      <c r="B12214" s="17" t="s">
        <v>70</v>
      </c>
      <c r="C12214" s="17" t="s">
        <v>71</v>
      </c>
      <c r="D12214" t="s">
        <v>1269</v>
      </c>
      <c r="F12214" t="s">
        <v>184</v>
      </c>
      <c r="K12214" s="18">
        <f>62811115787</f>
        <v>62811115787</v>
      </c>
      <c r="N12214" s="17" t="s">
        <v>77</v>
      </c>
      <c r="U12214" s="17"/>
      <c r="V12214" s="18">
        <f>62811115787</f>
        <v>62811115787</v>
      </c>
      <c r="W12214" t="s">
        <v>33372</v>
      </c>
    </row>
    <row r="12215" ht="15" customHeight="1" spans="1:28" x14ac:dyDescent="0.25">
      <c r="A12215" s="17" t="s">
        <v>33373</v>
      </c>
      <c r="B12215" s="17" t="s">
        <v>70</v>
      </c>
      <c r="C12215" s="17" t="s">
        <v>71</v>
      </c>
      <c r="D12215" t="s">
        <v>1269</v>
      </c>
      <c r="F12215" t="s">
        <v>33374</v>
      </c>
      <c r="J12215" t="s">
        <v>115</v>
      </c>
      <c r="K12215" s="18" t="s">
        <v>33375</v>
      </c>
      <c r="N12215" s="17" t="s">
        <v>77</v>
      </c>
      <c r="O12215" t="s">
        <v>199</v>
      </c>
      <c r="U12215" s="17"/>
      <c r="V12215" s="18" t="s">
        <v>33375</v>
      </c>
      <c r="W12215" t="s">
        <v>33376</v>
      </c>
      <c r="Y12215" t="s">
        <v>115</v>
      </c>
      <c r="AA12215" t="s">
        <v>115</v>
      </c>
      <c r="AB12215" t="s">
        <v>119</v>
      </c>
    </row>
    <row r="12216" ht="15" customHeight="1" spans="1:23" x14ac:dyDescent="0.25">
      <c r="A12216" s="17" t="s">
        <v>33377</v>
      </c>
      <c r="B12216" s="17" t="s">
        <v>70</v>
      </c>
      <c r="C12216" s="17" t="s">
        <v>71</v>
      </c>
      <c r="D12216" t="s">
        <v>1269</v>
      </c>
      <c r="F12216" t="s">
        <v>33378</v>
      </c>
      <c r="K12216" s="18">
        <f>6281319734657</f>
        <v>6281319734657</v>
      </c>
      <c r="N12216" s="17" t="s">
        <v>81</v>
      </c>
      <c r="U12216" s="17"/>
      <c r="V12216" s="18">
        <f>6281319734657</f>
        <v>6281319734657</v>
      </c>
      <c r="W12216" t="s">
        <v>33379</v>
      </c>
    </row>
    <row r="12217" ht="15" customHeight="1" spans="1:28" x14ac:dyDescent="0.25">
      <c r="A12217" s="17" t="s">
        <v>33380</v>
      </c>
      <c r="B12217" s="17" t="s">
        <v>70</v>
      </c>
      <c r="C12217" s="17" t="s">
        <v>71</v>
      </c>
      <c r="D12217" t="s">
        <v>1269</v>
      </c>
      <c r="F12217" t="s">
        <v>15347</v>
      </c>
      <c r="J12217" t="s">
        <v>115</v>
      </c>
      <c r="K12217" s="18" t="s">
        <v>33381</v>
      </c>
      <c r="N12217" s="17" t="s">
        <v>77</v>
      </c>
      <c r="O12217" t="s">
        <v>489</v>
      </c>
      <c r="V12217" s="18" t="s">
        <v>33381</v>
      </c>
      <c r="Y12217" t="s">
        <v>190</v>
      </c>
      <c r="AA12217" t="s">
        <v>118</v>
      </c>
      <c r="AB12217" t="s">
        <v>119</v>
      </c>
    </row>
    <row r="12218" ht="15" customHeight="1" spans="1:22" x14ac:dyDescent="0.25">
      <c r="A12218" s="17" t="s">
        <v>33382</v>
      </c>
      <c r="B12218" s="17" t="s">
        <v>70</v>
      </c>
      <c r="C12218" s="17" t="s">
        <v>71</v>
      </c>
      <c r="D12218" t="s">
        <v>1269</v>
      </c>
      <c r="F12218" t="s">
        <v>33383</v>
      </c>
      <c r="J12218" s="17" t="s">
        <v>33384</v>
      </c>
      <c r="K12218" s="18">
        <f>6282226082180</f>
        <v>6282226082180</v>
      </c>
      <c r="N12218" s="17" t="s">
        <v>77</v>
      </c>
      <c r="V12218" s="18">
        <f>6282226082180</f>
        <v>6282226082180</v>
      </c>
    </row>
    <row r="12219" ht="15" customHeight="1" spans="1:25" x14ac:dyDescent="0.25">
      <c r="A12219" s="17" t="s">
        <v>33385</v>
      </c>
      <c r="B12219" s="17" t="s">
        <v>70</v>
      </c>
      <c r="C12219" s="17" t="s">
        <v>71</v>
      </c>
      <c r="D12219" t="s">
        <v>1269</v>
      </c>
      <c r="F12219" t="s">
        <v>33386</v>
      </c>
      <c r="K12219" s="18">
        <f>62816953236</f>
        <v>62816953236</v>
      </c>
      <c r="N12219" s="17" t="s">
        <v>77</v>
      </c>
      <c r="U12219" s="17"/>
      <c r="V12219" s="18">
        <f>62816953236</f>
        <v>62816953236</v>
      </c>
      <c r="W12219" t="s">
        <v>33387</v>
      </c>
      <c r="Y12219" s="17" t="s">
        <v>90</v>
      </c>
    </row>
    <row r="12220" ht="15" customHeight="1" spans="1:28" x14ac:dyDescent="0.25">
      <c r="A12220" s="17" t="s">
        <v>33388</v>
      </c>
      <c r="B12220" s="17" t="s">
        <v>70</v>
      </c>
      <c r="C12220" s="17" t="s">
        <v>71</v>
      </c>
      <c r="D12220" t="s">
        <v>1269</v>
      </c>
      <c r="F12220" t="s">
        <v>669</v>
      </c>
      <c r="J12220" t="s">
        <v>115</v>
      </c>
      <c r="K12220" s="18" t="s">
        <v>33389</v>
      </c>
      <c r="N12220" s="17" t="s">
        <v>77</v>
      </c>
      <c r="O12220" t="s">
        <v>117</v>
      </c>
      <c r="V12220" s="18" t="s">
        <v>33389</v>
      </c>
      <c r="Y12220" t="s">
        <v>90</v>
      </c>
      <c r="AA12220" t="s">
        <v>118</v>
      </c>
      <c r="AB12220" t="s">
        <v>119</v>
      </c>
    </row>
    <row r="12221" ht="15" customHeight="1" spans="1:22" x14ac:dyDescent="0.25">
      <c r="A12221" s="17" t="s">
        <v>33390</v>
      </c>
      <c r="B12221" s="17" t="s">
        <v>70</v>
      </c>
      <c r="C12221" s="17" t="s">
        <v>71</v>
      </c>
      <c r="D12221" t="s">
        <v>1269</v>
      </c>
      <c r="F12221" t="s">
        <v>33391</v>
      </c>
      <c r="K12221" s="18">
        <f>6281514117777</f>
        <v>6281514117777</v>
      </c>
      <c r="N12221" s="17" t="s">
        <v>81</v>
      </c>
      <c r="V12221" s="18">
        <f>6281514117777</f>
        <v>6281514117777</v>
      </c>
    </row>
    <row r="12222" ht="15" customHeight="1" spans="1:28" x14ac:dyDescent="0.25">
      <c r="A12222" s="17" t="s">
        <v>33392</v>
      </c>
      <c r="B12222" s="17" t="s">
        <v>70</v>
      </c>
      <c r="C12222" s="17" t="s">
        <v>71</v>
      </c>
      <c r="D12222" t="s">
        <v>1269</v>
      </c>
      <c r="F12222" t="s">
        <v>33393</v>
      </c>
      <c r="J12222" t="s">
        <v>115</v>
      </c>
      <c r="K12222" s="18" t="s">
        <v>33394</v>
      </c>
      <c r="N12222" s="17" t="s">
        <v>77</v>
      </c>
      <c r="O12222" t="s">
        <v>117</v>
      </c>
      <c r="V12222" s="18" t="s">
        <v>33394</v>
      </c>
      <c r="Y12222" t="s">
        <v>115</v>
      </c>
      <c r="AA12222" t="s">
        <v>115</v>
      </c>
      <c r="AB12222" t="s">
        <v>119</v>
      </c>
    </row>
    <row r="12223" ht="15" customHeight="1" spans="1:22" x14ac:dyDescent="0.25">
      <c r="A12223" s="17" t="s">
        <v>33395</v>
      </c>
      <c r="B12223" s="17" t="s">
        <v>70</v>
      </c>
      <c r="C12223" s="17" t="s">
        <v>71</v>
      </c>
      <c r="D12223" t="s">
        <v>1269</v>
      </c>
      <c r="F12223" t="s">
        <v>33396</v>
      </c>
      <c r="K12223" s="18">
        <f>628164290580</f>
        <v>628164290580</v>
      </c>
      <c r="N12223" s="17" t="s">
        <v>77</v>
      </c>
      <c r="V12223" s="18">
        <f>628164290580</f>
        <v>628164290580</v>
      </c>
    </row>
    <row r="12224" ht="15" customHeight="1" spans="1:22" x14ac:dyDescent="0.25">
      <c r="A12224" s="17" t="s">
        <v>33397</v>
      </c>
      <c r="B12224" s="17" t="s">
        <v>70</v>
      </c>
      <c r="C12224" s="17" t="s">
        <v>71</v>
      </c>
      <c r="D12224" t="s">
        <v>1269</v>
      </c>
      <c r="F12224" t="s">
        <v>1856</v>
      </c>
      <c r="J12224" s="17" t="s">
        <v>33398</v>
      </c>
      <c r="K12224" s="18">
        <f>62811127138</f>
        <v>62811127138</v>
      </c>
      <c r="N12224" s="17" t="s">
        <v>77</v>
      </c>
      <c r="V12224" s="18">
        <f>62811127138</f>
        <v>62811127138</v>
      </c>
    </row>
    <row r="12225" ht="15" customHeight="1" spans="1:28" x14ac:dyDescent="0.25">
      <c r="A12225" s="17" t="s">
        <v>33399</v>
      </c>
      <c r="B12225" s="17" t="s">
        <v>70</v>
      </c>
      <c r="C12225" s="17" t="s">
        <v>71</v>
      </c>
      <c r="D12225" t="s">
        <v>33400</v>
      </c>
      <c r="F12225" t="s">
        <v>33401</v>
      </c>
      <c r="J12225" t="s">
        <v>115</v>
      </c>
      <c r="K12225" s="18" t="s">
        <v>33402</v>
      </c>
      <c r="N12225" s="17" t="s">
        <v>77</v>
      </c>
      <c r="O12225" t="s">
        <v>199</v>
      </c>
      <c r="V12225" s="18" t="s">
        <v>33402</v>
      </c>
      <c r="Y12225" t="s">
        <v>115</v>
      </c>
      <c r="AA12225" t="s">
        <v>115</v>
      </c>
      <c r="AB12225" t="s">
        <v>119</v>
      </c>
    </row>
    <row r="12226" ht="15" customHeight="1" spans="1:28" x14ac:dyDescent="0.25">
      <c r="A12226" s="17" t="s">
        <v>33403</v>
      </c>
      <c r="B12226" s="17" t="s">
        <v>70</v>
      </c>
      <c r="C12226" s="17" t="s">
        <v>71</v>
      </c>
      <c r="D12226" t="s">
        <v>33404</v>
      </c>
      <c r="F12226" t="s">
        <v>33405</v>
      </c>
      <c r="J12226" s="17" t="s">
        <v>33406</v>
      </c>
      <c r="K12226" s="18" t="s">
        <v>33407</v>
      </c>
      <c r="N12226" s="17" t="s">
        <v>77</v>
      </c>
      <c r="O12226" t="s">
        <v>145</v>
      </c>
      <c r="U12226" s="17"/>
      <c r="V12226" s="18" t="s">
        <v>33407</v>
      </c>
      <c r="W12226" t="s">
        <v>33408</v>
      </c>
      <c r="Y12226" t="s">
        <v>90</v>
      </c>
      <c r="AA12226" s="17" t="s">
        <v>118</v>
      </c>
      <c r="AB12226" t="s">
        <v>119</v>
      </c>
    </row>
    <row r="12227" ht="15" customHeight="1" spans="1:22" x14ac:dyDescent="0.25">
      <c r="A12227" s="17" t="s">
        <v>33409</v>
      </c>
      <c r="B12227" s="17" t="s">
        <v>70</v>
      </c>
      <c r="C12227" s="17" t="s">
        <v>71</v>
      </c>
      <c r="D12227" t="s">
        <v>33410</v>
      </c>
      <c r="F12227" t="s">
        <v>1564</v>
      </c>
      <c r="K12227" s="18">
        <f>628558509725</f>
        <v>628558509725</v>
      </c>
      <c r="N12227" s="17" t="s">
        <v>81</v>
      </c>
      <c r="V12227" s="18">
        <f>628558509725</f>
        <v>628558509725</v>
      </c>
    </row>
    <row r="12228" ht="15" customHeight="1" spans="1:22" x14ac:dyDescent="0.25">
      <c r="A12228" s="17" t="s">
        <v>33411</v>
      </c>
      <c r="B12228" s="17" t="s">
        <v>70</v>
      </c>
      <c r="C12228" s="17" t="s">
        <v>71</v>
      </c>
      <c r="D12228" t="s">
        <v>33412</v>
      </c>
      <c r="F12228" t="s">
        <v>14403</v>
      </c>
      <c r="K12228" s="18">
        <f>62818881105</f>
        <v>62818881105</v>
      </c>
      <c r="N12228" s="17" t="s">
        <v>81</v>
      </c>
      <c r="V12228" s="18">
        <f>62818881105</f>
        <v>62818881105</v>
      </c>
    </row>
    <row r="12229" ht="15" customHeight="1" spans="1:22" x14ac:dyDescent="0.25">
      <c r="A12229" s="17" t="s">
        <v>33413</v>
      </c>
      <c r="B12229" s="17" t="s">
        <v>70</v>
      </c>
      <c r="C12229" s="17" t="s">
        <v>71</v>
      </c>
      <c r="D12229" t="s">
        <v>33414</v>
      </c>
      <c r="F12229" t="s">
        <v>10063</v>
      </c>
      <c r="K12229" s="18">
        <f>628111041647</f>
        <v>628111041647</v>
      </c>
      <c r="N12229" s="17" t="s">
        <v>77</v>
      </c>
      <c r="V12229" s="18">
        <f>628111041647</f>
        <v>628111041647</v>
      </c>
    </row>
    <row r="12230" ht="15" customHeight="1" spans="1:22" x14ac:dyDescent="0.25">
      <c r="A12230" s="17" t="s">
        <v>33415</v>
      </c>
      <c r="B12230" s="17" t="s">
        <v>70</v>
      </c>
      <c r="C12230" s="17" t="s">
        <v>71</v>
      </c>
      <c r="D12230" t="s">
        <v>33416</v>
      </c>
      <c r="F12230" t="s">
        <v>2258</v>
      </c>
      <c r="K12230" s="18">
        <f>6281910510200</f>
        <v>6281910510200</v>
      </c>
      <c r="N12230" s="17" t="s">
        <v>77</v>
      </c>
      <c r="V12230" s="18">
        <f>6281910510200</f>
        <v>6281910510200</v>
      </c>
    </row>
    <row r="12231" ht="15" customHeight="1" spans="1:22" x14ac:dyDescent="0.25">
      <c r="A12231" s="17" t="s">
        <v>33417</v>
      </c>
      <c r="B12231" s="17" t="s">
        <v>70</v>
      </c>
      <c r="C12231" s="17" t="s">
        <v>71</v>
      </c>
      <c r="D12231" t="s">
        <v>33418</v>
      </c>
      <c r="F12231" t="s">
        <v>33419</v>
      </c>
      <c r="K12231" s="18">
        <f>6281299226262</f>
        <v>6281299226262</v>
      </c>
      <c r="N12231" s="17" t="s">
        <v>77</v>
      </c>
      <c r="V12231" s="18">
        <f>6281299226262</f>
        <v>6281299226262</v>
      </c>
    </row>
    <row r="12232" ht="15" customHeight="1" spans="1:23" x14ac:dyDescent="0.25">
      <c r="A12232" s="17" t="s">
        <v>33420</v>
      </c>
      <c r="B12232" s="17" t="s">
        <v>70</v>
      </c>
      <c r="C12232" s="17" t="s">
        <v>71</v>
      </c>
      <c r="D12232" t="s">
        <v>33421</v>
      </c>
      <c r="F12232" t="s">
        <v>33422</v>
      </c>
      <c r="J12232" s="17" t="s">
        <v>33423</v>
      </c>
      <c r="K12232" s="18">
        <f>6282230929020</f>
        <v>6282230929020</v>
      </c>
      <c r="N12232" s="17" t="s">
        <v>77</v>
      </c>
      <c r="U12232" s="17"/>
      <c r="V12232" s="18">
        <f>6282230929020</f>
        <v>6282230929020</v>
      </c>
      <c r="W12232" t="s">
        <v>33424</v>
      </c>
    </row>
    <row r="12233" ht="15" customHeight="1" spans="1:22" x14ac:dyDescent="0.25">
      <c r="A12233" s="17" t="s">
        <v>33425</v>
      </c>
      <c r="B12233" s="17" t="s">
        <v>70</v>
      </c>
      <c r="C12233" s="17" t="s">
        <v>71</v>
      </c>
      <c r="D12233" t="s">
        <v>33426</v>
      </c>
      <c r="F12233" t="s">
        <v>33427</v>
      </c>
      <c r="J12233" s="17" t="s">
        <v>33428</v>
      </c>
      <c r="K12233" s="18">
        <f>628122000081</f>
        <v>628122000081</v>
      </c>
      <c r="N12233" s="17" t="s">
        <v>81</v>
      </c>
      <c r="V12233" s="18">
        <f>628122000081</f>
        <v>628122000081</v>
      </c>
    </row>
    <row r="12234" ht="15" customHeight="1" spans="1:28" x14ac:dyDescent="0.25">
      <c r="A12234" s="17" t="s">
        <v>33429</v>
      </c>
      <c r="B12234" s="17" t="s">
        <v>70</v>
      </c>
      <c r="C12234" s="17" t="s">
        <v>71</v>
      </c>
      <c r="D12234" t="s">
        <v>33430</v>
      </c>
      <c r="F12234" t="s">
        <v>2159</v>
      </c>
      <c r="J12234" s="17" t="s">
        <v>33431</v>
      </c>
      <c r="K12234" s="18" t="s">
        <v>33432</v>
      </c>
      <c r="N12234" s="17" t="s">
        <v>77</v>
      </c>
      <c r="O12234" t="s">
        <v>117</v>
      </c>
      <c r="V12234" s="18" t="s">
        <v>33432</v>
      </c>
      <c r="Y12234" t="s">
        <v>190</v>
      </c>
      <c r="AA12234" t="s">
        <v>118</v>
      </c>
      <c r="AB12234" t="s">
        <v>119</v>
      </c>
    </row>
    <row r="12235" ht="15" customHeight="1" spans="1:27" x14ac:dyDescent="0.25">
      <c r="A12235" s="17" t="s">
        <v>33433</v>
      </c>
      <c r="B12235" s="17" t="s">
        <v>70</v>
      </c>
      <c r="C12235" s="17" t="s">
        <v>71</v>
      </c>
      <c r="D12235" t="s">
        <v>33434</v>
      </c>
      <c r="F12235" t="s">
        <v>2258</v>
      </c>
      <c r="J12235" s="17" t="s">
        <v>33435</v>
      </c>
      <c r="K12235" s="18">
        <f>628117100299</f>
        <v>628117100299</v>
      </c>
      <c r="N12235" s="17" t="s">
        <v>77</v>
      </c>
      <c r="U12235" s="17"/>
      <c r="V12235" s="18">
        <f>628117100299</f>
        <v>628117100299</v>
      </c>
      <c r="W12235" t="s">
        <v>33436</v>
      </c>
      <c r="Y12235" s="17" t="s">
        <v>217</v>
      </c>
      <c r="AA12235" s="17">
        <v>15811</v>
      </c>
    </row>
    <row r="12236" ht="15" customHeight="1" spans="1:22" x14ac:dyDescent="0.25">
      <c r="A12236" s="17" t="s">
        <v>33437</v>
      </c>
      <c r="B12236" s="17" t="s">
        <v>70</v>
      </c>
      <c r="C12236" s="17" t="s">
        <v>71</v>
      </c>
      <c r="D12236" t="s">
        <v>32873</v>
      </c>
      <c r="F12236" t="s">
        <v>32873</v>
      </c>
      <c r="K12236" s="18">
        <f>62811110700</f>
        <v>62811110700</v>
      </c>
      <c r="N12236" s="17" t="s">
        <v>81</v>
      </c>
      <c r="V12236" s="18">
        <f>62811110700</f>
        <v>62811110700</v>
      </c>
    </row>
    <row r="12237" ht="15" customHeight="1" spans="1:22" x14ac:dyDescent="0.25">
      <c r="A12237" s="17" t="s">
        <v>33438</v>
      </c>
      <c r="B12237" s="17" t="s">
        <v>70</v>
      </c>
      <c r="C12237" s="17" t="s">
        <v>71</v>
      </c>
      <c r="D12237" t="s">
        <v>32873</v>
      </c>
      <c r="F12237" t="s">
        <v>32873</v>
      </c>
      <c r="K12237" s="18">
        <f>6281804658600</f>
        <v>6281804658600</v>
      </c>
      <c r="N12237" s="17" t="s">
        <v>77</v>
      </c>
      <c r="V12237" s="18">
        <f>6281804658600</f>
        <v>6281804658600</v>
      </c>
    </row>
    <row r="12238" ht="15" customHeight="1" spans="1:22" x14ac:dyDescent="0.25">
      <c r="A12238" s="17" t="s">
        <v>33439</v>
      </c>
      <c r="B12238" s="17" t="s">
        <v>70</v>
      </c>
      <c r="C12238" s="17" t="s">
        <v>71</v>
      </c>
      <c r="D12238" t="s">
        <v>32873</v>
      </c>
      <c r="F12238" t="s">
        <v>32873</v>
      </c>
      <c r="K12238" s="18">
        <f>6281322221619</f>
        <v>6281322221619</v>
      </c>
      <c r="N12238" s="17" t="s">
        <v>77</v>
      </c>
      <c r="V12238" s="18">
        <f>6281322221619</f>
        <v>6281322221619</v>
      </c>
    </row>
    <row r="12239" ht="15" customHeight="1" spans="1:23" x14ac:dyDescent="0.25">
      <c r="A12239" s="17" t="s">
        <v>33440</v>
      </c>
      <c r="B12239" s="17" t="s">
        <v>70</v>
      </c>
      <c r="C12239" s="17" t="s">
        <v>71</v>
      </c>
      <c r="D12239" t="s">
        <v>32873</v>
      </c>
      <c r="F12239" t="s">
        <v>1208</v>
      </c>
      <c r="K12239" s="18">
        <f>62818881094</f>
        <v>62818881094</v>
      </c>
      <c r="N12239" s="17" t="s">
        <v>77</v>
      </c>
      <c r="U12239" s="17"/>
      <c r="V12239" s="18">
        <f>62818881094</f>
        <v>62818881094</v>
      </c>
      <c r="W12239" t="s">
        <v>33441</v>
      </c>
    </row>
    <row r="12240" ht="15" customHeight="1" spans="1:28" x14ac:dyDescent="0.25">
      <c r="A12240" s="17" t="s">
        <v>33442</v>
      </c>
      <c r="B12240" s="17" t="s">
        <v>70</v>
      </c>
      <c r="C12240" s="17" t="s">
        <v>71</v>
      </c>
      <c r="D12240" t="s">
        <v>33443</v>
      </c>
      <c r="F12240" t="s">
        <v>3008</v>
      </c>
      <c r="J12240" t="s">
        <v>115</v>
      </c>
      <c r="K12240" s="18" t="s">
        <v>33444</v>
      </c>
      <c r="N12240" s="17" t="s">
        <v>74</v>
      </c>
      <c r="O12240" t="s">
        <v>117</v>
      </c>
      <c r="V12240" s="18" t="s">
        <v>33444</v>
      </c>
      <c r="Y12240" t="s">
        <v>90</v>
      </c>
      <c r="AA12240" t="s">
        <v>118</v>
      </c>
      <c r="AB12240" t="s">
        <v>119</v>
      </c>
    </row>
    <row r="12241" ht="15" customHeight="1" spans="1:25" x14ac:dyDescent="0.25">
      <c r="A12241" s="17" t="s">
        <v>33445</v>
      </c>
      <c r="B12241" s="17" t="s">
        <v>70</v>
      </c>
      <c r="C12241" s="17" t="s">
        <v>71</v>
      </c>
      <c r="D12241" t="s">
        <v>32873</v>
      </c>
      <c r="F12241" t="s">
        <v>33446</v>
      </c>
      <c r="K12241" s="18">
        <f>6282122211119</f>
        <v>6282122211119</v>
      </c>
      <c r="N12241" s="17" t="s">
        <v>81</v>
      </c>
      <c r="U12241" s="17"/>
      <c r="V12241" s="18">
        <f>6282122211119</f>
        <v>6282122211119</v>
      </c>
      <c r="W12241" t="s">
        <v>33447</v>
      </c>
      <c r="Y12241" s="17" t="s">
        <v>1084</v>
      </c>
    </row>
    <row r="12242" ht="15" customHeight="1" spans="1:22" x14ac:dyDescent="0.25">
      <c r="A12242" s="17" t="s">
        <v>33448</v>
      </c>
      <c r="B12242" s="17" t="s">
        <v>70</v>
      </c>
      <c r="C12242" s="17" t="s">
        <v>71</v>
      </c>
      <c r="D12242" t="s">
        <v>32873</v>
      </c>
      <c r="F12242" t="s">
        <v>4554</v>
      </c>
      <c r="K12242" s="18">
        <f>6281393375888</f>
        <v>6281393375888</v>
      </c>
      <c r="N12242" s="17" t="s">
        <v>81</v>
      </c>
      <c r="V12242" s="18">
        <f>6281393375888</f>
        <v>6281393375888</v>
      </c>
    </row>
    <row r="12243" ht="15" customHeight="1" spans="1:22" x14ac:dyDescent="0.25">
      <c r="A12243" s="17" t="s">
        <v>33449</v>
      </c>
      <c r="B12243" s="17" t="s">
        <v>70</v>
      </c>
      <c r="C12243" s="17" t="s">
        <v>71</v>
      </c>
      <c r="D12243" t="s">
        <v>32873</v>
      </c>
      <c r="F12243" t="s">
        <v>33450</v>
      </c>
      <c r="K12243" s="18">
        <f>6281226014444</f>
        <v>6281226014444</v>
      </c>
      <c r="N12243" s="17" t="s">
        <v>81</v>
      </c>
      <c r="V12243" s="18">
        <f>6281226014444</f>
        <v>6281226014444</v>
      </c>
    </row>
    <row r="12244" ht="15" customHeight="1" spans="1:23" x14ac:dyDescent="0.25">
      <c r="A12244" s="17" t="s">
        <v>33451</v>
      </c>
      <c r="B12244" s="17" t="s">
        <v>70</v>
      </c>
      <c r="C12244" s="17" t="s">
        <v>71</v>
      </c>
      <c r="D12244" t="s">
        <v>32873</v>
      </c>
      <c r="F12244" t="s">
        <v>33452</v>
      </c>
      <c r="K12244" s="18">
        <f>6281234564956</f>
        <v>6281234564956</v>
      </c>
      <c r="N12244" s="17" t="s">
        <v>77</v>
      </c>
      <c r="U12244" s="17"/>
      <c r="V12244" s="18">
        <f>6281234564956</f>
        <v>6281234564956</v>
      </c>
      <c r="W12244" t="s">
        <v>33453</v>
      </c>
    </row>
    <row r="12245" ht="15" customHeight="1" spans="1:22" x14ac:dyDescent="0.25">
      <c r="A12245" s="17" t="s">
        <v>33454</v>
      </c>
      <c r="B12245" s="17" t="s">
        <v>70</v>
      </c>
      <c r="C12245" s="17" t="s">
        <v>71</v>
      </c>
      <c r="D12245" t="s">
        <v>32873</v>
      </c>
      <c r="F12245" t="s">
        <v>33455</v>
      </c>
      <c r="K12245" s="18">
        <f>6285697504444</f>
        <v>6285697504444</v>
      </c>
      <c r="N12245" s="17" t="s">
        <v>77</v>
      </c>
      <c r="V12245" s="18">
        <f>6285697504444</f>
        <v>6285697504444</v>
      </c>
    </row>
    <row r="12246" ht="15" customHeight="1" spans="1:27" x14ac:dyDescent="0.25">
      <c r="A12246" s="17" t="s">
        <v>33456</v>
      </c>
      <c r="B12246" s="17" t="s">
        <v>70</v>
      </c>
      <c r="C12246" s="17" t="s">
        <v>71</v>
      </c>
      <c r="D12246" t="s">
        <v>32873</v>
      </c>
      <c r="F12246" t="s">
        <v>33457</v>
      </c>
      <c r="K12246" s="18">
        <v>86611157</v>
      </c>
      <c r="N12246" s="17" t="s">
        <v>77</v>
      </c>
      <c r="U12246" s="17"/>
      <c r="V12246" s="18">
        <v>86611157</v>
      </c>
      <c r="W12246" t="s">
        <v>33458</v>
      </c>
      <c r="Y12246" s="17" t="s">
        <v>515</v>
      </c>
      <c r="AA12246" s="17" t="s">
        <v>33459</v>
      </c>
    </row>
    <row r="12247" ht="15" customHeight="1" spans="1:22" x14ac:dyDescent="0.25">
      <c r="A12247" s="17" t="s">
        <v>33460</v>
      </c>
      <c r="B12247" s="17" t="s">
        <v>70</v>
      </c>
      <c r="C12247" s="17" t="s">
        <v>71</v>
      </c>
      <c r="D12247" t="s">
        <v>32873</v>
      </c>
      <c r="F12247" t="s">
        <v>33461</v>
      </c>
      <c r="K12247" s="18">
        <f>628174713255</f>
        <v>628174713255</v>
      </c>
      <c r="N12247" s="17" t="s">
        <v>74</v>
      </c>
      <c r="V12247" s="18">
        <f>628174713255</f>
        <v>628174713255</v>
      </c>
    </row>
    <row r="12248" ht="15" customHeight="1" spans="1:22" x14ac:dyDescent="0.25">
      <c r="A12248" s="17" t="s">
        <v>33462</v>
      </c>
      <c r="B12248" s="17" t="s">
        <v>70</v>
      </c>
      <c r="C12248" s="17" t="s">
        <v>71</v>
      </c>
      <c r="D12248" t="s">
        <v>32873</v>
      </c>
      <c r="F12248" t="s">
        <v>5777</v>
      </c>
      <c r="K12248" s="18">
        <f>6281932642611</f>
        <v>6281932642611</v>
      </c>
      <c r="N12248" s="17" t="s">
        <v>77</v>
      </c>
      <c r="V12248" s="18">
        <f>6281932642611</f>
        <v>6281932642611</v>
      </c>
    </row>
    <row r="12249" ht="15" customHeight="1" spans="1:22" x14ac:dyDescent="0.25">
      <c r="A12249" s="17" t="s">
        <v>33463</v>
      </c>
      <c r="B12249" s="17" t="s">
        <v>70</v>
      </c>
      <c r="C12249" s="17" t="s">
        <v>71</v>
      </c>
      <c r="D12249" t="s">
        <v>32873</v>
      </c>
      <c r="F12249" t="s">
        <v>19460</v>
      </c>
      <c r="K12249" s="18">
        <f>628161853409</f>
        <v>628161853409</v>
      </c>
      <c r="N12249" s="17" t="s">
        <v>77</v>
      </c>
      <c r="V12249" s="18">
        <f>628161853409</f>
        <v>628161853409</v>
      </c>
    </row>
    <row r="12250" ht="15" customHeight="1" spans="1:28" x14ac:dyDescent="0.25">
      <c r="A12250" s="17" t="s">
        <v>33464</v>
      </c>
      <c r="B12250" s="17" t="s">
        <v>70</v>
      </c>
      <c r="C12250" s="17" t="s">
        <v>71</v>
      </c>
      <c r="D12250" t="s">
        <v>32873</v>
      </c>
      <c r="F12250" t="s">
        <v>5783</v>
      </c>
      <c r="J12250" t="s">
        <v>115</v>
      </c>
      <c r="K12250" s="18" t="s">
        <v>33465</v>
      </c>
      <c r="N12250" s="17" t="s">
        <v>77</v>
      </c>
      <c r="O12250" t="s">
        <v>117</v>
      </c>
      <c r="U12250" s="17"/>
      <c r="V12250" s="18" t="s">
        <v>33465</v>
      </c>
      <c r="W12250" t="s">
        <v>33466</v>
      </c>
      <c r="Y12250" t="s">
        <v>90</v>
      </c>
      <c r="AA12250" t="s">
        <v>118</v>
      </c>
      <c r="AB12250" t="s">
        <v>119</v>
      </c>
    </row>
    <row r="12251" ht="15" customHeight="1" spans="1:28" x14ac:dyDescent="0.25">
      <c r="A12251" s="17" t="s">
        <v>33467</v>
      </c>
      <c r="B12251" s="17" t="s">
        <v>70</v>
      </c>
      <c r="C12251" s="17" t="s">
        <v>71</v>
      </c>
      <c r="D12251" t="s">
        <v>32873</v>
      </c>
      <c r="F12251" t="s">
        <v>7169</v>
      </c>
      <c r="J12251" t="s">
        <v>115</v>
      </c>
      <c r="K12251" s="18" t="s">
        <v>33468</v>
      </c>
      <c r="N12251" s="17" t="s">
        <v>77</v>
      </c>
      <c r="O12251" t="s">
        <v>117</v>
      </c>
      <c r="V12251" s="18" t="s">
        <v>33468</v>
      </c>
      <c r="Y12251" t="s">
        <v>190</v>
      </c>
      <c r="AA12251" t="s">
        <v>118</v>
      </c>
      <c r="AB12251" t="s">
        <v>119</v>
      </c>
    </row>
    <row r="12252" ht="15" customHeight="1" spans="1:25" x14ac:dyDescent="0.25">
      <c r="A12252" s="17" t="s">
        <v>33469</v>
      </c>
      <c r="B12252" s="17" t="s">
        <v>70</v>
      </c>
      <c r="C12252" s="17" t="s">
        <v>71</v>
      </c>
      <c r="D12252" t="s">
        <v>32873</v>
      </c>
      <c r="F12252" t="s">
        <v>13443</v>
      </c>
      <c r="J12252" s="17" t="s">
        <v>33470</v>
      </c>
      <c r="K12252" s="18">
        <f>628129308247</f>
        <v>628129308247</v>
      </c>
      <c r="N12252" s="17" t="s">
        <v>77</v>
      </c>
      <c r="U12252" s="17"/>
      <c r="V12252" s="18">
        <f>628129308247</f>
        <v>628129308247</v>
      </c>
      <c r="W12252" t="s">
        <v>33471</v>
      </c>
      <c r="Y12252" s="17" t="s">
        <v>96</v>
      </c>
    </row>
    <row r="12253" ht="15" customHeight="1" spans="1:28" x14ac:dyDescent="0.25">
      <c r="A12253" s="17" t="s">
        <v>33472</v>
      </c>
      <c r="B12253" s="17" t="s">
        <v>70</v>
      </c>
      <c r="C12253" s="17" t="s">
        <v>71</v>
      </c>
      <c r="D12253" t="s">
        <v>32873</v>
      </c>
      <c r="F12253" t="s">
        <v>322</v>
      </c>
      <c r="J12253" t="s">
        <v>115</v>
      </c>
      <c r="K12253" s="18" t="s">
        <v>33473</v>
      </c>
      <c r="N12253" s="17" t="s">
        <v>74</v>
      </c>
      <c r="O12253" t="s">
        <v>489</v>
      </c>
      <c r="V12253" s="18" t="s">
        <v>33473</v>
      </c>
      <c r="Y12253" t="s">
        <v>115</v>
      </c>
      <c r="AA12253" t="s">
        <v>115</v>
      </c>
      <c r="AB12253" t="s">
        <v>119</v>
      </c>
    </row>
    <row r="12254" ht="15" customHeight="1" spans="1:28" x14ac:dyDescent="0.25">
      <c r="A12254" s="17" t="s">
        <v>33474</v>
      </c>
      <c r="B12254" s="17" t="s">
        <v>70</v>
      </c>
      <c r="C12254" s="17" t="s">
        <v>71</v>
      </c>
      <c r="D12254" t="s">
        <v>33475</v>
      </c>
      <c r="F12254" t="s">
        <v>33476</v>
      </c>
      <c r="J12254" s="17" t="s">
        <v>33477</v>
      </c>
      <c r="K12254" s="18" t="s">
        <v>33478</v>
      </c>
      <c r="N12254" s="17" t="s">
        <v>81</v>
      </c>
      <c r="O12254" t="s">
        <v>261</v>
      </c>
      <c r="U12254" s="17"/>
      <c r="V12254" s="18" t="s">
        <v>33478</v>
      </c>
      <c r="W12254" t="s">
        <v>33479</v>
      </c>
      <c r="Y12254" t="s">
        <v>378</v>
      </c>
      <c r="AA12254" s="17" t="s">
        <v>118</v>
      </c>
      <c r="AB12254" t="s">
        <v>119</v>
      </c>
    </row>
    <row r="12255" ht="15" customHeight="1" spans="1:28" x14ac:dyDescent="0.25">
      <c r="A12255" s="17" t="s">
        <v>33480</v>
      </c>
      <c r="B12255" s="17" t="s">
        <v>70</v>
      </c>
      <c r="C12255" s="17" t="s">
        <v>71</v>
      </c>
      <c r="D12255" t="s">
        <v>32873</v>
      </c>
      <c r="F12255" t="s">
        <v>8970</v>
      </c>
      <c r="J12255" t="s">
        <v>115</v>
      </c>
      <c r="K12255" s="18" t="s">
        <v>33481</v>
      </c>
      <c r="N12255" s="17" t="s">
        <v>77</v>
      </c>
      <c r="O12255" t="s">
        <v>261</v>
      </c>
      <c r="V12255" s="18" t="s">
        <v>33481</v>
      </c>
      <c r="Y12255" t="s">
        <v>90</v>
      </c>
      <c r="AA12255" t="s">
        <v>118</v>
      </c>
      <c r="AB12255" t="s">
        <v>119</v>
      </c>
    </row>
    <row r="12256" ht="15" customHeight="1" spans="1:22" x14ac:dyDescent="0.25">
      <c r="A12256" s="17" t="s">
        <v>33482</v>
      </c>
      <c r="B12256" s="17" t="s">
        <v>70</v>
      </c>
      <c r="C12256" s="17" t="s">
        <v>71</v>
      </c>
      <c r="D12256" t="s">
        <v>32873</v>
      </c>
      <c r="F12256" t="s">
        <v>20915</v>
      </c>
      <c r="K12256" s="18">
        <f>6281290931205</f>
        <v>6281290931205</v>
      </c>
      <c r="N12256" s="17" t="s">
        <v>74</v>
      </c>
      <c r="V12256" s="18">
        <f>6281290931205</f>
        <v>6281290931205</v>
      </c>
    </row>
    <row r="12257" ht="15" customHeight="1" spans="1:28" x14ac:dyDescent="0.25">
      <c r="A12257" s="17" t="s">
        <v>33483</v>
      </c>
      <c r="B12257" s="17" t="s">
        <v>70</v>
      </c>
      <c r="C12257" s="17" t="s">
        <v>71</v>
      </c>
      <c r="D12257" t="s">
        <v>32873</v>
      </c>
      <c r="F12257" t="s">
        <v>3346</v>
      </c>
      <c r="J12257" s="17" t="s">
        <v>33484</v>
      </c>
      <c r="K12257" s="18" t="s">
        <v>33485</v>
      </c>
      <c r="N12257" s="17" t="s">
        <v>77</v>
      </c>
      <c r="O12257" t="s">
        <v>145</v>
      </c>
      <c r="U12257" s="17"/>
      <c r="V12257" s="18" t="s">
        <v>33485</v>
      </c>
      <c r="W12257" t="s">
        <v>33486</v>
      </c>
      <c r="Y12257" t="s">
        <v>115</v>
      </c>
      <c r="AA12257" t="s">
        <v>115</v>
      </c>
      <c r="AB12257" t="s">
        <v>119</v>
      </c>
    </row>
    <row r="12258" ht="15" customHeight="1" spans="1:22" x14ac:dyDescent="0.25">
      <c r="A12258" s="17" t="s">
        <v>33487</v>
      </c>
      <c r="B12258" s="17" t="s">
        <v>70</v>
      </c>
      <c r="C12258" s="17" t="s">
        <v>71</v>
      </c>
      <c r="D12258" t="s">
        <v>32873</v>
      </c>
      <c r="F12258" t="s">
        <v>7860</v>
      </c>
      <c r="K12258" s="18">
        <f>62811901362</f>
        <v>62811901362</v>
      </c>
      <c r="N12258" s="17" t="s">
        <v>81</v>
      </c>
      <c r="V12258" s="18">
        <f>62811901362</f>
        <v>62811901362</v>
      </c>
    </row>
    <row r="12259" ht="15" customHeight="1" spans="1:25" x14ac:dyDescent="0.25">
      <c r="A12259" s="17" t="s">
        <v>33488</v>
      </c>
      <c r="B12259" s="17" t="s">
        <v>70</v>
      </c>
      <c r="C12259" s="17" t="s">
        <v>71</v>
      </c>
      <c r="D12259" t="s">
        <v>32873</v>
      </c>
      <c r="F12259" t="s">
        <v>1564</v>
      </c>
      <c r="K12259" s="18">
        <f>6281316983939</f>
        <v>6281316983939</v>
      </c>
      <c r="N12259" s="17" t="s">
        <v>77</v>
      </c>
      <c r="U12259" s="17"/>
      <c r="V12259" s="18">
        <f>6281316983939</f>
        <v>6281316983939</v>
      </c>
      <c r="W12259" t="s">
        <v>33489</v>
      </c>
      <c r="Y12259" s="17" t="s">
        <v>217</v>
      </c>
    </row>
    <row r="12260" ht="15" customHeight="1" spans="1:28" x14ac:dyDescent="0.25">
      <c r="A12260" s="17" t="s">
        <v>33490</v>
      </c>
      <c r="B12260" s="17" t="s">
        <v>70</v>
      </c>
      <c r="C12260" s="17" t="s">
        <v>71</v>
      </c>
      <c r="D12260" t="s">
        <v>32873</v>
      </c>
      <c r="F12260" t="s">
        <v>1564</v>
      </c>
      <c r="J12260" t="s">
        <v>115</v>
      </c>
      <c r="K12260" s="18" t="s">
        <v>33491</v>
      </c>
      <c r="N12260" s="17" t="s">
        <v>77</v>
      </c>
      <c r="O12260" t="s">
        <v>145</v>
      </c>
      <c r="U12260" s="17"/>
      <c r="V12260" s="18" t="s">
        <v>33491</v>
      </c>
      <c r="W12260" t="s">
        <v>33492</v>
      </c>
      <c r="Y12260" s="17" t="s">
        <v>90</v>
      </c>
      <c r="AA12260" s="17" t="s">
        <v>118</v>
      </c>
      <c r="AB12260" t="s">
        <v>119</v>
      </c>
    </row>
    <row r="12261" ht="15" customHeight="1" spans="1:22" x14ac:dyDescent="0.25">
      <c r="A12261" s="17" t="s">
        <v>33493</v>
      </c>
      <c r="B12261" s="17" t="s">
        <v>70</v>
      </c>
      <c r="C12261" s="17" t="s">
        <v>71</v>
      </c>
      <c r="D12261" t="s">
        <v>32873</v>
      </c>
      <c r="F12261" t="s">
        <v>2523</v>
      </c>
      <c r="K12261" s="18">
        <f>6281369509777</f>
        <v>6281369509777</v>
      </c>
      <c r="N12261" s="17" t="s">
        <v>77</v>
      </c>
      <c r="V12261" s="18">
        <f>6281369509777</f>
        <v>6281369509777</v>
      </c>
    </row>
    <row r="12262" ht="15" customHeight="1" spans="1:22" x14ac:dyDescent="0.25">
      <c r="A12262" s="17" t="s">
        <v>33494</v>
      </c>
      <c r="B12262" s="17" t="s">
        <v>70</v>
      </c>
      <c r="C12262" s="17" t="s">
        <v>71</v>
      </c>
      <c r="D12262" t="s">
        <v>33495</v>
      </c>
      <c r="F12262" t="s">
        <v>33495</v>
      </c>
      <c r="K12262" s="18">
        <f>62818218289</f>
        <v>62818218289</v>
      </c>
      <c r="N12262" s="17" t="s">
        <v>81</v>
      </c>
      <c r="V12262" s="18">
        <f>62818218289</f>
        <v>62818218289</v>
      </c>
    </row>
    <row r="12263" ht="15" customHeight="1" spans="1:22" x14ac:dyDescent="0.25">
      <c r="A12263" s="17" t="s">
        <v>33496</v>
      </c>
      <c r="B12263" s="17" t="s">
        <v>70</v>
      </c>
      <c r="C12263" s="17" t="s">
        <v>71</v>
      </c>
      <c r="D12263" t="s">
        <v>33497</v>
      </c>
      <c r="F12263" t="s">
        <v>33497</v>
      </c>
      <c r="K12263" s="18">
        <f>628161840980</f>
        <v>628161840980</v>
      </c>
      <c r="N12263" s="17" t="s">
        <v>81</v>
      </c>
      <c r="V12263" s="18">
        <f>628161840980</f>
        <v>628161840980</v>
      </c>
    </row>
    <row r="12264" ht="15" customHeight="1" spans="1:22" x14ac:dyDescent="0.25">
      <c r="A12264" s="17" t="s">
        <v>33498</v>
      </c>
      <c r="B12264" s="17" t="s">
        <v>70</v>
      </c>
      <c r="C12264" s="17" t="s">
        <v>71</v>
      </c>
      <c r="D12264" t="s">
        <v>33497</v>
      </c>
      <c r="F12264" t="s">
        <v>33497</v>
      </c>
      <c r="K12264" s="18">
        <f>6287782042052</f>
        <v>6287782042052</v>
      </c>
      <c r="N12264" s="17" t="s">
        <v>81</v>
      </c>
      <c r="V12264" s="18">
        <f>6287782042052</f>
        <v>6287782042052</v>
      </c>
    </row>
    <row r="12265" ht="15" customHeight="1" spans="1:28" x14ac:dyDescent="0.25">
      <c r="A12265" s="17" t="s">
        <v>33499</v>
      </c>
      <c r="B12265" s="17" t="s">
        <v>70</v>
      </c>
      <c r="C12265" s="17" t="s">
        <v>71</v>
      </c>
      <c r="D12265" t="s">
        <v>33500</v>
      </c>
      <c r="F12265" t="s">
        <v>4479</v>
      </c>
      <c r="J12265" s="17" t="s">
        <v>33501</v>
      </c>
      <c r="K12265" s="18" t="s">
        <v>33502</v>
      </c>
      <c r="N12265" s="17" t="s">
        <v>77</v>
      </c>
      <c r="O12265" t="s">
        <v>145</v>
      </c>
      <c r="V12265" s="18" t="s">
        <v>33502</v>
      </c>
      <c r="Y12265" t="s">
        <v>3948</v>
      </c>
      <c r="AA12265" t="s">
        <v>115</v>
      </c>
      <c r="AB12265" t="s">
        <v>119</v>
      </c>
    </row>
    <row r="12266" ht="15" customHeight="1" spans="1:22" x14ac:dyDescent="0.25">
      <c r="A12266" s="17" t="s">
        <v>33503</v>
      </c>
      <c r="B12266" s="17" t="s">
        <v>70</v>
      </c>
      <c r="C12266" s="17" t="s">
        <v>71</v>
      </c>
      <c r="D12266" t="s">
        <v>33497</v>
      </c>
      <c r="F12266" t="s">
        <v>33504</v>
      </c>
      <c r="K12266" s="18">
        <f>6281210398364</f>
        <v>6281210398364</v>
      </c>
      <c r="N12266" s="17" t="s">
        <v>74</v>
      </c>
      <c r="V12266" s="18">
        <f>6281210398364</f>
        <v>6281210398364</v>
      </c>
    </row>
    <row r="12267" ht="15" customHeight="1" spans="1:22" x14ac:dyDescent="0.25">
      <c r="A12267" s="17" t="s">
        <v>33505</v>
      </c>
      <c r="B12267" s="17" t="s">
        <v>70</v>
      </c>
      <c r="C12267" s="17" t="s">
        <v>71</v>
      </c>
      <c r="D12267" t="s">
        <v>33497</v>
      </c>
      <c r="F12267" t="s">
        <v>13212</v>
      </c>
      <c r="K12267" s="18">
        <f>6281908341468</f>
        <v>6281908341468</v>
      </c>
      <c r="N12267" s="17" t="s">
        <v>77</v>
      </c>
      <c r="V12267" s="18">
        <f>6281908341468</f>
        <v>6281908341468</v>
      </c>
    </row>
    <row r="12268" ht="15" customHeight="1" spans="1:22" x14ac:dyDescent="0.25">
      <c r="A12268" s="17" t="s">
        <v>33506</v>
      </c>
      <c r="B12268" s="17" t="s">
        <v>70</v>
      </c>
      <c r="C12268" s="17" t="s">
        <v>71</v>
      </c>
      <c r="D12268" t="s">
        <v>33497</v>
      </c>
      <c r="F12268" t="s">
        <v>33507</v>
      </c>
      <c r="K12268" s="18">
        <f>6281316399909</f>
        <v>6281316399909</v>
      </c>
      <c r="N12268" s="17" t="s">
        <v>81</v>
      </c>
      <c r="V12268" s="18">
        <f>6281316399909</f>
        <v>6281316399909</v>
      </c>
    </row>
    <row r="12269" ht="15" customHeight="1" spans="1:28" x14ac:dyDescent="0.25">
      <c r="A12269" s="17" t="s">
        <v>33508</v>
      </c>
      <c r="B12269" s="17" t="s">
        <v>70</v>
      </c>
      <c r="C12269" s="17" t="s">
        <v>71</v>
      </c>
      <c r="D12269" t="s">
        <v>33497</v>
      </c>
      <c r="F12269" t="s">
        <v>33509</v>
      </c>
      <c r="J12269" t="s">
        <v>115</v>
      </c>
      <c r="K12269" s="18" t="s">
        <v>33510</v>
      </c>
      <c r="N12269" s="17" t="s">
        <v>77</v>
      </c>
      <c r="O12269" t="s">
        <v>489</v>
      </c>
      <c r="U12269" s="17"/>
      <c r="V12269" s="18" t="s">
        <v>33510</v>
      </c>
      <c r="W12269" t="s">
        <v>33511</v>
      </c>
      <c r="Y12269" t="s">
        <v>190</v>
      </c>
      <c r="AA12269" t="s">
        <v>118</v>
      </c>
      <c r="AB12269" t="s">
        <v>119</v>
      </c>
    </row>
    <row r="12270" ht="15" customHeight="1" spans="1:22" x14ac:dyDescent="0.25">
      <c r="A12270" s="17" t="s">
        <v>33512</v>
      </c>
      <c r="B12270" s="17" t="s">
        <v>70</v>
      </c>
      <c r="C12270" s="17" t="s">
        <v>71</v>
      </c>
      <c r="D12270" t="s">
        <v>33497</v>
      </c>
      <c r="F12270" t="s">
        <v>2833</v>
      </c>
      <c r="K12270" s="18">
        <f>6281319205677</f>
        <v>6281319205677</v>
      </c>
      <c r="N12270" s="17" t="s">
        <v>77</v>
      </c>
      <c r="V12270" s="18">
        <f>6281319205677</f>
        <v>6281319205677</v>
      </c>
    </row>
    <row r="12271" ht="15" customHeight="1" spans="1:28" x14ac:dyDescent="0.25">
      <c r="A12271" s="17" t="s">
        <v>33513</v>
      </c>
      <c r="B12271" s="17" t="s">
        <v>70</v>
      </c>
      <c r="C12271" s="17" t="s">
        <v>71</v>
      </c>
      <c r="D12271" t="s">
        <v>33497</v>
      </c>
      <c r="F12271" t="s">
        <v>33514</v>
      </c>
      <c r="J12271" t="s">
        <v>115</v>
      </c>
      <c r="K12271" s="18" t="s">
        <v>33515</v>
      </c>
      <c r="N12271" s="17" t="s">
        <v>81</v>
      </c>
      <c r="O12271" t="s">
        <v>199</v>
      </c>
      <c r="V12271" s="18" t="s">
        <v>33515</v>
      </c>
      <c r="Y12271" t="s">
        <v>190</v>
      </c>
      <c r="AA12271" t="s">
        <v>118</v>
      </c>
      <c r="AB12271" t="s">
        <v>119</v>
      </c>
    </row>
    <row r="12272" ht="15" customHeight="1" spans="1:22" x14ac:dyDescent="0.25">
      <c r="A12272" s="17" t="s">
        <v>33516</v>
      </c>
      <c r="B12272" s="17" t="s">
        <v>70</v>
      </c>
      <c r="C12272" s="17" t="s">
        <v>71</v>
      </c>
      <c r="D12272" t="s">
        <v>33517</v>
      </c>
      <c r="F12272" t="s">
        <v>33517</v>
      </c>
      <c r="K12272" s="18">
        <f>6281995661150</f>
        <v>6281995661150</v>
      </c>
      <c r="N12272" s="17" t="s">
        <v>81</v>
      </c>
      <c r="V12272" s="18">
        <f>6281995661150</f>
        <v>6281995661150</v>
      </c>
    </row>
    <row r="12273" ht="15" customHeight="1" spans="1:22" x14ac:dyDescent="0.25">
      <c r="A12273" s="17" t="s">
        <v>33518</v>
      </c>
      <c r="B12273" s="17" t="s">
        <v>70</v>
      </c>
      <c r="C12273" s="17" t="s">
        <v>71</v>
      </c>
      <c r="D12273" t="s">
        <v>33517</v>
      </c>
      <c r="F12273" t="s">
        <v>33519</v>
      </c>
      <c r="K12273" s="18">
        <f>628170850776</f>
        <v>628170850776</v>
      </c>
      <c r="N12273" s="17" t="s">
        <v>77</v>
      </c>
      <c r="V12273" s="18">
        <f>628170850776</f>
        <v>628170850776</v>
      </c>
    </row>
    <row r="12274" ht="15" customHeight="1" spans="1:25" x14ac:dyDescent="0.25">
      <c r="A12274" s="17" t="s">
        <v>33520</v>
      </c>
      <c r="B12274" s="17" t="s">
        <v>70</v>
      </c>
      <c r="C12274" s="17" t="s">
        <v>71</v>
      </c>
      <c r="D12274" t="s">
        <v>33517</v>
      </c>
      <c r="F12274" t="s">
        <v>33521</v>
      </c>
      <c r="J12274" s="17" t="s">
        <v>33522</v>
      </c>
      <c r="K12274" s="18">
        <f>6281287124063</f>
        <v>6281287124063</v>
      </c>
      <c r="N12274" s="17" t="s">
        <v>81</v>
      </c>
      <c r="U12274" s="17"/>
      <c r="V12274" s="18">
        <f>6281287124063</f>
        <v>6281287124063</v>
      </c>
      <c r="W12274" t="s">
        <v>33523</v>
      </c>
      <c r="Y12274" s="17" t="s">
        <v>410</v>
      </c>
    </row>
    <row r="12275" ht="15" customHeight="1" spans="1:22" x14ac:dyDescent="0.25">
      <c r="A12275" s="17" t="s">
        <v>33524</v>
      </c>
      <c r="B12275" s="17" t="s">
        <v>70</v>
      </c>
      <c r="C12275" s="17" t="s">
        <v>71</v>
      </c>
      <c r="D12275" t="s">
        <v>33517</v>
      </c>
      <c r="F12275" t="s">
        <v>33525</v>
      </c>
      <c r="K12275" s="18" t="s">
        <v>33524</v>
      </c>
      <c r="N12275" s="17" t="s">
        <v>81</v>
      </c>
      <c r="V12275" s="18" t="s">
        <v>33524</v>
      </c>
    </row>
    <row r="12276" ht="15" customHeight="1" spans="1:28" x14ac:dyDescent="0.25">
      <c r="A12276" s="17" t="s">
        <v>33526</v>
      </c>
      <c r="B12276" s="17" t="s">
        <v>70</v>
      </c>
      <c r="C12276" s="17" t="s">
        <v>71</v>
      </c>
      <c r="D12276" t="s">
        <v>10099</v>
      </c>
      <c r="F12276" t="s">
        <v>6671</v>
      </c>
      <c r="J12276" t="s">
        <v>115</v>
      </c>
      <c r="K12276" s="18" t="s">
        <v>33527</v>
      </c>
      <c r="N12276" s="17" t="s">
        <v>77</v>
      </c>
      <c r="O12276" t="s">
        <v>117</v>
      </c>
      <c r="V12276" s="18" t="s">
        <v>33527</v>
      </c>
      <c r="Y12276" t="s">
        <v>190</v>
      </c>
      <c r="AA12276" t="s">
        <v>118</v>
      </c>
      <c r="AB12276" t="s">
        <v>119</v>
      </c>
    </row>
    <row r="12277" ht="15" customHeight="1" spans="1:22" x14ac:dyDescent="0.25">
      <c r="A12277" s="17" t="s">
        <v>33528</v>
      </c>
      <c r="B12277" s="17" t="s">
        <v>70</v>
      </c>
      <c r="C12277" s="17" t="s">
        <v>71</v>
      </c>
      <c r="D12277" t="s">
        <v>3155</v>
      </c>
      <c r="F12277" t="s">
        <v>33529</v>
      </c>
      <c r="K12277" s="18">
        <f>6281223329930</f>
        <v>6281223329930</v>
      </c>
      <c r="N12277" s="17" t="s">
        <v>81</v>
      </c>
      <c r="V12277" s="18">
        <f>6281223329930</f>
        <v>6281223329930</v>
      </c>
    </row>
    <row r="12278" ht="15" customHeight="1" spans="1:28" x14ac:dyDescent="0.25">
      <c r="A12278" s="17" t="s">
        <v>33530</v>
      </c>
      <c r="B12278" s="17" t="s">
        <v>70</v>
      </c>
      <c r="C12278" s="17" t="s">
        <v>71</v>
      </c>
      <c r="D12278" t="s">
        <v>33531</v>
      </c>
      <c r="F12278" t="s">
        <v>33531</v>
      </c>
      <c r="J12278" s="17" t="s">
        <v>33532</v>
      </c>
      <c r="K12278" s="18" t="s">
        <v>33533</v>
      </c>
      <c r="N12278" s="17" t="s">
        <v>77</v>
      </c>
      <c r="O12278" t="s">
        <v>145</v>
      </c>
      <c r="U12278" s="17"/>
      <c r="V12278" s="18" t="s">
        <v>33533</v>
      </c>
      <c r="W12278" t="s">
        <v>33534</v>
      </c>
      <c r="Y12278" s="17" t="s">
        <v>33535</v>
      </c>
      <c r="AA12278" s="17" t="s">
        <v>33536</v>
      </c>
      <c r="AB12278" t="s">
        <v>119</v>
      </c>
    </row>
    <row r="12279" ht="15" customHeight="1" spans="1:22" x14ac:dyDescent="0.25">
      <c r="A12279" s="17" t="s">
        <v>33537</v>
      </c>
      <c r="B12279" s="17" t="s">
        <v>70</v>
      </c>
      <c r="C12279" s="17" t="s">
        <v>71</v>
      </c>
      <c r="D12279" t="s">
        <v>33538</v>
      </c>
      <c r="F12279" t="s">
        <v>33538</v>
      </c>
      <c r="K12279" s="18">
        <f>620002</f>
        <v>620002</v>
      </c>
      <c r="N12279" s="17" t="s">
        <v>81</v>
      </c>
      <c r="V12279" s="18">
        <f>620002</f>
        <v>620002</v>
      </c>
    </row>
    <row r="12280" ht="15" customHeight="1" spans="1:27" x14ac:dyDescent="0.25">
      <c r="A12280" s="17" t="s">
        <v>33539</v>
      </c>
      <c r="B12280" s="17" t="s">
        <v>70</v>
      </c>
      <c r="C12280" s="17" t="s">
        <v>71</v>
      </c>
      <c r="D12280" t="s">
        <v>33538</v>
      </c>
      <c r="F12280" t="s">
        <v>33540</v>
      </c>
      <c r="J12280" s="17" t="s">
        <v>33541</v>
      </c>
      <c r="K12280" s="18">
        <f>6281808501092</f>
        <v>6281808501092</v>
      </c>
      <c r="N12280" s="17" t="s">
        <v>77</v>
      </c>
      <c r="U12280" s="17"/>
      <c r="V12280" s="18">
        <f>6281808501092</f>
        <v>6281808501092</v>
      </c>
      <c r="W12280" t="s">
        <v>33542</v>
      </c>
      <c r="Y12280" s="17" t="s">
        <v>96</v>
      </c>
      <c r="AA12280" s="17">
        <v>12450</v>
      </c>
    </row>
    <row r="12281" ht="15" customHeight="1" spans="1:28" x14ac:dyDescent="0.25">
      <c r="A12281" s="17" t="s">
        <v>33543</v>
      </c>
      <c r="B12281" s="17" t="s">
        <v>70</v>
      </c>
      <c r="C12281" s="17" t="s">
        <v>71</v>
      </c>
      <c r="D12281" t="s">
        <v>32384</v>
      </c>
      <c r="F12281" t="s">
        <v>32384</v>
      </c>
      <c r="J12281" t="s">
        <v>115</v>
      </c>
      <c r="K12281" s="18" t="s">
        <v>33544</v>
      </c>
      <c r="N12281" s="17" t="s">
        <v>74</v>
      </c>
      <c r="O12281" t="s">
        <v>261</v>
      </c>
      <c r="U12281" s="17"/>
      <c r="V12281" s="18" t="s">
        <v>33544</v>
      </c>
      <c r="W12281" t="s">
        <v>33545</v>
      </c>
      <c r="Y12281" s="17" t="s">
        <v>96</v>
      </c>
      <c r="AA12281" s="17" t="s">
        <v>693</v>
      </c>
      <c r="AB12281" t="s">
        <v>119</v>
      </c>
    </row>
    <row r="12282" ht="15" customHeight="1" spans="1:22" x14ac:dyDescent="0.25">
      <c r="A12282" s="17" t="s">
        <v>33546</v>
      </c>
      <c r="B12282" s="17" t="s">
        <v>70</v>
      </c>
      <c r="C12282" s="17" t="s">
        <v>71</v>
      </c>
      <c r="D12282" t="s">
        <v>32384</v>
      </c>
      <c r="F12282" t="s">
        <v>33547</v>
      </c>
      <c r="K12282" s="18">
        <f>62811900026</f>
        <v>62811900026</v>
      </c>
      <c r="N12282" s="17" t="s">
        <v>74</v>
      </c>
      <c r="V12282" s="18">
        <f>62811900026</f>
        <v>62811900026</v>
      </c>
    </row>
    <row r="12283" ht="15" customHeight="1" spans="1:22" x14ac:dyDescent="0.25">
      <c r="A12283" s="17" t="s">
        <v>33548</v>
      </c>
      <c r="B12283" s="17" t="s">
        <v>70</v>
      </c>
      <c r="C12283" s="17" t="s">
        <v>71</v>
      </c>
      <c r="D12283" t="s">
        <v>33549</v>
      </c>
      <c r="F12283" t="s">
        <v>33549</v>
      </c>
      <c r="K12283" s="18">
        <f>628119994789</f>
        <v>628119994789</v>
      </c>
      <c r="N12283" s="17" t="s">
        <v>81</v>
      </c>
      <c r="V12283" s="18">
        <f>628119994789</f>
        <v>628119994789</v>
      </c>
    </row>
    <row r="12284" ht="15" customHeight="1" spans="1:28" x14ac:dyDescent="0.25">
      <c r="A12284" s="17" t="s">
        <v>33550</v>
      </c>
      <c r="B12284" s="17" t="s">
        <v>70</v>
      </c>
      <c r="C12284" s="17" t="s">
        <v>71</v>
      </c>
      <c r="D12284" t="s">
        <v>33551</v>
      </c>
      <c r="F12284" t="s">
        <v>33552</v>
      </c>
      <c r="J12284" s="17" t="s">
        <v>33553</v>
      </c>
      <c r="K12284" s="18" t="s">
        <v>33554</v>
      </c>
      <c r="N12284" s="17" t="s">
        <v>77</v>
      </c>
      <c r="O12284" t="s">
        <v>199</v>
      </c>
      <c r="U12284" s="17"/>
      <c r="V12284" s="18" t="s">
        <v>33554</v>
      </c>
      <c r="W12284" t="s">
        <v>1046</v>
      </c>
      <c r="Y12284" t="s">
        <v>1046</v>
      </c>
      <c r="AA12284" t="s">
        <v>115</v>
      </c>
      <c r="AB12284" t="s">
        <v>1046</v>
      </c>
    </row>
    <row r="12285" ht="15" customHeight="1" spans="1:28" x14ac:dyDescent="0.25">
      <c r="A12285" s="17" t="s">
        <v>33555</v>
      </c>
      <c r="B12285" s="17" t="s">
        <v>70</v>
      </c>
      <c r="C12285" s="17" t="s">
        <v>71</v>
      </c>
      <c r="D12285" t="s">
        <v>33556</v>
      </c>
      <c r="F12285" t="s">
        <v>3369</v>
      </c>
      <c r="J12285" t="s">
        <v>115</v>
      </c>
      <c r="K12285" s="18" t="s">
        <v>33557</v>
      </c>
      <c r="N12285" s="17" t="s">
        <v>77</v>
      </c>
      <c r="O12285" t="s">
        <v>117</v>
      </c>
      <c r="U12285" s="17"/>
      <c r="V12285" s="18" t="s">
        <v>33557</v>
      </c>
      <c r="W12285" t="s">
        <v>33558</v>
      </c>
      <c r="Y12285" s="17" t="s">
        <v>90</v>
      </c>
      <c r="AA12285" t="s">
        <v>118</v>
      </c>
      <c r="AB12285" t="s">
        <v>119</v>
      </c>
    </row>
    <row r="12286" ht="15" customHeight="1" spans="1:22" x14ac:dyDescent="0.25">
      <c r="A12286" s="17" t="s">
        <v>33559</v>
      </c>
      <c r="B12286" s="17" t="s">
        <v>70</v>
      </c>
      <c r="C12286" s="17" t="s">
        <v>71</v>
      </c>
      <c r="D12286" t="s">
        <v>33443</v>
      </c>
      <c r="F12286" t="s">
        <v>33443</v>
      </c>
      <c r="K12286" s="18">
        <f>6281905551191</f>
        <v>6281905551191</v>
      </c>
      <c r="N12286" s="17" t="s">
        <v>81</v>
      </c>
      <c r="V12286" s="18">
        <f>6281905551191</f>
        <v>6281905551191</v>
      </c>
    </row>
    <row r="12287" ht="15" customHeight="1" spans="1:28" x14ac:dyDescent="0.25">
      <c r="A12287" s="17" t="s">
        <v>33560</v>
      </c>
      <c r="B12287" s="17" t="s">
        <v>70</v>
      </c>
      <c r="C12287" s="17" t="s">
        <v>71</v>
      </c>
      <c r="D12287" t="s">
        <v>33443</v>
      </c>
      <c r="F12287" t="s">
        <v>33561</v>
      </c>
      <c r="J12287" t="s">
        <v>115</v>
      </c>
      <c r="K12287" s="18" t="s">
        <v>33562</v>
      </c>
      <c r="N12287" s="17" t="s">
        <v>77</v>
      </c>
      <c r="O12287" t="s">
        <v>489</v>
      </c>
      <c r="U12287" s="17"/>
      <c r="V12287" s="18" t="s">
        <v>33562</v>
      </c>
      <c r="W12287" t="s">
        <v>33563</v>
      </c>
      <c r="Y12287" t="s">
        <v>115</v>
      </c>
      <c r="AA12287" t="s">
        <v>115</v>
      </c>
      <c r="AB12287" t="s">
        <v>119</v>
      </c>
    </row>
    <row r="12288" ht="15" customHeight="1" spans="1:28" x14ac:dyDescent="0.25">
      <c r="A12288" s="17" t="s">
        <v>33564</v>
      </c>
      <c r="B12288" s="17" t="s">
        <v>70</v>
      </c>
      <c r="C12288" s="17" t="s">
        <v>71</v>
      </c>
      <c r="D12288" t="s">
        <v>33565</v>
      </c>
      <c r="F12288" t="s">
        <v>1642</v>
      </c>
      <c r="J12288" t="s">
        <v>115</v>
      </c>
      <c r="K12288" s="18" t="s">
        <v>33566</v>
      </c>
      <c r="N12288" s="17" t="s">
        <v>81</v>
      </c>
      <c r="O12288" t="s">
        <v>261</v>
      </c>
      <c r="U12288" s="17"/>
      <c r="V12288" s="18" t="s">
        <v>33566</v>
      </c>
      <c r="W12288" t="s">
        <v>33567</v>
      </c>
      <c r="Y12288" s="17" t="s">
        <v>190</v>
      </c>
      <c r="AA12288" t="s">
        <v>118</v>
      </c>
      <c r="AB12288" t="s">
        <v>119</v>
      </c>
    </row>
    <row r="12289" ht="15" customHeight="1" spans="1:22" x14ac:dyDescent="0.25">
      <c r="A12289" s="17" t="s">
        <v>33568</v>
      </c>
      <c r="B12289" s="17" t="s">
        <v>70</v>
      </c>
      <c r="C12289" s="17" t="s">
        <v>71</v>
      </c>
      <c r="D12289" t="s">
        <v>33565</v>
      </c>
      <c r="F12289" t="s">
        <v>11291</v>
      </c>
      <c r="K12289" s="18">
        <f>62817739190</f>
        <v>62817739190</v>
      </c>
      <c r="N12289" s="17" t="s">
        <v>77</v>
      </c>
      <c r="V12289" s="18">
        <f>62817739190</f>
        <v>62817739190</v>
      </c>
    </row>
    <row r="12290" ht="15" customHeight="1" spans="1:22" x14ac:dyDescent="0.25">
      <c r="A12290" s="17" t="s">
        <v>33569</v>
      </c>
      <c r="B12290" s="17" t="s">
        <v>70</v>
      </c>
      <c r="C12290" s="17" t="s">
        <v>71</v>
      </c>
      <c r="D12290" t="s">
        <v>33570</v>
      </c>
      <c r="F12290" t="s">
        <v>7448</v>
      </c>
      <c r="J12290" s="17" t="s">
        <v>33571</v>
      </c>
      <c r="K12290" s="18">
        <f>6281286052553</f>
        <v>6281286052553</v>
      </c>
      <c r="N12290" s="17" t="s">
        <v>81</v>
      </c>
      <c r="V12290" s="18">
        <f>6281286052553</f>
        <v>6281286052553</v>
      </c>
    </row>
    <row r="12291" ht="15" customHeight="1" spans="1:28" x14ac:dyDescent="0.25">
      <c r="A12291" s="17" t="s">
        <v>33572</v>
      </c>
      <c r="B12291" s="17" t="s">
        <v>70</v>
      </c>
      <c r="C12291" s="17" t="s">
        <v>71</v>
      </c>
      <c r="D12291" t="s">
        <v>33573</v>
      </c>
      <c r="F12291" t="s">
        <v>33574</v>
      </c>
      <c r="J12291" s="17" t="s">
        <v>33575</v>
      </c>
      <c r="K12291" s="18" t="s">
        <v>33576</v>
      </c>
      <c r="N12291" s="17" t="s">
        <v>77</v>
      </c>
      <c r="O12291" t="s">
        <v>145</v>
      </c>
      <c r="V12291" s="18" t="s">
        <v>33576</v>
      </c>
      <c r="Y12291" t="s">
        <v>190</v>
      </c>
      <c r="AA12291" t="s">
        <v>118</v>
      </c>
      <c r="AB12291" t="s">
        <v>119</v>
      </c>
    </row>
    <row r="12292" ht="15" customHeight="1" spans="1:22" x14ac:dyDescent="0.25">
      <c r="A12292" s="17" t="s">
        <v>33577</v>
      </c>
      <c r="B12292" s="17" t="s">
        <v>70</v>
      </c>
      <c r="C12292" s="17" t="s">
        <v>71</v>
      </c>
      <c r="D12292" t="s">
        <v>29843</v>
      </c>
      <c r="F12292" t="s">
        <v>29843</v>
      </c>
      <c r="K12292" s="18">
        <f>6285678910677</f>
        <v>6285678910677</v>
      </c>
      <c r="N12292" s="17" t="s">
        <v>77</v>
      </c>
      <c r="V12292" s="18">
        <f>6285678910677</f>
        <v>6285678910677</v>
      </c>
    </row>
    <row r="12293" ht="15" customHeight="1" spans="1:22" x14ac:dyDescent="0.25">
      <c r="A12293" s="17" t="s">
        <v>33578</v>
      </c>
      <c r="B12293" s="17" t="s">
        <v>70</v>
      </c>
      <c r="C12293" s="17" t="s">
        <v>71</v>
      </c>
      <c r="D12293" t="s">
        <v>29843</v>
      </c>
      <c r="F12293" t="s">
        <v>29843</v>
      </c>
      <c r="K12293" s="18">
        <f>639777712766</f>
        <v>639777712766</v>
      </c>
      <c r="N12293" s="17" t="s">
        <v>77</v>
      </c>
      <c r="V12293" s="18">
        <f>639777712766</f>
        <v>639777712766</v>
      </c>
    </row>
    <row r="12294" ht="15" customHeight="1" spans="1:22" x14ac:dyDescent="0.25">
      <c r="A12294" s="17" t="s">
        <v>33579</v>
      </c>
      <c r="B12294" s="17" t="s">
        <v>70</v>
      </c>
      <c r="C12294" s="17" t="s">
        <v>71</v>
      </c>
      <c r="D12294" t="s">
        <v>29843</v>
      </c>
      <c r="F12294" t="s">
        <v>29843</v>
      </c>
      <c r="K12294" s="18">
        <f>447737335277</f>
        <v>447737335277</v>
      </c>
      <c r="N12294" s="17" t="s">
        <v>81</v>
      </c>
      <c r="V12294" s="18">
        <f>447737335277</f>
        <v>447737335277</v>
      </c>
    </row>
    <row r="12295" ht="15" customHeight="1" spans="1:28" x14ac:dyDescent="0.25">
      <c r="A12295" s="17" t="s">
        <v>33580</v>
      </c>
      <c r="B12295" s="17" t="s">
        <v>70</v>
      </c>
      <c r="C12295" s="17" t="s">
        <v>71</v>
      </c>
      <c r="D12295" t="s">
        <v>29843</v>
      </c>
      <c r="F12295" t="s">
        <v>29843</v>
      </c>
      <c r="J12295" t="s">
        <v>115</v>
      </c>
      <c r="K12295" s="18" t="s">
        <v>33581</v>
      </c>
      <c r="N12295" s="17" t="s">
        <v>81</v>
      </c>
      <c r="O12295" t="s">
        <v>117</v>
      </c>
      <c r="V12295" s="18" t="s">
        <v>33581</v>
      </c>
      <c r="Y12295" t="s">
        <v>190</v>
      </c>
      <c r="AA12295" t="s">
        <v>118</v>
      </c>
      <c r="AB12295" t="s">
        <v>119</v>
      </c>
    </row>
    <row r="12296" ht="15" customHeight="1" spans="1:22" x14ac:dyDescent="0.25">
      <c r="A12296" s="17" t="s">
        <v>33582</v>
      </c>
      <c r="B12296" s="17" t="s">
        <v>70</v>
      </c>
      <c r="C12296" s="17" t="s">
        <v>71</v>
      </c>
      <c r="D12296" t="s">
        <v>29843</v>
      </c>
      <c r="F12296" t="s">
        <v>33583</v>
      </c>
      <c r="K12296" s="18">
        <f>628111335605</f>
        <v>628111335605</v>
      </c>
      <c r="N12296" s="17" t="s">
        <v>77</v>
      </c>
      <c r="V12296" s="18">
        <f>628111335605</f>
        <v>628111335605</v>
      </c>
    </row>
    <row r="12297" ht="15" customHeight="1" spans="1:22" x14ac:dyDescent="0.25">
      <c r="A12297" s="17" t="s">
        <v>33584</v>
      </c>
      <c r="B12297" s="17" t="s">
        <v>70</v>
      </c>
      <c r="C12297" s="17" t="s">
        <v>71</v>
      </c>
      <c r="D12297" t="s">
        <v>29843</v>
      </c>
      <c r="F12297" t="s">
        <v>33585</v>
      </c>
      <c r="K12297" s="18">
        <f>6281288889896</f>
        <v>6281288889896</v>
      </c>
      <c r="N12297" s="17" t="s">
        <v>77</v>
      </c>
      <c r="V12297" s="18">
        <f>6281288889896</f>
        <v>6281288889896</v>
      </c>
    </row>
    <row r="12298" ht="15" customHeight="1" spans="1:28" x14ac:dyDescent="0.25">
      <c r="A12298" s="17" t="s">
        <v>33586</v>
      </c>
      <c r="B12298" s="17" t="s">
        <v>70</v>
      </c>
      <c r="C12298" s="17" t="s">
        <v>71</v>
      </c>
      <c r="D12298" t="s">
        <v>29843</v>
      </c>
      <c r="F12298" t="s">
        <v>21178</v>
      </c>
      <c r="J12298" t="s">
        <v>115</v>
      </c>
      <c r="K12298" s="18" t="s">
        <v>33587</v>
      </c>
      <c r="N12298" s="17" t="s">
        <v>81</v>
      </c>
      <c r="O12298" t="s">
        <v>199</v>
      </c>
      <c r="V12298" s="18" t="s">
        <v>33587</v>
      </c>
      <c r="Y12298" t="s">
        <v>115</v>
      </c>
      <c r="AA12298" t="s">
        <v>115</v>
      </c>
      <c r="AB12298" t="s">
        <v>119</v>
      </c>
    </row>
    <row r="12299" ht="15" customHeight="1" spans="1:22" x14ac:dyDescent="0.25">
      <c r="A12299" s="17" t="s">
        <v>33588</v>
      </c>
      <c r="B12299" s="17" t="s">
        <v>70</v>
      </c>
      <c r="C12299" s="17" t="s">
        <v>71</v>
      </c>
      <c r="D12299" t="s">
        <v>29843</v>
      </c>
      <c r="F12299" t="s">
        <v>1064</v>
      </c>
      <c r="K12299" s="18">
        <f>62818924755</f>
        <v>62818924755</v>
      </c>
      <c r="N12299" s="17" t="s">
        <v>74</v>
      </c>
      <c r="V12299" s="18">
        <f>62818924755</f>
        <v>62818924755</v>
      </c>
    </row>
    <row r="12300" ht="15" customHeight="1" spans="1:27" x14ac:dyDescent="0.25">
      <c r="A12300" s="17" t="s">
        <v>33589</v>
      </c>
      <c r="B12300" s="17" t="s">
        <v>70</v>
      </c>
      <c r="C12300" s="17" t="s">
        <v>71</v>
      </c>
      <c r="D12300" t="s">
        <v>29843</v>
      </c>
      <c r="F12300" t="s">
        <v>1754</v>
      </c>
      <c r="K12300" s="18">
        <f>628158259242</f>
        <v>628158259242</v>
      </c>
      <c r="N12300" s="17" t="s">
        <v>77</v>
      </c>
      <c r="U12300" s="17"/>
      <c r="V12300" s="18">
        <f>628158259242</f>
        <v>628158259242</v>
      </c>
      <c r="W12300" t="s">
        <v>33590</v>
      </c>
      <c r="Y12300" s="17" t="s">
        <v>378</v>
      </c>
      <c r="AA12300" s="17" t="s">
        <v>33591</v>
      </c>
    </row>
    <row r="12301" ht="15" customHeight="1" spans="1:28" x14ac:dyDescent="0.25">
      <c r="A12301" s="17" t="s">
        <v>33592</v>
      </c>
      <c r="B12301" s="17" t="s">
        <v>70</v>
      </c>
      <c r="C12301" s="17" t="s">
        <v>71</v>
      </c>
      <c r="D12301" t="s">
        <v>29843</v>
      </c>
      <c r="F12301" t="s">
        <v>1754</v>
      </c>
      <c r="J12301" t="s">
        <v>33593</v>
      </c>
      <c r="K12301" s="18" t="s">
        <v>33594</v>
      </c>
      <c r="N12301" s="17" t="s">
        <v>77</v>
      </c>
      <c r="O12301" t="s">
        <v>145</v>
      </c>
      <c r="V12301" s="18" t="s">
        <v>33594</v>
      </c>
      <c r="Y12301" t="s">
        <v>90</v>
      </c>
      <c r="AA12301" t="s">
        <v>118</v>
      </c>
      <c r="AB12301" t="s">
        <v>119</v>
      </c>
    </row>
    <row r="12302" ht="15" customHeight="1" spans="1:28" x14ac:dyDescent="0.25">
      <c r="A12302" s="17" t="s">
        <v>33595</v>
      </c>
      <c r="B12302" s="17" t="s">
        <v>70</v>
      </c>
      <c r="C12302" s="17" t="s">
        <v>71</v>
      </c>
      <c r="D12302" t="s">
        <v>33596</v>
      </c>
      <c r="F12302" t="s">
        <v>15645</v>
      </c>
      <c r="J12302" t="s">
        <v>33597</v>
      </c>
      <c r="K12302" s="18" t="s">
        <v>33598</v>
      </c>
      <c r="N12302" s="17" t="s">
        <v>74</v>
      </c>
      <c r="O12302" t="s">
        <v>1188</v>
      </c>
      <c r="U12302" s="17"/>
      <c r="V12302" s="18" t="s">
        <v>33598</v>
      </c>
      <c r="W12302" t="s">
        <v>33599</v>
      </c>
      <c r="Y12302" t="s">
        <v>96</v>
      </c>
      <c r="AA12302" t="s">
        <v>693</v>
      </c>
      <c r="AB12302" t="s">
        <v>119</v>
      </c>
    </row>
    <row r="12303" ht="15" customHeight="1" spans="1:25" x14ac:dyDescent="0.25">
      <c r="A12303" s="17" t="s">
        <v>33600</v>
      </c>
      <c r="B12303" s="17" t="s">
        <v>70</v>
      </c>
      <c r="C12303" s="17" t="s">
        <v>71</v>
      </c>
      <c r="D12303" t="s">
        <v>29843</v>
      </c>
      <c r="F12303" t="s">
        <v>33601</v>
      </c>
      <c r="K12303" s="18">
        <v>3448486</v>
      </c>
      <c r="N12303" s="17" t="s">
        <v>77</v>
      </c>
      <c r="U12303" s="17"/>
      <c r="V12303" s="18">
        <v>3448486</v>
      </c>
      <c r="W12303" t="s">
        <v>33602</v>
      </c>
      <c r="Y12303" s="17" t="s">
        <v>378</v>
      </c>
    </row>
    <row r="12304" ht="15" customHeight="1" spans="1:22" x14ac:dyDescent="0.25">
      <c r="A12304" s="17" t="s">
        <v>33603</v>
      </c>
      <c r="B12304" s="17" t="s">
        <v>70</v>
      </c>
      <c r="C12304" s="17" t="s">
        <v>71</v>
      </c>
      <c r="D12304" t="s">
        <v>29843</v>
      </c>
      <c r="F12304" t="s">
        <v>32642</v>
      </c>
      <c r="K12304" s="18">
        <f>628164807266</f>
        <v>628164807266</v>
      </c>
      <c r="N12304" s="17" t="s">
        <v>77</v>
      </c>
      <c r="V12304" s="18">
        <f>628164807266</f>
        <v>628164807266</v>
      </c>
    </row>
    <row r="12305" ht="15" customHeight="1" spans="1:23" x14ac:dyDescent="0.25">
      <c r="A12305" s="17" t="s">
        <v>33604</v>
      </c>
      <c r="B12305" s="17" t="s">
        <v>70</v>
      </c>
      <c r="C12305" s="17" t="s">
        <v>71</v>
      </c>
      <c r="D12305" t="s">
        <v>29843</v>
      </c>
      <c r="F12305" t="s">
        <v>9613</v>
      </c>
      <c r="K12305" s="18">
        <f>628129267906</f>
        <v>628129267906</v>
      </c>
      <c r="N12305" s="17" t="s">
        <v>81</v>
      </c>
      <c r="U12305" s="17"/>
      <c r="V12305" s="18">
        <f>628129267906</f>
        <v>628129267906</v>
      </c>
      <c r="W12305" t="s">
        <v>33605</v>
      </c>
    </row>
    <row r="12306" ht="15" customHeight="1" spans="1:22" x14ac:dyDescent="0.25">
      <c r="A12306" s="17" t="s">
        <v>33606</v>
      </c>
      <c r="B12306" s="17" t="s">
        <v>70</v>
      </c>
      <c r="C12306" s="17" t="s">
        <v>71</v>
      </c>
      <c r="D12306" t="s">
        <v>29843</v>
      </c>
      <c r="F12306" t="s">
        <v>33607</v>
      </c>
      <c r="K12306" s="18">
        <f>6287888853029</f>
        <v>6287888853029</v>
      </c>
      <c r="N12306" s="17" t="s">
        <v>77</v>
      </c>
      <c r="V12306" s="18">
        <f>6287888853029</f>
        <v>6287888853029</v>
      </c>
    </row>
    <row r="12307" ht="15" customHeight="1" spans="1:22" x14ac:dyDescent="0.25">
      <c r="A12307" s="17" t="s">
        <v>33608</v>
      </c>
      <c r="B12307" s="17" t="s">
        <v>70</v>
      </c>
      <c r="C12307" s="17" t="s">
        <v>71</v>
      </c>
      <c r="D12307" t="s">
        <v>29843</v>
      </c>
      <c r="F12307" t="s">
        <v>33609</v>
      </c>
      <c r="J12307" s="17" t="s">
        <v>33610</v>
      </c>
      <c r="K12307" s="18">
        <f>6591386207</f>
        <v>6591386207</v>
      </c>
      <c r="N12307" s="17" t="s">
        <v>77</v>
      </c>
      <c r="V12307" s="18">
        <f>6591386207</f>
        <v>6591386207</v>
      </c>
    </row>
    <row r="12308" ht="15" customHeight="1" spans="1:25" x14ac:dyDescent="0.25">
      <c r="A12308" s="17" t="s">
        <v>33611</v>
      </c>
      <c r="B12308" s="17" t="s">
        <v>70</v>
      </c>
      <c r="C12308" s="17" t="s">
        <v>71</v>
      </c>
      <c r="D12308" t="s">
        <v>29843</v>
      </c>
      <c r="F12308" t="s">
        <v>33612</v>
      </c>
      <c r="J12308" s="17" t="s">
        <v>33613</v>
      </c>
      <c r="K12308" s="18">
        <f>62811803339</f>
        <v>62811803339</v>
      </c>
      <c r="N12308" s="17" t="s">
        <v>74</v>
      </c>
      <c r="U12308" s="17"/>
      <c r="V12308" s="18">
        <f>62811803339</f>
        <v>62811803339</v>
      </c>
      <c r="W12308" t="s">
        <v>33614</v>
      </c>
      <c r="Y12308" s="17" t="s">
        <v>96</v>
      </c>
    </row>
    <row r="12309" ht="15" customHeight="1" spans="1:28" x14ac:dyDescent="0.25">
      <c r="A12309" s="17" t="s">
        <v>33615</v>
      </c>
      <c r="B12309" s="17" t="s">
        <v>70</v>
      </c>
      <c r="C12309" s="17" t="s">
        <v>71</v>
      </c>
      <c r="D12309" t="s">
        <v>29843</v>
      </c>
      <c r="F12309" t="s">
        <v>33616</v>
      </c>
      <c r="J12309" t="s">
        <v>115</v>
      </c>
      <c r="K12309" s="18" t="s">
        <v>33617</v>
      </c>
      <c r="N12309" s="17" t="s">
        <v>77</v>
      </c>
      <c r="O12309" t="s">
        <v>145</v>
      </c>
      <c r="U12309" s="17"/>
      <c r="V12309" s="18" t="s">
        <v>33617</v>
      </c>
      <c r="W12309" t="s">
        <v>33618</v>
      </c>
      <c r="Y12309" s="17" t="s">
        <v>90</v>
      </c>
      <c r="AA12309" t="s">
        <v>118</v>
      </c>
      <c r="AB12309" t="s">
        <v>119</v>
      </c>
    </row>
    <row r="12310" ht="15" customHeight="1" spans="1:28" x14ac:dyDescent="0.25">
      <c r="A12310" s="17" t="s">
        <v>33619</v>
      </c>
      <c r="B12310" s="17" t="s">
        <v>70</v>
      </c>
      <c r="C12310" s="17" t="s">
        <v>71</v>
      </c>
      <c r="D12310" t="s">
        <v>29843</v>
      </c>
      <c r="F12310" t="s">
        <v>1869</v>
      </c>
      <c r="J12310" s="17" t="s">
        <v>33620</v>
      </c>
      <c r="K12310" s="18" t="s">
        <v>33621</v>
      </c>
      <c r="N12310" s="17" t="s">
        <v>77</v>
      </c>
      <c r="O12310" t="s">
        <v>199</v>
      </c>
      <c r="V12310" s="18" t="s">
        <v>33621</v>
      </c>
      <c r="Y12310" t="s">
        <v>190</v>
      </c>
      <c r="AA12310" t="s">
        <v>118</v>
      </c>
      <c r="AB12310" t="s">
        <v>119</v>
      </c>
    </row>
    <row r="12311" ht="15" customHeight="1" spans="1:22" x14ac:dyDescent="0.25">
      <c r="A12311" s="17" t="s">
        <v>33622</v>
      </c>
      <c r="B12311" s="17" t="s">
        <v>70</v>
      </c>
      <c r="C12311" s="17" t="s">
        <v>71</v>
      </c>
      <c r="D12311" t="s">
        <v>33623</v>
      </c>
      <c r="F12311" t="s">
        <v>33624</v>
      </c>
      <c r="K12311" s="18">
        <f>6282110367292</f>
        <v>6282110367292</v>
      </c>
      <c r="N12311" s="17" t="s">
        <v>77</v>
      </c>
      <c r="V12311" s="18">
        <f>6282110367292</f>
        <v>6282110367292</v>
      </c>
    </row>
    <row r="12312" ht="15" customHeight="1" spans="1:22" x14ac:dyDescent="0.25">
      <c r="A12312" s="17" t="s">
        <v>33625</v>
      </c>
      <c r="B12312" s="17" t="s">
        <v>70</v>
      </c>
      <c r="C12312" s="17" t="s">
        <v>71</v>
      </c>
      <c r="D12312" t="s">
        <v>33626</v>
      </c>
      <c r="F12312" t="s">
        <v>7153</v>
      </c>
      <c r="K12312" s="18">
        <f>628118456622</f>
        <v>628118456622</v>
      </c>
      <c r="N12312" s="17" t="s">
        <v>77</v>
      </c>
      <c r="V12312" s="18">
        <f>628118456622</f>
        <v>628118456622</v>
      </c>
    </row>
    <row r="12313" ht="15" customHeight="1" spans="1:25" x14ac:dyDescent="0.25">
      <c r="A12313" s="17" t="s">
        <v>33627</v>
      </c>
      <c r="B12313" s="17" t="s">
        <v>70</v>
      </c>
      <c r="C12313" s="17" t="s">
        <v>71</v>
      </c>
      <c r="D12313" t="s">
        <v>33628</v>
      </c>
      <c r="F12313" t="s">
        <v>33629</v>
      </c>
      <c r="J12313" s="17" t="s">
        <v>33630</v>
      </c>
      <c r="K12313" s="18">
        <f>6285893647705</f>
        <v>6285893647705</v>
      </c>
      <c r="N12313" s="17" t="s">
        <v>77</v>
      </c>
      <c r="U12313" s="17"/>
      <c r="V12313" s="18">
        <f>6285893647705</f>
        <v>6285893647705</v>
      </c>
      <c r="W12313" t="s">
        <v>33631</v>
      </c>
      <c r="Y12313" s="17" t="s">
        <v>626</v>
      </c>
    </row>
    <row r="12314" ht="15" customHeight="1" spans="1:28" x14ac:dyDescent="0.25">
      <c r="A12314" s="17" t="s">
        <v>33632</v>
      </c>
      <c r="B12314" s="17" t="s">
        <v>70</v>
      </c>
      <c r="C12314" s="17" t="s">
        <v>71</v>
      </c>
      <c r="D12314" t="s">
        <v>33633</v>
      </c>
      <c r="F12314" t="s">
        <v>33634</v>
      </c>
      <c r="J12314" s="17" t="s">
        <v>33635</v>
      </c>
      <c r="K12314" s="18" t="s">
        <v>33636</v>
      </c>
      <c r="N12314" s="17" t="s">
        <v>77</v>
      </c>
      <c r="O12314" t="s">
        <v>145</v>
      </c>
      <c r="U12314" s="17"/>
      <c r="V12314" s="18" t="s">
        <v>33636</v>
      </c>
      <c r="W12314" t="s">
        <v>33637</v>
      </c>
      <c r="Y12314" t="s">
        <v>190</v>
      </c>
      <c r="AA12314" t="s">
        <v>118</v>
      </c>
      <c r="AB12314" t="s">
        <v>119</v>
      </c>
    </row>
    <row r="12315" ht="15" customHeight="1" spans="1:22" x14ac:dyDescent="0.25">
      <c r="A12315" s="17" t="s">
        <v>33638</v>
      </c>
      <c r="B12315" s="17" t="s">
        <v>70</v>
      </c>
      <c r="C12315" s="17" t="s">
        <v>71</v>
      </c>
      <c r="D12315" t="s">
        <v>33639</v>
      </c>
      <c r="F12315" t="s">
        <v>33639</v>
      </c>
      <c r="K12315" s="18">
        <f>6281284093936</f>
        <v>6281284093936</v>
      </c>
      <c r="N12315" s="17" t="s">
        <v>81</v>
      </c>
      <c r="V12315" s="18">
        <f>6281284093936</f>
        <v>6281284093936</v>
      </c>
    </row>
    <row r="12316" ht="15" customHeight="1" spans="1:22" x14ac:dyDescent="0.25">
      <c r="A12316" s="17" t="s">
        <v>33640</v>
      </c>
      <c r="B12316" s="17" t="s">
        <v>70</v>
      </c>
      <c r="C12316" s="17" t="s">
        <v>71</v>
      </c>
      <c r="D12316" t="s">
        <v>33641</v>
      </c>
      <c r="F12316" t="s">
        <v>33641</v>
      </c>
      <c r="K12316" s="18">
        <f>6281381888188</f>
        <v>6281381888188</v>
      </c>
      <c r="N12316" s="17" t="s">
        <v>77</v>
      </c>
      <c r="V12316" s="18">
        <f>6281381888188</f>
        <v>6281381888188</v>
      </c>
    </row>
    <row r="12317" ht="15" customHeight="1" spans="1:22" x14ac:dyDescent="0.25">
      <c r="A12317" s="17" t="s">
        <v>33642</v>
      </c>
      <c r="B12317" s="17" t="s">
        <v>70</v>
      </c>
      <c r="C12317" s="17" t="s">
        <v>71</v>
      </c>
      <c r="D12317" t="s">
        <v>33641</v>
      </c>
      <c r="F12317" t="s">
        <v>33641</v>
      </c>
      <c r="K12317" s="18">
        <f>62818766915</f>
        <v>62818766915</v>
      </c>
      <c r="N12317" s="17" t="s">
        <v>77</v>
      </c>
      <c r="V12317" s="18">
        <f>62818766915</f>
        <v>62818766915</v>
      </c>
    </row>
    <row r="12318" ht="15" customHeight="1" spans="1:25" x14ac:dyDescent="0.25">
      <c r="A12318" s="17" t="s">
        <v>33643</v>
      </c>
      <c r="B12318" s="17" t="s">
        <v>70</v>
      </c>
      <c r="C12318" s="17" t="s">
        <v>71</v>
      </c>
      <c r="D12318" t="s">
        <v>33641</v>
      </c>
      <c r="F12318" t="s">
        <v>33641</v>
      </c>
      <c r="K12318" s="18">
        <f>62218314845</f>
        <v>62218314845</v>
      </c>
      <c r="N12318" s="17" t="s">
        <v>77</v>
      </c>
      <c r="U12318" s="17"/>
      <c r="V12318" s="18">
        <f>62218314845</f>
        <v>62218314845</v>
      </c>
      <c r="W12318" t="s">
        <v>33644</v>
      </c>
      <c r="Y12318" s="17" t="s">
        <v>90</v>
      </c>
    </row>
    <row r="12319" ht="15" customHeight="1" spans="1:22" x14ac:dyDescent="0.25">
      <c r="A12319" s="17" t="s">
        <v>33645</v>
      </c>
      <c r="B12319" s="17" t="s">
        <v>70</v>
      </c>
      <c r="C12319" s="17" t="s">
        <v>71</v>
      </c>
      <c r="D12319" t="s">
        <v>33641</v>
      </c>
      <c r="F12319" t="s">
        <v>33641</v>
      </c>
      <c r="K12319" s="18">
        <f>62816880547</f>
        <v>62816880547</v>
      </c>
      <c r="N12319" s="17" t="s">
        <v>81</v>
      </c>
      <c r="V12319" s="18">
        <f>62816880547</f>
        <v>62816880547</v>
      </c>
    </row>
    <row r="12320" ht="15" customHeight="1" spans="1:22" x14ac:dyDescent="0.25">
      <c r="A12320" s="17" t="s">
        <v>33646</v>
      </c>
      <c r="B12320" s="17" t="s">
        <v>70</v>
      </c>
      <c r="C12320" s="17" t="s">
        <v>71</v>
      </c>
      <c r="D12320" t="s">
        <v>33641</v>
      </c>
      <c r="F12320" t="s">
        <v>33641</v>
      </c>
      <c r="K12320" s="18">
        <f>62811883171</f>
        <v>62811883171</v>
      </c>
      <c r="N12320" s="17" t="s">
        <v>81</v>
      </c>
      <c r="V12320" s="18">
        <f>62811883171</f>
        <v>62811883171</v>
      </c>
    </row>
    <row r="12321" ht="15" customHeight="1" spans="1:28" x14ac:dyDescent="0.25">
      <c r="A12321" s="17" t="s">
        <v>33647</v>
      </c>
      <c r="B12321" s="17" t="s">
        <v>70</v>
      </c>
      <c r="C12321" s="17" t="s">
        <v>71</v>
      </c>
      <c r="D12321" t="s">
        <v>33641</v>
      </c>
      <c r="F12321" t="s">
        <v>2159</v>
      </c>
      <c r="J12321" t="s">
        <v>115</v>
      </c>
      <c r="K12321" s="18" t="s">
        <v>33648</v>
      </c>
      <c r="N12321" s="17" t="s">
        <v>74</v>
      </c>
      <c r="O12321" t="s">
        <v>117</v>
      </c>
      <c r="U12321" s="17"/>
      <c r="V12321" s="18" t="s">
        <v>33648</v>
      </c>
      <c r="W12321" t="s">
        <v>33649</v>
      </c>
      <c r="Y12321" t="s">
        <v>1084</v>
      </c>
      <c r="AA12321" t="s">
        <v>3146</v>
      </c>
      <c r="AB12321" t="s">
        <v>119</v>
      </c>
    </row>
    <row r="12322" ht="15" customHeight="1" spans="1:22" x14ac:dyDescent="0.25">
      <c r="A12322" s="17" t="s">
        <v>33650</v>
      </c>
      <c r="B12322" s="17" t="s">
        <v>70</v>
      </c>
      <c r="C12322" s="17" t="s">
        <v>71</v>
      </c>
      <c r="D12322" t="s">
        <v>33641</v>
      </c>
      <c r="F12322" t="s">
        <v>33651</v>
      </c>
      <c r="K12322" s="18">
        <f>628111892799</f>
        <v>628111892799</v>
      </c>
      <c r="N12322" s="17" t="s">
        <v>77</v>
      </c>
      <c r="V12322" s="18">
        <f>628111892799</f>
        <v>628111892799</v>
      </c>
    </row>
    <row r="12323" ht="15" customHeight="1" spans="1:22" x14ac:dyDescent="0.25">
      <c r="A12323" s="17" t="s">
        <v>33652</v>
      </c>
      <c r="B12323" s="17" t="s">
        <v>70</v>
      </c>
      <c r="C12323" s="17" t="s">
        <v>71</v>
      </c>
      <c r="D12323" t="s">
        <v>33641</v>
      </c>
      <c r="F12323" t="s">
        <v>33653</v>
      </c>
      <c r="K12323" s="18">
        <f>62816799626</f>
        <v>62816799626</v>
      </c>
      <c r="N12323" s="17" t="s">
        <v>77</v>
      </c>
      <c r="V12323" s="18">
        <f>62816799626</f>
        <v>62816799626</v>
      </c>
    </row>
    <row r="12324" ht="15" customHeight="1" spans="1:23" x14ac:dyDescent="0.25">
      <c r="A12324" s="17" t="s">
        <v>33654</v>
      </c>
      <c r="B12324" s="17" t="s">
        <v>70</v>
      </c>
      <c r="C12324" s="17" t="s">
        <v>71</v>
      </c>
      <c r="D12324" t="s">
        <v>33641</v>
      </c>
      <c r="F12324" t="s">
        <v>1169</v>
      </c>
      <c r="K12324" s="18">
        <f>6281285942031</f>
        <v>6281285942031</v>
      </c>
      <c r="N12324" s="17" t="s">
        <v>81</v>
      </c>
      <c r="U12324" s="17"/>
      <c r="V12324" s="18">
        <f>6281285942031</f>
        <v>6281285942031</v>
      </c>
      <c r="W12324" t="s">
        <v>33655</v>
      </c>
    </row>
    <row r="12325" ht="15" customHeight="1" spans="1:28" x14ac:dyDescent="0.25">
      <c r="A12325" s="17" t="s">
        <v>33656</v>
      </c>
      <c r="B12325" s="17" t="s">
        <v>70</v>
      </c>
      <c r="C12325" s="17" t="s">
        <v>71</v>
      </c>
      <c r="D12325" t="s">
        <v>33641</v>
      </c>
      <c r="F12325" t="s">
        <v>33657</v>
      </c>
      <c r="J12325" t="s">
        <v>115</v>
      </c>
      <c r="K12325" s="18" t="s">
        <v>33658</v>
      </c>
      <c r="N12325" s="17" t="s">
        <v>74</v>
      </c>
      <c r="O12325" t="s">
        <v>489</v>
      </c>
      <c r="U12325" s="17"/>
      <c r="V12325" s="18" t="s">
        <v>33658</v>
      </c>
      <c r="W12325" t="s">
        <v>33659</v>
      </c>
      <c r="Y12325" t="s">
        <v>96</v>
      </c>
      <c r="AA12325" t="s">
        <v>693</v>
      </c>
      <c r="AB12325" t="s">
        <v>119</v>
      </c>
    </row>
    <row r="12326" ht="15" customHeight="1" spans="1:28" x14ac:dyDescent="0.25">
      <c r="A12326" s="17" t="s">
        <v>33660</v>
      </c>
      <c r="B12326" s="17" t="s">
        <v>70</v>
      </c>
      <c r="C12326" s="17" t="s">
        <v>71</v>
      </c>
      <c r="D12326" t="s">
        <v>33641</v>
      </c>
      <c r="F12326" t="s">
        <v>33661</v>
      </c>
      <c r="J12326" s="17" t="s">
        <v>33662</v>
      </c>
      <c r="K12326" s="18" t="s">
        <v>33663</v>
      </c>
      <c r="N12326" s="17" t="s">
        <v>77</v>
      </c>
      <c r="O12326" t="s">
        <v>145</v>
      </c>
      <c r="V12326" s="18" t="s">
        <v>33663</v>
      </c>
      <c r="Y12326" t="s">
        <v>190</v>
      </c>
      <c r="AA12326" t="s">
        <v>118</v>
      </c>
      <c r="AB12326" t="s">
        <v>119</v>
      </c>
    </row>
    <row r="12327" ht="15" customHeight="1" spans="1:22" x14ac:dyDescent="0.25">
      <c r="A12327" s="17" t="s">
        <v>33664</v>
      </c>
      <c r="B12327" s="17" t="s">
        <v>70</v>
      </c>
      <c r="C12327" s="17" t="s">
        <v>71</v>
      </c>
      <c r="D12327" t="s">
        <v>33641</v>
      </c>
      <c r="F12327" t="s">
        <v>1589</v>
      </c>
      <c r="K12327" s="18">
        <f>6281399855009</f>
        <v>6281399855009</v>
      </c>
      <c r="N12327" s="17" t="s">
        <v>77</v>
      </c>
      <c r="V12327" s="18">
        <f>6281399855009</f>
        <v>6281399855009</v>
      </c>
    </row>
    <row r="12328" ht="15" customHeight="1" spans="1:25" x14ac:dyDescent="0.25">
      <c r="A12328" s="17" t="s">
        <v>33665</v>
      </c>
      <c r="B12328" s="17" t="s">
        <v>70</v>
      </c>
      <c r="C12328" s="17" t="s">
        <v>71</v>
      </c>
      <c r="D12328" t="s">
        <v>33641</v>
      </c>
      <c r="F12328" t="s">
        <v>131</v>
      </c>
      <c r="K12328" s="18">
        <f>62218317780</f>
        <v>62218317780</v>
      </c>
      <c r="N12328" s="17" t="s">
        <v>77</v>
      </c>
      <c r="U12328" s="17"/>
      <c r="V12328" s="18">
        <f>62218317780</f>
        <v>62218317780</v>
      </c>
      <c r="W12328" t="s">
        <v>33666</v>
      </c>
      <c r="Y12328" s="17" t="s">
        <v>90</v>
      </c>
    </row>
    <row r="12329" ht="15" customHeight="1" spans="1:28" x14ac:dyDescent="0.25">
      <c r="A12329" s="17" t="s">
        <v>33667</v>
      </c>
      <c r="B12329" s="17" t="s">
        <v>70</v>
      </c>
      <c r="C12329" s="17" t="s">
        <v>71</v>
      </c>
      <c r="D12329" t="s">
        <v>33641</v>
      </c>
      <c r="F12329" t="s">
        <v>153</v>
      </c>
      <c r="J12329" t="s">
        <v>33668</v>
      </c>
      <c r="K12329" s="18" t="s">
        <v>33669</v>
      </c>
      <c r="N12329" s="17" t="s">
        <v>77</v>
      </c>
      <c r="O12329" t="s">
        <v>117</v>
      </c>
      <c r="V12329" s="18" t="s">
        <v>33669</v>
      </c>
      <c r="Y12329" t="s">
        <v>190</v>
      </c>
      <c r="AA12329" t="s">
        <v>118</v>
      </c>
      <c r="AB12329" t="s">
        <v>119</v>
      </c>
    </row>
    <row r="12330" ht="15" customHeight="1" spans="1:25" x14ac:dyDescent="0.25">
      <c r="A12330" s="17" t="s">
        <v>33670</v>
      </c>
      <c r="B12330" s="17" t="s">
        <v>70</v>
      </c>
      <c r="C12330" s="17" t="s">
        <v>71</v>
      </c>
      <c r="D12330" t="s">
        <v>33641</v>
      </c>
      <c r="F12330" t="s">
        <v>2517</v>
      </c>
      <c r="J12330" s="17" t="s">
        <v>33671</v>
      </c>
      <c r="K12330" s="18">
        <f>6285857240001</f>
        <v>6285857240001</v>
      </c>
      <c r="N12330" s="17" t="s">
        <v>77</v>
      </c>
      <c r="V12330" s="18">
        <f>6285857240001</f>
        <v>6285857240001</v>
      </c>
      <c r="Y12330" s="17" t="s">
        <v>22986</v>
      </c>
    </row>
    <row r="12331" ht="15" customHeight="1" spans="1:23" x14ac:dyDescent="0.25">
      <c r="A12331" s="17" t="s">
        <v>33672</v>
      </c>
      <c r="B12331" s="17" t="s">
        <v>70</v>
      </c>
      <c r="C12331" s="17" t="s">
        <v>71</v>
      </c>
      <c r="D12331" t="s">
        <v>33641</v>
      </c>
      <c r="F12331" t="s">
        <v>11554</v>
      </c>
      <c r="K12331" s="18">
        <f>6281326634354</f>
        <v>6281326634354</v>
      </c>
      <c r="N12331" s="17" t="s">
        <v>81</v>
      </c>
      <c r="U12331" s="17"/>
      <c r="V12331" s="18">
        <f>6281326634354</f>
        <v>6281326634354</v>
      </c>
      <c r="W12331" t="s">
        <v>33673</v>
      </c>
    </row>
    <row r="12332" ht="15" customHeight="1" spans="1:28" x14ac:dyDescent="0.25">
      <c r="A12332" s="17" t="s">
        <v>33674</v>
      </c>
      <c r="B12332" s="17" t="s">
        <v>70</v>
      </c>
      <c r="C12332" s="17" t="s">
        <v>71</v>
      </c>
      <c r="D12332" t="s">
        <v>33641</v>
      </c>
      <c r="F12332" t="s">
        <v>672</v>
      </c>
      <c r="J12332" t="s">
        <v>115</v>
      </c>
      <c r="K12332" s="18" t="s">
        <v>33675</v>
      </c>
      <c r="N12332" s="17" t="s">
        <v>81</v>
      </c>
      <c r="O12332" t="s">
        <v>261</v>
      </c>
      <c r="V12332" s="18" t="s">
        <v>33675</v>
      </c>
      <c r="Y12332" t="s">
        <v>190</v>
      </c>
      <c r="AA12332" t="s">
        <v>118</v>
      </c>
      <c r="AB12332" t="s">
        <v>119</v>
      </c>
    </row>
    <row r="12333" ht="15" customHeight="1" spans="1:25" x14ac:dyDescent="0.25">
      <c r="A12333" s="17" t="s">
        <v>33676</v>
      </c>
      <c r="B12333" s="17" t="s">
        <v>70</v>
      </c>
      <c r="C12333" s="17" t="s">
        <v>71</v>
      </c>
      <c r="D12333" t="s">
        <v>33641</v>
      </c>
      <c r="F12333" t="s">
        <v>33677</v>
      </c>
      <c r="K12333" s="18">
        <f>628119473710</f>
        <v>628119473710</v>
      </c>
      <c r="N12333" s="17" t="s">
        <v>77</v>
      </c>
      <c r="U12333" s="17"/>
      <c r="V12333" s="18">
        <f>628119473710</f>
        <v>628119473710</v>
      </c>
      <c r="W12333" t="s">
        <v>33678</v>
      </c>
      <c r="Y12333" s="17" t="s">
        <v>33679</v>
      </c>
    </row>
    <row r="12334" ht="15" customHeight="1" spans="1:22" x14ac:dyDescent="0.25">
      <c r="A12334" s="17" t="s">
        <v>33680</v>
      </c>
      <c r="B12334" s="17" t="s">
        <v>70</v>
      </c>
      <c r="C12334" s="17" t="s">
        <v>71</v>
      </c>
      <c r="D12334" t="s">
        <v>33641</v>
      </c>
      <c r="F12334" t="s">
        <v>33681</v>
      </c>
      <c r="K12334" s="18">
        <f>6281379263333</f>
        <v>6281379263333</v>
      </c>
      <c r="N12334" s="17" t="s">
        <v>77</v>
      </c>
      <c r="V12334" s="18">
        <f>6281379263333</f>
        <v>6281379263333</v>
      </c>
    </row>
    <row r="12335" ht="15" customHeight="1" spans="1:22" x14ac:dyDescent="0.25">
      <c r="A12335" s="17" t="s">
        <v>33682</v>
      </c>
      <c r="B12335" s="17" t="s">
        <v>70</v>
      </c>
      <c r="C12335" s="17" t="s">
        <v>71</v>
      </c>
      <c r="D12335" t="s">
        <v>33683</v>
      </c>
      <c r="F12335" t="s">
        <v>33565</v>
      </c>
      <c r="K12335" s="18">
        <f>6281318447677</f>
        <v>6281318447677</v>
      </c>
      <c r="N12335" s="17" t="s">
        <v>81</v>
      </c>
      <c r="V12335" s="18">
        <f>6281318447677</f>
        <v>6281318447677</v>
      </c>
    </row>
    <row r="12336" ht="15" customHeight="1" spans="1:25" x14ac:dyDescent="0.25">
      <c r="A12336" s="17" t="s">
        <v>33684</v>
      </c>
      <c r="B12336" s="17" t="s">
        <v>70</v>
      </c>
      <c r="C12336" s="17" t="s">
        <v>71</v>
      </c>
      <c r="D12336" t="s">
        <v>33683</v>
      </c>
      <c r="F12336" t="s">
        <v>2730</v>
      </c>
      <c r="K12336" s="18">
        <f>6281287629078</f>
        <v>6281287629078</v>
      </c>
      <c r="N12336" s="17" t="s">
        <v>77</v>
      </c>
      <c r="U12336" s="17"/>
      <c r="V12336" s="18">
        <f>6281287629078</f>
        <v>6281287629078</v>
      </c>
      <c r="W12336" t="s">
        <v>33685</v>
      </c>
      <c r="Y12336" s="17" t="s">
        <v>6412</v>
      </c>
    </row>
    <row r="12337" ht="15" customHeight="1" spans="1:22" x14ac:dyDescent="0.25">
      <c r="A12337" s="17" t="s">
        <v>33686</v>
      </c>
      <c r="B12337" s="17" t="s">
        <v>70</v>
      </c>
      <c r="C12337" s="17" t="s">
        <v>71</v>
      </c>
      <c r="D12337" t="s">
        <v>33683</v>
      </c>
      <c r="F12337" t="s">
        <v>33687</v>
      </c>
      <c r="K12337" s="18">
        <f>6282161273560</f>
        <v>6282161273560</v>
      </c>
      <c r="N12337" s="17" t="s">
        <v>77</v>
      </c>
      <c r="V12337" s="18">
        <f>6282161273560</f>
        <v>6282161273560</v>
      </c>
    </row>
    <row r="12338" ht="15" customHeight="1" spans="1:22" x14ac:dyDescent="0.25">
      <c r="A12338" s="17" t="s">
        <v>33688</v>
      </c>
      <c r="B12338" s="17" t="s">
        <v>70</v>
      </c>
      <c r="C12338" s="17" t="s">
        <v>71</v>
      </c>
      <c r="D12338" t="s">
        <v>33689</v>
      </c>
      <c r="F12338" t="s">
        <v>301</v>
      </c>
      <c r="K12338" s="18">
        <f>6281905550567</f>
        <v>6281905550567</v>
      </c>
      <c r="N12338" s="17" t="s">
        <v>77</v>
      </c>
      <c r="V12338" s="18">
        <f>6281905550567</f>
        <v>6281905550567</v>
      </c>
    </row>
    <row r="12339" ht="15" customHeight="1" spans="1:22" x14ac:dyDescent="0.25">
      <c r="A12339" s="17" t="s">
        <v>33690</v>
      </c>
      <c r="B12339" s="17" t="s">
        <v>70</v>
      </c>
      <c r="C12339" s="17" t="s">
        <v>71</v>
      </c>
      <c r="D12339" t="s">
        <v>22365</v>
      </c>
      <c r="F12339" t="s">
        <v>33691</v>
      </c>
      <c r="K12339" s="18">
        <f>628111119978</f>
        <v>628111119978</v>
      </c>
      <c r="N12339" s="17" t="s">
        <v>77</v>
      </c>
      <c r="V12339" s="18">
        <f>628111119978</f>
        <v>628111119978</v>
      </c>
    </row>
    <row r="12340" ht="15" customHeight="1" spans="1:25" x14ac:dyDescent="0.25">
      <c r="A12340" s="17" t="s">
        <v>33692</v>
      </c>
      <c r="B12340" s="17" t="s">
        <v>70</v>
      </c>
      <c r="C12340" s="17" t="s">
        <v>71</v>
      </c>
      <c r="D12340" t="s">
        <v>22365</v>
      </c>
      <c r="F12340" t="s">
        <v>33693</v>
      </c>
      <c r="J12340" s="17" t="s">
        <v>33694</v>
      </c>
      <c r="K12340" s="18">
        <f>6281317468685</f>
        <v>6281317468685</v>
      </c>
      <c r="N12340" s="17" t="s">
        <v>81</v>
      </c>
      <c r="U12340" s="17"/>
      <c r="V12340" s="18">
        <f>6281317468685</f>
        <v>6281317468685</v>
      </c>
      <c r="W12340" t="s">
        <v>33695</v>
      </c>
      <c r="Y12340" s="17" t="s">
        <v>515</v>
      </c>
    </row>
    <row r="12341" ht="15" customHeight="1" spans="1:22" x14ac:dyDescent="0.25">
      <c r="A12341" s="17" t="s">
        <v>33696</v>
      </c>
      <c r="B12341" s="17" t="s">
        <v>70</v>
      </c>
      <c r="C12341" s="17" t="s">
        <v>71</v>
      </c>
      <c r="D12341" t="s">
        <v>22365</v>
      </c>
      <c r="F12341" t="s">
        <v>14080</v>
      </c>
      <c r="K12341" s="18">
        <f>6287725527788</f>
        <v>6287725527788</v>
      </c>
      <c r="N12341" s="17" t="s">
        <v>77</v>
      </c>
      <c r="V12341" s="18">
        <f>6287725527788</f>
        <v>6287725527788</v>
      </c>
    </row>
    <row r="12342" ht="15" customHeight="1" spans="1:25" x14ac:dyDescent="0.25">
      <c r="A12342" s="17" t="s">
        <v>33697</v>
      </c>
      <c r="B12342" s="17" t="s">
        <v>70</v>
      </c>
      <c r="C12342" s="17" t="s">
        <v>71</v>
      </c>
      <c r="D12342" t="s">
        <v>3723</v>
      </c>
      <c r="F12342" t="s">
        <v>3723</v>
      </c>
      <c r="K12342" s="18">
        <f>62218312255</f>
        <v>62218312255</v>
      </c>
      <c r="N12342" s="17" t="s">
        <v>77</v>
      </c>
      <c r="U12342" s="17"/>
      <c r="V12342" s="18">
        <f>62218312255</f>
        <v>62218312255</v>
      </c>
      <c r="W12342" t="s">
        <v>33698</v>
      </c>
      <c r="Y12342" s="17" t="s">
        <v>90</v>
      </c>
    </row>
    <row r="12343" ht="15" customHeight="1" spans="1:22" x14ac:dyDescent="0.25">
      <c r="A12343" s="17" t="s">
        <v>33699</v>
      </c>
      <c r="B12343" s="17" t="s">
        <v>70</v>
      </c>
      <c r="C12343" s="17" t="s">
        <v>71</v>
      </c>
      <c r="D12343" t="s">
        <v>3723</v>
      </c>
      <c r="F12343" t="s">
        <v>33700</v>
      </c>
      <c r="K12343" s="18">
        <f>628115999977</f>
        <v>628115999977</v>
      </c>
      <c r="N12343" s="17" t="s">
        <v>81</v>
      </c>
      <c r="V12343" s="18">
        <f>628115999977</f>
        <v>628115999977</v>
      </c>
    </row>
    <row r="12344" ht="15" customHeight="1" spans="1:22" x14ac:dyDescent="0.25">
      <c r="A12344" s="17" t="s">
        <v>33701</v>
      </c>
      <c r="B12344" s="17" t="s">
        <v>70</v>
      </c>
      <c r="C12344" s="17" t="s">
        <v>71</v>
      </c>
      <c r="D12344" t="s">
        <v>3723</v>
      </c>
      <c r="F12344" t="s">
        <v>11221</v>
      </c>
      <c r="K12344" s="18">
        <f>628118383131</f>
        <v>628118383131</v>
      </c>
      <c r="N12344" s="17" t="s">
        <v>77</v>
      </c>
      <c r="V12344" s="18">
        <f>628118383131</f>
        <v>628118383131</v>
      </c>
    </row>
    <row r="12345" ht="15" customHeight="1" spans="1:27" x14ac:dyDescent="0.25">
      <c r="A12345" s="17" t="s">
        <v>33702</v>
      </c>
      <c r="B12345" s="17" t="s">
        <v>70</v>
      </c>
      <c r="C12345" s="17" t="s">
        <v>71</v>
      </c>
      <c r="D12345" t="s">
        <v>3723</v>
      </c>
      <c r="F12345" t="s">
        <v>686</v>
      </c>
      <c r="K12345" s="18">
        <f>628889850888</f>
        <v>628889850888</v>
      </c>
      <c r="N12345" s="17" t="s">
        <v>77</v>
      </c>
      <c r="U12345" s="17"/>
      <c r="V12345" s="18">
        <f>628889850888</f>
        <v>628889850888</v>
      </c>
      <c r="W12345" t="s">
        <v>33703</v>
      </c>
      <c r="Y12345" s="17" t="s">
        <v>567</v>
      </c>
      <c r="AA12345" s="17">
        <v>16514</v>
      </c>
    </row>
    <row r="12346" ht="15" customHeight="1" spans="1:23" x14ac:dyDescent="0.25">
      <c r="A12346" s="17" t="s">
        <v>33704</v>
      </c>
      <c r="B12346" s="17" t="s">
        <v>70</v>
      </c>
      <c r="C12346" s="17" t="s">
        <v>71</v>
      </c>
      <c r="D12346" t="s">
        <v>3723</v>
      </c>
      <c r="F12346" t="s">
        <v>2004</v>
      </c>
      <c r="J12346" s="17" t="s">
        <v>33705</v>
      </c>
      <c r="K12346" s="18">
        <f>628128283510</f>
        <v>628128283510</v>
      </c>
      <c r="N12346" s="17" t="s">
        <v>81</v>
      </c>
      <c r="U12346" s="17"/>
      <c r="V12346" s="18">
        <f>628128283510</f>
        <v>628128283510</v>
      </c>
      <c r="W12346" t="s">
        <v>33706</v>
      </c>
    </row>
    <row r="12347" ht="15" customHeight="1" spans="1:25" x14ac:dyDescent="0.25">
      <c r="A12347" s="17" t="s">
        <v>33707</v>
      </c>
      <c r="B12347" s="17" t="s">
        <v>70</v>
      </c>
      <c r="C12347" s="17" t="s">
        <v>71</v>
      </c>
      <c r="D12347" t="s">
        <v>3723</v>
      </c>
      <c r="F12347" t="s">
        <v>672</v>
      </c>
      <c r="J12347" s="17" t="s">
        <v>33708</v>
      </c>
      <c r="K12347" s="18">
        <f>62816963411</f>
        <v>62816963411</v>
      </c>
      <c r="N12347" s="17" t="s">
        <v>77</v>
      </c>
      <c r="U12347" s="17"/>
      <c r="V12347" s="18">
        <f>62816963411</f>
        <v>62816963411</v>
      </c>
      <c r="W12347" t="s">
        <v>33709</v>
      </c>
      <c r="Y12347" s="17" t="s">
        <v>626</v>
      </c>
    </row>
    <row r="12348" ht="15" customHeight="1" spans="1:22" x14ac:dyDescent="0.25">
      <c r="A12348" s="17" t="s">
        <v>33710</v>
      </c>
      <c r="B12348" s="17" t="s">
        <v>70</v>
      </c>
      <c r="C12348" s="17" t="s">
        <v>71</v>
      </c>
      <c r="D12348" t="s">
        <v>33711</v>
      </c>
      <c r="F12348" t="s">
        <v>33712</v>
      </c>
      <c r="K12348" s="18">
        <f>6281294630493</f>
        <v>6281294630493</v>
      </c>
      <c r="N12348" s="17" t="s">
        <v>77</v>
      </c>
      <c r="V12348" s="18">
        <f>6281294630493</f>
        <v>6281294630493</v>
      </c>
    </row>
    <row r="12349" ht="15" customHeight="1" spans="1:23" x14ac:dyDescent="0.25">
      <c r="A12349" s="17" t="s">
        <v>33713</v>
      </c>
      <c r="B12349" s="17" t="s">
        <v>70</v>
      </c>
      <c r="C12349" s="17" t="s">
        <v>71</v>
      </c>
      <c r="D12349" t="s">
        <v>33714</v>
      </c>
      <c r="F12349" t="s">
        <v>17990</v>
      </c>
      <c r="K12349" s="18">
        <f>6281295809057</f>
        <v>6281295809057</v>
      </c>
      <c r="N12349" s="17" t="s">
        <v>81</v>
      </c>
      <c r="U12349" s="17"/>
      <c r="V12349" s="18">
        <f>6281295809057</f>
        <v>6281295809057</v>
      </c>
      <c r="W12349" t="s">
        <v>4219</v>
      </c>
    </row>
    <row r="12350" ht="15" customHeight="1" spans="1:28" x14ac:dyDescent="0.25">
      <c r="A12350" s="17" t="s">
        <v>33715</v>
      </c>
      <c r="B12350" s="17" t="s">
        <v>70</v>
      </c>
      <c r="C12350" s="17" t="s">
        <v>71</v>
      </c>
      <c r="D12350" t="s">
        <v>33716</v>
      </c>
      <c r="F12350" t="s">
        <v>33717</v>
      </c>
      <c r="J12350" t="s">
        <v>115</v>
      </c>
      <c r="K12350" s="18" t="s">
        <v>33718</v>
      </c>
      <c r="N12350" s="17" t="s">
        <v>81</v>
      </c>
      <c r="O12350" t="s">
        <v>117</v>
      </c>
      <c r="U12350" s="17"/>
      <c r="V12350" s="18" t="s">
        <v>33718</v>
      </c>
      <c r="W12350" t="s">
        <v>33719</v>
      </c>
      <c r="Y12350" t="s">
        <v>190</v>
      </c>
      <c r="AA12350" t="s">
        <v>118</v>
      </c>
      <c r="AB12350" t="s">
        <v>119</v>
      </c>
    </row>
    <row r="12351" ht="15" customHeight="1" spans="1:22" x14ac:dyDescent="0.25">
      <c r="A12351" s="17" t="s">
        <v>33720</v>
      </c>
      <c r="B12351" s="17" t="s">
        <v>70</v>
      </c>
      <c r="C12351" s="17" t="s">
        <v>71</v>
      </c>
      <c r="D12351" t="s">
        <v>33721</v>
      </c>
      <c r="F12351" t="s">
        <v>33722</v>
      </c>
      <c r="K12351" s="18">
        <f>6281918803800</f>
        <v>6281918803800</v>
      </c>
      <c r="N12351" s="17" t="s">
        <v>77</v>
      </c>
      <c r="V12351" s="18">
        <f>6281918803800</f>
        <v>6281918803800</v>
      </c>
    </row>
    <row r="12352" ht="15" customHeight="1" spans="1:28" x14ac:dyDescent="0.25">
      <c r="A12352" s="17" t="s">
        <v>33723</v>
      </c>
      <c r="B12352" s="17" t="s">
        <v>70</v>
      </c>
      <c r="C12352" s="17" t="s">
        <v>71</v>
      </c>
      <c r="D12352" t="s">
        <v>33724</v>
      </c>
      <c r="F12352" t="s">
        <v>26327</v>
      </c>
      <c r="J12352" t="s">
        <v>115</v>
      </c>
      <c r="K12352" s="18" t="s">
        <v>33725</v>
      </c>
      <c r="N12352" s="17" t="s">
        <v>74</v>
      </c>
      <c r="O12352" t="s">
        <v>145</v>
      </c>
      <c r="U12352" s="17"/>
      <c r="V12352" s="18" t="s">
        <v>33725</v>
      </c>
      <c r="W12352" t="s">
        <v>33726</v>
      </c>
      <c r="Y12352" t="s">
        <v>78</v>
      </c>
      <c r="AA12352" t="s">
        <v>115</v>
      </c>
      <c r="AB12352" t="s">
        <v>119</v>
      </c>
    </row>
    <row r="12353" ht="15" customHeight="1" spans="1:28" x14ac:dyDescent="0.25">
      <c r="A12353" s="17" t="s">
        <v>33727</v>
      </c>
      <c r="B12353" s="17" t="s">
        <v>70</v>
      </c>
      <c r="C12353" s="17" t="s">
        <v>71</v>
      </c>
      <c r="D12353" t="s">
        <v>33728</v>
      </c>
      <c r="F12353" t="s">
        <v>33729</v>
      </c>
      <c r="J12353" t="s">
        <v>33730</v>
      </c>
      <c r="K12353" s="18" t="s">
        <v>33731</v>
      </c>
      <c r="N12353" s="17" t="s">
        <v>77</v>
      </c>
      <c r="O12353" t="s">
        <v>199</v>
      </c>
      <c r="V12353" s="18" t="s">
        <v>33731</v>
      </c>
      <c r="Y12353" t="s">
        <v>173</v>
      </c>
      <c r="AA12353" t="s">
        <v>115</v>
      </c>
      <c r="AB12353" t="s">
        <v>119</v>
      </c>
    </row>
    <row r="12354" ht="15" customHeight="1" spans="1:22" x14ac:dyDescent="0.25">
      <c r="A12354" s="17" t="s">
        <v>33732</v>
      </c>
      <c r="B12354" s="17" t="s">
        <v>70</v>
      </c>
      <c r="C12354" s="17" t="s">
        <v>71</v>
      </c>
      <c r="D12354" t="s">
        <v>33733</v>
      </c>
      <c r="F12354" t="s">
        <v>33733</v>
      </c>
      <c r="K12354" s="18">
        <f>62818815555</f>
        <v>62818815555</v>
      </c>
      <c r="N12354" s="17" t="s">
        <v>81</v>
      </c>
      <c r="V12354" s="18">
        <f>62818815555</f>
        <v>62818815555</v>
      </c>
    </row>
    <row r="12355" ht="15" customHeight="1" spans="1:28" x14ac:dyDescent="0.25">
      <c r="A12355" s="17" t="s">
        <v>33734</v>
      </c>
      <c r="B12355" s="17" t="s">
        <v>70</v>
      </c>
      <c r="C12355" s="17" t="s">
        <v>71</v>
      </c>
      <c r="D12355" t="s">
        <v>33735</v>
      </c>
      <c r="F12355" t="s">
        <v>30562</v>
      </c>
      <c r="J12355" s="17" t="s">
        <v>33736</v>
      </c>
      <c r="K12355" s="18" t="s">
        <v>33737</v>
      </c>
      <c r="N12355" s="17" t="s">
        <v>74</v>
      </c>
      <c r="O12355" t="s">
        <v>489</v>
      </c>
      <c r="U12355" s="17"/>
      <c r="V12355" s="18" t="s">
        <v>33737</v>
      </c>
      <c r="W12355" t="s">
        <v>33738</v>
      </c>
      <c r="Y12355" t="s">
        <v>190</v>
      </c>
      <c r="AA12355" s="17" t="s">
        <v>118</v>
      </c>
      <c r="AB12355" t="s">
        <v>119</v>
      </c>
    </row>
    <row r="12356" ht="15" customHeight="1" spans="1:22" x14ac:dyDescent="0.25">
      <c r="A12356" s="17" t="s">
        <v>33739</v>
      </c>
      <c r="B12356" s="17" t="s">
        <v>70</v>
      </c>
      <c r="C12356" s="17" t="s">
        <v>71</v>
      </c>
      <c r="D12356" t="s">
        <v>33740</v>
      </c>
      <c r="F12356" t="s">
        <v>33740</v>
      </c>
      <c r="K12356" s="18">
        <f>628119912943</f>
        <v>628119912943</v>
      </c>
      <c r="N12356" s="17" t="s">
        <v>81</v>
      </c>
      <c r="V12356" s="18">
        <f>628119912943</f>
        <v>628119912943</v>
      </c>
    </row>
    <row r="12357" ht="15" customHeight="1" spans="1:23" x14ac:dyDescent="0.25">
      <c r="A12357" s="17" t="s">
        <v>33741</v>
      </c>
      <c r="B12357" s="17" t="s">
        <v>70</v>
      </c>
      <c r="C12357" s="17" t="s">
        <v>71</v>
      </c>
      <c r="D12357" t="s">
        <v>33742</v>
      </c>
      <c r="F12357" t="s">
        <v>33743</v>
      </c>
      <c r="K12357" s="18">
        <f>6281381189899</f>
        <v>6281381189899</v>
      </c>
      <c r="N12357" s="17" t="s">
        <v>81</v>
      </c>
      <c r="U12357" s="17"/>
      <c r="V12357" s="18">
        <f>6281381189899</f>
        <v>6281381189899</v>
      </c>
      <c r="W12357" t="s">
        <v>33744</v>
      </c>
    </row>
    <row r="12358" ht="15" customHeight="1" spans="1:22" x14ac:dyDescent="0.25">
      <c r="A12358" s="17" t="s">
        <v>33745</v>
      </c>
      <c r="B12358" s="17" t="s">
        <v>70</v>
      </c>
      <c r="C12358" s="17" t="s">
        <v>71</v>
      </c>
      <c r="D12358" t="s">
        <v>33746</v>
      </c>
      <c r="F12358" t="s">
        <v>33746</v>
      </c>
      <c r="K12358" s="18">
        <f>6281310209019</f>
        <v>6281310209019</v>
      </c>
      <c r="N12358" s="17" t="s">
        <v>81</v>
      </c>
      <c r="V12358" s="18">
        <f>6281310209019</f>
        <v>6281310209019</v>
      </c>
    </row>
    <row r="12359" ht="15" customHeight="1" spans="1:22" x14ac:dyDescent="0.25">
      <c r="A12359" s="17" t="s">
        <v>33747</v>
      </c>
      <c r="B12359" s="17" t="s">
        <v>70</v>
      </c>
      <c r="C12359" s="17" t="s">
        <v>71</v>
      </c>
      <c r="D12359" t="s">
        <v>33746</v>
      </c>
      <c r="F12359" t="s">
        <v>33746</v>
      </c>
      <c r="K12359" s="18">
        <f>6281381699878</f>
        <v>6281381699878</v>
      </c>
      <c r="N12359" s="17" t="s">
        <v>77</v>
      </c>
      <c r="V12359" s="18">
        <f>6281381699878</f>
        <v>6281381699878</v>
      </c>
    </row>
    <row r="12360" ht="15" customHeight="1" spans="1:22" x14ac:dyDescent="0.25">
      <c r="A12360" s="17" t="s">
        <v>33748</v>
      </c>
      <c r="B12360" s="17" t="s">
        <v>70</v>
      </c>
      <c r="C12360" s="17" t="s">
        <v>71</v>
      </c>
      <c r="D12360" t="s">
        <v>33746</v>
      </c>
      <c r="F12360" t="s">
        <v>33746</v>
      </c>
      <c r="K12360" s="18">
        <f>6281219196828</f>
        <v>6281219196828</v>
      </c>
      <c r="N12360" s="17" t="s">
        <v>81</v>
      </c>
      <c r="V12360" s="18">
        <f>6281219196828</f>
        <v>6281219196828</v>
      </c>
    </row>
    <row r="12361" ht="15" customHeight="1" spans="1:22" x14ac:dyDescent="0.25">
      <c r="A12361" s="17" t="s">
        <v>33749</v>
      </c>
      <c r="B12361" s="17" t="s">
        <v>70</v>
      </c>
      <c r="C12361" s="17" t="s">
        <v>71</v>
      </c>
      <c r="D12361" t="s">
        <v>33746</v>
      </c>
      <c r="F12361" t="s">
        <v>33746</v>
      </c>
      <c r="K12361" s="18">
        <f>6285320092002</f>
        <v>6285320092002</v>
      </c>
      <c r="N12361" s="17" t="s">
        <v>81</v>
      </c>
      <c r="V12361" s="18">
        <f>6285320092002</f>
        <v>6285320092002</v>
      </c>
    </row>
    <row r="12362" ht="15" customHeight="1" spans="1:22" x14ac:dyDescent="0.25">
      <c r="A12362" s="17" t="s">
        <v>33750</v>
      </c>
      <c r="B12362" s="17" t="s">
        <v>70</v>
      </c>
      <c r="C12362" s="17" t="s">
        <v>71</v>
      </c>
      <c r="D12362" t="s">
        <v>33746</v>
      </c>
      <c r="F12362" t="s">
        <v>33746</v>
      </c>
      <c r="K12362" s="18">
        <f>628161907977</f>
        <v>628161907977</v>
      </c>
      <c r="N12362" s="17" t="s">
        <v>77</v>
      </c>
      <c r="V12362" s="18">
        <f>628161907977</f>
        <v>628161907977</v>
      </c>
    </row>
    <row r="12363" ht="15" customHeight="1" spans="1:22" x14ac:dyDescent="0.25">
      <c r="A12363" s="17" t="s">
        <v>33751</v>
      </c>
      <c r="B12363" s="17" t="s">
        <v>70</v>
      </c>
      <c r="C12363" s="17" t="s">
        <v>71</v>
      </c>
      <c r="D12363" t="s">
        <v>33746</v>
      </c>
      <c r="F12363" t="s">
        <v>33752</v>
      </c>
      <c r="K12363" s="18">
        <f>6282216953858</f>
        <v>6282216953858</v>
      </c>
      <c r="N12363" s="17" t="s">
        <v>77</v>
      </c>
      <c r="V12363" s="18">
        <f>6282216953858</f>
        <v>6282216953858</v>
      </c>
    </row>
    <row r="12364" ht="15" customHeight="1" spans="1:25" x14ac:dyDescent="0.25">
      <c r="A12364" s="17" t="s">
        <v>33753</v>
      </c>
      <c r="B12364" s="17" t="s">
        <v>70</v>
      </c>
      <c r="C12364" s="17" t="s">
        <v>71</v>
      </c>
      <c r="D12364" t="s">
        <v>33746</v>
      </c>
      <c r="F12364" t="s">
        <v>2279</v>
      </c>
      <c r="J12364" s="17" t="s">
        <v>33754</v>
      </c>
      <c r="K12364" s="18">
        <f>6285697578578</f>
        <v>6285697578578</v>
      </c>
      <c r="N12364" s="17" t="s">
        <v>77</v>
      </c>
      <c r="U12364" s="17"/>
      <c r="V12364" s="18">
        <f>6285697578578</f>
        <v>6285697578578</v>
      </c>
      <c r="W12364" t="s">
        <v>33755</v>
      </c>
      <c r="Y12364" s="17" t="s">
        <v>626</v>
      </c>
    </row>
    <row r="12365" ht="15" customHeight="1" spans="1:23" x14ac:dyDescent="0.25">
      <c r="A12365" s="17" t="s">
        <v>33756</v>
      </c>
      <c r="B12365" s="17" t="s">
        <v>70</v>
      </c>
      <c r="C12365" s="17" t="s">
        <v>71</v>
      </c>
      <c r="D12365" t="s">
        <v>33746</v>
      </c>
      <c r="F12365" t="s">
        <v>33757</v>
      </c>
      <c r="K12365" s="18">
        <f>6281212608080</f>
        <v>6281212608080</v>
      </c>
      <c r="N12365" s="17" t="s">
        <v>77</v>
      </c>
      <c r="U12365" s="17"/>
      <c r="V12365" s="18">
        <f>6281212608080</f>
        <v>6281212608080</v>
      </c>
      <c r="W12365" t="s">
        <v>33758</v>
      </c>
    </row>
    <row r="12366" ht="15" customHeight="1" spans="1:23" x14ac:dyDescent="0.25">
      <c r="A12366" s="17" t="s">
        <v>33759</v>
      </c>
      <c r="B12366" s="17" t="s">
        <v>70</v>
      </c>
      <c r="C12366" s="17" t="s">
        <v>71</v>
      </c>
      <c r="D12366" t="s">
        <v>33746</v>
      </c>
      <c r="F12366" t="s">
        <v>33760</v>
      </c>
      <c r="K12366" s="18">
        <f>628117807083</f>
        <v>628117807083</v>
      </c>
      <c r="N12366" s="17" t="s">
        <v>77</v>
      </c>
      <c r="U12366" s="17"/>
      <c r="V12366" s="18">
        <f>628117807083</f>
        <v>628117807083</v>
      </c>
      <c r="W12366" t="s">
        <v>33761</v>
      </c>
    </row>
    <row r="12367" ht="15" customHeight="1" spans="1:28" x14ac:dyDescent="0.25">
      <c r="A12367" s="17" t="s">
        <v>33762</v>
      </c>
      <c r="B12367" s="17" t="s">
        <v>70</v>
      </c>
      <c r="C12367" s="17" t="s">
        <v>71</v>
      </c>
      <c r="D12367" t="s">
        <v>33746</v>
      </c>
      <c r="F12367" t="s">
        <v>3413</v>
      </c>
      <c r="J12367" s="17" t="s">
        <v>33763</v>
      </c>
      <c r="K12367" s="18" t="s">
        <v>33764</v>
      </c>
      <c r="N12367" s="17" t="s">
        <v>77</v>
      </c>
      <c r="O12367" t="s">
        <v>199</v>
      </c>
      <c r="U12367" s="17"/>
      <c r="V12367" s="18" t="s">
        <v>33764</v>
      </c>
      <c r="W12367" t="s">
        <v>33765</v>
      </c>
      <c r="Y12367" s="17" t="s">
        <v>10914</v>
      </c>
      <c r="AA12367" t="s">
        <v>115</v>
      </c>
      <c r="AB12367" t="s">
        <v>119</v>
      </c>
    </row>
    <row r="12368" ht="15" customHeight="1" spans="1:22" x14ac:dyDescent="0.25">
      <c r="A12368" s="17" t="s">
        <v>33766</v>
      </c>
      <c r="B12368" s="17" t="s">
        <v>70</v>
      </c>
      <c r="C12368" s="17" t="s">
        <v>71</v>
      </c>
      <c r="D12368" t="s">
        <v>33746</v>
      </c>
      <c r="F12368" t="s">
        <v>17375</v>
      </c>
      <c r="K12368" s="18">
        <f>6282111731130</f>
        <v>6282111731130</v>
      </c>
      <c r="N12368" s="17" t="s">
        <v>77</v>
      </c>
      <c r="V12368" s="18">
        <f>6282111731130</f>
        <v>6282111731130</v>
      </c>
    </row>
    <row r="12369" ht="15" customHeight="1" spans="1:23" x14ac:dyDescent="0.25">
      <c r="A12369" s="17" t="s">
        <v>33767</v>
      </c>
      <c r="B12369" s="17" t="s">
        <v>70</v>
      </c>
      <c r="C12369" s="17" t="s">
        <v>71</v>
      </c>
      <c r="D12369" t="s">
        <v>33746</v>
      </c>
      <c r="F12369" t="s">
        <v>8962</v>
      </c>
      <c r="K12369" s="18">
        <f>6281288124856</f>
        <v>6281288124856</v>
      </c>
      <c r="N12369" s="17" t="s">
        <v>74</v>
      </c>
      <c r="U12369" s="17"/>
      <c r="V12369" s="18">
        <f>6281288124856</f>
        <v>6281288124856</v>
      </c>
      <c r="W12369" t="s">
        <v>33768</v>
      </c>
    </row>
    <row r="12370" ht="15" customHeight="1" spans="1:28" x14ac:dyDescent="0.25">
      <c r="A12370" s="17" t="s">
        <v>33769</v>
      </c>
      <c r="B12370" s="17" t="s">
        <v>70</v>
      </c>
      <c r="C12370" s="17" t="s">
        <v>71</v>
      </c>
      <c r="D12370" t="s">
        <v>33746</v>
      </c>
      <c r="F12370" t="s">
        <v>22300</v>
      </c>
      <c r="J12370" t="s">
        <v>115</v>
      </c>
      <c r="K12370" s="18" t="s">
        <v>33770</v>
      </c>
      <c r="N12370" s="17" t="s">
        <v>81</v>
      </c>
      <c r="O12370" t="s">
        <v>117</v>
      </c>
      <c r="V12370" s="18" t="s">
        <v>33770</v>
      </c>
      <c r="Y12370" t="s">
        <v>90</v>
      </c>
      <c r="AA12370" t="s">
        <v>118</v>
      </c>
      <c r="AB12370" t="s">
        <v>119</v>
      </c>
    </row>
    <row r="12371" ht="15" customHeight="1" spans="1:28" x14ac:dyDescent="0.25">
      <c r="A12371" s="17" t="s">
        <v>33771</v>
      </c>
      <c r="B12371" s="17" t="s">
        <v>70</v>
      </c>
      <c r="C12371" s="17" t="s">
        <v>71</v>
      </c>
      <c r="D12371" t="s">
        <v>33772</v>
      </c>
      <c r="F12371" t="s">
        <v>8962</v>
      </c>
      <c r="J12371" t="s">
        <v>115</v>
      </c>
      <c r="K12371" s="18" t="s">
        <v>33773</v>
      </c>
      <c r="N12371" s="17" t="s">
        <v>81</v>
      </c>
      <c r="O12371" t="s">
        <v>489</v>
      </c>
      <c r="U12371" s="17"/>
      <c r="V12371" s="18" t="s">
        <v>33773</v>
      </c>
      <c r="W12371" t="s">
        <v>33774</v>
      </c>
      <c r="Y12371" t="s">
        <v>96</v>
      </c>
      <c r="AA12371" t="s">
        <v>693</v>
      </c>
      <c r="AB12371" t="s">
        <v>119</v>
      </c>
    </row>
    <row r="12372" ht="15" customHeight="1" spans="1:22" x14ac:dyDescent="0.25">
      <c r="A12372" s="17" t="s">
        <v>33775</v>
      </c>
      <c r="B12372" s="17" t="s">
        <v>70</v>
      </c>
      <c r="C12372" s="17" t="s">
        <v>71</v>
      </c>
      <c r="D12372" t="s">
        <v>33746</v>
      </c>
      <c r="F12372" t="s">
        <v>33776</v>
      </c>
      <c r="K12372" s="18">
        <f>6281218568381</f>
        <v>6281218568381</v>
      </c>
      <c r="N12372" s="17" t="s">
        <v>77</v>
      </c>
      <c r="V12372" s="18">
        <f>6281218568381</f>
        <v>6281218568381</v>
      </c>
    </row>
    <row r="12373" ht="15" customHeight="1" spans="1:22" x14ac:dyDescent="0.25">
      <c r="A12373" s="17" t="s">
        <v>33777</v>
      </c>
      <c r="B12373" s="17" t="s">
        <v>70</v>
      </c>
      <c r="C12373" s="17" t="s">
        <v>71</v>
      </c>
      <c r="D12373" t="s">
        <v>33746</v>
      </c>
      <c r="F12373" t="s">
        <v>18386</v>
      </c>
      <c r="K12373" s="18">
        <f>62811103862</f>
        <v>62811103862</v>
      </c>
      <c r="N12373" s="17" t="s">
        <v>81</v>
      </c>
      <c r="V12373" s="18">
        <f>62811103862</f>
        <v>62811103862</v>
      </c>
    </row>
    <row r="12374" ht="15" customHeight="1" spans="1:28" x14ac:dyDescent="0.25">
      <c r="A12374" s="17" t="s">
        <v>33778</v>
      </c>
      <c r="B12374" s="17" t="s">
        <v>70</v>
      </c>
      <c r="C12374" s="17" t="s">
        <v>71</v>
      </c>
      <c r="D12374" t="s">
        <v>33746</v>
      </c>
      <c r="F12374" t="s">
        <v>33779</v>
      </c>
      <c r="J12374" t="s">
        <v>115</v>
      </c>
      <c r="K12374" s="18" t="s">
        <v>33780</v>
      </c>
      <c r="N12374" s="17" t="s">
        <v>77</v>
      </c>
      <c r="O12374" t="s">
        <v>117</v>
      </c>
      <c r="V12374" s="18" t="s">
        <v>33780</v>
      </c>
      <c r="Y12374" t="s">
        <v>90</v>
      </c>
      <c r="AA12374" t="s">
        <v>118</v>
      </c>
      <c r="AB12374" t="s">
        <v>119</v>
      </c>
    </row>
    <row r="12375" ht="15" customHeight="1" spans="1:25" x14ac:dyDescent="0.25">
      <c r="A12375" s="17" t="s">
        <v>33781</v>
      </c>
      <c r="B12375" s="17" t="s">
        <v>70</v>
      </c>
      <c r="C12375" s="17" t="s">
        <v>71</v>
      </c>
      <c r="D12375" t="s">
        <v>33746</v>
      </c>
      <c r="F12375" t="s">
        <v>322</v>
      </c>
      <c r="K12375" s="18">
        <f>628116398988</f>
        <v>628116398988</v>
      </c>
      <c r="N12375" s="17" t="s">
        <v>77</v>
      </c>
      <c r="U12375" s="17"/>
      <c r="V12375" s="18">
        <f>628116398988</f>
        <v>628116398988</v>
      </c>
      <c r="W12375" t="s">
        <v>33782</v>
      </c>
      <c r="Y12375" s="17" t="s">
        <v>1157</v>
      </c>
    </row>
    <row r="12376" ht="15" customHeight="1" spans="1:23" x14ac:dyDescent="0.25">
      <c r="A12376" s="17" t="s">
        <v>33783</v>
      </c>
      <c r="B12376" s="17" t="s">
        <v>70</v>
      </c>
      <c r="C12376" s="17" t="s">
        <v>71</v>
      </c>
      <c r="D12376" t="s">
        <v>33746</v>
      </c>
      <c r="F12376" t="s">
        <v>14722</v>
      </c>
      <c r="K12376" s="18">
        <f>62811961296</f>
        <v>62811961296</v>
      </c>
      <c r="N12376" s="17" t="s">
        <v>77</v>
      </c>
      <c r="U12376" s="17"/>
      <c r="V12376" s="18">
        <f>62811961296</f>
        <v>62811961296</v>
      </c>
      <c r="W12376" t="s">
        <v>33784</v>
      </c>
    </row>
    <row r="12377" ht="15" customHeight="1" spans="1:22" x14ac:dyDescent="0.25">
      <c r="A12377" s="17" t="s">
        <v>33785</v>
      </c>
      <c r="B12377" s="17" t="s">
        <v>70</v>
      </c>
      <c r="C12377" s="17" t="s">
        <v>71</v>
      </c>
      <c r="D12377" t="s">
        <v>33746</v>
      </c>
      <c r="F12377" t="s">
        <v>2463</v>
      </c>
      <c r="K12377" s="18">
        <f>6281287101087</f>
        <v>6281287101087</v>
      </c>
      <c r="N12377" s="17" t="s">
        <v>77</v>
      </c>
      <c r="V12377" s="18">
        <f>6281287101087</f>
        <v>6281287101087</v>
      </c>
    </row>
    <row r="12378" ht="15" customHeight="1" spans="1:22" x14ac:dyDescent="0.25">
      <c r="A12378" s="17" t="s">
        <v>33786</v>
      </c>
      <c r="B12378" s="17" t="s">
        <v>70</v>
      </c>
      <c r="C12378" s="17" t="s">
        <v>71</v>
      </c>
      <c r="D12378" t="s">
        <v>33746</v>
      </c>
      <c r="F12378" t="s">
        <v>5602</v>
      </c>
      <c r="K12378" s="18">
        <f>6281212602228</f>
        <v>6281212602228</v>
      </c>
      <c r="N12378" s="17" t="s">
        <v>81</v>
      </c>
      <c r="V12378" s="18">
        <f>6281212602228</f>
        <v>6281212602228</v>
      </c>
    </row>
    <row r="12379" ht="15" customHeight="1" spans="1:22" x14ac:dyDescent="0.25">
      <c r="A12379" s="17" t="s">
        <v>33787</v>
      </c>
      <c r="B12379" s="17" t="s">
        <v>70</v>
      </c>
      <c r="C12379" s="17" t="s">
        <v>71</v>
      </c>
      <c r="D12379" t="s">
        <v>33746</v>
      </c>
      <c r="F12379" t="s">
        <v>33788</v>
      </c>
      <c r="K12379" s="18">
        <f>6285362997156</f>
        <v>6285362997156</v>
      </c>
      <c r="N12379" s="17" t="s">
        <v>74</v>
      </c>
      <c r="V12379" s="18">
        <f>6285362997156</f>
        <v>6285362997156</v>
      </c>
    </row>
    <row r="12380" ht="15" customHeight="1" spans="1:22" x14ac:dyDescent="0.25">
      <c r="A12380" s="17" t="s">
        <v>33789</v>
      </c>
      <c r="B12380" s="17" t="s">
        <v>70</v>
      </c>
      <c r="C12380" s="17" t="s">
        <v>71</v>
      </c>
      <c r="D12380" t="s">
        <v>33746</v>
      </c>
      <c r="F12380" t="s">
        <v>3181</v>
      </c>
      <c r="K12380" s="18">
        <f>6281288007966</f>
        <v>6281288007966</v>
      </c>
      <c r="N12380" s="17" t="s">
        <v>81</v>
      </c>
      <c r="V12380" s="18">
        <f>6281288007966</f>
        <v>6281288007966</v>
      </c>
    </row>
    <row r="12381" ht="15" customHeight="1" spans="1:28" x14ac:dyDescent="0.25">
      <c r="A12381" s="17" t="s">
        <v>33790</v>
      </c>
      <c r="B12381" s="17" t="s">
        <v>70</v>
      </c>
      <c r="C12381" s="17" t="s">
        <v>71</v>
      </c>
      <c r="D12381" t="s">
        <v>33746</v>
      </c>
      <c r="F12381" t="s">
        <v>3181</v>
      </c>
      <c r="J12381" t="s">
        <v>115</v>
      </c>
      <c r="K12381" s="18" t="s">
        <v>33791</v>
      </c>
      <c r="N12381" s="17" t="s">
        <v>81</v>
      </c>
      <c r="O12381" t="s">
        <v>145</v>
      </c>
      <c r="U12381" s="17"/>
      <c r="V12381" s="18" t="s">
        <v>33791</v>
      </c>
      <c r="W12381" t="s">
        <v>33792</v>
      </c>
      <c r="Y12381" s="17" t="s">
        <v>90</v>
      </c>
      <c r="AA12381" t="s">
        <v>118</v>
      </c>
      <c r="AB12381" t="s">
        <v>119</v>
      </c>
    </row>
    <row r="12382" ht="15" customHeight="1" spans="1:28" x14ac:dyDescent="0.25">
      <c r="A12382" s="17" t="s">
        <v>33793</v>
      </c>
      <c r="B12382" s="17" t="s">
        <v>70</v>
      </c>
      <c r="C12382" s="17" t="s">
        <v>71</v>
      </c>
      <c r="D12382" t="s">
        <v>33746</v>
      </c>
      <c r="F12382" t="s">
        <v>672</v>
      </c>
      <c r="J12382" t="s">
        <v>115</v>
      </c>
      <c r="K12382" s="18" t="s">
        <v>33794</v>
      </c>
      <c r="N12382" s="17" t="s">
        <v>77</v>
      </c>
      <c r="O12382" t="s">
        <v>117</v>
      </c>
      <c r="V12382" s="18" t="s">
        <v>33794</v>
      </c>
      <c r="Y12382" t="s">
        <v>90</v>
      </c>
      <c r="AA12382" t="s">
        <v>118</v>
      </c>
      <c r="AB12382" t="s">
        <v>119</v>
      </c>
    </row>
    <row r="12383" ht="15" customHeight="1" spans="1:22" x14ac:dyDescent="0.25">
      <c r="A12383" s="17" t="s">
        <v>33795</v>
      </c>
      <c r="B12383" s="17" t="s">
        <v>70</v>
      </c>
      <c r="C12383" s="17" t="s">
        <v>71</v>
      </c>
      <c r="D12383" t="s">
        <v>33796</v>
      </c>
      <c r="F12383" t="s">
        <v>33797</v>
      </c>
      <c r="K12383" s="18">
        <f>60172992338</f>
        <v>60172992338</v>
      </c>
      <c r="N12383" s="17" t="s">
        <v>77</v>
      </c>
      <c r="V12383" s="18">
        <f>60172992338</f>
        <v>60172992338</v>
      </c>
    </row>
    <row r="12384" ht="15" customHeight="1" spans="1:25" x14ac:dyDescent="0.25">
      <c r="A12384" s="17" t="s">
        <v>33798</v>
      </c>
      <c r="B12384" s="17" t="s">
        <v>70</v>
      </c>
      <c r="C12384" s="17" t="s">
        <v>71</v>
      </c>
      <c r="D12384" t="s">
        <v>33799</v>
      </c>
      <c r="F12384" t="s">
        <v>33800</v>
      </c>
      <c r="J12384" s="17" t="s">
        <v>33801</v>
      </c>
      <c r="K12384" s="18">
        <f>6281394952006</f>
        <v>6281394952006</v>
      </c>
      <c r="N12384" s="17" t="s">
        <v>77</v>
      </c>
      <c r="U12384" s="17"/>
      <c r="V12384" s="18">
        <f>6281394952006</f>
        <v>6281394952006</v>
      </c>
      <c r="W12384" t="s">
        <v>33802</v>
      </c>
      <c r="Y12384" s="17" t="s">
        <v>378</v>
      </c>
    </row>
    <row r="12385" ht="15" customHeight="1" spans="1:22" x14ac:dyDescent="0.25">
      <c r="A12385" s="17" t="s">
        <v>33803</v>
      </c>
      <c r="B12385" s="17" t="s">
        <v>70</v>
      </c>
      <c r="C12385" s="17" t="s">
        <v>71</v>
      </c>
      <c r="D12385" t="s">
        <v>33804</v>
      </c>
      <c r="F12385" t="s">
        <v>33805</v>
      </c>
      <c r="J12385" s="17" t="s">
        <v>33806</v>
      </c>
      <c r="K12385" s="18">
        <f>628176065630</f>
        <v>628176065630</v>
      </c>
      <c r="N12385" s="17" t="s">
        <v>81</v>
      </c>
      <c r="V12385" s="18">
        <f>628176065630</f>
        <v>628176065630</v>
      </c>
    </row>
    <row r="12386" ht="15" customHeight="1" spans="1:23" x14ac:dyDescent="0.25">
      <c r="A12386" s="17" t="s">
        <v>33807</v>
      </c>
      <c r="B12386" s="17" t="s">
        <v>70</v>
      </c>
      <c r="C12386" s="17" t="s">
        <v>71</v>
      </c>
      <c r="D12386" t="s">
        <v>33808</v>
      </c>
      <c r="F12386" t="s">
        <v>2077</v>
      </c>
      <c r="K12386" s="18" t="s">
        <v>33809</v>
      </c>
      <c r="N12386" s="17" t="s">
        <v>77</v>
      </c>
      <c r="U12386" s="17"/>
      <c r="V12386" s="18" t="s">
        <v>33809</v>
      </c>
      <c r="W12386" t="s">
        <v>33810</v>
      </c>
    </row>
    <row r="12387" ht="15" customHeight="1" spans="1:22" x14ac:dyDescent="0.25">
      <c r="A12387" s="17" t="s">
        <v>33811</v>
      </c>
      <c r="B12387" s="17" t="s">
        <v>70</v>
      </c>
      <c r="C12387" s="17" t="s">
        <v>71</v>
      </c>
      <c r="D12387" t="s">
        <v>33812</v>
      </c>
      <c r="F12387" t="s">
        <v>33812</v>
      </c>
      <c r="K12387" s="18">
        <f>6281386092698</f>
        <v>6281386092698</v>
      </c>
      <c r="N12387" s="17" t="s">
        <v>81</v>
      </c>
      <c r="V12387" s="18">
        <f>6281386092698</f>
        <v>6281386092698</v>
      </c>
    </row>
    <row r="12388" ht="15" customHeight="1" spans="1:27" x14ac:dyDescent="0.25">
      <c r="A12388" s="17" t="s">
        <v>33813</v>
      </c>
      <c r="B12388" s="17" t="s">
        <v>70</v>
      </c>
      <c r="C12388" s="17" t="s">
        <v>71</v>
      </c>
      <c r="D12388" t="s">
        <v>33814</v>
      </c>
      <c r="F12388" t="s">
        <v>131</v>
      </c>
      <c r="K12388" s="18">
        <v>8317780</v>
      </c>
      <c r="N12388" s="17" t="s">
        <v>77</v>
      </c>
      <c r="U12388" s="17"/>
      <c r="V12388" s="18">
        <v>8317780</v>
      </c>
      <c r="W12388" t="s">
        <v>33815</v>
      </c>
      <c r="Y12388" s="17" t="s">
        <v>96</v>
      </c>
      <c r="AA12388" s="17" t="s">
        <v>33816</v>
      </c>
    </row>
    <row r="12389" ht="15" customHeight="1" spans="1:22" x14ac:dyDescent="0.25">
      <c r="A12389" s="17" t="s">
        <v>33817</v>
      </c>
      <c r="B12389" s="17" t="s">
        <v>70</v>
      </c>
      <c r="C12389" s="17" t="s">
        <v>71</v>
      </c>
      <c r="D12389" t="s">
        <v>33818</v>
      </c>
      <c r="F12389" t="s">
        <v>33818</v>
      </c>
      <c r="K12389" s="18">
        <f>6281222461199</f>
        <v>6281222461199</v>
      </c>
      <c r="N12389" s="17" t="s">
        <v>81</v>
      </c>
      <c r="V12389" s="18">
        <f>6281222461199</f>
        <v>6281222461199</v>
      </c>
    </row>
    <row r="12390" ht="15" customHeight="1" spans="1:28" x14ac:dyDescent="0.25">
      <c r="A12390" s="17" t="s">
        <v>33819</v>
      </c>
      <c r="B12390" s="17" t="s">
        <v>70</v>
      </c>
      <c r="C12390" s="17" t="s">
        <v>71</v>
      </c>
      <c r="D12390" t="s">
        <v>33820</v>
      </c>
      <c r="F12390" t="s">
        <v>10404</v>
      </c>
      <c r="J12390" t="s">
        <v>115</v>
      </c>
      <c r="K12390" s="18" t="s">
        <v>33821</v>
      </c>
      <c r="N12390" s="17" t="s">
        <v>77</v>
      </c>
      <c r="O12390" t="s">
        <v>117</v>
      </c>
      <c r="V12390" s="18" t="s">
        <v>33821</v>
      </c>
      <c r="Y12390" t="s">
        <v>90</v>
      </c>
      <c r="AA12390" t="s">
        <v>118</v>
      </c>
      <c r="AB12390" t="s">
        <v>119</v>
      </c>
    </row>
    <row r="12391" ht="15" customHeight="1" spans="1:22" x14ac:dyDescent="0.25">
      <c r="A12391" s="17" t="s">
        <v>33822</v>
      </c>
      <c r="B12391" s="17" t="s">
        <v>70</v>
      </c>
      <c r="C12391" s="17" t="s">
        <v>71</v>
      </c>
      <c r="D12391" t="s">
        <v>10404</v>
      </c>
      <c r="F12391" t="s">
        <v>10404</v>
      </c>
      <c r="K12391" s="18">
        <f>62811101704</f>
        <v>62811101704</v>
      </c>
      <c r="N12391" s="17" t="s">
        <v>77</v>
      </c>
      <c r="V12391" s="18">
        <f>62811101704</f>
        <v>62811101704</v>
      </c>
    </row>
    <row r="12392" ht="15" customHeight="1" spans="1:28" x14ac:dyDescent="0.25">
      <c r="A12392" s="17" t="s">
        <v>33823</v>
      </c>
      <c r="B12392" s="17" t="s">
        <v>70</v>
      </c>
      <c r="C12392" s="17" t="s">
        <v>71</v>
      </c>
      <c r="D12392" t="s">
        <v>33824</v>
      </c>
      <c r="F12392" t="s">
        <v>20353</v>
      </c>
      <c r="J12392" t="s">
        <v>115</v>
      </c>
      <c r="K12392" s="18" t="s">
        <v>33825</v>
      </c>
      <c r="N12392" s="17" t="s">
        <v>77</v>
      </c>
      <c r="O12392" t="s">
        <v>117</v>
      </c>
      <c r="V12392" s="18" t="s">
        <v>33825</v>
      </c>
      <c r="Y12392" t="s">
        <v>115</v>
      </c>
      <c r="AA12392" t="s">
        <v>115</v>
      </c>
      <c r="AB12392" t="s">
        <v>119</v>
      </c>
    </row>
    <row r="12393" ht="15" customHeight="1" spans="1:28" x14ac:dyDescent="0.25">
      <c r="A12393" s="17" t="s">
        <v>33826</v>
      </c>
      <c r="B12393" s="17" t="s">
        <v>70</v>
      </c>
      <c r="C12393" s="17" t="s">
        <v>71</v>
      </c>
      <c r="D12393" t="s">
        <v>33827</v>
      </c>
      <c r="F12393" t="s">
        <v>4588</v>
      </c>
      <c r="J12393" t="s">
        <v>115</v>
      </c>
      <c r="K12393" s="18" t="s">
        <v>33828</v>
      </c>
      <c r="N12393" s="17" t="s">
        <v>77</v>
      </c>
      <c r="O12393" t="s">
        <v>117</v>
      </c>
      <c r="V12393" s="18" t="s">
        <v>33828</v>
      </c>
      <c r="Y12393" t="s">
        <v>190</v>
      </c>
      <c r="AA12393" t="s">
        <v>118</v>
      </c>
      <c r="AB12393" t="s">
        <v>119</v>
      </c>
    </row>
    <row r="12394" ht="15" customHeight="1" spans="1:28" x14ac:dyDescent="0.25">
      <c r="A12394" s="17" t="s">
        <v>33829</v>
      </c>
      <c r="B12394" s="17" t="s">
        <v>70</v>
      </c>
      <c r="C12394" s="17" t="s">
        <v>71</v>
      </c>
      <c r="D12394" t="s">
        <v>24454</v>
      </c>
      <c r="F12394" t="s">
        <v>33830</v>
      </c>
      <c r="J12394" s="17" t="s">
        <v>33831</v>
      </c>
      <c r="K12394" s="18" t="s">
        <v>33832</v>
      </c>
      <c r="N12394" s="17" t="s">
        <v>77</v>
      </c>
      <c r="O12394" t="s">
        <v>199</v>
      </c>
      <c r="U12394" s="17"/>
      <c r="V12394" s="18" t="s">
        <v>33832</v>
      </c>
      <c r="W12394" t="s">
        <v>33833</v>
      </c>
      <c r="Y12394" t="s">
        <v>90</v>
      </c>
      <c r="AA12394" t="s">
        <v>118</v>
      </c>
      <c r="AB12394" t="s">
        <v>119</v>
      </c>
    </row>
    <row r="12395" ht="15" customHeight="1" spans="1:22" x14ac:dyDescent="0.25">
      <c r="A12395" s="17" t="s">
        <v>33834</v>
      </c>
      <c r="B12395" s="17" t="s">
        <v>70</v>
      </c>
      <c r="C12395" s="17" t="s">
        <v>71</v>
      </c>
      <c r="D12395" t="s">
        <v>33835</v>
      </c>
      <c r="F12395" t="s">
        <v>27171</v>
      </c>
      <c r="K12395" s="18">
        <f>628121078100</f>
        <v>628121078100</v>
      </c>
      <c r="N12395" s="17" t="s">
        <v>77</v>
      </c>
      <c r="V12395" s="18">
        <f>628121078100</f>
        <v>628121078100</v>
      </c>
    </row>
    <row r="12396" ht="15" customHeight="1" spans="1:28" x14ac:dyDescent="0.25">
      <c r="A12396" s="17" t="s">
        <v>33836</v>
      </c>
      <c r="B12396" s="17" t="s">
        <v>70</v>
      </c>
      <c r="C12396" s="17" t="s">
        <v>71</v>
      </c>
      <c r="D12396" t="s">
        <v>33837</v>
      </c>
      <c r="F12396" t="s">
        <v>33838</v>
      </c>
      <c r="J12396" t="s">
        <v>115</v>
      </c>
      <c r="K12396" s="18" t="s">
        <v>33839</v>
      </c>
      <c r="N12396" s="17" t="s">
        <v>74</v>
      </c>
      <c r="O12396" t="s">
        <v>199</v>
      </c>
      <c r="U12396" s="17"/>
      <c r="V12396" s="18" t="s">
        <v>33839</v>
      </c>
      <c r="W12396" t="s">
        <v>33840</v>
      </c>
      <c r="Y12396" t="s">
        <v>90</v>
      </c>
      <c r="AA12396" t="s">
        <v>118</v>
      </c>
      <c r="AB12396" t="s">
        <v>119</v>
      </c>
    </row>
    <row r="12397" ht="15" customHeight="1" spans="1:22" x14ac:dyDescent="0.25">
      <c r="A12397" s="17" t="s">
        <v>33841</v>
      </c>
      <c r="B12397" s="17" t="s">
        <v>70</v>
      </c>
      <c r="C12397" s="17" t="s">
        <v>71</v>
      </c>
      <c r="D12397" t="s">
        <v>24454</v>
      </c>
      <c r="F12397" t="s">
        <v>24454</v>
      </c>
      <c r="K12397" s="18">
        <f>6285711838653</f>
        <v>6285711838653</v>
      </c>
      <c r="N12397" s="17" t="s">
        <v>77</v>
      </c>
      <c r="V12397" s="18">
        <f>6285711838653</f>
        <v>6285711838653</v>
      </c>
    </row>
    <row r="12398" ht="15" customHeight="1" spans="1:25" x14ac:dyDescent="0.25">
      <c r="A12398" s="17" t="s">
        <v>33842</v>
      </c>
      <c r="B12398" s="17" t="s">
        <v>70</v>
      </c>
      <c r="C12398" s="17" t="s">
        <v>71</v>
      </c>
      <c r="D12398" t="s">
        <v>24454</v>
      </c>
      <c r="F12398" t="s">
        <v>24454</v>
      </c>
      <c r="K12398" s="18">
        <v>3154596</v>
      </c>
      <c r="N12398" s="17" t="s">
        <v>77</v>
      </c>
      <c r="U12398" s="17"/>
      <c r="V12398" s="18">
        <v>3154596</v>
      </c>
      <c r="W12398" t="s">
        <v>33843</v>
      </c>
      <c r="Y12398" s="17" t="s">
        <v>378</v>
      </c>
    </row>
    <row r="12399" ht="15" customHeight="1" spans="1:22" x14ac:dyDescent="0.25">
      <c r="A12399" s="17" t="s">
        <v>33844</v>
      </c>
      <c r="B12399" s="17" t="s">
        <v>70</v>
      </c>
      <c r="C12399" s="17" t="s">
        <v>71</v>
      </c>
      <c r="D12399" t="s">
        <v>24454</v>
      </c>
      <c r="F12399" t="s">
        <v>24454</v>
      </c>
      <c r="K12399" s="18">
        <f>62816815567</f>
        <v>62816815567</v>
      </c>
      <c r="N12399" s="17" t="s">
        <v>77</v>
      </c>
      <c r="V12399" s="18">
        <f>62816815567</f>
        <v>62816815567</v>
      </c>
    </row>
    <row r="12400" ht="15" customHeight="1" spans="1:22" x14ac:dyDescent="0.25">
      <c r="A12400" s="17" t="s">
        <v>33845</v>
      </c>
      <c r="B12400" s="17" t="s">
        <v>70</v>
      </c>
      <c r="C12400" s="17" t="s">
        <v>71</v>
      </c>
      <c r="D12400" t="s">
        <v>24454</v>
      </c>
      <c r="F12400" t="s">
        <v>11058</v>
      </c>
      <c r="K12400" s="18">
        <f>628118404478</f>
        <v>628118404478</v>
      </c>
      <c r="N12400" s="17" t="s">
        <v>77</v>
      </c>
      <c r="V12400" s="18">
        <f>628118404478</f>
        <v>628118404478</v>
      </c>
    </row>
    <row r="12401" ht="15" customHeight="1" spans="1:25" x14ac:dyDescent="0.25">
      <c r="A12401" s="17" t="s">
        <v>33846</v>
      </c>
      <c r="B12401" s="17" t="s">
        <v>70</v>
      </c>
      <c r="C12401" s="17" t="s">
        <v>71</v>
      </c>
      <c r="D12401" t="s">
        <v>24454</v>
      </c>
      <c r="F12401" t="s">
        <v>2508</v>
      </c>
      <c r="K12401" s="18">
        <f>628118404476</f>
        <v>628118404476</v>
      </c>
      <c r="N12401" s="17" t="s">
        <v>77</v>
      </c>
      <c r="U12401" s="17"/>
      <c r="V12401" s="18">
        <f>628118404476</f>
        <v>628118404476</v>
      </c>
      <c r="W12401" t="s">
        <v>33847</v>
      </c>
      <c r="Y12401" s="17" t="s">
        <v>90</v>
      </c>
    </row>
    <row r="12402" ht="15" customHeight="1" spans="1:25" x14ac:dyDescent="0.25">
      <c r="A12402" s="17" t="s">
        <v>33848</v>
      </c>
      <c r="B12402" s="17" t="s">
        <v>70</v>
      </c>
      <c r="C12402" s="17" t="s">
        <v>71</v>
      </c>
      <c r="D12402" t="s">
        <v>24454</v>
      </c>
      <c r="F12402" t="s">
        <v>33849</v>
      </c>
      <c r="K12402" s="18">
        <f>6281311408588</f>
        <v>6281311408588</v>
      </c>
      <c r="N12402" s="17" t="s">
        <v>77</v>
      </c>
      <c r="U12402" s="17"/>
      <c r="V12402" s="18">
        <f>6281311408588</f>
        <v>6281311408588</v>
      </c>
      <c r="W12402" t="s">
        <v>33850</v>
      </c>
      <c r="Y12402" s="17" t="s">
        <v>378</v>
      </c>
    </row>
    <row r="12403" ht="15" customHeight="1" spans="1:22" x14ac:dyDescent="0.25">
      <c r="A12403" s="17" t="s">
        <v>33851</v>
      </c>
      <c r="B12403" s="17" t="s">
        <v>70</v>
      </c>
      <c r="C12403" s="17" t="s">
        <v>71</v>
      </c>
      <c r="D12403" t="s">
        <v>24454</v>
      </c>
      <c r="F12403" t="s">
        <v>22336</v>
      </c>
      <c r="K12403" s="18">
        <f>628174809511</f>
        <v>628174809511</v>
      </c>
      <c r="N12403" s="17" t="s">
        <v>77</v>
      </c>
      <c r="V12403" s="18">
        <f>628174809511</f>
        <v>628174809511</v>
      </c>
    </row>
    <row r="12404" ht="15" customHeight="1" spans="1:22" x14ac:dyDescent="0.25">
      <c r="A12404" s="17" t="s">
        <v>33852</v>
      </c>
      <c r="B12404" s="17" t="s">
        <v>70</v>
      </c>
      <c r="C12404" s="17" t="s">
        <v>71</v>
      </c>
      <c r="D12404" t="s">
        <v>24454</v>
      </c>
      <c r="F12404" t="s">
        <v>33853</v>
      </c>
      <c r="K12404" s="18">
        <f>62816707548</f>
        <v>62816707548</v>
      </c>
      <c r="N12404" s="17" t="s">
        <v>74</v>
      </c>
      <c r="V12404" s="18">
        <f>62816707548</f>
        <v>62816707548</v>
      </c>
    </row>
    <row r="12405" ht="15" customHeight="1" spans="1:23" x14ac:dyDescent="0.25">
      <c r="A12405" s="17" t="s">
        <v>33854</v>
      </c>
      <c r="B12405" s="17" t="s">
        <v>70</v>
      </c>
      <c r="C12405" s="17" t="s">
        <v>71</v>
      </c>
      <c r="D12405" t="s">
        <v>24454</v>
      </c>
      <c r="F12405" t="s">
        <v>26625</v>
      </c>
      <c r="K12405" s="18">
        <f>6287886966602</f>
        <v>6287886966602</v>
      </c>
      <c r="N12405" s="17" t="s">
        <v>81</v>
      </c>
      <c r="U12405" s="17"/>
      <c r="V12405" s="18">
        <f>6287886966602</f>
        <v>6287886966602</v>
      </c>
      <c r="W12405" t="s">
        <v>33855</v>
      </c>
    </row>
    <row r="12406" ht="15" customHeight="1" spans="1:28" x14ac:dyDescent="0.25">
      <c r="A12406" s="17" t="s">
        <v>33856</v>
      </c>
      <c r="B12406" s="17" t="s">
        <v>70</v>
      </c>
      <c r="C12406" s="17" t="s">
        <v>71</v>
      </c>
      <c r="D12406" t="s">
        <v>24454</v>
      </c>
      <c r="F12406" t="s">
        <v>27171</v>
      </c>
      <c r="J12406" t="s">
        <v>115</v>
      </c>
      <c r="K12406" s="18" t="s">
        <v>33857</v>
      </c>
      <c r="N12406" s="17" t="s">
        <v>77</v>
      </c>
      <c r="O12406" t="s">
        <v>145</v>
      </c>
      <c r="V12406" s="18" t="s">
        <v>33857</v>
      </c>
      <c r="Y12406" t="s">
        <v>190</v>
      </c>
      <c r="AA12406" t="s">
        <v>118</v>
      </c>
      <c r="AB12406" t="s">
        <v>119</v>
      </c>
    </row>
    <row r="12407" ht="15" customHeight="1" spans="1:28" x14ac:dyDescent="0.25">
      <c r="A12407" s="17" t="s">
        <v>33858</v>
      </c>
      <c r="B12407" s="17" t="s">
        <v>70</v>
      </c>
      <c r="C12407" s="17" t="s">
        <v>71</v>
      </c>
      <c r="D12407" t="s">
        <v>24454</v>
      </c>
      <c r="F12407" t="s">
        <v>33859</v>
      </c>
      <c r="J12407" s="17" t="s">
        <v>33860</v>
      </c>
      <c r="K12407" s="18" t="s">
        <v>33861</v>
      </c>
      <c r="N12407" s="17" t="s">
        <v>77</v>
      </c>
      <c r="O12407" t="s">
        <v>199</v>
      </c>
      <c r="U12407" s="17"/>
      <c r="V12407" s="18" t="s">
        <v>33861</v>
      </c>
      <c r="W12407" t="s">
        <v>33862</v>
      </c>
      <c r="Y12407" t="s">
        <v>190</v>
      </c>
      <c r="AA12407" t="s">
        <v>118</v>
      </c>
      <c r="AB12407" t="s">
        <v>119</v>
      </c>
    </row>
    <row r="12408" ht="15" customHeight="1" spans="1:28" x14ac:dyDescent="0.25">
      <c r="A12408" s="17" t="s">
        <v>33863</v>
      </c>
      <c r="B12408" s="17" t="s">
        <v>70</v>
      </c>
      <c r="C12408" s="17" t="s">
        <v>71</v>
      </c>
      <c r="D12408" t="s">
        <v>24454</v>
      </c>
      <c r="F12408" t="s">
        <v>33864</v>
      </c>
      <c r="J12408" t="s">
        <v>115</v>
      </c>
      <c r="K12408" s="18" t="s">
        <v>33865</v>
      </c>
      <c r="N12408" s="17" t="s">
        <v>77</v>
      </c>
      <c r="O12408" t="s">
        <v>117</v>
      </c>
      <c r="V12408" s="18" t="s">
        <v>33865</v>
      </c>
      <c r="Y12408" t="s">
        <v>90</v>
      </c>
      <c r="AA12408" t="s">
        <v>118</v>
      </c>
      <c r="AB12408" t="s">
        <v>119</v>
      </c>
    </row>
    <row r="12409" ht="15" customHeight="1" spans="1:22" x14ac:dyDescent="0.25">
      <c r="A12409" s="17" t="s">
        <v>33866</v>
      </c>
      <c r="B12409" s="17" t="s">
        <v>70</v>
      </c>
      <c r="C12409" s="17" t="s">
        <v>71</v>
      </c>
      <c r="D12409" t="s">
        <v>24454</v>
      </c>
      <c r="F12409" t="s">
        <v>23205</v>
      </c>
      <c r="K12409" s="18">
        <f>62816855603</f>
        <v>62816855603</v>
      </c>
      <c r="N12409" s="17" t="s">
        <v>77</v>
      </c>
      <c r="V12409" s="18">
        <f>62816855603</f>
        <v>62816855603</v>
      </c>
    </row>
    <row r="12410" ht="15" customHeight="1" spans="1:28" x14ac:dyDescent="0.25">
      <c r="A12410" s="17" t="s">
        <v>33867</v>
      </c>
      <c r="B12410" s="17" t="s">
        <v>70</v>
      </c>
      <c r="C12410" s="17" t="s">
        <v>71</v>
      </c>
      <c r="D12410" t="s">
        <v>24454</v>
      </c>
      <c r="F12410" t="s">
        <v>19192</v>
      </c>
      <c r="J12410" s="17" t="s">
        <v>33868</v>
      </c>
      <c r="K12410" s="18" t="s">
        <v>33869</v>
      </c>
      <c r="N12410" s="17" t="s">
        <v>77</v>
      </c>
      <c r="O12410" t="s">
        <v>199</v>
      </c>
      <c r="V12410" s="18" t="s">
        <v>33869</v>
      </c>
      <c r="Y12410" t="s">
        <v>190</v>
      </c>
      <c r="AA12410" t="s">
        <v>118</v>
      </c>
      <c r="AB12410" t="s">
        <v>119</v>
      </c>
    </row>
    <row r="12411" ht="15" customHeight="1" spans="1:28" x14ac:dyDescent="0.25">
      <c r="A12411" s="17" t="s">
        <v>33870</v>
      </c>
      <c r="B12411" s="17" t="s">
        <v>70</v>
      </c>
      <c r="C12411" s="17" t="s">
        <v>71</v>
      </c>
      <c r="D12411" t="s">
        <v>24454</v>
      </c>
      <c r="F12411" t="s">
        <v>33871</v>
      </c>
      <c r="J12411" t="s">
        <v>115</v>
      </c>
      <c r="K12411" s="18" t="s">
        <v>33872</v>
      </c>
      <c r="N12411" s="17" t="s">
        <v>74</v>
      </c>
      <c r="O12411" t="s">
        <v>261</v>
      </c>
      <c r="U12411" s="17"/>
      <c r="V12411" s="18" t="s">
        <v>33872</v>
      </c>
      <c r="W12411" t="s">
        <v>33873</v>
      </c>
      <c r="Y12411" s="17" t="s">
        <v>90</v>
      </c>
      <c r="AA12411" t="s">
        <v>118</v>
      </c>
      <c r="AB12411" t="s">
        <v>119</v>
      </c>
    </row>
    <row r="12412" ht="15" customHeight="1" spans="1:28" x14ac:dyDescent="0.25">
      <c r="A12412" s="17" t="s">
        <v>33874</v>
      </c>
      <c r="B12412" s="17" t="s">
        <v>70</v>
      </c>
      <c r="C12412" s="17" t="s">
        <v>71</v>
      </c>
      <c r="D12412" t="s">
        <v>24454</v>
      </c>
      <c r="F12412" t="s">
        <v>19072</v>
      </c>
      <c r="J12412" t="s">
        <v>115</v>
      </c>
      <c r="K12412" s="18" t="s">
        <v>33875</v>
      </c>
      <c r="N12412" s="17" t="s">
        <v>77</v>
      </c>
      <c r="O12412" t="s">
        <v>145</v>
      </c>
      <c r="V12412" s="18" t="s">
        <v>33875</v>
      </c>
      <c r="Y12412" t="s">
        <v>190</v>
      </c>
      <c r="AA12412" t="s">
        <v>118</v>
      </c>
      <c r="AB12412" t="s">
        <v>119</v>
      </c>
    </row>
    <row r="12413" ht="15" customHeight="1" spans="1:22" x14ac:dyDescent="0.25">
      <c r="A12413" s="17" t="s">
        <v>33876</v>
      </c>
      <c r="B12413" s="17" t="s">
        <v>70</v>
      </c>
      <c r="C12413" s="17" t="s">
        <v>71</v>
      </c>
      <c r="D12413" t="s">
        <v>24454</v>
      </c>
      <c r="F12413" t="s">
        <v>1169</v>
      </c>
      <c r="K12413" s="18">
        <f>62818876776</f>
        <v>62818876776</v>
      </c>
      <c r="N12413" s="17" t="s">
        <v>74</v>
      </c>
      <c r="V12413" s="18">
        <f>62818876776</f>
        <v>62818876776</v>
      </c>
    </row>
    <row r="12414" ht="15" customHeight="1" spans="1:22" x14ac:dyDescent="0.25">
      <c r="A12414" s="17" t="s">
        <v>33877</v>
      </c>
      <c r="B12414" s="17" t="s">
        <v>70</v>
      </c>
      <c r="C12414" s="17" t="s">
        <v>71</v>
      </c>
      <c r="D12414" t="s">
        <v>33878</v>
      </c>
      <c r="F12414" t="s">
        <v>33878</v>
      </c>
      <c r="K12414" s="18">
        <f>628111981957</f>
        <v>628111981957</v>
      </c>
      <c r="N12414" s="17" t="s">
        <v>81</v>
      </c>
      <c r="V12414" s="18">
        <f>628111981957</f>
        <v>628111981957</v>
      </c>
    </row>
    <row r="12415" ht="15" customHeight="1" spans="1:27" x14ac:dyDescent="0.25">
      <c r="A12415" s="17" t="s">
        <v>33879</v>
      </c>
      <c r="B12415" s="17" t="s">
        <v>70</v>
      </c>
      <c r="C12415" s="17" t="s">
        <v>71</v>
      </c>
      <c r="D12415" t="s">
        <v>576</v>
      </c>
      <c r="F12415" t="s">
        <v>33880</v>
      </c>
      <c r="K12415" s="18">
        <f>628158233118</f>
        <v>628158233118</v>
      </c>
      <c r="N12415" s="17" t="s">
        <v>77</v>
      </c>
      <c r="U12415" s="17"/>
      <c r="V12415" s="18">
        <f>628158233118</f>
        <v>628158233118</v>
      </c>
      <c r="W12415" t="s">
        <v>33881</v>
      </c>
      <c r="Y12415" s="17" t="s">
        <v>96</v>
      </c>
      <c r="AA12415" s="17" t="s">
        <v>97</v>
      </c>
    </row>
    <row r="12416" ht="15" customHeight="1" spans="1:25" x14ac:dyDescent="0.25">
      <c r="A12416" s="17" t="s">
        <v>33882</v>
      </c>
      <c r="B12416" s="17" t="s">
        <v>70</v>
      </c>
      <c r="C12416" s="17" t="s">
        <v>71</v>
      </c>
      <c r="D12416" t="s">
        <v>576</v>
      </c>
      <c r="F12416" t="s">
        <v>33883</v>
      </c>
      <c r="K12416" s="18">
        <f>6282125822415</f>
        <v>6282125822415</v>
      </c>
      <c r="N12416" s="17" t="s">
        <v>77</v>
      </c>
      <c r="U12416" s="17"/>
      <c r="V12416" s="18">
        <f>6282125822415</f>
        <v>6282125822415</v>
      </c>
      <c r="W12416" t="s">
        <v>33884</v>
      </c>
      <c r="Y12416" s="17" t="s">
        <v>33885</v>
      </c>
    </row>
    <row r="12417" ht="15" customHeight="1" spans="1:28" x14ac:dyDescent="0.25">
      <c r="A12417" s="17" t="s">
        <v>33886</v>
      </c>
      <c r="B12417" s="17" t="s">
        <v>70</v>
      </c>
      <c r="C12417" s="17" t="s">
        <v>71</v>
      </c>
      <c r="D12417" t="s">
        <v>576</v>
      </c>
      <c r="F12417" t="s">
        <v>2563</v>
      </c>
      <c r="J12417" t="s">
        <v>115</v>
      </c>
      <c r="K12417" s="18" t="s">
        <v>33887</v>
      </c>
      <c r="N12417" s="17" t="s">
        <v>74</v>
      </c>
      <c r="O12417" t="s">
        <v>145</v>
      </c>
      <c r="U12417" s="17"/>
      <c r="V12417" s="18" t="s">
        <v>33887</v>
      </c>
      <c r="W12417" t="s">
        <v>33888</v>
      </c>
      <c r="Y12417" s="17" t="s">
        <v>96</v>
      </c>
      <c r="AA12417" t="s">
        <v>693</v>
      </c>
      <c r="AB12417" t="s">
        <v>119</v>
      </c>
    </row>
    <row r="12418" ht="15" customHeight="1" spans="1:28" x14ac:dyDescent="0.25">
      <c r="A12418" s="17" t="s">
        <v>33889</v>
      </c>
      <c r="B12418" s="17" t="s">
        <v>70</v>
      </c>
      <c r="C12418" s="17" t="s">
        <v>71</v>
      </c>
      <c r="D12418" t="s">
        <v>33890</v>
      </c>
      <c r="F12418" t="s">
        <v>33891</v>
      </c>
      <c r="J12418" t="s">
        <v>115</v>
      </c>
      <c r="K12418" s="18" t="s">
        <v>33892</v>
      </c>
      <c r="N12418" s="17" t="s">
        <v>74</v>
      </c>
      <c r="O12418" t="s">
        <v>489</v>
      </c>
      <c r="U12418" s="17"/>
      <c r="V12418" s="18" t="s">
        <v>33892</v>
      </c>
      <c r="W12418" t="s">
        <v>33893</v>
      </c>
      <c r="Y12418" s="17" t="s">
        <v>96</v>
      </c>
      <c r="AA12418" s="17" t="s">
        <v>693</v>
      </c>
      <c r="AB12418" t="s">
        <v>119</v>
      </c>
    </row>
    <row r="12419" ht="15" customHeight="1" spans="1:22" x14ac:dyDescent="0.25">
      <c r="A12419" s="17" t="s">
        <v>33894</v>
      </c>
      <c r="B12419" s="17" t="s">
        <v>70</v>
      </c>
      <c r="C12419" s="17" t="s">
        <v>71</v>
      </c>
      <c r="D12419" t="s">
        <v>33895</v>
      </c>
      <c r="F12419" t="s">
        <v>33895</v>
      </c>
      <c r="K12419" s="18">
        <f>6281213065599</f>
        <v>6281213065599</v>
      </c>
      <c r="N12419" s="17" t="s">
        <v>74</v>
      </c>
      <c r="V12419" s="18">
        <f>6281213065599</f>
        <v>6281213065599</v>
      </c>
    </row>
    <row r="12420" ht="15" customHeight="1" spans="1:23" x14ac:dyDescent="0.25">
      <c r="A12420" s="17" t="s">
        <v>33896</v>
      </c>
      <c r="B12420" s="17" t="s">
        <v>70</v>
      </c>
      <c r="C12420" s="17" t="s">
        <v>71</v>
      </c>
      <c r="D12420" t="s">
        <v>33895</v>
      </c>
      <c r="F12420" t="s">
        <v>5153</v>
      </c>
      <c r="K12420" s="18">
        <f>6281289679899</f>
        <v>6281289679899</v>
      </c>
      <c r="N12420" s="17" t="s">
        <v>77</v>
      </c>
      <c r="U12420" s="17"/>
      <c r="V12420" s="18">
        <f>6281289679899</f>
        <v>6281289679899</v>
      </c>
      <c r="W12420" t="s">
        <v>33897</v>
      </c>
    </row>
    <row r="12421" ht="15" customHeight="1" spans="1:25" x14ac:dyDescent="0.25">
      <c r="A12421" s="17" t="s">
        <v>33898</v>
      </c>
      <c r="B12421" s="17" t="s">
        <v>70</v>
      </c>
      <c r="C12421" s="17" t="s">
        <v>71</v>
      </c>
      <c r="D12421" t="s">
        <v>33895</v>
      </c>
      <c r="F12421" t="s">
        <v>33899</v>
      </c>
      <c r="K12421" s="18">
        <f>6285711223320</f>
        <v>6285711223320</v>
      </c>
      <c r="N12421" s="17" t="s">
        <v>77</v>
      </c>
      <c r="U12421" s="17"/>
      <c r="V12421" s="18">
        <f>6285711223320</f>
        <v>6285711223320</v>
      </c>
      <c r="W12421" t="s">
        <v>33900</v>
      </c>
      <c r="Y12421" s="17" t="s">
        <v>12141</v>
      </c>
    </row>
    <row r="12422" ht="15" customHeight="1" spans="1:25" x14ac:dyDescent="0.25">
      <c r="A12422" s="17" t="s">
        <v>33901</v>
      </c>
      <c r="B12422" s="17" t="s">
        <v>70</v>
      </c>
      <c r="C12422" s="17" t="s">
        <v>71</v>
      </c>
      <c r="D12422" t="s">
        <v>33895</v>
      </c>
      <c r="F12422" t="s">
        <v>10833</v>
      </c>
      <c r="K12422" s="18">
        <f>62817787777</f>
        <v>62817787777</v>
      </c>
      <c r="N12422" s="17" t="s">
        <v>77</v>
      </c>
      <c r="U12422" s="17"/>
      <c r="V12422" s="18">
        <f>62817787777</f>
        <v>62817787777</v>
      </c>
      <c r="W12422" t="s">
        <v>33902</v>
      </c>
      <c r="Y12422" s="17" t="s">
        <v>384</v>
      </c>
    </row>
    <row r="12423" ht="15" customHeight="1" spans="1:22" x14ac:dyDescent="0.25">
      <c r="A12423" s="17" t="s">
        <v>33903</v>
      </c>
      <c r="B12423" s="17" t="s">
        <v>70</v>
      </c>
      <c r="C12423" s="17" t="s">
        <v>71</v>
      </c>
      <c r="D12423" t="s">
        <v>33904</v>
      </c>
      <c r="F12423" t="s">
        <v>33905</v>
      </c>
      <c r="K12423" s="18">
        <f>6281510708140</f>
        <v>6281510708140</v>
      </c>
      <c r="N12423" s="17" t="s">
        <v>81</v>
      </c>
      <c r="V12423" s="18">
        <f>6281510708140</f>
        <v>6281510708140</v>
      </c>
    </row>
    <row r="12424" ht="15" customHeight="1" spans="1:28" x14ac:dyDescent="0.25">
      <c r="A12424" s="17" t="s">
        <v>33906</v>
      </c>
      <c r="B12424" s="17" t="s">
        <v>70</v>
      </c>
      <c r="C12424" s="17" t="s">
        <v>71</v>
      </c>
      <c r="D12424" t="s">
        <v>33907</v>
      </c>
      <c r="F12424" t="s">
        <v>33908</v>
      </c>
      <c r="J12424" s="17" t="s">
        <v>33909</v>
      </c>
      <c r="K12424" s="18" t="s">
        <v>33910</v>
      </c>
      <c r="N12424" s="17" t="s">
        <v>77</v>
      </c>
      <c r="O12424" t="s">
        <v>199</v>
      </c>
      <c r="V12424" s="18" t="s">
        <v>33910</v>
      </c>
      <c r="Y12424" t="s">
        <v>704</v>
      </c>
      <c r="AA12424" t="s">
        <v>705</v>
      </c>
      <c r="AB12424" t="s">
        <v>119</v>
      </c>
    </row>
    <row r="12425" ht="15" customHeight="1" spans="1:22" x14ac:dyDescent="0.25">
      <c r="A12425" s="17" t="s">
        <v>33911</v>
      </c>
      <c r="B12425" s="17" t="s">
        <v>70</v>
      </c>
      <c r="C12425" s="17" t="s">
        <v>71</v>
      </c>
      <c r="D12425" t="s">
        <v>33912</v>
      </c>
      <c r="F12425" t="s">
        <v>33913</v>
      </c>
      <c r="K12425" s="18">
        <f>6287821218181</f>
        <v>6287821218181</v>
      </c>
      <c r="N12425" s="17" t="s">
        <v>77</v>
      </c>
      <c r="V12425" s="18">
        <f>6287821218181</f>
        <v>6287821218181</v>
      </c>
    </row>
    <row r="12426" ht="15" customHeight="1" spans="1:22" x14ac:dyDescent="0.25">
      <c r="A12426" s="17" t="s">
        <v>33914</v>
      </c>
      <c r="B12426" s="17" t="s">
        <v>70</v>
      </c>
      <c r="C12426" s="17" t="s">
        <v>71</v>
      </c>
      <c r="D12426" t="s">
        <v>33915</v>
      </c>
      <c r="F12426" t="s">
        <v>33916</v>
      </c>
      <c r="K12426" s="18">
        <f>62811176785</f>
        <v>62811176785</v>
      </c>
      <c r="N12426" s="17" t="s">
        <v>81</v>
      </c>
      <c r="V12426" s="18">
        <f>62811176785</f>
        <v>62811176785</v>
      </c>
    </row>
    <row r="12427" ht="15" customHeight="1" spans="1:22" x14ac:dyDescent="0.25">
      <c r="A12427" s="17" t="s">
        <v>33917</v>
      </c>
      <c r="B12427" s="17" t="s">
        <v>70</v>
      </c>
      <c r="C12427" s="17" t="s">
        <v>71</v>
      </c>
      <c r="D12427" t="s">
        <v>33915</v>
      </c>
      <c r="F12427" t="s">
        <v>17384</v>
      </c>
      <c r="K12427" s="18">
        <f>6281316816118</f>
        <v>6281316816118</v>
      </c>
      <c r="N12427" s="17" t="s">
        <v>81</v>
      </c>
      <c r="V12427" s="18">
        <f>6281316816118</f>
        <v>6281316816118</v>
      </c>
    </row>
    <row r="12428" ht="15" customHeight="1" spans="1:22" x14ac:dyDescent="0.25">
      <c r="A12428" s="17" t="s">
        <v>33918</v>
      </c>
      <c r="B12428" s="17" t="s">
        <v>70</v>
      </c>
      <c r="C12428" s="17" t="s">
        <v>71</v>
      </c>
      <c r="D12428" t="s">
        <v>33919</v>
      </c>
      <c r="F12428" t="s">
        <v>33919</v>
      </c>
      <c r="K12428" s="18">
        <f>62811905090</f>
        <v>62811905090</v>
      </c>
      <c r="N12428" s="17" t="s">
        <v>81</v>
      </c>
      <c r="V12428" s="18">
        <f>62811905090</f>
        <v>62811905090</v>
      </c>
    </row>
    <row r="12429" ht="15" customHeight="1" spans="1:23" x14ac:dyDescent="0.25">
      <c r="A12429" s="17" t="s">
        <v>33920</v>
      </c>
      <c r="B12429" s="17" t="s">
        <v>70</v>
      </c>
      <c r="C12429" s="17" t="s">
        <v>71</v>
      </c>
      <c r="D12429" t="s">
        <v>33921</v>
      </c>
      <c r="F12429" t="s">
        <v>33922</v>
      </c>
      <c r="K12429" s="18">
        <f>491728919119</f>
        <v>491728919119</v>
      </c>
      <c r="N12429" s="17" t="s">
        <v>81</v>
      </c>
      <c r="U12429" s="17"/>
      <c r="V12429" s="18">
        <f>491728919119</f>
        <v>491728919119</v>
      </c>
      <c r="W12429" t="s">
        <v>10893</v>
      </c>
    </row>
    <row r="12430" ht="15" customHeight="1" spans="1:22" x14ac:dyDescent="0.25">
      <c r="A12430" s="17" t="s">
        <v>33923</v>
      </c>
      <c r="B12430" s="17" t="s">
        <v>70</v>
      </c>
      <c r="C12430" s="17" t="s">
        <v>71</v>
      </c>
      <c r="D12430" t="s">
        <v>33924</v>
      </c>
      <c r="F12430" t="s">
        <v>33924</v>
      </c>
      <c r="K12430" s="18">
        <f>628121012121</f>
        <v>628121012121</v>
      </c>
      <c r="N12430" s="17" t="s">
        <v>77</v>
      </c>
      <c r="V12430" s="18">
        <f>628121012121</f>
        <v>628121012121</v>
      </c>
    </row>
    <row r="12431" ht="15" customHeight="1" spans="1:27" x14ac:dyDescent="0.25">
      <c r="A12431" s="17" t="s">
        <v>33925</v>
      </c>
      <c r="B12431" s="17" t="s">
        <v>70</v>
      </c>
      <c r="C12431" s="17" t="s">
        <v>71</v>
      </c>
      <c r="D12431" t="s">
        <v>33926</v>
      </c>
      <c r="F12431" t="s">
        <v>33926</v>
      </c>
      <c r="K12431" s="18">
        <f>6285229020414</f>
        <v>6285229020414</v>
      </c>
      <c r="N12431" s="17" t="s">
        <v>77</v>
      </c>
      <c r="U12431" s="17"/>
      <c r="V12431" s="18">
        <f>6285229020414</f>
        <v>6285229020414</v>
      </c>
      <c r="W12431" t="s">
        <v>33927</v>
      </c>
      <c r="Y12431" s="17" t="s">
        <v>515</v>
      </c>
      <c r="AA12431" s="17" t="s">
        <v>33928</v>
      </c>
    </row>
    <row r="12432" ht="15" customHeight="1" spans="1:22" x14ac:dyDescent="0.25">
      <c r="A12432" s="17" t="s">
        <v>33929</v>
      </c>
      <c r="B12432" s="17" t="s">
        <v>70</v>
      </c>
      <c r="C12432" s="17" t="s">
        <v>71</v>
      </c>
      <c r="D12432" t="s">
        <v>33926</v>
      </c>
      <c r="F12432" t="s">
        <v>33926</v>
      </c>
      <c r="K12432" s="18">
        <f>6281519727307</f>
        <v>6281519727307</v>
      </c>
      <c r="N12432" s="17" t="s">
        <v>77</v>
      </c>
      <c r="V12432" s="18">
        <f>6281519727307</f>
        <v>6281519727307</v>
      </c>
    </row>
    <row r="12433" ht="15" customHeight="1" spans="1:22" x14ac:dyDescent="0.25">
      <c r="A12433" s="17" t="s">
        <v>33930</v>
      </c>
      <c r="B12433" s="17" t="s">
        <v>70</v>
      </c>
      <c r="C12433" s="17" t="s">
        <v>71</v>
      </c>
      <c r="D12433" t="s">
        <v>33926</v>
      </c>
      <c r="F12433" t="s">
        <v>33926</v>
      </c>
      <c r="K12433" s="18">
        <f>628128204205</f>
        <v>628128204205</v>
      </c>
      <c r="N12433" s="17" t="s">
        <v>81</v>
      </c>
      <c r="V12433" s="18">
        <f>628128204205</f>
        <v>628128204205</v>
      </c>
    </row>
    <row r="12434" ht="15" customHeight="1" spans="1:23" x14ac:dyDescent="0.25">
      <c r="A12434" s="17" t="s">
        <v>33931</v>
      </c>
      <c r="B12434" s="17" t="s">
        <v>70</v>
      </c>
      <c r="C12434" s="17" t="s">
        <v>71</v>
      </c>
      <c r="D12434" t="s">
        <v>33926</v>
      </c>
      <c r="F12434" t="s">
        <v>33926</v>
      </c>
      <c r="K12434" s="18">
        <f>628114166099</f>
        <v>628114166099</v>
      </c>
      <c r="N12434" s="17" t="s">
        <v>81</v>
      </c>
      <c r="U12434" s="17"/>
      <c r="V12434" s="18">
        <f>628114166099</f>
        <v>628114166099</v>
      </c>
      <c r="W12434" t="s">
        <v>33932</v>
      </c>
    </row>
    <row r="12435" ht="15" customHeight="1" spans="1:23" x14ac:dyDescent="0.25">
      <c r="A12435" s="17" t="s">
        <v>33933</v>
      </c>
      <c r="B12435" s="17" t="s">
        <v>70</v>
      </c>
      <c r="C12435" s="17" t="s">
        <v>71</v>
      </c>
      <c r="D12435" t="s">
        <v>33926</v>
      </c>
      <c r="F12435" t="s">
        <v>3008</v>
      </c>
      <c r="K12435" s="18">
        <f>62817614900</f>
        <v>62817614900</v>
      </c>
      <c r="N12435" s="17" t="s">
        <v>77</v>
      </c>
      <c r="U12435" s="17"/>
      <c r="V12435" s="18">
        <f>62817614900</f>
        <v>62817614900</v>
      </c>
      <c r="W12435" t="s">
        <v>33934</v>
      </c>
    </row>
    <row r="12436" ht="15" customHeight="1" spans="1:28" x14ac:dyDescent="0.25">
      <c r="A12436" s="17" t="s">
        <v>33935</v>
      </c>
      <c r="B12436" s="17" t="s">
        <v>70</v>
      </c>
      <c r="C12436" s="17" t="s">
        <v>71</v>
      </c>
      <c r="D12436" t="s">
        <v>33926</v>
      </c>
      <c r="F12436" t="s">
        <v>3008</v>
      </c>
      <c r="J12436" t="s">
        <v>33936</v>
      </c>
      <c r="K12436" s="18" t="s">
        <v>33937</v>
      </c>
      <c r="N12436" s="17" t="s">
        <v>77</v>
      </c>
      <c r="O12436" t="s">
        <v>489</v>
      </c>
      <c r="V12436" s="18" t="s">
        <v>33937</v>
      </c>
      <c r="Y12436" t="s">
        <v>190</v>
      </c>
      <c r="AA12436" t="s">
        <v>118</v>
      </c>
      <c r="AB12436" t="s">
        <v>119</v>
      </c>
    </row>
    <row r="12437" ht="15" customHeight="1" spans="1:28" x14ac:dyDescent="0.25">
      <c r="A12437" s="17" t="s">
        <v>33938</v>
      </c>
      <c r="B12437" s="17" t="s">
        <v>70</v>
      </c>
      <c r="C12437" s="17" t="s">
        <v>71</v>
      </c>
      <c r="D12437" t="s">
        <v>33939</v>
      </c>
      <c r="F12437" t="s">
        <v>2288</v>
      </c>
      <c r="J12437" t="s">
        <v>115</v>
      </c>
      <c r="K12437" s="18" t="s">
        <v>33940</v>
      </c>
      <c r="N12437" s="17" t="s">
        <v>74</v>
      </c>
      <c r="O12437" t="s">
        <v>117</v>
      </c>
      <c r="U12437" s="17"/>
      <c r="V12437" s="18" t="s">
        <v>33940</v>
      </c>
      <c r="W12437" t="s">
        <v>33941</v>
      </c>
      <c r="Y12437" t="s">
        <v>190</v>
      </c>
      <c r="AA12437" t="s">
        <v>118</v>
      </c>
      <c r="AB12437" t="s">
        <v>119</v>
      </c>
    </row>
    <row r="12438" ht="15" customHeight="1" spans="1:23" x14ac:dyDescent="0.25">
      <c r="A12438" s="17" t="s">
        <v>33942</v>
      </c>
      <c r="B12438" s="17" t="s">
        <v>70</v>
      </c>
      <c r="C12438" s="17" t="s">
        <v>71</v>
      </c>
      <c r="D12438" t="s">
        <v>33926</v>
      </c>
      <c r="F12438" t="s">
        <v>2159</v>
      </c>
      <c r="K12438" s="18">
        <f>6281933960893</f>
        <v>6281933960893</v>
      </c>
      <c r="N12438" s="17" t="s">
        <v>81</v>
      </c>
      <c r="U12438" s="17"/>
      <c r="V12438" s="18">
        <f>6281933960893</f>
        <v>6281933960893</v>
      </c>
      <c r="W12438" t="s">
        <v>33943</v>
      </c>
    </row>
    <row r="12439" ht="15" customHeight="1" spans="1:25" x14ac:dyDescent="0.25">
      <c r="A12439" s="17" t="s">
        <v>33944</v>
      </c>
      <c r="B12439" s="17" t="s">
        <v>70</v>
      </c>
      <c r="C12439" s="17" t="s">
        <v>71</v>
      </c>
      <c r="D12439" t="s">
        <v>33926</v>
      </c>
      <c r="F12439" t="s">
        <v>13684</v>
      </c>
      <c r="K12439" s="18">
        <f>628129487826</f>
        <v>628129487826</v>
      </c>
      <c r="N12439" s="17" t="s">
        <v>77</v>
      </c>
      <c r="V12439" s="18">
        <f>628129487826</f>
        <v>628129487826</v>
      </c>
      <c r="Y12439" s="17" t="s">
        <v>397</v>
      </c>
    </row>
    <row r="12440" ht="15" customHeight="1" spans="1:23" x14ac:dyDescent="0.25">
      <c r="A12440" s="17" t="s">
        <v>33945</v>
      </c>
      <c r="B12440" s="17" t="s">
        <v>70</v>
      </c>
      <c r="C12440" s="17" t="s">
        <v>71</v>
      </c>
      <c r="D12440" s="19" t="s">
        <v>33926</v>
      </c>
      <c r="F12440" t="s">
        <v>33946</v>
      </c>
      <c r="K12440" s="18">
        <f>6285881113127</f>
        <v>6285881113127</v>
      </c>
      <c r="N12440" s="17" t="s">
        <v>77</v>
      </c>
      <c r="U12440" s="17"/>
      <c r="V12440" s="18">
        <f>6285881113127</f>
        <v>6285881113127</v>
      </c>
      <c r="W12440" t="s">
        <v>33947</v>
      </c>
    </row>
    <row r="12441" ht="15" customHeight="1" spans="1:25" x14ac:dyDescent="0.25">
      <c r="A12441" s="17" t="s">
        <v>33948</v>
      </c>
      <c r="B12441" s="17" t="s">
        <v>70</v>
      </c>
      <c r="C12441" s="17" t="s">
        <v>71</v>
      </c>
      <c r="D12441" t="s">
        <v>33926</v>
      </c>
      <c r="F12441" t="s">
        <v>16907</v>
      </c>
      <c r="K12441" s="18">
        <f>62215251201</f>
        <v>62215251201</v>
      </c>
      <c r="N12441" s="17" t="s">
        <v>74</v>
      </c>
      <c r="U12441" s="17"/>
      <c r="V12441" s="18">
        <f>62215251201</f>
        <v>62215251201</v>
      </c>
      <c r="W12441" t="s">
        <v>33949</v>
      </c>
      <c r="Y12441" s="17" t="s">
        <v>90</v>
      </c>
    </row>
    <row r="12442" ht="15" customHeight="1" spans="1:23" x14ac:dyDescent="0.25">
      <c r="A12442" s="17" t="s">
        <v>33950</v>
      </c>
      <c r="B12442" s="17" t="s">
        <v>70</v>
      </c>
      <c r="C12442" s="17" t="s">
        <v>71</v>
      </c>
      <c r="D12442" t="s">
        <v>33926</v>
      </c>
      <c r="F12442" t="s">
        <v>12495</v>
      </c>
      <c r="K12442" s="18">
        <f>628551041962</f>
        <v>628551041962</v>
      </c>
      <c r="N12442" s="17" t="s">
        <v>81</v>
      </c>
      <c r="U12442" s="17"/>
      <c r="V12442" s="18">
        <f>628551041962</f>
        <v>628551041962</v>
      </c>
      <c r="W12442" t="s">
        <v>33951</v>
      </c>
    </row>
    <row r="12443" ht="15" customHeight="1" spans="1:28" x14ac:dyDescent="0.25">
      <c r="A12443" s="17" t="s">
        <v>33952</v>
      </c>
      <c r="B12443" s="17" t="s">
        <v>70</v>
      </c>
      <c r="C12443" s="17" t="s">
        <v>71</v>
      </c>
      <c r="D12443" t="s">
        <v>33926</v>
      </c>
      <c r="F12443" t="s">
        <v>10050</v>
      </c>
      <c r="J12443" t="s">
        <v>115</v>
      </c>
      <c r="K12443" s="18" t="s">
        <v>33953</v>
      </c>
      <c r="N12443" s="17" t="s">
        <v>81</v>
      </c>
      <c r="O12443" t="s">
        <v>117</v>
      </c>
      <c r="V12443" s="18" t="s">
        <v>33953</v>
      </c>
      <c r="Y12443" t="s">
        <v>190</v>
      </c>
      <c r="AA12443" t="s">
        <v>118</v>
      </c>
      <c r="AB12443" t="s">
        <v>119</v>
      </c>
    </row>
    <row r="12444" ht="15" customHeight="1" spans="1:22" x14ac:dyDescent="0.25">
      <c r="A12444" s="17" t="s">
        <v>33954</v>
      </c>
      <c r="B12444" s="17" t="s">
        <v>70</v>
      </c>
      <c r="C12444" s="17" t="s">
        <v>71</v>
      </c>
      <c r="D12444" t="s">
        <v>33926</v>
      </c>
      <c r="F12444" t="s">
        <v>32380</v>
      </c>
      <c r="K12444" s="18">
        <f>62811874564</f>
        <v>62811874564</v>
      </c>
      <c r="N12444" s="17" t="s">
        <v>77</v>
      </c>
      <c r="V12444" s="18">
        <f>62811874564</f>
        <v>62811874564</v>
      </c>
    </row>
    <row r="12445" ht="15" customHeight="1" spans="1:23" x14ac:dyDescent="0.25">
      <c r="A12445" s="17" t="s">
        <v>33955</v>
      </c>
      <c r="B12445" s="17" t="s">
        <v>70</v>
      </c>
      <c r="C12445" s="17" t="s">
        <v>71</v>
      </c>
      <c r="D12445" t="s">
        <v>33926</v>
      </c>
      <c r="F12445" t="s">
        <v>33956</v>
      </c>
      <c r="K12445" s="18">
        <f>628111122418</f>
        <v>628111122418</v>
      </c>
      <c r="N12445" s="17" t="s">
        <v>77</v>
      </c>
      <c r="U12445" s="17"/>
      <c r="V12445" s="18">
        <f>628111122418</f>
        <v>628111122418</v>
      </c>
      <c r="W12445" t="s">
        <v>33957</v>
      </c>
    </row>
    <row r="12446" ht="15" customHeight="1" spans="1:22" x14ac:dyDescent="0.25">
      <c r="A12446" s="17" t="s">
        <v>33958</v>
      </c>
      <c r="B12446" s="17" t="s">
        <v>70</v>
      </c>
      <c r="C12446" s="17" t="s">
        <v>71</v>
      </c>
      <c r="D12446" t="s">
        <v>33926</v>
      </c>
      <c r="F12446" t="s">
        <v>33959</v>
      </c>
      <c r="K12446" s="18">
        <f>628111806048</f>
        <v>628111806048</v>
      </c>
      <c r="N12446" s="17" t="s">
        <v>77</v>
      </c>
      <c r="V12446" s="18">
        <f>628111806048</f>
        <v>628111806048</v>
      </c>
    </row>
    <row r="12447" ht="15" customHeight="1" spans="1:23" x14ac:dyDescent="0.25">
      <c r="A12447" s="17" t="s">
        <v>33960</v>
      </c>
      <c r="B12447" s="17" t="s">
        <v>70</v>
      </c>
      <c r="C12447" s="17" t="s">
        <v>71</v>
      </c>
      <c r="D12447" t="s">
        <v>33926</v>
      </c>
      <c r="F12447" t="s">
        <v>33961</v>
      </c>
      <c r="K12447" s="18">
        <f>62816865360</f>
        <v>62816865360</v>
      </c>
      <c r="N12447" s="17" t="s">
        <v>77</v>
      </c>
      <c r="U12447" s="17"/>
      <c r="V12447" s="18">
        <f>62816865360</f>
        <v>62816865360</v>
      </c>
      <c r="W12447" t="s">
        <v>33962</v>
      </c>
    </row>
    <row r="12448" ht="15" customHeight="1" spans="1:22" x14ac:dyDescent="0.25">
      <c r="A12448" s="17" t="s">
        <v>33963</v>
      </c>
      <c r="B12448" s="17" t="s">
        <v>70</v>
      </c>
      <c r="C12448" s="17" t="s">
        <v>71</v>
      </c>
      <c r="D12448" t="s">
        <v>33926</v>
      </c>
      <c r="F12448" t="s">
        <v>33964</v>
      </c>
      <c r="K12448" s="18">
        <f>628128029858</f>
        <v>628128029858</v>
      </c>
      <c r="N12448" s="17" t="s">
        <v>77</v>
      </c>
      <c r="V12448" s="18">
        <f>628128029858</f>
        <v>628128029858</v>
      </c>
    </row>
    <row r="12449" ht="15" customHeight="1" spans="1:22" x14ac:dyDescent="0.25">
      <c r="A12449" s="17" t="s">
        <v>33965</v>
      </c>
      <c r="B12449" s="17" t="s">
        <v>70</v>
      </c>
      <c r="C12449" s="17" t="s">
        <v>71</v>
      </c>
      <c r="D12449" t="s">
        <v>33926</v>
      </c>
      <c r="F12449" t="s">
        <v>33966</v>
      </c>
      <c r="K12449" s="18">
        <f>62818350019</f>
        <v>62818350019</v>
      </c>
      <c r="N12449" s="17" t="s">
        <v>77</v>
      </c>
      <c r="V12449" s="18">
        <f>62818350019</f>
        <v>62818350019</v>
      </c>
    </row>
    <row r="12450" ht="15" customHeight="1" spans="1:22" x14ac:dyDescent="0.25">
      <c r="A12450" s="17" t="s">
        <v>33967</v>
      </c>
      <c r="B12450" s="17" t="s">
        <v>70</v>
      </c>
      <c r="C12450" s="17" t="s">
        <v>71</v>
      </c>
      <c r="D12450" t="s">
        <v>33926</v>
      </c>
      <c r="F12450" t="s">
        <v>1337</v>
      </c>
      <c r="K12450" s="18">
        <f>62816925595</f>
        <v>62816925595</v>
      </c>
      <c r="N12450" s="17" t="s">
        <v>74</v>
      </c>
      <c r="V12450" s="18">
        <f>62816925595</f>
        <v>62816925595</v>
      </c>
    </row>
    <row r="12451" ht="15" customHeight="1" spans="1:28" x14ac:dyDescent="0.25">
      <c r="A12451" s="17" t="s">
        <v>33968</v>
      </c>
      <c r="B12451" s="17" t="s">
        <v>70</v>
      </c>
      <c r="C12451" s="17" t="s">
        <v>71</v>
      </c>
      <c r="D12451" t="s">
        <v>33926</v>
      </c>
      <c r="F12451" t="s">
        <v>1337</v>
      </c>
      <c r="J12451" t="s">
        <v>115</v>
      </c>
      <c r="K12451" s="18" t="s">
        <v>33969</v>
      </c>
      <c r="N12451" s="17" t="s">
        <v>81</v>
      </c>
      <c r="O12451" t="s">
        <v>117</v>
      </c>
      <c r="V12451" s="18" t="s">
        <v>33969</v>
      </c>
      <c r="Y12451" t="s">
        <v>90</v>
      </c>
      <c r="AA12451" t="s">
        <v>118</v>
      </c>
      <c r="AB12451" t="s">
        <v>119</v>
      </c>
    </row>
    <row r="12452" ht="15" customHeight="1" spans="1:22" x14ac:dyDescent="0.25">
      <c r="A12452" s="17" t="s">
        <v>33970</v>
      </c>
      <c r="B12452" s="17" t="s">
        <v>70</v>
      </c>
      <c r="C12452" s="17" t="s">
        <v>71</v>
      </c>
      <c r="D12452" t="s">
        <v>33926</v>
      </c>
      <c r="F12452" t="s">
        <v>33971</v>
      </c>
      <c r="K12452" s="18">
        <f>62818739494</f>
        <v>62818739494</v>
      </c>
      <c r="N12452" s="17" t="s">
        <v>77</v>
      </c>
      <c r="V12452" s="18">
        <f>62818739494</f>
        <v>62818739494</v>
      </c>
    </row>
    <row r="12453" ht="15" customHeight="1" spans="1:28" x14ac:dyDescent="0.25">
      <c r="A12453" s="17" t="s">
        <v>33972</v>
      </c>
      <c r="B12453" s="17" t="s">
        <v>70</v>
      </c>
      <c r="C12453" s="17" t="s">
        <v>71</v>
      </c>
      <c r="D12453" t="s">
        <v>33926</v>
      </c>
      <c r="F12453" t="s">
        <v>33973</v>
      </c>
      <c r="J12453" s="17" t="s">
        <v>33974</v>
      </c>
      <c r="K12453" s="18" t="s">
        <v>33975</v>
      </c>
      <c r="N12453" s="17" t="s">
        <v>77</v>
      </c>
      <c r="O12453" t="s">
        <v>145</v>
      </c>
      <c r="U12453" s="17"/>
      <c r="V12453" s="18" t="s">
        <v>33975</v>
      </c>
      <c r="W12453" t="s">
        <v>33976</v>
      </c>
      <c r="Y12453" t="s">
        <v>90</v>
      </c>
      <c r="AA12453" t="s">
        <v>118</v>
      </c>
      <c r="AB12453" t="s">
        <v>119</v>
      </c>
    </row>
    <row r="12454" ht="15" customHeight="1" spans="1:22" x14ac:dyDescent="0.25">
      <c r="A12454" s="17" t="s">
        <v>33977</v>
      </c>
      <c r="B12454" s="17" t="s">
        <v>70</v>
      </c>
      <c r="C12454" s="17" t="s">
        <v>71</v>
      </c>
      <c r="D12454" t="s">
        <v>33926</v>
      </c>
      <c r="F12454" t="s">
        <v>16907</v>
      </c>
      <c r="K12454" s="18">
        <f>6281288907000</f>
        <v>6281288907000</v>
      </c>
      <c r="N12454" s="17" t="s">
        <v>77</v>
      </c>
      <c r="V12454" s="18">
        <f>6281288907000</f>
        <v>6281288907000</v>
      </c>
    </row>
    <row r="12455" ht="15" customHeight="1" spans="1:22" x14ac:dyDescent="0.25">
      <c r="A12455" s="17" t="s">
        <v>33978</v>
      </c>
      <c r="B12455" s="17" t="s">
        <v>70</v>
      </c>
      <c r="C12455" s="17" t="s">
        <v>71</v>
      </c>
      <c r="D12455" t="s">
        <v>1929</v>
      </c>
      <c r="F12455" t="s">
        <v>8592</v>
      </c>
      <c r="K12455" s="18">
        <f>6281294042350</f>
        <v>6281294042350</v>
      </c>
      <c r="N12455" s="17" t="s">
        <v>77</v>
      </c>
      <c r="V12455" s="18">
        <f>6281294042350</f>
        <v>6281294042350</v>
      </c>
    </row>
    <row r="12456" ht="15" customHeight="1" spans="1:28" x14ac:dyDescent="0.25">
      <c r="A12456" s="17" t="s">
        <v>33979</v>
      </c>
      <c r="B12456" s="17" t="s">
        <v>70</v>
      </c>
      <c r="C12456" s="17" t="s">
        <v>71</v>
      </c>
      <c r="D12456" t="s">
        <v>33980</v>
      </c>
      <c r="F12456" t="s">
        <v>33980</v>
      </c>
      <c r="J12456" t="s">
        <v>115</v>
      </c>
      <c r="K12456" s="18" t="s">
        <v>33981</v>
      </c>
      <c r="N12456" s="17" t="s">
        <v>81</v>
      </c>
      <c r="O12456" t="s">
        <v>489</v>
      </c>
      <c r="V12456" s="18" t="s">
        <v>33981</v>
      </c>
      <c r="Y12456" t="s">
        <v>90</v>
      </c>
      <c r="AA12456" t="s">
        <v>118</v>
      </c>
      <c r="AB12456" t="s">
        <v>119</v>
      </c>
    </row>
    <row r="12457" ht="15" customHeight="1" spans="1:25" x14ac:dyDescent="0.25">
      <c r="A12457" s="17" t="s">
        <v>33982</v>
      </c>
      <c r="B12457" s="17" t="s">
        <v>70</v>
      </c>
      <c r="C12457" s="17" t="s">
        <v>71</v>
      </c>
      <c r="D12457" t="s">
        <v>33983</v>
      </c>
      <c r="F12457" t="s">
        <v>33984</v>
      </c>
      <c r="K12457" s="18">
        <f>6281212345000</f>
        <v>6281212345000</v>
      </c>
      <c r="N12457" s="17" t="s">
        <v>77</v>
      </c>
      <c r="U12457" s="17"/>
      <c r="V12457" s="18">
        <f>6281212345000</f>
        <v>6281212345000</v>
      </c>
      <c r="W12457" t="s">
        <v>33985</v>
      </c>
      <c r="Y12457" s="17" t="s">
        <v>1084</v>
      </c>
    </row>
    <row r="12458" ht="15" customHeight="1" spans="1:28" x14ac:dyDescent="0.25">
      <c r="A12458" s="17" t="s">
        <v>33986</v>
      </c>
      <c r="B12458" s="17" t="s">
        <v>70</v>
      </c>
      <c r="C12458" s="17" t="s">
        <v>71</v>
      </c>
      <c r="D12458" t="s">
        <v>33987</v>
      </c>
      <c r="F12458" t="s">
        <v>4858</v>
      </c>
      <c r="J12458" t="s">
        <v>33988</v>
      </c>
      <c r="K12458" s="18" t="s">
        <v>33989</v>
      </c>
      <c r="N12458" s="17" t="s">
        <v>81</v>
      </c>
      <c r="O12458" t="s">
        <v>261</v>
      </c>
      <c r="V12458" s="18" t="s">
        <v>33989</v>
      </c>
      <c r="Y12458" t="s">
        <v>90</v>
      </c>
      <c r="AA12458" t="s">
        <v>118</v>
      </c>
      <c r="AB12458" t="s">
        <v>119</v>
      </c>
    </row>
    <row r="12459" ht="15" customHeight="1" spans="1:22" x14ac:dyDescent="0.25">
      <c r="A12459" s="17" t="s">
        <v>33990</v>
      </c>
      <c r="B12459" s="17" t="s">
        <v>70</v>
      </c>
      <c r="C12459" s="17" t="s">
        <v>71</v>
      </c>
      <c r="D12459" t="s">
        <v>29996</v>
      </c>
      <c r="F12459" t="s">
        <v>29996</v>
      </c>
      <c r="K12459" s="18">
        <f>628129951589</f>
        <v>628129951589</v>
      </c>
      <c r="N12459" s="17" t="s">
        <v>81</v>
      </c>
      <c r="V12459" s="18">
        <f>628129951589</f>
        <v>628129951589</v>
      </c>
    </row>
    <row r="12460" ht="15" customHeight="1" spans="1:25" x14ac:dyDescent="0.25">
      <c r="A12460" s="17" t="s">
        <v>33991</v>
      </c>
      <c r="B12460" s="17" t="s">
        <v>70</v>
      </c>
      <c r="C12460" s="17" t="s">
        <v>71</v>
      </c>
      <c r="D12460" t="s">
        <v>29996</v>
      </c>
      <c r="F12460" t="s">
        <v>4443</v>
      </c>
      <c r="K12460" s="18">
        <f>62811511026</f>
        <v>62811511026</v>
      </c>
      <c r="N12460" s="17" t="s">
        <v>77</v>
      </c>
      <c r="U12460" s="17"/>
      <c r="V12460" s="18">
        <f>62811511026</f>
        <v>62811511026</v>
      </c>
      <c r="W12460" t="s">
        <v>33992</v>
      </c>
      <c r="Y12460" s="17" t="s">
        <v>4959</v>
      </c>
    </row>
    <row r="12461" ht="15" customHeight="1" spans="1:28" x14ac:dyDescent="0.25">
      <c r="A12461" s="17" t="s">
        <v>33993</v>
      </c>
      <c r="B12461" s="17" t="s">
        <v>70</v>
      </c>
      <c r="C12461" s="17" t="s">
        <v>71</v>
      </c>
      <c r="D12461" t="s">
        <v>29996</v>
      </c>
      <c r="F12461" t="s">
        <v>1657</v>
      </c>
      <c r="J12461" t="s">
        <v>115</v>
      </c>
      <c r="K12461" s="18" t="s">
        <v>33994</v>
      </c>
      <c r="N12461" s="17" t="s">
        <v>74</v>
      </c>
      <c r="O12461" t="s">
        <v>489</v>
      </c>
      <c r="V12461" s="18" t="s">
        <v>33994</v>
      </c>
      <c r="Y12461" t="s">
        <v>90</v>
      </c>
      <c r="AA12461" t="s">
        <v>118</v>
      </c>
      <c r="AB12461" t="s">
        <v>119</v>
      </c>
    </row>
    <row r="12462" ht="15" customHeight="1" spans="1:27" x14ac:dyDescent="0.25">
      <c r="A12462" s="17" t="s">
        <v>33995</v>
      </c>
      <c r="B12462" s="17" t="s">
        <v>70</v>
      </c>
      <c r="C12462" s="17" t="s">
        <v>71</v>
      </c>
      <c r="D12462" t="s">
        <v>26840</v>
      </c>
      <c r="F12462" t="s">
        <v>33996</v>
      </c>
      <c r="K12462" s="18">
        <v>5266166</v>
      </c>
      <c r="N12462" s="17" t="s">
        <v>74</v>
      </c>
      <c r="U12462" s="17"/>
      <c r="V12462" s="18">
        <v>5266166</v>
      </c>
      <c r="W12462" t="s">
        <v>33997</v>
      </c>
      <c r="Y12462" s="17" t="s">
        <v>96</v>
      </c>
      <c r="AA12462" s="17" t="s">
        <v>33998</v>
      </c>
    </row>
    <row r="12463" ht="15" customHeight="1" spans="1:22" x14ac:dyDescent="0.25">
      <c r="A12463" s="17" t="s">
        <v>33999</v>
      </c>
      <c r="B12463" s="17" t="s">
        <v>70</v>
      </c>
      <c r="C12463" s="17" t="s">
        <v>71</v>
      </c>
      <c r="D12463" t="s">
        <v>34000</v>
      </c>
      <c r="F12463" t="s">
        <v>34000</v>
      </c>
      <c r="K12463" s="18">
        <f>6287771356262</f>
        <v>6287771356262</v>
      </c>
      <c r="N12463" s="17" t="s">
        <v>81</v>
      </c>
      <c r="V12463" s="18">
        <f>6287771356262</f>
        <v>6287771356262</v>
      </c>
    </row>
    <row r="12464" ht="15" customHeight="1" spans="1:25" x14ac:dyDescent="0.25">
      <c r="A12464" s="17" t="s">
        <v>34001</v>
      </c>
      <c r="B12464" s="17" t="s">
        <v>70</v>
      </c>
      <c r="C12464" s="17" t="s">
        <v>71</v>
      </c>
      <c r="D12464" t="s">
        <v>34002</v>
      </c>
      <c r="F12464" t="s">
        <v>34003</v>
      </c>
      <c r="K12464" s="18">
        <f>628126088353</f>
        <v>628126088353</v>
      </c>
      <c r="N12464" s="17" t="s">
        <v>77</v>
      </c>
      <c r="U12464" s="17"/>
      <c r="V12464" s="18">
        <f>628126088353</f>
        <v>628126088353</v>
      </c>
      <c r="W12464" t="s">
        <v>34004</v>
      </c>
      <c r="Y12464" s="17" t="s">
        <v>397</v>
      </c>
    </row>
    <row r="12465" ht="15" customHeight="1" spans="1:22" x14ac:dyDescent="0.25">
      <c r="A12465" s="17" t="s">
        <v>34005</v>
      </c>
      <c r="B12465" s="17" t="s">
        <v>70</v>
      </c>
      <c r="C12465" s="17" t="s">
        <v>71</v>
      </c>
      <c r="D12465" t="s">
        <v>34006</v>
      </c>
      <c r="F12465" t="s">
        <v>34006</v>
      </c>
      <c r="K12465" s="18">
        <f>628581118883</f>
        <v>628581118883</v>
      </c>
      <c r="N12465" s="17" t="s">
        <v>77</v>
      </c>
      <c r="V12465" s="18">
        <f>628581118883</f>
        <v>628581118883</v>
      </c>
    </row>
    <row r="12466" ht="15" customHeight="1" spans="1:22" x14ac:dyDescent="0.25">
      <c r="A12466" s="17" t="s">
        <v>34007</v>
      </c>
      <c r="B12466" s="17" t="s">
        <v>70</v>
      </c>
      <c r="C12466" s="17" t="s">
        <v>71</v>
      </c>
      <c r="D12466" t="s">
        <v>34006</v>
      </c>
      <c r="F12466" t="s">
        <v>34006</v>
      </c>
      <c r="K12466" s="18">
        <v>5276667</v>
      </c>
      <c r="N12466" s="17" t="s">
        <v>74</v>
      </c>
      <c r="V12466" s="18">
        <v>5276667</v>
      </c>
    </row>
    <row r="12467" ht="15" customHeight="1" spans="1:22" x14ac:dyDescent="0.25">
      <c r="A12467" s="17" t="s">
        <v>34008</v>
      </c>
      <c r="B12467" s="17" t="s">
        <v>70</v>
      </c>
      <c r="C12467" s="17" t="s">
        <v>71</v>
      </c>
      <c r="D12467" t="s">
        <v>34006</v>
      </c>
      <c r="F12467" t="s">
        <v>1264</v>
      </c>
      <c r="K12467" s="18">
        <f>62811931560</f>
        <v>62811931560</v>
      </c>
      <c r="N12467" s="17" t="s">
        <v>77</v>
      </c>
      <c r="V12467" s="18">
        <f>62811931560</f>
        <v>62811931560</v>
      </c>
    </row>
    <row r="12468" ht="15" customHeight="1" spans="1:22" x14ac:dyDescent="0.25">
      <c r="A12468" s="17" t="s">
        <v>34009</v>
      </c>
      <c r="B12468" s="17" t="s">
        <v>70</v>
      </c>
      <c r="C12468" s="17" t="s">
        <v>71</v>
      </c>
      <c r="D12468" t="s">
        <v>34006</v>
      </c>
      <c r="F12468" t="s">
        <v>25783</v>
      </c>
      <c r="K12468" s="18">
        <f>62818832802</f>
        <v>62818832802</v>
      </c>
      <c r="N12468" s="17" t="s">
        <v>81</v>
      </c>
      <c r="V12468" s="18">
        <f>62818832802</f>
        <v>62818832802</v>
      </c>
    </row>
    <row r="12469" ht="15" customHeight="1" spans="1:28" x14ac:dyDescent="0.25">
      <c r="A12469" s="17" t="s">
        <v>34010</v>
      </c>
      <c r="B12469" s="17" t="s">
        <v>70</v>
      </c>
      <c r="C12469" s="17" t="s">
        <v>71</v>
      </c>
      <c r="D12469" t="s">
        <v>25242</v>
      </c>
      <c r="F12469" t="s">
        <v>27489</v>
      </c>
      <c r="J12469" t="s">
        <v>115</v>
      </c>
      <c r="K12469" s="18" t="s">
        <v>34011</v>
      </c>
      <c r="N12469" s="17" t="s">
        <v>74</v>
      </c>
      <c r="O12469" t="s">
        <v>117</v>
      </c>
      <c r="V12469" s="18" t="s">
        <v>34011</v>
      </c>
      <c r="Y12469" t="s">
        <v>96</v>
      </c>
      <c r="AA12469" t="s">
        <v>693</v>
      </c>
      <c r="AB12469" t="s">
        <v>119</v>
      </c>
    </row>
    <row r="12470" ht="15" customHeight="1" spans="1:25" x14ac:dyDescent="0.25">
      <c r="A12470" s="17" t="s">
        <v>34012</v>
      </c>
      <c r="B12470" s="17" t="s">
        <v>70</v>
      </c>
      <c r="C12470" s="17" t="s">
        <v>71</v>
      </c>
      <c r="D12470" t="s">
        <v>34006</v>
      </c>
      <c r="F12470" t="s">
        <v>4479</v>
      </c>
      <c r="K12470" s="18">
        <f>6285921886688</f>
        <v>6285921886688</v>
      </c>
      <c r="N12470" s="17" t="s">
        <v>81</v>
      </c>
      <c r="U12470" s="17"/>
      <c r="V12470" s="18">
        <f>6285921886688</f>
        <v>6285921886688</v>
      </c>
      <c r="W12470" t="s">
        <v>34013</v>
      </c>
      <c r="Y12470" s="17" t="s">
        <v>515</v>
      </c>
    </row>
    <row r="12471" ht="15" customHeight="1" spans="1:22" x14ac:dyDescent="0.25">
      <c r="A12471" s="17" t="s">
        <v>34014</v>
      </c>
      <c r="B12471" s="17" t="s">
        <v>70</v>
      </c>
      <c r="C12471" s="17" t="s">
        <v>71</v>
      </c>
      <c r="D12471" t="s">
        <v>34006</v>
      </c>
      <c r="F12471" t="s">
        <v>355</v>
      </c>
      <c r="K12471" s="18">
        <f>62811959899</f>
        <v>62811959899</v>
      </c>
      <c r="N12471" s="17" t="s">
        <v>77</v>
      </c>
      <c r="V12471" s="18">
        <f>62811959899</f>
        <v>62811959899</v>
      </c>
    </row>
    <row r="12472" ht="15" customHeight="1" spans="1:25" x14ac:dyDescent="0.25">
      <c r="A12472" s="17" t="s">
        <v>34015</v>
      </c>
      <c r="B12472" s="17" t="s">
        <v>70</v>
      </c>
      <c r="C12472" s="17" t="s">
        <v>71</v>
      </c>
      <c r="D12472" t="s">
        <v>34016</v>
      </c>
      <c r="F12472" t="s">
        <v>34016</v>
      </c>
      <c r="K12472" s="18">
        <f>628158123333</f>
        <v>628158123333</v>
      </c>
      <c r="N12472" s="17" t="s">
        <v>77</v>
      </c>
      <c r="U12472" s="17"/>
      <c r="V12472" s="18">
        <f>628158123333</f>
        <v>628158123333</v>
      </c>
      <c r="W12472" t="s">
        <v>34017</v>
      </c>
      <c r="Y12472" s="17" t="s">
        <v>96</v>
      </c>
    </row>
    <row r="12473" ht="15" customHeight="1" spans="1:22" x14ac:dyDescent="0.25">
      <c r="A12473" s="17" t="s">
        <v>34018</v>
      </c>
      <c r="B12473" s="17" t="s">
        <v>70</v>
      </c>
      <c r="C12473" s="17" t="s">
        <v>71</v>
      </c>
      <c r="D12473" t="s">
        <v>34019</v>
      </c>
      <c r="F12473" t="s">
        <v>34019</v>
      </c>
      <c r="K12473" s="18">
        <f>628111019723</f>
        <v>628111019723</v>
      </c>
      <c r="N12473" s="17" t="s">
        <v>77</v>
      </c>
      <c r="V12473" s="18">
        <f>628111019723</f>
        <v>628111019723</v>
      </c>
    </row>
    <row r="12474" ht="15" customHeight="1" spans="1:28" x14ac:dyDescent="0.25">
      <c r="A12474" s="17" t="s">
        <v>34020</v>
      </c>
      <c r="B12474" s="17" t="s">
        <v>70</v>
      </c>
      <c r="C12474" s="17" t="s">
        <v>71</v>
      </c>
      <c r="D12474" t="s">
        <v>34019</v>
      </c>
      <c r="F12474" t="s">
        <v>32772</v>
      </c>
      <c r="J12474" t="s">
        <v>115</v>
      </c>
      <c r="K12474" s="18" t="s">
        <v>34021</v>
      </c>
      <c r="N12474" s="17" t="s">
        <v>74</v>
      </c>
      <c r="O12474" t="s">
        <v>117</v>
      </c>
      <c r="V12474" s="18" t="s">
        <v>34021</v>
      </c>
      <c r="Y12474" t="s">
        <v>190</v>
      </c>
      <c r="AA12474" t="s">
        <v>118</v>
      </c>
      <c r="AB12474" t="s">
        <v>119</v>
      </c>
    </row>
    <row r="12475" ht="15" customHeight="1" spans="1:22" x14ac:dyDescent="0.25">
      <c r="A12475" s="17" t="s">
        <v>34022</v>
      </c>
      <c r="B12475" s="17" t="s">
        <v>70</v>
      </c>
      <c r="C12475" s="17" t="s">
        <v>71</v>
      </c>
      <c r="D12475" t="s">
        <v>34019</v>
      </c>
      <c r="F12475" t="s">
        <v>34023</v>
      </c>
      <c r="K12475" s="18">
        <f>628151605050</f>
        <v>628151605050</v>
      </c>
      <c r="N12475" s="17" t="s">
        <v>77</v>
      </c>
      <c r="V12475" s="18">
        <f>628151605050</f>
        <v>628151605050</v>
      </c>
    </row>
    <row r="12476" ht="15" customHeight="1" spans="1:28" x14ac:dyDescent="0.25">
      <c r="A12476" s="17" t="s">
        <v>34024</v>
      </c>
      <c r="B12476" s="17" t="s">
        <v>70</v>
      </c>
      <c r="C12476" s="17" t="s">
        <v>71</v>
      </c>
      <c r="D12476" t="s">
        <v>34025</v>
      </c>
      <c r="F12476" t="s">
        <v>34026</v>
      </c>
      <c r="J12476" t="s">
        <v>115</v>
      </c>
      <c r="K12476" s="18" t="s">
        <v>34027</v>
      </c>
      <c r="N12476" s="17" t="s">
        <v>77</v>
      </c>
      <c r="O12476" t="s">
        <v>145</v>
      </c>
      <c r="U12476" s="17"/>
      <c r="V12476" s="18" t="s">
        <v>34027</v>
      </c>
      <c r="W12476" t="s">
        <v>34028</v>
      </c>
      <c r="Y12476" s="17" t="s">
        <v>190</v>
      </c>
      <c r="AA12476" t="s">
        <v>118</v>
      </c>
      <c r="AB12476" t="s">
        <v>119</v>
      </c>
    </row>
    <row r="12477" ht="15" customHeight="1" spans="1:23" x14ac:dyDescent="0.25">
      <c r="A12477" s="17" t="s">
        <v>34029</v>
      </c>
      <c r="B12477" s="17" t="s">
        <v>70</v>
      </c>
      <c r="C12477" s="17" t="s">
        <v>71</v>
      </c>
      <c r="D12477" t="s">
        <v>34019</v>
      </c>
      <c r="F12477" t="s">
        <v>230</v>
      </c>
      <c r="K12477" s="18">
        <f>62811881008</f>
        <v>62811881008</v>
      </c>
      <c r="N12477" s="17" t="s">
        <v>77</v>
      </c>
      <c r="U12477" s="17"/>
      <c r="V12477" s="18">
        <f>62811881008</f>
        <v>62811881008</v>
      </c>
      <c r="W12477" t="s">
        <v>34030</v>
      </c>
    </row>
    <row r="12478" ht="15" customHeight="1" spans="1:28" x14ac:dyDescent="0.25">
      <c r="A12478" s="17" t="s">
        <v>34031</v>
      </c>
      <c r="B12478" s="17" t="s">
        <v>70</v>
      </c>
      <c r="C12478" s="17" t="s">
        <v>71</v>
      </c>
      <c r="D12478" t="s">
        <v>34019</v>
      </c>
      <c r="F12478" t="s">
        <v>34032</v>
      </c>
      <c r="J12478" t="s">
        <v>34033</v>
      </c>
      <c r="K12478" s="18" t="s">
        <v>34034</v>
      </c>
      <c r="N12478" s="17" t="s">
        <v>77</v>
      </c>
      <c r="O12478" t="s">
        <v>117</v>
      </c>
      <c r="V12478" s="18" t="s">
        <v>34034</v>
      </c>
      <c r="Y12478" t="s">
        <v>190</v>
      </c>
      <c r="AA12478" t="s">
        <v>118</v>
      </c>
      <c r="AB12478" t="s">
        <v>119</v>
      </c>
    </row>
    <row r="12479" ht="15" customHeight="1" spans="1:22" x14ac:dyDescent="0.25">
      <c r="A12479" s="17" t="s">
        <v>34035</v>
      </c>
      <c r="B12479" s="17" t="s">
        <v>70</v>
      </c>
      <c r="C12479" s="17" t="s">
        <v>71</v>
      </c>
      <c r="D12479" t="s">
        <v>34036</v>
      </c>
      <c r="F12479" t="s">
        <v>13711</v>
      </c>
      <c r="J12479" s="17" t="s">
        <v>34037</v>
      </c>
      <c r="K12479" s="18">
        <f>6281321277288</f>
        <v>6281321277288</v>
      </c>
      <c r="N12479" s="17" t="s">
        <v>77</v>
      </c>
      <c r="V12479" s="18">
        <f>6281321277288</f>
        <v>6281321277288</v>
      </c>
    </row>
    <row r="12480" ht="15" customHeight="1" spans="1:22" x14ac:dyDescent="0.25">
      <c r="A12480" s="17" t="s">
        <v>34038</v>
      </c>
      <c r="B12480" s="17" t="s">
        <v>70</v>
      </c>
      <c r="C12480" s="17" t="s">
        <v>71</v>
      </c>
      <c r="D12480" t="s">
        <v>33939</v>
      </c>
      <c r="F12480" t="s">
        <v>33939</v>
      </c>
      <c r="K12480" s="18">
        <f>6282188188782</f>
        <v>6282188188782</v>
      </c>
      <c r="N12480" s="17" t="s">
        <v>81</v>
      </c>
      <c r="V12480" s="18">
        <f>6282188188782</f>
        <v>6282188188782</v>
      </c>
    </row>
    <row r="12481" ht="15" customHeight="1" spans="1:22" x14ac:dyDescent="0.25">
      <c r="A12481" s="17" t="s">
        <v>34039</v>
      </c>
      <c r="B12481" s="17" t="s">
        <v>70</v>
      </c>
      <c r="C12481" s="17" t="s">
        <v>71</v>
      </c>
      <c r="D12481" t="s">
        <v>33939</v>
      </c>
      <c r="F12481" t="s">
        <v>33939</v>
      </c>
      <c r="K12481" s="18">
        <f>6281385581973</f>
        <v>6281385581973</v>
      </c>
      <c r="N12481" s="17" t="s">
        <v>77</v>
      </c>
      <c r="V12481" s="18">
        <f>6281385581973</f>
        <v>6281385581973</v>
      </c>
    </row>
    <row r="12482" ht="15" customHeight="1" spans="1:22" x14ac:dyDescent="0.25">
      <c r="A12482" s="17" t="s">
        <v>34040</v>
      </c>
      <c r="B12482" s="17" t="s">
        <v>70</v>
      </c>
      <c r="C12482" s="17" t="s">
        <v>71</v>
      </c>
      <c r="D12482" t="s">
        <v>33939</v>
      </c>
      <c r="F12482" t="s">
        <v>33939</v>
      </c>
      <c r="K12482" s="18">
        <f>62816713883</f>
        <v>62816713883</v>
      </c>
      <c r="N12482" s="17" t="s">
        <v>77</v>
      </c>
      <c r="V12482" s="18">
        <f>62816713883</f>
        <v>62816713883</v>
      </c>
    </row>
    <row r="12483" ht="15" customHeight="1" spans="1:28" x14ac:dyDescent="0.25">
      <c r="A12483" s="17" t="s">
        <v>34041</v>
      </c>
      <c r="B12483" s="17" t="s">
        <v>70</v>
      </c>
      <c r="C12483" s="17" t="s">
        <v>71</v>
      </c>
      <c r="D12483" t="s">
        <v>33939</v>
      </c>
      <c r="F12483" t="s">
        <v>34042</v>
      </c>
      <c r="J12483" t="s">
        <v>115</v>
      </c>
      <c r="K12483" s="18" t="s">
        <v>34043</v>
      </c>
      <c r="N12483" s="17" t="s">
        <v>77</v>
      </c>
      <c r="O12483" t="s">
        <v>117</v>
      </c>
      <c r="V12483" s="18" t="s">
        <v>34043</v>
      </c>
      <c r="Y12483" t="s">
        <v>90</v>
      </c>
      <c r="AA12483" t="s">
        <v>118</v>
      </c>
      <c r="AB12483" t="s">
        <v>119</v>
      </c>
    </row>
    <row r="12484" ht="15" customHeight="1" spans="1:22" x14ac:dyDescent="0.25">
      <c r="A12484" s="17" t="s">
        <v>34044</v>
      </c>
      <c r="B12484" s="17" t="s">
        <v>70</v>
      </c>
      <c r="C12484" s="17" t="s">
        <v>71</v>
      </c>
      <c r="D12484" t="s">
        <v>33939</v>
      </c>
      <c r="F12484" t="s">
        <v>10127</v>
      </c>
      <c r="K12484" s="18">
        <f>628118051181</f>
        <v>628118051181</v>
      </c>
      <c r="N12484" s="17" t="s">
        <v>81</v>
      </c>
      <c r="V12484" s="18">
        <f>628118051181</f>
        <v>628118051181</v>
      </c>
    </row>
    <row r="12485" ht="15" customHeight="1" spans="1:28" x14ac:dyDescent="0.25">
      <c r="A12485" s="17" t="s">
        <v>34045</v>
      </c>
      <c r="B12485" s="17" t="s">
        <v>70</v>
      </c>
      <c r="C12485" s="17" t="s">
        <v>71</v>
      </c>
      <c r="D12485" t="s">
        <v>33939</v>
      </c>
      <c r="F12485" t="s">
        <v>34046</v>
      </c>
      <c r="J12485" s="17" t="s">
        <v>34047</v>
      </c>
      <c r="K12485" s="18" t="s">
        <v>34048</v>
      </c>
      <c r="N12485" s="17" t="s">
        <v>77</v>
      </c>
      <c r="O12485" t="s">
        <v>489</v>
      </c>
      <c r="V12485" s="18" t="s">
        <v>34048</v>
      </c>
      <c r="Y12485" t="s">
        <v>90</v>
      </c>
      <c r="AA12485" t="s">
        <v>118</v>
      </c>
      <c r="AB12485" t="s">
        <v>119</v>
      </c>
    </row>
    <row r="12486" ht="15" customHeight="1" spans="1:28" x14ac:dyDescent="0.25">
      <c r="A12486" s="17" t="s">
        <v>34049</v>
      </c>
      <c r="B12486" s="17" t="s">
        <v>70</v>
      </c>
      <c r="C12486" s="17" t="s">
        <v>71</v>
      </c>
      <c r="D12486" t="s">
        <v>33939</v>
      </c>
      <c r="F12486" t="s">
        <v>18549</v>
      </c>
      <c r="J12486" t="s">
        <v>115</v>
      </c>
      <c r="K12486" s="18" t="s">
        <v>34050</v>
      </c>
      <c r="N12486" s="17" t="s">
        <v>77</v>
      </c>
      <c r="O12486" t="s">
        <v>145</v>
      </c>
      <c r="V12486" s="18" t="s">
        <v>34050</v>
      </c>
      <c r="Y12486" t="s">
        <v>90</v>
      </c>
      <c r="AA12486" t="s">
        <v>118</v>
      </c>
      <c r="AB12486" t="s">
        <v>119</v>
      </c>
    </row>
    <row r="12487" ht="15" customHeight="1" spans="1:27" x14ac:dyDescent="0.25">
      <c r="A12487" s="17" t="s">
        <v>34051</v>
      </c>
      <c r="B12487" s="17" t="s">
        <v>70</v>
      </c>
      <c r="C12487" s="17" t="s">
        <v>71</v>
      </c>
      <c r="D12487" t="s">
        <v>33939</v>
      </c>
      <c r="F12487" t="s">
        <v>3317</v>
      </c>
      <c r="J12487" s="17" t="s">
        <v>34052</v>
      </c>
      <c r="K12487" s="18">
        <f>62217353870</f>
        <v>62217353870</v>
      </c>
      <c r="N12487" s="17" t="s">
        <v>77</v>
      </c>
      <c r="U12487" s="17"/>
      <c r="V12487" s="18">
        <f>62217353870</f>
        <v>62217353870</v>
      </c>
      <c r="W12487" t="s">
        <v>34053</v>
      </c>
      <c r="Y12487" s="17" t="s">
        <v>96</v>
      </c>
      <c r="AA12487" s="17">
        <v>15000</v>
      </c>
    </row>
    <row r="12488" ht="15" customHeight="1" spans="1:28" x14ac:dyDescent="0.25">
      <c r="A12488" s="17" t="s">
        <v>34054</v>
      </c>
      <c r="B12488" s="17" t="s">
        <v>70</v>
      </c>
      <c r="C12488" s="17" t="s">
        <v>71</v>
      </c>
      <c r="D12488" t="s">
        <v>33939</v>
      </c>
      <c r="F12488" t="s">
        <v>33939</v>
      </c>
      <c r="J12488" s="17" t="s">
        <v>34055</v>
      </c>
      <c r="K12488" s="18" t="s">
        <v>34056</v>
      </c>
      <c r="N12488" s="17" t="s">
        <v>77</v>
      </c>
      <c r="O12488" t="s">
        <v>199</v>
      </c>
      <c r="U12488" s="17"/>
      <c r="V12488" s="18" t="s">
        <v>34056</v>
      </c>
      <c r="W12488" t="s">
        <v>34057</v>
      </c>
      <c r="Y12488" t="s">
        <v>6306</v>
      </c>
      <c r="AA12488" t="s">
        <v>115</v>
      </c>
      <c r="AB12488" t="s">
        <v>119</v>
      </c>
    </row>
    <row r="12489" ht="15" customHeight="1" spans="1:22" x14ac:dyDescent="0.25">
      <c r="A12489" s="17" t="s">
        <v>34058</v>
      </c>
      <c r="B12489" s="17" t="s">
        <v>70</v>
      </c>
      <c r="C12489" s="17" t="s">
        <v>71</v>
      </c>
      <c r="D12489" t="s">
        <v>34059</v>
      </c>
      <c r="F12489" t="s">
        <v>34059</v>
      </c>
      <c r="K12489" s="18">
        <f>628118807929</f>
        <v>628118807929</v>
      </c>
      <c r="N12489" s="17" t="s">
        <v>77</v>
      </c>
      <c r="V12489" s="18">
        <f>628118807929</f>
        <v>628118807929</v>
      </c>
    </row>
    <row r="12490" ht="15" customHeight="1" spans="1:28" x14ac:dyDescent="0.25">
      <c r="A12490" s="17" t="s">
        <v>34060</v>
      </c>
      <c r="B12490" s="17" t="s">
        <v>70</v>
      </c>
      <c r="C12490" s="17" t="s">
        <v>71</v>
      </c>
      <c r="D12490" t="s">
        <v>34061</v>
      </c>
      <c r="F12490" t="s">
        <v>186</v>
      </c>
      <c r="J12490" t="s">
        <v>115</v>
      </c>
      <c r="K12490" s="18" t="s">
        <v>34062</v>
      </c>
      <c r="N12490" s="17" t="s">
        <v>77</v>
      </c>
      <c r="O12490" t="s">
        <v>261</v>
      </c>
      <c r="V12490" s="18" t="s">
        <v>34062</v>
      </c>
      <c r="Y12490" t="s">
        <v>90</v>
      </c>
      <c r="AA12490" t="s">
        <v>118</v>
      </c>
      <c r="AB12490" t="s">
        <v>119</v>
      </c>
    </row>
    <row r="12491" ht="15" customHeight="1" spans="1:22" x14ac:dyDescent="0.25">
      <c r="A12491" s="17" t="s">
        <v>34063</v>
      </c>
      <c r="B12491" s="17" t="s">
        <v>70</v>
      </c>
      <c r="C12491" s="17" t="s">
        <v>71</v>
      </c>
      <c r="D12491" t="s">
        <v>34064</v>
      </c>
      <c r="F12491" t="s">
        <v>34065</v>
      </c>
      <c r="K12491" s="18">
        <f>61406376110</f>
        <v>61406376110</v>
      </c>
      <c r="N12491" s="17" t="s">
        <v>81</v>
      </c>
      <c r="V12491" s="18">
        <f>61406376110</f>
        <v>61406376110</v>
      </c>
    </row>
    <row r="12492" ht="15" customHeight="1" spans="1:22" x14ac:dyDescent="0.25">
      <c r="A12492" s="17" t="s">
        <v>34066</v>
      </c>
      <c r="B12492" s="17" t="s">
        <v>70</v>
      </c>
      <c r="C12492" s="17" t="s">
        <v>71</v>
      </c>
      <c r="D12492" t="s">
        <v>16748</v>
      </c>
      <c r="F12492" t="s">
        <v>16748</v>
      </c>
      <c r="K12492" s="18">
        <f>628811385003</f>
        <v>628811385003</v>
      </c>
      <c r="N12492" s="17" t="s">
        <v>77</v>
      </c>
      <c r="V12492" s="18">
        <f>628811385003</f>
        <v>628811385003</v>
      </c>
    </row>
    <row r="12493" ht="15" customHeight="1" spans="1:22" x14ac:dyDescent="0.25">
      <c r="A12493" s="17" t="s">
        <v>34067</v>
      </c>
      <c r="B12493" s="17" t="s">
        <v>70</v>
      </c>
      <c r="C12493" s="17" t="s">
        <v>71</v>
      </c>
      <c r="D12493" t="s">
        <v>16748</v>
      </c>
      <c r="F12493" t="s">
        <v>7657</v>
      </c>
      <c r="J12493" s="17" t="s">
        <v>34068</v>
      </c>
      <c r="K12493" s="18">
        <f>6281312359010</f>
        <v>6281312359010</v>
      </c>
      <c r="N12493" s="17" t="s">
        <v>81</v>
      </c>
      <c r="V12493" s="18">
        <f>6281312359010</f>
        <v>6281312359010</v>
      </c>
    </row>
    <row r="12494" ht="15" customHeight="1" spans="1:25" x14ac:dyDescent="0.25">
      <c r="A12494" s="17" t="s">
        <v>34069</v>
      </c>
      <c r="B12494" s="17" t="s">
        <v>70</v>
      </c>
      <c r="C12494" s="17" t="s">
        <v>71</v>
      </c>
      <c r="D12494" t="s">
        <v>16748</v>
      </c>
      <c r="F12494" t="s">
        <v>131</v>
      </c>
      <c r="K12494" s="18">
        <f>62878888881233</f>
        <v>62878888881233</v>
      </c>
      <c r="N12494" s="17" t="s">
        <v>81</v>
      </c>
      <c r="U12494" s="17"/>
      <c r="V12494" s="18">
        <f>62878888881233</f>
        <v>62878888881233</v>
      </c>
      <c r="W12494" t="s">
        <v>34070</v>
      </c>
      <c r="Y12494" s="17" t="s">
        <v>90</v>
      </c>
    </row>
    <row r="12495" ht="15" customHeight="1" spans="1:22" x14ac:dyDescent="0.25">
      <c r="A12495" s="17" t="s">
        <v>34071</v>
      </c>
      <c r="B12495" s="17" t="s">
        <v>70</v>
      </c>
      <c r="C12495" s="17" t="s">
        <v>71</v>
      </c>
      <c r="D12495" t="s">
        <v>34072</v>
      </c>
      <c r="F12495" t="s">
        <v>34072</v>
      </c>
      <c r="K12495" s="18">
        <f>62818722618</f>
        <v>62818722618</v>
      </c>
      <c r="N12495" s="17" t="s">
        <v>77</v>
      </c>
      <c r="V12495" s="18">
        <f>62818722618</f>
        <v>62818722618</v>
      </c>
    </row>
    <row r="12496" ht="15" customHeight="1" spans="1:22" x14ac:dyDescent="0.25">
      <c r="A12496" s="17" t="s">
        <v>34073</v>
      </c>
      <c r="B12496" s="17" t="s">
        <v>70</v>
      </c>
      <c r="C12496" s="17" t="s">
        <v>71</v>
      </c>
      <c r="D12496" t="s">
        <v>34072</v>
      </c>
      <c r="F12496" t="s">
        <v>1169</v>
      </c>
      <c r="K12496" s="18">
        <f>62818779778</f>
        <v>62818779778</v>
      </c>
      <c r="N12496" s="17" t="s">
        <v>77</v>
      </c>
      <c r="V12496" s="18">
        <f>62818779778</f>
        <v>62818779778</v>
      </c>
    </row>
    <row r="12497" ht="15" customHeight="1" spans="1:25" x14ac:dyDescent="0.25">
      <c r="A12497" s="17" t="s">
        <v>34074</v>
      </c>
      <c r="B12497" s="17" t="s">
        <v>70</v>
      </c>
      <c r="C12497" s="17" t="s">
        <v>71</v>
      </c>
      <c r="D12497" t="s">
        <v>34075</v>
      </c>
      <c r="F12497" t="s">
        <v>669</v>
      </c>
      <c r="K12497" s="18">
        <f>628567012229</f>
        <v>628567012229</v>
      </c>
      <c r="N12497" s="17" t="s">
        <v>77</v>
      </c>
      <c r="U12497" s="17"/>
      <c r="V12497" s="18">
        <f>628567012229</f>
        <v>628567012229</v>
      </c>
      <c r="W12497" t="s">
        <v>34076</v>
      </c>
      <c r="Y12497" s="17" t="s">
        <v>626</v>
      </c>
    </row>
    <row r="12498" ht="15" customHeight="1" spans="1:22" x14ac:dyDescent="0.25">
      <c r="A12498" s="17" t="s">
        <v>34077</v>
      </c>
      <c r="B12498" s="17" t="s">
        <v>70</v>
      </c>
      <c r="C12498" s="17" t="s">
        <v>71</v>
      </c>
      <c r="D12498" t="s">
        <v>34078</v>
      </c>
      <c r="F12498" t="s">
        <v>28706</v>
      </c>
      <c r="K12498" s="18">
        <f>62811170927</f>
        <v>62811170927</v>
      </c>
      <c r="N12498" s="17" t="s">
        <v>81</v>
      </c>
      <c r="V12498" s="18">
        <f>62811170927</f>
        <v>62811170927</v>
      </c>
    </row>
    <row r="12499" ht="15" customHeight="1" spans="1:28" x14ac:dyDescent="0.25">
      <c r="A12499" s="17" t="s">
        <v>34079</v>
      </c>
      <c r="B12499" s="17" t="s">
        <v>70</v>
      </c>
      <c r="C12499" s="17" t="s">
        <v>71</v>
      </c>
      <c r="D12499" t="s">
        <v>34080</v>
      </c>
      <c r="F12499" t="s">
        <v>6381</v>
      </c>
      <c r="J12499" t="s">
        <v>34081</v>
      </c>
      <c r="K12499" s="18" t="s">
        <v>34082</v>
      </c>
      <c r="N12499" s="17" t="s">
        <v>77</v>
      </c>
      <c r="O12499" t="s">
        <v>489</v>
      </c>
      <c r="V12499" s="18" t="s">
        <v>34082</v>
      </c>
      <c r="Y12499" t="s">
        <v>190</v>
      </c>
      <c r="AA12499" t="s">
        <v>118</v>
      </c>
      <c r="AB12499" t="s">
        <v>119</v>
      </c>
    </row>
    <row r="12500" ht="15" customHeight="1" spans="1:23" x14ac:dyDescent="0.25">
      <c r="A12500" s="17" t="s">
        <v>34083</v>
      </c>
      <c r="B12500" s="17" t="s">
        <v>70</v>
      </c>
      <c r="C12500" s="17" t="s">
        <v>71</v>
      </c>
      <c r="D12500" t="s">
        <v>34084</v>
      </c>
      <c r="F12500" t="s">
        <v>34085</v>
      </c>
      <c r="K12500" s="18">
        <f>6281299073617</f>
        <v>6281299073617</v>
      </c>
      <c r="N12500" s="17" t="s">
        <v>81</v>
      </c>
      <c r="U12500" s="17"/>
      <c r="V12500" s="18">
        <f>6281299073617</f>
        <v>6281299073617</v>
      </c>
      <c r="W12500" t="s">
        <v>34086</v>
      </c>
    </row>
    <row r="12501" ht="15" customHeight="1" spans="1:22" x14ac:dyDescent="0.25">
      <c r="A12501" s="17" t="s">
        <v>34087</v>
      </c>
      <c r="B12501" s="17" t="s">
        <v>70</v>
      </c>
      <c r="C12501" s="17" t="s">
        <v>71</v>
      </c>
      <c r="D12501" t="s">
        <v>34088</v>
      </c>
      <c r="F12501" t="s">
        <v>34088</v>
      </c>
      <c r="K12501" s="18">
        <f>628159991699</f>
        <v>628159991699</v>
      </c>
      <c r="N12501" s="17" t="s">
        <v>77</v>
      </c>
      <c r="V12501" s="18">
        <f>628159991699</f>
        <v>628159991699</v>
      </c>
    </row>
    <row r="12502" ht="15" customHeight="1" spans="1:22" x14ac:dyDescent="0.25">
      <c r="A12502" s="17" t="s">
        <v>34089</v>
      </c>
      <c r="B12502" s="17" t="s">
        <v>70</v>
      </c>
      <c r="C12502" s="17" t="s">
        <v>71</v>
      </c>
      <c r="D12502" t="s">
        <v>34088</v>
      </c>
      <c r="F12502" t="s">
        <v>34088</v>
      </c>
      <c r="K12502" s="18">
        <f>628119770791</f>
        <v>628119770791</v>
      </c>
      <c r="N12502" s="17" t="s">
        <v>81</v>
      </c>
      <c r="V12502" s="18">
        <f>628119770791</f>
        <v>628119770791</v>
      </c>
    </row>
    <row r="12503" ht="15" customHeight="1" spans="1:22" x14ac:dyDescent="0.25">
      <c r="A12503" s="17" t="s">
        <v>34090</v>
      </c>
      <c r="B12503" s="17" t="s">
        <v>70</v>
      </c>
      <c r="C12503" s="17" t="s">
        <v>71</v>
      </c>
      <c r="D12503" t="s">
        <v>34088</v>
      </c>
      <c r="F12503" t="s">
        <v>34088</v>
      </c>
      <c r="K12503" s="18">
        <f>6281290001007</f>
        <v>6281290001007</v>
      </c>
      <c r="N12503" s="17" t="s">
        <v>81</v>
      </c>
      <c r="V12503" s="18">
        <f>6281290001007</f>
        <v>6281290001007</v>
      </c>
    </row>
    <row r="12504" ht="15" customHeight="1" spans="1:27" x14ac:dyDescent="0.25">
      <c r="A12504" s="17" t="s">
        <v>34091</v>
      </c>
      <c r="B12504" s="17" t="s">
        <v>70</v>
      </c>
      <c r="C12504" s="17" t="s">
        <v>71</v>
      </c>
      <c r="D12504" t="s">
        <v>34088</v>
      </c>
      <c r="F12504" t="s">
        <v>17190</v>
      </c>
      <c r="J12504" s="17" t="s">
        <v>34092</v>
      </c>
      <c r="K12504" s="18">
        <f>6281210813301</f>
        <v>6281210813301</v>
      </c>
      <c r="N12504" s="17" t="s">
        <v>81</v>
      </c>
      <c r="U12504" s="17"/>
      <c r="V12504" s="18">
        <f>6281210813301</f>
        <v>6281210813301</v>
      </c>
      <c r="W12504" t="s">
        <v>34093</v>
      </c>
      <c r="AA12504" s="17">
        <v>10210</v>
      </c>
    </row>
    <row r="12505" ht="15" customHeight="1" spans="1:22" x14ac:dyDescent="0.25">
      <c r="A12505" s="17" t="s">
        <v>34094</v>
      </c>
      <c r="B12505" s="17" t="s">
        <v>70</v>
      </c>
      <c r="C12505" s="17" t="s">
        <v>71</v>
      </c>
      <c r="D12505" t="s">
        <v>34088</v>
      </c>
      <c r="F12505" t="s">
        <v>34095</v>
      </c>
      <c r="K12505" s="18">
        <f>628161951616</f>
        <v>628161951616</v>
      </c>
      <c r="N12505" s="17" t="s">
        <v>77</v>
      </c>
      <c r="V12505" s="18">
        <f>628161951616</f>
        <v>628161951616</v>
      </c>
    </row>
    <row r="12506" ht="15" customHeight="1" spans="1:22" x14ac:dyDescent="0.25">
      <c r="A12506" s="17" t="s">
        <v>34096</v>
      </c>
      <c r="B12506" s="17" t="s">
        <v>70</v>
      </c>
      <c r="C12506" s="17" t="s">
        <v>71</v>
      </c>
      <c r="D12506" t="s">
        <v>34088</v>
      </c>
      <c r="F12506" t="s">
        <v>34097</v>
      </c>
      <c r="K12506" s="18">
        <f>6281212816533</f>
        <v>6281212816533</v>
      </c>
      <c r="N12506" s="17" t="s">
        <v>74</v>
      </c>
      <c r="V12506" s="18">
        <f>6281212816533</f>
        <v>6281212816533</v>
      </c>
    </row>
    <row r="12507" ht="15" customHeight="1" spans="1:28" x14ac:dyDescent="0.25">
      <c r="A12507" s="17" t="s">
        <v>34098</v>
      </c>
      <c r="B12507" s="17" t="s">
        <v>70</v>
      </c>
      <c r="C12507" s="17" t="s">
        <v>71</v>
      </c>
      <c r="D12507" t="s">
        <v>34099</v>
      </c>
      <c r="F12507" t="s">
        <v>34100</v>
      </c>
      <c r="J12507" s="17" t="s">
        <v>34101</v>
      </c>
      <c r="K12507" s="18" t="s">
        <v>34102</v>
      </c>
      <c r="N12507" s="17" t="s">
        <v>77</v>
      </c>
      <c r="O12507" t="s">
        <v>117</v>
      </c>
      <c r="U12507" s="17"/>
      <c r="V12507" s="18" t="s">
        <v>34102</v>
      </c>
      <c r="W12507" t="s">
        <v>34103</v>
      </c>
      <c r="Y12507" s="17" t="s">
        <v>96</v>
      </c>
      <c r="AA12507" t="s">
        <v>115</v>
      </c>
      <c r="AB12507" t="s">
        <v>119</v>
      </c>
    </row>
    <row r="12508" ht="15" customHeight="1" spans="1:22" x14ac:dyDescent="0.25">
      <c r="A12508" s="17" t="s">
        <v>34104</v>
      </c>
      <c r="B12508" s="17" t="s">
        <v>70</v>
      </c>
      <c r="C12508" s="17" t="s">
        <v>71</v>
      </c>
      <c r="D12508" t="s">
        <v>34099</v>
      </c>
      <c r="F12508" t="s">
        <v>5819</v>
      </c>
      <c r="K12508" s="18">
        <f>62811860499</f>
        <v>62811860499</v>
      </c>
      <c r="N12508" s="17" t="s">
        <v>77</v>
      </c>
      <c r="V12508" s="18">
        <f>62811860499</f>
        <v>62811860499</v>
      </c>
    </row>
    <row r="12509" ht="15" customHeight="1" spans="1:28" x14ac:dyDescent="0.25">
      <c r="A12509" s="17" t="s">
        <v>34105</v>
      </c>
      <c r="B12509" s="17" t="s">
        <v>70</v>
      </c>
      <c r="C12509" s="17" t="s">
        <v>71</v>
      </c>
      <c r="D12509" t="s">
        <v>34106</v>
      </c>
      <c r="F12509" t="s">
        <v>12614</v>
      </c>
      <c r="J12509" t="s">
        <v>34107</v>
      </c>
      <c r="K12509" s="18" t="s">
        <v>34108</v>
      </c>
      <c r="N12509" s="17" t="s">
        <v>77</v>
      </c>
      <c r="O12509" t="s">
        <v>145</v>
      </c>
      <c r="V12509" s="18" t="s">
        <v>34108</v>
      </c>
      <c r="Y12509" t="s">
        <v>90</v>
      </c>
      <c r="AA12509" t="s">
        <v>118</v>
      </c>
      <c r="AB12509" t="s">
        <v>119</v>
      </c>
    </row>
    <row r="12510" ht="15" customHeight="1" spans="1:22" x14ac:dyDescent="0.25">
      <c r="A12510" s="17" t="s">
        <v>34109</v>
      </c>
      <c r="B12510" s="17" t="s">
        <v>70</v>
      </c>
      <c r="C12510" s="17" t="s">
        <v>71</v>
      </c>
      <c r="D12510" t="s">
        <v>34106</v>
      </c>
      <c r="F12510" t="s">
        <v>34110</v>
      </c>
      <c r="K12510" s="18">
        <f>62816949974</f>
        <v>62816949974</v>
      </c>
      <c r="N12510" s="17" t="s">
        <v>74</v>
      </c>
      <c r="V12510" s="18">
        <f>62816949974</f>
        <v>62816949974</v>
      </c>
    </row>
    <row r="12511" ht="15" customHeight="1" spans="1:27" x14ac:dyDescent="0.25">
      <c r="A12511" s="17" t="s">
        <v>34111</v>
      </c>
      <c r="B12511" s="17" t="s">
        <v>70</v>
      </c>
      <c r="C12511" s="17" t="s">
        <v>71</v>
      </c>
      <c r="D12511" t="s">
        <v>34106</v>
      </c>
      <c r="F12511" t="s">
        <v>34112</v>
      </c>
      <c r="J12511" s="17" t="s">
        <v>34113</v>
      </c>
      <c r="K12511" s="18">
        <f>6281510445585</f>
        <v>6281510445585</v>
      </c>
      <c r="N12511" s="17" t="s">
        <v>77</v>
      </c>
      <c r="U12511" s="17"/>
      <c r="V12511" s="18">
        <f>6281510445585</f>
        <v>6281510445585</v>
      </c>
      <c r="W12511" t="s">
        <v>34114</v>
      </c>
      <c r="Y12511" s="17" t="s">
        <v>567</v>
      </c>
      <c r="AA12511" s="17">
        <v>16434</v>
      </c>
    </row>
    <row r="12512" ht="15" customHeight="1" spans="1:22" x14ac:dyDescent="0.25">
      <c r="A12512" s="17" t="s">
        <v>34115</v>
      </c>
      <c r="B12512" s="17" t="s">
        <v>70</v>
      </c>
      <c r="C12512" s="17" t="s">
        <v>71</v>
      </c>
      <c r="D12512" t="s">
        <v>34106</v>
      </c>
      <c r="F12512" t="s">
        <v>4513</v>
      </c>
      <c r="K12512" s="18">
        <f>6281284360144</f>
        <v>6281284360144</v>
      </c>
      <c r="N12512" s="17" t="s">
        <v>77</v>
      </c>
      <c r="V12512" s="18">
        <f>6281284360144</f>
        <v>6281284360144</v>
      </c>
    </row>
    <row r="12513" ht="15" customHeight="1" spans="1:22" x14ac:dyDescent="0.25">
      <c r="A12513" s="17" t="s">
        <v>34116</v>
      </c>
      <c r="B12513" s="17" t="s">
        <v>70</v>
      </c>
      <c r="C12513" s="17" t="s">
        <v>71</v>
      </c>
      <c r="D12513" t="s">
        <v>34117</v>
      </c>
      <c r="F12513" t="s">
        <v>34117</v>
      </c>
      <c r="K12513" s="18">
        <f>6281510000328</f>
        <v>6281510000328</v>
      </c>
      <c r="N12513" s="17" t="s">
        <v>77</v>
      </c>
      <c r="V12513" s="18">
        <f>6281510000328</f>
        <v>6281510000328</v>
      </c>
    </row>
    <row r="12514" ht="15" customHeight="1" spans="1:22" x14ac:dyDescent="0.25">
      <c r="A12514" s="17" t="s">
        <v>34118</v>
      </c>
      <c r="B12514" s="17" t="s">
        <v>70</v>
      </c>
      <c r="C12514" s="17" t="s">
        <v>71</v>
      </c>
      <c r="D12514" t="s">
        <v>34117</v>
      </c>
      <c r="F12514" t="s">
        <v>15714</v>
      </c>
      <c r="K12514" s="18">
        <f>62811591959</f>
        <v>62811591959</v>
      </c>
      <c r="N12514" s="17" t="s">
        <v>81</v>
      </c>
      <c r="V12514" s="18">
        <f>62811591959</f>
        <v>62811591959</v>
      </c>
    </row>
    <row r="12515" ht="15" customHeight="1" spans="1:22" x14ac:dyDescent="0.25">
      <c r="A12515" s="17" t="s">
        <v>34119</v>
      </c>
      <c r="B12515" s="17" t="s">
        <v>70</v>
      </c>
      <c r="C12515" s="17" t="s">
        <v>71</v>
      </c>
      <c r="D12515" t="s">
        <v>34120</v>
      </c>
      <c r="F12515" t="s">
        <v>5457</v>
      </c>
      <c r="K12515" s="18">
        <f>62816961410</f>
        <v>62816961410</v>
      </c>
      <c r="N12515" s="17" t="s">
        <v>77</v>
      </c>
      <c r="V12515" s="18">
        <f>62816961410</f>
        <v>62816961410</v>
      </c>
    </row>
    <row r="12516" ht="15" customHeight="1" spans="1:28" x14ac:dyDescent="0.25">
      <c r="A12516" s="17" t="s">
        <v>34121</v>
      </c>
      <c r="B12516" s="17" t="s">
        <v>70</v>
      </c>
      <c r="C12516" s="17" t="s">
        <v>71</v>
      </c>
      <c r="D12516" t="s">
        <v>34122</v>
      </c>
      <c r="F12516" t="s">
        <v>34123</v>
      </c>
      <c r="J12516" t="s">
        <v>115</v>
      </c>
      <c r="K12516" s="18" t="s">
        <v>34124</v>
      </c>
      <c r="N12516" s="17" t="s">
        <v>77</v>
      </c>
      <c r="O12516" t="s">
        <v>489</v>
      </c>
      <c r="U12516" s="17"/>
      <c r="V12516" s="18" t="s">
        <v>34124</v>
      </c>
      <c r="W12516" t="s">
        <v>34125</v>
      </c>
      <c r="Y12516" t="s">
        <v>490</v>
      </c>
      <c r="AA12516" t="s">
        <v>115</v>
      </c>
      <c r="AB12516" t="s">
        <v>119</v>
      </c>
    </row>
    <row r="12517" ht="15" customHeight="1" spans="1:25" x14ac:dyDescent="0.25">
      <c r="A12517" s="17" t="s">
        <v>34126</v>
      </c>
      <c r="B12517" s="17" t="s">
        <v>70</v>
      </c>
      <c r="C12517" s="17" t="s">
        <v>71</v>
      </c>
      <c r="D12517" t="s">
        <v>34127</v>
      </c>
      <c r="F12517" t="s">
        <v>34128</v>
      </c>
      <c r="K12517" s="18">
        <f>628128552898</f>
        <v>628128552898</v>
      </c>
      <c r="N12517" s="17" t="s">
        <v>77</v>
      </c>
      <c r="U12517" s="17"/>
      <c r="V12517" s="18">
        <f>628128552898</f>
        <v>628128552898</v>
      </c>
      <c r="W12517" t="s">
        <v>34129</v>
      </c>
      <c r="Y12517" s="17" t="s">
        <v>96</v>
      </c>
    </row>
    <row r="12518" ht="15" customHeight="1" spans="1:22" x14ac:dyDescent="0.25">
      <c r="A12518" s="17" t="s">
        <v>34130</v>
      </c>
      <c r="B12518" s="17" t="s">
        <v>70</v>
      </c>
      <c r="C12518" s="17" t="s">
        <v>71</v>
      </c>
      <c r="D12518" t="s">
        <v>34131</v>
      </c>
      <c r="F12518" t="s">
        <v>34131</v>
      </c>
      <c r="K12518" s="18">
        <f>628129323096</f>
        <v>628129323096</v>
      </c>
      <c r="N12518" s="17" t="s">
        <v>77</v>
      </c>
      <c r="V12518" s="18">
        <f>628129323096</f>
        <v>628129323096</v>
      </c>
    </row>
    <row r="12519" ht="15" customHeight="1" spans="1:22" x14ac:dyDescent="0.25">
      <c r="A12519" s="17" t="s">
        <v>34132</v>
      </c>
      <c r="B12519" s="17" t="s">
        <v>70</v>
      </c>
      <c r="C12519" s="17" t="s">
        <v>71</v>
      </c>
      <c r="D12519" t="s">
        <v>34133</v>
      </c>
      <c r="F12519" t="s">
        <v>34133</v>
      </c>
      <c r="K12519" s="18">
        <f>6281807145000</f>
        <v>6281807145000</v>
      </c>
      <c r="N12519" s="17" t="s">
        <v>77</v>
      </c>
      <c r="V12519" s="18">
        <f>6281807145000</f>
        <v>6281807145000</v>
      </c>
    </row>
    <row r="12520" ht="15" customHeight="1" spans="1:22" x14ac:dyDescent="0.25">
      <c r="A12520" s="17" t="s">
        <v>34134</v>
      </c>
      <c r="B12520" s="17" t="s">
        <v>70</v>
      </c>
      <c r="C12520" s="17" t="s">
        <v>71</v>
      </c>
      <c r="D12520" t="s">
        <v>11735</v>
      </c>
      <c r="F12520" t="s">
        <v>11735</v>
      </c>
      <c r="K12520" s="18">
        <v>15601900370</v>
      </c>
      <c r="N12520" s="17" t="s">
        <v>77</v>
      </c>
      <c r="V12520" s="18">
        <v>15601900370</v>
      </c>
    </row>
    <row r="12521" ht="15" customHeight="1" spans="1:22" x14ac:dyDescent="0.25">
      <c r="A12521" s="17" t="s">
        <v>34135</v>
      </c>
      <c r="B12521" s="17" t="s">
        <v>70</v>
      </c>
      <c r="C12521" s="17" t="s">
        <v>71</v>
      </c>
      <c r="D12521" t="s">
        <v>11735</v>
      </c>
      <c r="F12521" t="s">
        <v>11735</v>
      </c>
      <c r="K12521" s="18">
        <f>6281280275400</f>
        <v>6281280275400</v>
      </c>
      <c r="N12521" s="17" t="s">
        <v>81</v>
      </c>
      <c r="V12521" s="18">
        <f>6281280275400</f>
        <v>6281280275400</v>
      </c>
    </row>
    <row r="12522" ht="15" customHeight="1" spans="1:22" x14ac:dyDescent="0.25">
      <c r="A12522" s="17" t="s">
        <v>34136</v>
      </c>
      <c r="B12522" s="17" t="s">
        <v>70</v>
      </c>
      <c r="C12522" s="17" t="s">
        <v>71</v>
      </c>
      <c r="D12522" t="s">
        <v>11735</v>
      </c>
      <c r="F12522" t="s">
        <v>11735</v>
      </c>
      <c r="K12522" s="18">
        <f>6285716487059</f>
        <v>6285716487059</v>
      </c>
      <c r="N12522" s="17" t="s">
        <v>77</v>
      </c>
      <c r="V12522" s="18">
        <f>6285716487059</f>
        <v>6285716487059</v>
      </c>
    </row>
    <row r="12523" ht="15" customHeight="1" spans="1:22" x14ac:dyDescent="0.25">
      <c r="A12523" s="17" t="s">
        <v>34137</v>
      </c>
      <c r="B12523" s="17" t="s">
        <v>70</v>
      </c>
      <c r="C12523" s="17" t="s">
        <v>71</v>
      </c>
      <c r="D12523" t="s">
        <v>11735</v>
      </c>
      <c r="F12523" t="s">
        <v>11735</v>
      </c>
      <c r="K12523" s="18">
        <f>6282112132244</f>
        <v>6282112132244</v>
      </c>
      <c r="N12523" s="17" t="s">
        <v>81</v>
      </c>
      <c r="V12523" s="18">
        <f>6282112132244</f>
        <v>6282112132244</v>
      </c>
    </row>
    <row r="12524" ht="15" customHeight="1" spans="1:22" x14ac:dyDescent="0.25">
      <c r="A12524" s="17" t="s">
        <v>34138</v>
      </c>
      <c r="B12524" s="17" t="s">
        <v>70</v>
      </c>
      <c r="C12524" s="17" t="s">
        <v>71</v>
      </c>
      <c r="D12524" t="s">
        <v>11735</v>
      </c>
      <c r="F12524" t="s">
        <v>11735</v>
      </c>
      <c r="K12524" s="18">
        <f>62811186045</f>
        <v>62811186045</v>
      </c>
      <c r="N12524" s="17" t="s">
        <v>77</v>
      </c>
      <c r="V12524" s="18">
        <f>62811186045</f>
        <v>62811186045</v>
      </c>
    </row>
    <row r="12525" ht="15" customHeight="1" spans="1:22" x14ac:dyDescent="0.25">
      <c r="A12525" s="17" t="s">
        <v>34139</v>
      </c>
      <c r="B12525" s="17" t="s">
        <v>70</v>
      </c>
      <c r="C12525" s="17" t="s">
        <v>71</v>
      </c>
      <c r="D12525" t="s">
        <v>11735</v>
      </c>
      <c r="F12525" t="s">
        <v>11735</v>
      </c>
      <c r="K12525" s="18">
        <f>628568818821</f>
        <v>628568818821</v>
      </c>
      <c r="N12525" s="17" t="s">
        <v>77</v>
      </c>
      <c r="V12525" s="18">
        <f>628568818821</f>
        <v>628568818821</v>
      </c>
    </row>
    <row r="12526" ht="15" customHeight="1" spans="1:22" x14ac:dyDescent="0.25">
      <c r="A12526" s="17" t="s">
        <v>34140</v>
      </c>
      <c r="B12526" s="17" t="s">
        <v>70</v>
      </c>
      <c r="C12526" s="17" t="s">
        <v>71</v>
      </c>
      <c r="D12526" t="s">
        <v>11735</v>
      </c>
      <c r="F12526" t="s">
        <v>11735</v>
      </c>
      <c r="K12526" s="18">
        <f>6281618223</f>
        <v>6281618223</v>
      </c>
      <c r="N12526" s="17" t="s">
        <v>74</v>
      </c>
      <c r="V12526" s="18">
        <f>6281618223</f>
        <v>6281618223</v>
      </c>
    </row>
    <row r="12527" ht="15" customHeight="1" spans="1:22" x14ac:dyDescent="0.25">
      <c r="A12527" s="17" t="s">
        <v>34141</v>
      </c>
      <c r="B12527" s="17" t="s">
        <v>70</v>
      </c>
      <c r="C12527" s="17" t="s">
        <v>71</v>
      </c>
      <c r="D12527" t="s">
        <v>11735</v>
      </c>
      <c r="F12527" t="s">
        <v>1608</v>
      </c>
      <c r="K12527" s="18">
        <f>6281290990164</f>
        <v>6281290990164</v>
      </c>
      <c r="N12527" s="17" t="s">
        <v>81</v>
      </c>
      <c r="V12527" s="18">
        <f>6281290990164</f>
        <v>6281290990164</v>
      </c>
    </row>
    <row r="12528" ht="15" customHeight="1" spans="1:22" x14ac:dyDescent="0.25">
      <c r="A12528" s="17" t="s">
        <v>34142</v>
      </c>
      <c r="B12528" s="17" t="s">
        <v>70</v>
      </c>
      <c r="C12528" s="17" t="s">
        <v>71</v>
      </c>
      <c r="D12528" t="s">
        <v>11735</v>
      </c>
      <c r="F12528" t="s">
        <v>34143</v>
      </c>
      <c r="K12528" s="18">
        <f>62818893404</f>
        <v>62818893404</v>
      </c>
      <c r="N12528" s="17" t="s">
        <v>81</v>
      </c>
      <c r="V12528" s="18">
        <f>62818893404</f>
        <v>62818893404</v>
      </c>
    </row>
    <row r="12529" ht="15" customHeight="1" spans="1:23" x14ac:dyDescent="0.25">
      <c r="A12529" s="17" t="s">
        <v>34144</v>
      </c>
      <c r="B12529" s="17" t="s">
        <v>70</v>
      </c>
      <c r="C12529" s="17" t="s">
        <v>71</v>
      </c>
      <c r="D12529" t="s">
        <v>11735</v>
      </c>
      <c r="F12529" t="s">
        <v>34145</v>
      </c>
      <c r="K12529" s="18">
        <f>628128197607</f>
        <v>628128197607</v>
      </c>
      <c r="N12529" s="17" t="s">
        <v>77</v>
      </c>
      <c r="U12529" s="17"/>
      <c r="V12529" s="18">
        <f>628128197607</f>
        <v>628128197607</v>
      </c>
      <c r="W12529" t="s">
        <v>34146</v>
      </c>
    </row>
    <row r="12530" ht="15" customHeight="1" spans="1:28" x14ac:dyDescent="0.25">
      <c r="A12530" s="17" t="s">
        <v>34147</v>
      </c>
      <c r="B12530" s="17" t="s">
        <v>70</v>
      </c>
      <c r="C12530" s="17" t="s">
        <v>71</v>
      </c>
      <c r="D12530" t="s">
        <v>11735</v>
      </c>
      <c r="F12530" t="s">
        <v>34148</v>
      </c>
      <c r="J12530" s="17" t="s">
        <v>34149</v>
      </c>
      <c r="K12530" s="18" t="s">
        <v>34150</v>
      </c>
      <c r="N12530" s="17" t="s">
        <v>77</v>
      </c>
      <c r="O12530" t="s">
        <v>117</v>
      </c>
      <c r="U12530" s="17"/>
      <c r="V12530" s="18" t="s">
        <v>34150</v>
      </c>
      <c r="W12530" t="s">
        <v>34151</v>
      </c>
      <c r="Y12530" s="17" t="s">
        <v>1084</v>
      </c>
      <c r="AA12530" s="17" t="s">
        <v>3146</v>
      </c>
      <c r="AB12530" t="s">
        <v>119</v>
      </c>
    </row>
    <row r="12531" ht="15" customHeight="1" spans="1:28" x14ac:dyDescent="0.25">
      <c r="A12531" s="17" t="s">
        <v>34152</v>
      </c>
      <c r="B12531" s="17" t="s">
        <v>70</v>
      </c>
      <c r="C12531" s="17" t="s">
        <v>71</v>
      </c>
      <c r="D12531" t="s">
        <v>34153</v>
      </c>
      <c r="F12531" t="s">
        <v>2153</v>
      </c>
      <c r="J12531" s="17" t="s">
        <v>34154</v>
      </c>
      <c r="K12531" s="18" t="s">
        <v>34155</v>
      </c>
      <c r="N12531" s="17" t="s">
        <v>77</v>
      </c>
      <c r="O12531" t="s">
        <v>117</v>
      </c>
      <c r="U12531" s="17"/>
      <c r="V12531" s="18" t="s">
        <v>34155</v>
      </c>
      <c r="W12531" t="s">
        <v>34156</v>
      </c>
      <c r="Y12531" s="17" t="s">
        <v>190</v>
      </c>
      <c r="AA12531" t="s">
        <v>118</v>
      </c>
      <c r="AB12531" t="s">
        <v>119</v>
      </c>
    </row>
    <row r="12532" ht="15" customHeight="1" spans="1:22" x14ac:dyDescent="0.25">
      <c r="A12532" s="17" t="s">
        <v>34157</v>
      </c>
      <c r="B12532" s="17" t="s">
        <v>70</v>
      </c>
      <c r="C12532" s="17" t="s">
        <v>71</v>
      </c>
      <c r="D12532" t="s">
        <v>11735</v>
      </c>
      <c r="F12532" t="s">
        <v>2279</v>
      </c>
      <c r="K12532" s="18">
        <f>6281222400749</f>
        <v>6281222400749</v>
      </c>
      <c r="N12532" s="17" t="s">
        <v>77</v>
      </c>
      <c r="V12532" s="18">
        <f>6281222400749</f>
        <v>6281222400749</v>
      </c>
    </row>
    <row r="12533" ht="15" customHeight="1" spans="1:22" x14ac:dyDescent="0.25">
      <c r="A12533" s="17" t="s">
        <v>34158</v>
      </c>
      <c r="B12533" s="17" t="s">
        <v>70</v>
      </c>
      <c r="C12533" s="17" t="s">
        <v>71</v>
      </c>
      <c r="D12533" t="s">
        <v>11735</v>
      </c>
      <c r="F12533" t="s">
        <v>34159</v>
      </c>
      <c r="K12533" s="18">
        <f>6287888105661</f>
        <v>6287888105661</v>
      </c>
      <c r="N12533" s="17" t="s">
        <v>81</v>
      </c>
      <c r="V12533" s="18">
        <f>6287888105661</f>
        <v>6287888105661</v>
      </c>
    </row>
    <row r="12534" ht="15" customHeight="1" spans="1:25" x14ac:dyDescent="0.25">
      <c r="A12534" s="17" t="s">
        <v>34160</v>
      </c>
      <c r="B12534" s="17" t="s">
        <v>70</v>
      </c>
      <c r="C12534" s="17" t="s">
        <v>71</v>
      </c>
      <c r="D12534" t="s">
        <v>11735</v>
      </c>
      <c r="F12534" t="s">
        <v>34161</v>
      </c>
      <c r="K12534" s="18">
        <f>6281394442323</f>
        <v>6281394442323</v>
      </c>
      <c r="N12534" s="17" t="s">
        <v>77</v>
      </c>
      <c r="U12534" s="17"/>
      <c r="V12534" s="18">
        <f>6281394442323</f>
        <v>6281394442323</v>
      </c>
      <c r="W12534" t="s">
        <v>34162</v>
      </c>
      <c r="Y12534" s="17" t="s">
        <v>500</v>
      </c>
    </row>
    <row r="12535" ht="15" customHeight="1" spans="1:22" x14ac:dyDescent="0.25">
      <c r="A12535" s="17" t="s">
        <v>34163</v>
      </c>
      <c r="B12535" s="17" t="s">
        <v>70</v>
      </c>
      <c r="C12535" s="17" t="s">
        <v>71</v>
      </c>
      <c r="D12535" t="s">
        <v>11735</v>
      </c>
      <c r="F12535" t="s">
        <v>34164</v>
      </c>
      <c r="K12535" s="18">
        <f>6282116341964</f>
        <v>6282116341964</v>
      </c>
      <c r="N12535" s="17" t="s">
        <v>77</v>
      </c>
      <c r="V12535" s="18">
        <f>6282116341964</f>
        <v>6282116341964</v>
      </c>
    </row>
    <row r="12536" ht="15" customHeight="1" spans="1:22" x14ac:dyDescent="0.25">
      <c r="A12536" s="17" t="s">
        <v>34165</v>
      </c>
      <c r="B12536" s="17" t="s">
        <v>70</v>
      </c>
      <c r="C12536" s="17" t="s">
        <v>71</v>
      </c>
      <c r="D12536" t="s">
        <v>11735</v>
      </c>
      <c r="F12536" t="s">
        <v>11999</v>
      </c>
      <c r="K12536" s="18">
        <f>62811840357</f>
        <v>62811840357</v>
      </c>
      <c r="N12536" s="17" t="s">
        <v>77</v>
      </c>
      <c r="V12536" s="18">
        <f>62811840357</f>
        <v>62811840357</v>
      </c>
    </row>
    <row r="12537" ht="15" customHeight="1" spans="1:22" x14ac:dyDescent="0.25">
      <c r="A12537" s="17" t="s">
        <v>34166</v>
      </c>
      <c r="B12537" s="17" t="s">
        <v>70</v>
      </c>
      <c r="C12537" s="17" t="s">
        <v>71</v>
      </c>
      <c r="D12537" t="s">
        <v>11735</v>
      </c>
      <c r="F12537" t="s">
        <v>618</v>
      </c>
      <c r="K12537" s="18">
        <f>62816932711</f>
        <v>62816932711</v>
      </c>
      <c r="N12537" s="17" t="s">
        <v>81</v>
      </c>
      <c r="V12537" s="18">
        <f>62816932711</f>
        <v>62816932711</v>
      </c>
    </row>
    <row r="12538" ht="15" customHeight="1" spans="1:22" x14ac:dyDescent="0.25">
      <c r="A12538" s="17" t="s">
        <v>34167</v>
      </c>
      <c r="B12538" s="17" t="s">
        <v>70</v>
      </c>
      <c r="C12538" s="17" t="s">
        <v>71</v>
      </c>
      <c r="D12538" t="s">
        <v>11735</v>
      </c>
      <c r="F12538" t="s">
        <v>11454</v>
      </c>
      <c r="K12538" s="18">
        <f>6281287666622</f>
        <v>6281287666622</v>
      </c>
      <c r="N12538" s="17" t="s">
        <v>77</v>
      </c>
      <c r="V12538" s="18">
        <f>6281287666622</f>
        <v>6281287666622</v>
      </c>
    </row>
    <row r="12539" ht="15" customHeight="1" spans="1:22" x14ac:dyDescent="0.25">
      <c r="A12539" s="17" t="s">
        <v>34168</v>
      </c>
      <c r="B12539" s="17" t="s">
        <v>70</v>
      </c>
      <c r="C12539" s="17" t="s">
        <v>71</v>
      </c>
      <c r="D12539" t="s">
        <v>11735</v>
      </c>
      <c r="F12539" t="s">
        <v>13629</v>
      </c>
      <c r="K12539" s="18">
        <f>628161976868</f>
        <v>628161976868</v>
      </c>
      <c r="N12539" s="17" t="s">
        <v>77</v>
      </c>
      <c r="V12539" s="18">
        <f>628161976868</f>
        <v>628161976868</v>
      </c>
    </row>
    <row r="12540" ht="15" customHeight="1" spans="1:22" x14ac:dyDescent="0.25">
      <c r="A12540" s="17" t="s">
        <v>34169</v>
      </c>
      <c r="B12540" s="17" t="s">
        <v>70</v>
      </c>
      <c r="C12540" s="17" t="s">
        <v>71</v>
      </c>
      <c r="D12540" t="s">
        <v>11735</v>
      </c>
      <c r="F12540" t="s">
        <v>1848</v>
      </c>
      <c r="K12540" s="18">
        <f>628118222112</f>
        <v>628118222112</v>
      </c>
      <c r="N12540" s="17" t="s">
        <v>77</v>
      </c>
      <c r="V12540" s="18">
        <f>628118222112</f>
        <v>628118222112</v>
      </c>
    </row>
    <row r="12541" ht="15" customHeight="1" spans="1:22" x14ac:dyDescent="0.25">
      <c r="A12541" s="17" t="s">
        <v>34170</v>
      </c>
      <c r="B12541" s="17" t="s">
        <v>70</v>
      </c>
      <c r="C12541" s="17" t="s">
        <v>71</v>
      </c>
      <c r="D12541" t="s">
        <v>11735</v>
      </c>
      <c r="F12541" t="s">
        <v>25070</v>
      </c>
      <c r="K12541" s="18">
        <f>628558556615</f>
        <v>628558556615</v>
      </c>
      <c r="N12541" s="17" t="s">
        <v>81</v>
      </c>
      <c r="V12541" s="18">
        <f>628558556615</f>
        <v>628558556615</v>
      </c>
    </row>
    <row r="12542" ht="15" customHeight="1" spans="1:25" x14ac:dyDescent="0.25">
      <c r="A12542" s="17" t="s">
        <v>34171</v>
      </c>
      <c r="B12542" s="17" t="s">
        <v>70</v>
      </c>
      <c r="C12542" s="17" t="s">
        <v>71</v>
      </c>
      <c r="D12542" t="s">
        <v>11735</v>
      </c>
      <c r="F12542" t="s">
        <v>8630</v>
      </c>
      <c r="K12542" s="18">
        <f>6281286023555</f>
        <v>6281286023555</v>
      </c>
      <c r="N12542" s="17" t="s">
        <v>77</v>
      </c>
      <c r="U12542" s="17"/>
      <c r="V12542" s="18">
        <f>6281286023555</f>
        <v>6281286023555</v>
      </c>
      <c r="W12542" t="s">
        <v>34172</v>
      </c>
      <c r="Y12542" s="17" t="s">
        <v>90</v>
      </c>
    </row>
    <row r="12543" ht="15" customHeight="1" spans="1:25" x14ac:dyDescent="0.25">
      <c r="A12543" s="17" t="s">
        <v>34173</v>
      </c>
      <c r="B12543" s="17" t="s">
        <v>70</v>
      </c>
      <c r="C12543" s="17" t="s">
        <v>71</v>
      </c>
      <c r="D12543" t="s">
        <v>11735</v>
      </c>
      <c r="F12543" t="s">
        <v>23727</v>
      </c>
      <c r="K12543" s="18">
        <f>6287868905858</f>
        <v>6287868905858</v>
      </c>
      <c r="N12543" s="17" t="s">
        <v>77</v>
      </c>
      <c r="U12543" s="17"/>
      <c r="V12543" s="18">
        <f>6287868905858</f>
        <v>6287868905858</v>
      </c>
      <c r="W12543" t="s">
        <v>34174</v>
      </c>
      <c r="Y12543" s="17" t="s">
        <v>1157</v>
      </c>
    </row>
    <row r="12544" ht="15" customHeight="1" spans="1:22" x14ac:dyDescent="0.25">
      <c r="A12544" s="17" t="s">
        <v>34175</v>
      </c>
      <c r="B12544" s="17" t="s">
        <v>70</v>
      </c>
      <c r="C12544" s="17" t="s">
        <v>71</v>
      </c>
      <c r="D12544" t="s">
        <v>11735</v>
      </c>
      <c r="F12544" t="s">
        <v>10833</v>
      </c>
      <c r="K12544" s="18">
        <f>6281510103434</f>
        <v>6281510103434</v>
      </c>
      <c r="N12544" s="17" t="s">
        <v>77</v>
      </c>
      <c r="V12544" s="18">
        <f>6281510103434</f>
        <v>6281510103434</v>
      </c>
    </row>
    <row r="12545" ht="15" customHeight="1" spans="1:22" x14ac:dyDescent="0.25">
      <c r="A12545" s="17" t="s">
        <v>34176</v>
      </c>
      <c r="B12545" s="17" t="s">
        <v>70</v>
      </c>
      <c r="C12545" s="17" t="s">
        <v>71</v>
      </c>
      <c r="D12545" t="s">
        <v>11735</v>
      </c>
      <c r="F12545" t="s">
        <v>34177</v>
      </c>
      <c r="K12545" s="18">
        <f>621318421078</f>
        <v>621318421078</v>
      </c>
      <c r="N12545" s="17" t="s">
        <v>77</v>
      </c>
      <c r="V12545" s="18">
        <f>621318421078</f>
        <v>621318421078</v>
      </c>
    </row>
    <row r="12546" ht="15" customHeight="1" spans="1:22" x14ac:dyDescent="0.25">
      <c r="A12546" s="17" t="s">
        <v>34178</v>
      </c>
      <c r="B12546" s="17" t="s">
        <v>70</v>
      </c>
      <c r="C12546" s="17" t="s">
        <v>71</v>
      </c>
      <c r="D12546" t="s">
        <v>11735</v>
      </c>
      <c r="F12546" t="s">
        <v>5783</v>
      </c>
      <c r="K12546" s="18">
        <f>6287879012098</f>
        <v>6287879012098</v>
      </c>
      <c r="N12546" s="17" t="s">
        <v>81</v>
      </c>
      <c r="V12546" s="18">
        <f>6287879012098</f>
        <v>6287879012098</v>
      </c>
    </row>
    <row r="12547" ht="15" customHeight="1" spans="1:22" x14ac:dyDescent="0.25">
      <c r="A12547" s="17" t="s">
        <v>34179</v>
      </c>
      <c r="B12547" s="17" t="s">
        <v>70</v>
      </c>
      <c r="C12547" s="17" t="s">
        <v>71</v>
      </c>
      <c r="D12547" t="s">
        <v>11735</v>
      </c>
      <c r="F12547" t="s">
        <v>28657</v>
      </c>
      <c r="K12547" s="18">
        <f>6281316548755</f>
        <v>6281316548755</v>
      </c>
      <c r="N12547" s="17" t="s">
        <v>77</v>
      </c>
      <c r="V12547" s="18">
        <f>6281316548755</f>
        <v>6281316548755</v>
      </c>
    </row>
    <row r="12548" ht="15" customHeight="1" spans="1:28" x14ac:dyDescent="0.25">
      <c r="A12548" s="17" t="s">
        <v>34180</v>
      </c>
      <c r="B12548" s="17" t="s">
        <v>70</v>
      </c>
      <c r="C12548" s="17" t="s">
        <v>71</v>
      </c>
      <c r="D12548" t="s">
        <v>11735</v>
      </c>
      <c r="F12548" t="s">
        <v>6415</v>
      </c>
      <c r="J12548" t="s">
        <v>115</v>
      </c>
      <c r="K12548" s="18" t="s">
        <v>34181</v>
      </c>
      <c r="N12548" s="17" t="s">
        <v>77</v>
      </c>
      <c r="O12548" t="s">
        <v>199</v>
      </c>
      <c r="V12548" s="18" t="s">
        <v>34181</v>
      </c>
      <c r="Y12548" t="s">
        <v>190</v>
      </c>
      <c r="AA12548" t="s">
        <v>118</v>
      </c>
      <c r="AB12548" t="s">
        <v>119</v>
      </c>
    </row>
    <row r="12549" ht="15" customHeight="1" spans="1:22" x14ac:dyDescent="0.25">
      <c r="A12549" s="17" t="s">
        <v>34182</v>
      </c>
      <c r="B12549" s="17" t="s">
        <v>70</v>
      </c>
      <c r="C12549" s="17" t="s">
        <v>71</v>
      </c>
      <c r="D12549" t="s">
        <v>11735</v>
      </c>
      <c r="F12549" t="s">
        <v>230</v>
      </c>
      <c r="K12549" s="18">
        <f>6281282888857</f>
        <v>6281282888857</v>
      </c>
      <c r="N12549" s="17" t="s">
        <v>74</v>
      </c>
      <c r="V12549" s="18">
        <f>6281282888857</f>
        <v>6281282888857</v>
      </c>
    </row>
    <row r="12550" ht="15" customHeight="1" spans="1:28" x14ac:dyDescent="0.25">
      <c r="A12550" s="17" t="s">
        <v>34183</v>
      </c>
      <c r="B12550" s="17" t="s">
        <v>70</v>
      </c>
      <c r="C12550" s="17" t="s">
        <v>71</v>
      </c>
      <c r="D12550" t="s">
        <v>11735</v>
      </c>
      <c r="F12550" t="s">
        <v>230</v>
      </c>
      <c r="J12550" t="s">
        <v>115</v>
      </c>
      <c r="K12550" s="18" t="s">
        <v>34184</v>
      </c>
      <c r="N12550" s="17" t="s">
        <v>81</v>
      </c>
      <c r="O12550" t="s">
        <v>117</v>
      </c>
      <c r="V12550" s="18" t="s">
        <v>34184</v>
      </c>
      <c r="Y12550" t="s">
        <v>190</v>
      </c>
      <c r="AA12550" t="s">
        <v>118</v>
      </c>
      <c r="AB12550" t="s">
        <v>2356</v>
      </c>
    </row>
    <row r="12551" ht="15" customHeight="1" spans="1:28" x14ac:dyDescent="0.25">
      <c r="A12551" s="17" t="s">
        <v>34185</v>
      </c>
      <c r="B12551" s="17" t="s">
        <v>70</v>
      </c>
      <c r="C12551" s="17" t="s">
        <v>71</v>
      </c>
      <c r="D12551" t="s">
        <v>11735</v>
      </c>
      <c r="F12551" t="s">
        <v>34186</v>
      </c>
      <c r="J12551" t="s">
        <v>115</v>
      </c>
      <c r="K12551" s="18" t="s">
        <v>34187</v>
      </c>
      <c r="N12551" s="17" t="s">
        <v>74</v>
      </c>
      <c r="O12551" t="s">
        <v>117</v>
      </c>
      <c r="U12551" s="17"/>
      <c r="V12551" s="18" t="s">
        <v>34187</v>
      </c>
      <c r="W12551" t="s">
        <v>34188</v>
      </c>
      <c r="Y12551" t="s">
        <v>190</v>
      </c>
      <c r="AA12551" t="s">
        <v>118</v>
      </c>
      <c r="AB12551" t="s">
        <v>119</v>
      </c>
    </row>
    <row r="12552" ht="15" customHeight="1" spans="1:22" x14ac:dyDescent="0.25">
      <c r="A12552" s="17" t="s">
        <v>34189</v>
      </c>
      <c r="B12552" s="17" t="s">
        <v>70</v>
      </c>
      <c r="C12552" s="17" t="s">
        <v>71</v>
      </c>
      <c r="D12552" t="s">
        <v>11735</v>
      </c>
      <c r="F12552" t="s">
        <v>18353</v>
      </c>
      <c r="K12552" s="18">
        <f>628129340428</f>
        <v>628129340428</v>
      </c>
      <c r="N12552" s="17" t="s">
        <v>77</v>
      </c>
      <c r="V12552" s="18">
        <f>628129340428</f>
        <v>628129340428</v>
      </c>
    </row>
    <row r="12553" ht="15" customHeight="1" spans="1:28" x14ac:dyDescent="0.25">
      <c r="A12553" s="17" t="s">
        <v>34190</v>
      </c>
      <c r="B12553" s="17" t="s">
        <v>70</v>
      </c>
      <c r="C12553" s="17" t="s">
        <v>71</v>
      </c>
      <c r="D12553" t="s">
        <v>11735</v>
      </c>
      <c r="F12553" t="s">
        <v>34191</v>
      </c>
      <c r="J12553" t="s">
        <v>115</v>
      </c>
      <c r="K12553" s="18" t="s">
        <v>34192</v>
      </c>
      <c r="N12553" s="17" t="s">
        <v>74</v>
      </c>
      <c r="O12553" t="s">
        <v>117</v>
      </c>
      <c r="V12553" s="18" t="s">
        <v>34192</v>
      </c>
      <c r="Y12553" t="s">
        <v>90</v>
      </c>
      <c r="AA12553" t="s">
        <v>118</v>
      </c>
      <c r="AB12553" t="s">
        <v>119</v>
      </c>
    </row>
    <row r="12554" ht="15" customHeight="1" spans="1:27" x14ac:dyDescent="0.25">
      <c r="A12554" s="17" t="s">
        <v>34193</v>
      </c>
      <c r="B12554" s="17" t="s">
        <v>70</v>
      </c>
      <c r="C12554" s="17" t="s">
        <v>71</v>
      </c>
      <c r="D12554" t="s">
        <v>11735</v>
      </c>
      <c r="F12554" t="s">
        <v>19095</v>
      </c>
      <c r="K12554" s="18">
        <f>62818881197</f>
        <v>62818881197</v>
      </c>
      <c r="N12554" s="17" t="s">
        <v>77</v>
      </c>
      <c r="U12554" s="17"/>
      <c r="V12554" s="18">
        <f>62818881197</f>
        <v>62818881197</v>
      </c>
      <c r="W12554" t="s">
        <v>34194</v>
      </c>
      <c r="Y12554" s="17" t="s">
        <v>1084</v>
      </c>
      <c r="AA12554" s="17" t="s">
        <v>5003</v>
      </c>
    </row>
    <row r="12555" ht="15" customHeight="1" spans="1:22" x14ac:dyDescent="0.25">
      <c r="A12555" s="17" t="s">
        <v>34195</v>
      </c>
      <c r="B12555" s="17" t="s">
        <v>70</v>
      </c>
      <c r="C12555" s="17" t="s">
        <v>71</v>
      </c>
      <c r="D12555" t="s">
        <v>11735</v>
      </c>
      <c r="F12555" t="s">
        <v>34196</v>
      </c>
      <c r="K12555" s="18">
        <f>6281905079999</f>
        <v>6281905079999</v>
      </c>
      <c r="N12555" s="17" t="s">
        <v>77</v>
      </c>
      <c r="V12555" s="18">
        <f>6281905079999</f>
        <v>6281905079999</v>
      </c>
    </row>
    <row r="12556" ht="15" customHeight="1" spans="1:22" x14ac:dyDescent="0.25">
      <c r="A12556" s="17" t="s">
        <v>34197</v>
      </c>
      <c r="B12556" s="17" t="s">
        <v>70</v>
      </c>
      <c r="C12556" s="17" t="s">
        <v>71</v>
      </c>
      <c r="D12556" t="s">
        <v>11735</v>
      </c>
      <c r="F12556" t="s">
        <v>34198</v>
      </c>
      <c r="K12556" s="18">
        <f>62816799357</f>
        <v>62816799357</v>
      </c>
      <c r="N12556" s="17" t="s">
        <v>81</v>
      </c>
      <c r="V12556" s="18">
        <f>62816799357</f>
        <v>62816799357</v>
      </c>
    </row>
    <row r="12557" ht="15" customHeight="1" spans="1:23" x14ac:dyDescent="0.25">
      <c r="A12557" s="17" t="s">
        <v>34199</v>
      </c>
      <c r="B12557" s="17" t="s">
        <v>70</v>
      </c>
      <c r="C12557" s="17" t="s">
        <v>71</v>
      </c>
      <c r="D12557" t="s">
        <v>11735</v>
      </c>
      <c r="F12557" t="s">
        <v>34200</v>
      </c>
      <c r="K12557" s="18">
        <f>628161168136</f>
        <v>628161168136</v>
      </c>
      <c r="N12557" s="17" t="s">
        <v>74</v>
      </c>
      <c r="U12557" s="17"/>
      <c r="V12557" s="18">
        <f>628161168136</f>
        <v>628161168136</v>
      </c>
      <c r="W12557" t="s">
        <v>34201</v>
      </c>
    </row>
    <row r="12558" ht="15" customHeight="1" spans="1:22" x14ac:dyDescent="0.25">
      <c r="A12558" s="17" t="s">
        <v>34202</v>
      </c>
      <c r="B12558" s="17" t="s">
        <v>70</v>
      </c>
      <c r="C12558" s="17" t="s">
        <v>71</v>
      </c>
      <c r="D12558" t="s">
        <v>11735</v>
      </c>
      <c r="F12558" t="s">
        <v>12610</v>
      </c>
      <c r="K12558" s="18">
        <f>6281298876962</f>
        <v>6281298876962</v>
      </c>
      <c r="N12558" s="17" t="s">
        <v>81</v>
      </c>
      <c r="V12558" s="18">
        <f>6281298876962</f>
        <v>6281298876962</v>
      </c>
    </row>
    <row r="12559" ht="15" customHeight="1" spans="1:22" x14ac:dyDescent="0.25">
      <c r="A12559" s="17" t="s">
        <v>34203</v>
      </c>
      <c r="B12559" s="17" t="s">
        <v>70</v>
      </c>
      <c r="C12559" s="17" t="s">
        <v>71</v>
      </c>
      <c r="D12559" t="s">
        <v>11735</v>
      </c>
      <c r="F12559" t="s">
        <v>24815</v>
      </c>
      <c r="K12559" s="18">
        <f>62811586117</f>
        <v>62811586117</v>
      </c>
      <c r="N12559" s="17" t="s">
        <v>74</v>
      </c>
      <c r="V12559" s="18">
        <f>62811586117</f>
        <v>62811586117</v>
      </c>
    </row>
    <row r="12560" ht="15" customHeight="1" spans="1:28" x14ac:dyDescent="0.25">
      <c r="A12560" s="17" t="s">
        <v>34204</v>
      </c>
      <c r="B12560" s="17" t="s">
        <v>70</v>
      </c>
      <c r="C12560" s="17" t="s">
        <v>71</v>
      </c>
      <c r="D12560" t="s">
        <v>11735</v>
      </c>
      <c r="F12560" t="s">
        <v>2523</v>
      </c>
      <c r="J12560" t="s">
        <v>115</v>
      </c>
      <c r="K12560" s="18" t="s">
        <v>34205</v>
      </c>
      <c r="N12560" s="17" t="s">
        <v>81</v>
      </c>
      <c r="O12560" t="s">
        <v>145</v>
      </c>
      <c r="U12560" s="17"/>
      <c r="V12560" s="18" t="s">
        <v>34205</v>
      </c>
      <c r="W12560" t="s">
        <v>34206</v>
      </c>
      <c r="Y12560" t="s">
        <v>190</v>
      </c>
      <c r="AA12560" t="s">
        <v>118</v>
      </c>
      <c r="AB12560" t="s">
        <v>119</v>
      </c>
    </row>
    <row r="12561" ht="15" customHeight="1" spans="1:22" x14ac:dyDescent="0.25">
      <c r="A12561" s="17" t="s">
        <v>34207</v>
      </c>
      <c r="B12561" s="17" t="s">
        <v>70</v>
      </c>
      <c r="C12561" s="17" t="s">
        <v>71</v>
      </c>
      <c r="D12561" t="s">
        <v>34208</v>
      </c>
      <c r="F12561" t="s">
        <v>34208</v>
      </c>
      <c r="K12561" s="18">
        <f>6281318421078</f>
        <v>6281318421078</v>
      </c>
      <c r="N12561" s="17" t="s">
        <v>81</v>
      </c>
      <c r="V12561" s="18">
        <f>6281318421078</f>
        <v>6281318421078</v>
      </c>
    </row>
    <row r="12562" ht="15" customHeight="1" spans="1:23" x14ac:dyDescent="0.25">
      <c r="A12562" s="17" t="s">
        <v>34209</v>
      </c>
      <c r="B12562" s="17" t="s">
        <v>70</v>
      </c>
      <c r="C12562" s="17" t="s">
        <v>71</v>
      </c>
      <c r="D12562" t="s">
        <v>34210</v>
      </c>
      <c r="F12562" t="s">
        <v>5967</v>
      </c>
      <c r="K12562" s="18">
        <f>62811142507</f>
        <v>62811142507</v>
      </c>
      <c r="N12562" s="17" t="s">
        <v>74</v>
      </c>
      <c r="U12562" s="17"/>
      <c r="V12562" s="18">
        <f>62811142507</f>
        <v>62811142507</v>
      </c>
      <c r="W12562" t="s">
        <v>34211</v>
      </c>
    </row>
    <row r="12563" ht="15" customHeight="1" spans="1:28" x14ac:dyDescent="0.25">
      <c r="A12563" s="17" t="s">
        <v>34212</v>
      </c>
      <c r="B12563" s="17" t="s">
        <v>70</v>
      </c>
      <c r="C12563" s="17" t="s">
        <v>71</v>
      </c>
      <c r="D12563" t="s">
        <v>34213</v>
      </c>
      <c r="F12563" t="s">
        <v>34214</v>
      </c>
      <c r="J12563" s="17" t="s">
        <v>34215</v>
      </c>
      <c r="K12563" s="18" t="s">
        <v>34216</v>
      </c>
      <c r="N12563" s="17" t="s">
        <v>77</v>
      </c>
      <c r="O12563" t="s">
        <v>145</v>
      </c>
      <c r="V12563" s="18" t="s">
        <v>34216</v>
      </c>
      <c r="Y12563" t="s">
        <v>115</v>
      </c>
      <c r="AA12563" t="s">
        <v>115</v>
      </c>
      <c r="AB12563" t="s">
        <v>451</v>
      </c>
    </row>
    <row r="12564" ht="15" customHeight="1" spans="1:22" x14ac:dyDescent="0.25">
      <c r="A12564" s="17" t="s">
        <v>34217</v>
      </c>
      <c r="B12564" s="17" t="s">
        <v>70</v>
      </c>
      <c r="C12564" s="17" t="s">
        <v>71</v>
      </c>
      <c r="D12564" t="s">
        <v>34218</v>
      </c>
      <c r="F12564" t="s">
        <v>34219</v>
      </c>
      <c r="K12564" s="18">
        <f>6282165262929</f>
        <v>6282165262929</v>
      </c>
      <c r="N12564" s="17" t="s">
        <v>77</v>
      </c>
      <c r="V12564" s="18">
        <f>6282165262929</f>
        <v>6282165262929</v>
      </c>
    </row>
    <row r="12565" ht="15" customHeight="1" spans="1:23" x14ac:dyDescent="0.25">
      <c r="A12565" s="17" t="s">
        <v>34220</v>
      </c>
      <c r="B12565" s="17" t="s">
        <v>70</v>
      </c>
      <c r="C12565" s="17" t="s">
        <v>71</v>
      </c>
      <c r="D12565" t="s">
        <v>34221</v>
      </c>
      <c r="F12565" t="s">
        <v>212</v>
      </c>
      <c r="K12565" s="18">
        <f>628111281210</f>
        <v>628111281210</v>
      </c>
      <c r="N12565" s="17" t="s">
        <v>77</v>
      </c>
      <c r="U12565" s="17"/>
      <c r="V12565" s="18">
        <f>628111281210</f>
        <v>628111281210</v>
      </c>
      <c r="W12565" t="s">
        <v>34222</v>
      </c>
    </row>
    <row r="12566" ht="15" customHeight="1" spans="1:22" x14ac:dyDescent="0.25">
      <c r="A12566" s="17" t="s">
        <v>34223</v>
      </c>
      <c r="B12566" s="17" t="s">
        <v>70</v>
      </c>
      <c r="C12566" s="17" t="s">
        <v>71</v>
      </c>
      <c r="D12566" t="s">
        <v>34221</v>
      </c>
      <c r="F12566" t="s">
        <v>19982</v>
      </c>
      <c r="K12566" s="18">
        <f>6282215590069</f>
        <v>6282215590069</v>
      </c>
      <c r="N12566" s="17" t="s">
        <v>77</v>
      </c>
      <c r="V12566" s="18">
        <f>6282215590069</f>
        <v>6282215590069</v>
      </c>
    </row>
    <row r="12567" ht="15" customHeight="1" spans="1:22" x14ac:dyDescent="0.25">
      <c r="A12567" s="17" t="s">
        <v>34224</v>
      </c>
      <c r="B12567" s="17" t="s">
        <v>70</v>
      </c>
      <c r="C12567" s="17" t="s">
        <v>71</v>
      </c>
      <c r="D12567" t="s">
        <v>34225</v>
      </c>
      <c r="F12567" t="s">
        <v>34225</v>
      </c>
      <c r="K12567" s="18">
        <f>628139992095</f>
        <v>628139992095</v>
      </c>
      <c r="N12567" s="17" t="s">
        <v>77</v>
      </c>
      <c r="V12567" s="18">
        <f>628139992095</f>
        <v>628139992095</v>
      </c>
    </row>
    <row r="12568" ht="15" customHeight="1" spans="1:22" x14ac:dyDescent="0.25">
      <c r="A12568" s="17" t="s">
        <v>34226</v>
      </c>
      <c r="B12568" s="17" t="s">
        <v>70</v>
      </c>
      <c r="C12568" s="17" t="s">
        <v>71</v>
      </c>
      <c r="D12568" t="s">
        <v>34225</v>
      </c>
      <c r="F12568" t="s">
        <v>222</v>
      </c>
      <c r="K12568" s="18">
        <f>628818169362</f>
        <v>628818169362</v>
      </c>
      <c r="N12568" s="17" t="s">
        <v>77</v>
      </c>
      <c r="V12568" s="18">
        <f>628818169362</f>
        <v>628818169362</v>
      </c>
    </row>
    <row r="12569" ht="15" customHeight="1" spans="1:27" x14ac:dyDescent="0.25">
      <c r="A12569" s="17" t="s">
        <v>34227</v>
      </c>
      <c r="B12569" s="17" t="s">
        <v>70</v>
      </c>
      <c r="C12569" s="17" t="s">
        <v>71</v>
      </c>
      <c r="D12569" t="s">
        <v>34228</v>
      </c>
      <c r="F12569" t="s">
        <v>3991</v>
      </c>
      <c r="K12569" s="18">
        <f>622153163467</f>
        <v>622153163467</v>
      </c>
      <c r="N12569" s="17" t="s">
        <v>77</v>
      </c>
      <c r="U12569" s="17"/>
      <c r="V12569" s="18">
        <f>622153163467</f>
        <v>622153163467</v>
      </c>
      <c r="W12569" t="s">
        <v>34229</v>
      </c>
      <c r="Y12569" s="17" t="s">
        <v>217</v>
      </c>
      <c r="AA12569" s="17" t="s">
        <v>11773</v>
      </c>
    </row>
    <row r="12570" ht="15" customHeight="1" spans="1:22" x14ac:dyDescent="0.25">
      <c r="A12570" s="17" t="s">
        <v>34230</v>
      </c>
      <c r="B12570" s="17" t="s">
        <v>70</v>
      </c>
      <c r="C12570" s="17" t="s">
        <v>71</v>
      </c>
      <c r="D12570" t="s">
        <v>34228</v>
      </c>
      <c r="F12570" t="s">
        <v>34231</v>
      </c>
      <c r="K12570" s="18">
        <f>6281808410055</f>
        <v>6281808410055</v>
      </c>
      <c r="N12570" s="17" t="s">
        <v>81</v>
      </c>
      <c r="V12570" s="18">
        <f>6281808410055</f>
        <v>6281808410055</v>
      </c>
    </row>
    <row r="12571" ht="15" customHeight="1" spans="1:23" x14ac:dyDescent="0.25">
      <c r="A12571" s="17" t="s">
        <v>34232</v>
      </c>
      <c r="B12571" s="17" t="s">
        <v>70</v>
      </c>
      <c r="C12571" s="17" t="s">
        <v>71</v>
      </c>
      <c r="D12571" t="s">
        <v>34233</v>
      </c>
      <c r="F12571" t="s">
        <v>34234</v>
      </c>
      <c r="K12571" s="18">
        <f>17703354173</f>
        <v>17703354173</v>
      </c>
      <c r="N12571" s="17" t="s">
        <v>77</v>
      </c>
      <c r="U12571" s="17"/>
      <c r="V12571" s="18">
        <f>17703354173</f>
        <v>17703354173</v>
      </c>
      <c r="W12571" t="s">
        <v>930</v>
      </c>
    </row>
    <row r="12572" ht="15" customHeight="1" spans="1:28" x14ac:dyDescent="0.25">
      <c r="A12572" s="17" t="s">
        <v>34235</v>
      </c>
      <c r="B12572" s="17" t="s">
        <v>70</v>
      </c>
      <c r="C12572" s="17" t="s">
        <v>71</v>
      </c>
      <c r="D12572" t="s">
        <v>10532</v>
      </c>
      <c r="F12572" t="s">
        <v>34236</v>
      </c>
      <c r="J12572" s="17" t="s">
        <v>34237</v>
      </c>
      <c r="K12572" s="18" t="s">
        <v>34238</v>
      </c>
      <c r="N12572" s="17" t="s">
        <v>77</v>
      </c>
      <c r="O12572" t="s">
        <v>145</v>
      </c>
      <c r="V12572" s="18" t="s">
        <v>34238</v>
      </c>
      <c r="Y12572" t="s">
        <v>181</v>
      </c>
      <c r="AA12572" t="s">
        <v>1672</v>
      </c>
      <c r="AB12572" t="s">
        <v>119</v>
      </c>
    </row>
    <row r="12573" ht="15" customHeight="1" spans="1:23" x14ac:dyDescent="0.25">
      <c r="A12573" s="17" t="s">
        <v>34239</v>
      </c>
      <c r="B12573" s="17" t="s">
        <v>70</v>
      </c>
      <c r="C12573" s="17" t="s">
        <v>71</v>
      </c>
      <c r="D12573" t="s">
        <v>34240</v>
      </c>
      <c r="F12573" t="s">
        <v>34241</v>
      </c>
      <c r="K12573" s="18">
        <f>6287888354238</f>
        <v>6287888354238</v>
      </c>
      <c r="N12573" s="17" t="s">
        <v>77</v>
      </c>
      <c r="U12573" s="17"/>
      <c r="V12573" s="18">
        <f>6287888354238</f>
        <v>6287888354238</v>
      </c>
      <c r="W12573" t="s">
        <v>34242</v>
      </c>
    </row>
    <row r="12574" ht="15" customHeight="1" spans="1:22" x14ac:dyDescent="0.25">
      <c r="A12574" s="17" t="s">
        <v>34243</v>
      </c>
      <c r="B12574" s="17" t="s">
        <v>70</v>
      </c>
      <c r="C12574" s="17" t="s">
        <v>71</v>
      </c>
      <c r="D12574" t="s">
        <v>34244</v>
      </c>
      <c r="F12574" t="s">
        <v>34244</v>
      </c>
      <c r="K12574" s="18">
        <f>628111939886</f>
        <v>628111939886</v>
      </c>
      <c r="N12574" s="17" t="s">
        <v>77</v>
      </c>
      <c r="V12574" s="18">
        <f>628111939886</f>
        <v>628111939886</v>
      </c>
    </row>
    <row r="12575" ht="15" customHeight="1" spans="1:22" x14ac:dyDescent="0.25">
      <c r="A12575" s="17" t="s">
        <v>34245</v>
      </c>
      <c r="B12575" s="17" t="s">
        <v>70</v>
      </c>
      <c r="C12575" s="17" t="s">
        <v>71</v>
      </c>
      <c r="D12575" t="s">
        <v>34246</v>
      </c>
      <c r="F12575" t="s">
        <v>34246</v>
      </c>
      <c r="K12575" s="18">
        <f>628128434032</f>
        <v>628128434032</v>
      </c>
      <c r="N12575" s="17" t="s">
        <v>81</v>
      </c>
      <c r="V12575" s="18">
        <f>628128434032</f>
        <v>628128434032</v>
      </c>
    </row>
    <row r="12576" ht="15" customHeight="1" spans="1:23" x14ac:dyDescent="0.25">
      <c r="A12576" s="17" t="s">
        <v>34247</v>
      </c>
      <c r="B12576" s="17" t="s">
        <v>70</v>
      </c>
      <c r="C12576" s="17" t="s">
        <v>71</v>
      </c>
      <c r="D12576" t="s">
        <v>34246</v>
      </c>
      <c r="F12576" t="s">
        <v>34246</v>
      </c>
      <c r="K12576" s="18">
        <f>6287876997861</f>
        <v>6287876997861</v>
      </c>
      <c r="N12576" s="17" t="s">
        <v>81</v>
      </c>
      <c r="U12576" s="17"/>
      <c r="V12576" s="18">
        <f>6287876997861</f>
        <v>6287876997861</v>
      </c>
      <c r="W12576" t="s">
        <v>34248</v>
      </c>
    </row>
    <row r="12577" ht="15" customHeight="1" spans="1:22" x14ac:dyDescent="0.25">
      <c r="A12577" s="17" t="s">
        <v>34249</v>
      </c>
      <c r="B12577" s="17" t="s">
        <v>70</v>
      </c>
      <c r="C12577" s="17" t="s">
        <v>71</v>
      </c>
      <c r="D12577" t="s">
        <v>13330</v>
      </c>
      <c r="F12577" t="s">
        <v>13330</v>
      </c>
      <c r="K12577" s="18">
        <f>6281511333352</f>
        <v>6281511333352</v>
      </c>
      <c r="N12577" s="17" t="s">
        <v>77</v>
      </c>
      <c r="V12577" s="18">
        <f>6281511333352</f>
        <v>6281511333352</v>
      </c>
    </row>
    <row r="12578" ht="15" customHeight="1" spans="1:22" x14ac:dyDescent="0.25">
      <c r="A12578" s="17" t="s">
        <v>34250</v>
      </c>
      <c r="B12578" s="17" t="s">
        <v>70</v>
      </c>
      <c r="C12578" s="17" t="s">
        <v>71</v>
      </c>
      <c r="D12578" t="s">
        <v>13330</v>
      </c>
      <c r="F12578" t="s">
        <v>34251</v>
      </c>
      <c r="K12578" s="18">
        <f>6282166518005</f>
        <v>6282166518005</v>
      </c>
      <c r="N12578" s="17" t="s">
        <v>77</v>
      </c>
      <c r="V12578" s="18">
        <f>6282166518005</f>
        <v>6282166518005</v>
      </c>
    </row>
    <row r="12579" ht="15" customHeight="1" spans="1:27" x14ac:dyDescent="0.25">
      <c r="A12579" s="17" t="s">
        <v>34252</v>
      </c>
      <c r="B12579" s="17" t="s">
        <v>70</v>
      </c>
      <c r="C12579" s="17" t="s">
        <v>71</v>
      </c>
      <c r="D12579" t="s">
        <v>34253</v>
      </c>
      <c r="F12579" t="s">
        <v>34254</v>
      </c>
      <c r="K12579" s="18">
        <f>62217182667</f>
        <v>62217182667</v>
      </c>
      <c r="N12579" s="17" t="s">
        <v>77</v>
      </c>
      <c r="U12579" s="17"/>
      <c r="V12579" s="18">
        <f>62217182667</f>
        <v>62217182667</v>
      </c>
      <c r="W12579" t="s">
        <v>34255</v>
      </c>
      <c r="Y12579" s="17" t="s">
        <v>96</v>
      </c>
      <c r="AA12579" s="17" t="s">
        <v>34256</v>
      </c>
    </row>
    <row r="12580" ht="15" customHeight="1" spans="1:22" x14ac:dyDescent="0.25">
      <c r="A12580" s="17" t="s">
        <v>34257</v>
      </c>
      <c r="B12580" s="17" t="s">
        <v>70</v>
      </c>
      <c r="C12580" s="17" t="s">
        <v>71</v>
      </c>
      <c r="D12580" t="s">
        <v>9617</v>
      </c>
      <c r="F12580" t="s">
        <v>9617</v>
      </c>
      <c r="K12580" s="18">
        <f>6281218992354</f>
        <v>6281218992354</v>
      </c>
      <c r="N12580" s="17" t="s">
        <v>81</v>
      </c>
      <c r="V12580" s="18">
        <f>6281218992354</f>
        <v>6281218992354</v>
      </c>
    </row>
    <row r="12581" ht="15" customHeight="1" spans="1:23" x14ac:dyDescent="0.25">
      <c r="A12581" s="17" t="s">
        <v>34258</v>
      </c>
      <c r="B12581" s="17" t="s">
        <v>70</v>
      </c>
      <c r="C12581" s="17" t="s">
        <v>71</v>
      </c>
      <c r="D12581" t="s">
        <v>9617</v>
      </c>
      <c r="F12581" t="s">
        <v>34259</v>
      </c>
      <c r="K12581" s="18">
        <f>6281377761212</f>
        <v>6281377761212</v>
      </c>
      <c r="N12581" s="17" t="s">
        <v>77</v>
      </c>
      <c r="U12581" s="17"/>
      <c r="V12581" s="18">
        <f>6281377761212</f>
        <v>6281377761212</v>
      </c>
      <c r="W12581" t="s">
        <v>34260</v>
      </c>
    </row>
    <row r="12582" ht="15" customHeight="1" spans="1:27" x14ac:dyDescent="0.25">
      <c r="A12582" s="17" t="s">
        <v>34261</v>
      </c>
      <c r="B12582" s="17" t="s">
        <v>70</v>
      </c>
      <c r="C12582" s="17" t="s">
        <v>71</v>
      </c>
      <c r="D12582" t="s">
        <v>9617</v>
      </c>
      <c r="F12582" t="s">
        <v>16563</v>
      </c>
      <c r="K12582" s="18">
        <f>628551100017</f>
        <v>628551100017</v>
      </c>
      <c r="N12582" s="17" t="s">
        <v>77</v>
      </c>
      <c r="U12582" s="17"/>
      <c r="V12582" s="18">
        <f>628551100017</f>
        <v>628551100017</v>
      </c>
      <c r="W12582" t="s">
        <v>34262</v>
      </c>
      <c r="Y12582" s="17" t="s">
        <v>378</v>
      </c>
      <c r="AA12582" s="17" t="s">
        <v>34263</v>
      </c>
    </row>
    <row r="12583" ht="15" customHeight="1" spans="1:28" x14ac:dyDescent="0.25">
      <c r="A12583" s="17" t="s">
        <v>34264</v>
      </c>
      <c r="B12583" s="17" t="s">
        <v>70</v>
      </c>
      <c r="C12583" s="17" t="s">
        <v>71</v>
      </c>
      <c r="D12583" t="s">
        <v>9617</v>
      </c>
      <c r="F12583" t="s">
        <v>34265</v>
      </c>
      <c r="J12583" t="s">
        <v>115</v>
      </c>
      <c r="K12583" s="18" t="s">
        <v>34266</v>
      </c>
      <c r="N12583" s="17" t="s">
        <v>77</v>
      </c>
      <c r="O12583" t="s">
        <v>489</v>
      </c>
      <c r="V12583" s="18" t="s">
        <v>34266</v>
      </c>
      <c r="Y12583" t="s">
        <v>217</v>
      </c>
      <c r="AA12583" t="s">
        <v>218</v>
      </c>
      <c r="AB12583" t="s">
        <v>119</v>
      </c>
    </row>
    <row r="12584" ht="15" customHeight="1" spans="1:22" x14ac:dyDescent="0.25">
      <c r="A12584" s="17" t="s">
        <v>34267</v>
      </c>
      <c r="B12584" s="17" t="s">
        <v>70</v>
      </c>
      <c r="C12584" s="17" t="s">
        <v>71</v>
      </c>
      <c r="D12584" t="s">
        <v>9617</v>
      </c>
      <c r="F12584" t="s">
        <v>34268</v>
      </c>
      <c r="K12584" s="18">
        <f>62816824389</f>
        <v>62816824389</v>
      </c>
      <c r="N12584" s="17" t="s">
        <v>81</v>
      </c>
      <c r="V12584" s="18">
        <f>62816824389</f>
        <v>62816824389</v>
      </c>
    </row>
    <row r="12585" ht="15" customHeight="1" spans="1:28" x14ac:dyDescent="0.25">
      <c r="A12585" s="17" t="s">
        <v>34269</v>
      </c>
      <c r="B12585" s="17" t="s">
        <v>70</v>
      </c>
      <c r="C12585" s="17" t="s">
        <v>71</v>
      </c>
      <c r="D12585" t="s">
        <v>9617</v>
      </c>
      <c r="F12585" t="s">
        <v>34270</v>
      </c>
      <c r="J12585" t="s">
        <v>115</v>
      </c>
      <c r="K12585" s="18" t="s">
        <v>34271</v>
      </c>
      <c r="N12585" s="17" t="s">
        <v>77</v>
      </c>
      <c r="O12585" t="s">
        <v>117</v>
      </c>
      <c r="V12585" s="18" t="s">
        <v>34271</v>
      </c>
      <c r="Y12585" s="17" t="s">
        <v>190</v>
      </c>
      <c r="AA12585" t="s">
        <v>118</v>
      </c>
      <c r="AB12585" t="s">
        <v>119</v>
      </c>
    </row>
    <row r="12586" ht="15" customHeight="1" spans="1:22" x14ac:dyDescent="0.25">
      <c r="A12586" s="17" t="s">
        <v>34272</v>
      </c>
      <c r="B12586" s="17" t="s">
        <v>70</v>
      </c>
      <c r="C12586" s="17" t="s">
        <v>71</v>
      </c>
      <c r="D12586" t="s">
        <v>34273</v>
      </c>
      <c r="F12586" t="s">
        <v>34273</v>
      </c>
      <c r="K12586" s="18">
        <f>62811158777</f>
        <v>62811158777</v>
      </c>
      <c r="N12586" s="17" t="s">
        <v>81</v>
      </c>
      <c r="V12586" s="18">
        <f>62811158777</f>
        <v>62811158777</v>
      </c>
    </row>
    <row r="12587" ht="15" customHeight="1" spans="1:22" x14ac:dyDescent="0.25">
      <c r="A12587" s="17" t="s">
        <v>34274</v>
      </c>
      <c r="B12587" s="17" t="s">
        <v>70</v>
      </c>
      <c r="C12587" s="17" t="s">
        <v>71</v>
      </c>
      <c r="D12587" t="s">
        <v>1616</v>
      </c>
      <c r="F12587" t="s">
        <v>1616</v>
      </c>
      <c r="K12587" s="18">
        <f>62811136971</f>
        <v>62811136971</v>
      </c>
      <c r="N12587" s="17" t="s">
        <v>81</v>
      </c>
      <c r="V12587" s="18">
        <f>62811136971</f>
        <v>62811136971</v>
      </c>
    </row>
    <row r="12588" ht="15" customHeight="1" spans="1:22" x14ac:dyDescent="0.25">
      <c r="A12588" s="17" t="s">
        <v>34275</v>
      </c>
      <c r="B12588" s="17" t="s">
        <v>70</v>
      </c>
      <c r="C12588" s="17" t="s">
        <v>71</v>
      </c>
      <c r="D12588" t="s">
        <v>34276</v>
      </c>
      <c r="F12588" t="s">
        <v>34276</v>
      </c>
      <c r="K12588" s="18">
        <f>628159091699</f>
        <v>628159091699</v>
      </c>
      <c r="N12588" s="17" t="s">
        <v>74</v>
      </c>
      <c r="V12588" s="18">
        <f>628159091699</f>
        <v>628159091699</v>
      </c>
    </row>
    <row r="12589" ht="15" customHeight="1" spans="1:22" x14ac:dyDescent="0.25">
      <c r="A12589" s="17" t="s">
        <v>34277</v>
      </c>
      <c r="B12589" s="17" t="s">
        <v>70</v>
      </c>
      <c r="C12589" s="17" t="s">
        <v>71</v>
      </c>
      <c r="D12589" t="s">
        <v>34276</v>
      </c>
      <c r="F12589" t="s">
        <v>34278</v>
      </c>
      <c r="K12589" s="18">
        <f>628111555168</f>
        <v>628111555168</v>
      </c>
      <c r="N12589" s="17" t="s">
        <v>77</v>
      </c>
      <c r="V12589" s="18">
        <f>628111555168</f>
        <v>628111555168</v>
      </c>
    </row>
    <row r="12590" ht="15" customHeight="1" spans="1:25" x14ac:dyDescent="0.25">
      <c r="A12590" s="17" t="s">
        <v>34279</v>
      </c>
      <c r="B12590" s="17" t="s">
        <v>70</v>
      </c>
      <c r="C12590" s="17" t="s">
        <v>71</v>
      </c>
      <c r="D12590" t="s">
        <v>34276</v>
      </c>
      <c r="F12590" t="s">
        <v>2258</v>
      </c>
      <c r="K12590" s="18">
        <f>6285260808090</f>
        <v>6285260808090</v>
      </c>
      <c r="N12590" s="17" t="s">
        <v>81</v>
      </c>
      <c r="U12590" s="17"/>
      <c r="V12590" s="18">
        <f>6285260808090</f>
        <v>6285260808090</v>
      </c>
      <c r="W12590" t="s">
        <v>34280</v>
      </c>
      <c r="Y12590" s="17" t="s">
        <v>596</v>
      </c>
    </row>
    <row r="12591" ht="15" customHeight="1" spans="1:28" x14ac:dyDescent="0.25">
      <c r="A12591" s="17" t="s">
        <v>34281</v>
      </c>
      <c r="B12591" s="17" t="s">
        <v>70</v>
      </c>
      <c r="C12591" s="17" t="s">
        <v>71</v>
      </c>
      <c r="D12591" t="s">
        <v>19184</v>
      </c>
      <c r="F12591" t="s">
        <v>34282</v>
      </c>
      <c r="J12591" t="s">
        <v>34283</v>
      </c>
      <c r="K12591" s="18" t="s">
        <v>34284</v>
      </c>
      <c r="N12591" s="17" t="s">
        <v>81</v>
      </c>
      <c r="O12591" t="s">
        <v>117</v>
      </c>
      <c r="V12591" s="18" t="s">
        <v>34284</v>
      </c>
      <c r="Y12591" t="s">
        <v>96</v>
      </c>
      <c r="AA12591" t="s">
        <v>693</v>
      </c>
      <c r="AB12591" t="s">
        <v>119</v>
      </c>
    </row>
    <row r="12592" ht="15" customHeight="1" spans="1:23" x14ac:dyDescent="0.25">
      <c r="A12592" s="17" t="s">
        <v>34285</v>
      </c>
      <c r="B12592" s="17" t="s">
        <v>70</v>
      </c>
      <c r="C12592" s="17" t="s">
        <v>71</v>
      </c>
      <c r="D12592" t="s">
        <v>19184</v>
      </c>
      <c r="F12592" t="s">
        <v>307</v>
      </c>
      <c r="K12592" s="18">
        <f>6281316146112</f>
        <v>6281316146112</v>
      </c>
      <c r="N12592" s="17" t="s">
        <v>81</v>
      </c>
      <c r="U12592" s="17"/>
      <c r="V12592" s="18">
        <f>6281316146112</f>
        <v>6281316146112</v>
      </c>
      <c r="W12592" t="s">
        <v>34286</v>
      </c>
    </row>
    <row r="12593" ht="15" customHeight="1" spans="1:27" x14ac:dyDescent="0.25">
      <c r="A12593" s="17" t="s">
        <v>34287</v>
      </c>
      <c r="B12593" s="17" t="s">
        <v>70</v>
      </c>
      <c r="C12593" s="17" t="s">
        <v>71</v>
      </c>
      <c r="D12593" t="s">
        <v>19184</v>
      </c>
      <c r="F12593" t="s">
        <v>17397</v>
      </c>
      <c r="J12593" s="17" t="s">
        <v>34288</v>
      </c>
      <c r="K12593" s="18">
        <f>6281933287544</f>
        <v>6281933287544</v>
      </c>
      <c r="N12593" s="17" t="s">
        <v>81</v>
      </c>
      <c r="U12593" s="17"/>
      <c r="V12593" s="18">
        <f>6281933287544</f>
        <v>6281933287544</v>
      </c>
      <c r="W12593" t="s">
        <v>34289</v>
      </c>
      <c r="AA12593" s="17" t="s">
        <v>34290</v>
      </c>
    </row>
    <row r="12594" ht="15" customHeight="1" spans="1:23" x14ac:dyDescent="0.25">
      <c r="A12594" s="17" t="s">
        <v>34291</v>
      </c>
      <c r="B12594" s="17" t="s">
        <v>70</v>
      </c>
      <c r="C12594" s="17" t="s">
        <v>71</v>
      </c>
      <c r="D12594" t="s">
        <v>19184</v>
      </c>
      <c r="F12594" t="s">
        <v>34292</v>
      </c>
      <c r="K12594" s="18">
        <f>6285320221116</f>
        <v>6285320221116</v>
      </c>
      <c r="N12594" s="17" t="s">
        <v>81</v>
      </c>
      <c r="U12594" s="17"/>
      <c r="V12594" s="18">
        <f>6285320221116</f>
        <v>6285320221116</v>
      </c>
      <c r="W12594" t="s">
        <v>34293</v>
      </c>
    </row>
    <row r="12595" ht="15" customHeight="1" spans="1:22" x14ac:dyDescent="0.25">
      <c r="A12595" s="17" t="s">
        <v>34294</v>
      </c>
      <c r="B12595" s="17" t="s">
        <v>70</v>
      </c>
      <c r="C12595" s="17" t="s">
        <v>71</v>
      </c>
      <c r="D12595" t="s">
        <v>19184</v>
      </c>
      <c r="F12595" t="s">
        <v>4151</v>
      </c>
      <c r="K12595" s="18">
        <f>6281234541220</f>
        <v>6281234541220</v>
      </c>
      <c r="N12595" s="17" t="s">
        <v>74</v>
      </c>
      <c r="V12595" s="18">
        <f>6281234541220</f>
        <v>6281234541220</v>
      </c>
    </row>
    <row r="12596" ht="15" customHeight="1" spans="1:25" x14ac:dyDescent="0.25">
      <c r="A12596" s="17" t="s">
        <v>34295</v>
      </c>
      <c r="B12596" s="17" t="s">
        <v>70</v>
      </c>
      <c r="C12596" s="17" t="s">
        <v>71</v>
      </c>
      <c r="D12596" t="s">
        <v>19184</v>
      </c>
      <c r="F12596" t="s">
        <v>186</v>
      </c>
      <c r="J12596" s="17" t="s">
        <v>34296</v>
      </c>
      <c r="K12596" s="18">
        <f>628170104555</f>
        <v>628170104555</v>
      </c>
      <c r="N12596" s="17" t="s">
        <v>77</v>
      </c>
      <c r="U12596" s="17"/>
      <c r="V12596" s="18">
        <f>628170104555</f>
        <v>628170104555</v>
      </c>
      <c r="W12596" t="s">
        <v>34297</v>
      </c>
      <c r="Y12596" s="17" t="s">
        <v>90</v>
      </c>
    </row>
    <row r="12597" ht="15" customHeight="1" spans="1:28" x14ac:dyDescent="0.25">
      <c r="A12597" s="17" t="s">
        <v>34298</v>
      </c>
      <c r="B12597" s="17" t="s">
        <v>70</v>
      </c>
      <c r="C12597" s="17" t="s">
        <v>71</v>
      </c>
      <c r="D12597" t="s">
        <v>2267</v>
      </c>
      <c r="F12597" t="s">
        <v>672</v>
      </c>
      <c r="J12597" t="s">
        <v>115</v>
      </c>
      <c r="K12597" s="18" t="s">
        <v>34299</v>
      </c>
      <c r="N12597" s="17" t="s">
        <v>81</v>
      </c>
      <c r="O12597" t="s">
        <v>117</v>
      </c>
      <c r="V12597" s="18" t="s">
        <v>34299</v>
      </c>
      <c r="Y12597" t="s">
        <v>90</v>
      </c>
      <c r="AA12597" t="s">
        <v>118</v>
      </c>
      <c r="AB12597" t="s">
        <v>119</v>
      </c>
    </row>
    <row r="12598" ht="15" customHeight="1" spans="1:22" x14ac:dyDescent="0.25">
      <c r="A12598" s="17" t="s">
        <v>34300</v>
      </c>
      <c r="B12598" s="17" t="s">
        <v>70</v>
      </c>
      <c r="C12598" s="17" t="s">
        <v>71</v>
      </c>
      <c r="D12598" t="s">
        <v>2267</v>
      </c>
      <c r="F12598" t="s">
        <v>2267</v>
      </c>
      <c r="K12598" s="18">
        <f>62811824922</f>
        <v>62811824922</v>
      </c>
      <c r="N12598" s="17" t="s">
        <v>74</v>
      </c>
      <c r="V12598" s="18">
        <f>62811824922</f>
        <v>62811824922</v>
      </c>
    </row>
    <row r="12599" ht="15" customHeight="1" spans="1:22" x14ac:dyDescent="0.25">
      <c r="A12599" s="17" t="s">
        <v>34301</v>
      </c>
      <c r="B12599" s="17" t="s">
        <v>70</v>
      </c>
      <c r="C12599" s="17" t="s">
        <v>71</v>
      </c>
      <c r="D12599" t="s">
        <v>2267</v>
      </c>
      <c r="F12599" t="s">
        <v>883</v>
      </c>
      <c r="K12599" s="18">
        <f>6281222218288</f>
        <v>6281222218288</v>
      </c>
      <c r="N12599" s="17" t="s">
        <v>81</v>
      </c>
      <c r="V12599" s="18">
        <f>6281222218288</f>
        <v>6281222218288</v>
      </c>
    </row>
    <row r="12600" ht="15" customHeight="1" spans="1:22" x14ac:dyDescent="0.25">
      <c r="A12600" s="17" t="s">
        <v>34302</v>
      </c>
      <c r="B12600" s="17" t="s">
        <v>70</v>
      </c>
      <c r="C12600" s="17" t="s">
        <v>71</v>
      </c>
      <c r="D12600" t="s">
        <v>2267</v>
      </c>
      <c r="F12600" t="s">
        <v>34303</v>
      </c>
      <c r="J12600" s="17" t="s">
        <v>34304</v>
      </c>
      <c r="K12600" s="18">
        <f>6281297000148</f>
        <v>6281297000148</v>
      </c>
      <c r="N12600" s="17" t="s">
        <v>77</v>
      </c>
      <c r="V12600" s="18">
        <f>6281297000148</f>
        <v>6281297000148</v>
      </c>
    </row>
    <row r="12601" ht="15" customHeight="1" spans="1:22" x14ac:dyDescent="0.25">
      <c r="A12601" s="17" t="s">
        <v>34305</v>
      </c>
      <c r="B12601" s="17" t="s">
        <v>70</v>
      </c>
      <c r="C12601" s="17" t="s">
        <v>71</v>
      </c>
      <c r="D12601" t="s">
        <v>2267</v>
      </c>
      <c r="F12601" t="s">
        <v>34306</v>
      </c>
      <c r="K12601" s="18">
        <f>6281222487398</f>
        <v>6281222487398</v>
      </c>
      <c r="N12601" s="17" t="s">
        <v>81</v>
      </c>
      <c r="V12601" s="18">
        <f>6281222487398</f>
        <v>6281222487398</v>
      </c>
    </row>
    <row r="12602" ht="15" customHeight="1" spans="1:23" x14ac:dyDescent="0.25">
      <c r="A12602" s="17" t="s">
        <v>34307</v>
      </c>
      <c r="B12602" s="17" t="s">
        <v>70</v>
      </c>
      <c r="C12602" s="17" t="s">
        <v>71</v>
      </c>
      <c r="D12602" t="s">
        <v>2267</v>
      </c>
      <c r="F12602" t="s">
        <v>34308</v>
      </c>
      <c r="K12602" s="18">
        <f>6281287091989</f>
        <v>6281287091989</v>
      </c>
      <c r="N12602" s="17" t="s">
        <v>77</v>
      </c>
      <c r="U12602" s="17"/>
      <c r="V12602" s="18">
        <f>6281287091989</f>
        <v>6281287091989</v>
      </c>
      <c r="W12602" t="s">
        <v>90</v>
      </c>
    </row>
    <row r="12603" ht="15" customHeight="1" spans="1:28" x14ac:dyDescent="0.25">
      <c r="A12603" s="17" t="s">
        <v>34309</v>
      </c>
      <c r="B12603" s="17" t="s">
        <v>70</v>
      </c>
      <c r="C12603" s="17" t="s">
        <v>71</v>
      </c>
      <c r="D12603" t="s">
        <v>34310</v>
      </c>
      <c r="F12603" t="s">
        <v>4356</v>
      </c>
      <c r="J12603" t="s">
        <v>115</v>
      </c>
      <c r="K12603" s="18" t="s">
        <v>34311</v>
      </c>
      <c r="N12603" s="17" t="s">
        <v>77</v>
      </c>
      <c r="O12603" t="s">
        <v>199</v>
      </c>
      <c r="U12603" s="17"/>
      <c r="V12603" s="18" t="s">
        <v>34311</v>
      </c>
      <c r="W12603" t="s">
        <v>34312</v>
      </c>
      <c r="Y12603" t="s">
        <v>190</v>
      </c>
      <c r="AA12603" t="s">
        <v>118</v>
      </c>
      <c r="AB12603" t="s">
        <v>119</v>
      </c>
    </row>
    <row r="12604" ht="15" customHeight="1" spans="1:22" x14ac:dyDescent="0.25">
      <c r="A12604" s="17" t="s">
        <v>34313</v>
      </c>
      <c r="B12604" s="17" t="s">
        <v>70</v>
      </c>
      <c r="C12604" s="17" t="s">
        <v>71</v>
      </c>
      <c r="D12604" t="s">
        <v>2267</v>
      </c>
      <c r="F12604" t="s">
        <v>13443</v>
      </c>
      <c r="K12604" s="18">
        <f>628176963985</f>
        <v>628176963985</v>
      </c>
      <c r="N12604" s="17" t="s">
        <v>77</v>
      </c>
      <c r="V12604" s="18">
        <f>628176963985</f>
        <v>628176963985</v>
      </c>
    </row>
    <row r="12605" ht="15" customHeight="1" spans="1:22" x14ac:dyDescent="0.25">
      <c r="A12605" s="17" t="s">
        <v>34314</v>
      </c>
      <c r="B12605" s="17" t="s">
        <v>70</v>
      </c>
      <c r="C12605" s="17" t="s">
        <v>71</v>
      </c>
      <c r="D12605" t="s">
        <v>2267</v>
      </c>
      <c r="F12605" t="s">
        <v>1589</v>
      </c>
      <c r="K12605" s="18">
        <f>6281295861641</f>
        <v>6281295861641</v>
      </c>
      <c r="N12605" s="17" t="s">
        <v>81</v>
      </c>
      <c r="V12605" s="18">
        <f>6281295861641</f>
        <v>6281295861641</v>
      </c>
    </row>
    <row r="12606" ht="15" customHeight="1" spans="1:28" x14ac:dyDescent="0.25">
      <c r="A12606" s="17" t="s">
        <v>34315</v>
      </c>
      <c r="B12606" s="17" t="s">
        <v>70</v>
      </c>
      <c r="C12606" s="17" t="s">
        <v>71</v>
      </c>
      <c r="D12606" t="s">
        <v>2267</v>
      </c>
      <c r="F12606" t="s">
        <v>13443</v>
      </c>
      <c r="J12606" t="s">
        <v>115</v>
      </c>
      <c r="K12606" s="18" t="s">
        <v>34316</v>
      </c>
      <c r="N12606" s="17" t="s">
        <v>77</v>
      </c>
      <c r="O12606" t="s">
        <v>199</v>
      </c>
      <c r="V12606" s="18" t="s">
        <v>34316</v>
      </c>
      <c r="Y12606" t="s">
        <v>90</v>
      </c>
      <c r="AA12606" t="s">
        <v>118</v>
      </c>
      <c r="AB12606" t="s">
        <v>119</v>
      </c>
    </row>
    <row r="12607" ht="15" customHeight="1" spans="1:28" x14ac:dyDescent="0.25">
      <c r="A12607" s="17" t="s">
        <v>34317</v>
      </c>
      <c r="B12607" s="17" t="s">
        <v>70</v>
      </c>
      <c r="C12607" s="17" t="s">
        <v>71</v>
      </c>
      <c r="D12607" t="s">
        <v>34318</v>
      </c>
      <c r="F12607" t="s">
        <v>34319</v>
      </c>
      <c r="J12607" t="s">
        <v>115</v>
      </c>
      <c r="K12607" s="18" t="s">
        <v>34320</v>
      </c>
      <c r="N12607" s="17" t="s">
        <v>81</v>
      </c>
      <c r="O12607" t="s">
        <v>261</v>
      </c>
      <c r="U12607" s="17"/>
      <c r="V12607" s="18" t="s">
        <v>34320</v>
      </c>
      <c r="W12607" t="s">
        <v>34321</v>
      </c>
      <c r="Y12607" t="s">
        <v>1084</v>
      </c>
      <c r="AA12607" t="s">
        <v>3146</v>
      </c>
      <c r="AB12607" t="s">
        <v>119</v>
      </c>
    </row>
    <row r="12608" ht="15" customHeight="1" spans="1:22" x14ac:dyDescent="0.25">
      <c r="A12608" s="17" t="s">
        <v>34322</v>
      </c>
      <c r="B12608" s="17" t="s">
        <v>70</v>
      </c>
      <c r="C12608" s="17" t="s">
        <v>71</v>
      </c>
      <c r="D12608" t="s">
        <v>34323</v>
      </c>
      <c r="F12608" t="s">
        <v>18201</v>
      </c>
      <c r="K12608" s="18">
        <f>62811152980</f>
        <v>62811152980</v>
      </c>
      <c r="N12608" s="17" t="s">
        <v>81</v>
      </c>
      <c r="V12608" s="18">
        <f>62811152980</f>
        <v>62811152980</v>
      </c>
    </row>
    <row r="12609" ht="15" customHeight="1" spans="1:28" x14ac:dyDescent="0.25">
      <c r="A12609" s="17" t="s">
        <v>34324</v>
      </c>
      <c r="B12609" s="17" t="s">
        <v>70</v>
      </c>
      <c r="C12609" s="17" t="s">
        <v>71</v>
      </c>
      <c r="D12609" t="s">
        <v>34325</v>
      </c>
      <c r="F12609" t="s">
        <v>14962</v>
      </c>
      <c r="J12609" s="17" t="s">
        <v>34326</v>
      </c>
      <c r="K12609" s="18" t="s">
        <v>34327</v>
      </c>
      <c r="N12609" s="17" t="s">
        <v>77</v>
      </c>
      <c r="O12609" t="s">
        <v>117</v>
      </c>
      <c r="V12609" s="18" t="s">
        <v>34327</v>
      </c>
      <c r="Y12609" t="s">
        <v>90</v>
      </c>
      <c r="AA12609" t="s">
        <v>118</v>
      </c>
      <c r="AB12609" t="s">
        <v>119</v>
      </c>
    </row>
    <row r="12610" ht="15" customHeight="1" spans="1:22" x14ac:dyDescent="0.25">
      <c r="A12610" s="17" t="s">
        <v>34328</v>
      </c>
      <c r="B12610" s="17" t="s">
        <v>70</v>
      </c>
      <c r="C12610" s="17" t="s">
        <v>71</v>
      </c>
      <c r="D12610" t="s">
        <v>34329</v>
      </c>
      <c r="F12610" t="s">
        <v>1070</v>
      </c>
      <c r="K12610" s="18">
        <f>62811118396</f>
        <v>62811118396</v>
      </c>
      <c r="N12610" s="17" t="s">
        <v>81</v>
      </c>
      <c r="V12610" s="18">
        <f>62811118396</f>
        <v>62811118396</v>
      </c>
    </row>
    <row r="12611" ht="15" customHeight="1" spans="1:22" x14ac:dyDescent="0.25">
      <c r="A12611" s="17" t="s">
        <v>34330</v>
      </c>
      <c r="B12611" s="17" t="s">
        <v>70</v>
      </c>
      <c r="C12611" s="17" t="s">
        <v>71</v>
      </c>
      <c r="D12611" t="s">
        <v>34331</v>
      </c>
      <c r="F12611" t="s">
        <v>1070</v>
      </c>
      <c r="K12611" s="18">
        <f>62811911822</f>
        <v>62811911822</v>
      </c>
      <c r="N12611" s="17" t="s">
        <v>81</v>
      </c>
      <c r="V12611" s="18">
        <f>62811911822</f>
        <v>62811911822</v>
      </c>
    </row>
    <row r="12612" ht="15" customHeight="1" spans="1:27" x14ac:dyDescent="0.25">
      <c r="A12612" s="17" t="s">
        <v>34332</v>
      </c>
      <c r="B12612" s="17" t="s">
        <v>70</v>
      </c>
      <c r="C12612" s="17" t="s">
        <v>71</v>
      </c>
      <c r="D12612" t="s">
        <v>34333</v>
      </c>
      <c r="F12612" t="s">
        <v>34334</v>
      </c>
      <c r="K12612" s="18">
        <f>62817728182</f>
        <v>62817728182</v>
      </c>
      <c r="N12612" s="17" t="s">
        <v>77</v>
      </c>
      <c r="U12612" s="17"/>
      <c r="V12612" s="18">
        <f>62817728182</f>
        <v>62817728182</v>
      </c>
      <c r="W12612" t="s">
        <v>34335</v>
      </c>
      <c r="Y12612" s="17" t="s">
        <v>500</v>
      </c>
      <c r="AA12612" s="17">
        <v>40264</v>
      </c>
    </row>
    <row r="12613" ht="15" customHeight="1" spans="1:23" x14ac:dyDescent="0.25">
      <c r="A12613" s="17" t="s">
        <v>34336</v>
      </c>
      <c r="B12613" s="17" t="s">
        <v>70</v>
      </c>
      <c r="C12613" s="17" t="s">
        <v>71</v>
      </c>
      <c r="D12613" t="s">
        <v>34337</v>
      </c>
      <c r="F12613" t="s">
        <v>3206</v>
      </c>
      <c r="K12613" s="18">
        <f>62817771418</f>
        <v>62817771418</v>
      </c>
      <c r="N12613" s="17" t="s">
        <v>81</v>
      </c>
      <c r="U12613" s="17"/>
      <c r="V12613" s="18">
        <f>62817771418</f>
        <v>62817771418</v>
      </c>
      <c r="W12613" t="s">
        <v>34338</v>
      </c>
    </row>
    <row r="12614" ht="15" customHeight="1" spans="1:22" x14ac:dyDescent="0.25">
      <c r="A12614" s="17" t="s">
        <v>34339</v>
      </c>
      <c r="B12614" s="17" t="s">
        <v>70</v>
      </c>
      <c r="C12614" s="17" t="s">
        <v>71</v>
      </c>
      <c r="D12614" t="s">
        <v>34340</v>
      </c>
      <c r="F12614" t="s">
        <v>13358</v>
      </c>
      <c r="K12614" s="18">
        <f>6285381278127</f>
        <v>6285381278127</v>
      </c>
      <c r="N12614" s="17" t="s">
        <v>77</v>
      </c>
      <c r="V12614" s="18">
        <f>6285381278127</f>
        <v>6285381278127</v>
      </c>
    </row>
    <row r="12615" ht="15" customHeight="1" spans="1:22" x14ac:dyDescent="0.25">
      <c r="A12615" s="17" t="s">
        <v>34341</v>
      </c>
      <c r="B12615" s="17" t="s">
        <v>70</v>
      </c>
      <c r="C12615" s="17" t="s">
        <v>71</v>
      </c>
      <c r="D12615" t="s">
        <v>34340</v>
      </c>
      <c r="F12615" t="s">
        <v>10081</v>
      </c>
      <c r="K12615" s="18">
        <f>628176088888</f>
        <v>628176088888</v>
      </c>
      <c r="N12615" s="17" t="s">
        <v>77</v>
      </c>
      <c r="V12615" s="18">
        <f>628176088888</f>
        <v>628176088888</v>
      </c>
    </row>
    <row r="12616" ht="15" customHeight="1" spans="1:22" x14ac:dyDescent="0.25">
      <c r="A12616" s="17" t="s">
        <v>34342</v>
      </c>
      <c r="B12616" s="17" t="s">
        <v>70</v>
      </c>
      <c r="C12616" s="17" t="s">
        <v>71</v>
      </c>
      <c r="D12616" t="s">
        <v>24633</v>
      </c>
      <c r="F12616" t="s">
        <v>3964</v>
      </c>
      <c r="K12616" s="18">
        <f>628111010153</f>
        <v>628111010153</v>
      </c>
      <c r="N12616" s="17" t="s">
        <v>77</v>
      </c>
      <c r="V12616" s="18">
        <f>628111010153</f>
        <v>628111010153</v>
      </c>
    </row>
    <row r="12617" ht="15" customHeight="1" spans="1:27" x14ac:dyDescent="0.25">
      <c r="A12617" s="17" t="s">
        <v>34343</v>
      </c>
      <c r="B12617" s="17" t="s">
        <v>70</v>
      </c>
      <c r="C12617" s="17" t="s">
        <v>71</v>
      </c>
      <c r="D12617" t="s">
        <v>24633</v>
      </c>
      <c r="F12617" t="s">
        <v>5476</v>
      </c>
      <c r="K12617" s="18">
        <f>6281314498888</f>
        <v>6281314498888</v>
      </c>
      <c r="N12617" s="17" t="s">
        <v>74</v>
      </c>
      <c r="U12617" s="17"/>
      <c r="V12617" s="18">
        <f>6281314498888</f>
        <v>6281314498888</v>
      </c>
      <c r="W12617" t="s">
        <v>34344</v>
      </c>
      <c r="Y12617" s="17" t="s">
        <v>1084</v>
      </c>
      <c r="AA12617" s="17" t="s">
        <v>5003</v>
      </c>
    </row>
    <row r="12618" ht="15" customHeight="1" spans="1:25" x14ac:dyDescent="0.25">
      <c r="A12618" s="17" t="s">
        <v>34345</v>
      </c>
      <c r="B12618" s="17" t="s">
        <v>70</v>
      </c>
      <c r="C12618" s="17" t="s">
        <v>71</v>
      </c>
      <c r="D12618" t="s">
        <v>24633</v>
      </c>
      <c r="F12618" t="s">
        <v>34346</v>
      </c>
      <c r="K12618" s="18">
        <f>62215671045</f>
        <v>62215671045</v>
      </c>
      <c r="N12618" s="17" t="s">
        <v>77</v>
      </c>
      <c r="U12618" s="17"/>
      <c r="V12618" s="18">
        <f>62215671045</f>
        <v>62215671045</v>
      </c>
      <c r="W12618" t="s">
        <v>34347</v>
      </c>
      <c r="Y12618" s="17" t="s">
        <v>626</v>
      </c>
    </row>
    <row r="12619" ht="15" customHeight="1" spans="1:22" x14ac:dyDescent="0.25">
      <c r="A12619" s="17" t="s">
        <v>34348</v>
      </c>
      <c r="B12619" s="17" t="s">
        <v>70</v>
      </c>
      <c r="C12619" s="17" t="s">
        <v>71</v>
      </c>
      <c r="D12619" t="s">
        <v>24633</v>
      </c>
      <c r="F12619" t="s">
        <v>34349</v>
      </c>
      <c r="K12619" s="18">
        <f>622157936588</f>
        <v>622157936588</v>
      </c>
      <c r="N12619" s="17" t="s">
        <v>77</v>
      </c>
      <c r="V12619" s="18">
        <f>622157936588</f>
        <v>622157936588</v>
      </c>
    </row>
    <row r="12620" ht="15" customHeight="1" spans="1:22" x14ac:dyDescent="0.25">
      <c r="A12620" s="17" t="s">
        <v>34350</v>
      </c>
      <c r="B12620" s="17" t="s">
        <v>70</v>
      </c>
      <c r="C12620" s="17" t="s">
        <v>71</v>
      </c>
      <c r="D12620" t="s">
        <v>24633</v>
      </c>
      <c r="F12620" t="s">
        <v>34351</v>
      </c>
      <c r="K12620" s="18">
        <f>6590939750</f>
        <v>6590939750</v>
      </c>
      <c r="N12620" s="17" t="s">
        <v>81</v>
      </c>
      <c r="V12620" s="18">
        <f>6590939750</f>
        <v>6590939750</v>
      </c>
    </row>
    <row r="12621" ht="15" customHeight="1" spans="1:22" x14ac:dyDescent="0.25">
      <c r="A12621" s="17" t="s">
        <v>34352</v>
      </c>
      <c r="B12621" s="17" t="s">
        <v>70</v>
      </c>
      <c r="C12621" s="17" t="s">
        <v>71</v>
      </c>
      <c r="D12621" t="s">
        <v>24633</v>
      </c>
      <c r="F12621" t="s">
        <v>230</v>
      </c>
      <c r="K12621" s="18">
        <f>6287771198277</f>
        <v>6287771198277</v>
      </c>
      <c r="N12621" s="17" t="s">
        <v>81</v>
      </c>
      <c r="V12621" s="18">
        <f>6287771198277</f>
        <v>6287771198277</v>
      </c>
    </row>
    <row r="12622" ht="15" customHeight="1" spans="1:22" x14ac:dyDescent="0.25">
      <c r="A12622" s="17" t="s">
        <v>34353</v>
      </c>
      <c r="B12622" s="17" t="s">
        <v>70</v>
      </c>
      <c r="C12622" s="17" t="s">
        <v>71</v>
      </c>
      <c r="D12622" t="s">
        <v>24633</v>
      </c>
      <c r="F12622" t="s">
        <v>230</v>
      </c>
      <c r="K12622" s="18">
        <f>6287771148277</f>
        <v>6287771148277</v>
      </c>
      <c r="N12622" s="17" t="s">
        <v>77</v>
      </c>
      <c r="V12622" s="18">
        <f>6287771148277</f>
        <v>6287771148277</v>
      </c>
    </row>
    <row r="12623" ht="15" customHeight="1" spans="1:28" x14ac:dyDescent="0.25">
      <c r="A12623" s="17" t="s">
        <v>34354</v>
      </c>
      <c r="B12623" s="17" t="s">
        <v>70</v>
      </c>
      <c r="C12623" s="17" t="s">
        <v>71</v>
      </c>
      <c r="D12623" t="s">
        <v>24633</v>
      </c>
      <c r="F12623" t="s">
        <v>34355</v>
      </c>
      <c r="J12623" t="s">
        <v>115</v>
      </c>
      <c r="K12623" s="18" t="s">
        <v>34356</v>
      </c>
      <c r="N12623" s="17" t="s">
        <v>81</v>
      </c>
      <c r="O12623" t="s">
        <v>117</v>
      </c>
      <c r="V12623" s="18" t="s">
        <v>34356</v>
      </c>
      <c r="Y12623" t="s">
        <v>90</v>
      </c>
      <c r="AA12623" t="s">
        <v>118</v>
      </c>
      <c r="AB12623" t="s">
        <v>119</v>
      </c>
    </row>
    <row r="12624" ht="15" customHeight="1" spans="1:22" x14ac:dyDescent="0.25">
      <c r="A12624" s="17" t="s">
        <v>34357</v>
      </c>
      <c r="B12624" s="17" t="s">
        <v>70</v>
      </c>
      <c r="C12624" s="17" t="s">
        <v>71</v>
      </c>
      <c r="D12624" t="s">
        <v>24633</v>
      </c>
      <c r="F12624" t="s">
        <v>34358</v>
      </c>
      <c r="K12624" s="18">
        <f>62215269756</f>
        <v>62215269756</v>
      </c>
      <c r="N12624" s="17" t="s">
        <v>77</v>
      </c>
      <c r="V12624" s="18">
        <f>62215269756</f>
        <v>62215269756</v>
      </c>
    </row>
    <row r="12625" ht="15" customHeight="1" spans="1:28" x14ac:dyDescent="0.25">
      <c r="A12625" s="17" t="s">
        <v>34359</v>
      </c>
      <c r="B12625" s="17" t="s">
        <v>70</v>
      </c>
      <c r="C12625" s="17" t="s">
        <v>71</v>
      </c>
      <c r="D12625" t="s">
        <v>24633</v>
      </c>
      <c r="F12625" t="s">
        <v>672</v>
      </c>
      <c r="J12625" t="s">
        <v>115</v>
      </c>
      <c r="K12625" s="18" t="s">
        <v>34360</v>
      </c>
      <c r="N12625" s="17" t="s">
        <v>77</v>
      </c>
      <c r="O12625" t="s">
        <v>199</v>
      </c>
      <c r="V12625" s="18" t="s">
        <v>34360</v>
      </c>
      <c r="Y12625" t="s">
        <v>90</v>
      </c>
      <c r="AA12625" t="s">
        <v>118</v>
      </c>
      <c r="AB12625" t="s">
        <v>119</v>
      </c>
    </row>
    <row r="12626" ht="15" customHeight="1" spans="1:22" x14ac:dyDescent="0.25">
      <c r="A12626" s="17" t="s">
        <v>34361</v>
      </c>
      <c r="B12626" s="17" t="s">
        <v>70</v>
      </c>
      <c r="C12626" s="17" t="s">
        <v>71</v>
      </c>
      <c r="D12626" t="s">
        <v>34362</v>
      </c>
      <c r="F12626" t="s">
        <v>34362</v>
      </c>
      <c r="K12626" s="18">
        <f>62817877919</f>
        <v>62817877919</v>
      </c>
      <c r="N12626" s="17" t="s">
        <v>77</v>
      </c>
      <c r="V12626" s="18">
        <f>62817877919</f>
        <v>62817877919</v>
      </c>
    </row>
    <row r="12627" ht="15" customHeight="1" spans="1:28" x14ac:dyDescent="0.25">
      <c r="A12627" s="17" t="s">
        <v>34363</v>
      </c>
      <c r="B12627" s="17" t="s">
        <v>70</v>
      </c>
      <c r="C12627" s="17" t="s">
        <v>71</v>
      </c>
      <c r="D12627" t="s">
        <v>34337</v>
      </c>
      <c r="F12627" t="s">
        <v>34364</v>
      </c>
      <c r="J12627" s="17" t="s">
        <v>34365</v>
      </c>
      <c r="K12627" s="18" t="s">
        <v>34366</v>
      </c>
      <c r="N12627" s="17" t="s">
        <v>77</v>
      </c>
      <c r="O12627" t="s">
        <v>145</v>
      </c>
      <c r="V12627" s="18" t="s">
        <v>34366</v>
      </c>
      <c r="Y12627" s="17" t="s">
        <v>1903</v>
      </c>
      <c r="AA12627" t="s">
        <v>115</v>
      </c>
      <c r="AB12627" t="s">
        <v>1903</v>
      </c>
    </row>
    <row r="12628" ht="15" customHeight="1" spans="1:22" x14ac:dyDescent="0.25">
      <c r="A12628" s="17" t="s">
        <v>34367</v>
      </c>
      <c r="B12628" s="17" t="s">
        <v>70</v>
      </c>
      <c r="C12628" s="17" t="s">
        <v>71</v>
      </c>
      <c r="D12628" t="s">
        <v>9014</v>
      </c>
      <c r="F12628" t="s">
        <v>18109</v>
      </c>
      <c r="K12628" s="18">
        <f>628115409697</f>
        <v>628115409697</v>
      </c>
      <c r="N12628" s="17" t="s">
        <v>77</v>
      </c>
      <c r="V12628" s="18">
        <f>628115409697</f>
        <v>628115409697</v>
      </c>
    </row>
    <row r="12629" ht="15" customHeight="1" spans="1:23" x14ac:dyDescent="0.25">
      <c r="A12629" s="17" t="s">
        <v>34368</v>
      </c>
      <c r="B12629" s="17" t="s">
        <v>70</v>
      </c>
      <c r="C12629" s="17" t="s">
        <v>71</v>
      </c>
      <c r="D12629" t="s">
        <v>9014</v>
      </c>
      <c r="F12629" t="s">
        <v>34369</v>
      </c>
      <c r="J12629" s="17" t="s">
        <v>34370</v>
      </c>
      <c r="K12629" s="18">
        <f>62811118081</f>
        <v>62811118081</v>
      </c>
      <c r="N12629" s="17" t="s">
        <v>77</v>
      </c>
      <c r="U12629" s="17"/>
      <c r="V12629" s="18">
        <f>62811118081</f>
        <v>62811118081</v>
      </c>
      <c r="W12629" t="s">
        <v>34371</v>
      </c>
    </row>
    <row r="12630" ht="15" customHeight="1" spans="1:27" x14ac:dyDescent="0.25">
      <c r="A12630" s="17" t="s">
        <v>34372</v>
      </c>
      <c r="B12630" s="17" t="s">
        <v>70</v>
      </c>
      <c r="C12630" s="17" t="s">
        <v>71</v>
      </c>
      <c r="D12630" t="s">
        <v>9014</v>
      </c>
      <c r="F12630" t="s">
        <v>9052</v>
      </c>
      <c r="K12630" s="18">
        <v>6504658</v>
      </c>
      <c r="N12630" s="17" t="s">
        <v>77</v>
      </c>
      <c r="U12630" s="17"/>
      <c r="V12630" s="18">
        <v>6504658</v>
      </c>
      <c r="W12630" t="s">
        <v>34373</v>
      </c>
      <c r="Y12630" s="17" t="s">
        <v>1084</v>
      </c>
      <c r="AA12630" s="17" t="s">
        <v>34374</v>
      </c>
    </row>
    <row r="12631" ht="15" customHeight="1" spans="1:22" x14ac:dyDescent="0.25">
      <c r="A12631" s="17" t="s">
        <v>34375</v>
      </c>
      <c r="B12631" s="17" t="s">
        <v>70</v>
      </c>
      <c r="C12631" s="17" t="s">
        <v>71</v>
      </c>
      <c r="D12631" t="s">
        <v>9014</v>
      </c>
      <c r="F12631" t="s">
        <v>1064</v>
      </c>
      <c r="J12631" s="17" t="s">
        <v>34376</v>
      </c>
      <c r="K12631" s="18">
        <f>6281381178888</f>
        <v>6281381178888</v>
      </c>
      <c r="N12631" s="17" t="s">
        <v>81</v>
      </c>
      <c r="V12631" s="18">
        <f>6281381178888</f>
        <v>6281381178888</v>
      </c>
    </row>
    <row r="12632" ht="15" customHeight="1" spans="1:22" x14ac:dyDescent="0.25">
      <c r="A12632" s="17" t="s">
        <v>34377</v>
      </c>
      <c r="B12632" s="17" t="s">
        <v>70</v>
      </c>
      <c r="C12632" s="17" t="s">
        <v>71</v>
      </c>
      <c r="D12632" t="s">
        <v>9014</v>
      </c>
      <c r="F12632" t="s">
        <v>34378</v>
      </c>
      <c r="K12632" s="18">
        <f>628119915644</f>
        <v>628119915644</v>
      </c>
      <c r="N12632" s="17" t="s">
        <v>77</v>
      </c>
      <c r="V12632" s="18">
        <f>628119915644</f>
        <v>628119915644</v>
      </c>
    </row>
    <row r="12633" ht="15" customHeight="1" spans="1:28" x14ac:dyDescent="0.25">
      <c r="A12633" s="17" t="s">
        <v>34379</v>
      </c>
      <c r="B12633" s="17" t="s">
        <v>70</v>
      </c>
      <c r="C12633" s="17" t="s">
        <v>71</v>
      </c>
      <c r="D12633" t="s">
        <v>9014</v>
      </c>
      <c r="F12633" t="s">
        <v>9624</v>
      </c>
      <c r="J12633" t="s">
        <v>115</v>
      </c>
      <c r="K12633" s="18" t="s">
        <v>34380</v>
      </c>
      <c r="N12633" s="17" t="s">
        <v>77</v>
      </c>
      <c r="O12633" t="s">
        <v>489</v>
      </c>
      <c r="U12633" s="17"/>
      <c r="V12633" s="18" t="s">
        <v>34380</v>
      </c>
      <c r="W12633" t="s">
        <v>34381</v>
      </c>
      <c r="Y12633" t="s">
        <v>190</v>
      </c>
      <c r="AA12633" t="s">
        <v>118</v>
      </c>
      <c r="AB12633" t="s">
        <v>119</v>
      </c>
    </row>
    <row r="12634" ht="15" customHeight="1" spans="1:22" x14ac:dyDescent="0.25">
      <c r="A12634" s="17" t="s">
        <v>34382</v>
      </c>
      <c r="B12634" s="17" t="s">
        <v>70</v>
      </c>
      <c r="C12634" s="17" t="s">
        <v>71</v>
      </c>
      <c r="D12634" t="s">
        <v>9014</v>
      </c>
      <c r="F12634" t="s">
        <v>34383</v>
      </c>
      <c r="K12634" s="18">
        <f>6281389350256</f>
        <v>6281389350256</v>
      </c>
      <c r="N12634" s="17" t="s">
        <v>77</v>
      </c>
      <c r="V12634" s="18">
        <f>6281389350256</f>
        <v>6281389350256</v>
      </c>
    </row>
    <row r="12635" ht="15" customHeight="1" spans="1:22" x14ac:dyDescent="0.25">
      <c r="A12635" s="17" t="s">
        <v>34384</v>
      </c>
      <c r="B12635" s="17" t="s">
        <v>70</v>
      </c>
      <c r="C12635" s="17" t="s">
        <v>71</v>
      </c>
      <c r="D12635" t="s">
        <v>9014</v>
      </c>
      <c r="F12635" t="s">
        <v>24656</v>
      </c>
      <c r="K12635" s="18">
        <f>6281899552</f>
        <v>6281899552</v>
      </c>
      <c r="N12635" s="17" t="s">
        <v>81</v>
      </c>
      <c r="V12635" s="18">
        <f>6281899552</f>
        <v>6281899552</v>
      </c>
    </row>
    <row r="12636" ht="15" customHeight="1" spans="1:28" x14ac:dyDescent="0.25">
      <c r="A12636" s="17" t="s">
        <v>34385</v>
      </c>
      <c r="B12636" s="17" t="s">
        <v>70</v>
      </c>
      <c r="C12636" s="17" t="s">
        <v>71</v>
      </c>
      <c r="D12636" t="s">
        <v>9014</v>
      </c>
      <c r="F12636" t="s">
        <v>34386</v>
      </c>
      <c r="J12636" t="s">
        <v>115</v>
      </c>
      <c r="K12636" s="18" t="s">
        <v>34387</v>
      </c>
      <c r="N12636" s="17" t="s">
        <v>77</v>
      </c>
      <c r="O12636" t="s">
        <v>117</v>
      </c>
      <c r="V12636" s="18" t="s">
        <v>34387</v>
      </c>
      <c r="Y12636" t="s">
        <v>190</v>
      </c>
      <c r="AA12636" t="s">
        <v>118</v>
      </c>
      <c r="AB12636" t="s">
        <v>119</v>
      </c>
    </row>
    <row r="12637" ht="15" customHeight="1" spans="1:23" x14ac:dyDescent="0.25">
      <c r="A12637" s="17" t="s">
        <v>34388</v>
      </c>
      <c r="B12637" s="17" t="s">
        <v>70</v>
      </c>
      <c r="C12637" s="17" t="s">
        <v>71</v>
      </c>
      <c r="D12637" t="s">
        <v>34389</v>
      </c>
      <c r="F12637" t="s">
        <v>7145</v>
      </c>
      <c r="K12637" s="18">
        <f>6281313719916</f>
        <v>6281313719916</v>
      </c>
      <c r="N12637" s="17" t="s">
        <v>81</v>
      </c>
      <c r="U12637" s="17"/>
      <c r="V12637" s="18">
        <f>6281313719916</f>
        <v>6281313719916</v>
      </c>
      <c r="W12637" t="s">
        <v>34390</v>
      </c>
    </row>
    <row r="12638" ht="15" customHeight="1" spans="1:22" x14ac:dyDescent="0.25">
      <c r="A12638" s="17" t="s">
        <v>34391</v>
      </c>
      <c r="B12638" s="17" t="s">
        <v>70</v>
      </c>
      <c r="C12638" s="17" t="s">
        <v>71</v>
      </c>
      <c r="D12638" t="s">
        <v>1309</v>
      </c>
      <c r="F12638" t="s">
        <v>34392</v>
      </c>
      <c r="K12638" s="18">
        <f>628159999932</f>
        <v>628159999932</v>
      </c>
      <c r="N12638" s="17" t="s">
        <v>81</v>
      </c>
      <c r="V12638" s="18">
        <f>628159999932</f>
        <v>628159999932</v>
      </c>
    </row>
    <row r="12639" ht="15" customHeight="1" spans="1:27" x14ac:dyDescent="0.25">
      <c r="A12639" s="17" t="s">
        <v>34393</v>
      </c>
      <c r="B12639" s="17" t="s">
        <v>70</v>
      </c>
      <c r="C12639" s="17" t="s">
        <v>71</v>
      </c>
      <c r="D12639" t="s">
        <v>1309</v>
      </c>
      <c r="F12639" t="s">
        <v>3740</v>
      </c>
      <c r="K12639" s="18">
        <v>7810177</v>
      </c>
      <c r="N12639" s="17" t="s">
        <v>74</v>
      </c>
      <c r="U12639" s="17"/>
      <c r="V12639" s="18">
        <v>7810177</v>
      </c>
      <c r="W12639" t="s">
        <v>34394</v>
      </c>
      <c r="Y12639" s="17" t="s">
        <v>96</v>
      </c>
      <c r="AA12639" s="17" t="s">
        <v>34395</v>
      </c>
    </row>
    <row r="12640" ht="15" customHeight="1" spans="1:25" x14ac:dyDescent="0.25">
      <c r="A12640" s="17" t="s">
        <v>34396</v>
      </c>
      <c r="B12640" s="17" t="s">
        <v>70</v>
      </c>
      <c r="C12640" s="17" t="s">
        <v>71</v>
      </c>
      <c r="D12640" t="s">
        <v>34397</v>
      </c>
      <c r="F12640" t="s">
        <v>34397</v>
      </c>
      <c r="K12640" s="18">
        <f>6281353333333</f>
        <v>6281353333333</v>
      </c>
      <c r="N12640" s="17" t="s">
        <v>81</v>
      </c>
      <c r="U12640" s="17"/>
      <c r="V12640" s="18">
        <f>6281353333333</f>
        <v>6281353333333</v>
      </c>
      <c r="W12640" t="s">
        <v>34398</v>
      </c>
      <c r="Y12640" s="17" t="s">
        <v>90</v>
      </c>
    </row>
    <row r="12641" ht="15" customHeight="1" spans="1:28" x14ac:dyDescent="0.25">
      <c r="A12641" s="17" t="s">
        <v>34399</v>
      </c>
      <c r="B12641" s="17" t="s">
        <v>70</v>
      </c>
      <c r="C12641" s="17" t="s">
        <v>71</v>
      </c>
      <c r="D12641" t="s">
        <v>34397</v>
      </c>
      <c r="F12641" t="s">
        <v>34400</v>
      </c>
      <c r="J12641" t="s">
        <v>115</v>
      </c>
      <c r="K12641" s="18" t="s">
        <v>34401</v>
      </c>
      <c r="N12641" s="17" t="s">
        <v>77</v>
      </c>
      <c r="O12641" t="s">
        <v>145</v>
      </c>
      <c r="V12641" s="18" t="s">
        <v>34401</v>
      </c>
      <c r="Y12641" t="s">
        <v>90</v>
      </c>
      <c r="AA12641" t="s">
        <v>118</v>
      </c>
      <c r="AB12641" t="s">
        <v>119</v>
      </c>
    </row>
    <row r="12642" ht="15" customHeight="1" spans="1:22" x14ac:dyDescent="0.25">
      <c r="A12642" s="17" t="s">
        <v>34402</v>
      </c>
      <c r="B12642" s="17" t="s">
        <v>70</v>
      </c>
      <c r="C12642" s="17" t="s">
        <v>71</v>
      </c>
      <c r="D12642" t="s">
        <v>34397</v>
      </c>
      <c r="F12642" t="s">
        <v>34403</v>
      </c>
      <c r="K12642" s="18">
        <f>628132888888</f>
        <v>628132888888</v>
      </c>
      <c r="N12642" s="17" t="s">
        <v>77</v>
      </c>
      <c r="V12642" s="18">
        <f>628132888888</f>
        <v>628132888888</v>
      </c>
    </row>
    <row r="12643" ht="15" customHeight="1" spans="1:22" x14ac:dyDescent="0.25">
      <c r="A12643" s="17" t="s">
        <v>34404</v>
      </c>
      <c r="B12643" s="17" t="s">
        <v>70</v>
      </c>
      <c r="C12643" s="17" t="s">
        <v>71</v>
      </c>
      <c r="D12643" t="s">
        <v>34405</v>
      </c>
      <c r="F12643" t="s">
        <v>34405</v>
      </c>
      <c r="K12643" s="18">
        <f>6282113688188</f>
        <v>6282113688188</v>
      </c>
      <c r="N12643" s="17" t="s">
        <v>74</v>
      </c>
      <c r="V12643" s="18">
        <f>6282113688188</f>
        <v>6282113688188</v>
      </c>
    </row>
    <row r="12644" ht="15" customHeight="1" spans="1:28" x14ac:dyDescent="0.25">
      <c r="A12644" s="17" t="s">
        <v>34406</v>
      </c>
      <c r="B12644" s="17" t="s">
        <v>70</v>
      </c>
      <c r="C12644" s="17" t="s">
        <v>71</v>
      </c>
      <c r="D12644" t="s">
        <v>34405</v>
      </c>
      <c r="F12644" t="s">
        <v>27784</v>
      </c>
      <c r="J12644" s="17" t="s">
        <v>34407</v>
      </c>
      <c r="K12644" s="18" t="s">
        <v>34408</v>
      </c>
      <c r="N12644" s="17" t="s">
        <v>81</v>
      </c>
      <c r="O12644" t="s">
        <v>117</v>
      </c>
      <c r="U12644" s="17"/>
      <c r="V12644" s="18" t="s">
        <v>34408</v>
      </c>
      <c r="W12644" t="s">
        <v>34409</v>
      </c>
      <c r="Y12644" t="s">
        <v>1119</v>
      </c>
      <c r="AA12644" t="s">
        <v>115</v>
      </c>
      <c r="AB12644" t="s">
        <v>119</v>
      </c>
    </row>
    <row r="12645" ht="15" customHeight="1" spans="1:28" x14ac:dyDescent="0.25">
      <c r="A12645" s="17" t="s">
        <v>34410</v>
      </c>
      <c r="B12645" s="17" t="s">
        <v>70</v>
      </c>
      <c r="C12645" s="17" t="s">
        <v>71</v>
      </c>
      <c r="D12645" t="s">
        <v>34405</v>
      </c>
      <c r="F12645" t="s">
        <v>34411</v>
      </c>
      <c r="J12645" t="s">
        <v>115</v>
      </c>
      <c r="K12645" s="18" t="s">
        <v>34412</v>
      </c>
      <c r="N12645" s="17" t="s">
        <v>77</v>
      </c>
      <c r="O12645" t="s">
        <v>199</v>
      </c>
      <c r="V12645" s="18" t="s">
        <v>34412</v>
      </c>
      <c r="Y12645" t="s">
        <v>190</v>
      </c>
      <c r="AA12645" t="s">
        <v>118</v>
      </c>
      <c r="AB12645" t="s">
        <v>119</v>
      </c>
    </row>
    <row r="12646" ht="15" customHeight="1" spans="1:22" x14ac:dyDescent="0.25">
      <c r="A12646" s="17" t="s">
        <v>34413</v>
      </c>
      <c r="B12646" s="17" t="s">
        <v>70</v>
      </c>
      <c r="C12646" s="17" t="s">
        <v>71</v>
      </c>
      <c r="D12646" t="s">
        <v>34414</v>
      </c>
      <c r="F12646" t="s">
        <v>34415</v>
      </c>
      <c r="K12646" s="18">
        <f>6281616269900</f>
        <v>6281616269900</v>
      </c>
      <c r="N12646" s="17" t="s">
        <v>77</v>
      </c>
      <c r="V12646" s="18">
        <f>6281616269900</f>
        <v>6281616269900</v>
      </c>
    </row>
    <row r="12647" ht="15" customHeight="1" spans="1:23" x14ac:dyDescent="0.25">
      <c r="A12647" s="17" t="s">
        <v>34416</v>
      </c>
      <c r="B12647" s="17" t="s">
        <v>70</v>
      </c>
      <c r="C12647" s="17" t="s">
        <v>71</v>
      </c>
      <c r="D12647" t="s">
        <v>34417</v>
      </c>
      <c r="F12647" t="s">
        <v>34418</v>
      </c>
      <c r="K12647" s="18">
        <f>6287878899368</f>
        <v>6287878899368</v>
      </c>
      <c r="N12647" s="17" t="s">
        <v>77</v>
      </c>
      <c r="U12647" s="17"/>
      <c r="V12647" s="18">
        <f>6287878899368</f>
        <v>6287878899368</v>
      </c>
      <c r="W12647" t="s">
        <v>34419</v>
      </c>
    </row>
    <row r="12648" ht="15" customHeight="1" spans="1:28" x14ac:dyDescent="0.25">
      <c r="A12648" s="17" t="s">
        <v>34420</v>
      </c>
      <c r="B12648" s="17" t="s">
        <v>70</v>
      </c>
      <c r="C12648" s="17" t="s">
        <v>71</v>
      </c>
      <c r="D12648" t="s">
        <v>34417</v>
      </c>
      <c r="F12648" t="s">
        <v>10541</v>
      </c>
      <c r="J12648" t="s">
        <v>115</v>
      </c>
      <c r="K12648" s="18" t="s">
        <v>34421</v>
      </c>
      <c r="N12648" s="17" t="s">
        <v>77</v>
      </c>
      <c r="O12648" t="s">
        <v>261</v>
      </c>
      <c r="V12648" s="18" t="s">
        <v>34421</v>
      </c>
      <c r="Y12648" t="s">
        <v>90</v>
      </c>
      <c r="AA12648" t="s">
        <v>118</v>
      </c>
      <c r="AB12648" t="s">
        <v>119</v>
      </c>
    </row>
    <row r="12649" ht="15" customHeight="1" spans="1:22" x14ac:dyDescent="0.25">
      <c r="A12649" s="17" t="s">
        <v>34422</v>
      </c>
      <c r="B12649" s="17" t="s">
        <v>70</v>
      </c>
      <c r="C12649" s="17" t="s">
        <v>71</v>
      </c>
      <c r="D12649" t="s">
        <v>34423</v>
      </c>
      <c r="F12649" t="s">
        <v>34424</v>
      </c>
      <c r="K12649" s="18">
        <f>628111044010</f>
        <v>628111044010</v>
      </c>
      <c r="N12649" s="17" t="s">
        <v>77</v>
      </c>
      <c r="V12649" s="18">
        <f>628111044010</f>
        <v>628111044010</v>
      </c>
    </row>
    <row r="12650" ht="15" customHeight="1" spans="1:28" x14ac:dyDescent="0.25">
      <c r="A12650" s="17" t="s">
        <v>34425</v>
      </c>
      <c r="B12650" s="17" t="s">
        <v>70</v>
      </c>
      <c r="C12650" s="17" t="s">
        <v>71</v>
      </c>
      <c r="D12650" t="s">
        <v>34426</v>
      </c>
      <c r="F12650" t="s">
        <v>1147</v>
      </c>
      <c r="J12650" s="17" t="s">
        <v>34427</v>
      </c>
      <c r="K12650" s="18" t="s">
        <v>34428</v>
      </c>
      <c r="N12650" s="17" t="s">
        <v>81</v>
      </c>
      <c r="O12650" t="s">
        <v>489</v>
      </c>
      <c r="U12650" s="17"/>
      <c r="V12650" s="18" t="s">
        <v>34428</v>
      </c>
      <c r="W12650" t="s">
        <v>1157</v>
      </c>
      <c r="Y12650" t="s">
        <v>1702</v>
      </c>
      <c r="AA12650" t="s">
        <v>115</v>
      </c>
      <c r="AB12650" t="s">
        <v>119</v>
      </c>
    </row>
    <row r="12651" ht="15" customHeight="1" spans="1:22" x14ac:dyDescent="0.25">
      <c r="A12651" s="17" t="s">
        <v>34429</v>
      </c>
      <c r="B12651" s="17" t="s">
        <v>70</v>
      </c>
      <c r="C12651" s="17" t="s">
        <v>71</v>
      </c>
      <c r="D12651" t="s">
        <v>34430</v>
      </c>
      <c r="F12651" t="s">
        <v>7304</v>
      </c>
      <c r="K12651" s="18">
        <f>62817887085</f>
        <v>62817887085</v>
      </c>
      <c r="N12651" s="17" t="s">
        <v>77</v>
      </c>
      <c r="V12651" s="18">
        <f>62817887085</f>
        <v>62817887085</v>
      </c>
    </row>
    <row r="12652" ht="15" customHeight="1" spans="1:22" x14ac:dyDescent="0.25">
      <c r="A12652" s="17" t="s">
        <v>34431</v>
      </c>
      <c r="B12652" s="17" t="s">
        <v>70</v>
      </c>
      <c r="C12652" s="17" t="s">
        <v>71</v>
      </c>
      <c r="D12652" t="s">
        <v>34432</v>
      </c>
      <c r="F12652" t="s">
        <v>34433</v>
      </c>
      <c r="K12652" s="18">
        <f>6281218987930</f>
        <v>6281218987930</v>
      </c>
      <c r="N12652" s="17" t="s">
        <v>81</v>
      </c>
      <c r="V12652" s="18">
        <f>6281218987930</f>
        <v>6281218987930</v>
      </c>
    </row>
    <row r="12653" ht="15" customHeight="1" spans="1:28" x14ac:dyDescent="0.25">
      <c r="A12653" s="17" t="s">
        <v>34434</v>
      </c>
      <c r="B12653" s="17" t="s">
        <v>70</v>
      </c>
      <c r="C12653" s="17" t="s">
        <v>71</v>
      </c>
      <c r="D12653" t="s">
        <v>34435</v>
      </c>
      <c r="F12653" t="s">
        <v>34436</v>
      </c>
      <c r="J12653" s="17" t="s">
        <v>34437</v>
      </c>
      <c r="K12653" s="18" t="s">
        <v>34438</v>
      </c>
      <c r="N12653" s="17" t="s">
        <v>77</v>
      </c>
      <c r="O12653" t="s">
        <v>261</v>
      </c>
      <c r="U12653" s="17"/>
      <c r="V12653" s="18" t="s">
        <v>34438</v>
      </c>
      <c r="W12653" t="s">
        <v>8622</v>
      </c>
      <c r="Y12653" t="s">
        <v>930</v>
      </c>
      <c r="AA12653" t="s">
        <v>115</v>
      </c>
      <c r="AB12653" t="s">
        <v>930</v>
      </c>
    </row>
    <row r="12654" ht="15" customHeight="1" spans="1:28" x14ac:dyDescent="0.25">
      <c r="A12654" s="17" t="s">
        <v>34439</v>
      </c>
      <c r="B12654" s="17" t="s">
        <v>70</v>
      </c>
      <c r="C12654" s="17" t="s">
        <v>71</v>
      </c>
      <c r="D12654" t="s">
        <v>34440</v>
      </c>
      <c r="F12654" t="s">
        <v>34441</v>
      </c>
      <c r="J12654" s="17" t="s">
        <v>34442</v>
      </c>
      <c r="K12654" s="18" t="s">
        <v>34443</v>
      </c>
      <c r="N12654" s="17" t="s">
        <v>77</v>
      </c>
      <c r="O12654" t="s">
        <v>145</v>
      </c>
      <c r="U12654" s="17"/>
      <c r="V12654" s="18" t="s">
        <v>34443</v>
      </c>
      <c r="W12654" t="s">
        <v>34444</v>
      </c>
      <c r="Y12654" t="s">
        <v>34444</v>
      </c>
      <c r="AA12654" t="s">
        <v>115</v>
      </c>
      <c r="AB12654" t="s">
        <v>119</v>
      </c>
    </row>
    <row r="12655" ht="15" customHeight="1" spans="1:28" x14ac:dyDescent="0.25">
      <c r="A12655" s="17" t="s">
        <v>34445</v>
      </c>
      <c r="B12655" s="17" t="s">
        <v>70</v>
      </c>
      <c r="C12655" s="17" t="s">
        <v>71</v>
      </c>
      <c r="D12655" t="s">
        <v>34446</v>
      </c>
      <c r="F12655" t="s">
        <v>34447</v>
      </c>
      <c r="J12655" s="17" t="s">
        <v>34448</v>
      </c>
      <c r="K12655" s="18" t="s">
        <v>34449</v>
      </c>
      <c r="N12655" s="17" t="s">
        <v>77</v>
      </c>
      <c r="O12655" t="s">
        <v>145</v>
      </c>
      <c r="U12655" s="17"/>
      <c r="V12655" s="18" t="s">
        <v>34449</v>
      </c>
      <c r="W12655" t="s">
        <v>34450</v>
      </c>
      <c r="Y12655" t="s">
        <v>704</v>
      </c>
      <c r="AA12655" t="s">
        <v>705</v>
      </c>
      <c r="AB12655" t="s">
        <v>119</v>
      </c>
    </row>
    <row r="12656" ht="15" customHeight="1" spans="1:28" x14ac:dyDescent="0.25">
      <c r="A12656" s="17" t="s">
        <v>34451</v>
      </c>
      <c r="B12656" s="17" t="s">
        <v>70</v>
      </c>
      <c r="C12656" s="17" t="s">
        <v>71</v>
      </c>
      <c r="D12656" t="s">
        <v>34452</v>
      </c>
      <c r="F12656" t="s">
        <v>7029</v>
      </c>
      <c r="J12656" s="17" t="s">
        <v>34453</v>
      </c>
      <c r="K12656" s="18" t="s">
        <v>34454</v>
      </c>
      <c r="N12656" s="17" t="s">
        <v>77</v>
      </c>
      <c r="O12656" t="s">
        <v>145</v>
      </c>
      <c r="U12656" s="17"/>
      <c r="V12656" s="18" t="s">
        <v>34454</v>
      </c>
      <c r="W12656" t="s">
        <v>34455</v>
      </c>
      <c r="Y12656" s="17" t="s">
        <v>190</v>
      </c>
      <c r="AA12656" t="s">
        <v>118</v>
      </c>
      <c r="AB12656" t="s">
        <v>119</v>
      </c>
    </row>
    <row r="12657" ht="15" customHeight="1" spans="1:22" x14ac:dyDescent="0.25">
      <c r="A12657" s="17" t="s">
        <v>34456</v>
      </c>
      <c r="B12657" s="17" t="s">
        <v>70</v>
      </c>
      <c r="C12657" s="17" t="s">
        <v>71</v>
      </c>
      <c r="D12657" t="s">
        <v>34457</v>
      </c>
      <c r="F12657" t="s">
        <v>32266</v>
      </c>
      <c r="K12657" s="18">
        <f>62816988188</f>
        <v>62816988188</v>
      </c>
      <c r="N12657" s="17" t="s">
        <v>81</v>
      </c>
      <c r="V12657" s="18">
        <f>62816988188</f>
        <v>62816988188</v>
      </c>
    </row>
    <row r="12658" ht="15" customHeight="1" spans="1:22" x14ac:dyDescent="0.25">
      <c r="A12658" s="17" t="s">
        <v>34458</v>
      </c>
      <c r="B12658" s="17" t="s">
        <v>70</v>
      </c>
      <c r="C12658" s="17" t="s">
        <v>71</v>
      </c>
      <c r="D12658" t="s">
        <v>34459</v>
      </c>
      <c r="F12658" t="s">
        <v>34459</v>
      </c>
      <c r="K12658" s="18">
        <f>6285217204733</f>
        <v>6285217204733</v>
      </c>
      <c r="N12658" s="17" t="s">
        <v>81</v>
      </c>
      <c r="V12658" s="18">
        <f>6285217204733</f>
        <v>6285217204733</v>
      </c>
    </row>
    <row r="12659" ht="15" customHeight="1" spans="1:22" x14ac:dyDescent="0.25">
      <c r="A12659" s="17" t="s">
        <v>34460</v>
      </c>
      <c r="B12659" s="17" t="s">
        <v>70</v>
      </c>
      <c r="C12659" s="17" t="s">
        <v>71</v>
      </c>
      <c r="D12659" t="s">
        <v>7662</v>
      </c>
      <c r="F12659" t="s">
        <v>7661</v>
      </c>
      <c r="K12659" s="18">
        <f>62821107002822</f>
        <v>62821107002822</v>
      </c>
      <c r="N12659" s="17" t="s">
        <v>77</v>
      </c>
      <c r="V12659" s="18">
        <f>62821107002822</f>
        <v>62821107002822</v>
      </c>
    </row>
    <row r="12660" ht="15" customHeight="1" spans="1:22" x14ac:dyDescent="0.25">
      <c r="A12660" s="17" t="s">
        <v>34461</v>
      </c>
      <c r="B12660" s="17" t="s">
        <v>70</v>
      </c>
      <c r="C12660" s="17" t="s">
        <v>71</v>
      </c>
      <c r="D12660" t="s">
        <v>7662</v>
      </c>
      <c r="F12660" t="s">
        <v>4985</v>
      </c>
      <c r="K12660" s="18">
        <f>62816950258</f>
        <v>62816950258</v>
      </c>
      <c r="N12660" s="17" t="s">
        <v>81</v>
      </c>
      <c r="V12660" s="18">
        <f>62816950258</f>
        <v>62816950258</v>
      </c>
    </row>
    <row r="12661" ht="15" customHeight="1" spans="1:23" x14ac:dyDescent="0.25">
      <c r="A12661" s="17" t="s">
        <v>34462</v>
      </c>
      <c r="B12661" s="17" t="s">
        <v>70</v>
      </c>
      <c r="C12661" s="17" t="s">
        <v>71</v>
      </c>
      <c r="D12661" t="s">
        <v>34463</v>
      </c>
      <c r="F12661" t="s">
        <v>433</v>
      </c>
      <c r="K12661" s="18">
        <f>62811854558</f>
        <v>62811854558</v>
      </c>
      <c r="N12661" s="17" t="s">
        <v>77</v>
      </c>
      <c r="U12661" s="17"/>
      <c r="V12661" s="18">
        <f>62811854558</f>
        <v>62811854558</v>
      </c>
      <c r="W12661" t="s">
        <v>34464</v>
      </c>
    </row>
    <row r="12662" ht="15" customHeight="1" spans="1:25" x14ac:dyDescent="0.25">
      <c r="A12662" s="17" t="s">
        <v>34465</v>
      </c>
      <c r="B12662" s="17" t="s">
        <v>70</v>
      </c>
      <c r="C12662" s="17" t="s">
        <v>71</v>
      </c>
      <c r="D12662" t="s">
        <v>34463</v>
      </c>
      <c r="F12662" t="s">
        <v>34466</v>
      </c>
      <c r="J12662" s="17" t="s">
        <v>34467</v>
      </c>
      <c r="K12662" s="18">
        <f>628111461878</f>
        <v>628111461878</v>
      </c>
      <c r="N12662" s="17" t="s">
        <v>77</v>
      </c>
      <c r="U12662" s="17"/>
      <c r="V12662" s="18">
        <f>628111461878</f>
        <v>628111461878</v>
      </c>
      <c r="W12662" t="s">
        <v>34468</v>
      </c>
      <c r="Y12662" s="17" t="s">
        <v>34469</v>
      </c>
    </row>
    <row r="12663" ht="15" customHeight="1" spans="1:22" x14ac:dyDescent="0.25">
      <c r="A12663" s="17" t="s">
        <v>34470</v>
      </c>
      <c r="B12663" s="17" t="s">
        <v>70</v>
      </c>
      <c r="C12663" s="17" t="s">
        <v>71</v>
      </c>
      <c r="D12663" t="s">
        <v>34471</v>
      </c>
      <c r="F12663" t="s">
        <v>2987</v>
      </c>
      <c r="K12663" s="18">
        <v>816707479</v>
      </c>
      <c r="N12663" s="17" t="s">
        <v>81</v>
      </c>
      <c r="V12663" s="18">
        <v>816707479</v>
      </c>
    </row>
    <row r="12664" ht="15" customHeight="1" spans="1:22" x14ac:dyDescent="0.25">
      <c r="A12664" s="17" t="s">
        <v>34472</v>
      </c>
      <c r="B12664" s="17" t="s">
        <v>70</v>
      </c>
      <c r="C12664" s="17" t="s">
        <v>71</v>
      </c>
      <c r="D12664" t="s">
        <v>34473</v>
      </c>
      <c r="F12664" t="s">
        <v>2159</v>
      </c>
      <c r="K12664" s="18">
        <f>628127072828</f>
        <v>628127072828</v>
      </c>
      <c r="N12664" s="17" t="s">
        <v>77</v>
      </c>
      <c r="V12664" s="18">
        <f>628127072828</f>
        <v>628127072828</v>
      </c>
    </row>
    <row r="12665" ht="15" customHeight="1" spans="1:23" x14ac:dyDescent="0.25">
      <c r="A12665" s="17" t="s">
        <v>34474</v>
      </c>
      <c r="B12665" s="17" t="s">
        <v>70</v>
      </c>
      <c r="C12665" s="17" t="s">
        <v>71</v>
      </c>
      <c r="D12665" t="s">
        <v>34475</v>
      </c>
      <c r="F12665" t="s">
        <v>34475</v>
      </c>
      <c r="K12665" s="18">
        <f>6281998888282</f>
        <v>6281998888282</v>
      </c>
      <c r="N12665" s="17" t="s">
        <v>81</v>
      </c>
      <c r="U12665" s="17"/>
      <c r="V12665" s="18">
        <f>6281998888282</f>
        <v>6281998888282</v>
      </c>
      <c r="W12665" t="s">
        <v>34476</v>
      </c>
    </row>
    <row r="12666" ht="15" customHeight="1" spans="1:28" x14ac:dyDescent="0.25">
      <c r="A12666" s="17" t="s">
        <v>34477</v>
      </c>
      <c r="B12666" s="17" t="s">
        <v>70</v>
      </c>
      <c r="C12666" s="17" t="s">
        <v>71</v>
      </c>
      <c r="D12666" t="s">
        <v>31228</v>
      </c>
      <c r="F12666" t="s">
        <v>34478</v>
      </c>
      <c r="J12666" t="s">
        <v>115</v>
      </c>
      <c r="K12666" s="18" t="s">
        <v>34479</v>
      </c>
      <c r="N12666" s="17" t="s">
        <v>77</v>
      </c>
      <c r="O12666" t="s">
        <v>489</v>
      </c>
      <c r="V12666" s="18" t="s">
        <v>34479</v>
      </c>
      <c r="Y12666" t="s">
        <v>181</v>
      </c>
      <c r="AA12666" t="s">
        <v>1672</v>
      </c>
      <c r="AB12666" t="s">
        <v>2605</v>
      </c>
    </row>
    <row r="12667" ht="15" customHeight="1" spans="1:23" x14ac:dyDescent="0.25">
      <c r="A12667" s="17" t="s">
        <v>34480</v>
      </c>
      <c r="B12667" s="17" t="s">
        <v>70</v>
      </c>
      <c r="C12667" s="17" t="s">
        <v>71</v>
      </c>
      <c r="D12667" t="s">
        <v>31228</v>
      </c>
      <c r="F12667" t="s">
        <v>26014</v>
      </c>
      <c r="K12667" s="18">
        <f>79850001234</f>
        <v>79850001234</v>
      </c>
      <c r="N12667" s="17" t="s">
        <v>77</v>
      </c>
      <c r="U12667" s="17"/>
      <c r="V12667" s="18">
        <f>79850001234</f>
        <v>79850001234</v>
      </c>
      <c r="W12667" t="s">
        <v>181</v>
      </c>
    </row>
    <row r="12668" ht="15" customHeight="1" spans="1:28" x14ac:dyDescent="0.25">
      <c r="A12668" s="17" t="s">
        <v>34481</v>
      </c>
      <c r="B12668" s="17" t="s">
        <v>70</v>
      </c>
      <c r="C12668" s="17" t="s">
        <v>71</v>
      </c>
      <c r="D12668" t="s">
        <v>31228</v>
      </c>
      <c r="F12668" t="s">
        <v>34482</v>
      </c>
      <c r="J12668" t="s">
        <v>115</v>
      </c>
      <c r="K12668" s="18" t="s">
        <v>34483</v>
      </c>
      <c r="N12668" s="17" t="s">
        <v>77</v>
      </c>
      <c r="O12668" t="s">
        <v>261</v>
      </c>
      <c r="U12668" s="17"/>
      <c r="V12668" s="18" t="s">
        <v>34483</v>
      </c>
      <c r="W12668" t="s">
        <v>1908</v>
      </c>
      <c r="Y12668" t="s">
        <v>1909</v>
      </c>
      <c r="AA12668" t="s">
        <v>115</v>
      </c>
      <c r="AB12668" t="s">
        <v>1909</v>
      </c>
    </row>
    <row r="12669" ht="15" customHeight="1" spans="1:25" x14ac:dyDescent="0.25">
      <c r="A12669" s="17" t="s">
        <v>34484</v>
      </c>
      <c r="B12669" s="17" t="s">
        <v>70</v>
      </c>
      <c r="C12669" s="17" t="s">
        <v>71</v>
      </c>
      <c r="D12669" t="s">
        <v>31228</v>
      </c>
      <c r="F12669" t="s">
        <v>34485</v>
      </c>
      <c r="J12669" s="17" t="s">
        <v>34486</v>
      </c>
      <c r="K12669" s="18">
        <f>79264518335</f>
        <v>79264518335</v>
      </c>
      <c r="N12669" s="17" t="s">
        <v>77</v>
      </c>
      <c r="V12669" s="18">
        <f>79264518335</f>
        <v>79264518335</v>
      </c>
      <c r="Y12669" s="17" t="s">
        <v>1908</v>
      </c>
    </row>
    <row r="12670" ht="15" customHeight="1" spans="1:22" x14ac:dyDescent="0.25">
      <c r="A12670" s="17" t="s">
        <v>34487</v>
      </c>
      <c r="B12670" s="17" t="s">
        <v>70</v>
      </c>
      <c r="C12670" s="17" t="s">
        <v>71</v>
      </c>
      <c r="D12670" t="s">
        <v>34488</v>
      </c>
      <c r="F12670" t="s">
        <v>34489</v>
      </c>
      <c r="K12670" s="18">
        <f>34626926364</f>
        <v>34626926364</v>
      </c>
      <c r="N12670" s="17" t="s">
        <v>77</v>
      </c>
      <c r="V12670" s="18">
        <f>34626926364</f>
        <v>34626926364</v>
      </c>
    </row>
    <row r="12671" ht="15" customHeight="1" spans="1:22" x14ac:dyDescent="0.25">
      <c r="A12671" s="17" t="s">
        <v>34490</v>
      </c>
      <c r="B12671" s="17" t="s">
        <v>70</v>
      </c>
      <c r="C12671" s="17" t="s">
        <v>71</v>
      </c>
      <c r="D12671" t="s">
        <v>34491</v>
      </c>
      <c r="F12671" t="s">
        <v>24146</v>
      </c>
      <c r="K12671" s="18">
        <f>62811141288</f>
        <v>62811141288</v>
      </c>
      <c r="N12671" s="17" t="s">
        <v>81</v>
      </c>
      <c r="V12671" s="18">
        <f>62811141288</f>
        <v>62811141288</v>
      </c>
    </row>
    <row r="12672" ht="15" customHeight="1" spans="1:22" x14ac:dyDescent="0.25">
      <c r="A12672" s="17" t="s">
        <v>34492</v>
      </c>
      <c r="B12672" s="17" t="s">
        <v>70</v>
      </c>
      <c r="C12672" s="17" t="s">
        <v>71</v>
      </c>
      <c r="D12672" t="s">
        <v>34493</v>
      </c>
      <c r="F12672" t="s">
        <v>16438</v>
      </c>
      <c r="K12672" s="18">
        <f>628129160191</f>
        <v>628129160191</v>
      </c>
      <c r="N12672" s="17" t="s">
        <v>77</v>
      </c>
      <c r="V12672" s="18">
        <f>628129160191</f>
        <v>628129160191</v>
      </c>
    </row>
    <row r="12673" ht="15" customHeight="1" spans="1:22" x14ac:dyDescent="0.25">
      <c r="A12673" s="17" t="s">
        <v>34494</v>
      </c>
      <c r="B12673" s="17" t="s">
        <v>70</v>
      </c>
      <c r="C12673" s="17" t="s">
        <v>71</v>
      </c>
      <c r="D12673" t="s">
        <v>34495</v>
      </c>
      <c r="F12673" t="s">
        <v>34495</v>
      </c>
      <c r="K12673" s="18">
        <f>628123456789</f>
        <v>628123456789</v>
      </c>
      <c r="N12673" s="17" t="s">
        <v>81</v>
      </c>
      <c r="V12673" s="18">
        <f>628123456789</f>
        <v>628123456789</v>
      </c>
    </row>
    <row r="12674" ht="15" customHeight="1" spans="1:25" x14ac:dyDescent="0.25">
      <c r="A12674" s="17" t="s">
        <v>34496</v>
      </c>
      <c r="B12674" s="17" t="s">
        <v>70</v>
      </c>
      <c r="C12674" s="17" t="s">
        <v>71</v>
      </c>
      <c r="D12674" t="s">
        <v>34495</v>
      </c>
      <c r="F12674" t="s">
        <v>34497</v>
      </c>
      <c r="K12674" s="18">
        <f>6281919901111</f>
        <v>6281919901111</v>
      </c>
      <c r="N12674" s="17" t="s">
        <v>77</v>
      </c>
      <c r="U12674" s="17"/>
      <c r="V12674" s="18">
        <f>6281919901111</f>
        <v>6281919901111</v>
      </c>
      <c r="W12674" t="s">
        <v>34498</v>
      </c>
      <c r="Y12674" s="17" t="s">
        <v>96</v>
      </c>
    </row>
    <row r="12675" ht="15" customHeight="1" spans="1:22" x14ac:dyDescent="0.25">
      <c r="A12675" s="17" t="s">
        <v>34499</v>
      </c>
      <c r="B12675" s="17" t="s">
        <v>70</v>
      </c>
      <c r="C12675" s="17" t="s">
        <v>71</v>
      </c>
      <c r="D12675" t="s">
        <v>34500</v>
      </c>
      <c r="F12675" t="s">
        <v>20427</v>
      </c>
      <c r="K12675" s="18">
        <f>628119931777</f>
        <v>628119931777</v>
      </c>
      <c r="N12675" s="17" t="s">
        <v>81</v>
      </c>
      <c r="V12675" s="18">
        <f>628119931777</f>
        <v>628119931777</v>
      </c>
    </row>
    <row r="12676" ht="15" customHeight="1" spans="1:28" x14ac:dyDescent="0.25">
      <c r="A12676" s="17" t="s">
        <v>34501</v>
      </c>
      <c r="B12676" s="17" t="s">
        <v>70</v>
      </c>
      <c r="C12676" s="17" t="s">
        <v>71</v>
      </c>
      <c r="D12676" t="s">
        <v>34502</v>
      </c>
      <c r="F12676" t="s">
        <v>34502</v>
      </c>
      <c r="J12676" t="s">
        <v>115</v>
      </c>
      <c r="K12676" s="18" t="s">
        <v>34503</v>
      </c>
      <c r="N12676" s="17" t="s">
        <v>81</v>
      </c>
      <c r="O12676" t="s">
        <v>489</v>
      </c>
      <c r="U12676" s="17"/>
      <c r="V12676" s="18" t="s">
        <v>34503</v>
      </c>
      <c r="W12676" t="s">
        <v>34504</v>
      </c>
      <c r="Y12676" t="s">
        <v>90</v>
      </c>
      <c r="AA12676" t="s">
        <v>118</v>
      </c>
      <c r="AB12676" t="s">
        <v>119</v>
      </c>
    </row>
    <row r="12677" ht="15" customHeight="1" spans="1:23" x14ac:dyDescent="0.25">
      <c r="A12677" s="17" t="s">
        <v>34505</v>
      </c>
      <c r="B12677" s="17" t="s">
        <v>70</v>
      </c>
      <c r="C12677" s="17" t="s">
        <v>71</v>
      </c>
      <c r="D12677" t="s">
        <v>32401</v>
      </c>
      <c r="F12677" t="s">
        <v>32401</v>
      </c>
      <c r="K12677" s="18">
        <f>628121044778</f>
        <v>628121044778</v>
      </c>
      <c r="N12677" s="17" t="s">
        <v>77</v>
      </c>
      <c r="U12677" s="17"/>
      <c r="V12677" s="18">
        <f>628121044778</f>
        <v>628121044778</v>
      </c>
      <c r="W12677" t="s">
        <v>34506</v>
      </c>
    </row>
    <row r="12678" ht="15" customHeight="1" spans="1:22" x14ac:dyDescent="0.25">
      <c r="A12678" s="17" t="s">
        <v>34507</v>
      </c>
      <c r="B12678" s="17" t="s">
        <v>70</v>
      </c>
      <c r="C12678" s="17" t="s">
        <v>71</v>
      </c>
      <c r="D12678" t="s">
        <v>34508</v>
      </c>
      <c r="F12678" t="s">
        <v>34509</v>
      </c>
      <c r="K12678" s="18">
        <f>6281513005915</f>
        <v>6281513005915</v>
      </c>
      <c r="N12678" s="17" t="s">
        <v>77</v>
      </c>
      <c r="V12678" s="18">
        <f>6281513005915</f>
        <v>6281513005915</v>
      </c>
    </row>
    <row r="12679" ht="15" customHeight="1" spans="1:22" x14ac:dyDescent="0.25">
      <c r="A12679" s="17" t="s">
        <v>34510</v>
      </c>
      <c r="B12679" s="17" t="s">
        <v>70</v>
      </c>
      <c r="C12679" s="17" t="s">
        <v>71</v>
      </c>
      <c r="D12679" t="s">
        <v>34508</v>
      </c>
      <c r="F12679" t="s">
        <v>34511</v>
      </c>
      <c r="K12679" s="18">
        <f>62818489735</f>
        <v>62818489735</v>
      </c>
      <c r="N12679" s="17" t="s">
        <v>77</v>
      </c>
      <c r="V12679" s="18">
        <f>62818489735</f>
        <v>62818489735</v>
      </c>
    </row>
    <row r="12680" ht="15" customHeight="1" spans="1:22" x14ac:dyDescent="0.25">
      <c r="A12680" s="17" t="s">
        <v>34512</v>
      </c>
      <c r="B12680" s="17" t="s">
        <v>70</v>
      </c>
      <c r="C12680" s="17" t="s">
        <v>71</v>
      </c>
      <c r="D12680" t="s">
        <v>34508</v>
      </c>
      <c r="F12680" t="s">
        <v>9028</v>
      </c>
      <c r="K12680" s="18">
        <f>62816801373</f>
        <v>62816801373</v>
      </c>
      <c r="N12680" s="17" t="s">
        <v>77</v>
      </c>
      <c r="V12680" s="18">
        <f>62816801373</f>
        <v>62816801373</v>
      </c>
    </row>
    <row r="12681" ht="15" customHeight="1" spans="1:22" x14ac:dyDescent="0.25">
      <c r="A12681" s="17" t="s">
        <v>34513</v>
      </c>
      <c r="B12681" s="17" t="s">
        <v>70</v>
      </c>
      <c r="C12681" s="17" t="s">
        <v>71</v>
      </c>
      <c r="D12681" t="s">
        <v>34514</v>
      </c>
      <c r="F12681" t="s">
        <v>34514</v>
      </c>
      <c r="K12681" s="18">
        <f>62811848150</f>
        <v>62811848150</v>
      </c>
      <c r="N12681" s="17" t="s">
        <v>81</v>
      </c>
      <c r="V12681" s="18">
        <f>62811848150</f>
        <v>62811848150</v>
      </c>
    </row>
    <row r="12682" ht="15" customHeight="1" spans="1:22" x14ac:dyDescent="0.25">
      <c r="A12682" s="17" t="s">
        <v>34515</v>
      </c>
      <c r="B12682" s="17" t="s">
        <v>70</v>
      </c>
      <c r="C12682" s="17" t="s">
        <v>71</v>
      </c>
      <c r="D12682" t="s">
        <v>34514</v>
      </c>
      <c r="F12682" t="s">
        <v>8877</v>
      </c>
      <c r="K12682" s="18">
        <f>6281383686868</f>
        <v>6281383686868</v>
      </c>
      <c r="N12682" s="17" t="s">
        <v>77</v>
      </c>
      <c r="V12682" s="18">
        <f>6281383686868</f>
        <v>6281383686868</v>
      </c>
    </row>
    <row r="12683" ht="15" customHeight="1" spans="1:22" x14ac:dyDescent="0.25">
      <c r="A12683" s="17" t="s">
        <v>34516</v>
      </c>
      <c r="B12683" s="17" t="s">
        <v>70</v>
      </c>
      <c r="C12683" s="17" t="s">
        <v>71</v>
      </c>
      <c r="D12683" t="s">
        <v>34517</v>
      </c>
      <c r="F12683" t="s">
        <v>34517</v>
      </c>
      <c r="K12683" s="18">
        <f>6282299647403</f>
        <v>6282299647403</v>
      </c>
      <c r="N12683" s="17" t="s">
        <v>77</v>
      </c>
      <c r="V12683" s="18">
        <f>6282299647403</f>
        <v>6282299647403</v>
      </c>
    </row>
    <row r="12684" ht="15" customHeight="1" spans="1:22" x14ac:dyDescent="0.25">
      <c r="A12684" s="17" t="s">
        <v>34518</v>
      </c>
      <c r="B12684" s="17" t="s">
        <v>70</v>
      </c>
      <c r="C12684" s="17" t="s">
        <v>71</v>
      </c>
      <c r="D12684" t="s">
        <v>34517</v>
      </c>
      <c r="F12684" t="s">
        <v>34517</v>
      </c>
      <c r="K12684" s="18">
        <f>628157005869</f>
        <v>628157005869</v>
      </c>
      <c r="N12684" s="17" t="s">
        <v>77</v>
      </c>
      <c r="V12684" s="18">
        <f>628157005869</f>
        <v>628157005869</v>
      </c>
    </row>
    <row r="12685" ht="15" customHeight="1" spans="1:22" x14ac:dyDescent="0.25">
      <c r="A12685" s="17" t="s">
        <v>34519</v>
      </c>
      <c r="B12685" s="17" t="s">
        <v>70</v>
      </c>
      <c r="C12685" s="17" t="s">
        <v>71</v>
      </c>
      <c r="D12685" t="s">
        <v>34517</v>
      </c>
      <c r="F12685" t="s">
        <v>34517</v>
      </c>
      <c r="K12685" s="18">
        <f>62818588885</f>
        <v>62818588885</v>
      </c>
      <c r="N12685" s="17" t="s">
        <v>77</v>
      </c>
      <c r="V12685" s="18">
        <f>62818588885</f>
        <v>62818588885</v>
      </c>
    </row>
    <row r="12686" ht="15" customHeight="1" spans="1:22" x14ac:dyDescent="0.25">
      <c r="A12686" s="17" t="s">
        <v>34520</v>
      </c>
      <c r="B12686" s="17" t="s">
        <v>70</v>
      </c>
      <c r="C12686" s="17" t="s">
        <v>71</v>
      </c>
      <c r="D12686" t="s">
        <v>34517</v>
      </c>
      <c r="F12686" t="s">
        <v>26204</v>
      </c>
      <c r="K12686" s="18">
        <f>6281905059299</f>
        <v>6281905059299</v>
      </c>
      <c r="N12686" s="17" t="s">
        <v>77</v>
      </c>
      <c r="V12686" s="18">
        <f>6281905059299</f>
        <v>6281905059299</v>
      </c>
    </row>
    <row r="12687" ht="15" customHeight="1" spans="1:22" x14ac:dyDescent="0.25">
      <c r="A12687" s="17" t="s">
        <v>34521</v>
      </c>
      <c r="B12687" s="17" t="s">
        <v>70</v>
      </c>
      <c r="C12687" s="17" t="s">
        <v>71</v>
      </c>
      <c r="D12687" t="s">
        <v>34517</v>
      </c>
      <c r="F12687" t="s">
        <v>34522</v>
      </c>
      <c r="K12687" s="18">
        <f>6287748274440</f>
        <v>6287748274440</v>
      </c>
      <c r="N12687" s="17" t="s">
        <v>77</v>
      </c>
      <c r="V12687" s="18">
        <f>6287748274440</f>
        <v>6287748274440</v>
      </c>
    </row>
    <row r="12688" ht="15" customHeight="1" spans="1:22" x14ac:dyDescent="0.25">
      <c r="A12688" s="17" t="s">
        <v>34523</v>
      </c>
      <c r="B12688" s="17" t="s">
        <v>70</v>
      </c>
      <c r="C12688" s="17" t="s">
        <v>71</v>
      </c>
      <c r="D12688" t="s">
        <v>34517</v>
      </c>
      <c r="F12688" t="s">
        <v>34524</v>
      </c>
      <c r="K12688" s="18">
        <f>6281281285454</f>
        <v>6281281285454</v>
      </c>
      <c r="N12688" s="17" t="s">
        <v>81</v>
      </c>
      <c r="V12688" s="18">
        <f>6281281285454</f>
        <v>6281281285454</v>
      </c>
    </row>
    <row r="12689" ht="15" customHeight="1" spans="1:22" x14ac:dyDescent="0.25">
      <c r="A12689" s="17" t="s">
        <v>34525</v>
      </c>
      <c r="B12689" s="17" t="s">
        <v>70</v>
      </c>
      <c r="C12689" s="17" t="s">
        <v>71</v>
      </c>
      <c r="D12689" t="s">
        <v>34517</v>
      </c>
      <c r="F12689" t="s">
        <v>34526</v>
      </c>
      <c r="K12689" s="18">
        <f>6281280133388</f>
        <v>6281280133388</v>
      </c>
      <c r="N12689" s="17" t="s">
        <v>74</v>
      </c>
      <c r="V12689" s="18">
        <f>6281280133388</f>
        <v>6281280133388</v>
      </c>
    </row>
    <row r="12690" ht="15" customHeight="1" spans="1:22" x14ac:dyDescent="0.25">
      <c r="A12690" s="17" t="s">
        <v>34527</v>
      </c>
      <c r="B12690" s="17" t="s">
        <v>70</v>
      </c>
      <c r="C12690" s="17" t="s">
        <v>71</v>
      </c>
      <c r="D12690" t="s">
        <v>34517</v>
      </c>
      <c r="F12690" t="s">
        <v>7178</v>
      </c>
      <c r="K12690" s="18">
        <f>628180885852</f>
        <v>628180885852</v>
      </c>
      <c r="N12690" s="17" t="s">
        <v>77</v>
      </c>
      <c r="V12690" s="18">
        <f>628180885852</f>
        <v>628180885852</v>
      </c>
    </row>
    <row r="12691" ht="15" customHeight="1" spans="1:22" x14ac:dyDescent="0.25">
      <c r="A12691" s="17" t="s">
        <v>34528</v>
      </c>
      <c r="B12691" s="17" t="s">
        <v>70</v>
      </c>
      <c r="C12691" s="17" t="s">
        <v>71</v>
      </c>
      <c r="D12691" t="s">
        <v>34517</v>
      </c>
      <c r="F12691" t="s">
        <v>8492</v>
      </c>
      <c r="K12691" s="18">
        <f>62816962737</f>
        <v>62816962737</v>
      </c>
      <c r="N12691" s="17" t="s">
        <v>77</v>
      </c>
      <c r="V12691" s="18">
        <f>62816962737</f>
        <v>62816962737</v>
      </c>
    </row>
    <row r="12692" ht="15" customHeight="1" spans="1:22" x14ac:dyDescent="0.25">
      <c r="A12692" s="17" t="s">
        <v>34529</v>
      </c>
      <c r="B12692" s="17" t="s">
        <v>70</v>
      </c>
      <c r="C12692" s="17" t="s">
        <v>71</v>
      </c>
      <c r="D12692" t="s">
        <v>34517</v>
      </c>
      <c r="F12692" t="s">
        <v>34530</v>
      </c>
      <c r="J12692" s="17" t="s">
        <v>34531</v>
      </c>
      <c r="K12692" s="18">
        <f>62808281186</f>
        <v>62808281186</v>
      </c>
      <c r="N12692" s="17" t="s">
        <v>77</v>
      </c>
      <c r="V12692" s="18">
        <f>62808281186</f>
        <v>62808281186</v>
      </c>
    </row>
    <row r="12693" ht="15" customHeight="1" spans="1:28" x14ac:dyDescent="0.25">
      <c r="A12693" s="17" t="s">
        <v>34532</v>
      </c>
      <c r="B12693" s="17" t="s">
        <v>70</v>
      </c>
      <c r="C12693" s="17" t="s">
        <v>71</v>
      </c>
      <c r="D12693" t="s">
        <v>34517</v>
      </c>
      <c r="F12693" t="s">
        <v>34533</v>
      </c>
      <c r="J12693" s="17" t="s">
        <v>34534</v>
      </c>
      <c r="K12693" s="18" t="s">
        <v>34535</v>
      </c>
      <c r="N12693" s="17" t="s">
        <v>77</v>
      </c>
      <c r="O12693" t="s">
        <v>145</v>
      </c>
      <c r="U12693" s="17"/>
      <c r="V12693" s="18" t="s">
        <v>34535</v>
      </c>
      <c r="W12693" t="s">
        <v>34536</v>
      </c>
      <c r="Y12693" t="s">
        <v>190</v>
      </c>
      <c r="AA12693" t="s">
        <v>118</v>
      </c>
      <c r="AB12693" t="s">
        <v>119</v>
      </c>
    </row>
    <row r="12694" ht="15" customHeight="1" spans="1:22" x14ac:dyDescent="0.25">
      <c r="A12694" s="17" t="s">
        <v>34537</v>
      </c>
      <c r="B12694" s="17" t="s">
        <v>70</v>
      </c>
      <c r="C12694" s="17" t="s">
        <v>71</v>
      </c>
      <c r="D12694" t="s">
        <v>34538</v>
      </c>
      <c r="F12694" t="s">
        <v>2527</v>
      </c>
      <c r="K12694" s="18">
        <f>6281268933744</f>
        <v>6281268933744</v>
      </c>
      <c r="N12694" s="17" t="s">
        <v>81</v>
      </c>
      <c r="V12694" s="18">
        <f>6281268933744</f>
        <v>6281268933744</v>
      </c>
    </row>
    <row r="12695" ht="15" customHeight="1" spans="1:28" x14ac:dyDescent="0.25">
      <c r="A12695" s="17" t="s">
        <v>34539</v>
      </c>
      <c r="B12695" s="17" t="s">
        <v>70</v>
      </c>
      <c r="C12695" s="17" t="s">
        <v>71</v>
      </c>
      <c r="D12695" t="s">
        <v>14827</v>
      </c>
      <c r="F12695" t="s">
        <v>24916</v>
      </c>
      <c r="J12695" s="17" t="s">
        <v>34540</v>
      </c>
      <c r="K12695" s="18" t="s">
        <v>34541</v>
      </c>
      <c r="N12695" s="17" t="s">
        <v>77</v>
      </c>
      <c r="O12695" t="s">
        <v>117</v>
      </c>
      <c r="U12695" s="17"/>
      <c r="V12695" s="18" t="s">
        <v>34541</v>
      </c>
      <c r="W12695" t="s">
        <v>3140</v>
      </c>
      <c r="Y12695" t="s">
        <v>115</v>
      </c>
      <c r="AA12695" t="s">
        <v>115</v>
      </c>
      <c r="AB12695" t="s">
        <v>3140</v>
      </c>
    </row>
    <row r="12696" ht="15" customHeight="1" spans="1:28" x14ac:dyDescent="0.25">
      <c r="A12696" s="17" t="s">
        <v>34542</v>
      </c>
      <c r="B12696" s="17" t="s">
        <v>70</v>
      </c>
      <c r="C12696" s="17" t="s">
        <v>71</v>
      </c>
      <c r="D12696" t="s">
        <v>34543</v>
      </c>
      <c r="F12696" t="s">
        <v>282</v>
      </c>
      <c r="J12696" t="s">
        <v>115</v>
      </c>
      <c r="K12696" s="18" t="s">
        <v>34544</v>
      </c>
      <c r="N12696" s="17" t="s">
        <v>77</v>
      </c>
      <c r="O12696" t="s">
        <v>145</v>
      </c>
      <c r="U12696" s="17"/>
      <c r="V12696" s="18" t="s">
        <v>34544</v>
      </c>
      <c r="W12696" t="s">
        <v>34545</v>
      </c>
      <c r="Y12696" t="s">
        <v>190</v>
      </c>
      <c r="AA12696" t="s">
        <v>118</v>
      </c>
      <c r="AB12696" t="s">
        <v>119</v>
      </c>
    </row>
    <row r="12697" ht="15" customHeight="1" spans="1:22" x14ac:dyDescent="0.25">
      <c r="A12697" s="17" t="s">
        <v>34546</v>
      </c>
      <c r="B12697" s="17" t="s">
        <v>70</v>
      </c>
      <c r="C12697" s="17" t="s">
        <v>71</v>
      </c>
      <c r="D12697" t="s">
        <v>34547</v>
      </c>
      <c r="F12697" t="s">
        <v>34548</v>
      </c>
      <c r="K12697" s="18">
        <f>628121814469</f>
        <v>628121814469</v>
      </c>
      <c r="N12697" s="17" t="s">
        <v>77</v>
      </c>
      <c r="V12697" s="18">
        <f>628121814469</f>
        <v>628121814469</v>
      </c>
    </row>
    <row r="12698" ht="15" customHeight="1" spans="1:22" x14ac:dyDescent="0.25">
      <c r="A12698" s="17" t="s">
        <v>34549</v>
      </c>
      <c r="B12698" s="17" t="s">
        <v>70</v>
      </c>
      <c r="C12698" s="17" t="s">
        <v>71</v>
      </c>
      <c r="D12698" t="s">
        <v>29723</v>
      </c>
      <c r="F12698" t="s">
        <v>29723</v>
      </c>
      <c r="K12698" s="18">
        <f>6281316001963</f>
        <v>6281316001963</v>
      </c>
      <c r="N12698" s="17" t="s">
        <v>81</v>
      </c>
      <c r="V12698" s="18">
        <f>6281316001963</f>
        <v>6281316001963</v>
      </c>
    </row>
    <row r="12699" ht="15" customHeight="1" spans="1:22" x14ac:dyDescent="0.25">
      <c r="A12699" s="17" t="s">
        <v>34550</v>
      </c>
      <c r="B12699" s="17" t="s">
        <v>70</v>
      </c>
      <c r="C12699" s="17" t="s">
        <v>71</v>
      </c>
      <c r="D12699" t="s">
        <v>34551</v>
      </c>
      <c r="F12699" t="s">
        <v>34551</v>
      </c>
      <c r="K12699" s="18">
        <f>62819707328</f>
        <v>62819707328</v>
      </c>
      <c r="N12699" s="17" t="s">
        <v>81</v>
      </c>
      <c r="V12699" s="18">
        <f>62819707328</f>
        <v>62819707328</v>
      </c>
    </row>
    <row r="12700" ht="15" customHeight="1" spans="1:22" x14ac:dyDescent="0.25">
      <c r="A12700" s="17" t="s">
        <v>34552</v>
      </c>
      <c r="B12700" s="17" t="s">
        <v>70</v>
      </c>
      <c r="C12700" s="17" t="s">
        <v>71</v>
      </c>
      <c r="D12700" t="s">
        <v>13021</v>
      </c>
      <c r="F12700" t="s">
        <v>13021</v>
      </c>
      <c r="K12700" s="18">
        <f>6281394754454</f>
        <v>6281394754454</v>
      </c>
      <c r="N12700" s="17" t="s">
        <v>74</v>
      </c>
      <c r="V12700" s="18">
        <f>6281394754454</f>
        <v>6281394754454</v>
      </c>
    </row>
    <row r="12701" ht="15" customHeight="1" spans="1:22" x14ac:dyDescent="0.25">
      <c r="A12701" s="17" t="s">
        <v>34553</v>
      </c>
      <c r="B12701" s="17" t="s">
        <v>70</v>
      </c>
      <c r="C12701" s="17" t="s">
        <v>71</v>
      </c>
      <c r="D12701" t="s">
        <v>13021</v>
      </c>
      <c r="F12701" t="s">
        <v>34554</v>
      </c>
      <c r="K12701" s="18">
        <f>6281574127777</f>
        <v>6281574127777</v>
      </c>
      <c r="N12701" s="17" t="s">
        <v>81</v>
      </c>
      <c r="V12701" s="18">
        <f>6281574127777</f>
        <v>6281574127777</v>
      </c>
    </row>
    <row r="12702" ht="15" customHeight="1" spans="1:25" x14ac:dyDescent="0.25">
      <c r="A12702" s="17" t="s">
        <v>34555</v>
      </c>
      <c r="B12702" s="17" t="s">
        <v>70</v>
      </c>
      <c r="C12702" s="17" t="s">
        <v>71</v>
      </c>
      <c r="D12702" t="s">
        <v>13021</v>
      </c>
      <c r="F12702" t="s">
        <v>548</v>
      </c>
      <c r="K12702" s="18">
        <f>628122388878</f>
        <v>628122388878</v>
      </c>
      <c r="N12702" s="17" t="s">
        <v>74</v>
      </c>
      <c r="U12702" s="17"/>
      <c r="V12702" s="18">
        <f>628122388878</f>
        <v>628122388878</v>
      </c>
      <c r="W12702" t="s">
        <v>34556</v>
      </c>
      <c r="Y12702" s="17" t="s">
        <v>500</v>
      </c>
    </row>
    <row r="12703" ht="15" customHeight="1" spans="1:27" x14ac:dyDescent="0.25">
      <c r="A12703" s="17" t="s">
        <v>34557</v>
      </c>
      <c r="B12703" s="17" t="s">
        <v>70</v>
      </c>
      <c r="C12703" s="17" t="s">
        <v>71</v>
      </c>
      <c r="D12703" t="s">
        <v>13021</v>
      </c>
      <c r="F12703" t="s">
        <v>19819</v>
      </c>
      <c r="J12703" s="17" t="s">
        <v>34558</v>
      </c>
      <c r="K12703" s="18">
        <f>62816819194</f>
        <v>62816819194</v>
      </c>
      <c r="N12703" s="17" t="s">
        <v>77</v>
      </c>
      <c r="U12703" s="17"/>
      <c r="V12703" s="18">
        <f>62816819194</f>
        <v>62816819194</v>
      </c>
      <c r="W12703" t="s">
        <v>34559</v>
      </c>
      <c r="AA12703" s="17">
        <v>12810</v>
      </c>
    </row>
    <row r="12704" ht="15" customHeight="1" spans="1:23" x14ac:dyDescent="0.25">
      <c r="A12704" s="17" t="s">
        <v>34560</v>
      </c>
      <c r="B12704" s="17" t="s">
        <v>70</v>
      </c>
      <c r="C12704" s="17" t="s">
        <v>71</v>
      </c>
      <c r="D12704" t="s">
        <v>13021</v>
      </c>
      <c r="F12704" t="s">
        <v>34561</v>
      </c>
      <c r="K12704" s="18">
        <f>62218313135</f>
        <v>62218313135</v>
      </c>
      <c r="N12704" s="17" t="s">
        <v>77</v>
      </c>
      <c r="U12704" s="17"/>
      <c r="V12704" s="18">
        <f>62218313135</f>
        <v>62218313135</v>
      </c>
      <c r="W12704" t="s">
        <v>34562</v>
      </c>
    </row>
    <row r="12705" ht="15" customHeight="1" spans="1:22" x14ac:dyDescent="0.25">
      <c r="A12705" s="17" t="s">
        <v>34563</v>
      </c>
      <c r="B12705" s="17" t="s">
        <v>70</v>
      </c>
      <c r="C12705" s="17" t="s">
        <v>71</v>
      </c>
      <c r="D12705" t="s">
        <v>13021</v>
      </c>
      <c r="F12705" t="s">
        <v>3645</v>
      </c>
      <c r="K12705" s="18">
        <f>62821117222200</f>
        <v>62821117222200</v>
      </c>
      <c r="N12705" s="17" t="s">
        <v>77</v>
      </c>
      <c r="V12705" s="18">
        <f>62821117222200</f>
        <v>62821117222200</v>
      </c>
    </row>
    <row r="12706" ht="15" customHeight="1" spans="1:23" x14ac:dyDescent="0.25">
      <c r="A12706" s="17" t="s">
        <v>34564</v>
      </c>
      <c r="B12706" s="17" t="s">
        <v>70</v>
      </c>
      <c r="C12706" s="17" t="s">
        <v>71</v>
      </c>
      <c r="D12706" t="s">
        <v>13021</v>
      </c>
      <c r="F12706" t="s">
        <v>879</v>
      </c>
      <c r="J12706" s="17" t="s">
        <v>34565</v>
      </c>
      <c r="K12706" s="18">
        <f>6281316381638</f>
        <v>6281316381638</v>
      </c>
      <c r="N12706" s="17" t="s">
        <v>77</v>
      </c>
      <c r="U12706" s="17"/>
      <c r="V12706" s="18">
        <f>6281316381638</f>
        <v>6281316381638</v>
      </c>
      <c r="W12706" t="s">
        <v>34566</v>
      </c>
    </row>
    <row r="12707" ht="15" customHeight="1" spans="1:23" x14ac:dyDescent="0.25">
      <c r="A12707" s="17" t="s">
        <v>34567</v>
      </c>
      <c r="B12707" s="17" t="s">
        <v>70</v>
      </c>
      <c r="C12707" s="17" t="s">
        <v>71</v>
      </c>
      <c r="D12707" t="s">
        <v>13021</v>
      </c>
      <c r="F12707" t="s">
        <v>669</v>
      </c>
      <c r="J12707" s="17" t="s">
        <v>34568</v>
      </c>
      <c r="K12707" s="18">
        <f>6281328685858</f>
        <v>6281328685858</v>
      </c>
      <c r="N12707" s="17" t="s">
        <v>77</v>
      </c>
      <c r="U12707" s="17"/>
      <c r="V12707" s="18">
        <f>6281328685858</f>
        <v>6281328685858</v>
      </c>
      <c r="W12707" t="s">
        <v>34569</v>
      </c>
    </row>
    <row r="12708" ht="15" customHeight="1" spans="1:28" x14ac:dyDescent="0.25">
      <c r="A12708" s="17" t="s">
        <v>34570</v>
      </c>
      <c r="B12708" s="17" t="s">
        <v>70</v>
      </c>
      <c r="C12708" s="17" t="s">
        <v>71</v>
      </c>
      <c r="D12708" t="s">
        <v>13021</v>
      </c>
      <c r="F12708" t="s">
        <v>8492</v>
      </c>
      <c r="J12708" s="17" t="s">
        <v>34571</v>
      </c>
      <c r="K12708" s="18" t="s">
        <v>34572</v>
      </c>
      <c r="N12708" s="17" t="s">
        <v>74</v>
      </c>
      <c r="O12708" t="s">
        <v>145</v>
      </c>
      <c r="V12708" s="18" t="s">
        <v>34572</v>
      </c>
      <c r="Y12708" t="s">
        <v>96</v>
      </c>
      <c r="AA12708" t="s">
        <v>693</v>
      </c>
      <c r="AB12708" t="s">
        <v>119</v>
      </c>
    </row>
    <row r="12709" ht="15" customHeight="1" spans="1:22" x14ac:dyDescent="0.25">
      <c r="A12709" s="17" t="s">
        <v>34573</v>
      </c>
      <c r="B12709" s="17" t="s">
        <v>70</v>
      </c>
      <c r="C12709" s="17" t="s">
        <v>71</v>
      </c>
      <c r="D12709" t="s">
        <v>13021</v>
      </c>
      <c r="F12709" t="s">
        <v>8778</v>
      </c>
      <c r="K12709" s="18">
        <f>628123996600</f>
        <v>628123996600</v>
      </c>
      <c r="N12709" s="17" t="s">
        <v>74</v>
      </c>
      <c r="V12709" s="18">
        <f>628123996600</f>
        <v>628123996600</v>
      </c>
    </row>
    <row r="12710" ht="15" customHeight="1" spans="1:25" x14ac:dyDescent="0.25">
      <c r="A12710" s="17" t="s">
        <v>34574</v>
      </c>
      <c r="B12710" s="17" t="s">
        <v>70</v>
      </c>
      <c r="C12710" s="17" t="s">
        <v>71</v>
      </c>
      <c r="D12710" t="s">
        <v>13021</v>
      </c>
      <c r="F12710" t="s">
        <v>20953</v>
      </c>
      <c r="K12710" s="18">
        <f>628119448484</f>
        <v>628119448484</v>
      </c>
      <c r="N12710" s="17" t="s">
        <v>77</v>
      </c>
      <c r="U12710" s="17"/>
      <c r="V12710" s="18">
        <f>628119448484</f>
        <v>628119448484</v>
      </c>
      <c r="W12710" t="s">
        <v>34575</v>
      </c>
      <c r="Y12710" s="17" t="s">
        <v>96</v>
      </c>
    </row>
    <row r="12711" ht="15" customHeight="1" spans="1:23" x14ac:dyDescent="0.25">
      <c r="A12711" s="17" t="s">
        <v>34576</v>
      </c>
      <c r="B12711" s="17" t="s">
        <v>70</v>
      </c>
      <c r="C12711" s="17" t="s">
        <v>71</v>
      </c>
      <c r="D12711" t="s">
        <v>13021</v>
      </c>
      <c r="F12711" t="s">
        <v>20953</v>
      </c>
      <c r="K12711" s="18">
        <f>628123038484</f>
        <v>628123038484</v>
      </c>
      <c r="N12711" s="17" t="s">
        <v>81</v>
      </c>
      <c r="U12711" s="17"/>
      <c r="V12711" s="18">
        <f>628123038484</f>
        <v>628123038484</v>
      </c>
      <c r="W12711" t="s">
        <v>34577</v>
      </c>
    </row>
    <row r="12712" ht="15" customHeight="1" spans="1:27" x14ac:dyDescent="0.25">
      <c r="A12712" s="17" t="s">
        <v>34578</v>
      </c>
      <c r="B12712" s="17" t="s">
        <v>70</v>
      </c>
      <c r="C12712" s="17" t="s">
        <v>71</v>
      </c>
      <c r="D12712" t="s">
        <v>13021</v>
      </c>
      <c r="F12712" t="s">
        <v>34579</v>
      </c>
      <c r="K12712" s="18">
        <f>62811437418</f>
        <v>62811437418</v>
      </c>
      <c r="N12712" s="17" t="s">
        <v>77</v>
      </c>
      <c r="U12712" s="17"/>
      <c r="V12712" s="18">
        <f>62811437418</f>
        <v>62811437418</v>
      </c>
      <c r="W12712" t="s">
        <v>34580</v>
      </c>
      <c r="Y12712" s="17" t="s">
        <v>1084</v>
      </c>
      <c r="AA12712" s="17" t="s">
        <v>34581</v>
      </c>
    </row>
    <row r="12713" ht="15" customHeight="1" spans="1:22" x14ac:dyDescent="0.25">
      <c r="A12713" s="17" t="s">
        <v>34582</v>
      </c>
      <c r="B12713" s="17" t="s">
        <v>70</v>
      </c>
      <c r="C12713" s="17" t="s">
        <v>71</v>
      </c>
      <c r="D12713" t="s">
        <v>13021</v>
      </c>
      <c r="F12713" t="s">
        <v>22323</v>
      </c>
      <c r="K12713" s="18">
        <f>628119934849</f>
        <v>628119934849</v>
      </c>
      <c r="N12713" s="17" t="s">
        <v>74</v>
      </c>
      <c r="V12713" s="18">
        <f>628119934849</f>
        <v>628119934849</v>
      </c>
    </row>
    <row r="12714" ht="15" customHeight="1" spans="1:22" x14ac:dyDescent="0.25">
      <c r="A12714" s="17" t="s">
        <v>34583</v>
      </c>
      <c r="B12714" s="17" t="s">
        <v>70</v>
      </c>
      <c r="C12714" s="17" t="s">
        <v>71</v>
      </c>
      <c r="D12714" t="s">
        <v>34584</v>
      </c>
      <c r="F12714" t="s">
        <v>34584</v>
      </c>
      <c r="K12714" s="18">
        <f>6281228635858</f>
        <v>6281228635858</v>
      </c>
      <c r="N12714" s="17" t="s">
        <v>77</v>
      </c>
      <c r="V12714" s="18">
        <f>6281228635858</f>
        <v>6281228635858</v>
      </c>
    </row>
    <row r="12715" ht="15" customHeight="1" spans="1:22" x14ac:dyDescent="0.25">
      <c r="A12715" s="17" t="s">
        <v>34585</v>
      </c>
      <c r="B12715" s="17" t="s">
        <v>70</v>
      </c>
      <c r="C12715" s="17" t="s">
        <v>71</v>
      </c>
      <c r="D12715" t="s">
        <v>34586</v>
      </c>
      <c r="F12715" t="s">
        <v>6235</v>
      </c>
      <c r="K12715" s="18">
        <f>628122874688</f>
        <v>628122874688</v>
      </c>
      <c r="N12715" s="17" t="s">
        <v>81</v>
      </c>
      <c r="V12715" s="18">
        <f>628122874688</f>
        <v>628122874688</v>
      </c>
    </row>
    <row r="12716" ht="15" customHeight="1" spans="1:25" x14ac:dyDescent="0.25">
      <c r="A12716" s="17" t="s">
        <v>34587</v>
      </c>
      <c r="B12716" s="17" t="s">
        <v>70</v>
      </c>
      <c r="C12716" s="17" t="s">
        <v>71</v>
      </c>
      <c r="D12716" t="s">
        <v>34586</v>
      </c>
      <c r="F12716" t="s">
        <v>10722</v>
      </c>
      <c r="J12716" s="17" t="s">
        <v>34588</v>
      </c>
      <c r="K12716" s="18">
        <f>62811872004</f>
        <v>62811872004</v>
      </c>
      <c r="N12716" s="17" t="s">
        <v>77</v>
      </c>
      <c r="U12716" s="17"/>
      <c r="V12716" s="18">
        <f>62811872004</f>
        <v>62811872004</v>
      </c>
      <c r="W12716" t="s">
        <v>34589</v>
      </c>
      <c r="Y12716" s="17" t="s">
        <v>704</v>
      </c>
    </row>
    <row r="12717" ht="15" customHeight="1" spans="1:28" x14ac:dyDescent="0.25">
      <c r="A12717" s="17" t="s">
        <v>34590</v>
      </c>
      <c r="B12717" s="17" t="s">
        <v>70</v>
      </c>
      <c r="C12717" s="17" t="s">
        <v>71</v>
      </c>
      <c r="D12717" t="s">
        <v>32682</v>
      </c>
      <c r="F12717" t="s">
        <v>1138</v>
      </c>
      <c r="J12717" s="17" t="s">
        <v>34591</v>
      </c>
      <c r="K12717" s="18" t="s">
        <v>34592</v>
      </c>
      <c r="N12717" s="17" t="s">
        <v>77</v>
      </c>
      <c r="O12717" t="s">
        <v>117</v>
      </c>
      <c r="V12717" s="18" t="s">
        <v>34592</v>
      </c>
      <c r="Y12717" t="s">
        <v>190</v>
      </c>
      <c r="AA12717" t="s">
        <v>118</v>
      </c>
      <c r="AB12717" t="s">
        <v>119</v>
      </c>
    </row>
    <row r="12718" ht="15" customHeight="1" spans="1:22" x14ac:dyDescent="0.25">
      <c r="A12718" s="17" t="s">
        <v>34593</v>
      </c>
      <c r="B12718" s="17" t="s">
        <v>70</v>
      </c>
      <c r="C12718" s="17" t="s">
        <v>71</v>
      </c>
      <c r="D12718" t="s">
        <v>34586</v>
      </c>
      <c r="F12718" t="s">
        <v>5304</v>
      </c>
      <c r="K12718" s="18">
        <f>6281353122999</f>
        <v>6281353122999</v>
      </c>
      <c r="N12718" s="17" t="s">
        <v>77</v>
      </c>
      <c r="V12718" s="18">
        <f>6281353122999</f>
        <v>6281353122999</v>
      </c>
    </row>
    <row r="12719" ht="15" customHeight="1" spans="1:22" x14ac:dyDescent="0.25">
      <c r="A12719" s="17" t="s">
        <v>34594</v>
      </c>
      <c r="B12719" s="17" t="s">
        <v>70</v>
      </c>
      <c r="C12719" s="17" t="s">
        <v>71</v>
      </c>
      <c r="D12719" t="s">
        <v>34595</v>
      </c>
      <c r="F12719" t="s">
        <v>34596</v>
      </c>
      <c r="K12719" s="18">
        <f>628121116655</f>
        <v>628121116655</v>
      </c>
      <c r="N12719" s="17" t="s">
        <v>77</v>
      </c>
      <c r="V12719" s="18">
        <f>628121116655</f>
        <v>628121116655</v>
      </c>
    </row>
    <row r="12720" ht="15" customHeight="1" spans="1:22" x14ac:dyDescent="0.25">
      <c r="A12720" s="17" t="s">
        <v>34597</v>
      </c>
      <c r="B12720" s="17" t="s">
        <v>70</v>
      </c>
      <c r="C12720" s="17" t="s">
        <v>71</v>
      </c>
      <c r="D12720" t="s">
        <v>34598</v>
      </c>
      <c r="F12720" t="s">
        <v>34599</v>
      </c>
      <c r="K12720" s="18">
        <f>62811161673</f>
        <v>62811161673</v>
      </c>
      <c r="N12720" s="17" t="s">
        <v>81</v>
      </c>
      <c r="V12720" s="18">
        <f>62811161673</f>
        <v>62811161673</v>
      </c>
    </row>
    <row r="12721" ht="15" customHeight="1" spans="1:23" x14ac:dyDescent="0.25">
      <c r="A12721" s="17" t="s">
        <v>34600</v>
      </c>
      <c r="B12721" s="17" t="s">
        <v>70</v>
      </c>
      <c r="C12721" s="17" t="s">
        <v>71</v>
      </c>
      <c r="D12721" t="s">
        <v>34601</v>
      </c>
      <c r="F12721" t="s">
        <v>34601</v>
      </c>
      <c r="K12721" s="18">
        <f>6281380728576</f>
        <v>6281380728576</v>
      </c>
      <c r="N12721" s="17" t="s">
        <v>77</v>
      </c>
      <c r="U12721" s="17"/>
      <c r="V12721" s="18">
        <f>6281380728576</f>
        <v>6281380728576</v>
      </c>
      <c r="W12721" t="s">
        <v>34602</v>
      </c>
    </row>
    <row r="12722" ht="15" customHeight="1" spans="1:28" x14ac:dyDescent="0.25">
      <c r="A12722" s="17" t="s">
        <v>34603</v>
      </c>
      <c r="B12722" s="17" t="s">
        <v>70</v>
      </c>
      <c r="C12722" s="17" t="s">
        <v>71</v>
      </c>
      <c r="D12722" t="s">
        <v>34604</v>
      </c>
      <c r="F12722" t="s">
        <v>212</v>
      </c>
      <c r="J12722" s="17" t="s">
        <v>34605</v>
      </c>
      <c r="K12722" s="18" t="s">
        <v>34606</v>
      </c>
      <c r="N12722" s="17" t="s">
        <v>77</v>
      </c>
      <c r="O12722" t="s">
        <v>1188</v>
      </c>
      <c r="U12722" s="17"/>
      <c r="V12722" s="18" t="s">
        <v>34606</v>
      </c>
      <c r="W12722" t="s">
        <v>34607</v>
      </c>
      <c r="Y12722" s="17" t="s">
        <v>190</v>
      </c>
      <c r="AA12722" t="s">
        <v>118</v>
      </c>
      <c r="AB12722" t="s">
        <v>119</v>
      </c>
    </row>
    <row r="12723" ht="15" customHeight="1" spans="1:22" x14ac:dyDescent="0.25">
      <c r="A12723" s="17" t="s">
        <v>34608</v>
      </c>
      <c r="B12723" s="17" t="s">
        <v>70</v>
      </c>
      <c r="C12723" s="17" t="s">
        <v>71</v>
      </c>
      <c r="D12723" t="s">
        <v>34609</v>
      </c>
      <c r="F12723" t="s">
        <v>34610</v>
      </c>
      <c r="K12723" s="18">
        <f>6281192959</f>
        <v>6281192959</v>
      </c>
      <c r="N12723" s="17" t="s">
        <v>81</v>
      </c>
      <c r="V12723" s="18">
        <f>6281192959</f>
        <v>6281192959</v>
      </c>
    </row>
    <row r="12724" ht="15" customHeight="1" spans="1:28" x14ac:dyDescent="0.25">
      <c r="A12724" s="17" t="s">
        <v>34611</v>
      </c>
      <c r="B12724" s="17" t="s">
        <v>70</v>
      </c>
      <c r="C12724" s="17" t="s">
        <v>71</v>
      </c>
      <c r="D12724" t="s">
        <v>34612</v>
      </c>
      <c r="F12724" t="s">
        <v>34613</v>
      </c>
      <c r="J12724" s="17" t="s">
        <v>34614</v>
      </c>
      <c r="K12724" s="18" t="s">
        <v>34615</v>
      </c>
      <c r="N12724" s="17" t="s">
        <v>77</v>
      </c>
      <c r="O12724" t="s">
        <v>145</v>
      </c>
      <c r="V12724" s="18" t="s">
        <v>34615</v>
      </c>
      <c r="Y12724" t="s">
        <v>90</v>
      </c>
      <c r="AA12724" t="s">
        <v>118</v>
      </c>
      <c r="AB12724" t="s">
        <v>119</v>
      </c>
    </row>
    <row r="12725" ht="15" customHeight="1" spans="1:28" x14ac:dyDescent="0.25">
      <c r="A12725" s="17" t="s">
        <v>34616</v>
      </c>
      <c r="B12725" s="17" t="s">
        <v>70</v>
      </c>
      <c r="C12725" s="17" t="s">
        <v>71</v>
      </c>
      <c r="D12725" t="s">
        <v>34617</v>
      </c>
      <c r="F12725" t="s">
        <v>34618</v>
      </c>
      <c r="J12725" t="s">
        <v>115</v>
      </c>
      <c r="K12725" s="18" t="s">
        <v>34619</v>
      </c>
      <c r="N12725" s="17" t="s">
        <v>77</v>
      </c>
      <c r="O12725" t="s">
        <v>117</v>
      </c>
      <c r="U12725" s="17"/>
      <c r="V12725" s="18" t="s">
        <v>34619</v>
      </c>
      <c r="W12725" t="s">
        <v>34620</v>
      </c>
      <c r="Y12725" t="s">
        <v>1091</v>
      </c>
      <c r="AA12725" t="s">
        <v>115</v>
      </c>
      <c r="AB12725" t="s">
        <v>119</v>
      </c>
    </row>
    <row r="12726" ht="15" customHeight="1" spans="1:22" x14ac:dyDescent="0.25">
      <c r="A12726" s="17" t="s">
        <v>34621</v>
      </c>
      <c r="B12726" s="17" t="s">
        <v>70</v>
      </c>
      <c r="C12726" s="17" t="s">
        <v>71</v>
      </c>
      <c r="D12726" t="s">
        <v>3224</v>
      </c>
      <c r="F12726" t="s">
        <v>3224</v>
      </c>
      <c r="K12726" s="18">
        <f>62811364444</f>
        <v>62811364444</v>
      </c>
      <c r="N12726" s="17" t="s">
        <v>81</v>
      </c>
      <c r="V12726" s="18">
        <f>62811364444</f>
        <v>62811364444</v>
      </c>
    </row>
    <row r="12727" ht="15" customHeight="1" spans="1:28" x14ac:dyDescent="0.25">
      <c r="A12727" s="17" t="s">
        <v>34622</v>
      </c>
      <c r="B12727" s="17" t="s">
        <v>70</v>
      </c>
      <c r="C12727" s="17" t="s">
        <v>71</v>
      </c>
      <c r="D12727" t="s">
        <v>27987</v>
      </c>
      <c r="F12727" t="s">
        <v>17049</v>
      </c>
      <c r="J12727" t="s">
        <v>115</v>
      </c>
      <c r="K12727" s="18" t="s">
        <v>34623</v>
      </c>
      <c r="N12727" s="17" t="s">
        <v>77</v>
      </c>
      <c r="O12727" t="s">
        <v>117</v>
      </c>
      <c r="V12727" s="18" t="s">
        <v>34623</v>
      </c>
      <c r="Y12727" t="s">
        <v>90</v>
      </c>
      <c r="AA12727" t="s">
        <v>118</v>
      </c>
      <c r="AB12727" t="s">
        <v>119</v>
      </c>
    </row>
    <row r="12728" ht="15" customHeight="1" spans="1:22" x14ac:dyDescent="0.25">
      <c r="A12728" s="17" t="s">
        <v>34624</v>
      </c>
      <c r="B12728" s="17" t="s">
        <v>70</v>
      </c>
      <c r="C12728" s="17" t="s">
        <v>71</v>
      </c>
      <c r="D12728" t="s">
        <v>3224</v>
      </c>
      <c r="F12728" t="s">
        <v>31897</v>
      </c>
      <c r="K12728" s="18">
        <f>62816841112</f>
        <v>62816841112</v>
      </c>
      <c r="N12728" s="17" t="s">
        <v>77</v>
      </c>
      <c r="V12728" s="18">
        <f>62816841112</f>
        <v>62816841112</v>
      </c>
    </row>
    <row r="12729" ht="15" customHeight="1" spans="1:22" x14ac:dyDescent="0.25">
      <c r="A12729" s="17" t="s">
        <v>34625</v>
      </c>
      <c r="B12729" s="17" t="s">
        <v>70</v>
      </c>
      <c r="C12729" s="17" t="s">
        <v>71</v>
      </c>
      <c r="D12729" t="s">
        <v>3224</v>
      </c>
      <c r="F12729" t="s">
        <v>34626</v>
      </c>
      <c r="K12729" s="18">
        <f>6281535263020</f>
        <v>6281535263020</v>
      </c>
      <c r="N12729" s="17" t="s">
        <v>77</v>
      </c>
      <c r="V12729" s="18">
        <f>6281535263020</f>
        <v>6281535263020</v>
      </c>
    </row>
    <row r="12730" ht="15" customHeight="1" spans="1:28" x14ac:dyDescent="0.25">
      <c r="A12730" s="17" t="s">
        <v>34627</v>
      </c>
      <c r="B12730" s="17" t="s">
        <v>70</v>
      </c>
      <c r="C12730" s="17" t="s">
        <v>71</v>
      </c>
      <c r="D12730" t="s">
        <v>34628</v>
      </c>
      <c r="F12730" t="s">
        <v>6299</v>
      </c>
      <c r="J12730" s="17" t="s">
        <v>34629</v>
      </c>
      <c r="K12730" s="18" t="s">
        <v>34630</v>
      </c>
      <c r="N12730" s="17" t="s">
        <v>77</v>
      </c>
      <c r="O12730" t="s">
        <v>199</v>
      </c>
      <c r="V12730" s="18" t="s">
        <v>34630</v>
      </c>
      <c r="Y12730" s="17" t="s">
        <v>1046</v>
      </c>
      <c r="AA12730" t="s">
        <v>115</v>
      </c>
      <c r="AB12730" t="s">
        <v>1046</v>
      </c>
    </row>
    <row r="12731" ht="15" customHeight="1" spans="1:22" x14ac:dyDescent="0.25">
      <c r="A12731" s="17" t="s">
        <v>34631</v>
      </c>
      <c r="B12731" s="17" t="s">
        <v>70</v>
      </c>
      <c r="C12731" s="17" t="s">
        <v>71</v>
      </c>
      <c r="D12731" t="s">
        <v>3224</v>
      </c>
      <c r="F12731" t="s">
        <v>34632</v>
      </c>
      <c r="K12731" s="18">
        <f>6281268254927</f>
        <v>6281268254927</v>
      </c>
      <c r="N12731" s="17" t="s">
        <v>74</v>
      </c>
      <c r="V12731" s="18">
        <f>6281268254927</f>
        <v>6281268254927</v>
      </c>
    </row>
    <row r="12732" ht="15" customHeight="1" spans="1:25" x14ac:dyDescent="0.25">
      <c r="A12732" s="17" t="s">
        <v>34633</v>
      </c>
      <c r="B12732" s="17" t="s">
        <v>70</v>
      </c>
      <c r="C12732" s="17" t="s">
        <v>71</v>
      </c>
      <c r="D12732" t="s">
        <v>3224</v>
      </c>
      <c r="F12732" t="s">
        <v>21228</v>
      </c>
      <c r="K12732" s="18">
        <f>6281382349890</f>
        <v>6281382349890</v>
      </c>
      <c r="N12732" s="17" t="s">
        <v>77</v>
      </c>
      <c r="U12732" s="17"/>
      <c r="V12732" s="18">
        <f>6281382349890</f>
        <v>6281382349890</v>
      </c>
      <c r="W12732" t="s">
        <v>34634</v>
      </c>
      <c r="Y12732" s="17" t="s">
        <v>8494</v>
      </c>
    </row>
    <row r="12733" ht="15" customHeight="1" spans="1:22" x14ac:dyDescent="0.25">
      <c r="A12733" s="17" t="s">
        <v>34635</v>
      </c>
      <c r="B12733" s="17" t="s">
        <v>70</v>
      </c>
      <c r="C12733" s="17" t="s">
        <v>71</v>
      </c>
      <c r="D12733" t="s">
        <v>3224</v>
      </c>
      <c r="F12733" t="s">
        <v>1823</v>
      </c>
      <c r="K12733" s="18">
        <f>6281294028615</f>
        <v>6281294028615</v>
      </c>
      <c r="N12733" s="17" t="s">
        <v>77</v>
      </c>
      <c r="V12733" s="18">
        <f>6281294028615</f>
        <v>6281294028615</v>
      </c>
    </row>
    <row r="12734" ht="15" customHeight="1" spans="1:28" x14ac:dyDescent="0.25">
      <c r="A12734" s="17" t="s">
        <v>34636</v>
      </c>
      <c r="B12734" s="17" t="s">
        <v>70</v>
      </c>
      <c r="C12734" s="17" t="s">
        <v>71</v>
      </c>
      <c r="D12734" t="s">
        <v>34637</v>
      </c>
      <c r="F12734" t="s">
        <v>17902</v>
      </c>
      <c r="J12734" t="s">
        <v>115</v>
      </c>
      <c r="K12734" s="18" t="s">
        <v>34638</v>
      </c>
      <c r="N12734" s="17" t="s">
        <v>77</v>
      </c>
      <c r="O12734" t="s">
        <v>261</v>
      </c>
      <c r="U12734" s="17"/>
      <c r="V12734" s="18" t="s">
        <v>34638</v>
      </c>
      <c r="W12734" t="s">
        <v>34639</v>
      </c>
      <c r="Y12734" t="s">
        <v>90</v>
      </c>
      <c r="AA12734" t="s">
        <v>118</v>
      </c>
      <c r="AB12734" t="s">
        <v>119</v>
      </c>
    </row>
    <row r="12735" ht="15" customHeight="1" spans="1:28" x14ac:dyDescent="0.25">
      <c r="A12735" s="17" t="s">
        <v>34640</v>
      </c>
      <c r="B12735" s="17" t="s">
        <v>70</v>
      </c>
      <c r="C12735" s="17" t="s">
        <v>71</v>
      </c>
      <c r="D12735" t="s">
        <v>34641</v>
      </c>
      <c r="F12735" t="s">
        <v>34642</v>
      </c>
      <c r="J12735" s="17" t="s">
        <v>34643</v>
      </c>
      <c r="K12735" s="18" t="s">
        <v>34644</v>
      </c>
      <c r="N12735" s="17" t="s">
        <v>77</v>
      </c>
      <c r="O12735" t="s">
        <v>117</v>
      </c>
      <c r="U12735" s="17"/>
      <c r="V12735" s="18" t="s">
        <v>34644</v>
      </c>
      <c r="W12735" t="s">
        <v>34645</v>
      </c>
      <c r="Y12735" s="17" t="s">
        <v>96</v>
      </c>
      <c r="AA12735" s="17" t="s">
        <v>693</v>
      </c>
      <c r="AB12735" t="s">
        <v>119</v>
      </c>
    </row>
    <row r="12736" ht="15" customHeight="1" spans="1:22" x14ac:dyDescent="0.25">
      <c r="A12736" s="17" t="s">
        <v>34646</v>
      </c>
      <c r="B12736" s="17" t="s">
        <v>70</v>
      </c>
      <c r="C12736" s="17" t="s">
        <v>71</v>
      </c>
      <c r="D12736" t="s">
        <v>17049</v>
      </c>
      <c r="F12736" t="s">
        <v>17049</v>
      </c>
      <c r="K12736" s="18">
        <f>6281514104947</f>
        <v>6281514104947</v>
      </c>
      <c r="N12736" s="17" t="s">
        <v>81</v>
      </c>
      <c r="V12736" s="18">
        <f>6281514104947</f>
        <v>6281514104947</v>
      </c>
    </row>
    <row r="12737" ht="15" customHeight="1" spans="1:22" x14ac:dyDescent="0.25">
      <c r="A12737" s="17" t="s">
        <v>34647</v>
      </c>
      <c r="B12737" s="17" t="s">
        <v>70</v>
      </c>
      <c r="C12737" s="17" t="s">
        <v>71</v>
      </c>
      <c r="D12737" t="s">
        <v>17049</v>
      </c>
      <c r="F12737" t="s">
        <v>17049</v>
      </c>
      <c r="K12737" s="18">
        <f>62811151494</f>
        <v>62811151494</v>
      </c>
      <c r="N12737" s="17" t="s">
        <v>81</v>
      </c>
      <c r="V12737" s="18">
        <f>62811151494</f>
        <v>62811151494</v>
      </c>
    </row>
    <row r="12738" ht="15" customHeight="1" spans="1:22" x14ac:dyDescent="0.25">
      <c r="A12738" s="17" t="s">
        <v>34648</v>
      </c>
      <c r="B12738" s="17" t="s">
        <v>70</v>
      </c>
      <c r="C12738" s="17" t="s">
        <v>71</v>
      </c>
      <c r="D12738" t="s">
        <v>17049</v>
      </c>
      <c r="F12738" t="s">
        <v>17049</v>
      </c>
      <c r="K12738" s="18">
        <f>62811887479</f>
        <v>62811887479</v>
      </c>
      <c r="N12738" s="17" t="s">
        <v>77</v>
      </c>
      <c r="V12738" s="18">
        <f>62811887479</f>
        <v>62811887479</v>
      </c>
    </row>
    <row r="12739" ht="15" customHeight="1" spans="1:22" x14ac:dyDescent="0.25">
      <c r="A12739" s="17" t="s">
        <v>34649</v>
      </c>
      <c r="B12739" s="17" t="s">
        <v>70</v>
      </c>
      <c r="C12739" s="17" t="s">
        <v>71</v>
      </c>
      <c r="D12739" t="s">
        <v>17049</v>
      </c>
      <c r="F12739" t="s">
        <v>34650</v>
      </c>
      <c r="K12739" s="18">
        <f>6281290260026</f>
        <v>6281290260026</v>
      </c>
      <c r="N12739" s="17" t="s">
        <v>81</v>
      </c>
      <c r="V12739" s="18">
        <f>6281290260026</f>
        <v>6281290260026</v>
      </c>
    </row>
    <row r="12740" ht="15" customHeight="1" spans="1:28" x14ac:dyDescent="0.25">
      <c r="A12740" s="17" t="s">
        <v>34651</v>
      </c>
      <c r="B12740" s="17" t="s">
        <v>70</v>
      </c>
      <c r="C12740" s="17" t="s">
        <v>71</v>
      </c>
      <c r="D12740" t="s">
        <v>34652</v>
      </c>
      <c r="F12740" t="s">
        <v>4613</v>
      </c>
      <c r="J12740" t="s">
        <v>115</v>
      </c>
      <c r="K12740" s="18" t="s">
        <v>34653</v>
      </c>
      <c r="N12740" s="17" t="s">
        <v>74</v>
      </c>
      <c r="O12740" t="s">
        <v>261</v>
      </c>
      <c r="U12740" s="17"/>
      <c r="V12740" s="18" t="s">
        <v>34653</v>
      </c>
      <c r="W12740" t="s">
        <v>34654</v>
      </c>
      <c r="Y12740" s="17" t="s">
        <v>96</v>
      </c>
      <c r="AA12740" s="17" t="s">
        <v>693</v>
      </c>
      <c r="AB12740" t="s">
        <v>119</v>
      </c>
    </row>
    <row r="12741" ht="15" customHeight="1" spans="1:23" x14ac:dyDescent="0.25">
      <c r="A12741" s="17" t="s">
        <v>34655</v>
      </c>
      <c r="B12741" s="17" t="s">
        <v>70</v>
      </c>
      <c r="C12741" s="17" t="s">
        <v>71</v>
      </c>
      <c r="D12741" t="s">
        <v>34656</v>
      </c>
      <c r="F12741" t="s">
        <v>34657</v>
      </c>
      <c r="K12741" s="18">
        <f>62815118880001</f>
        <v>62815118880001</v>
      </c>
      <c r="N12741" s="17" t="s">
        <v>77</v>
      </c>
      <c r="U12741" s="17"/>
      <c r="V12741" s="18">
        <f>62815118880001</f>
        <v>62815118880001</v>
      </c>
      <c r="W12741" t="s">
        <v>34658</v>
      </c>
    </row>
    <row r="12742" ht="15" customHeight="1" spans="1:22" x14ac:dyDescent="0.25">
      <c r="A12742" s="17" t="s">
        <v>34659</v>
      </c>
      <c r="B12742" s="17" t="s">
        <v>70</v>
      </c>
      <c r="C12742" s="17" t="s">
        <v>71</v>
      </c>
      <c r="D12742" t="s">
        <v>34656</v>
      </c>
      <c r="F12742" t="s">
        <v>34660</v>
      </c>
      <c r="K12742" s="18">
        <f>62816899795</f>
        <v>62816899795</v>
      </c>
      <c r="N12742" s="17" t="s">
        <v>77</v>
      </c>
      <c r="V12742" s="18">
        <f>62816899795</f>
        <v>62816899795</v>
      </c>
    </row>
    <row r="12743" ht="15" customHeight="1" spans="1:28" x14ac:dyDescent="0.25">
      <c r="A12743" s="17" t="s">
        <v>34661</v>
      </c>
      <c r="B12743" s="17" t="s">
        <v>70</v>
      </c>
      <c r="C12743" s="17" t="s">
        <v>71</v>
      </c>
      <c r="D12743" t="s">
        <v>34656</v>
      </c>
      <c r="F12743" t="s">
        <v>34662</v>
      </c>
      <c r="J12743" t="s">
        <v>115</v>
      </c>
      <c r="K12743" s="18" t="s">
        <v>34663</v>
      </c>
      <c r="N12743" s="17" t="s">
        <v>77</v>
      </c>
      <c r="O12743" t="s">
        <v>117</v>
      </c>
      <c r="V12743" s="18" t="s">
        <v>34663</v>
      </c>
      <c r="Y12743" t="s">
        <v>90</v>
      </c>
      <c r="AA12743" t="s">
        <v>118</v>
      </c>
      <c r="AB12743" t="s">
        <v>119</v>
      </c>
    </row>
    <row r="12744" ht="15" customHeight="1" spans="1:22" x14ac:dyDescent="0.25">
      <c r="A12744" s="17" t="s">
        <v>34664</v>
      </c>
      <c r="B12744" s="17" t="s">
        <v>70</v>
      </c>
      <c r="C12744" s="17" t="s">
        <v>71</v>
      </c>
      <c r="D12744" t="s">
        <v>34665</v>
      </c>
      <c r="F12744" t="s">
        <v>34666</v>
      </c>
      <c r="J12744" s="17" t="s">
        <v>34667</v>
      </c>
      <c r="K12744" s="18">
        <f>6287772266600</f>
        <v>6287772266600</v>
      </c>
      <c r="N12744" s="17" t="s">
        <v>81</v>
      </c>
      <c r="V12744" s="18">
        <f>6287772266600</f>
        <v>6287772266600</v>
      </c>
    </row>
    <row r="12745" ht="15" customHeight="1" spans="1:22" x14ac:dyDescent="0.25">
      <c r="A12745" s="17" t="s">
        <v>34668</v>
      </c>
      <c r="B12745" s="17" t="s">
        <v>70</v>
      </c>
      <c r="C12745" s="17" t="s">
        <v>71</v>
      </c>
      <c r="D12745" t="s">
        <v>34669</v>
      </c>
      <c r="F12745" t="s">
        <v>34670</v>
      </c>
      <c r="K12745" s="18">
        <f>628111270172</f>
        <v>628111270172</v>
      </c>
      <c r="N12745" s="17" t="s">
        <v>81</v>
      </c>
      <c r="V12745" s="18">
        <f>628111270172</f>
        <v>628111270172</v>
      </c>
    </row>
    <row r="12746" ht="15" customHeight="1" spans="1:22" x14ac:dyDescent="0.25">
      <c r="A12746" s="17" t="s">
        <v>34671</v>
      </c>
      <c r="B12746" s="17" t="s">
        <v>70</v>
      </c>
      <c r="C12746" s="17" t="s">
        <v>71</v>
      </c>
      <c r="D12746" t="s">
        <v>34672</v>
      </c>
      <c r="F12746" t="s">
        <v>34672</v>
      </c>
      <c r="K12746" s="18">
        <f>628111856770</f>
        <v>628111856770</v>
      </c>
      <c r="N12746" s="17" t="s">
        <v>81</v>
      </c>
      <c r="V12746" s="18">
        <f>628111856770</f>
        <v>628111856770</v>
      </c>
    </row>
    <row r="12747" ht="15" customHeight="1" spans="1:22" x14ac:dyDescent="0.25">
      <c r="A12747" s="17" t="s">
        <v>34673</v>
      </c>
      <c r="B12747" s="17" t="s">
        <v>70</v>
      </c>
      <c r="C12747" s="17" t="s">
        <v>71</v>
      </c>
      <c r="D12747" t="s">
        <v>34674</v>
      </c>
      <c r="F12747" t="s">
        <v>29375</v>
      </c>
      <c r="K12747" s="18">
        <f>14049347959</f>
        <v>14049347959</v>
      </c>
      <c r="N12747" s="17" t="s">
        <v>81</v>
      </c>
      <c r="V12747" s="18">
        <f>14049347959</f>
        <v>14049347959</v>
      </c>
    </row>
    <row r="12748" ht="15" customHeight="1" spans="1:23" x14ac:dyDescent="0.25">
      <c r="A12748" s="17" t="s">
        <v>34675</v>
      </c>
      <c r="B12748" s="17" t="s">
        <v>70</v>
      </c>
      <c r="C12748" s="17" t="s">
        <v>71</v>
      </c>
      <c r="D12748" t="s">
        <v>34676</v>
      </c>
      <c r="F12748" t="s">
        <v>34676</v>
      </c>
      <c r="K12748" s="18">
        <f>62817111110</f>
        <v>62817111110</v>
      </c>
      <c r="N12748" s="17" t="s">
        <v>77</v>
      </c>
      <c r="U12748" s="17"/>
      <c r="V12748" s="18">
        <f>62817111110</f>
        <v>62817111110</v>
      </c>
      <c r="W12748" t="s">
        <v>34677</v>
      </c>
    </row>
    <row r="12749" ht="15" customHeight="1" spans="1:22" x14ac:dyDescent="0.25">
      <c r="A12749" s="17" t="s">
        <v>34678</v>
      </c>
      <c r="B12749" s="17" t="s">
        <v>70</v>
      </c>
      <c r="C12749" s="17" t="s">
        <v>71</v>
      </c>
      <c r="D12749" t="s">
        <v>34679</v>
      </c>
      <c r="F12749" t="s">
        <v>34680</v>
      </c>
      <c r="K12749" s="18">
        <f>62816940148</f>
        <v>62816940148</v>
      </c>
      <c r="N12749" s="17" t="s">
        <v>77</v>
      </c>
      <c r="V12749" s="18">
        <f>62816940148</f>
        <v>62816940148</v>
      </c>
    </row>
    <row r="12750" ht="15" customHeight="1" spans="1:22" x14ac:dyDescent="0.25">
      <c r="A12750" s="17" t="s">
        <v>34681</v>
      </c>
      <c r="B12750" s="17" t="s">
        <v>70</v>
      </c>
      <c r="C12750" s="17" t="s">
        <v>71</v>
      </c>
      <c r="D12750" t="s">
        <v>34679</v>
      </c>
      <c r="F12750" t="s">
        <v>1704</v>
      </c>
      <c r="K12750" s="18">
        <f>6282125262037</f>
        <v>6282125262037</v>
      </c>
      <c r="N12750" s="17" t="s">
        <v>77</v>
      </c>
      <c r="V12750" s="18">
        <f>6282125262037</f>
        <v>6282125262037</v>
      </c>
    </row>
    <row r="12751" ht="15" customHeight="1" spans="1:28" x14ac:dyDescent="0.25">
      <c r="A12751" s="17" t="s">
        <v>34682</v>
      </c>
      <c r="B12751" s="17" t="s">
        <v>70</v>
      </c>
      <c r="C12751" s="17" t="s">
        <v>71</v>
      </c>
      <c r="D12751" t="s">
        <v>34683</v>
      </c>
      <c r="F12751" t="s">
        <v>34684</v>
      </c>
      <c r="J12751" s="17" t="s">
        <v>34685</v>
      </c>
      <c r="K12751" s="18" t="s">
        <v>34686</v>
      </c>
      <c r="N12751" s="17" t="s">
        <v>77</v>
      </c>
      <c r="O12751" t="s">
        <v>199</v>
      </c>
      <c r="V12751" s="18" t="s">
        <v>34686</v>
      </c>
      <c r="Y12751" t="s">
        <v>90</v>
      </c>
      <c r="AA12751" t="s">
        <v>118</v>
      </c>
      <c r="AB12751" t="s">
        <v>119</v>
      </c>
    </row>
    <row r="12752" ht="15" customHeight="1" spans="1:23" x14ac:dyDescent="0.25">
      <c r="A12752" s="17" t="s">
        <v>34687</v>
      </c>
      <c r="B12752" s="17" t="s">
        <v>70</v>
      </c>
      <c r="C12752" s="17" t="s">
        <v>71</v>
      </c>
      <c r="D12752" t="s">
        <v>34683</v>
      </c>
      <c r="F12752" t="s">
        <v>13079</v>
      </c>
      <c r="K12752" s="18">
        <f>6282337114824</f>
        <v>6282337114824</v>
      </c>
      <c r="N12752" s="17" t="s">
        <v>77</v>
      </c>
      <c r="U12752" s="17"/>
      <c r="V12752" s="18">
        <f>6282337114824</f>
        <v>6282337114824</v>
      </c>
      <c r="W12752" t="s">
        <v>181</v>
      </c>
    </row>
    <row r="12753" ht="15" customHeight="1" spans="1:25" x14ac:dyDescent="0.25">
      <c r="A12753" s="17" t="s">
        <v>34688</v>
      </c>
      <c r="B12753" s="17" t="s">
        <v>70</v>
      </c>
      <c r="C12753" s="17" t="s">
        <v>71</v>
      </c>
      <c r="D12753" t="s">
        <v>34689</v>
      </c>
      <c r="F12753" t="s">
        <v>34690</v>
      </c>
      <c r="K12753" s="18">
        <f>6281291028868</f>
        <v>6281291028868</v>
      </c>
      <c r="N12753" s="17" t="s">
        <v>81</v>
      </c>
      <c r="U12753" s="17"/>
      <c r="V12753" s="18">
        <f>6281291028868</f>
        <v>6281291028868</v>
      </c>
      <c r="W12753" t="s">
        <v>34691</v>
      </c>
      <c r="Y12753" s="17" t="s">
        <v>384</v>
      </c>
    </row>
    <row r="12754" ht="15" customHeight="1" spans="1:22" x14ac:dyDescent="0.25">
      <c r="A12754" s="17" t="s">
        <v>34692</v>
      </c>
      <c r="B12754" s="17" t="s">
        <v>70</v>
      </c>
      <c r="C12754" s="17" t="s">
        <v>71</v>
      </c>
      <c r="D12754" t="s">
        <v>34693</v>
      </c>
      <c r="F12754" t="s">
        <v>34693</v>
      </c>
      <c r="K12754" s="18">
        <f>628127528409</f>
        <v>628127528409</v>
      </c>
      <c r="N12754" s="17" t="s">
        <v>77</v>
      </c>
      <c r="V12754" s="18">
        <f>628127528409</f>
        <v>628127528409</v>
      </c>
    </row>
    <row r="12755" ht="15" customHeight="1" spans="1:23" x14ac:dyDescent="0.25">
      <c r="A12755" s="17" t="s">
        <v>34694</v>
      </c>
      <c r="B12755" s="17" t="s">
        <v>70</v>
      </c>
      <c r="C12755" s="17" t="s">
        <v>71</v>
      </c>
      <c r="D12755" t="s">
        <v>34695</v>
      </c>
      <c r="F12755" t="s">
        <v>34695</v>
      </c>
      <c r="K12755" s="18">
        <f>628123818353</f>
        <v>628123818353</v>
      </c>
      <c r="N12755" s="17" t="s">
        <v>77</v>
      </c>
      <c r="U12755" s="17"/>
      <c r="V12755" s="18">
        <f>628123818353</f>
        <v>628123818353</v>
      </c>
      <c r="W12755" t="s">
        <v>34696</v>
      </c>
    </row>
    <row r="12756" ht="15" customHeight="1" spans="1:22" x14ac:dyDescent="0.25">
      <c r="A12756" s="17" t="s">
        <v>34697</v>
      </c>
      <c r="B12756" s="17" t="s">
        <v>70</v>
      </c>
      <c r="C12756" s="17" t="s">
        <v>71</v>
      </c>
      <c r="D12756" t="s">
        <v>12793</v>
      </c>
      <c r="F12756" t="s">
        <v>12793</v>
      </c>
      <c r="J12756" s="17" t="s">
        <v>34698</v>
      </c>
      <c r="K12756" s="18">
        <f>6281222213898</f>
        <v>6281222213898</v>
      </c>
      <c r="N12756" s="17" t="s">
        <v>77</v>
      </c>
      <c r="V12756" s="18">
        <f>6281222213898</f>
        <v>6281222213898</v>
      </c>
    </row>
    <row r="12757" ht="15" customHeight="1" spans="1:28" x14ac:dyDescent="0.25">
      <c r="A12757" s="17" t="s">
        <v>34699</v>
      </c>
      <c r="B12757" s="17" t="s">
        <v>70</v>
      </c>
      <c r="C12757" s="17" t="s">
        <v>71</v>
      </c>
      <c r="D12757" t="s">
        <v>34700</v>
      </c>
      <c r="F12757" t="s">
        <v>11065</v>
      </c>
      <c r="J12757" t="s">
        <v>115</v>
      </c>
      <c r="K12757" s="18" t="s">
        <v>34701</v>
      </c>
      <c r="N12757" s="17" t="s">
        <v>77</v>
      </c>
      <c r="O12757" t="s">
        <v>199</v>
      </c>
      <c r="U12757" s="17"/>
      <c r="V12757" s="18" t="s">
        <v>34701</v>
      </c>
      <c r="W12757" t="s">
        <v>34702</v>
      </c>
      <c r="Y12757" t="s">
        <v>190</v>
      </c>
      <c r="AA12757" t="s">
        <v>118</v>
      </c>
      <c r="AB12757" t="s">
        <v>119</v>
      </c>
    </row>
    <row r="12758" ht="15" customHeight="1" spans="1:22" x14ac:dyDescent="0.25">
      <c r="A12758" s="17" t="s">
        <v>34703</v>
      </c>
      <c r="B12758" s="17" t="s">
        <v>70</v>
      </c>
      <c r="C12758" s="17" t="s">
        <v>71</v>
      </c>
      <c r="D12758" t="s">
        <v>12793</v>
      </c>
      <c r="F12758" t="s">
        <v>6271</v>
      </c>
      <c r="K12758" s="18">
        <f>62811516738</f>
        <v>62811516738</v>
      </c>
      <c r="N12758" s="17" t="s">
        <v>77</v>
      </c>
      <c r="V12758" s="18">
        <f>62811516738</f>
        <v>62811516738</v>
      </c>
    </row>
    <row r="12759" ht="15" customHeight="1" spans="1:27" x14ac:dyDescent="0.25">
      <c r="A12759" s="17" t="s">
        <v>34704</v>
      </c>
      <c r="B12759" s="17" t="s">
        <v>70</v>
      </c>
      <c r="C12759" s="17" t="s">
        <v>71</v>
      </c>
      <c r="D12759" t="s">
        <v>34705</v>
      </c>
      <c r="F12759" t="s">
        <v>2381</v>
      </c>
      <c r="K12759" s="18">
        <f>6281908209998</f>
        <v>6281908209998</v>
      </c>
      <c r="N12759" s="17" t="s">
        <v>77</v>
      </c>
      <c r="U12759" s="17"/>
      <c r="V12759" s="18">
        <f>6281908209998</f>
        <v>6281908209998</v>
      </c>
      <c r="W12759" t="s">
        <v>34706</v>
      </c>
      <c r="Y12759" s="17" t="s">
        <v>2953</v>
      </c>
      <c r="AA12759" s="17">
        <v>12730</v>
      </c>
    </row>
    <row r="12760" ht="15" customHeight="1" spans="1:22" x14ac:dyDescent="0.25">
      <c r="A12760" s="17" t="s">
        <v>34707</v>
      </c>
      <c r="B12760" s="17" t="s">
        <v>70</v>
      </c>
      <c r="C12760" s="17" t="s">
        <v>71</v>
      </c>
      <c r="D12760" t="s">
        <v>34708</v>
      </c>
      <c r="F12760" t="s">
        <v>9486</v>
      </c>
      <c r="K12760" s="18">
        <f>60126894098</f>
        <v>60126894098</v>
      </c>
      <c r="N12760" s="17" t="s">
        <v>77</v>
      </c>
      <c r="V12760" s="18">
        <f>60126894098</f>
        <v>60126894098</v>
      </c>
    </row>
    <row r="12761" ht="15" customHeight="1" spans="1:22" x14ac:dyDescent="0.25">
      <c r="A12761" s="17" t="s">
        <v>34709</v>
      </c>
      <c r="B12761" s="17" t="s">
        <v>70</v>
      </c>
      <c r="C12761" s="17" t="s">
        <v>71</v>
      </c>
      <c r="D12761" t="s">
        <v>34710</v>
      </c>
      <c r="F12761" t="s">
        <v>34711</v>
      </c>
      <c r="K12761" s="18">
        <f>6281322221130</f>
        <v>6281322221130</v>
      </c>
      <c r="N12761" s="17" t="s">
        <v>77</v>
      </c>
      <c r="V12761" s="18">
        <f>6281322221130</f>
        <v>6281322221130</v>
      </c>
    </row>
    <row r="12762" ht="15" customHeight="1" spans="1:25" x14ac:dyDescent="0.25">
      <c r="A12762" s="17" t="s">
        <v>34712</v>
      </c>
      <c r="B12762" s="17" t="s">
        <v>70</v>
      </c>
      <c r="C12762" s="17" t="s">
        <v>71</v>
      </c>
      <c r="D12762" t="s">
        <v>34713</v>
      </c>
      <c r="F12762" t="s">
        <v>10984</v>
      </c>
      <c r="K12762" s="18">
        <f>62811821969</f>
        <v>62811821969</v>
      </c>
      <c r="N12762" s="17" t="s">
        <v>77</v>
      </c>
      <c r="U12762" s="17"/>
      <c r="V12762" s="18">
        <f>62811821969</f>
        <v>62811821969</v>
      </c>
      <c r="W12762" t="s">
        <v>34714</v>
      </c>
      <c r="Y12762" s="17" t="s">
        <v>378</v>
      </c>
    </row>
    <row r="12763" ht="15" customHeight="1" spans="1:28" x14ac:dyDescent="0.25">
      <c r="A12763" s="17" t="s">
        <v>34715</v>
      </c>
      <c r="B12763" s="17" t="s">
        <v>70</v>
      </c>
      <c r="C12763" s="17" t="s">
        <v>71</v>
      </c>
      <c r="D12763" t="s">
        <v>34716</v>
      </c>
      <c r="F12763" t="s">
        <v>8203</v>
      </c>
      <c r="J12763" s="17" t="s">
        <v>34717</v>
      </c>
      <c r="K12763" s="18" t="s">
        <v>34718</v>
      </c>
      <c r="N12763" s="17" t="s">
        <v>77</v>
      </c>
      <c r="O12763" t="s">
        <v>145</v>
      </c>
      <c r="U12763" s="17"/>
      <c r="V12763" s="18" t="s">
        <v>34718</v>
      </c>
      <c r="W12763" t="s">
        <v>34719</v>
      </c>
      <c r="Y12763" t="s">
        <v>90</v>
      </c>
      <c r="AA12763" t="s">
        <v>118</v>
      </c>
      <c r="AB12763" t="s">
        <v>119</v>
      </c>
    </row>
    <row r="12764" ht="15" customHeight="1" spans="1:22" x14ac:dyDescent="0.25">
      <c r="A12764" s="17" t="s">
        <v>34720</v>
      </c>
      <c r="B12764" s="17" t="s">
        <v>70</v>
      </c>
      <c r="C12764" s="17" t="s">
        <v>71</v>
      </c>
      <c r="D12764" t="s">
        <v>34721</v>
      </c>
      <c r="F12764" t="s">
        <v>1823</v>
      </c>
      <c r="K12764" s="18">
        <f>6282112818128</f>
        <v>6282112818128</v>
      </c>
      <c r="N12764" s="17" t="s">
        <v>74</v>
      </c>
      <c r="V12764" s="18">
        <f>6282112818128</f>
        <v>6282112818128</v>
      </c>
    </row>
    <row r="12765" ht="15" customHeight="1" spans="1:28" x14ac:dyDescent="0.25">
      <c r="A12765" s="17" t="s">
        <v>34722</v>
      </c>
      <c r="B12765" s="17" t="s">
        <v>70</v>
      </c>
      <c r="C12765" s="17" t="s">
        <v>71</v>
      </c>
      <c r="D12765" t="s">
        <v>34723</v>
      </c>
      <c r="F12765" t="s">
        <v>34724</v>
      </c>
      <c r="J12765" s="17" t="s">
        <v>34725</v>
      </c>
      <c r="K12765" s="18" t="s">
        <v>34726</v>
      </c>
      <c r="N12765" s="17" t="s">
        <v>77</v>
      </c>
      <c r="O12765" t="s">
        <v>489</v>
      </c>
      <c r="U12765" s="17"/>
      <c r="V12765" s="18" t="s">
        <v>34726</v>
      </c>
      <c r="W12765" t="s">
        <v>34727</v>
      </c>
      <c r="Y12765" t="s">
        <v>90</v>
      </c>
      <c r="AA12765" t="s">
        <v>118</v>
      </c>
      <c r="AB12765" t="s">
        <v>119</v>
      </c>
    </row>
    <row r="12766" ht="15" customHeight="1" spans="1:22" x14ac:dyDescent="0.25">
      <c r="A12766" s="17" t="s">
        <v>34728</v>
      </c>
      <c r="B12766" s="17" t="s">
        <v>70</v>
      </c>
      <c r="C12766" s="17" t="s">
        <v>71</v>
      </c>
      <c r="D12766" t="s">
        <v>34729</v>
      </c>
      <c r="F12766" t="s">
        <v>212</v>
      </c>
      <c r="K12766" s="18">
        <f>628161950108</f>
        <v>628161950108</v>
      </c>
      <c r="N12766" s="17" t="s">
        <v>81</v>
      </c>
      <c r="V12766" s="18">
        <f>628161950108</f>
        <v>628161950108</v>
      </c>
    </row>
    <row r="12767" ht="15" customHeight="1" spans="1:22" x14ac:dyDescent="0.25">
      <c r="A12767" s="17" t="s">
        <v>34730</v>
      </c>
      <c r="B12767" s="17" t="s">
        <v>70</v>
      </c>
      <c r="C12767" s="17" t="s">
        <v>71</v>
      </c>
      <c r="D12767" t="s">
        <v>34729</v>
      </c>
      <c r="F12767" t="s">
        <v>212</v>
      </c>
      <c r="K12767" s="18">
        <f>6282299312380</f>
        <v>6282299312380</v>
      </c>
      <c r="N12767" s="17" t="s">
        <v>77</v>
      </c>
      <c r="V12767" s="18">
        <f>6282299312380</f>
        <v>6282299312380</v>
      </c>
    </row>
    <row r="12768" ht="15" customHeight="1" spans="1:22" x14ac:dyDescent="0.25">
      <c r="A12768" s="17" t="s">
        <v>34731</v>
      </c>
      <c r="B12768" s="17" t="s">
        <v>70</v>
      </c>
      <c r="C12768" s="17" t="s">
        <v>71</v>
      </c>
      <c r="D12768" t="s">
        <v>34729</v>
      </c>
      <c r="F12768" t="s">
        <v>212</v>
      </c>
      <c r="K12768" s="18">
        <f>62811194266</f>
        <v>62811194266</v>
      </c>
      <c r="N12768" s="17" t="s">
        <v>77</v>
      </c>
      <c r="V12768" s="18">
        <f>62811194266</f>
        <v>62811194266</v>
      </c>
    </row>
    <row r="12769" ht="15" customHeight="1" spans="1:22" x14ac:dyDescent="0.25">
      <c r="A12769" s="17" t="s">
        <v>34732</v>
      </c>
      <c r="B12769" s="17" t="s">
        <v>70</v>
      </c>
      <c r="C12769" s="17" t="s">
        <v>71</v>
      </c>
      <c r="D12769" t="s">
        <v>34733</v>
      </c>
      <c r="F12769" t="s">
        <v>9600</v>
      </c>
      <c r="K12769" s="18">
        <f>628179906868</f>
        <v>628179906868</v>
      </c>
      <c r="N12769" s="17" t="s">
        <v>77</v>
      </c>
      <c r="V12769" s="18">
        <f>628179906868</f>
        <v>628179906868</v>
      </c>
    </row>
    <row r="12770" ht="15" customHeight="1" spans="1:28" x14ac:dyDescent="0.25">
      <c r="A12770" s="17" t="s">
        <v>34734</v>
      </c>
      <c r="B12770" s="17" t="s">
        <v>70</v>
      </c>
      <c r="C12770" s="17" t="s">
        <v>71</v>
      </c>
      <c r="D12770" t="s">
        <v>34733</v>
      </c>
      <c r="F12770" t="s">
        <v>1217</v>
      </c>
      <c r="J12770" t="s">
        <v>115</v>
      </c>
      <c r="K12770" s="18" t="s">
        <v>34735</v>
      </c>
      <c r="N12770" s="17" t="s">
        <v>77</v>
      </c>
      <c r="O12770" t="s">
        <v>489</v>
      </c>
      <c r="U12770" s="17"/>
      <c r="V12770" s="18" t="s">
        <v>34735</v>
      </c>
      <c r="W12770" t="s">
        <v>34736</v>
      </c>
      <c r="Y12770" s="17" t="s">
        <v>90</v>
      </c>
      <c r="AA12770" t="s">
        <v>118</v>
      </c>
      <c r="AB12770" t="s">
        <v>119</v>
      </c>
    </row>
    <row r="12771" ht="15" customHeight="1" spans="1:23" x14ac:dyDescent="0.25">
      <c r="A12771" s="17" t="s">
        <v>34737</v>
      </c>
      <c r="B12771" s="17" t="s">
        <v>70</v>
      </c>
      <c r="C12771" s="17" t="s">
        <v>71</v>
      </c>
      <c r="D12771" t="s">
        <v>34738</v>
      </c>
      <c r="F12771" t="s">
        <v>34739</v>
      </c>
      <c r="K12771" s="18">
        <f>6281290902929</f>
        <v>6281290902929</v>
      </c>
      <c r="N12771" s="17" t="s">
        <v>77</v>
      </c>
      <c r="U12771" s="17"/>
      <c r="V12771" s="18">
        <f>6281290902929</f>
        <v>6281290902929</v>
      </c>
      <c r="W12771" t="s">
        <v>3195</v>
      </c>
    </row>
    <row r="12772" ht="15" customHeight="1" spans="1:22" x14ac:dyDescent="0.25">
      <c r="A12772" s="17" t="s">
        <v>34740</v>
      </c>
      <c r="B12772" s="17" t="s">
        <v>70</v>
      </c>
      <c r="C12772" s="17" t="s">
        <v>71</v>
      </c>
      <c r="D12772" t="s">
        <v>34741</v>
      </c>
      <c r="F12772" t="s">
        <v>15855</v>
      </c>
      <c r="K12772" s="18">
        <f>628119956882</f>
        <v>628119956882</v>
      </c>
      <c r="N12772" s="17" t="s">
        <v>77</v>
      </c>
      <c r="V12772" s="18">
        <f>628119956882</f>
        <v>628119956882</v>
      </c>
    </row>
    <row r="12773" ht="15" customHeight="1" spans="1:22" x14ac:dyDescent="0.25">
      <c r="A12773" s="17" t="s">
        <v>34742</v>
      </c>
      <c r="B12773" s="17" t="s">
        <v>70</v>
      </c>
      <c r="C12773" s="17" t="s">
        <v>71</v>
      </c>
      <c r="D12773" t="s">
        <v>34743</v>
      </c>
      <c r="F12773" t="s">
        <v>34743</v>
      </c>
      <c r="K12773" s="18">
        <f>6281717173330</f>
        <v>6281717173330</v>
      </c>
      <c r="N12773" s="17" t="s">
        <v>81</v>
      </c>
      <c r="V12773" s="18">
        <f>6281717173330</f>
        <v>6281717173330</v>
      </c>
    </row>
    <row r="12774" ht="15" customHeight="1" spans="1:22" x14ac:dyDescent="0.25">
      <c r="A12774" s="17" t="s">
        <v>34744</v>
      </c>
      <c r="B12774" s="17" t="s">
        <v>70</v>
      </c>
      <c r="C12774" s="17" t="s">
        <v>71</v>
      </c>
      <c r="D12774" t="s">
        <v>34745</v>
      </c>
      <c r="F12774" t="s">
        <v>34745</v>
      </c>
      <c r="K12774" s="18">
        <f>6281388008889</f>
        <v>6281388008889</v>
      </c>
      <c r="N12774" s="17" t="s">
        <v>74</v>
      </c>
      <c r="V12774" s="18">
        <f>6281388008889</f>
        <v>6281388008889</v>
      </c>
    </row>
    <row r="12775" ht="15" customHeight="1" spans="1:28" x14ac:dyDescent="0.25">
      <c r="A12775" s="17" t="s">
        <v>34746</v>
      </c>
      <c r="B12775" s="17" t="s">
        <v>70</v>
      </c>
      <c r="C12775" s="17" t="s">
        <v>71</v>
      </c>
      <c r="D12775" t="s">
        <v>34747</v>
      </c>
      <c r="F12775" t="s">
        <v>34747</v>
      </c>
      <c r="J12775" s="17" t="s">
        <v>34748</v>
      </c>
      <c r="K12775" s="18" t="s">
        <v>34749</v>
      </c>
      <c r="N12775" s="17" t="s">
        <v>77</v>
      </c>
      <c r="O12775" t="s">
        <v>261</v>
      </c>
      <c r="U12775" s="17"/>
      <c r="V12775" s="18" t="s">
        <v>34749</v>
      </c>
      <c r="W12775" t="s">
        <v>34750</v>
      </c>
      <c r="Y12775" s="17" t="s">
        <v>500</v>
      </c>
      <c r="AA12775" t="s">
        <v>115</v>
      </c>
      <c r="AB12775" t="s">
        <v>119</v>
      </c>
    </row>
    <row r="12776" ht="15" customHeight="1" spans="1:23" x14ac:dyDescent="0.25">
      <c r="A12776" s="17" t="s">
        <v>34751</v>
      </c>
      <c r="B12776" s="17" t="s">
        <v>70</v>
      </c>
      <c r="C12776" s="17" t="s">
        <v>71</v>
      </c>
      <c r="D12776" t="s">
        <v>34747</v>
      </c>
      <c r="F12776" t="s">
        <v>34752</v>
      </c>
      <c r="K12776" s="18">
        <f>628176771001</f>
        <v>628176771001</v>
      </c>
      <c r="N12776" s="17" t="s">
        <v>81</v>
      </c>
      <c r="U12776" s="17"/>
      <c r="V12776" s="18">
        <f>628176771001</f>
        <v>628176771001</v>
      </c>
      <c r="W12776" t="s">
        <v>34753</v>
      </c>
    </row>
    <row r="12777" ht="15" customHeight="1" spans="1:23" x14ac:dyDescent="0.25">
      <c r="A12777" s="17" t="s">
        <v>34754</v>
      </c>
      <c r="B12777" s="17" t="s">
        <v>70</v>
      </c>
      <c r="C12777" s="17" t="s">
        <v>71</v>
      </c>
      <c r="D12777" t="s">
        <v>34755</v>
      </c>
      <c r="F12777" t="s">
        <v>34756</v>
      </c>
      <c r="K12777" s="18">
        <f>628128662299</f>
        <v>628128662299</v>
      </c>
      <c r="N12777" s="17" t="s">
        <v>81</v>
      </c>
      <c r="U12777" s="17"/>
      <c r="V12777" s="18">
        <f>628128662299</f>
        <v>628128662299</v>
      </c>
      <c r="W12777" t="s">
        <v>34757</v>
      </c>
    </row>
    <row r="12778" ht="15" customHeight="1" spans="1:22" x14ac:dyDescent="0.25">
      <c r="A12778" s="17" t="s">
        <v>34758</v>
      </c>
      <c r="B12778" s="17" t="s">
        <v>70</v>
      </c>
      <c r="C12778" s="17" t="s">
        <v>71</v>
      </c>
      <c r="D12778" t="s">
        <v>34759</v>
      </c>
      <c r="F12778" t="s">
        <v>34759</v>
      </c>
      <c r="K12778" s="18">
        <f>62811170902</f>
        <v>62811170902</v>
      </c>
      <c r="N12778" s="17" t="s">
        <v>77</v>
      </c>
      <c r="V12778" s="18">
        <f>62811170902</f>
        <v>62811170902</v>
      </c>
    </row>
    <row r="12779" ht="15" customHeight="1" spans="1:22" x14ac:dyDescent="0.25">
      <c r="A12779" s="17" t="s">
        <v>34760</v>
      </c>
      <c r="B12779" s="17" t="s">
        <v>70</v>
      </c>
      <c r="C12779" s="17" t="s">
        <v>71</v>
      </c>
      <c r="D12779" t="s">
        <v>34761</v>
      </c>
      <c r="F12779" t="s">
        <v>4283</v>
      </c>
      <c r="K12779" s="18">
        <f>62818164697</f>
        <v>62818164697</v>
      </c>
      <c r="N12779" s="17" t="s">
        <v>81</v>
      </c>
      <c r="V12779" s="18">
        <f>62818164697</f>
        <v>62818164697</v>
      </c>
    </row>
    <row r="12780" ht="15" customHeight="1" spans="1:25" x14ac:dyDescent="0.25">
      <c r="A12780" s="17" t="s">
        <v>34762</v>
      </c>
      <c r="B12780" s="17" t="s">
        <v>70</v>
      </c>
      <c r="C12780" s="17" t="s">
        <v>71</v>
      </c>
      <c r="D12780" t="s">
        <v>34763</v>
      </c>
      <c r="F12780" t="s">
        <v>34764</v>
      </c>
      <c r="J12780" s="17" t="s">
        <v>34765</v>
      </c>
      <c r="K12780" s="18">
        <f>6285314069999</f>
        <v>6285314069999</v>
      </c>
      <c r="N12780" s="17" t="s">
        <v>77</v>
      </c>
      <c r="U12780" s="17"/>
      <c r="V12780" s="18">
        <f>6285314069999</f>
        <v>6285314069999</v>
      </c>
      <c r="W12780" t="s">
        <v>34766</v>
      </c>
      <c r="Y12780" s="17" t="s">
        <v>34767</v>
      </c>
    </row>
    <row r="12781" ht="15" customHeight="1" spans="1:23" x14ac:dyDescent="0.25">
      <c r="A12781" s="17" t="s">
        <v>34768</v>
      </c>
      <c r="B12781" s="17" t="s">
        <v>70</v>
      </c>
      <c r="C12781" s="17" t="s">
        <v>71</v>
      </c>
      <c r="D12781" t="s">
        <v>34769</v>
      </c>
      <c r="F12781" t="s">
        <v>34770</v>
      </c>
      <c r="K12781" s="18">
        <f>6329178748903</f>
        <v>6329178748903</v>
      </c>
      <c r="N12781" s="17" t="s">
        <v>77</v>
      </c>
      <c r="U12781" s="17"/>
      <c r="V12781" s="18">
        <f>6329178748903</f>
        <v>6329178748903</v>
      </c>
      <c r="W12781" t="s">
        <v>1349</v>
      </c>
    </row>
    <row r="12782" ht="15" customHeight="1" spans="1:22" x14ac:dyDescent="0.25">
      <c r="A12782" s="17" t="s">
        <v>34771</v>
      </c>
      <c r="B12782" s="17" t="s">
        <v>70</v>
      </c>
      <c r="C12782" s="17" t="s">
        <v>71</v>
      </c>
      <c r="D12782" t="s">
        <v>34772</v>
      </c>
      <c r="F12782" t="s">
        <v>34772</v>
      </c>
      <c r="K12782" s="18">
        <f>6281280906051</f>
        <v>6281280906051</v>
      </c>
      <c r="N12782" s="17" t="s">
        <v>74</v>
      </c>
      <c r="V12782" s="18">
        <f>6281280906051</f>
        <v>6281280906051</v>
      </c>
    </row>
    <row r="12783" ht="15" customHeight="1" spans="1:22" x14ac:dyDescent="0.25">
      <c r="A12783" s="17" t="s">
        <v>34773</v>
      </c>
      <c r="B12783" s="17" t="s">
        <v>70</v>
      </c>
      <c r="C12783" s="17" t="s">
        <v>71</v>
      </c>
      <c r="D12783" t="s">
        <v>34772</v>
      </c>
      <c r="F12783" t="s">
        <v>14918</v>
      </c>
      <c r="K12783" s="18">
        <f>62816971659</f>
        <v>62816971659</v>
      </c>
      <c r="N12783" s="17" t="s">
        <v>77</v>
      </c>
      <c r="V12783" s="18">
        <f>62816971659</f>
        <v>62816971659</v>
      </c>
    </row>
    <row r="12784" ht="15" customHeight="1" spans="1:28" x14ac:dyDescent="0.25">
      <c r="A12784" s="17" t="s">
        <v>34774</v>
      </c>
      <c r="B12784" s="17" t="s">
        <v>70</v>
      </c>
      <c r="C12784" s="17" t="s">
        <v>71</v>
      </c>
      <c r="D12784" t="s">
        <v>34772</v>
      </c>
      <c r="F12784" t="s">
        <v>3866</v>
      </c>
      <c r="J12784" t="s">
        <v>115</v>
      </c>
      <c r="K12784" s="18" t="s">
        <v>34775</v>
      </c>
      <c r="N12784" s="17" t="s">
        <v>81</v>
      </c>
      <c r="O12784" t="s">
        <v>199</v>
      </c>
      <c r="V12784" s="18" t="s">
        <v>34775</v>
      </c>
      <c r="Y12784" t="s">
        <v>90</v>
      </c>
      <c r="AA12784" t="s">
        <v>118</v>
      </c>
      <c r="AB12784" t="s">
        <v>119</v>
      </c>
    </row>
    <row r="12785" ht="15" customHeight="1" spans="1:27" x14ac:dyDescent="0.25">
      <c r="A12785" s="17" t="s">
        <v>34776</v>
      </c>
      <c r="B12785" s="17" t="s">
        <v>70</v>
      </c>
      <c r="C12785" s="17" t="s">
        <v>71</v>
      </c>
      <c r="D12785" t="s">
        <v>34772</v>
      </c>
      <c r="F12785" t="s">
        <v>2938</v>
      </c>
      <c r="J12785" s="17" t="s">
        <v>34777</v>
      </c>
      <c r="K12785" s="18">
        <f>628122652111</f>
        <v>628122652111</v>
      </c>
      <c r="N12785" s="17" t="s">
        <v>77</v>
      </c>
      <c r="U12785" s="17"/>
      <c r="V12785" s="18">
        <f>628122652111</f>
        <v>628122652111</v>
      </c>
      <c r="W12785" t="s">
        <v>34778</v>
      </c>
      <c r="Y12785" s="17" t="s">
        <v>1042</v>
      </c>
      <c r="AA12785" s="17">
        <v>57143</v>
      </c>
    </row>
    <row r="12786" ht="15" customHeight="1" spans="1:22" x14ac:dyDescent="0.25">
      <c r="A12786" s="17" t="s">
        <v>34779</v>
      </c>
      <c r="B12786" s="17" t="s">
        <v>70</v>
      </c>
      <c r="C12786" s="17" t="s">
        <v>71</v>
      </c>
      <c r="D12786" t="s">
        <v>34772</v>
      </c>
      <c r="F12786" t="s">
        <v>34780</v>
      </c>
      <c r="K12786" s="18">
        <f>62811808719</f>
        <v>62811808719</v>
      </c>
      <c r="N12786" s="17" t="s">
        <v>77</v>
      </c>
      <c r="V12786" s="18">
        <f>62811808719</f>
        <v>62811808719</v>
      </c>
    </row>
    <row r="12787" ht="15" customHeight="1" spans="1:22" x14ac:dyDescent="0.25">
      <c r="A12787" s="17" t="s">
        <v>34781</v>
      </c>
      <c r="B12787" s="17" t="s">
        <v>70</v>
      </c>
      <c r="C12787" s="17" t="s">
        <v>71</v>
      </c>
      <c r="D12787" t="s">
        <v>34772</v>
      </c>
      <c r="F12787" t="s">
        <v>1064</v>
      </c>
      <c r="K12787" s="18">
        <f>6285691116661</f>
        <v>6285691116661</v>
      </c>
      <c r="N12787" s="17" t="s">
        <v>81</v>
      </c>
      <c r="V12787" s="18">
        <f>6285691116661</f>
        <v>6285691116661</v>
      </c>
    </row>
    <row r="12788" ht="15" customHeight="1" spans="1:22" x14ac:dyDescent="0.25">
      <c r="A12788" s="17" t="s">
        <v>34782</v>
      </c>
      <c r="B12788" s="17" t="s">
        <v>70</v>
      </c>
      <c r="C12788" s="17" t="s">
        <v>71</v>
      </c>
      <c r="D12788" t="s">
        <v>34772</v>
      </c>
      <c r="F12788" t="s">
        <v>7304</v>
      </c>
      <c r="K12788" s="18">
        <v>8613501797111</v>
      </c>
      <c r="N12788" s="17" t="s">
        <v>77</v>
      </c>
      <c r="V12788" s="18">
        <v>8613501797111</v>
      </c>
    </row>
    <row r="12789" ht="15" customHeight="1" spans="1:22" x14ac:dyDescent="0.25">
      <c r="A12789" s="17" t="s">
        <v>34783</v>
      </c>
      <c r="B12789" s="17" t="s">
        <v>70</v>
      </c>
      <c r="C12789" s="17" t="s">
        <v>71</v>
      </c>
      <c r="D12789" t="s">
        <v>34772</v>
      </c>
      <c r="F12789" t="s">
        <v>34784</v>
      </c>
      <c r="K12789" s="18">
        <f>62811855107</f>
        <v>62811855107</v>
      </c>
      <c r="N12789" s="17" t="s">
        <v>77</v>
      </c>
      <c r="V12789" s="18">
        <f>62811855107</f>
        <v>62811855107</v>
      </c>
    </row>
    <row r="12790" ht="15" customHeight="1" spans="1:22" x14ac:dyDescent="0.25">
      <c r="A12790" s="17" t="s">
        <v>34785</v>
      </c>
      <c r="B12790" s="17" t="s">
        <v>70</v>
      </c>
      <c r="C12790" s="17" t="s">
        <v>71</v>
      </c>
      <c r="D12790" t="s">
        <v>34772</v>
      </c>
      <c r="F12790" t="s">
        <v>4591</v>
      </c>
      <c r="K12790" s="18">
        <f>62811598999</f>
        <v>62811598999</v>
      </c>
      <c r="N12790" s="17" t="s">
        <v>77</v>
      </c>
      <c r="V12790" s="18">
        <f>62811598999</f>
        <v>62811598999</v>
      </c>
    </row>
    <row r="12791" ht="15" customHeight="1" spans="1:22" x14ac:dyDescent="0.25">
      <c r="A12791" s="17" t="s">
        <v>34786</v>
      </c>
      <c r="B12791" s="17" t="s">
        <v>70</v>
      </c>
      <c r="C12791" s="17" t="s">
        <v>71</v>
      </c>
      <c r="D12791" t="s">
        <v>34772</v>
      </c>
      <c r="F12791" t="s">
        <v>1704</v>
      </c>
      <c r="K12791" s="18">
        <f>6281299258591</f>
        <v>6281299258591</v>
      </c>
      <c r="N12791" s="17" t="s">
        <v>81</v>
      </c>
      <c r="V12791" s="18">
        <f>6281299258591</f>
        <v>6281299258591</v>
      </c>
    </row>
    <row r="12792" ht="15" customHeight="1" spans="1:23" x14ac:dyDescent="0.25">
      <c r="A12792" s="17" t="s">
        <v>34787</v>
      </c>
      <c r="B12792" s="17" t="s">
        <v>70</v>
      </c>
      <c r="C12792" s="17" t="s">
        <v>71</v>
      </c>
      <c r="D12792" t="s">
        <v>34788</v>
      </c>
      <c r="F12792" t="s">
        <v>11494</v>
      </c>
      <c r="K12792" s="18">
        <f>628128525686</f>
        <v>628128525686</v>
      </c>
      <c r="N12792" s="17" t="s">
        <v>77</v>
      </c>
      <c r="U12792" s="17"/>
      <c r="V12792" s="18">
        <f>628128525686</f>
        <v>628128525686</v>
      </c>
      <c r="W12792" t="s">
        <v>34789</v>
      </c>
    </row>
    <row r="12793" ht="15" customHeight="1" spans="1:27" x14ac:dyDescent="0.25">
      <c r="A12793" s="17" t="s">
        <v>34790</v>
      </c>
      <c r="B12793" s="17" t="s">
        <v>70</v>
      </c>
      <c r="C12793" s="17" t="s">
        <v>71</v>
      </c>
      <c r="D12793" t="s">
        <v>34791</v>
      </c>
      <c r="F12793" t="s">
        <v>25581</v>
      </c>
      <c r="K12793" s="18">
        <v>80889109</v>
      </c>
      <c r="N12793" s="17" t="s">
        <v>77</v>
      </c>
      <c r="U12793" s="17"/>
      <c r="V12793" s="18">
        <v>80889109</v>
      </c>
      <c r="W12793" t="s">
        <v>34792</v>
      </c>
      <c r="Y12793" s="17" t="s">
        <v>515</v>
      </c>
      <c r="AA12793" s="17" t="s">
        <v>34793</v>
      </c>
    </row>
    <row r="12794" ht="15" customHeight="1" spans="1:22" x14ac:dyDescent="0.25">
      <c r="A12794" s="17" t="s">
        <v>34794</v>
      </c>
      <c r="B12794" s="17" t="s">
        <v>70</v>
      </c>
      <c r="C12794" s="17" t="s">
        <v>71</v>
      </c>
      <c r="D12794" t="s">
        <v>34795</v>
      </c>
      <c r="F12794" t="s">
        <v>34795</v>
      </c>
      <c r="K12794" s="18">
        <f>628119912299</f>
        <v>628119912299</v>
      </c>
      <c r="N12794" s="17" t="s">
        <v>77</v>
      </c>
      <c r="V12794" s="18">
        <f>628119912299</f>
        <v>628119912299</v>
      </c>
    </row>
    <row r="12795" ht="15" customHeight="1" spans="1:28" x14ac:dyDescent="0.25">
      <c r="A12795" s="17" t="s">
        <v>34796</v>
      </c>
      <c r="B12795" s="17" t="s">
        <v>70</v>
      </c>
      <c r="C12795" s="17" t="s">
        <v>71</v>
      </c>
      <c r="D12795" t="s">
        <v>34397</v>
      </c>
      <c r="F12795" t="s">
        <v>7089</v>
      </c>
      <c r="J12795" t="s">
        <v>115</v>
      </c>
      <c r="K12795" s="18" t="s">
        <v>34797</v>
      </c>
      <c r="N12795" s="17" t="s">
        <v>77</v>
      </c>
      <c r="O12795" t="s">
        <v>145</v>
      </c>
      <c r="U12795" s="17"/>
      <c r="V12795" s="18" t="s">
        <v>34797</v>
      </c>
      <c r="W12795" t="s">
        <v>90</v>
      </c>
      <c r="Y12795" t="s">
        <v>190</v>
      </c>
      <c r="AA12795" t="s">
        <v>118</v>
      </c>
      <c r="AB12795" t="s">
        <v>119</v>
      </c>
    </row>
    <row r="12796" ht="15" customHeight="1" spans="1:22" x14ac:dyDescent="0.25">
      <c r="A12796" s="17" t="s">
        <v>34798</v>
      </c>
      <c r="B12796" s="17" t="s">
        <v>70</v>
      </c>
      <c r="C12796" s="17" t="s">
        <v>71</v>
      </c>
      <c r="D12796" t="s">
        <v>34799</v>
      </c>
      <c r="F12796" t="s">
        <v>34799</v>
      </c>
      <c r="K12796" s="18">
        <f>628159324297</f>
        <v>628159324297</v>
      </c>
      <c r="N12796" s="17" t="s">
        <v>81</v>
      </c>
      <c r="V12796" s="18">
        <f>628159324297</f>
        <v>628159324297</v>
      </c>
    </row>
    <row r="12797" ht="15" customHeight="1" spans="1:22" x14ac:dyDescent="0.25">
      <c r="A12797" s="17" t="s">
        <v>34800</v>
      </c>
      <c r="B12797" s="17" t="s">
        <v>70</v>
      </c>
      <c r="C12797" s="17" t="s">
        <v>71</v>
      </c>
      <c r="D12797" t="s">
        <v>34801</v>
      </c>
      <c r="F12797" t="s">
        <v>34801</v>
      </c>
      <c r="K12797" s="18">
        <f>628161149456</f>
        <v>628161149456</v>
      </c>
      <c r="N12797" s="17" t="s">
        <v>77</v>
      </c>
      <c r="V12797" s="18">
        <f>628161149456</f>
        <v>628161149456</v>
      </c>
    </row>
    <row r="12798" ht="15" customHeight="1" spans="1:22" x14ac:dyDescent="0.25">
      <c r="A12798" s="17" t="s">
        <v>34802</v>
      </c>
      <c r="B12798" s="17" t="s">
        <v>70</v>
      </c>
      <c r="C12798" s="17" t="s">
        <v>71</v>
      </c>
      <c r="D12798" t="s">
        <v>34803</v>
      </c>
      <c r="F12798" t="s">
        <v>28124</v>
      </c>
      <c r="K12798" s="18">
        <f>628111903807</f>
        <v>628111903807</v>
      </c>
      <c r="N12798" s="17" t="s">
        <v>74</v>
      </c>
      <c r="V12798" s="18">
        <f>628111903807</f>
        <v>628111903807</v>
      </c>
    </row>
    <row r="12799" ht="15" customHeight="1" spans="1:25" x14ac:dyDescent="0.25">
      <c r="A12799" s="17" t="s">
        <v>34804</v>
      </c>
      <c r="B12799" s="17" t="s">
        <v>70</v>
      </c>
      <c r="C12799" s="17" t="s">
        <v>71</v>
      </c>
      <c r="D12799" t="s">
        <v>34805</v>
      </c>
      <c r="F12799" t="s">
        <v>34805</v>
      </c>
      <c r="J12799" s="17" t="s">
        <v>34806</v>
      </c>
      <c r="K12799" s="18">
        <f>62811798857</f>
        <v>62811798857</v>
      </c>
      <c r="N12799" s="17" t="s">
        <v>77</v>
      </c>
      <c r="U12799" s="17"/>
      <c r="V12799" s="18">
        <f>62811798857</f>
        <v>62811798857</v>
      </c>
      <c r="W12799" t="s">
        <v>34807</v>
      </c>
      <c r="Y12799" s="17" t="s">
        <v>1255</v>
      </c>
    </row>
    <row r="12800" ht="15" customHeight="1" spans="1:22" x14ac:dyDescent="0.25">
      <c r="A12800" s="17" t="s">
        <v>34808</v>
      </c>
      <c r="B12800" s="17" t="s">
        <v>70</v>
      </c>
      <c r="C12800" s="17" t="s">
        <v>71</v>
      </c>
      <c r="D12800" t="s">
        <v>34809</v>
      </c>
      <c r="F12800" t="s">
        <v>34809</v>
      </c>
      <c r="K12800" s="18">
        <f>6285717789927</f>
        <v>6285717789927</v>
      </c>
      <c r="N12800" s="17" t="s">
        <v>77</v>
      </c>
      <c r="V12800" s="18">
        <f>6285717789927</f>
        <v>6285717789927</v>
      </c>
    </row>
    <row r="12801" ht="15" customHeight="1" spans="1:22" x14ac:dyDescent="0.25">
      <c r="A12801" s="17" t="s">
        <v>34810</v>
      </c>
      <c r="B12801" s="17" t="s">
        <v>70</v>
      </c>
      <c r="C12801" s="17" t="s">
        <v>71</v>
      </c>
      <c r="D12801" t="s">
        <v>34809</v>
      </c>
      <c r="F12801" t="s">
        <v>9776</v>
      </c>
      <c r="K12801" s="18">
        <f>62816859404</f>
        <v>62816859404</v>
      </c>
      <c r="N12801" s="17" t="s">
        <v>74</v>
      </c>
      <c r="V12801" s="18">
        <f>62816859404</f>
        <v>62816859404</v>
      </c>
    </row>
    <row r="12802" ht="15" customHeight="1" spans="1:22" x14ac:dyDescent="0.25">
      <c r="A12802" s="17" t="s">
        <v>34811</v>
      </c>
      <c r="B12802" s="17" t="s">
        <v>70</v>
      </c>
      <c r="C12802" s="17" t="s">
        <v>71</v>
      </c>
      <c r="D12802" t="s">
        <v>34812</v>
      </c>
      <c r="F12802" t="s">
        <v>618</v>
      </c>
      <c r="K12802" s="18">
        <f>6285320194339</f>
        <v>6285320194339</v>
      </c>
      <c r="N12802" s="17" t="s">
        <v>77</v>
      </c>
      <c r="V12802" s="18">
        <f>6285320194339</f>
        <v>6285320194339</v>
      </c>
    </row>
    <row r="12803" ht="15" customHeight="1" spans="1:22" x14ac:dyDescent="0.25">
      <c r="A12803" s="17" t="s">
        <v>34813</v>
      </c>
      <c r="B12803" s="17" t="s">
        <v>70</v>
      </c>
      <c r="C12803" s="17" t="s">
        <v>71</v>
      </c>
      <c r="D12803" t="s">
        <v>34814</v>
      </c>
      <c r="F12803" t="s">
        <v>34815</v>
      </c>
      <c r="K12803" s="18">
        <f>62818988088</f>
        <v>62818988088</v>
      </c>
      <c r="N12803" s="17" t="s">
        <v>77</v>
      </c>
      <c r="V12803" s="18">
        <f>62818988088</f>
        <v>62818988088</v>
      </c>
    </row>
    <row r="12804" ht="15" customHeight="1" spans="1:22" x14ac:dyDescent="0.25">
      <c r="A12804" s="17" t="s">
        <v>34816</v>
      </c>
      <c r="B12804" s="17" t="s">
        <v>70</v>
      </c>
      <c r="C12804" s="17" t="s">
        <v>71</v>
      </c>
      <c r="D12804" t="s">
        <v>13861</v>
      </c>
      <c r="F12804" t="s">
        <v>13861</v>
      </c>
      <c r="K12804" s="18">
        <f>6281389007799</f>
        <v>6281389007799</v>
      </c>
      <c r="N12804" s="17" t="s">
        <v>77</v>
      </c>
      <c r="V12804" s="18">
        <f>6281389007799</f>
        <v>6281389007799</v>
      </c>
    </row>
    <row r="12805" ht="15" customHeight="1" spans="1:22" x14ac:dyDescent="0.25">
      <c r="A12805" s="17" t="s">
        <v>34817</v>
      </c>
      <c r="B12805" s="17" t="s">
        <v>70</v>
      </c>
      <c r="C12805" s="17" t="s">
        <v>71</v>
      </c>
      <c r="D12805" t="s">
        <v>13861</v>
      </c>
      <c r="F12805" t="s">
        <v>13861</v>
      </c>
      <c r="K12805" s="18">
        <f>628121233456</f>
        <v>628121233456</v>
      </c>
      <c r="N12805" s="17" t="s">
        <v>77</v>
      </c>
      <c r="V12805" s="18">
        <f>628121233456</f>
        <v>628121233456</v>
      </c>
    </row>
    <row r="12806" ht="15" customHeight="1" spans="1:22" x14ac:dyDescent="0.25">
      <c r="A12806" s="17" t="s">
        <v>34818</v>
      </c>
      <c r="B12806" s="17" t="s">
        <v>70</v>
      </c>
      <c r="C12806" s="17" t="s">
        <v>71</v>
      </c>
      <c r="D12806" t="s">
        <v>13861</v>
      </c>
      <c r="F12806" t="s">
        <v>13861</v>
      </c>
      <c r="K12806" s="18">
        <f>6287809464855</f>
        <v>6287809464855</v>
      </c>
      <c r="N12806" s="17" t="s">
        <v>74</v>
      </c>
      <c r="V12806" s="18">
        <f>6287809464855</f>
        <v>6287809464855</v>
      </c>
    </row>
    <row r="12807" ht="15" customHeight="1" spans="1:22" x14ac:dyDescent="0.25">
      <c r="A12807" s="17" t="s">
        <v>34819</v>
      </c>
      <c r="B12807" s="17" t="s">
        <v>70</v>
      </c>
      <c r="C12807" s="17" t="s">
        <v>71</v>
      </c>
      <c r="D12807" t="s">
        <v>13861</v>
      </c>
      <c r="F12807" t="s">
        <v>34820</v>
      </c>
      <c r="K12807" s="18">
        <f>6285768500000</f>
        <v>6285768500000</v>
      </c>
      <c r="N12807" s="17" t="s">
        <v>81</v>
      </c>
      <c r="V12807" s="18">
        <f>6285768500000</f>
        <v>6285768500000</v>
      </c>
    </row>
    <row r="12808" ht="15" customHeight="1" spans="1:22" x14ac:dyDescent="0.25">
      <c r="A12808" s="17" t="s">
        <v>34821</v>
      </c>
      <c r="B12808" s="17" t="s">
        <v>70</v>
      </c>
      <c r="C12808" s="17" t="s">
        <v>71</v>
      </c>
      <c r="D12808" t="s">
        <v>13861</v>
      </c>
      <c r="F12808" t="s">
        <v>548</v>
      </c>
      <c r="K12808" s="18">
        <f>62811404666</f>
        <v>62811404666</v>
      </c>
      <c r="N12808" s="17" t="s">
        <v>81</v>
      </c>
      <c r="V12808" s="18">
        <f>62811404666</f>
        <v>62811404666</v>
      </c>
    </row>
    <row r="12809" ht="15" customHeight="1" spans="1:25" x14ac:dyDescent="0.25">
      <c r="A12809" s="17" t="s">
        <v>34822</v>
      </c>
      <c r="B12809" s="17" t="s">
        <v>70</v>
      </c>
      <c r="C12809" s="17" t="s">
        <v>71</v>
      </c>
      <c r="D12809" t="s">
        <v>13861</v>
      </c>
      <c r="F12809" t="s">
        <v>2478</v>
      </c>
      <c r="J12809" s="17" t="s">
        <v>34823</v>
      </c>
      <c r="K12809" s="18">
        <f>622145843712</f>
        <v>622145843712</v>
      </c>
      <c r="N12809" s="17" t="s">
        <v>77</v>
      </c>
      <c r="U12809" s="17"/>
      <c r="V12809" s="18">
        <f>622145843712</f>
        <v>622145843712</v>
      </c>
      <c r="W12809" t="s">
        <v>34824</v>
      </c>
      <c r="Y12809" s="17" t="s">
        <v>90</v>
      </c>
    </row>
    <row r="12810" ht="15" customHeight="1" spans="1:22" x14ac:dyDescent="0.25">
      <c r="A12810" s="17" t="s">
        <v>34825</v>
      </c>
      <c r="B12810" s="17" t="s">
        <v>70</v>
      </c>
      <c r="C12810" s="17" t="s">
        <v>71</v>
      </c>
      <c r="D12810" t="s">
        <v>13861</v>
      </c>
      <c r="F12810" t="s">
        <v>2754</v>
      </c>
      <c r="K12810" s="18">
        <f>6282124122596</f>
        <v>6282124122596</v>
      </c>
      <c r="N12810" s="17" t="s">
        <v>81</v>
      </c>
      <c r="V12810" s="18">
        <f>6282124122596</f>
        <v>6282124122596</v>
      </c>
    </row>
    <row r="12811" ht="15" customHeight="1" spans="1:23" x14ac:dyDescent="0.25">
      <c r="A12811" s="17" t="s">
        <v>34826</v>
      </c>
      <c r="B12811" s="17" t="s">
        <v>70</v>
      </c>
      <c r="C12811" s="17" t="s">
        <v>71</v>
      </c>
      <c r="D12811" t="s">
        <v>13861</v>
      </c>
      <c r="F12811" t="s">
        <v>1589</v>
      </c>
      <c r="K12811" s="18">
        <f>18482183532</f>
        <v>18482183532</v>
      </c>
      <c r="N12811" s="17" t="s">
        <v>77</v>
      </c>
      <c r="U12811" s="17"/>
      <c r="V12811" s="18">
        <f>18482183532</f>
        <v>18482183532</v>
      </c>
      <c r="W12811" t="s">
        <v>34827</v>
      </c>
    </row>
    <row r="12812" ht="15" customHeight="1" spans="1:22" x14ac:dyDescent="0.25">
      <c r="A12812" s="17" t="s">
        <v>34828</v>
      </c>
      <c r="B12812" s="17" t="s">
        <v>70</v>
      </c>
      <c r="C12812" s="17" t="s">
        <v>71</v>
      </c>
      <c r="D12812" t="s">
        <v>13861</v>
      </c>
      <c r="F12812" t="s">
        <v>494</v>
      </c>
      <c r="K12812" s="18">
        <f>6285342775629</f>
        <v>6285342775629</v>
      </c>
      <c r="N12812" s="17" t="s">
        <v>81</v>
      </c>
      <c r="V12812" s="18">
        <f>6285342775629</f>
        <v>6285342775629</v>
      </c>
    </row>
    <row r="12813" ht="15" customHeight="1" spans="1:27" x14ac:dyDescent="0.25">
      <c r="A12813" s="17" t="s">
        <v>34829</v>
      </c>
      <c r="B12813" s="17" t="s">
        <v>70</v>
      </c>
      <c r="C12813" s="17" t="s">
        <v>71</v>
      </c>
      <c r="D12813" t="s">
        <v>13861</v>
      </c>
      <c r="F12813" t="s">
        <v>5304</v>
      </c>
      <c r="K12813" s="18">
        <f>6281219511099</f>
        <v>6281219511099</v>
      </c>
      <c r="N12813" s="17" t="s">
        <v>77</v>
      </c>
      <c r="U12813" s="17"/>
      <c r="V12813" s="18">
        <f>6281219511099</f>
        <v>6281219511099</v>
      </c>
      <c r="W12813" t="s">
        <v>34830</v>
      </c>
      <c r="Y12813" s="17" t="s">
        <v>1084</v>
      </c>
      <c r="AA12813" s="17">
        <v>14460</v>
      </c>
    </row>
    <row r="12814" ht="15" customHeight="1" spans="1:22" x14ac:dyDescent="0.25">
      <c r="A12814" s="17" t="s">
        <v>34831</v>
      </c>
      <c r="B12814" s="17" t="s">
        <v>70</v>
      </c>
      <c r="C12814" s="17" t="s">
        <v>71</v>
      </c>
      <c r="D12814" t="s">
        <v>13861</v>
      </c>
      <c r="F12814" t="s">
        <v>3585</v>
      </c>
      <c r="K12814" s="18">
        <f>6281289221971</f>
        <v>6281289221971</v>
      </c>
      <c r="N12814" s="17" t="s">
        <v>81</v>
      </c>
      <c r="V12814" s="18">
        <f>6281289221971</f>
        <v>6281289221971</v>
      </c>
    </row>
    <row r="12815" ht="15" customHeight="1" spans="1:22" x14ac:dyDescent="0.25">
      <c r="A12815" s="17" t="s">
        <v>34832</v>
      </c>
      <c r="B12815" s="17" t="s">
        <v>70</v>
      </c>
      <c r="C12815" s="17" t="s">
        <v>71</v>
      </c>
      <c r="D12815" t="s">
        <v>34833</v>
      </c>
      <c r="F12815" t="s">
        <v>34833</v>
      </c>
      <c r="K12815" s="18">
        <f>628179998000</f>
        <v>628179998000</v>
      </c>
      <c r="N12815" s="17" t="s">
        <v>81</v>
      </c>
      <c r="V12815" s="18">
        <f>628179998000</f>
        <v>628179998000</v>
      </c>
    </row>
    <row r="12816" ht="15" customHeight="1" spans="1:22" x14ac:dyDescent="0.25">
      <c r="A12816" s="17" t="s">
        <v>34834</v>
      </c>
      <c r="B12816" s="17" t="s">
        <v>70</v>
      </c>
      <c r="C12816" s="17" t="s">
        <v>71</v>
      </c>
      <c r="D12816" t="s">
        <v>26262</v>
      </c>
      <c r="F12816" t="s">
        <v>26262</v>
      </c>
      <c r="K12816" s="18">
        <f>62811939728</f>
        <v>62811939728</v>
      </c>
      <c r="N12816" s="17" t="s">
        <v>77</v>
      </c>
      <c r="V12816" s="18">
        <f>62811939728</f>
        <v>62811939728</v>
      </c>
    </row>
    <row r="12817" ht="15" customHeight="1" spans="1:22" x14ac:dyDescent="0.25">
      <c r="A12817" s="17" t="s">
        <v>34835</v>
      </c>
      <c r="B12817" s="17" t="s">
        <v>70</v>
      </c>
      <c r="C12817" s="17" t="s">
        <v>71</v>
      </c>
      <c r="D12817" t="s">
        <v>34836</v>
      </c>
      <c r="F12817" t="s">
        <v>32687</v>
      </c>
      <c r="K12817" s="18">
        <f>6281319147878</f>
        <v>6281319147878</v>
      </c>
      <c r="N12817" s="17" t="s">
        <v>77</v>
      </c>
      <c r="V12817" s="18">
        <f>6281319147878</f>
        <v>6281319147878</v>
      </c>
    </row>
    <row r="12818" ht="15" customHeight="1" spans="1:22" x14ac:dyDescent="0.25">
      <c r="A12818" s="17" t="s">
        <v>34837</v>
      </c>
      <c r="B12818" s="17" t="s">
        <v>70</v>
      </c>
      <c r="C12818" s="17" t="s">
        <v>71</v>
      </c>
      <c r="D12818" t="s">
        <v>34838</v>
      </c>
      <c r="F12818" t="s">
        <v>34838</v>
      </c>
      <c r="K12818" s="18">
        <f>62817710112</f>
        <v>62817710112</v>
      </c>
      <c r="N12818" s="17" t="s">
        <v>77</v>
      </c>
      <c r="V12818" s="18">
        <f>62817710112</f>
        <v>62817710112</v>
      </c>
    </row>
    <row r="12819" ht="15" customHeight="1" spans="1:22" x14ac:dyDescent="0.25">
      <c r="A12819" s="17" t="s">
        <v>34839</v>
      </c>
      <c r="B12819" s="17" t="s">
        <v>70</v>
      </c>
      <c r="C12819" s="17" t="s">
        <v>71</v>
      </c>
      <c r="D12819" t="s">
        <v>34840</v>
      </c>
      <c r="F12819" t="s">
        <v>34841</v>
      </c>
      <c r="K12819" s="18">
        <f>6281318181111</f>
        <v>6281318181111</v>
      </c>
      <c r="N12819" s="17" t="s">
        <v>81</v>
      </c>
      <c r="V12819" s="18">
        <f>6281318181111</f>
        <v>6281318181111</v>
      </c>
    </row>
    <row r="12820" ht="15" customHeight="1" spans="1:22" x14ac:dyDescent="0.25">
      <c r="A12820" s="17" t="s">
        <v>34842</v>
      </c>
      <c r="B12820" s="17" t="s">
        <v>70</v>
      </c>
      <c r="C12820" s="17" t="s">
        <v>71</v>
      </c>
      <c r="D12820" t="s">
        <v>34843</v>
      </c>
      <c r="F12820" t="s">
        <v>672</v>
      </c>
      <c r="K12820" s="18">
        <f>62811434599</f>
        <v>62811434599</v>
      </c>
      <c r="N12820" s="17" t="s">
        <v>77</v>
      </c>
      <c r="V12820" s="18">
        <f>62811434599</f>
        <v>62811434599</v>
      </c>
    </row>
    <row r="12821" ht="15" customHeight="1" spans="1:22" x14ac:dyDescent="0.25">
      <c r="A12821" s="17" t="s">
        <v>34844</v>
      </c>
      <c r="B12821" s="17" t="s">
        <v>70</v>
      </c>
      <c r="C12821" s="17" t="s">
        <v>71</v>
      </c>
      <c r="D12821" t="s">
        <v>16932</v>
      </c>
      <c r="F12821" t="s">
        <v>16932</v>
      </c>
      <c r="K12821" s="18">
        <f>62816801270</f>
        <v>62816801270</v>
      </c>
      <c r="N12821" s="17" t="s">
        <v>81</v>
      </c>
      <c r="V12821" s="18">
        <f>62816801270</f>
        <v>62816801270</v>
      </c>
    </row>
    <row r="12822" ht="15" customHeight="1" spans="1:22" x14ac:dyDescent="0.25">
      <c r="A12822" s="17" t="s">
        <v>34845</v>
      </c>
      <c r="B12822" s="17" t="s">
        <v>70</v>
      </c>
      <c r="C12822" s="17" t="s">
        <v>71</v>
      </c>
      <c r="D12822" t="s">
        <v>16932</v>
      </c>
      <c r="F12822" t="s">
        <v>16932</v>
      </c>
      <c r="K12822" s="18">
        <f>628111297999</f>
        <v>628111297999</v>
      </c>
      <c r="N12822" s="17" t="s">
        <v>81</v>
      </c>
      <c r="V12822" s="18">
        <f>628111297999</f>
        <v>628111297999</v>
      </c>
    </row>
    <row r="12823" ht="15" customHeight="1" spans="1:22" x14ac:dyDescent="0.25">
      <c r="A12823" s="17" t="s">
        <v>34846</v>
      </c>
      <c r="B12823" s="17" t="s">
        <v>70</v>
      </c>
      <c r="C12823" s="17" t="s">
        <v>71</v>
      </c>
      <c r="D12823" t="s">
        <v>16932</v>
      </c>
      <c r="F12823" t="s">
        <v>16932</v>
      </c>
      <c r="K12823" s="18">
        <f>6221522530</f>
        <v>6221522530</v>
      </c>
      <c r="N12823" s="17" t="s">
        <v>77</v>
      </c>
      <c r="V12823" s="18">
        <f>6221522530</f>
        <v>6221522530</v>
      </c>
    </row>
    <row r="12824" ht="15" customHeight="1" spans="1:25" x14ac:dyDescent="0.25">
      <c r="A12824" s="17" t="s">
        <v>34847</v>
      </c>
      <c r="B12824" s="17" t="s">
        <v>70</v>
      </c>
      <c r="C12824" s="17" t="s">
        <v>71</v>
      </c>
      <c r="D12824" t="s">
        <v>16932</v>
      </c>
      <c r="F12824" t="s">
        <v>8492</v>
      </c>
      <c r="K12824" s="18">
        <f>628127523180</f>
        <v>628127523180</v>
      </c>
      <c r="N12824" s="17" t="s">
        <v>77</v>
      </c>
      <c r="U12824" s="17"/>
      <c r="V12824" s="18">
        <f>628127523180</f>
        <v>628127523180</v>
      </c>
      <c r="W12824" t="s">
        <v>34848</v>
      </c>
      <c r="Y12824" s="17" t="s">
        <v>34849</v>
      </c>
    </row>
    <row r="12825" ht="15" customHeight="1" spans="1:22" x14ac:dyDescent="0.25">
      <c r="A12825" s="17" t="s">
        <v>34850</v>
      </c>
      <c r="B12825" s="17" t="s">
        <v>70</v>
      </c>
      <c r="C12825" s="17" t="s">
        <v>71</v>
      </c>
      <c r="D12825" t="s">
        <v>16932</v>
      </c>
      <c r="F12825" t="s">
        <v>34145</v>
      </c>
      <c r="K12825" s="18">
        <f>628151800431</f>
        <v>628151800431</v>
      </c>
      <c r="N12825" s="17" t="s">
        <v>77</v>
      </c>
      <c r="V12825" s="18">
        <f>628151800431</f>
        <v>628151800431</v>
      </c>
    </row>
    <row r="12826" ht="15" customHeight="1" spans="1:22" x14ac:dyDescent="0.25">
      <c r="A12826" s="17" t="s">
        <v>34851</v>
      </c>
      <c r="B12826" s="17" t="s">
        <v>70</v>
      </c>
      <c r="C12826" s="17" t="s">
        <v>71</v>
      </c>
      <c r="D12826" t="s">
        <v>16932</v>
      </c>
      <c r="F12826" t="s">
        <v>34852</v>
      </c>
      <c r="K12826" s="18">
        <f>62811949788</f>
        <v>62811949788</v>
      </c>
      <c r="N12826" s="17" t="s">
        <v>74</v>
      </c>
      <c r="V12826" s="18">
        <f>62811949788</f>
        <v>62811949788</v>
      </c>
    </row>
    <row r="12827" ht="15" customHeight="1" spans="1:28" x14ac:dyDescent="0.25">
      <c r="A12827" s="17" t="s">
        <v>34853</v>
      </c>
      <c r="B12827" s="17" t="s">
        <v>70</v>
      </c>
      <c r="C12827" s="17" t="s">
        <v>71</v>
      </c>
      <c r="D12827" t="s">
        <v>16932</v>
      </c>
      <c r="F12827" t="s">
        <v>4833</v>
      </c>
      <c r="J12827" t="s">
        <v>34854</v>
      </c>
      <c r="K12827" s="18" t="s">
        <v>34855</v>
      </c>
      <c r="N12827" s="17" t="s">
        <v>77</v>
      </c>
      <c r="O12827" t="s">
        <v>261</v>
      </c>
      <c r="V12827" s="18" t="s">
        <v>34855</v>
      </c>
      <c r="Y12827" t="s">
        <v>378</v>
      </c>
      <c r="AA12827" t="s">
        <v>118</v>
      </c>
      <c r="AB12827" t="s">
        <v>119</v>
      </c>
    </row>
    <row r="12828" ht="15" customHeight="1" spans="1:25" x14ac:dyDescent="0.25">
      <c r="A12828" s="17" t="s">
        <v>34856</v>
      </c>
      <c r="B12828" s="17" t="s">
        <v>70</v>
      </c>
      <c r="C12828" s="17" t="s">
        <v>71</v>
      </c>
      <c r="D12828" t="s">
        <v>16932</v>
      </c>
      <c r="F12828" t="s">
        <v>1356</v>
      </c>
      <c r="K12828" s="18">
        <f>62816846310</f>
        <v>62816846310</v>
      </c>
      <c r="N12828" s="17" t="s">
        <v>77</v>
      </c>
      <c r="U12828" s="17"/>
      <c r="V12828" s="18">
        <f>62816846310</f>
        <v>62816846310</v>
      </c>
      <c r="W12828" t="s">
        <v>34857</v>
      </c>
      <c r="Y12828" s="17" t="s">
        <v>515</v>
      </c>
    </row>
    <row r="12829" ht="15" customHeight="1" spans="1:28" x14ac:dyDescent="0.25">
      <c r="A12829" s="17" t="s">
        <v>34858</v>
      </c>
      <c r="B12829" s="17" t="s">
        <v>70</v>
      </c>
      <c r="C12829" s="17" t="s">
        <v>71</v>
      </c>
      <c r="D12829" t="s">
        <v>16932</v>
      </c>
      <c r="F12829" t="s">
        <v>2159</v>
      </c>
      <c r="J12829" t="s">
        <v>115</v>
      </c>
      <c r="K12829" s="18" t="s">
        <v>34859</v>
      </c>
      <c r="N12829" s="17" t="s">
        <v>77</v>
      </c>
      <c r="O12829" t="s">
        <v>489</v>
      </c>
      <c r="U12829" s="17"/>
      <c r="V12829" s="18" t="s">
        <v>34859</v>
      </c>
      <c r="W12829" t="s">
        <v>90</v>
      </c>
      <c r="Y12829" t="s">
        <v>6937</v>
      </c>
      <c r="AA12829" t="s">
        <v>115</v>
      </c>
      <c r="AB12829" t="s">
        <v>6937</v>
      </c>
    </row>
    <row r="12830" ht="15" customHeight="1" spans="1:23" x14ac:dyDescent="0.25">
      <c r="A12830" s="17" t="s">
        <v>34860</v>
      </c>
      <c r="B12830" s="17" t="s">
        <v>70</v>
      </c>
      <c r="C12830" s="17" t="s">
        <v>71</v>
      </c>
      <c r="D12830" t="s">
        <v>16932</v>
      </c>
      <c r="F12830" t="s">
        <v>2159</v>
      </c>
      <c r="K12830" s="18">
        <f>628121026338</f>
        <v>628121026338</v>
      </c>
      <c r="N12830" s="17" t="s">
        <v>74</v>
      </c>
      <c r="U12830" s="17"/>
      <c r="V12830" s="18">
        <f>628121026338</f>
        <v>628121026338</v>
      </c>
      <c r="W12830" t="s">
        <v>34861</v>
      </c>
    </row>
    <row r="12831" ht="15" customHeight="1" spans="1:22" x14ac:dyDescent="0.25">
      <c r="A12831" s="17" t="s">
        <v>34862</v>
      </c>
      <c r="B12831" s="17" t="s">
        <v>70</v>
      </c>
      <c r="C12831" s="17" t="s">
        <v>71</v>
      </c>
      <c r="D12831" t="s">
        <v>16932</v>
      </c>
      <c r="F12831" t="s">
        <v>34863</v>
      </c>
      <c r="K12831" s="18">
        <f>628114108181</f>
        <v>628114108181</v>
      </c>
      <c r="N12831" s="17" t="s">
        <v>77</v>
      </c>
      <c r="V12831" s="18">
        <f>628114108181</f>
        <v>628114108181</v>
      </c>
    </row>
    <row r="12832" ht="15" customHeight="1" spans="1:22" x14ac:dyDescent="0.25">
      <c r="A12832" s="17" t="s">
        <v>34864</v>
      </c>
      <c r="B12832" s="17" t="s">
        <v>70</v>
      </c>
      <c r="C12832" s="17" t="s">
        <v>71</v>
      </c>
      <c r="D12832" t="s">
        <v>16932</v>
      </c>
      <c r="F12832" t="s">
        <v>821</v>
      </c>
      <c r="K12832" s="18">
        <f>62816800722</f>
        <v>62816800722</v>
      </c>
      <c r="N12832" s="17" t="s">
        <v>77</v>
      </c>
      <c r="V12832" s="18">
        <f>62816800722</f>
        <v>62816800722</v>
      </c>
    </row>
    <row r="12833" ht="15" customHeight="1" spans="1:22" x14ac:dyDescent="0.25">
      <c r="A12833" s="17" t="s">
        <v>34865</v>
      </c>
      <c r="B12833" s="17" t="s">
        <v>70</v>
      </c>
      <c r="C12833" s="17" t="s">
        <v>71</v>
      </c>
      <c r="D12833" t="s">
        <v>16932</v>
      </c>
      <c r="F12833" t="s">
        <v>34866</v>
      </c>
      <c r="K12833" s="18">
        <f>628161900893</f>
        <v>628161900893</v>
      </c>
      <c r="N12833" s="17" t="s">
        <v>81</v>
      </c>
      <c r="V12833" s="18">
        <f>628161900893</f>
        <v>628161900893</v>
      </c>
    </row>
    <row r="12834" ht="15" customHeight="1" spans="1:25" x14ac:dyDescent="0.25">
      <c r="A12834" s="17" t="s">
        <v>34867</v>
      </c>
      <c r="B12834" s="17" t="s">
        <v>70</v>
      </c>
      <c r="C12834" s="17" t="s">
        <v>71</v>
      </c>
      <c r="D12834" t="s">
        <v>16932</v>
      </c>
      <c r="F12834" t="s">
        <v>1169</v>
      </c>
      <c r="J12834" s="17" t="s">
        <v>34868</v>
      </c>
      <c r="K12834" s="18">
        <f>6281263424809</f>
        <v>6281263424809</v>
      </c>
      <c r="N12834" s="17" t="s">
        <v>77</v>
      </c>
      <c r="U12834" s="17"/>
      <c r="V12834" s="18">
        <f>6281263424809</f>
        <v>6281263424809</v>
      </c>
      <c r="W12834" t="s">
        <v>34869</v>
      </c>
      <c r="Y12834" s="17" t="s">
        <v>1157</v>
      </c>
    </row>
    <row r="12835" ht="15" customHeight="1" spans="1:27" x14ac:dyDescent="0.25">
      <c r="A12835" s="17" t="s">
        <v>34870</v>
      </c>
      <c r="B12835" s="17" t="s">
        <v>70</v>
      </c>
      <c r="C12835" s="17" t="s">
        <v>71</v>
      </c>
      <c r="D12835" t="s">
        <v>16932</v>
      </c>
      <c r="F12835" t="s">
        <v>4833</v>
      </c>
      <c r="J12835" s="17" t="s">
        <v>34871</v>
      </c>
      <c r="K12835" s="18">
        <f>62816908888</f>
        <v>62816908888</v>
      </c>
      <c r="N12835" s="17" t="s">
        <v>74</v>
      </c>
      <c r="U12835" s="17"/>
      <c r="V12835" s="18">
        <f>62816908888</f>
        <v>62816908888</v>
      </c>
      <c r="W12835" t="s">
        <v>34872</v>
      </c>
      <c r="Y12835" s="17" t="s">
        <v>378</v>
      </c>
      <c r="AA12835" s="17">
        <v>12190</v>
      </c>
    </row>
    <row r="12836" ht="15" customHeight="1" spans="1:22" x14ac:dyDescent="0.25">
      <c r="A12836" s="17" t="s">
        <v>34873</v>
      </c>
      <c r="B12836" s="17" t="s">
        <v>70</v>
      </c>
      <c r="C12836" s="17" t="s">
        <v>71</v>
      </c>
      <c r="D12836" t="s">
        <v>16932</v>
      </c>
      <c r="F12836" t="s">
        <v>740</v>
      </c>
      <c r="K12836" s="18">
        <f>6281381474994</f>
        <v>6281381474994</v>
      </c>
      <c r="N12836" s="17" t="s">
        <v>74</v>
      </c>
      <c r="V12836" s="18">
        <f>6281381474994</f>
        <v>6281381474994</v>
      </c>
    </row>
    <row r="12837" ht="15" customHeight="1" spans="1:22" x14ac:dyDescent="0.25">
      <c r="A12837" s="17" t="s">
        <v>34874</v>
      </c>
      <c r="B12837" s="17" t="s">
        <v>70</v>
      </c>
      <c r="C12837" s="17" t="s">
        <v>71</v>
      </c>
      <c r="D12837" t="s">
        <v>16932</v>
      </c>
      <c r="F12837" t="s">
        <v>3775</v>
      </c>
      <c r="K12837" s="18">
        <f>62811832803</f>
        <v>62811832803</v>
      </c>
      <c r="N12837" s="17" t="s">
        <v>77</v>
      </c>
      <c r="V12837" s="18">
        <f>62811832803</f>
        <v>62811832803</v>
      </c>
    </row>
    <row r="12838" ht="15" customHeight="1" spans="1:28" x14ac:dyDescent="0.25">
      <c r="A12838" s="17" t="s">
        <v>34875</v>
      </c>
      <c r="B12838" s="17" t="s">
        <v>70</v>
      </c>
      <c r="C12838" s="17" t="s">
        <v>71</v>
      </c>
      <c r="D12838" t="s">
        <v>16932</v>
      </c>
      <c r="F12838" t="s">
        <v>34876</v>
      </c>
      <c r="J12838" s="17" t="s">
        <v>34877</v>
      </c>
      <c r="K12838" s="18" t="s">
        <v>34878</v>
      </c>
      <c r="N12838" s="17" t="s">
        <v>77</v>
      </c>
      <c r="O12838" t="s">
        <v>199</v>
      </c>
      <c r="U12838" s="17"/>
      <c r="V12838" s="18" t="s">
        <v>34878</v>
      </c>
      <c r="W12838" t="s">
        <v>119</v>
      </c>
      <c r="Y12838" t="s">
        <v>181</v>
      </c>
      <c r="AA12838" t="s">
        <v>1672</v>
      </c>
      <c r="AB12838" t="s">
        <v>119</v>
      </c>
    </row>
    <row r="12839" ht="15" customHeight="1" spans="1:23" x14ac:dyDescent="0.25">
      <c r="A12839" s="17" t="s">
        <v>34879</v>
      </c>
      <c r="B12839" s="17" t="s">
        <v>70</v>
      </c>
      <c r="C12839" s="17" t="s">
        <v>71</v>
      </c>
      <c r="D12839" t="s">
        <v>16932</v>
      </c>
      <c r="F12839" t="s">
        <v>34880</v>
      </c>
      <c r="J12839" s="17" t="s">
        <v>34881</v>
      </c>
      <c r="K12839" s="18">
        <f>6281310105336</f>
        <v>6281310105336</v>
      </c>
      <c r="N12839" s="17" t="s">
        <v>77</v>
      </c>
      <c r="U12839" s="17"/>
      <c r="V12839" s="18">
        <f>6281310105336</f>
        <v>6281310105336</v>
      </c>
      <c r="W12839" t="s">
        <v>34882</v>
      </c>
    </row>
    <row r="12840" ht="15" customHeight="1" spans="1:22" x14ac:dyDescent="0.25">
      <c r="A12840" s="17" t="s">
        <v>34883</v>
      </c>
      <c r="B12840" s="17" t="s">
        <v>70</v>
      </c>
      <c r="C12840" s="17" t="s">
        <v>71</v>
      </c>
      <c r="D12840" t="s">
        <v>16932</v>
      </c>
      <c r="F12840" t="s">
        <v>34884</v>
      </c>
      <c r="K12840" s="18">
        <f>6281247258883</f>
        <v>6281247258883</v>
      </c>
      <c r="N12840" s="17" t="s">
        <v>77</v>
      </c>
      <c r="V12840" s="18">
        <f>6281247258883</f>
        <v>6281247258883</v>
      </c>
    </row>
    <row r="12841" ht="15" customHeight="1" spans="1:22" x14ac:dyDescent="0.25">
      <c r="A12841" s="17" t="s">
        <v>34885</v>
      </c>
      <c r="B12841" s="17" t="s">
        <v>70</v>
      </c>
      <c r="C12841" s="17" t="s">
        <v>71</v>
      </c>
      <c r="D12841" t="s">
        <v>16932</v>
      </c>
      <c r="F12841" t="s">
        <v>34886</v>
      </c>
      <c r="K12841" s="18">
        <f>62811828725</f>
        <v>62811828725</v>
      </c>
      <c r="N12841" s="17" t="s">
        <v>77</v>
      </c>
      <c r="V12841" s="18">
        <f>62811828725</f>
        <v>62811828725</v>
      </c>
    </row>
    <row r="12842" ht="15" customHeight="1" spans="1:22" x14ac:dyDescent="0.25">
      <c r="A12842" s="17" t="s">
        <v>34887</v>
      </c>
      <c r="B12842" s="17" t="s">
        <v>70</v>
      </c>
      <c r="C12842" s="17" t="s">
        <v>71</v>
      </c>
      <c r="D12842" t="s">
        <v>16932</v>
      </c>
      <c r="F12842" t="s">
        <v>1217</v>
      </c>
      <c r="K12842" s="18">
        <f>62811851211</f>
        <v>62811851211</v>
      </c>
      <c r="N12842" s="17" t="s">
        <v>77</v>
      </c>
      <c r="V12842" s="18">
        <f>62811851211</f>
        <v>62811851211</v>
      </c>
    </row>
    <row r="12843" ht="15" customHeight="1" spans="1:22" x14ac:dyDescent="0.25">
      <c r="A12843" s="17" t="s">
        <v>34888</v>
      </c>
      <c r="B12843" s="17" t="s">
        <v>70</v>
      </c>
      <c r="C12843" s="17" t="s">
        <v>71</v>
      </c>
      <c r="D12843" t="s">
        <v>16932</v>
      </c>
      <c r="F12843" t="s">
        <v>34889</v>
      </c>
      <c r="K12843" s="18">
        <f>628125562929</f>
        <v>628125562929</v>
      </c>
      <c r="N12843" s="17" t="s">
        <v>77</v>
      </c>
      <c r="V12843" s="18">
        <f>628125562929</f>
        <v>628125562929</v>
      </c>
    </row>
    <row r="12844" ht="15" customHeight="1" spans="1:22" x14ac:dyDescent="0.25">
      <c r="A12844" s="17" t="s">
        <v>34890</v>
      </c>
      <c r="B12844" s="17" t="s">
        <v>70</v>
      </c>
      <c r="C12844" s="17" t="s">
        <v>71</v>
      </c>
      <c r="D12844" t="s">
        <v>16932</v>
      </c>
      <c r="F12844" t="s">
        <v>34891</v>
      </c>
      <c r="K12844" s="18">
        <f>628121093838</f>
        <v>628121093838</v>
      </c>
      <c r="N12844" s="17" t="s">
        <v>77</v>
      </c>
      <c r="V12844" s="18">
        <f>628121093838</f>
        <v>628121093838</v>
      </c>
    </row>
    <row r="12845" ht="15" customHeight="1" spans="1:22" x14ac:dyDescent="0.25">
      <c r="A12845" s="17" t="s">
        <v>34892</v>
      </c>
      <c r="B12845" s="17" t="s">
        <v>70</v>
      </c>
      <c r="C12845" s="17" t="s">
        <v>71</v>
      </c>
      <c r="D12845" t="s">
        <v>16932</v>
      </c>
      <c r="F12845" t="s">
        <v>301</v>
      </c>
      <c r="K12845" s="18">
        <f>62811959733</f>
        <v>62811959733</v>
      </c>
      <c r="N12845" s="17" t="s">
        <v>77</v>
      </c>
      <c r="V12845" s="18">
        <f>62811959733</f>
        <v>62811959733</v>
      </c>
    </row>
    <row r="12846" ht="15" customHeight="1" spans="1:22" x14ac:dyDescent="0.25">
      <c r="A12846" s="17" t="s">
        <v>34893</v>
      </c>
      <c r="B12846" s="17" t="s">
        <v>70</v>
      </c>
      <c r="C12846" s="17" t="s">
        <v>71</v>
      </c>
      <c r="D12846" t="s">
        <v>16932</v>
      </c>
      <c r="F12846" t="s">
        <v>669</v>
      </c>
      <c r="K12846" s="18">
        <f>628115840384</f>
        <v>628115840384</v>
      </c>
      <c r="N12846" s="17" t="s">
        <v>77</v>
      </c>
      <c r="V12846" s="18">
        <f>628115840384</f>
        <v>628115840384</v>
      </c>
    </row>
    <row r="12847" ht="15" customHeight="1" spans="1:22" x14ac:dyDescent="0.25">
      <c r="A12847" s="17" t="s">
        <v>34894</v>
      </c>
      <c r="B12847" s="17" t="s">
        <v>70</v>
      </c>
      <c r="C12847" s="17" t="s">
        <v>71</v>
      </c>
      <c r="D12847" t="s">
        <v>16932</v>
      </c>
      <c r="F12847" t="s">
        <v>3976</v>
      </c>
      <c r="K12847" s="18">
        <f>6281519388880</f>
        <v>6281519388880</v>
      </c>
      <c r="N12847" s="17" t="s">
        <v>74</v>
      </c>
      <c r="V12847" s="18">
        <f>6281519388880</f>
        <v>6281519388880</v>
      </c>
    </row>
    <row r="12848" ht="15" customHeight="1" spans="1:22" x14ac:dyDescent="0.25">
      <c r="A12848" s="17" t="s">
        <v>34895</v>
      </c>
      <c r="B12848" s="17" t="s">
        <v>70</v>
      </c>
      <c r="C12848" s="17" t="s">
        <v>71</v>
      </c>
      <c r="D12848" t="s">
        <v>16932</v>
      </c>
      <c r="F12848" t="s">
        <v>1730</v>
      </c>
      <c r="K12848" s="18">
        <f>62816831688</f>
        <v>62816831688</v>
      </c>
      <c r="N12848" s="17" t="s">
        <v>77</v>
      </c>
      <c r="V12848" s="18">
        <f>62816831688</f>
        <v>62816831688</v>
      </c>
    </row>
    <row r="12849" ht="15" customHeight="1" spans="1:23" x14ac:dyDescent="0.25">
      <c r="A12849" s="17" t="s">
        <v>34896</v>
      </c>
      <c r="B12849" s="17" t="s">
        <v>70</v>
      </c>
      <c r="C12849" s="17" t="s">
        <v>71</v>
      </c>
      <c r="D12849" t="s">
        <v>16932</v>
      </c>
      <c r="F12849" t="s">
        <v>34897</v>
      </c>
      <c r="J12849" s="17" t="s">
        <v>34898</v>
      </c>
      <c r="K12849" s="18">
        <f>6281337599182</f>
        <v>6281337599182</v>
      </c>
      <c r="N12849" s="17" t="s">
        <v>77</v>
      </c>
      <c r="U12849" s="17"/>
      <c r="V12849" s="18">
        <f>6281337599182</f>
        <v>6281337599182</v>
      </c>
      <c r="W12849" t="s">
        <v>181</v>
      </c>
    </row>
    <row r="12850" ht="15" customHeight="1" spans="1:25" x14ac:dyDescent="0.25">
      <c r="A12850" s="17" t="s">
        <v>34899</v>
      </c>
      <c r="B12850" s="17" t="s">
        <v>70</v>
      </c>
      <c r="C12850" s="17" t="s">
        <v>71</v>
      </c>
      <c r="D12850" t="s">
        <v>34900</v>
      </c>
      <c r="F12850" t="s">
        <v>16265</v>
      </c>
      <c r="K12850" s="18">
        <v>5221185</v>
      </c>
      <c r="N12850" s="17" t="s">
        <v>74</v>
      </c>
      <c r="U12850" s="17"/>
      <c r="V12850" s="18">
        <v>5221185</v>
      </c>
      <c r="W12850" t="s">
        <v>34901</v>
      </c>
      <c r="Y12850" s="17" t="s">
        <v>96</v>
      </c>
    </row>
    <row r="12851" ht="15" customHeight="1" spans="1:23" x14ac:dyDescent="0.25">
      <c r="A12851" s="17" t="s">
        <v>34902</v>
      </c>
      <c r="B12851" s="17" t="s">
        <v>70</v>
      </c>
      <c r="C12851" s="17" t="s">
        <v>71</v>
      </c>
      <c r="D12851" t="s">
        <v>34903</v>
      </c>
      <c r="F12851" t="s">
        <v>3585</v>
      </c>
      <c r="K12851" s="18">
        <f>628111771173</f>
        <v>628111771173</v>
      </c>
      <c r="N12851" s="17" t="s">
        <v>77</v>
      </c>
      <c r="U12851" s="17"/>
      <c r="V12851" s="18">
        <f>628111771173</f>
        <v>628111771173</v>
      </c>
      <c r="W12851" t="s">
        <v>500</v>
      </c>
    </row>
    <row r="12852" ht="15" customHeight="1" spans="1:22" x14ac:dyDescent="0.25">
      <c r="A12852" s="17" t="s">
        <v>34904</v>
      </c>
      <c r="B12852" s="17" t="s">
        <v>70</v>
      </c>
      <c r="C12852" s="17" t="s">
        <v>71</v>
      </c>
      <c r="D12852" t="s">
        <v>34905</v>
      </c>
      <c r="F12852" t="s">
        <v>34906</v>
      </c>
      <c r="K12852" s="18">
        <f>628126625557</f>
        <v>628126625557</v>
      </c>
      <c r="N12852" s="17" t="s">
        <v>77</v>
      </c>
      <c r="V12852" s="18">
        <f>628126625557</f>
        <v>628126625557</v>
      </c>
    </row>
    <row r="12853" ht="15" customHeight="1" spans="1:28" x14ac:dyDescent="0.25">
      <c r="A12853" s="17" t="s">
        <v>34907</v>
      </c>
      <c r="B12853" s="17" t="s">
        <v>70</v>
      </c>
      <c r="C12853" s="17" t="s">
        <v>71</v>
      </c>
      <c r="D12853" t="s">
        <v>34905</v>
      </c>
      <c r="F12853" t="s">
        <v>34906</v>
      </c>
      <c r="J12853" t="s">
        <v>115</v>
      </c>
      <c r="K12853" s="18" t="s">
        <v>34908</v>
      </c>
      <c r="N12853" s="17" t="s">
        <v>77</v>
      </c>
      <c r="O12853" t="s">
        <v>117</v>
      </c>
      <c r="V12853" s="18" t="s">
        <v>34908</v>
      </c>
      <c r="Y12853" t="s">
        <v>190</v>
      </c>
      <c r="AA12853" t="s">
        <v>118</v>
      </c>
      <c r="AB12853" t="s">
        <v>119</v>
      </c>
    </row>
    <row r="12854" ht="15" customHeight="1" spans="1:28" x14ac:dyDescent="0.25">
      <c r="A12854" s="17" t="s">
        <v>34909</v>
      </c>
      <c r="B12854" s="17" t="s">
        <v>70</v>
      </c>
      <c r="C12854" s="17" t="s">
        <v>71</v>
      </c>
      <c r="D12854" t="s">
        <v>23855</v>
      </c>
      <c r="F12854" t="s">
        <v>14985</v>
      </c>
      <c r="J12854" t="s">
        <v>115</v>
      </c>
      <c r="K12854" s="18" t="s">
        <v>34910</v>
      </c>
      <c r="N12854" s="17" t="s">
        <v>77</v>
      </c>
      <c r="O12854" t="s">
        <v>145</v>
      </c>
      <c r="V12854" s="18" t="s">
        <v>34910</v>
      </c>
      <c r="Y12854" t="s">
        <v>115</v>
      </c>
      <c r="AA12854" t="s">
        <v>115</v>
      </c>
      <c r="AB12854" t="s">
        <v>119</v>
      </c>
    </row>
    <row r="12855" ht="15" customHeight="1" spans="1:28" x14ac:dyDescent="0.25">
      <c r="A12855" s="17" t="s">
        <v>34911</v>
      </c>
      <c r="B12855" s="17" t="s">
        <v>70</v>
      </c>
      <c r="C12855" s="17" t="s">
        <v>71</v>
      </c>
      <c r="D12855" t="s">
        <v>34912</v>
      </c>
      <c r="F12855" t="s">
        <v>7944</v>
      </c>
      <c r="J12855" s="17" t="s">
        <v>34913</v>
      </c>
      <c r="K12855" s="18" t="s">
        <v>34914</v>
      </c>
      <c r="N12855" s="17" t="s">
        <v>77</v>
      </c>
      <c r="O12855" t="s">
        <v>145</v>
      </c>
      <c r="U12855" s="17"/>
      <c r="V12855" s="18" t="s">
        <v>34914</v>
      </c>
      <c r="W12855" t="s">
        <v>34915</v>
      </c>
      <c r="Y12855" t="s">
        <v>90</v>
      </c>
      <c r="AA12855" t="s">
        <v>118</v>
      </c>
      <c r="AB12855" t="s">
        <v>119</v>
      </c>
    </row>
    <row r="12856" ht="15" customHeight="1" spans="1:28" x14ac:dyDescent="0.25">
      <c r="A12856" s="17" t="s">
        <v>34916</v>
      </c>
      <c r="B12856" s="17" t="s">
        <v>70</v>
      </c>
      <c r="C12856" s="17" t="s">
        <v>71</v>
      </c>
      <c r="D12856" t="s">
        <v>34917</v>
      </c>
      <c r="F12856" t="s">
        <v>34918</v>
      </c>
      <c r="J12856" s="17" t="s">
        <v>34919</v>
      </c>
      <c r="K12856" s="18" t="s">
        <v>34920</v>
      </c>
      <c r="N12856" s="17" t="s">
        <v>77</v>
      </c>
      <c r="O12856" t="s">
        <v>145</v>
      </c>
      <c r="U12856" s="17"/>
      <c r="V12856" s="18" t="s">
        <v>34920</v>
      </c>
      <c r="W12856" t="s">
        <v>34921</v>
      </c>
      <c r="Y12856" t="s">
        <v>335</v>
      </c>
      <c r="AA12856" t="s">
        <v>115</v>
      </c>
      <c r="AB12856" t="s">
        <v>119</v>
      </c>
    </row>
    <row r="12857" ht="15" customHeight="1" spans="1:28" x14ac:dyDescent="0.25">
      <c r="A12857" s="17" t="s">
        <v>34922</v>
      </c>
      <c r="B12857" s="17" t="s">
        <v>70</v>
      </c>
      <c r="C12857" s="17" t="s">
        <v>71</v>
      </c>
      <c r="D12857" t="s">
        <v>34923</v>
      </c>
      <c r="F12857" t="s">
        <v>34924</v>
      </c>
      <c r="J12857" t="s">
        <v>115</v>
      </c>
      <c r="K12857" s="18" t="s">
        <v>34925</v>
      </c>
      <c r="N12857" s="17" t="s">
        <v>74</v>
      </c>
      <c r="O12857" t="s">
        <v>489</v>
      </c>
      <c r="U12857" s="17"/>
      <c r="V12857" s="18" t="s">
        <v>34925</v>
      </c>
      <c r="W12857" t="s">
        <v>34926</v>
      </c>
      <c r="Y12857" s="17" t="s">
        <v>500</v>
      </c>
      <c r="AA12857" s="17" t="s">
        <v>501</v>
      </c>
      <c r="AB12857" t="s">
        <v>119</v>
      </c>
    </row>
    <row r="12858" ht="15" customHeight="1" spans="1:22" x14ac:dyDescent="0.25">
      <c r="A12858" s="17" t="s">
        <v>34927</v>
      </c>
      <c r="B12858" s="17" t="s">
        <v>70</v>
      </c>
      <c r="C12858" s="17" t="s">
        <v>71</v>
      </c>
      <c r="D12858" t="s">
        <v>34928</v>
      </c>
      <c r="F12858" t="s">
        <v>34928</v>
      </c>
      <c r="K12858" s="18">
        <f>6282116330069</f>
        <v>6282116330069</v>
      </c>
      <c r="N12858" s="17" t="s">
        <v>81</v>
      </c>
      <c r="V12858" s="18">
        <f>6282116330069</f>
        <v>6282116330069</v>
      </c>
    </row>
    <row r="12859" ht="15" customHeight="1" spans="1:28" x14ac:dyDescent="0.25">
      <c r="A12859" s="17" t="s">
        <v>34929</v>
      </c>
      <c r="B12859" s="17" t="s">
        <v>70</v>
      </c>
      <c r="C12859" s="17" t="s">
        <v>71</v>
      </c>
      <c r="D12859" t="s">
        <v>34930</v>
      </c>
      <c r="F12859" t="s">
        <v>4458</v>
      </c>
      <c r="J12859" t="s">
        <v>115</v>
      </c>
      <c r="K12859" s="18" t="s">
        <v>34931</v>
      </c>
      <c r="N12859" s="17" t="s">
        <v>77</v>
      </c>
      <c r="O12859" t="s">
        <v>117</v>
      </c>
      <c r="V12859" s="18" t="s">
        <v>34931</v>
      </c>
      <c r="Y12859" t="s">
        <v>190</v>
      </c>
      <c r="AA12859" t="s">
        <v>118</v>
      </c>
      <c r="AB12859" t="s">
        <v>119</v>
      </c>
    </row>
    <row r="12860" ht="15" customHeight="1" spans="1:23" x14ac:dyDescent="0.25">
      <c r="A12860" s="17" t="s">
        <v>34932</v>
      </c>
      <c r="B12860" s="17" t="s">
        <v>70</v>
      </c>
      <c r="C12860" s="17" t="s">
        <v>71</v>
      </c>
      <c r="D12860" t="s">
        <v>34933</v>
      </c>
      <c r="F12860" t="s">
        <v>34934</v>
      </c>
      <c r="K12860" s="18">
        <f>6281317555798</f>
        <v>6281317555798</v>
      </c>
      <c r="N12860" s="17" t="s">
        <v>77</v>
      </c>
      <c r="U12860" s="17"/>
      <c r="V12860" s="18">
        <f>6281317555798</f>
        <v>6281317555798</v>
      </c>
      <c r="W12860" t="s">
        <v>34935</v>
      </c>
    </row>
    <row r="12861" ht="15" customHeight="1" spans="1:25" x14ac:dyDescent="0.25">
      <c r="A12861" s="17" t="s">
        <v>34936</v>
      </c>
      <c r="B12861" s="17" t="s">
        <v>70</v>
      </c>
      <c r="C12861" s="17" t="s">
        <v>71</v>
      </c>
      <c r="D12861" t="s">
        <v>34937</v>
      </c>
      <c r="F12861" t="s">
        <v>34938</v>
      </c>
      <c r="K12861" s="18">
        <f>6596635318</f>
        <v>6596635318</v>
      </c>
      <c r="N12861" s="17" t="s">
        <v>77</v>
      </c>
      <c r="U12861" s="17"/>
      <c r="V12861" s="18">
        <f>6596635318</f>
        <v>6596635318</v>
      </c>
      <c r="W12861" t="s">
        <v>34939</v>
      </c>
      <c r="Y12861" s="17" t="s">
        <v>90</v>
      </c>
    </row>
    <row r="12862" ht="15" customHeight="1" spans="1:23" x14ac:dyDescent="0.25">
      <c r="A12862" s="17" t="s">
        <v>34940</v>
      </c>
      <c r="B12862" s="17" t="s">
        <v>70</v>
      </c>
      <c r="C12862" s="17" t="s">
        <v>71</v>
      </c>
      <c r="D12862" t="s">
        <v>34941</v>
      </c>
      <c r="F12862" t="s">
        <v>34942</v>
      </c>
      <c r="K12862" s="18">
        <f>628170098761</f>
        <v>628170098761</v>
      </c>
      <c r="N12862" s="17" t="s">
        <v>77</v>
      </c>
      <c r="U12862" s="17"/>
      <c r="V12862" s="18">
        <f>628170098761</f>
        <v>628170098761</v>
      </c>
      <c r="W12862" t="s">
        <v>34943</v>
      </c>
    </row>
    <row r="12863" ht="15" customHeight="1" spans="1:23" x14ac:dyDescent="0.25">
      <c r="A12863" s="17" t="s">
        <v>34944</v>
      </c>
      <c r="B12863" s="17" t="s">
        <v>70</v>
      </c>
      <c r="C12863" s="17" t="s">
        <v>71</v>
      </c>
      <c r="D12863" t="s">
        <v>34945</v>
      </c>
      <c r="F12863" t="s">
        <v>1976</v>
      </c>
      <c r="J12863" s="17" t="s">
        <v>34946</v>
      </c>
      <c r="K12863" s="18">
        <f>6282117122224</f>
        <v>6282117122224</v>
      </c>
      <c r="N12863" s="17" t="s">
        <v>77</v>
      </c>
      <c r="U12863" s="17"/>
      <c r="V12863" s="18">
        <f>6282117122224</f>
        <v>6282117122224</v>
      </c>
      <c r="W12863" t="s">
        <v>34947</v>
      </c>
    </row>
    <row r="12864" ht="15" customHeight="1" spans="1:23" x14ac:dyDescent="0.25">
      <c r="A12864" s="17" t="s">
        <v>34948</v>
      </c>
      <c r="B12864" s="17" t="s">
        <v>70</v>
      </c>
      <c r="C12864" s="17" t="s">
        <v>71</v>
      </c>
      <c r="D12864" t="s">
        <v>34949</v>
      </c>
      <c r="F12864" t="s">
        <v>1856</v>
      </c>
      <c r="K12864" s="18">
        <f>6281370892000</f>
        <v>6281370892000</v>
      </c>
      <c r="N12864" s="17" t="s">
        <v>77</v>
      </c>
      <c r="U12864" s="17"/>
      <c r="V12864" s="18">
        <f>6281370892000</f>
        <v>6281370892000</v>
      </c>
      <c r="W12864" t="s">
        <v>34950</v>
      </c>
    </row>
    <row r="12865" ht="15" customHeight="1" spans="1:22" x14ac:dyDescent="0.25">
      <c r="A12865" s="17" t="s">
        <v>34951</v>
      </c>
      <c r="B12865" s="17" t="s">
        <v>70</v>
      </c>
      <c r="C12865" s="17" t="s">
        <v>71</v>
      </c>
      <c r="D12865" t="s">
        <v>34952</v>
      </c>
      <c r="F12865" t="s">
        <v>34953</v>
      </c>
      <c r="K12865" s="18">
        <f>6281299580080</f>
        <v>6281299580080</v>
      </c>
      <c r="N12865" s="17" t="s">
        <v>77</v>
      </c>
      <c r="V12865" s="18">
        <f>6281299580080</f>
        <v>6281299580080</v>
      </c>
    </row>
    <row r="12866" ht="15" customHeight="1" spans="1:28" x14ac:dyDescent="0.25">
      <c r="A12866" s="17" t="s">
        <v>34954</v>
      </c>
      <c r="B12866" s="17" t="s">
        <v>70</v>
      </c>
      <c r="C12866" s="17" t="s">
        <v>71</v>
      </c>
      <c r="D12866" t="s">
        <v>34955</v>
      </c>
      <c r="F12866" t="s">
        <v>2386</v>
      </c>
      <c r="J12866" t="s">
        <v>115</v>
      </c>
      <c r="K12866" s="18" t="s">
        <v>34956</v>
      </c>
      <c r="N12866" s="17" t="s">
        <v>77</v>
      </c>
      <c r="O12866" t="s">
        <v>117</v>
      </c>
      <c r="V12866" s="18" t="s">
        <v>34956</v>
      </c>
      <c r="Y12866" t="s">
        <v>96</v>
      </c>
      <c r="AA12866" t="s">
        <v>693</v>
      </c>
      <c r="AB12866" t="s">
        <v>119</v>
      </c>
    </row>
    <row r="12867" ht="15" customHeight="1" spans="1:22" x14ac:dyDescent="0.25">
      <c r="A12867" s="17" t="s">
        <v>34957</v>
      </c>
      <c r="B12867" s="17" t="s">
        <v>70</v>
      </c>
      <c r="C12867" s="17" t="s">
        <v>71</v>
      </c>
      <c r="D12867" t="s">
        <v>34955</v>
      </c>
      <c r="F12867" t="s">
        <v>2563</v>
      </c>
      <c r="K12867" s="18">
        <f>62816790948</f>
        <v>62816790948</v>
      </c>
      <c r="N12867" s="17" t="s">
        <v>77</v>
      </c>
      <c r="V12867" s="18">
        <f>62816790948</f>
        <v>62816790948</v>
      </c>
    </row>
    <row r="12868" ht="15" customHeight="1" spans="1:25" x14ac:dyDescent="0.25">
      <c r="A12868" s="17" t="s">
        <v>34958</v>
      </c>
      <c r="B12868" s="17" t="s">
        <v>70</v>
      </c>
      <c r="C12868" s="17" t="s">
        <v>71</v>
      </c>
      <c r="D12868" t="s">
        <v>34959</v>
      </c>
      <c r="F12868" t="s">
        <v>150</v>
      </c>
      <c r="K12868" s="18">
        <f>6281250769200</f>
        <v>6281250769200</v>
      </c>
      <c r="N12868" s="17" t="s">
        <v>77</v>
      </c>
      <c r="U12868" s="17"/>
      <c r="V12868" s="18">
        <f>6281250769200</f>
        <v>6281250769200</v>
      </c>
      <c r="W12868" t="s">
        <v>34960</v>
      </c>
      <c r="Y12868" s="17" t="s">
        <v>1151</v>
      </c>
    </row>
    <row r="12869" ht="15" customHeight="1" spans="1:22" x14ac:dyDescent="0.25">
      <c r="A12869" s="17" t="s">
        <v>34961</v>
      </c>
      <c r="B12869" s="17" t="s">
        <v>70</v>
      </c>
      <c r="C12869" s="17" t="s">
        <v>71</v>
      </c>
      <c r="D12869" t="s">
        <v>34962</v>
      </c>
      <c r="F12869" t="s">
        <v>34962</v>
      </c>
      <c r="K12869" s="18">
        <f>62818720133</f>
        <v>62818720133</v>
      </c>
      <c r="N12869" s="17" t="s">
        <v>77</v>
      </c>
      <c r="V12869" s="18">
        <f>62818720133</f>
        <v>62818720133</v>
      </c>
    </row>
    <row r="12870" ht="15" customHeight="1" spans="1:23" x14ac:dyDescent="0.25">
      <c r="A12870" s="17" t="s">
        <v>34963</v>
      </c>
      <c r="B12870" s="17" t="s">
        <v>70</v>
      </c>
      <c r="C12870" s="17" t="s">
        <v>71</v>
      </c>
      <c r="D12870" t="s">
        <v>26795</v>
      </c>
      <c r="F12870" t="s">
        <v>34964</v>
      </c>
      <c r="J12870" s="17" t="s">
        <v>34965</v>
      </c>
      <c r="K12870" s="18">
        <f>79251726668</f>
        <v>79251726668</v>
      </c>
      <c r="N12870" s="17" t="s">
        <v>77</v>
      </c>
      <c r="U12870" s="17"/>
      <c r="V12870" s="18">
        <f>79251726668</f>
        <v>79251726668</v>
      </c>
      <c r="W12870" t="s">
        <v>34966</v>
      </c>
    </row>
    <row r="12871" ht="15" customHeight="1" spans="1:28" x14ac:dyDescent="0.25">
      <c r="A12871" s="17" t="s">
        <v>34967</v>
      </c>
      <c r="B12871" s="17" t="s">
        <v>70</v>
      </c>
      <c r="C12871" s="17" t="s">
        <v>71</v>
      </c>
      <c r="D12871" t="s">
        <v>26795</v>
      </c>
      <c r="F12871" t="s">
        <v>34968</v>
      </c>
      <c r="J12871" t="s">
        <v>34969</v>
      </c>
      <c r="K12871" s="18" t="s">
        <v>34970</v>
      </c>
      <c r="N12871" s="17" t="s">
        <v>77</v>
      </c>
      <c r="O12871" t="s">
        <v>145</v>
      </c>
      <c r="U12871" s="17"/>
      <c r="V12871" s="18" t="s">
        <v>34970</v>
      </c>
      <c r="W12871" t="s">
        <v>30710</v>
      </c>
      <c r="Y12871" t="s">
        <v>115</v>
      </c>
      <c r="AA12871" t="s">
        <v>115</v>
      </c>
      <c r="AB12871" t="s">
        <v>119</v>
      </c>
    </row>
    <row r="12872" ht="15" customHeight="1" spans="1:25" x14ac:dyDescent="0.25">
      <c r="A12872" s="17" t="s">
        <v>34971</v>
      </c>
      <c r="B12872" s="17" t="s">
        <v>70</v>
      </c>
      <c r="C12872" s="17" t="s">
        <v>71</v>
      </c>
      <c r="D12872" t="s">
        <v>26795</v>
      </c>
      <c r="F12872" t="s">
        <v>2320</v>
      </c>
      <c r="K12872" s="18">
        <f>6285710540006</f>
        <v>6285710540006</v>
      </c>
      <c r="N12872" s="17" t="s">
        <v>77</v>
      </c>
      <c r="U12872" s="17"/>
      <c r="V12872" s="18">
        <f>6285710540006</f>
        <v>6285710540006</v>
      </c>
      <c r="W12872" t="s">
        <v>16350</v>
      </c>
      <c r="Y12872" s="17" t="s">
        <v>96</v>
      </c>
    </row>
    <row r="12873" ht="15" customHeight="1" spans="1:22" x14ac:dyDescent="0.25">
      <c r="A12873" s="17" t="s">
        <v>34972</v>
      </c>
      <c r="B12873" s="17" t="s">
        <v>70</v>
      </c>
      <c r="C12873" s="17" t="s">
        <v>71</v>
      </c>
      <c r="D12873" t="s">
        <v>26795</v>
      </c>
      <c r="F12873" t="s">
        <v>672</v>
      </c>
      <c r="K12873" s="18">
        <f>628111929565</f>
        <v>628111929565</v>
      </c>
      <c r="N12873" s="17" t="s">
        <v>77</v>
      </c>
      <c r="V12873" s="18">
        <f>628111929565</f>
        <v>628111929565</v>
      </c>
    </row>
    <row r="12874" ht="15" customHeight="1" spans="1:25" x14ac:dyDescent="0.25">
      <c r="A12874" s="17" t="s">
        <v>34973</v>
      </c>
      <c r="B12874" s="17" t="s">
        <v>70</v>
      </c>
      <c r="C12874" s="17" t="s">
        <v>71</v>
      </c>
      <c r="D12874" t="s">
        <v>1750</v>
      </c>
      <c r="F12874" t="s">
        <v>1750</v>
      </c>
      <c r="J12874" s="17" t="s">
        <v>34974</v>
      </c>
      <c r="K12874" s="18">
        <f>628557876787</f>
        <v>628557876787</v>
      </c>
      <c r="N12874" s="17" t="s">
        <v>77</v>
      </c>
      <c r="U12874" s="17"/>
      <c r="V12874" s="18">
        <f>628557876787</f>
        <v>628557876787</v>
      </c>
      <c r="W12874" t="s">
        <v>34975</v>
      </c>
      <c r="Y12874" s="17" t="s">
        <v>378</v>
      </c>
    </row>
    <row r="12875" ht="15" customHeight="1" spans="1:22" x14ac:dyDescent="0.25">
      <c r="A12875" s="17" t="s">
        <v>34976</v>
      </c>
      <c r="B12875" s="17" t="s">
        <v>70</v>
      </c>
      <c r="C12875" s="17" t="s">
        <v>71</v>
      </c>
      <c r="D12875" t="s">
        <v>1750</v>
      </c>
      <c r="F12875" t="s">
        <v>9868</v>
      </c>
      <c r="K12875" s="18">
        <f>62811767887</f>
        <v>62811767887</v>
      </c>
      <c r="N12875" s="17" t="s">
        <v>77</v>
      </c>
      <c r="V12875" s="18">
        <f>62811767887</f>
        <v>62811767887</v>
      </c>
    </row>
    <row r="12876" ht="15" customHeight="1" spans="1:27" x14ac:dyDescent="0.25">
      <c r="A12876" s="17" t="s">
        <v>34977</v>
      </c>
      <c r="B12876" s="17" t="s">
        <v>70</v>
      </c>
      <c r="C12876" s="17" t="s">
        <v>71</v>
      </c>
      <c r="D12876" t="s">
        <v>34978</v>
      </c>
      <c r="F12876" t="s">
        <v>34978</v>
      </c>
      <c r="K12876" s="18">
        <f>6281322858386</f>
        <v>6281322858386</v>
      </c>
      <c r="N12876" s="17" t="s">
        <v>81</v>
      </c>
      <c r="U12876" s="17"/>
      <c r="V12876" s="18">
        <f>6281322858386</f>
        <v>6281322858386</v>
      </c>
      <c r="W12876" t="s">
        <v>34979</v>
      </c>
      <c r="AA12876" s="17">
        <v>40218</v>
      </c>
    </row>
    <row r="12877" ht="15" customHeight="1" spans="1:22" x14ac:dyDescent="0.25">
      <c r="A12877" s="17" t="s">
        <v>34980</v>
      </c>
      <c r="B12877" s="17" t="s">
        <v>70</v>
      </c>
      <c r="C12877" s="17" t="s">
        <v>71</v>
      </c>
      <c r="D12877" t="s">
        <v>34981</v>
      </c>
      <c r="F12877" t="s">
        <v>764</v>
      </c>
      <c r="K12877" s="18">
        <f>6281385000283</f>
        <v>6281385000283</v>
      </c>
      <c r="N12877" s="17" t="s">
        <v>74</v>
      </c>
      <c r="V12877" s="18">
        <f>6281385000283</f>
        <v>6281385000283</v>
      </c>
    </row>
    <row r="12878" ht="15" customHeight="1" spans="1:28" x14ac:dyDescent="0.25">
      <c r="A12878" s="17" t="s">
        <v>34982</v>
      </c>
      <c r="B12878" s="17" t="s">
        <v>70</v>
      </c>
      <c r="C12878" s="17" t="s">
        <v>71</v>
      </c>
      <c r="D12878" t="s">
        <v>34983</v>
      </c>
      <c r="F12878" t="s">
        <v>34983</v>
      </c>
      <c r="J12878" s="17" t="s">
        <v>34984</v>
      </c>
      <c r="K12878" s="18" t="s">
        <v>34985</v>
      </c>
      <c r="N12878" s="17" t="s">
        <v>81</v>
      </c>
      <c r="O12878" t="s">
        <v>145</v>
      </c>
      <c r="U12878" s="17"/>
      <c r="V12878" s="18" t="s">
        <v>34985</v>
      </c>
      <c r="W12878" t="s">
        <v>34986</v>
      </c>
      <c r="Y12878" t="s">
        <v>217</v>
      </c>
      <c r="AA12878" t="s">
        <v>218</v>
      </c>
      <c r="AB12878" t="s">
        <v>119</v>
      </c>
    </row>
    <row r="12879" ht="15" customHeight="1" spans="1:28" x14ac:dyDescent="0.25">
      <c r="A12879" s="17" t="s">
        <v>34987</v>
      </c>
      <c r="B12879" s="17" t="s">
        <v>70</v>
      </c>
      <c r="C12879" s="17" t="s">
        <v>71</v>
      </c>
      <c r="D12879" t="s">
        <v>34988</v>
      </c>
      <c r="F12879" t="s">
        <v>34989</v>
      </c>
      <c r="J12879" s="17" t="s">
        <v>34990</v>
      </c>
      <c r="K12879" s="18" t="s">
        <v>34991</v>
      </c>
      <c r="N12879" s="17" t="s">
        <v>77</v>
      </c>
      <c r="O12879" t="s">
        <v>145</v>
      </c>
      <c r="V12879" s="18" t="s">
        <v>34991</v>
      </c>
      <c r="Y12879" t="s">
        <v>190</v>
      </c>
      <c r="AA12879" t="s">
        <v>118</v>
      </c>
      <c r="AB12879" t="s">
        <v>119</v>
      </c>
    </row>
    <row r="12880" ht="15" customHeight="1" spans="1:22" x14ac:dyDescent="0.25">
      <c r="A12880" s="17" t="s">
        <v>34992</v>
      </c>
      <c r="B12880" s="17" t="s">
        <v>70</v>
      </c>
      <c r="C12880" s="17" t="s">
        <v>71</v>
      </c>
      <c r="D12880" t="s">
        <v>34993</v>
      </c>
      <c r="F12880" t="s">
        <v>34993</v>
      </c>
      <c r="K12880" s="18">
        <f>6281382097459</f>
        <v>6281382097459</v>
      </c>
      <c r="N12880" s="17" t="s">
        <v>81</v>
      </c>
      <c r="V12880" s="18">
        <f>6281382097459</f>
        <v>6281382097459</v>
      </c>
    </row>
    <row r="12881" ht="15" customHeight="1" spans="1:22" x14ac:dyDescent="0.25">
      <c r="A12881" s="17" t="s">
        <v>34994</v>
      </c>
      <c r="B12881" s="17" t="s">
        <v>70</v>
      </c>
      <c r="C12881" s="17" t="s">
        <v>71</v>
      </c>
      <c r="D12881" t="s">
        <v>34993</v>
      </c>
      <c r="F12881" t="s">
        <v>34993</v>
      </c>
      <c r="K12881" s="18">
        <f>6281318829419</f>
        <v>6281318829419</v>
      </c>
      <c r="N12881" s="17" t="s">
        <v>77</v>
      </c>
      <c r="V12881" s="18">
        <f>6281318829419</f>
        <v>6281318829419</v>
      </c>
    </row>
    <row r="12882" ht="15" customHeight="1" spans="1:28" x14ac:dyDescent="0.25">
      <c r="A12882" s="17" t="s">
        <v>34995</v>
      </c>
      <c r="B12882" s="17" t="s">
        <v>70</v>
      </c>
      <c r="C12882" s="17" t="s">
        <v>71</v>
      </c>
      <c r="D12882" t="s">
        <v>34996</v>
      </c>
      <c r="F12882" t="s">
        <v>34997</v>
      </c>
      <c r="J12882" s="17" t="s">
        <v>34998</v>
      </c>
      <c r="K12882" s="18" t="s">
        <v>34999</v>
      </c>
      <c r="N12882" s="17" t="s">
        <v>77</v>
      </c>
      <c r="O12882" t="s">
        <v>117</v>
      </c>
      <c r="V12882" s="18" t="s">
        <v>34999</v>
      </c>
      <c r="Y12882" t="s">
        <v>90</v>
      </c>
      <c r="AA12882" t="s">
        <v>118</v>
      </c>
      <c r="AB12882" t="s">
        <v>119</v>
      </c>
    </row>
    <row r="12883" ht="15" customHeight="1" spans="1:28" x14ac:dyDescent="0.25">
      <c r="A12883" s="17" t="s">
        <v>35000</v>
      </c>
      <c r="B12883" s="17" t="s">
        <v>70</v>
      </c>
      <c r="C12883" s="17" t="s">
        <v>71</v>
      </c>
      <c r="D12883" t="s">
        <v>31330</v>
      </c>
      <c r="F12883" t="s">
        <v>35001</v>
      </c>
      <c r="J12883" t="s">
        <v>115</v>
      </c>
      <c r="K12883" s="18" t="s">
        <v>35002</v>
      </c>
      <c r="N12883" s="17" t="s">
        <v>77</v>
      </c>
      <c r="O12883" t="s">
        <v>199</v>
      </c>
      <c r="U12883" s="17"/>
      <c r="V12883" s="18" t="s">
        <v>35002</v>
      </c>
      <c r="W12883" t="s">
        <v>930</v>
      </c>
      <c r="Y12883" t="s">
        <v>930</v>
      </c>
      <c r="AA12883" t="s">
        <v>115</v>
      </c>
      <c r="AB12883" t="s">
        <v>930</v>
      </c>
    </row>
    <row r="12884" ht="15" customHeight="1" spans="1:23" x14ac:dyDescent="0.25">
      <c r="A12884" s="17" t="s">
        <v>35003</v>
      </c>
      <c r="B12884" s="17" t="s">
        <v>70</v>
      </c>
      <c r="C12884" s="17" t="s">
        <v>71</v>
      </c>
      <c r="D12884" t="s">
        <v>35004</v>
      </c>
      <c r="F12884" t="s">
        <v>35005</v>
      </c>
      <c r="K12884" s="18">
        <f>61438478776</f>
        <v>61438478776</v>
      </c>
      <c r="N12884" s="17" t="s">
        <v>77</v>
      </c>
      <c r="U12884" s="17"/>
      <c r="V12884" s="18">
        <f>61438478776</f>
        <v>61438478776</v>
      </c>
      <c r="W12884" t="s">
        <v>1903</v>
      </c>
    </row>
    <row r="12885" ht="15" customHeight="1" spans="1:22" x14ac:dyDescent="0.25">
      <c r="A12885" s="17" t="s">
        <v>35006</v>
      </c>
      <c r="B12885" s="17" t="s">
        <v>70</v>
      </c>
      <c r="C12885" s="17" t="s">
        <v>71</v>
      </c>
      <c r="D12885" t="s">
        <v>1783</v>
      </c>
      <c r="F12885" t="s">
        <v>6205</v>
      </c>
      <c r="K12885" s="18">
        <f>62811865924</f>
        <v>62811865924</v>
      </c>
      <c r="N12885" s="17" t="s">
        <v>81</v>
      </c>
      <c r="V12885" s="18">
        <f>62811865924</f>
        <v>62811865924</v>
      </c>
    </row>
    <row r="12886" ht="15" customHeight="1" spans="1:22" x14ac:dyDescent="0.25">
      <c r="A12886" s="17" t="s">
        <v>35007</v>
      </c>
      <c r="B12886" s="17" t="s">
        <v>70</v>
      </c>
      <c r="C12886" s="17" t="s">
        <v>71</v>
      </c>
      <c r="D12886" t="s">
        <v>35008</v>
      </c>
      <c r="F12886" t="s">
        <v>35008</v>
      </c>
      <c r="K12886" s="18">
        <f>628121088596</f>
        <v>628121088596</v>
      </c>
      <c r="N12886" s="17" t="s">
        <v>77</v>
      </c>
      <c r="V12886" s="18">
        <f>628121088596</f>
        <v>628121088596</v>
      </c>
    </row>
    <row r="12887" ht="15" customHeight="1" spans="1:28" x14ac:dyDescent="0.25">
      <c r="A12887" s="17" t="s">
        <v>35009</v>
      </c>
      <c r="B12887" s="17" t="s">
        <v>70</v>
      </c>
      <c r="C12887" s="17" t="s">
        <v>71</v>
      </c>
      <c r="D12887" t="s">
        <v>24510</v>
      </c>
      <c r="F12887" t="s">
        <v>24510</v>
      </c>
      <c r="J12887" t="s">
        <v>115</v>
      </c>
      <c r="K12887" s="18" t="s">
        <v>35010</v>
      </c>
      <c r="N12887" s="17" t="s">
        <v>77</v>
      </c>
      <c r="O12887" t="s">
        <v>145</v>
      </c>
      <c r="V12887" s="18" t="s">
        <v>35010</v>
      </c>
      <c r="Y12887" t="s">
        <v>30304</v>
      </c>
      <c r="AA12887" t="s">
        <v>115</v>
      </c>
      <c r="AB12887" t="s">
        <v>119</v>
      </c>
    </row>
    <row r="12888" ht="15" customHeight="1" spans="1:25" x14ac:dyDescent="0.25">
      <c r="A12888" s="17" t="s">
        <v>35011</v>
      </c>
      <c r="B12888" s="17" t="s">
        <v>70</v>
      </c>
      <c r="C12888" s="17" t="s">
        <v>71</v>
      </c>
      <c r="D12888" t="s">
        <v>35012</v>
      </c>
      <c r="F12888" t="s">
        <v>35013</v>
      </c>
      <c r="K12888" s="18">
        <f>6282132369919</f>
        <v>6282132369919</v>
      </c>
      <c r="N12888" s="17" t="s">
        <v>77</v>
      </c>
      <c r="U12888" s="17"/>
      <c r="V12888" s="18">
        <f>6282132369919</f>
        <v>6282132369919</v>
      </c>
      <c r="W12888" t="s">
        <v>35014</v>
      </c>
      <c r="Y12888" s="17" t="s">
        <v>96</v>
      </c>
    </row>
    <row r="12889" ht="15" customHeight="1" spans="1:22" x14ac:dyDescent="0.25">
      <c r="A12889" s="17" t="s">
        <v>35015</v>
      </c>
      <c r="B12889" s="17" t="s">
        <v>70</v>
      </c>
      <c r="C12889" s="17" t="s">
        <v>71</v>
      </c>
      <c r="D12889" t="s">
        <v>35016</v>
      </c>
      <c r="F12889" t="s">
        <v>35017</v>
      </c>
      <c r="K12889" s="18">
        <v>541665189</v>
      </c>
      <c r="N12889" s="17" t="s">
        <v>77</v>
      </c>
      <c r="V12889" s="18">
        <v>541665189</v>
      </c>
    </row>
    <row r="12890" ht="15" customHeight="1" spans="1:22" x14ac:dyDescent="0.25">
      <c r="A12890" s="17" t="s">
        <v>35018</v>
      </c>
      <c r="B12890" s="17" t="s">
        <v>70</v>
      </c>
      <c r="C12890" s="17" t="s">
        <v>71</v>
      </c>
      <c r="D12890" t="s">
        <v>15518</v>
      </c>
      <c r="F12890" t="s">
        <v>35019</v>
      </c>
      <c r="J12890" s="17" t="s">
        <v>35020</v>
      </c>
      <c r="K12890" s="18">
        <f>628119103906</f>
        <v>628119103906</v>
      </c>
      <c r="N12890" s="17" t="s">
        <v>77</v>
      </c>
      <c r="V12890" s="18">
        <f>628119103906</f>
        <v>628119103906</v>
      </c>
    </row>
    <row r="12891" ht="15" customHeight="1" spans="1:22" x14ac:dyDescent="0.25">
      <c r="A12891" s="17" t="s">
        <v>35021</v>
      </c>
      <c r="B12891" s="17" t="s">
        <v>70</v>
      </c>
      <c r="C12891" s="17" t="s">
        <v>71</v>
      </c>
      <c r="D12891" t="s">
        <v>15518</v>
      </c>
      <c r="F12891" t="s">
        <v>2279</v>
      </c>
      <c r="K12891" s="18">
        <f>6281282991282</f>
        <v>6281282991282</v>
      </c>
      <c r="N12891" s="17" t="s">
        <v>77</v>
      </c>
      <c r="V12891" s="18">
        <f>6281282991282</f>
        <v>6281282991282</v>
      </c>
    </row>
    <row r="12892" ht="15" customHeight="1" spans="1:22" x14ac:dyDescent="0.25">
      <c r="A12892" s="17" t="s">
        <v>35022</v>
      </c>
      <c r="B12892" s="17" t="s">
        <v>70</v>
      </c>
      <c r="C12892" s="17" t="s">
        <v>71</v>
      </c>
      <c r="D12892" t="s">
        <v>15518</v>
      </c>
      <c r="F12892" t="s">
        <v>35023</v>
      </c>
      <c r="K12892" s="18">
        <f>6281806376366</f>
        <v>6281806376366</v>
      </c>
      <c r="N12892" s="17" t="s">
        <v>77</v>
      </c>
      <c r="V12892" s="18">
        <f>6281806376366</f>
        <v>6281806376366</v>
      </c>
    </row>
    <row r="12893" ht="15" customHeight="1" spans="1:23" x14ac:dyDescent="0.25">
      <c r="A12893" s="17" t="s">
        <v>35024</v>
      </c>
      <c r="B12893" s="17" t="s">
        <v>70</v>
      </c>
      <c r="C12893" s="17" t="s">
        <v>71</v>
      </c>
      <c r="D12893" t="s">
        <v>15518</v>
      </c>
      <c r="F12893" t="s">
        <v>35025</v>
      </c>
      <c r="J12893" s="17" t="s">
        <v>35026</v>
      </c>
      <c r="K12893" s="18">
        <f>62811917095</f>
        <v>62811917095</v>
      </c>
      <c r="N12893" s="17" t="s">
        <v>77</v>
      </c>
      <c r="U12893" s="17"/>
      <c r="V12893" s="18">
        <f>62811917095</f>
        <v>62811917095</v>
      </c>
      <c r="W12893" t="s">
        <v>35027</v>
      </c>
    </row>
    <row r="12894" ht="15" customHeight="1" spans="1:22" x14ac:dyDescent="0.25">
      <c r="A12894" s="17" t="s">
        <v>35028</v>
      </c>
      <c r="B12894" s="17" t="s">
        <v>70</v>
      </c>
      <c r="C12894" s="17" t="s">
        <v>71</v>
      </c>
      <c r="D12894" t="s">
        <v>15518</v>
      </c>
      <c r="F12894" t="s">
        <v>5115</v>
      </c>
      <c r="K12894" s="18">
        <f>6281330000057</f>
        <v>6281330000057</v>
      </c>
      <c r="N12894" s="17" t="s">
        <v>81</v>
      </c>
      <c r="V12894" s="18">
        <f>6281330000057</f>
        <v>6281330000057</v>
      </c>
    </row>
    <row r="12895" ht="15" customHeight="1" spans="1:22" x14ac:dyDescent="0.25">
      <c r="A12895" s="17" t="s">
        <v>35029</v>
      </c>
      <c r="B12895" s="17" t="s">
        <v>70</v>
      </c>
      <c r="C12895" s="17" t="s">
        <v>71</v>
      </c>
      <c r="D12895" t="s">
        <v>15518</v>
      </c>
      <c r="F12895" t="s">
        <v>35030</v>
      </c>
      <c r="K12895" s="18">
        <f>62818779015</f>
        <v>62818779015</v>
      </c>
      <c r="N12895" s="17" t="s">
        <v>77</v>
      </c>
      <c r="V12895" s="18">
        <f>62818779015</f>
        <v>62818779015</v>
      </c>
    </row>
    <row r="12896" ht="15" customHeight="1" spans="1:22" x14ac:dyDescent="0.25">
      <c r="A12896" s="17" t="s">
        <v>35031</v>
      </c>
      <c r="B12896" s="17" t="s">
        <v>70</v>
      </c>
      <c r="C12896" s="17" t="s">
        <v>71</v>
      </c>
      <c r="D12896" t="s">
        <v>35032</v>
      </c>
      <c r="F12896" t="s">
        <v>34906</v>
      </c>
      <c r="K12896" s="18">
        <f>628159008491</f>
        <v>628159008491</v>
      </c>
      <c r="N12896" s="17" t="s">
        <v>77</v>
      </c>
      <c r="V12896" s="18">
        <f>628159008491</f>
        <v>628159008491</v>
      </c>
    </row>
    <row r="12897" ht="15" customHeight="1" spans="1:28" x14ac:dyDescent="0.25">
      <c r="A12897" s="17" t="s">
        <v>35033</v>
      </c>
      <c r="B12897" s="17" t="s">
        <v>70</v>
      </c>
      <c r="C12897" s="17" t="s">
        <v>71</v>
      </c>
      <c r="D12897" t="s">
        <v>35034</v>
      </c>
      <c r="F12897" t="s">
        <v>35035</v>
      </c>
      <c r="J12897" t="s">
        <v>115</v>
      </c>
      <c r="K12897" s="18" t="s">
        <v>35036</v>
      </c>
      <c r="N12897" s="17" t="s">
        <v>77</v>
      </c>
      <c r="O12897" t="s">
        <v>117</v>
      </c>
      <c r="V12897" s="18" t="s">
        <v>35036</v>
      </c>
      <c r="Y12897" t="s">
        <v>90</v>
      </c>
      <c r="AA12897" t="s">
        <v>118</v>
      </c>
      <c r="AB12897" t="s">
        <v>119</v>
      </c>
    </row>
    <row r="12898" ht="15" customHeight="1" spans="1:23" x14ac:dyDescent="0.25">
      <c r="A12898" s="17" t="s">
        <v>35037</v>
      </c>
      <c r="B12898" s="17" t="s">
        <v>70</v>
      </c>
      <c r="C12898" s="17" t="s">
        <v>71</v>
      </c>
      <c r="D12898" t="s">
        <v>35038</v>
      </c>
      <c r="F12898" t="s">
        <v>35039</v>
      </c>
      <c r="K12898" s="18">
        <f>905327024419</f>
        <v>905327024419</v>
      </c>
      <c r="N12898" s="17" t="s">
        <v>77</v>
      </c>
      <c r="U12898" s="17"/>
      <c r="V12898" s="18">
        <f>905327024419</f>
        <v>905327024419</v>
      </c>
      <c r="W12898" t="s">
        <v>19259</v>
      </c>
    </row>
    <row r="12899" ht="15" customHeight="1" spans="1:22" x14ac:dyDescent="0.25">
      <c r="A12899" s="17" t="s">
        <v>35040</v>
      </c>
      <c r="B12899" s="17" t="s">
        <v>70</v>
      </c>
      <c r="C12899" s="17" t="s">
        <v>71</v>
      </c>
      <c r="D12899" t="s">
        <v>19591</v>
      </c>
      <c r="F12899" t="s">
        <v>19591</v>
      </c>
      <c r="K12899" s="18">
        <f>6285959372305</f>
        <v>6285959372305</v>
      </c>
      <c r="N12899" s="17" t="s">
        <v>81</v>
      </c>
      <c r="V12899" s="18">
        <f>6285959372305</f>
        <v>6285959372305</v>
      </c>
    </row>
    <row r="12900" ht="15" customHeight="1" spans="1:28" x14ac:dyDescent="0.25">
      <c r="A12900" s="17" t="s">
        <v>35041</v>
      </c>
      <c r="B12900" s="17" t="s">
        <v>70</v>
      </c>
      <c r="C12900" s="17" t="s">
        <v>71</v>
      </c>
      <c r="D12900" t="s">
        <v>19591</v>
      </c>
      <c r="F12900" t="s">
        <v>19591</v>
      </c>
      <c r="J12900" t="s">
        <v>115</v>
      </c>
      <c r="K12900" s="18" t="s">
        <v>35042</v>
      </c>
      <c r="N12900" s="17" t="s">
        <v>81</v>
      </c>
      <c r="O12900" t="s">
        <v>117</v>
      </c>
      <c r="V12900" s="18" t="s">
        <v>35042</v>
      </c>
      <c r="Y12900" t="s">
        <v>190</v>
      </c>
      <c r="AA12900" t="s">
        <v>118</v>
      </c>
      <c r="AB12900" t="s">
        <v>119</v>
      </c>
    </row>
    <row r="12901" ht="15" customHeight="1" spans="1:22" x14ac:dyDescent="0.25">
      <c r="A12901" s="17" t="s">
        <v>35043</v>
      </c>
      <c r="B12901" s="17" t="s">
        <v>70</v>
      </c>
      <c r="C12901" s="17" t="s">
        <v>71</v>
      </c>
      <c r="D12901" t="s">
        <v>19591</v>
      </c>
      <c r="F12901" t="s">
        <v>35044</v>
      </c>
      <c r="K12901" s="18">
        <f>6281766946221</f>
        <v>6281766946221</v>
      </c>
      <c r="N12901" s="17" t="s">
        <v>81</v>
      </c>
      <c r="V12901" s="18">
        <f>6281766946221</f>
        <v>6281766946221</v>
      </c>
    </row>
    <row r="12902" ht="15" customHeight="1" spans="1:28" x14ac:dyDescent="0.25">
      <c r="A12902" s="17" t="s">
        <v>35045</v>
      </c>
      <c r="B12902" s="17" t="s">
        <v>70</v>
      </c>
      <c r="C12902" s="17" t="s">
        <v>71</v>
      </c>
      <c r="D12902" t="s">
        <v>19591</v>
      </c>
      <c r="F12902" t="s">
        <v>35046</v>
      </c>
      <c r="J12902" t="s">
        <v>115</v>
      </c>
      <c r="K12902" s="18" t="s">
        <v>35047</v>
      </c>
      <c r="N12902" s="17" t="s">
        <v>74</v>
      </c>
      <c r="O12902" t="s">
        <v>261</v>
      </c>
      <c r="V12902" s="18" t="s">
        <v>35047</v>
      </c>
      <c r="Y12902" t="s">
        <v>378</v>
      </c>
      <c r="AA12902" t="s">
        <v>118</v>
      </c>
      <c r="AB12902" t="s">
        <v>119</v>
      </c>
    </row>
    <row r="12903" ht="15" customHeight="1" spans="1:28" x14ac:dyDescent="0.25">
      <c r="A12903" s="17" t="s">
        <v>35048</v>
      </c>
      <c r="B12903" s="17" t="s">
        <v>70</v>
      </c>
      <c r="C12903" s="17" t="s">
        <v>71</v>
      </c>
      <c r="D12903" t="s">
        <v>19591</v>
      </c>
      <c r="F12903" t="s">
        <v>5564</v>
      </c>
      <c r="J12903" s="17" t="s">
        <v>35049</v>
      </c>
      <c r="K12903" s="18" t="s">
        <v>35050</v>
      </c>
      <c r="N12903" s="17" t="s">
        <v>77</v>
      </c>
      <c r="O12903" t="s">
        <v>199</v>
      </c>
      <c r="U12903" s="17"/>
      <c r="V12903" s="18" t="s">
        <v>35050</v>
      </c>
      <c r="W12903" t="s">
        <v>35051</v>
      </c>
      <c r="Y12903" s="17" t="s">
        <v>500</v>
      </c>
      <c r="AA12903" t="s">
        <v>501</v>
      </c>
      <c r="AB12903" t="s">
        <v>119</v>
      </c>
    </row>
    <row r="12904" ht="15" customHeight="1" spans="1:22" x14ac:dyDescent="0.25">
      <c r="A12904" s="17" t="s">
        <v>35052</v>
      </c>
      <c r="B12904" s="17" t="s">
        <v>70</v>
      </c>
      <c r="C12904" s="17" t="s">
        <v>71</v>
      </c>
      <c r="D12904" t="s">
        <v>19591</v>
      </c>
      <c r="F12904" t="s">
        <v>12269</v>
      </c>
      <c r="K12904" s="18">
        <v>82111131313</v>
      </c>
      <c r="N12904" s="17" t="s">
        <v>74</v>
      </c>
      <c r="V12904" s="18">
        <v>82111131313</v>
      </c>
    </row>
    <row r="12905" ht="15" customHeight="1" spans="1:28" x14ac:dyDescent="0.25">
      <c r="A12905" s="17" t="s">
        <v>35053</v>
      </c>
      <c r="B12905" s="17" t="s">
        <v>70</v>
      </c>
      <c r="C12905" s="17" t="s">
        <v>71</v>
      </c>
      <c r="D12905" t="s">
        <v>19591</v>
      </c>
      <c r="F12905" t="s">
        <v>4291</v>
      </c>
      <c r="J12905" s="17" t="s">
        <v>35054</v>
      </c>
      <c r="K12905" s="18" t="s">
        <v>35055</v>
      </c>
      <c r="N12905" s="17" t="s">
        <v>81</v>
      </c>
      <c r="O12905" t="s">
        <v>117</v>
      </c>
      <c r="U12905" s="17"/>
      <c r="V12905" s="18" t="s">
        <v>35055</v>
      </c>
      <c r="W12905" t="s">
        <v>35056</v>
      </c>
      <c r="Y12905" s="17" t="s">
        <v>190</v>
      </c>
      <c r="AA12905" t="s">
        <v>118</v>
      </c>
      <c r="AB12905" t="s">
        <v>119</v>
      </c>
    </row>
    <row r="12906" ht="15" customHeight="1" spans="1:22" x14ac:dyDescent="0.25">
      <c r="A12906" s="17" t="s">
        <v>35057</v>
      </c>
      <c r="B12906" s="17" t="s">
        <v>70</v>
      </c>
      <c r="C12906" s="17" t="s">
        <v>71</v>
      </c>
      <c r="D12906" t="s">
        <v>19591</v>
      </c>
      <c r="F12906" t="s">
        <v>7860</v>
      </c>
      <c r="K12906" s="18">
        <f>6281288809765</f>
        <v>6281288809765</v>
      </c>
      <c r="N12906" s="17" t="s">
        <v>81</v>
      </c>
      <c r="V12906" s="18">
        <f>6281288809765</f>
        <v>6281288809765</v>
      </c>
    </row>
    <row r="12907" ht="15" customHeight="1" spans="1:22" x14ac:dyDescent="0.25">
      <c r="A12907" s="17" t="s">
        <v>35058</v>
      </c>
      <c r="B12907" s="17" t="s">
        <v>70</v>
      </c>
      <c r="C12907" s="17" t="s">
        <v>71</v>
      </c>
      <c r="D12907" t="s">
        <v>19591</v>
      </c>
      <c r="F12907" t="s">
        <v>6723</v>
      </c>
      <c r="J12907" s="17" t="s">
        <v>35059</v>
      </c>
      <c r="K12907" s="18">
        <f>628119953157</f>
        <v>628119953157</v>
      </c>
      <c r="N12907" s="17" t="s">
        <v>81</v>
      </c>
      <c r="V12907" s="18">
        <f>628119953157</f>
        <v>628119953157</v>
      </c>
    </row>
    <row r="12908" ht="15" customHeight="1" spans="1:22" x14ac:dyDescent="0.25">
      <c r="A12908" s="17" t="s">
        <v>35060</v>
      </c>
      <c r="B12908" s="17" t="s">
        <v>70</v>
      </c>
      <c r="C12908" s="17" t="s">
        <v>71</v>
      </c>
      <c r="D12908" t="s">
        <v>19591</v>
      </c>
      <c r="F12908" t="s">
        <v>35061</v>
      </c>
      <c r="K12908" s="18">
        <f>628118714148</f>
        <v>628118714148</v>
      </c>
      <c r="N12908" s="17" t="s">
        <v>81</v>
      </c>
      <c r="V12908" s="18">
        <f>628118714148</f>
        <v>628118714148</v>
      </c>
    </row>
    <row r="12909" ht="15" customHeight="1" spans="1:28" x14ac:dyDescent="0.25">
      <c r="A12909" s="17" t="s">
        <v>35062</v>
      </c>
      <c r="B12909" s="17" t="s">
        <v>70</v>
      </c>
      <c r="C12909" s="17" t="s">
        <v>71</v>
      </c>
      <c r="D12909" t="s">
        <v>19591</v>
      </c>
      <c r="F12909" t="s">
        <v>35063</v>
      </c>
      <c r="J12909" t="s">
        <v>115</v>
      </c>
      <c r="K12909" s="18" t="s">
        <v>35064</v>
      </c>
      <c r="N12909" s="17" t="s">
        <v>77</v>
      </c>
      <c r="O12909" t="s">
        <v>199</v>
      </c>
      <c r="V12909" s="18" t="s">
        <v>35064</v>
      </c>
      <c r="Y12909" t="s">
        <v>3140</v>
      </c>
      <c r="AA12909" t="s">
        <v>115</v>
      </c>
      <c r="AB12909" t="s">
        <v>3140</v>
      </c>
    </row>
    <row r="12910" ht="15" customHeight="1" spans="1:22" x14ac:dyDescent="0.25">
      <c r="A12910" s="17" t="s">
        <v>35065</v>
      </c>
      <c r="B12910" s="17" t="s">
        <v>70</v>
      </c>
      <c r="C12910" s="17" t="s">
        <v>71</v>
      </c>
      <c r="D12910" t="s">
        <v>19591</v>
      </c>
      <c r="F12910" t="s">
        <v>11076</v>
      </c>
      <c r="K12910" s="18">
        <f>6287886873255</f>
        <v>6287886873255</v>
      </c>
      <c r="N12910" s="17" t="s">
        <v>77</v>
      </c>
      <c r="V12910" s="18">
        <f>6287886873255</f>
        <v>6287886873255</v>
      </c>
    </row>
    <row r="12911" ht="15" customHeight="1" spans="1:22" x14ac:dyDescent="0.25">
      <c r="A12911" s="17" t="s">
        <v>35066</v>
      </c>
      <c r="B12911" s="17" t="s">
        <v>70</v>
      </c>
      <c r="C12911" s="17" t="s">
        <v>71</v>
      </c>
      <c r="D12911" t="s">
        <v>35067</v>
      </c>
      <c r="F12911" t="s">
        <v>7599</v>
      </c>
      <c r="K12911" s="18">
        <f>628111671876</f>
        <v>628111671876</v>
      </c>
      <c r="N12911" s="17" t="s">
        <v>81</v>
      </c>
      <c r="V12911" s="18">
        <f>628111671876</f>
        <v>628111671876</v>
      </c>
    </row>
    <row r="12912" ht="15" customHeight="1" spans="1:28" x14ac:dyDescent="0.25">
      <c r="A12912" s="17" t="s">
        <v>35068</v>
      </c>
      <c r="B12912" s="17" t="s">
        <v>70</v>
      </c>
      <c r="C12912" s="17" t="s">
        <v>71</v>
      </c>
      <c r="D12912" t="s">
        <v>35069</v>
      </c>
      <c r="F12912" t="s">
        <v>35070</v>
      </c>
      <c r="J12912" s="17" t="s">
        <v>35071</v>
      </c>
      <c r="K12912" s="18" t="s">
        <v>35072</v>
      </c>
      <c r="N12912" s="17" t="s">
        <v>74</v>
      </c>
      <c r="O12912" t="s">
        <v>117</v>
      </c>
      <c r="V12912" s="18" t="s">
        <v>35072</v>
      </c>
      <c r="Y12912" t="s">
        <v>1091</v>
      </c>
      <c r="AA12912" t="s">
        <v>115</v>
      </c>
      <c r="AB12912" t="s">
        <v>119</v>
      </c>
    </row>
    <row r="12913" ht="15" customHeight="1" spans="1:28" x14ac:dyDescent="0.25">
      <c r="A12913" s="17" t="s">
        <v>35073</v>
      </c>
      <c r="B12913" s="17" t="s">
        <v>70</v>
      </c>
      <c r="C12913" s="17" t="s">
        <v>71</v>
      </c>
      <c r="D12913" t="s">
        <v>35074</v>
      </c>
      <c r="F12913" t="s">
        <v>35074</v>
      </c>
      <c r="J12913" t="s">
        <v>115</v>
      </c>
      <c r="K12913" s="18" t="s">
        <v>35075</v>
      </c>
      <c r="N12913" s="17" t="s">
        <v>77</v>
      </c>
      <c r="O12913" t="s">
        <v>261</v>
      </c>
      <c r="V12913" s="18" t="s">
        <v>35075</v>
      </c>
      <c r="Y12913" t="s">
        <v>90</v>
      </c>
      <c r="AA12913" t="s">
        <v>118</v>
      </c>
      <c r="AB12913" t="s">
        <v>119</v>
      </c>
    </row>
    <row r="12914" ht="15" customHeight="1" spans="1:22" x14ac:dyDescent="0.25">
      <c r="A12914" s="17" t="s">
        <v>35076</v>
      </c>
      <c r="B12914" s="17" t="s">
        <v>70</v>
      </c>
      <c r="C12914" s="17" t="s">
        <v>71</v>
      </c>
      <c r="D12914" t="s">
        <v>35077</v>
      </c>
      <c r="F12914" t="s">
        <v>153</v>
      </c>
      <c r="K12914" s="18">
        <f>6281188899920</f>
        <v>6281188899920</v>
      </c>
      <c r="N12914" s="17" t="s">
        <v>77</v>
      </c>
      <c r="V12914" s="18">
        <f>6281188899920</f>
        <v>6281188899920</v>
      </c>
    </row>
    <row r="12915" ht="15" customHeight="1" spans="1:22" x14ac:dyDescent="0.25">
      <c r="A12915" s="17" t="s">
        <v>35078</v>
      </c>
      <c r="B12915" s="17" t="s">
        <v>70</v>
      </c>
      <c r="C12915" s="17" t="s">
        <v>71</v>
      </c>
      <c r="D12915" t="s">
        <v>35079</v>
      </c>
      <c r="F12915" t="s">
        <v>35080</v>
      </c>
      <c r="K12915" s="18">
        <f>62816996288</f>
        <v>62816996288</v>
      </c>
      <c r="N12915" s="17" t="s">
        <v>81</v>
      </c>
      <c r="V12915" s="18">
        <f>62816996288</f>
        <v>62816996288</v>
      </c>
    </row>
    <row r="12916" ht="15" customHeight="1" spans="1:28" x14ac:dyDescent="0.25">
      <c r="A12916" s="17" t="s">
        <v>35081</v>
      </c>
      <c r="B12916" s="17" t="s">
        <v>70</v>
      </c>
      <c r="C12916" s="17" t="s">
        <v>71</v>
      </c>
      <c r="D12916" t="s">
        <v>35082</v>
      </c>
      <c r="F12916" t="s">
        <v>35083</v>
      </c>
      <c r="J12916" t="s">
        <v>35084</v>
      </c>
      <c r="K12916" s="18" t="s">
        <v>35085</v>
      </c>
      <c r="N12916" s="17" t="s">
        <v>77</v>
      </c>
      <c r="O12916" t="s">
        <v>145</v>
      </c>
      <c r="U12916" s="17"/>
      <c r="V12916" s="18" t="s">
        <v>35085</v>
      </c>
      <c r="W12916" t="s">
        <v>35086</v>
      </c>
      <c r="Y12916" t="s">
        <v>115</v>
      </c>
      <c r="AA12916" t="s">
        <v>115</v>
      </c>
      <c r="AB12916" t="s">
        <v>2500</v>
      </c>
    </row>
    <row r="12917" ht="15" customHeight="1" spans="1:22" x14ac:dyDescent="0.25">
      <c r="A12917" s="17" t="s">
        <v>35087</v>
      </c>
      <c r="B12917" s="17" t="s">
        <v>70</v>
      </c>
      <c r="C12917" s="17" t="s">
        <v>71</v>
      </c>
      <c r="D12917" t="s">
        <v>35088</v>
      </c>
      <c r="F12917" t="s">
        <v>35088</v>
      </c>
      <c r="K12917" s="18">
        <f>62811630596</f>
        <v>62811630596</v>
      </c>
      <c r="N12917" s="17" t="s">
        <v>77</v>
      </c>
      <c r="V12917" s="18">
        <f>62811630596</f>
        <v>62811630596</v>
      </c>
    </row>
    <row r="12918" ht="15" customHeight="1" spans="1:28" x14ac:dyDescent="0.25">
      <c r="A12918" s="17" t="s">
        <v>35089</v>
      </c>
      <c r="B12918" s="17" t="s">
        <v>70</v>
      </c>
      <c r="C12918" s="17" t="s">
        <v>71</v>
      </c>
      <c r="D12918" t="s">
        <v>5768</v>
      </c>
      <c r="F12918" t="s">
        <v>35090</v>
      </c>
      <c r="J12918" s="17" t="s">
        <v>35091</v>
      </c>
      <c r="K12918" s="18" t="s">
        <v>35092</v>
      </c>
      <c r="N12918" s="17" t="s">
        <v>77</v>
      </c>
      <c r="O12918" t="s">
        <v>199</v>
      </c>
      <c r="V12918" s="18" t="s">
        <v>35092</v>
      </c>
      <c r="Y12918" t="s">
        <v>115</v>
      </c>
      <c r="AA12918" t="s">
        <v>115</v>
      </c>
      <c r="AB12918" t="s">
        <v>1306</v>
      </c>
    </row>
    <row r="12919" ht="15" customHeight="1" spans="1:22" x14ac:dyDescent="0.25">
      <c r="A12919" s="17" t="s">
        <v>35093</v>
      </c>
      <c r="B12919" s="17" t="s">
        <v>70</v>
      </c>
      <c r="C12919" s="17" t="s">
        <v>71</v>
      </c>
      <c r="D12919" t="s">
        <v>35094</v>
      </c>
      <c r="F12919" t="s">
        <v>35095</v>
      </c>
      <c r="K12919" s="18">
        <f>62811935544</f>
        <v>62811935544</v>
      </c>
      <c r="N12919" s="17" t="s">
        <v>81</v>
      </c>
      <c r="V12919" s="18">
        <f>62811935544</f>
        <v>62811935544</v>
      </c>
    </row>
    <row r="12920" ht="15" customHeight="1" spans="1:22" x14ac:dyDescent="0.25">
      <c r="A12920" s="17" t="s">
        <v>35096</v>
      </c>
      <c r="B12920" s="17" t="s">
        <v>70</v>
      </c>
      <c r="C12920" s="17" t="s">
        <v>71</v>
      </c>
      <c r="D12920" t="s">
        <v>35097</v>
      </c>
      <c r="F12920" t="s">
        <v>35098</v>
      </c>
      <c r="K12920" s="18">
        <f>6282110010051</f>
        <v>6282110010051</v>
      </c>
      <c r="N12920" s="17" t="s">
        <v>77</v>
      </c>
      <c r="V12920" s="18">
        <f>6282110010051</f>
        <v>6282110010051</v>
      </c>
    </row>
    <row r="12921" ht="15" customHeight="1" spans="1:22" x14ac:dyDescent="0.25">
      <c r="A12921" s="17" t="s">
        <v>35099</v>
      </c>
      <c r="B12921" s="17" t="s">
        <v>70</v>
      </c>
      <c r="C12921" s="17" t="s">
        <v>71</v>
      </c>
      <c r="D12921" t="s">
        <v>301</v>
      </c>
      <c r="F12921" t="s">
        <v>35100</v>
      </c>
      <c r="K12921" s="18">
        <f>628118893270</f>
        <v>628118893270</v>
      </c>
      <c r="N12921" s="17" t="s">
        <v>74</v>
      </c>
      <c r="V12921" s="18">
        <f>628118893270</f>
        <v>628118893270</v>
      </c>
    </row>
    <row r="12922" ht="15" customHeight="1" spans="1:23" x14ac:dyDescent="0.25">
      <c r="A12922" s="17" t="s">
        <v>35101</v>
      </c>
      <c r="B12922" s="17" t="s">
        <v>70</v>
      </c>
      <c r="C12922" s="17" t="s">
        <v>71</v>
      </c>
      <c r="D12922" t="s">
        <v>10192</v>
      </c>
      <c r="F12922" t="s">
        <v>35102</v>
      </c>
      <c r="K12922" s="18">
        <f>62818266789</f>
        <v>62818266789</v>
      </c>
      <c r="N12922" s="17" t="s">
        <v>77</v>
      </c>
      <c r="U12922" s="17"/>
      <c r="V12922" s="18">
        <f>62818266789</f>
        <v>62818266789</v>
      </c>
      <c r="W12922" t="s">
        <v>35103</v>
      </c>
    </row>
    <row r="12923" ht="15" customHeight="1" spans="1:22" x14ac:dyDescent="0.25">
      <c r="A12923" s="17" t="s">
        <v>35104</v>
      </c>
      <c r="B12923" s="17" t="s">
        <v>70</v>
      </c>
      <c r="C12923" s="17" t="s">
        <v>71</v>
      </c>
      <c r="D12923" t="s">
        <v>10192</v>
      </c>
      <c r="F12923" t="s">
        <v>35105</v>
      </c>
      <c r="K12923" s="18">
        <f>6281932315870</f>
        <v>6281932315870</v>
      </c>
      <c r="N12923" s="17" t="s">
        <v>77</v>
      </c>
      <c r="V12923" s="18">
        <f>6281932315870</f>
        <v>6281932315870</v>
      </c>
    </row>
    <row r="12924" ht="15" customHeight="1" spans="1:22" x14ac:dyDescent="0.25">
      <c r="A12924" s="17" t="s">
        <v>35106</v>
      </c>
      <c r="B12924" s="17" t="s">
        <v>70</v>
      </c>
      <c r="C12924" s="17" t="s">
        <v>71</v>
      </c>
      <c r="D12924" t="s">
        <v>10192</v>
      </c>
      <c r="F12924" t="s">
        <v>11295</v>
      </c>
      <c r="K12924" s="18">
        <f>628165430368</f>
        <v>628165430368</v>
      </c>
      <c r="N12924" s="17" t="s">
        <v>77</v>
      </c>
      <c r="V12924" s="18">
        <f>628165430368</f>
        <v>628165430368</v>
      </c>
    </row>
    <row r="12925" ht="15" customHeight="1" spans="1:27" x14ac:dyDescent="0.25">
      <c r="A12925" s="17" t="s">
        <v>35107</v>
      </c>
      <c r="B12925" s="17" t="s">
        <v>70</v>
      </c>
      <c r="C12925" s="17" t="s">
        <v>71</v>
      </c>
      <c r="D12925" t="s">
        <v>10192</v>
      </c>
      <c r="F12925" t="s">
        <v>5819</v>
      </c>
      <c r="K12925" s="18">
        <v>8620926</v>
      </c>
      <c r="N12925" s="17" t="s">
        <v>77</v>
      </c>
      <c r="U12925" s="17"/>
      <c r="V12925" s="18">
        <v>8620926</v>
      </c>
      <c r="W12925" t="s">
        <v>35108</v>
      </c>
      <c r="Y12925" s="17" t="s">
        <v>515</v>
      </c>
      <c r="AA12925" s="17" t="s">
        <v>35109</v>
      </c>
    </row>
    <row r="12926" ht="15" customHeight="1" spans="1:27" x14ac:dyDescent="0.25">
      <c r="A12926" s="17" t="s">
        <v>35110</v>
      </c>
      <c r="B12926" s="17" t="s">
        <v>70</v>
      </c>
      <c r="C12926" s="17" t="s">
        <v>71</v>
      </c>
      <c r="D12926" t="s">
        <v>35111</v>
      </c>
      <c r="F12926" t="s">
        <v>17806</v>
      </c>
      <c r="K12926" s="18">
        <f>62816832297</f>
        <v>62816832297</v>
      </c>
      <c r="N12926" s="17" t="s">
        <v>77</v>
      </c>
      <c r="U12926" s="17"/>
      <c r="V12926" s="18">
        <f>62816832297</f>
        <v>62816832297</v>
      </c>
      <c r="W12926" t="s">
        <v>35112</v>
      </c>
      <c r="Y12926" s="17" t="s">
        <v>378</v>
      </c>
      <c r="AA12926" s="17" t="s">
        <v>35113</v>
      </c>
    </row>
    <row r="12927" ht="15" customHeight="1" spans="1:23" x14ac:dyDescent="0.25">
      <c r="A12927" s="17" t="s">
        <v>35114</v>
      </c>
      <c r="B12927" s="17" t="s">
        <v>70</v>
      </c>
      <c r="C12927" s="17" t="s">
        <v>71</v>
      </c>
      <c r="D12927" t="s">
        <v>35115</v>
      </c>
      <c r="F12927" t="s">
        <v>19678</v>
      </c>
      <c r="K12927" s="18">
        <f>62811939018</f>
        <v>62811939018</v>
      </c>
      <c r="N12927" s="17" t="s">
        <v>77</v>
      </c>
      <c r="U12927" s="17"/>
      <c r="V12927" s="18">
        <f>62811939018</f>
        <v>62811939018</v>
      </c>
      <c r="W12927" t="s">
        <v>35116</v>
      </c>
    </row>
    <row r="12928" ht="15" customHeight="1" spans="1:22" x14ac:dyDescent="0.25">
      <c r="A12928" s="17" t="s">
        <v>35117</v>
      </c>
      <c r="B12928" s="17" t="s">
        <v>70</v>
      </c>
      <c r="C12928" s="17" t="s">
        <v>71</v>
      </c>
      <c r="D12928" t="s">
        <v>35118</v>
      </c>
      <c r="F12928" t="s">
        <v>35118</v>
      </c>
      <c r="K12928" s="18">
        <f>6281513870070</f>
        <v>6281513870070</v>
      </c>
      <c r="N12928" s="17" t="s">
        <v>74</v>
      </c>
      <c r="V12928" s="18">
        <f>6281513870070</f>
        <v>6281513870070</v>
      </c>
    </row>
    <row r="12929" ht="15" customHeight="1" spans="1:28" x14ac:dyDescent="0.25">
      <c r="A12929" s="17" t="s">
        <v>35119</v>
      </c>
      <c r="B12929" s="17" t="s">
        <v>70</v>
      </c>
      <c r="C12929" s="17" t="s">
        <v>71</v>
      </c>
      <c r="D12929" t="s">
        <v>4394</v>
      </c>
      <c r="F12929" t="s">
        <v>7871</v>
      </c>
      <c r="J12929" t="s">
        <v>35120</v>
      </c>
      <c r="K12929" s="18" t="s">
        <v>35121</v>
      </c>
      <c r="N12929" s="17" t="s">
        <v>77</v>
      </c>
      <c r="O12929" t="s">
        <v>117</v>
      </c>
      <c r="V12929" s="18" t="s">
        <v>35121</v>
      </c>
      <c r="Y12929" t="s">
        <v>626</v>
      </c>
      <c r="AA12929" t="s">
        <v>3090</v>
      </c>
      <c r="AB12929" t="s">
        <v>119</v>
      </c>
    </row>
    <row r="12930" ht="15" customHeight="1" spans="1:28" x14ac:dyDescent="0.25">
      <c r="A12930" s="17" t="s">
        <v>35122</v>
      </c>
      <c r="B12930" s="17" t="s">
        <v>70</v>
      </c>
      <c r="C12930" s="17" t="s">
        <v>71</v>
      </c>
      <c r="D12930" t="s">
        <v>4394</v>
      </c>
      <c r="F12930" t="s">
        <v>35123</v>
      </c>
      <c r="J12930" s="17" t="s">
        <v>35124</v>
      </c>
      <c r="K12930" s="18" t="s">
        <v>35125</v>
      </c>
      <c r="N12930" s="17" t="s">
        <v>81</v>
      </c>
      <c r="O12930" t="s">
        <v>261</v>
      </c>
      <c r="U12930" s="17"/>
      <c r="V12930" s="18" t="s">
        <v>35125</v>
      </c>
      <c r="W12930" t="s">
        <v>35126</v>
      </c>
      <c r="Y12930" t="s">
        <v>90</v>
      </c>
      <c r="AA12930" t="s">
        <v>118</v>
      </c>
      <c r="AB12930" t="s">
        <v>119</v>
      </c>
    </row>
    <row r="12931" ht="15" customHeight="1" spans="1:22" x14ac:dyDescent="0.25">
      <c r="A12931" s="17" t="s">
        <v>35127</v>
      </c>
      <c r="B12931" s="17" t="s">
        <v>70</v>
      </c>
      <c r="C12931" s="17" t="s">
        <v>71</v>
      </c>
      <c r="D12931" t="s">
        <v>4394</v>
      </c>
      <c r="F12931" t="s">
        <v>35128</v>
      </c>
      <c r="K12931" s="18">
        <f>6281289392624</f>
        <v>6281289392624</v>
      </c>
      <c r="N12931" s="17" t="s">
        <v>77</v>
      </c>
      <c r="V12931" s="18">
        <f>6281289392624</f>
        <v>6281289392624</v>
      </c>
    </row>
    <row r="12932" ht="15" customHeight="1" spans="1:22" x14ac:dyDescent="0.25">
      <c r="A12932" s="17" t="s">
        <v>35129</v>
      </c>
      <c r="B12932" s="17" t="s">
        <v>70</v>
      </c>
      <c r="C12932" s="17" t="s">
        <v>71</v>
      </c>
      <c r="D12932" t="s">
        <v>4394</v>
      </c>
      <c r="F12932" t="s">
        <v>11291</v>
      </c>
      <c r="K12932" s="18">
        <f>628116571171</f>
        <v>628116571171</v>
      </c>
      <c r="N12932" s="17" t="s">
        <v>77</v>
      </c>
      <c r="V12932" s="18">
        <f>628116571171</f>
        <v>628116571171</v>
      </c>
    </row>
    <row r="12933" ht="15" customHeight="1" spans="1:22" x14ac:dyDescent="0.25">
      <c r="A12933" s="17" t="s">
        <v>35130</v>
      </c>
      <c r="B12933" s="17" t="s">
        <v>70</v>
      </c>
      <c r="C12933" s="17" t="s">
        <v>71</v>
      </c>
      <c r="D12933" t="s">
        <v>35131</v>
      </c>
      <c r="F12933" t="s">
        <v>35132</v>
      </c>
      <c r="K12933" s="18">
        <f>6287878908157</f>
        <v>6287878908157</v>
      </c>
      <c r="N12933" s="17" t="s">
        <v>81</v>
      </c>
      <c r="V12933" s="18">
        <f>6287878908157</f>
        <v>6287878908157</v>
      </c>
    </row>
    <row r="12934" ht="15" customHeight="1" spans="1:23" x14ac:dyDescent="0.25">
      <c r="A12934" s="17" t="s">
        <v>35133</v>
      </c>
      <c r="B12934" s="17" t="s">
        <v>70</v>
      </c>
      <c r="C12934" s="17" t="s">
        <v>71</v>
      </c>
      <c r="D12934" t="s">
        <v>35134</v>
      </c>
      <c r="F12934" t="s">
        <v>17448</v>
      </c>
      <c r="K12934" s="18">
        <f>9092808192</f>
        <v>9092808192</v>
      </c>
      <c r="N12934" s="17" t="s">
        <v>77</v>
      </c>
      <c r="U12934" s="17"/>
      <c r="V12934" s="18">
        <f>9092808192</f>
        <v>9092808192</v>
      </c>
      <c r="W12934" t="s">
        <v>2500</v>
      </c>
    </row>
    <row r="12935" ht="15" customHeight="1" spans="1:22" x14ac:dyDescent="0.25">
      <c r="A12935" s="17" t="s">
        <v>35135</v>
      </c>
      <c r="B12935" s="17" t="s">
        <v>70</v>
      </c>
      <c r="C12935" s="17" t="s">
        <v>71</v>
      </c>
      <c r="D12935" t="s">
        <v>5249</v>
      </c>
      <c r="F12935" t="s">
        <v>35136</v>
      </c>
      <c r="K12935" s="18">
        <f>6281546162928</f>
        <v>6281546162928</v>
      </c>
      <c r="N12935" s="17" t="s">
        <v>81</v>
      </c>
      <c r="V12935" s="18">
        <f>6281546162928</f>
        <v>6281546162928</v>
      </c>
    </row>
    <row r="12936" ht="15" customHeight="1" spans="1:23" x14ac:dyDescent="0.25">
      <c r="A12936" s="17" t="s">
        <v>35137</v>
      </c>
      <c r="B12936" s="17" t="s">
        <v>70</v>
      </c>
      <c r="C12936" s="17" t="s">
        <v>71</v>
      </c>
      <c r="D12936" t="s">
        <v>35138</v>
      </c>
      <c r="F12936" t="s">
        <v>35138</v>
      </c>
      <c r="K12936" s="18">
        <f>628191944318</f>
        <v>628191944318</v>
      </c>
      <c r="N12936" s="17" t="s">
        <v>74</v>
      </c>
      <c r="U12936" s="17"/>
      <c r="V12936" s="18">
        <f>628191944318</f>
        <v>628191944318</v>
      </c>
      <c r="W12936" t="s">
        <v>7579</v>
      </c>
    </row>
    <row r="12937" ht="15" customHeight="1" spans="1:27" x14ac:dyDescent="0.25">
      <c r="A12937" s="17" t="s">
        <v>35139</v>
      </c>
      <c r="B12937" s="17" t="s">
        <v>70</v>
      </c>
      <c r="C12937" s="17" t="s">
        <v>71</v>
      </c>
      <c r="D12937" t="s">
        <v>35138</v>
      </c>
      <c r="F12937" t="s">
        <v>32658</v>
      </c>
      <c r="K12937" s="18">
        <f>62212300486</f>
        <v>62212300486</v>
      </c>
      <c r="N12937" s="17" t="s">
        <v>77</v>
      </c>
      <c r="U12937" s="17"/>
      <c r="V12937" s="18">
        <f>62212300486</f>
        <v>62212300486</v>
      </c>
      <c r="W12937" t="s">
        <v>35140</v>
      </c>
      <c r="Y12937" s="17" t="s">
        <v>378</v>
      </c>
      <c r="AA12937" s="17" t="s">
        <v>7565</v>
      </c>
    </row>
    <row r="12938" ht="15" customHeight="1" spans="1:25" x14ac:dyDescent="0.25">
      <c r="A12938" s="17" t="s">
        <v>35141</v>
      </c>
      <c r="B12938" s="17" t="s">
        <v>70</v>
      </c>
      <c r="C12938" s="17" t="s">
        <v>71</v>
      </c>
      <c r="D12938" t="s">
        <v>35142</v>
      </c>
      <c r="F12938" t="s">
        <v>35143</v>
      </c>
      <c r="J12938" s="17" t="s">
        <v>35144</v>
      </c>
      <c r="K12938" s="18">
        <f>6282110420689</f>
        <v>6282110420689</v>
      </c>
      <c r="N12938" s="17" t="s">
        <v>77</v>
      </c>
      <c r="U12938" s="17"/>
      <c r="V12938" s="18">
        <f>6282110420689</f>
        <v>6282110420689</v>
      </c>
      <c r="W12938" t="s">
        <v>35145</v>
      </c>
      <c r="Y12938" s="17" t="s">
        <v>90</v>
      </c>
    </row>
    <row r="12939" ht="15" customHeight="1" spans="1:22" x14ac:dyDescent="0.25">
      <c r="A12939" s="17" t="s">
        <v>35146</v>
      </c>
      <c r="B12939" s="17" t="s">
        <v>70</v>
      </c>
      <c r="C12939" s="17" t="s">
        <v>71</v>
      </c>
      <c r="D12939" t="s">
        <v>35147</v>
      </c>
      <c r="F12939" t="s">
        <v>35147</v>
      </c>
      <c r="K12939" s="18">
        <f>62816777754</f>
        <v>62816777754</v>
      </c>
      <c r="N12939" s="17" t="s">
        <v>81</v>
      </c>
      <c r="V12939" s="18">
        <f>62816777754</f>
        <v>62816777754</v>
      </c>
    </row>
    <row r="12940" ht="15" customHeight="1" spans="1:23" x14ac:dyDescent="0.25">
      <c r="A12940" s="17" t="s">
        <v>35148</v>
      </c>
      <c r="B12940" s="17" t="s">
        <v>70</v>
      </c>
      <c r="C12940" s="17" t="s">
        <v>71</v>
      </c>
      <c r="D12940" t="s">
        <v>28435</v>
      </c>
      <c r="F12940" t="s">
        <v>35149</v>
      </c>
      <c r="K12940" s="18">
        <f>971507701557</f>
        <v>971507701557</v>
      </c>
      <c r="N12940" s="17" t="s">
        <v>77</v>
      </c>
      <c r="U12940" s="17"/>
      <c r="V12940" s="18">
        <f>971507701557</f>
        <v>971507701557</v>
      </c>
      <c r="W12940" t="s">
        <v>1298</v>
      </c>
    </row>
    <row r="12941" ht="15" customHeight="1" spans="1:27" x14ac:dyDescent="0.25">
      <c r="A12941" s="17" t="s">
        <v>35150</v>
      </c>
      <c r="B12941" s="17" t="s">
        <v>70</v>
      </c>
      <c r="C12941" s="17" t="s">
        <v>71</v>
      </c>
      <c r="D12941" t="s">
        <v>35151</v>
      </c>
      <c r="F12941" t="s">
        <v>35152</v>
      </c>
      <c r="K12941" s="18">
        <f>6281314348222</f>
        <v>6281314348222</v>
      </c>
      <c r="N12941" s="17" t="s">
        <v>77</v>
      </c>
      <c r="U12941" s="17"/>
      <c r="V12941" s="18">
        <f>6281314348222</f>
        <v>6281314348222</v>
      </c>
      <c r="W12941" t="s">
        <v>35153</v>
      </c>
      <c r="Y12941" s="17" t="s">
        <v>378</v>
      </c>
      <c r="AA12941" s="17" t="s">
        <v>35154</v>
      </c>
    </row>
    <row r="12942" ht="15" customHeight="1" spans="1:22" x14ac:dyDescent="0.25">
      <c r="A12942" s="17" t="s">
        <v>35155</v>
      </c>
      <c r="B12942" s="17" t="s">
        <v>70</v>
      </c>
      <c r="C12942" s="17" t="s">
        <v>71</v>
      </c>
      <c r="D12942" t="s">
        <v>35156</v>
      </c>
      <c r="F12942" t="s">
        <v>35157</v>
      </c>
      <c r="K12942" s="18">
        <f>6281578256809</f>
        <v>6281578256809</v>
      </c>
      <c r="N12942" s="17" t="s">
        <v>81</v>
      </c>
      <c r="V12942" s="18">
        <f>6281578256809</f>
        <v>6281578256809</v>
      </c>
    </row>
    <row r="12943" ht="15" customHeight="1" spans="1:22" x14ac:dyDescent="0.25">
      <c r="A12943" s="17" t="s">
        <v>35158</v>
      </c>
      <c r="B12943" s="17" t="s">
        <v>70</v>
      </c>
      <c r="C12943" s="17" t="s">
        <v>71</v>
      </c>
      <c r="D12943" t="s">
        <v>35159</v>
      </c>
      <c r="F12943" t="s">
        <v>35160</v>
      </c>
      <c r="K12943" s="18">
        <v>99913366</v>
      </c>
      <c r="N12943" s="17" t="s">
        <v>81</v>
      </c>
      <c r="V12943" s="18">
        <v>99913366</v>
      </c>
    </row>
    <row r="12944" ht="15" customHeight="1" spans="1:22" x14ac:dyDescent="0.25">
      <c r="A12944" s="17" t="s">
        <v>35161</v>
      </c>
      <c r="B12944" s="17" t="s">
        <v>70</v>
      </c>
      <c r="C12944" s="17" t="s">
        <v>71</v>
      </c>
      <c r="D12944" t="s">
        <v>35162</v>
      </c>
      <c r="F12944" t="s">
        <v>35163</v>
      </c>
      <c r="K12944" s="18">
        <f>6282197130589</f>
        <v>6282197130589</v>
      </c>
      <c r="N12944" s="17" t="s">
        <v>74</v>
      </c>
      <c r="V12944" s="18">
        <f>6282197130589</f>
        <v>6282197130589</v>
      </c>
    </row>
    <row r="12945" ht="15" customHeight="1" spans="1:27" x14ac:dyDescent="0.25">
      <c r="A12945" s="17" t="s">
        <v>35164</v>
      </c>
      <c r="B12945" s="17" t="s">
        <v>70</v>
      </c>
      <c r="C12945" s="17" t="s">
        <v>71</v>
      </c>
      <c r="D12945" t="s">
        <v>35165</v>
      </c>
      <c r="F12945" t="s">
        <v>35165</v>
      </c>
      <c r="K12945" s="18">
        <f>62811185547</f>
        <v>62811185547</v>
      </c>
      <c r="N12945" s="17" t="s">
        <v>77</v>
      </c>
      <c r="U12945" s="17"/>
      <c r="V12945" s="18">
        <f>62811185547</f>
        <v>62811185547</v>
      </c>
      <c r="W12945" t="s">
        <v>35166</v>
      </c>
      <c r="AA12945" s="17" t="s">
        <v>1119</v>
      </c>
    </row>
    <row r="12946" ht="15" customHeight="1" spans="1:25" x14ac:dyDescent="0.25">
      <c r="A12946" s="17" t="s">
        <v>35167</v>
      </c>
      <c r="B12946" s="17" t="s">
        <v>70</v>
      </c>
      <c r="C12946" s="17" t="s">
        <v>71</v>
      </c>
      <c r="D12946" t="s">
        <v>35168</v>
      </c>
      <c r="F12946" t="s">
        <v>11554</v>
      </c>
      <c r="J12946" s="17" t="s">
        <v>35169</v>
      </c>
      <c r="K12946" s="18">
        <f>6281294548693</f>
        <v>6281294548693</v>
      </c>
      <c r="N12946" s="17" t="s">
        <v>77</v>
      </c>
      <c r="U12946" s="17"/>
      <c r="V12946" s="18">
        <f>6281294548693</f>
        <v>6281294548693</v>
      </c>
      <c r="W12946" t="s">
        <v>35170</v>
      </c>
      <c r="Y12946" s="17" t="s">
        <v>96</v>
      </c>
    </row>
    <row r="12947" ht="15" customHeight="1" spans="1:25" x14ac:dyDescent="0.25">
      <c r="A12947" s="17" t="s">
        <v>35171</v>
      </c>
      <c r="B12947" s="17" t="s">
        <v>70</v>
      </c>
      <c r="C12947" s="17" t="s">
        <v>71</v>
      </c>
      <c r="D12947" t="s">
        <v>35172</v>
      </c>
      <c r="F12947" t="s">
        <v>35173</v>
      </c>
      <c r="K12947" s="18">
        <f>61415196686</f>
        <v>61415196686</v>
      </c>
      <c r="N12947" s="17" t="s">
        <v>77</v>
      </c>
      <c r="U12947" s="17"/>
      <c r="V12947" s="18">
        <f>61415196686</f>
        <v>61415196686</v>
      </c>
      <c r="W12947" t="s">
        <v>35174</v>
      </c>
      <c r="Y12947" s="17" t="s">
        <v>35175</v>
      </c>
    </row>
    <row r="12948" ht="15" customHeight="1" spans="1:27" x14ac:dyDescent="0.25">
      <c r="A12948" s="17" t="s">
        <v>35176</v>
      </c>
      <c r="B12948" s="17" t="s">
        <v>70</v>
      </c>
      <c r="C12948" s="17" t="s">
        <v>71</v>
      </c>
      <c r="D12948" t="s">
        <v>35177</v>
      </c>
      <c r="F12948" t="s">
        <v>28776</v>
      </c>
      <c r="K12948" s="18">
        <f>628159005555</f>
        <v>628159005555</v>
      </c>
      <c r="N12948" s="17" t="s">
        <v>77</v>
      </c>
      <c r="U12948" s="17"/>
      <c r="V12948" s="18">
        <f>628159005555</f>
        <v>628159005555</v>
      </c>
      <c r="W12948" t="s">
        <v>35178</v>
      </c>
      <c r="AA12948" s="17">
        <v>11550</v>
      </c>
    </row>
    <row r="12949" ht="15" customHeight="1" spans="1:23" x14ac:dyDescent="0.25">
      <c r="A12949" s="17" t="s">
        <v>35179</v>
      </c>
      <c r="B12949" s="17" t="s">
        <v>70</v>
      </c>
      <c r="C12949" s="17" t="s">
        <v>71</v>
      </c>
      <c r="D12949" t="s">
        <v>35177</v>
      </c>
      <c r="F12949" t="s">
        <v>35180</v>
      </c>
      <c r="J12949" s="17" t="s">
        <v>35181</v>
      </c>
      <c r="K12949" s="18">
        <f>6281282663872</f>
        <v>6281282663872</v>
      </c>
      <c r="N12949" s="17" t="s">
        <v>77</v>
      </c>
      <c r="U12949" s="17"/>
      <c r="V12949" s="18">
        <f>6281282663872</f>
        <v>6281282663872</v>
      </c>
      <c r="W12949" t="s">
        <v>35182</v>
      </c>
    </row>
    <row r="12950" ht="15" customHeight="1" spans="1:22" x14ac:dyDescent="0.25">
      <c r="A12950" s="17" t="s">
        <v>35183</v>
      </c>
      <c r="B12950" s="17" t="s">
        <v>70</v>
      </c>
      <c r="C12950" s="17" t="s">
        <v>71</v>
      </c>
      <c r="D12950" t="s">
        <v>35184</v>
      </c>
      <c r="F12950" t="s">
        <v>35185</v>
      </c>
      <c r="K12950" s="18">
        <f>96899631001</f>
        <v>96899631001</v>
      </c>
      <c r="N12950" s="17" t="s">
        <v>77</v>
      </c>
      <c r="V12950" s="18">
        <f>96899631001</f>
        <v>96899631001</v>
      </c>
    </row>
    <row r="12951" ht="15" customHeight="1" spans="1:28" x14ac:dyDescent="0.25">
      <c r="A12951" s="17" t="s">
        <v>35186</v>
      </c>
      <c r="B12951" s="17" t="s">
        <v>70</v>
      </c>
      <c r="C12951" s="17" t="s">
        <v>71</v>
      </c>
      <c r="D12951" t="s">
        <v>35187</v>
      </c>
      <c r="F12951" t="s">
        <v>4194</v>
      </c>
      <c r="J12951" s="17" t="s">
        <v>35188</v>
      </c>
      <c r="K12951" s="18" t="s">
        <v>35189</v>
      </c>
      <c r="N12951" s="17" t="s">
        <v>77</v>
      </c>
      <c r="O12951" t="s">
        <v>489</v>
      </c>
      <c r="V12951" s="18" t="s">
        <v>35189</v>
      </c>
      <c r="Y12951" t="s">
        <v>3048</v>
      </c>
      <c r="AA12951" t="s">
        <v>115</v>
      </c>
      <c r="AB12951" t="s">
        <v>119</v>
      </c>
    </row>
    <row r="12952" ht="15" customHeight="1" spans="1:28" x14ac:dyDescent="0.25">
      <c r="A12952" s="17" t="s">
        <v>35190</v>
      </c>
      <c r="B12952" s="17" t="s">
        <v>70</v>
      </c>
      <c r="C12952" s="17" t="s">
        <v>71</v>
      </c>
      <c r="D12952" t="s">
        <v>35191</v>
      </c>
      <c r="F12952" t="s">
        <v>23612</v>
      </c>
      <c r="J12952" t="s">
        <v>115</v>
      </c>
      <c r="K12952" s="18" t="s">
        <v>35192</v>
      </c>
      <c r="N12952" s="17" t="s">
        <v>77</v>
      </c>
      <c r="O12952" t="s">
        <v>117</v>
      </c>
      <c r="V12952" s="18" t="s">
        <v>35192</v>
      </c>
      <c r="Y12952" t="s">
        <v>115</v>
      </c>
      <c r="AA12952" t="s">
        <v>115</v>
      </c>
      <c r="AB12952" t="s">
        <v>119</v>
      </c>
    </row>
    <row r="12953" ht="15" customHeight="1" spans="1:22" x14ac:dyDescent="0.25">
      <c r="A12953" s="17" t="s">
        <v>35193</v>
      </c>
      <c r="B12953" s="17" t="s">
        <v>70</v>
      </c>
      <c r="C12953" s="17" t="s">
        <v>71</v>
      </c>
      <c r="D12953" t="s">
        <v>35194</v>
      </c>
      <c r="F12953" t="s">
        <v>7087</v>
      </c>
      <c r="K12953" s="18">
        <f>6281806739287</f>
        <v>6281806739287</v>
      </c>
      <c r="N12953" s="17" t="s">
        <v>77</v>
      </c>
      <c r="V12953" s="18">
        <f>6281806739287</f>
        <v>6281806739287</v>
      </c>
    </row>
    <row r="12954" ht="15" customHeight="1" spans="1:22" x14ac:dyDescent="0.25">
      <c r="A12954" s="17" t="s">
        <v>35195</v>
      </c>
      <c r="B12954" s="17" t="s">
        <v>70</v>
      </c>
      <c r="C12954" s="17" t="s">
        <v>71</v>
      </c>
      <c r="D12954" t="s">
        <v>22773</v>
      </c>
      <c r="F12954" t="s">
        <v>22773</v>
      </c>
      <c r="K12954" s="18">
        <f>6281287646074</f>
        <v>6281287646074</v>
      </c>
      <c r="N12954" s="17" t="s">
        <v>77</v>
      </c>
      <c r="V12954" s="18">
        <f>6281287646074</f>
        <v>6281287646074</v>
      </c>
    </row>
    <row r="12955" ht="15" customHeight="1" spans="1:22" x14ac:dyDescent="0.25">
      <c r="A12955" s="17" t="s">
        <v>35196</v>
      </c>
      <c r="B12955" s="17" t="s">
        <v>70</v>
      </c>
      <c r="C12955" s="17" t="s">
        <v>71</v>
      </c>
      <c r="D12955" t="s">
        <v>35197</v>
      </c>
      <c r="F12955" t="s">
        <v>29399</v>
      </c>
      <c r="K12955" s="18">
        <f>62811944443</f>
        <v>62811944443</v>
      </c>
      <c r="N12955" s="17" t="s">
        <v>77</v>
      </c>
      <c r="V12955" s="18">
        <f>62811944443</f>
        <v>62811944443</v>
      </c>
    </row>
    <row r="12956" ht="15" customHeight="1" spans="1:28" x14ac:dyDescent="0.25">
      <c r="A12956" s="17" t="s">
        <v>35198</v>
      </c>
      <c r="B12956" s="17" t="s">
        <v>70</v>
      </c>
      <c r="C12956" s="17" t="s">
        <v>71</v>
      </c>
      <c r="D12956" t="s">
        <v>35199</v>
      </c>
      <c r="F12956" t="s">
        <v>35199</v>
      </c>
      <c r="J12956" t="s">
        <v>115</v>
      </c>
      <c r="K12956" s="18" t="s">
        <v>35200</v>
      </c>
      <c r="N12956" s="17" t="s">
        <v>77</v>
      </c>
      <c r="O12956" t="s">
        <v>117</v>
      </c>
      <c r="V12956" s="18" t="s">
        <v>35200</v>
      </c>
      <c r="Y12956" t="s">
        <v>115</v>
      </c>
      <c r="AA12956" t="s">
        <v>115</v>
      </c>
      <c r="AB12956" t="s">
        <v>119</v>
      </c>
    </row>
    <row r="12957" ht="15" customHeight="1" spans="1:22" x14ac:dyDescent="0.25">
      <c r="A12957" s="17" t="s">
        <v>35201</v>
      </c>
      <c r="B12957" s="17" t="s">
        <v>70</v>
      </c>
      <c r="C12957" s="17" t="s">
        <v>71</v>
      </c>
      <c r="D12957" t="s">
        <v>35202</v>
      </c>
      <c r="F12957" t="s">
        <v>8492</v>
      </c>
      <c r="K12957" s="18">
        <f>628111908972</f>
        <v>628111908972</v>
      </c>
      <c r="N12957" s="17" t="s">
        <v>77</v>
      </c>
      <c r="V12957" s="18">
        <f>628111908972</f>
        <v>628111908972</v>
      </c>
    </row>
    <row r="12958" ht="15" customHeight="1" spans="1:25" x14ac:dyDescent="0.25">
      <c r="A12958" s="17" t="s">
        <v>35203</v>
      </c>
      <c r="B12958" s="17" t="s">
        <v>70</v>
      </c>
      <c r="C12958" s="17" t="s">
        <v>71</v>
      </c>
      <c r="D12958" t="s">
        <v>35204</v>
      </c>
      <c r="F12958" t="s">
        <v>922</v>
      </c>
      <c r="K12958" s="18">
        <f>6281291704191</f>
        <v>6281291704191</v>
      </c>
      <c r="N12958" s="17" t="s">
        <v>77</v>
      </c>
      <c r="U12958" s="17"/>
      <c r="V12958" s="18">
        <f>6281291704191</f>
        <v>6281291704191</v>
      </c>
      <c r="W12958" t="s">
        <v>35205</v>
      </c>
      <c r="Y12958" s="17" t="s">
        <v>96</v>
      </c>
    </row>
    <row r="12959" ht="15" customHeight="1" spans="1:28" x14ac:dyDescent="0.25">
      <c r="A12959" s="17" t="s">
        <v>35206</v>
      </c>
      <c r="B12959" s="17" t="s">
        <v>70</v>
      </c>
      <c r="C12959" s="17" t="s">
        <v>71</v>
      </c>
      <c r="D12959" t="s">
        <v>35207</v>
      </c>
      <c r="F12959" t="s">
        <v>35208</v>
      </c>
      <c r="J12959" s="17" t="s">
        <v>35209</v>
      </c>
      <c r="K12959" s="18" t="s">
        <v>35210</v>
      </c>
      <c r="N12959" s="17" t="s">
        <v>77</v>
      </c>
      <c r="O12959" t="s">
        <v>145</v>
      </c>
      <c r="V12959" s="18" t="s">
        <v>35210</v>
      </c>
      <c r="Y12959" t="s">
        <v>115</v>
      </c>
      <c r="AA12959" t="s">
        <v>115</v>
      </c>
      <c r="AB12959" t="s">
        <v>22130</v>
      </c>
    </row>
    <row r="12960" ht="15" customHeight="1" spans="1:22" x14ac:dyDescent="0.25">
      <c r="A12960" s="17" t="s">
        <v>35211</v>
      </c>
      <c r="B12960" s="17" t="s">
        <v>70</v>
      </c>
      <c r="C12960" s="17" t="s">
        <v>71</v>
      </c>
      <c r="D12960" t="s">
        <v>35212</v>
      </c>
      <c r="F12960" t="s">
        <v>35212</v>
      </c>
      <c r="K12960" s="18">
        <f>62216328470</f>
        <v>62216328470</v>
      </c>
      <c r="N12960" s="17" t="s">
        <v>74</v>
      </c>
      <c r="V12960" s="18">
        <f>62216328470</f>
        <v>62216328470</v>
      </c>
    </row>
    <row r="12961" ht="15" customHeight="1" spans="1:22" x14ac:dyDescent="0.25">
      <c r="A12961" s="17" t="s">
        <v>35213</v>
      </c>
      <c r="B12961" s="17" t="s">
        <v>70</v>
      </c>
      <c r="C12961" s="17" t="s">
        <v>71</v>
      </c>
      <c r="D12961" t="s">
        <v>35214</v>
      </c>
      <c r="F12961" t="s">
        <v>994</v>
      </c>
      <c r="K12961" s="18">
        <f>628211111500</f>
        <v>628211111500</v>
      </c>
      <c r="N12961" s="17" t="s">
        <v>77</v>
      </c>
      <c r="V12961" s="18">
        <f>628211111500</f>
        <v>628211111500</v>
      </c>
    </row>
    <row r="12962" ht="15" customHeight="1" spans="1:22" x14ac:dyDescent="0.25">
      <c r="A12962" s="17" t="s">
        <v>35215</v>
      </c>
      <c r="B12962" s="17" t="s">
        <v>70</v>
      </c>
      <c r="C12962" s="17" t="s">
        <v>71</v>
      </c>
      <c r="D12962" t="s">
        <v>494</v>
      </c>
      <c r="F12962" t="s">
        <v>494</v>
      </c>
      <c r="K12962" s="18">
        <f>628164847115</f>
        <v>628164847115</v>
      </c>
      <c r="N12962" s="17" t="s">
        <v>77</v>
      </c>
      <c r="V12962" s="18">
        <f>628164847115</f>
        <v>628164847115</v>
      </c>
    </row>
    <row r="12963" ht="15" customHeight="1" spans="1:23" x14ac:dyDescent="0.25">
      <c r="A12963" s="17" t="s">
        <v>35216</v>
      </c>
      <c r="B12963" s="17" t="s">
        <v>70</v>
      </c>
      <c r="C12963" s="17" t="s">
        <v>71</v>
      </c>
      <c r="D12963" t="s">
        <v>494</v>
      </c>
      <c r="F12963" t="s">
        <v>35217</v>
      </c>
      <c r="J12963" s="17" t="s">
        <v>35218</v>
      </c>
      <c r="K12963" s="18">
        <f>6281212352218</f>
        <v>6281212352218</v>
      </c>
      <c r="N12963" s="17" t="s">
        <v>77</v>
      </c>
      <c r="U12963" s="17"/>
      <c r="V12963" s="18">
        <f>6281212352218</f>
        <v>6281212352218</v>
      </c>
      <c r="W12963" t="s">
        <v>35219</v>
      </c>
    </row>
    <row r="12964" ht="15" customHeight="1" spans="1:22" x14ac:dyDescent="0.25">
      <c r="A12964" s="17" t="s">
        <v>35220</v>
      </c>
      <c r="B12964" s="17" t="s">
        <v>70</v>
      </c>
      <c r="C12964" s="17" t="s">
        <v>71</v>
      </c>
      <c r="D12964" t="s">
        <v>494</v>
      </c>
      <c r="F12964" t="s">
        <v>13245</v>
      </c>
      <c r="K12964" s="18">
        <f>62811860057</f>
        <v>62811860057</v>
      </c>
      <c r="N12964" s="17" t="s">
        <v>74</v>
      </c>
      <c r="V12964" s="18">
        <f>62811860057</f>
        <v>62811860057</v>
      </c>
    </row>
    <row r="12965" ht="15" customHeight="1" spans="1:25" x14ac:dyDescent="0.25">
      <c r="A12965" s="17" t="s">
        <v>35221</v>
      </c>
      <c r="B12965" s="17" t="s">
        <v>70</v>
      </c>
      <c r="C12965" s="17" t="s">
        <v>71</v>
      </c>
      <c r="D12965" t="s">
        <v>494</v>
      </c>
      <c r="F12965" t="s">
        <v>13245</v>
      </c>
      <c r="K12965" s="18">
        <f>62818824261</f>
        <v>62818824261</v>
      </c>
      <c r="N12965" s="17" t="s">
        <v>77</v>
      </c>
      <c r="U12965" s="17"/>
      <c r="V12965" s="18">
        <f>62818824261</f>
        <v>62818824261</v>
      </c>
      <c r="W12965" t="s">
        <v>35222</v>
      </c>
      <c r="Y12965" s="17" t="s">
        <v>9215</v>
      </c>
    </row>
    <row r="12966" ht="15" customHeight="1" spans="1:22" x14ac:dyDescent="0.25">
      <c r="A12966" s="17" t="s">
        <v>35223</v>
      </c>
      <c r="B12966" s="17" t="s">
        <v>70</v>
      </c>
      <c r="C12966" s="17" t="s">
        <v>71</v>
      </c>
      <c r="D12966" t="s">
        <v>35224</v>
      </c>
      <c r="F12966" t="s">
        <v>35224</v>
      </c>
      <c r="K12966" s="18">
        <f>6285717620833</f>
        <v>6285717620833</v>
      </c>
      <c r="N12966" s="17" t="s">
        <v>77</v>
      </c>
      <c r="V12966" s="18">
        <f>6285717620833</f>
        <v>6285717620833</v>
      </c>
    </row>
    <row r="12967" ht="15" customHeight="1" spans="1:22" x14ac:dyDescent="0.25">
      <c r="A12967" s="17" t="s">
        <v>35225</v>
      </c>
      <c r="B12967" s="17" t="s">
        <v>70</v>
      </c>
      <c r="C12967" s="17" t="s">
        <v>71</v>
      </c>
      <c r="D12967" t="s">
        <v>35224</v>
      </c>
      <c r="F12967" t="s">
        <v>35226</v>
      </c>
      <c r="K12967" s="18">
        <f>6285727310699</f>
        <v>6285727310699</v>
      </c>
      <c r="N12967" s="17" t="s">
        <v>77</v>
      </c>
      <c r="V12967" s="18">
        <f>6285727310699</f>
        <v>6285727310699</v>
      </c>
    </row>
    <row r="12968" ht="15" customHeight="1" spans="1:22" x14ac:dyDescent="0.25">
      <c r="A12968" s="17" t="s">
        <v>35227</v>
      </c>
      <c r="B12968" s="17" t="s">
        <v>70</v>
      </c>
      <c r="C12968" s="17" t="s">
        <v>71</v>
      </c>
      <c r="D12968" t="s">
        <v>35228</v>
      </c>
      <c r="F12968" t="s">
        <v>35229</v>
      </c>
      <c r="K12968" s="18">
        <f>628161445990</f>
        <v>628161445990</v>
      </c>
      <c r="N12968" s="17" t="s">
        <v>77</v>
      </c>
      <c r="V12968" s="18">
        <f>628161445990</f>
        <v>628161445990</v>
      </c>
    </row>
    <row r="12969" ht="15" customHeight="1" spans="1:23" x14ac:dyDescent="0.25">
      <c r="A12969" s="17" t="s">
        <v>35230</v>
      </c>
      <c r="B12969" s="17" t="s">
        <v>70</v>
      </c>
      <c r="C12969" s="17" t="s">
        <v>71</v>
      </c>
      <c r="D12969" t="s">
        <v>35231</v>
      </c>
      <c r="F12969" t="s">
        <v>35232</v>
      </c>
      <c r="K12969" s="18">
        <f>62818196381</f>
        <v>62818196381</v>
      </c>
      <c r="N12969" s="17" t="s">
        <v>77</v>
      </c>
      <c r="U12969" s="17"/>
      <c r="V12969" s="18">
        <f>62818196381</f>
        <v>62818196381</v>
      </c>
      <c r="W12969" t="s">
        <v>35233</v>
      </c>
    </row>
    <row r="12970" ht="15" customHeight="1" spans="1:22" x14ac:dyDescent="0.25">
      <c r="A12970" s="17" t="s">
        <v>35234</v>
      </c>
      <c r="B12970" s="17" t="s">
        <v>70</v>
      </c>
      <c r="C12970" s="17" t="s">
        <v>71</v>
      </c>
      <c r="D12970" t="s">
        <v>35235</v>
      </c>
      <c r="F12970" t="s">
        <v>35236</v>
      </c>
      <c r="K12970" s="18">
        <f>62811136390</f>
        <v>62811136390</v>
      </c>
      <c r="N12970" s="17" t="s">
        <v>77</v>
      </c>
      <c r="V12970" s="18">
        <f>62811136390</f>
        <v>62811136390</v>
      </c>
    </row>
    <row r="12971" ht="15" customHeight="1" spans="1:27" x14ac:dyDescent="0.25">
      <c r="A12971" s="17" t="s">
        <v>35237</v>
      </c>
      <c r="B12971" s="17" t="s">
        <v>70</v>
      </c>
      <c r="C12971" s="17" t="s">
        <v>71</v>
      </c>
      <c r="D12971" t="s">
        <v>35238</v>
      </c>
      <c r="F12971" t="s">
        <v>1321</v>
      </c>
      <c r="K12971" s="18">
        <f>6231773795</f>
        <v>6231773795</v>
      </c>
      <c r="N12971" s="17" t="s">
        <v>77</v>
      </c>
      <c r="U12971" s="17"/>
      <c r="V12971" s="18">
        <f>6231773795</f>
        <v>6231773795</v>
      </c>
      <c r="W12971" t="s">
        <v>35239</v>
      </c>
      <c r="Y12971" s="17" t="s">
        <v>181</v>
      </c>
      <c r="AA12971" s="17" t="s">
        <v>24868</v>
      </c>
    </row>
    <row r="12972" ht="15" customHeight="1" spans="1:22" x14ac:dyDescent="0.25">
      <c r="A12972" s="17" t="s">
        <v>35240</v>
      </c>
      <c r="B12972" s="17" t="s">
        <v>70</v>
      </c>
      <c r="C12972" s="17" t="s">
        <v>71</v>
      </c>
      <c r="D12972" t="s">
        <v>35241</v>
      </c>
      <c r="F12972" t="s">
        <v>9486</v>
      </c>
      <c r="K12972" s="18">
        <f>628594895212</f>
        <v>628594895212</v>
      </c>
      <c r="N12972" s="17" t="s">
        <v>77</v>
      </c>
      <c r="V12972" s="18">
        <f>628594895212</f>
        <v>628594895212</v>
      </c>
    </row>
    <row r="12973" ht="15" customHeight="1" spans="1:22" x14ac:dyDescent="0.25">
      <c r="A12973" s="17" t="s">
        <v>35242</v>
      </c>
      <c r="B12973" s="17" t="s">
        <v>70</v>
      </c>
      <c r="C12973" s="17" t="s">
        <v>71</v>
      </c>
      <c r="D12973" t="s">
        <v>35243</v>
      </c>
      <c r="F12973" t="s">
        <v>35244</v>
      </c>
      <c r="K12973" s="18">
        <f>818044079626</f>
        <v>818044079626</v>
      </c>
      <c r="N12973" s="17" t="s">
        <v>77</v>
      </c>
      <c r="V12973" s="18">
        <f>818044079626</f>
        <v>818044079626</v>
      </c>
    </row>
    <row r="12974" ht="15" customHeight="1" spans="1:22" x14ac:dyDescent="0.25">
      <c r="A12974" s="17" t="s">
        <v>35245</v>
      </c>
      <c r="B12974" s="17" t="s">
        <v>70</v>
      </c>
      <c r="C12974" s="17" t="s">
        <v>71</v>
      </c>
      <c r="D12974" t="s">
        <v>35246</v>
      </c>
      <c r="F12974" t="s">
        <v>35246</v>
      </c>
      <c r="K12974" s="18">
        <f>628161883751</f>
        <v>628161883751</v>
      </c>
      <c r="N12974" s="17" t="s">
        <v>77</v>
      </c>
      <c r="V12974" s="18">
        <f>628161883751</f>
        <v>628161883751</v>
      </c>
    </row>
    <row r="12975" ht="15" customHeight="1" spans="1:22" x14ac:dyDescent="0.25">
      <c r="A12975" s="17" t="s">
        <v>35247</v>
      </c>
      <c r="B12975" s="17" t="s">
        <v>70</v>
      </c>
      <c r="C12975" s="17" t="s">
        <v>71</v>
      </c>
      <c r="D12975" t="s">
        <v>35248</v>
      </c>
      <c r="F12975" t="s">
        <v>35248</v>
      </c>
      <c r="K12975" s="18">
        <f>6287887300831</f>
        <v>6287887300831</v>
      </c>
      <c r="N12975" s="17" t="s">
        <v>77</v>
      </c>
      <c r="V12975" s="18">
        <f>6287887300831</f>
        <v>6287887300831</v>
      </c>
    </row>
    <row r="12976" ht="15" customHeight="1" spans="1:27" x14ac:dyDescent="0.25">
      <c r="A12976" s="17" t="s">
        <v>35249</v>
      </c>
      <c r="B12976" s="17" t="s">
        <v>70</v>
      </c>
      <c r="C12976" s="17" t="s">
        <v>71</v>
      </c>
      <c r="D12976" t="s">
        <v>35250</v>
      </c>
      <c r="F12976" t="s">
        <v>35251</v>
      </c>
      <c r="K12976" s="18">
        <f>62817771485</f>
        <v>62817771485</v>
      </c>
      <c r="N12976" s="17" t="s">
        <v>74</v>
      </c>
      <c r="U12976" s="17"/>
      <c r="V12976" s="18">
        <f>62817771485</f>
        <v>62817771485</v>
      </c>
      <c r="W12976" t="s">
        <v>35252</v>
      </c>
      <c r="AA12976" s="17">
        <v>13450</v>
      </c>
    </row>
    <row r="12977" ht="15" customHeight="1" spans="1:23" x14ac:dyDescent="0.25">
      <c r="A12977" s="17" t="s">
        <v>35253</v>
      </c>
      <c r="B12977" s="17" t="s">
        <v>70</v>
      </c>
      <c r="C12977" s="17" t="s">
        <v>71</v>
      </c>
      <c r="D12977" t="s">
        <v>35254</v>
      </c>
      <c r="F12977" t="s">
        <v>35254</v>
      </c>
      <c r="K12977" s="18">
        <f>6281317521285</f>
        <v>6281317521285</v>
      </c>
      <c r="N12977" s="17" t="s">
        <v>77</v>
      </c>
      <c r="U12977" s="17"/>
      <c r="V12977" s="18">
        <f>6281317521285</f>
        <v>6281317521285</v>
      </c>
      <c r="W12977" t="s">
        <v>35255</v>
      </c>
    </row>
    <row r="12978" ht="15" customHeight="1" spans="1:28" x14ac:dyDescent="0.25">
      <c r="A12978" s="17" t="s">
        <v>35256</v>
      </c>
      <c r="B12978" s="17" t="s">
        <v>70</v>
      </c>
      <c r="C12978" s="17" t="s">
        <v>71</v>
      </c>
      <c r="D12978" t="s">
        <v>35257</v>
      </c>
      <c r="F12978" t="s">
        <v>35258</v>
      </c>
      <c r="J12978" t="s">
        <v>115</v>
      </c>
      <c r="K12978" s="18" t="s">
        <v>35259</v>
      </c>
      <c r="N12978" s="17" t="s">
        <v>81</v>
      </c>
      <c r="O12978" t="s">
        <v>145</v>
      </c>
      <c r="V12978" s="18" t="s">
        <v>35259</v>
      </c>
      <c r="Y12978" t="s">
        <v>115</v>
      </c>
      <c r="AA12978" t="s">
        <v>115</v>
      </c>
      <c r="AB12978" t="s">
        <v>451</v>
      </c>
    </row>
    <row r="12979" ht="15" customHeight="1" spans="1:22" x14ac:dyDescent="0.25">
      <c r="A12979" s="17" t="s">
        <v>35260</v>
      </c>
      <c r="B12979" s="17" t="s">
        <v>70</v>
      </c>
      <c r="C12979" s="17" t="s">
        <v>71</v>
      </c>
      <c r="D12979" t="s">
        <v>9437</v>
      </c>
      <c r="F12979" t="s">
        <v>301</v>
      </c>
      <c r="K12979" s="18">
        <f>6287877877870</f>
        <v>6287877877870</v>
      </c>
      <c r="N12979" s="17" t="s">
        <v>77</v>
      </c>
      <c r="V12979" s="18">
        <f>6287877877870</f>
        <v>6287877877870</v>
      </c>
    </row>
    <row r="12980" ht="15" customHeight="1" spans="1:27" x14ac:dyDescent="0.25">
      <c r="A12980" s="17" t="s">
        <v>35261</v>
      </c>
      <c r="B12980" s="17" t="s">
        <v>70</v>
      </c>
      <c r="C12980" s="17" t="s">
        <v>71</v>
      </c>
      <c r="D12980" t="s">
        <v>9437</v>
      </c>
      <c r="F12980" t="s">
        <v>12615</v>
      </c>
      <c r="K12980" s="18">
        <v>5229283</v>
      </c>
      <c r="N12980" s="17" t="s">
        <v>74</v>
      </c>
      <c r="U12980" s="17"/>
      <c r="V12980" s="18">
        <v>5229283</v>
      </c>
      <c r="W12980" t="s">
        <v>35262</v>
      </c>
      <c r="Y12980" s="17" t="s">
        <v>96</v>
      </c>
      <c r="AA12980" s="17" t="s">
        <v>7019</v>
      </c>
    </row>
    <row r="12981" ht="15" customHeight="1" spans="1:25" x14ac:dyDescent="0.25">
      <c r="A12981" s="17" t="s">
        <v>35263</v>
      </c>
      <c r="B12981" s="17" t="s">
        <v>70</v>
      </c>
      <c r="C12981" s="17" t="s">
        <v>71</v>
      </c>
      <c r="D12981" s="19" t="s">
        <v>35264</v>
      </c>
      <c r="F12981" t="s">
        <v>35264</v>
      </c>
      <c r="K12981" s="18">
        <f>62818244299</f>
        <v>62818244299</v>
      </c>
      <c r="N12981" s="17" t="s">
        <v>74</v>
      </c>
      <c r="U12981" s="17"/>
      <c r="V12981" s="18">
        <f>62818244299</f>
        <v>62818244299</v>
      </c>
      <c r="W12981" t="s">
        <v>35265</v>
      </c>
      <c r="Y12981" s="17" t="s">
        <v>96</v>
      </c>
    </row>
    <row r="12982" ht="15" customHeight="1" spans="1:22" x14ac:dyDescent="0.25">
      <c r="A12982" s="17" t="s">
        <v>35266</v>
      </c>
      <c r="B12982" s="17" t="s">
        <v>70</v>
      </c>
      <c r="C12982" s="17" t="s">
        <v>71</v>
      </c>
      <c r="D12982" t="s">
        <v>35267</v>
      </c>
      <c r="F12982" t="s">
        <v>35268</v>
      </c>
      <c r="K12982" s="18">
        <f>6208121046904</f>
        <v>6208121046904</v>
      </c>
      <c r="N12982" s="17" t="s">
        <v>77</v>
      </c>
      <c r="V12982" s="18">
        <f>6208121046904</f>
        <v>6208121046904</v>
      </c>
    </row>
    <row r="12983" ht="15" customHeight="1" spans="1:22" x14ac:dyDescent="0.25">
      <c r="A12983" s="17" t="s">
        <v>35269</v>
      </c>
      <c r="B12983" s="17" t="s">
        <v>70</v>
      </c>
      <c r="C12983" s="17" t="s">
        <v>71</v>
      </c>
      <c r="D12983" t="s">
        <v>35270</v>
      </c>
      <c r="F12983" t="s">
        <v>28435</v>
      </c>
      <c r="K12983" s="18">
        <f>628119277761</f>
        <v>628119277761</v>
      </c>
      <c r="N12983" s="17" t="s">
        <v>77</v>
      </c>
      <c r="V12983" s="18">
        <f>628119277761</f>
        <v>628119277761</v>
      </c>
    </row>
    <row r="12984" ht="15" customHeight="1" spans="1:22" x14ac:dyDescent="0.25">
      <c r="A12984" s="17" t="s">
        <v>35271</v>
      </c>
      <c r="B12984" s="17" t="s">
        <v>70</v>
      </c>
      <c r="C12984" s="17" t="s">
        <v>71</v>
      </c>
      <c r="D12984" t="s">
        <v>35270</v>
      </c>
      <c r="F12984" t="s">
        <v>35272</v>
      </c>
      <c r="K12984" s="18">
        <f>6281806722810</f>
        <v>6281806722810</v>
      </c>
      <c r="N12984" s="17" t="s">
        <v>74</v>
      </c>
      <c r="V12984" s="18">
        <f>6281806722810</f>
        <v>6281806722810</v>
      </c>
    </row>
    <row r="12985" ht="15" customHeight="1" spans="1:23" x14ac:dyDescent="0.25">
      <c r="A12985" s="17" t="s">
        <v>35273</v>
      </c>
      <c r="B12985" s="17" t="s">
        <v>70</v>
      </c>
      <c r="C12985" s="17" t="s">
        <v>71</v>
      </c>
      <c r="D12985" t="s">
        <v>35274</v>
      </c>
      <c r="F12985" t="s">
        <v>35274</v>
      </c>
      <c r="K12985" s="18">
        <f>6281383822903</f>
        <v>6281383822903</v>
      </c>
      <c r="N12985" s="17" t="s">
        <v>81</v>
      </c>
      <c r="U12985" s="17"/>
      <c r="V12985" s="18">
        <f>6281383822903</f>
        <v>6281383822903</v>
      </c>
      <c r="W12985" t="s">
        <v>35275</v>
      </c>
    </row>
    <row r="12986" ht="15" customHeight="1" spans="1:22" x14ac:dyDescent="0.25">
      <c r="A12986" s="17" t="s">
        <v>35276</v>
      </c>
      <c r="B12986" s="17" t="s">
        <v>70</v>
      </c>
      <c r="C12986" s="17" t="s">
        <v>71</v>
      </c>
      <c r="D12986" t="s">
        <v>35277</v>
      </c>
      <c r="F12986" t="s">
        <v>35277</v>
      </c>
      <c r="K12986" s="18">
        <v>971503703071</v>
      </c>
      <c r="N12986" s="17" t="s">
        <v>77</v>
      </c>
      <c r="V12986" s="18">
        <v>971503703071</v>
      </c>
    </row>
    <row r="12987" ht="15" customHeight="1" spans="1:22" x14ac:dyDescent="0.25">
      <c r="A12987" s="17" t="s">
        <v>35278</v>
      </c>
      <c r="B12987" s="17" t="s">
        <v>70</v>
      </c>
      <c r="C12987" s="17" t="s">
        <v>71</v>
      </c>
      <c r="D12987" t="s">
        <v>20950</v>
      </c>
      <c r="F12987" t="s">
        <v>35279</v>
      </c>
      <c r="J12987" s="17" t="s">
        <v>35280</v>
      </c>
      <c r="K12987" s="18">
        <v>966501444463</v>
      </c>
      <c r="N12987" s="17" t="s">
        <v>77</v>
      </c>
      <c r="V12987" s="18">
        <v>966501444463</v>
      </c>
    </row>
    <row r="12988" ht="15" customHeight="1" spans="1:22" x14ac:dyDescent="0.25">
      <c r="A12988" s="17" t="s">
        <v>35281</v>
      </c>
      <c r="B12988" s="17" t="s">
        <v>70</v>
      </c>
      <c r="C12988" s="17" t="s">
        <v>71</v>
      </c>
      <c r="D12988" t="s">
        <v>35282</v>
      </c>
      <c r="F12988" t="s">
        <v>35283</v>
      </c>
      <c r="K12988" s="18">
        <f>628179933899</f>
        <v>628179933899</v>
      </c>
      <c r="N12988" s="17" t="s">
        <v>77</v>
      </c>
      <c r="V12988" s="18">
        <f>628179933899</f>
        <v>628179933899</v>
      </c>
    </row>
    <row r="12989" ht="15" customHeight="1" spans="1:22" x14ac:dyDescent="0.25">
      <c r="A12989" s="17" t="s">
        <v>35284</v>
      </c>
      <c r="B12989" s="17" t="s">
        <v>70</v>
      </c>
      <c r="C12989" s="17" t="s">
        <v>71</v>
      </c>
      <c r="D12989" t="s">
        <v>35285</v>
      </c>
      <c r="F12989" t="s">
        <v>35285</v>
      </c>
      <c r="K12989" s="18">
        <f>628125366378</f>
        <v>628125366378</v>
      </c>
      <c r="N12989" s="17" t="s">
        <v>77</v>
      </c>
      <c r="V12989" s="18">
        <f>628125366378</f>
        <v>628125366378</v>
      </c>
    </row>
    <row r="12990" ht="15" customHeight="1" spans="1:22" x14ac:dyDescent="0.25">
      <c r="A12990" s="17" t="s">
        <v>35286</v>
      </c>
      <c r="B12990" s="17" t="s">
        <v>70</v>
      </c>
      <c r="C12990" s="17" t="s">
        <v>71</v>
      </c>
      <c r="D12990" t="s">
        <v>35285</v>
      </c>
      <c r="F12990" t="s">
        <v>35287</v>
      </c>
      <c r="K12990" s="18">
        <f>628125505885</f>
        <v>628125505885</v>
      </c>
      <c r="N12990" s="17" t="s">
        <v>77</v>
      </c>
      <c r="V12990" s="18">
        <f>628125505885</f>
        <v>628125505885</v>
      </c>
    </row>
    <row r="12991" ht="15" customHeight="1" spans="1:22" x14ac:dyDescent="0.25">
      <c r="A12991" s="17" t="s">
        <v>35288</v>
      </c>
      <c r="B12991" s="17" t="s">
        <v>70</v>
      </c>
      <c r="C12991" s="17" t="s">
        <v>71</v>
      </c>
      <c r="D12991" t="s">
        <v>14708</v>
      </c>
      <c r="F12991" t="s">
        <v>14708</v>
      </c>
      <c r="K12991" s="18">
        <f>62811751777</f>
        <v>62811751777</v>
      </c>
      <c r="N12991" s="17" t="s">
        <v>81</v>
      </c>
      <c r="V12991" s="18">
        <f>62811751777</f>
        <v>62811751777</v>
      </c>
    </row>
    <row r="12992" ht="15" customHeight="1" spans="1:23" x14ac:dyDescent="0.25">
      <c r="A12992" s="17" t="s">
        <v>35289</v>
      </c>
      <c r="B12992" s="17" t="s">
        <v>70</v>
      </c>
      <c r="C12992" s="17" t="s">
        <v>71</v>
      </c>
      <c r="D12992" t="s">
        <v>35290</v>
      </c>
      <c r="F12992" t="s">
        <v>31549</v>
      </c>
      <c r="K12992" s="18">
        <f>78857654390</f>
        <v>78857654390</v>
      </c>
      <c r="N12992" s="17" t="s">
        <v>77</v>
      </c>
      <c r="U12992" s="17"/>
      <c r="V12992" s="18">
        <f>78857654390</f>
        <v>78857654390</v>
      </c>
      <c r="W12992" t="s">
        <v>1909</v>
      </c>
    </row>
    <row r="12993" ht="15" customHeight="1" spans="1:28" x14ac:dyDescent="0.25">
      <c r="A12993" s="17" t="s">
        <v>35291</v>
      </c>
      <c r="B12993" s="17" t="s">
        <v>70</v>
      </c>
      <c r="C12993" s="17" t="s">
        <v>71</v>
      </c>
      <c r="D12993" t="s">
        <v>1086</v>
      </c>
      <c r="F12993" t="s">
        <v>1130</v>
      </c>
      <c r="J12993" t="s">
        <v>115</v>
      </c>
      <c r="K12993" s="18" t="s">
        <v>35292</v>
      </c>
      <c r="N12993" s="17" t="s">
        <v>77</v>
      </c>
      <c r="O12993" t="s">
        <v>261</v>
      </c>
      <c r="V12993" s="18" t="s">
        <v>35292</v>
      </c>
      <c r="Y12993" t="s">
        <v>90</v>
      </c>
      <c r="AA12993" t="s">
        <v>118</v>
      </c>
      <c r="AB12993" t="s">
        <v>119</v>
      </c>
    </row>
    <row r="12994" ht="15" customHeight="1" spans="1:25" x14ac:dyDescent="0.25">
      <c r="A12994" s="17" t="s">
        <v>35293</v>
      </c>
      <c r="B12994" s="17" t="s">
        <v>70</v>
      </c>
      <c r="C12994" s="17" t="s">
        <v>71</v>
      </c>
      <c r="D12994" t="s">
        <v>1130</v>
      </c>
      <c r="F12994" t="s">
        <v>35294</v>
      </c>
      <c r="K12994" s="18">
        <f>628125522567</f>
        <v>628125522567</v>
      </c>
      <c r="N12994" s="17" t="s">
        <v>77</v>
      </c>
      <c r="V12994" s="18">
        <f>628125522567</f>
        <v>628125522567</v>
      </c>
      <c r="Y12994" s="17" t="s">
        <v>881</v>
      </c>
    </row>
    <row r="12995" ht="15" customHeight="1" spans="1:27" x14ac:dyDescent="0.25">
      <c r="A12995" s="17" t="s">
        <v>35295</v>
      </c>
      <c r="B12995" s="17" t="s">
        <v>70</v>
      </c>
      <c r="C12995" s="17" t="s">
        <v>71</v>
      </c>
      <c r="D12995" t="s">
        <v>1130</v>
      </c>
      <c r="F12995" t="s">
        <v>21437</v>
      </c>
      <c r="K12995" s="18">
        <f>62816916317</f>
        <v>62816916317</v>
      </c>
      <c r="N12995" s="17" t="s">
        <v>77</v>
      </c>
      <c r="U12995" s="17"/>
      <c r="V12995" s="18">
        <f>62816916317</f>
        <v>62816916317</v>
      </c>
      <c r="W12995" t="s">
        <v>35296</v>
      </c>
      <c r="Y12995" s="17" t="s">
        <v>378</v>
      </c>
      <c r="AA12995" s="17" t="s">
        <v>7565</v>
      </c>
    </row>
    <row r="12996" ht="15" customHeight="1" spans="1:25" x14ac:dyDescent="0.25">
      <c r="A12996" s="17" t="s">
        <v>35297</v>
      </c>
      <c r="B12996" s="17" t="s">
        <v>70</v>
      </c>
      <c r="C12996" s="17" t="s">
        <v>71</v>
      </c>
      <c r="D12996" t="s">
        <v>1130</v>
      </c>
      <c r="F12996" t="s">
        <v>20142</v>
      </c>
      <c r="K12996" s="18">
        <f>62816770538</f>
        <v>62816770538</v>
      </c>
      <c r="N12996" s="17" t="s">
        <v>74</v>
      </c>
      <c r="U12996" s="17"/>
      <c r="V12996" s="18">
        <f>62816770538</f>
        <v>62816770538</v>
      </c>
      <c r="W12996" t="s">
        <v>35298</v>
      </c>
      <c r="Y12996" s="17" t="s">
        <v>626</v>
      </c>
    </row>
    <row r="12997" ht="15" customHeight="1" spans="1:27" x14ac:dyDescent="0.25">
      <c r="A12997" s="17" t="s">
        <v>35299</v>
      </c>
      <c r="B12997" s="17" t="s">
        <v>70</v>
      </c>
      <c r="C12997" s="17" t="s">
        <v>71</v>
      </c>
      <c r="D12997" t="s">
        <v>30421</v>
      </c>
      <c r="F12997" t="s">
        <v>35300</v>
      </c>
      <c r="K12997" s="18">
        <f>62818121000</f>
        <v>62818121000</v>
      </c>
      <c r="N12997" s="17" t="s">
        <v>74</v>
      </c>
      <c r="U12997" s="17"/>
      <c r="V12997" s="18">
        <f>62818121000</f>
        <v>62818121000</v>
      </c>
      <c r="W12997" t="s">
        <v>35301</v>
      </c>
      <c r="Y12997" s="17" t="s">
        <v>96</v>
      </c>
      <c r="AA12997" s="17" t="s">
        <v>35302</v>
      </c>
    </row>
    <row r="12998" ht="15" customHeight="1" spans="1:23" x14ac:dyDescent="0.25">
      <c r="A12998" s="17" t="s">
        <v>35303</v>
      </c>
      <c r="B12998" s="17" t="s">
        <v>70</v>
      </c>
      <c r="C12998" s="17" t="s">
        <v>71</v>
      </c>
      <c r="D12998" t="s">
        <v>30421</v>
      </c>
      <c r="F12998" t="s">
        <v>35304</v>
      </c>
      <c r="K12998" s="18">
        <f>6586936658</f>
        <v>6586936658</v>
      </c>
      <c r="N12998" s="17" t="s">
        <v>81</v>
      </c>
      <c r="U12998" s="17"/>
      <c r="V12998" s="18">
        <f>6586936658</f>
        <v>6586936658</v>
      </c>
      <c r="W12998" t="s">
        <v>35305</v>
      </c>
    </row>
    <row r="12999" ht="15" customHeight="1" spans="1:22" x14ac:dyDescent="0.25">
      <c r="A12999" s="17" t="s">
        <v>35306</v>
      </c>
      <c r="B12999" s="17" t="s">
        <v>70</v>
      </c>
      <c r="C12999" s="17" t="s">
        <v>71</v>
      </c>
      <c r="D12999" t="s">
        <v>35307</v>
      </c>
      <c r="F12999" t="s">
        <v>35307</v>
      </c>
      <c r="K12999" s="18">
        <f>6281213851710</f>
        <v>6281213851710</v>
      </c>
      <c r="N12999" s="17" t="s">
        <v>77</v>
      </c>
      <c r="V12999" s="18">
        <f>6281213851710</f>
        <v>6281213851710</v>
      </c>
    </row>
    <row r="13000" ht="15" customHeight="1" spans="1:23" x14ac:dyDescent="0.25">
      <c r="A13000" s="17" t="s">
        <v>35308</v>
      </c>
      <c r="B13000" s="17" t="s">
        <v>70</v>
      </c>
      <c r="C13000" s="17" t="s">
        <v>71</v>
      </c>
      <c r="D13000" t="s">
        <v>35307</v>
      </c>
      <c r="F13000" t="s">
        <v>35307</v>
      </c>
      <c r="K13000" s="18">
        <f>6281294040700</f>
        <v>6281294040700</v>
      </c>
      <c r="N13000" s="17" t="s">
        <v>81</v>
      </c>
      <c r="U13000" s="17"/>
      <c r="V13000" s="18">
        <f>6281294040700</f>
        <v>6281294040700</v>
      </c>
      <c r="W13000" t="s">
        <v>35309</v>
      </c>
    </row>
    <row r="13001" ht="15" customHeight="1" spans="1:22" x14ac:dyDescent="0.25">
      <c r="A13001" s="17" t="s">
        <v>35310</v>
      </c>
      <c r="B13001" s="17" t="s">
        <v>70</v>
      </c>
      <c r="C13001" s="17" t="s">
        <v>71</v>
      </c>
      <c r="D13001" t="s">
        <v>35307</v>
      </c>
      <c r="F13001" t="s">
        <v>35307</v>
      </c>
      <c r="K13001" s="18">
        <f>628111548080</f>
        <v>628111548080</v>
      </c>
      <c r="N13001" s="17" t="s">
        <v>81</v>
      </c>
      <c r="V13001" s="18">
        <f>628111548080</f>
        <v>628111548080</v>
      </c>
    </row>
    <row r="13002" ht="15" customHeight="1" spans="1:23" x14ac:dyDescent="0.25">
      <c r="A13002" s="17" t="s">
        <v>35311</v>
      </c>
      <c r="B13002" s="17" t="s">
        <v>70</v>
      </c>
      <c r="C13002" s="17" t="s">
        <v>71</v>
      </c>
      <c r="D13002" t="s">
        <v>35307</v>
      </c>
      <c r="F13002" t="s">
        <v>35307</v>
      </c>
      <c r="J13002" s="17" t="s">
        <v>35312</v>
      </c>
      <c r="K13002" s="18">
        <f>628125636687</f>
        <v>628125636687</v>
      </c>
      <c r="N13002" s="17" t="s">
        <v>77</v>
      </c>
      <c r="U13002" s="17"/>
      <c r="V13002" s="18">
        <f>628125636687</f>
        <v>628125636687</v>
      </c>
      <c r="W13002" t="s">
        <v>35313</v>
      </c>
    </row>
    <row r="13003" ht="15" customHeight="1" spans="1:28" x14ac:dyDescent="0.25">
      <c r="A13003" s="17" t="s">
        <v>35314</v>
      </c>
      <c r="B13003" s="17" t="s">
        <v>70</v>
      </c>
      <c r="C13003" s="17" t="s">
        <v>71</v>
      </c>
      <c r="D13003" t="s">
        <v>35307</v>
      </c>
      <c r="F13003" t="s">
        <v>543</v>
      </c>
      <c r="J13003" t="s">
        <v>115</v>
      </c>
      <c r="K13003" s="18" t="s">
        <v>35315</v>
      </c>
      <c r="N13003" s="17" t="s">
        <v>81</v>
      </c>
      <c r="O13003" t="s">
        <v>117</v>
      </c>
      <c r="U13003" s="17"/>
      <c r="V13003" s="18" t="s">
        <v>35315</v>
      </c>
      <c r="W13003" t="s">
        <v>35316</v>
      </c>
      <c r="Y13003" t="s">
        <v>190</v>
      </c>
      <c r="AA13003" t="s">
        <v>118</v>
      </c>
      <c r="AB13003" t="s">
        <v>119</v>
      </c>
    </row>
    <row r="13004" ht="15" customHeight="1" spans="1:22" x14ac:dyDescent="0.25">
      <c r="A13004" s="17" t="s">
        <v>35317</v>
      </c>
      <c r="B13004" s="17" t="s">
        <v>70</v>
      </c>
      <c r="C13004" s="17" t="s">
        <v>71</v>
      </c>
      <c r="D13004" s="19" t="s">
        <v>35307</v>
      </c>
      <c r="F13004" t="s">
        <v>35318</v>
      </c>
      <c r="K13004" s="18">
        <f>62811659111</f>
        <v>62811659111</v>
      </c>
      <c r="N13004" s="17" t="s">
        <v>77</v>
      </c>
      <c r="V13004" s="18">
        <f>62811659111</f>
        <v>62811659111</v>
      </c>
    </row>
    <row r="13005" ht="15" customHeight="1" spans="1:25" x14ac:dyDescent="0.25">
      <c r="A13005" s="17" t="s">
        <v>35319</v>
      </c>
      <c r="B13005" s="17" t="s">
        <v>70</v>
      </c>
      <c r="C13005" s="17" t="s">
        <v>71</v>
      </c>
      <c r="D13005" t="s">
        <v>35307</v>
      </c>
      <c r="F13005" t="s">
        <v>6780</v>
      </c>
      <c r="K13005" s="18">
        <f>62213103366</f>
        <v>62213103366</v>
      </c>
      <c r="N13005" s="17" t="s">
        <v>77</v>
      </c>
      <c r="U13005" s="17"/>
      <c r="V13005" s="18">
        <f>62213103366</f>
        <v>62213103366</v>
      </c>
      <c r="W13005" t="s">
        <v>35320</v>
      </c>
      <c r="Y13005" s="17" t="s">
        <v>96</v>
      </c>
    </row>
    <row r="13006" ht="15" customHeight="1" spans="1:25" x14ac:dyDescent="0.25">
      <c r="A13006" s="17" t="s">
        <v>35321</v>
      </c>
      <c r="B13006" s="17" t="s">
        <v>70</v>
      </c>
      <c r="C13006" s="17" t="s">
        <v>71</v>
      </c>
      <c r="D13006" t="s">
        <v>35307</v>
      </c>
      <c r="F13006" t="s">
        <v>35322</v>
      </c>
      <c r="K13006" s="18">
        <f>628111756560</f>
        <v>628111756560</v>
      </c>
      <c r="N13006" s="17" t="s">
        <v>77</v>
      </c>
      <c r="U13006" s="17"/>
      <c r="V13006" s="18">
        <f>628111756560</f>
        <v>628111756560</v>
      </c>
      <c r="W13006" t="s">
        <v>35323</v>
      </c>
      <c r="Y13006" s="17" t="s">
        <v>2953</v>
      </c>
    </row>
    <row r="13007" ht="15" customHeight="1" spans="1:22" x14ac:dyDescent="0.25">
      <c r="A13007" s="17" t="s">
        <v>35324</v>
      </c>
      <c r="B13007" s="17" t="s">
        <v>70</v>
      </c>
      <c r="C13007" s="17" t="s">
        <v>71</v>
      </c>
      <c r="D13007" t="s">
        <v>35307</v>
      </c>
      <c r="F13007" t="s">
        <v>35325</v>
      </c>
      <c r="K13007" s="18">
        <f>62811953435</f>
        <v>62811953435</v>
      </c>
      <c r="N13007" s="17" t="s">
        <v>81</v>
      </c>
      <c r="V13007" s="18">
        <f>62811953435</f>
        <v>62811953435</v>
      </c>
    </row>
    <row r="13008" ht="15" customHeight="1" spans="1:25" x14ac:dyDescent="0.25">
      <c r="A13008" s="17" t="s">
        <v>35326</v>
      </c>
      <c r="B13008" s="17" t="s">
        <v>70</v>
      </c>
      <c r="C13008" s="17" t="s">
        <v>71</v>
      </c>
      <c r="D13008" t="s">
        <v>35307</v>
      </c>
      <c r="F13008" t="s">
        <v>35327</v>
      </c>
      <c r="K13008" s="18">
        <f>622157973804</f>
        <v>622157973804</v>
      </c>
      <c r="N13008" s="17" t="s">
        <v>77</v>
      </c>
      <c r="U13008" s="17"/>
      <c r="V13008" s="18">
        <f>622157973804</f>
        <v>622157973804</v>
      </c>
      <c r="W13008" t="s">
        <v>35328</v>
      </c>
      <c r="Y13008" s="17" t="s">
        <v>96</v>
      </c>
    </row>
    <row r="13009" ht="15" customHeight="1" spans="1:28" x14ac:dyDescent="0.25">
      <c r="A13009" s="17" t="s">
        <v>35329</v>
      </c>
      <c r="B13009" s="17" t="s">
        <v>70</v>
      </c>
      <c r="C13009" s="17" t="s">
        <v>71</v>
      </c>
      <c r="D13009" t="s">
        <v>35307</v>
      </c>
      <c r="F13009" t="s">
        <v>7965</v>
      </c>
      <c r="J13009" s="17" t="s">
        <v>35330</v>
      </c>
      <c r="K13009" s="18" t="s">
        <v>35331</v>
      </c>
      <c r="N13009" s="17" t="s">
        <v>77</v>
      </c>
      <c r="O13009" t="s">
        <v>261</v>
      </c>
      <c r="U13009" s="17"/>
      <c r="V13009" s="18" t="s">
        <v>35331</v>
      </c>
      <c r="W13009" t="s">
        <v>35332</v>
      </c>
      <c r="Y13009" t="s">
        <v>90</v>
      </c>
      <c r="AA13009" t="s">
        <v>118</v>
      </c>
      <c r="AB13009" t="s">
        <v>119</v>
      </c>
    </row>
    <row r="13010" ht="15" customHeight="1" spans="1:23" x14ac:dyDescent="0.25">
      <c r="A13010" s="17" t="s">
        <v>35333</v>
      </c>
      <c r="B13010" s="17" t="s">
        <v>70</v>
      </c>
      <c r="C13010" s="17" t="s">
        <v>71</v>
      </c>
      <c r="D13010" t="s">
        <v>35334</v>
      </c>
      <c r="F13010" t="s">
        <v>34752</v>
      </c>
      <c r="J13010" s="17" t="s">
        <v>35335</v>
      </c>
      <c r="K13010" s="18">
        <f>62816889281</f>
        <v>62816889281</v>
      </c>
      <c r="N13010" s="17" t="s">
        <v>81</v>
      </c>
      <c r="U13010" s="17"/>
      <c r="V13010" s="18">
        <f>62816889281</f>
        <v>62816889281</v>
      </c>
      <c r="W13010" t="s">
        <v>35336</v>
      </c>
    </row>
    <row r="13011" ht="15" customHeight="1" spans="1:22" x14ac:dyDescent="0.25">
      <c r="A13011" s="17" t="s">
        <v>35337</v>
      </c>
      <c r="B13011" s="17" t="s">
        <v>70</v>
      </c>
      <c r="C13011" s="17" t="s">
        <v>71</v>
      </c>
      <c r="D13011" t="s">
        <v>16245</v>
      </c>
      <c r="F13011" t="s">
        <v>11740</v>
      </c>
      <c r="K13011" s="18">
        <f>6281293292901</f>
        <v>6281293292901</v>
      </c>
      <c r="N13011" s="17" t="s">
        <v>77</v>
      </c>
      <c r="V13011" s="18">
        <f>6281293292901</f>
        <v>6281293292901</v>
      </c>
    </row>
    <row r="13012" ht="15" customHeight="1" spans="1:25" x14ac:dyDescent="0.25">
      <c r="A13012" s="17" t="s">
        <v>35338</v>
      </c>
      <c r="B13012" s="17" t="s">
        <v>70</v>
      </c>
      <c r="C13012" s="17" t="s">
        <v>71</v>
      </c>
      <c r="D13012" t="s">
        <v>35339</v>
      </c>
      <c r="F13012" t="s">
        <v>19705</v>
      </c>
      <c r="K13012" s="18">
        <f>628121023576</f>
        <v>628121023576</v>
      </c>
      <c r="N13012" s="17" t="s">
        <v>77</v>
      </c>
      <c r="U13012" s="17"/>
      <c r="V13012" s="18">
        <f>628121023576</f>
        <v>628121023576</v>
      </c>
      <c r="W13012" t="s">
        <v>35340</v>
      </c>
      <c r="Y13012" s="17" t="s">
        <v>90</v>
      </c>
    </row>
    <row r="13013" ht="15" customHeight="1" spans="1:22" x14ac:dyDescent="0.25">
      <c r="A13013" s="17" t="s">
        <v>35341</v>
      </c>
      <c r="B13013" s="17" t="s">
        <v>70</v>
      </c>
      <c r="C13013" s="17" t="s">
        <v>71</v>
      </c>
      <c r="D13013" t="s">
        <v>35342</v>
      </c>
      <c r="F13013" t="s">
        <v>35342</v>
      </c>
      <c r="K13013" s="18">
        <f>79852779905</f>
        <v>79852779905</v>
      </c>
      <c r="N13013" s="17" t="s">
        <v>77</v>
      </c>
      <c r="V13013" s="18">
        <f>79852779905</f>
        <v>79852779905</v>
      </c>
    </row>
    <row r="13014" ht="15" customHeight="1" spans="1:22" x14ac:dyDescent="0.25">
      <c r="A13014" s="17" t="s">
        <v>35343</v>
      </c>
      <c r="B13014" s="17" t="s">
        <v>70</v>
      </c>
      <c r="C13014" s="17" t="s">
        <v>71</v>
      </c>
      <c r="D13014" t="s">
        <v>35344</v>
      </c>
      <c r="F13014" t="s">
        <v>35344</v>
      </c>
      <c r="K13014" s="18">
        <f>6281268611998</f>
        <v>6281268611998</v>
      </c>
      <c r="N13014" s="17" t="s">
        <v>81</v>
      </c>
      <c r="V13014" s="18">
        <f>6281268611998</f>
        <v>6281268611998</v>
      </c>
    </row>
    <row r="13015" ht="15" customHeight="1" spans="1:22" x14ac:dyDescent="0.25">
      <c r="A13015" s="17" t="s">
        <v>35345</v>
      </c>
      <c r="B13015" s="17" t="s">
        <v>70</v>
      </c>
      <c r="C13015" s="17" t="s">
        <v>71</v>
      </c>
      <c r="D13015" t="s">
        <v>35346</v>
      </c>
      <c r="F13015" t="s">
        <v>994</v>
      </c>
      <c r="K13015" s="18">
        <f>628161777701</f>
        <v>628161777701</v>
      </c>
      <c r="N13015" s="17" t="s">
        <v>77</v>
      </c>
      <c r="V13015" s="18">
        <f>628161777701</f>
        <v>628161777701</v>
      </c>
    </row>
    <row r="13016" ht="15" customHeight="1" spans="1:22" x14ac:dyDescent="0.25">
      <c r="A13016" s="17" t="s">
        <v>35347</v>
      </c>
      <c r="B13016" s="17" t="s">
        <v>70</v>
      </c>
      <c r="C13016" s="17" t="s">
        <v>71</v>
      </c>
      <c r="D13016" t="s">
        <v>35346</v>
      </c>
      <c r="F13016" t="s">
        <v>35348</v>
      </c>
      <c r="J13016" s="17" t="s">
        <v>35349</v>
      </c>
      <c r="K13016" s="18">
        <f>6281318679090</f>
        <v>6281318679090</v>
      </c>
      <c r="N13016" s="17" t="s">
        <v>81</v>
      </c>
      <c r="V13016" s="18">
        <f>6281318679090</f>
        <v>6281318679090</v>
      </c>
    </row>
    <row r="13017" ht="15" customHeight="1" spans="1:22" x14ac:dyDescent="0.25">
      <c r="A13017" s="17" t="s">
        <v>35350</v>
      </c>
      <c r="B13017" s="17" t="s">
        <v>70</v>
      </c>
      <c r="C13017" s="17" t="s">
        <v>71</v>
      </c>
      <c r="D13017" t="s">
        <v>35351</v>
      </c>
      <c r="F13017" t="s">
        <v>35352</v>
      </c>
      <c r="K13017" s="18">
        <f>6281219575555</f>
        <v>6281219575555</v>
      </c>
      <c r="N13017" s="17" t="s">
        <v>77</v>
      </c>
      <c r="V13017" s="18">
        <f>6281219575555</f>
        <v>6281219575555</v>
      </c>
    </row>
    <row r="13018" ht="15" customHeight="1" spans="1:28" x14ac:dyDescent="0.25">
      <c r="A13018" s="17" t="s">
        <v>35353</v>
      </c>
      <c r="B13018" s="17" t="s">
        <v>70</v>
      </c>
      <c r="C13018" s="17" t="s">
        <v>71</v>
      </c>
      <c r="D13018" t="s">
        <v>35354</v>
      </c>
      <c r="F13018" t="s">
        <v>35355</v>
      </c>
      <c r="J13018" t="s">
        <v>115</v>
      </c>
      <c r="K13018" s="18" t="s">
        <v>35356</v>
      </c>
      <c r="N13018" s="17" t="s">
        <v>77</v>
      </c>
      <c r="O13018" t="s">
        <v>117</v>
      </c>
      <c r="V13018" s="18" t="s">
        <v>35356</v>
      </c>
      <c r="Y13018" t="s">
        <v>190</v>
      </c>
      <c r="AA13018" t="s">
        <v>118</v>
      </c>
      <c r="AB13018" t="s">
        <v>119</v>
      </c>
    </row>
    <row r="13019" ht="15" customHeight="1" spans="1:22" x14ac:dyDescent="0.25">
      <c r="A13019" s="17" t="s">
        <v>35357</v>
      </c>
      <c r="B13019" s="17" t="s">
        <v>70</v>
      </c>
      <c r="C13019" s="17" t="s">
        <v>71</v>
      </c>
      <c r="D13019" t="s">
        <v>35354</v>
      </c>
      <c r="F13019" t="s">
        <v>35358</v>
      </c>
      <c r="J13019" s="17" t="s">
        <v>35359</v>
      </c>
      <c r="K13019" s="18">
        <f>628119561818</f>
        <v>628119561818</v>
      </c>
      <c r="N13019" s="17" t="s">
        <v>81</v>
      </c>
      <c r="V13019" s="18">
        <f>628119561818</f>
        <v>628119561818</v>
      </c>
    </row>
    <row r="13020" ht="15" customHeight="1" spans="1:22" x14ac:dyDescent="0.25">
      <c r="A13020" s="17" t="s">
        <v>35360</v>
      </c>
      <c r="B13020" s="17" t="s">
        <v>70</v>
      </c>
      <c r="C13020" s="17" t="s">
        <v>71</v>
      </c>
      <c r="D13020" t="s">
        <v>35354</v>
      </c>
      <c r="F13020" t="s">
        <v>35361</v>
      </c>
      <c r="K13020" s="18">
        <f>85511777883</f>
        <v>85511777883</v>
      </c>
      <c r="N13020" s="17" t="s">
        <v>81</v>
      </c>
      <c r="V13020" s="18">
        <f>85511777883</f>
        <v>85511777883</v>
      </c>
    </row>
    <row r="13021" ht="15" customHeight="1" spans="1:25" x14ac:dyDescent="0.25">
      <c r="A13021" s="17" t="s">
        <v>35362</v>
      </c>
      <c r="B13021" s="17" t="s">
        <v>70</v>
      </c>
      <c r="C13021" s="17" t="s">
        <v>71</v>
      </c>
      <c r="D13021" t="s">
        <v>35363</v>
      </c>
      <c r="F13021" t="s">
        <v>9553</v>
      </c>
      <c r="K13021" s="18">
        <f>622518325129</f>
        <v>622518325129</v>
      </c>
      <c r="N13021" s="17" t="s">
        <v>77</v>
      </c>
      <c r="U13021" s="17"/>
      <c r="V13021" s="18">
        <f>622518325129</f>
        <v>622518325129</v>
      </c>
      <c r="W13021" t="s">
        <v>35364</v>
      </c>
      <c r="Y13021" s="17" t="s">
        <v>622</v>
      </c>
    </row>
    <row r="13022" ht="15" customHeight="1" spans="1:22" x14ac:dyDescent="0.25">
      <c r="A13022" s="17" t="s">
        <v>35365</v>
      </c>
      <c r="B13022" s="17" t="s">
        <v>70</v>
      </c>
      <c r="C13022" s="17" t="s">
        <v>71</v>
      </c>
      <c r="D13022" t="s">
        <v>35366</v>
      </c>
      <c r="F13022" t="s">
        <v>16159</v>
      </c>
      <c r="K13022" s="18">
        <f>6281318868732</f>
        <v>6281318868732</v>
      </c>
      <c r="N13022" s="17" t="s">
        <v>77</v>
      </c>
      <c r="V13022" s="18">
        <f>6281318868732</f>
        <v>6281318868732</v>
      </c>
    </row>
    <row r="13023" ht="15" customHeight="1" spans="1:28" x14ac:dyDescent="0.25">
      <c r="A13023" s="17" t="s">
        <v>35367</v>
      </c>
      <c r="B13023" s="17" t="s">
        <v>70</v>
      </c>
      <c r="C13023" s="17" t="s">
        <v>71</v>
      </c>
      <c r="D13023" t="s">
        <v>7671</v>
      </c>
      <c r="F13023" t="s">
        <v>3252</v>
      </c>
      <c r="J13023" t="s">
        <v>115</v>
      </c>
      <c r="K13023" s="18" t="s">
        <v>35368</v>
      </c>
      <c r="N13023" s="17" t="s">
        <v>77</v>
      </c>
      <c r="O13023" t="s">
        <v>199</v>
      </c>
      <c r="V13023" s="18" t="s">
        <v>35368</v>
      </c>
      <c r="Y13023" t="s">
        <v>8029</v>
      </c>
      <c r="AA13023" t="s">
        <v>115</v>
      </c>
      <c r="AB13023" t="s">
        <v>119</v>
      </c>
    </row>
    <row r="13024" ht="15" customHeight="1" spans="1:22" x14ac:dyDescent="0.25">
      <c r="A13024" s="17" t="s">
        <v>35369</v>
      </c>
      <c r="B13024" s="17" t="s">
        <v>70</v>
      </c>
      <c r="C13024" s="17" t="s">
        <v>71</v>
      </c>
      <c r="D13024" t="s">
        <v>7671</v>
      </c>
      <c r="F13024" t="s">
        <v>2381</v>
      </c>
      <c r="K13024" s="18">
        <f>62811969281</f>
        <v>62811969281</v>
      </c>
      <c r="N13024" s="17" t="s">
        <v>77</v>
      </c>
      <c r="V13024" s="18">
        <f>62811969281</f>
        <v>62811969281</v>
      </c>
    </row>
    <row r="13025" ht="15" customHeight="1" spans="1:22" x14ac:dyDescent="0.25">
      <c r="A13025" s="17" t="s">
        <v>35370</v>
      </c>
      <c r="B13025" s="17" t="s">
        <v>70</v>
      </c>
      <c r="C13025" s="17" t="s">
        <v>71</v>
      </c>
      <c r="D13025" t="s">
        <v>7671</v>
      </c>
      <c r="F13025" t="s">
        <v>35371</v>
      </c>
      <c r="K13025" s="18">
        <f>6281808888326</f>
        <v>6281808888326</v>
      </c>
      <c r="N13025" s="17" t="s">
        <v>81</v>
      </c>
      <c r="V13025" s="18">
        <f>6281808888326</f>
        <v>6281808888326</v>
      </c>
    </row>
    <row r="13026" ht="15" customHeight="1" spans="1:28" x14ac:dyDescent="0.25">
      <c r="A13026" s="17" t="s">
        <v>35372</v>
      </c>
      <c r="B13026" s="17" t="s">
        <v>70</v>
      </c>
      <c r="C13026" s="17" t="s">
        <v>71</v>
      </c>
      <c r="D13026" t="s">
        <v>35373</v>
      </c>
      <c r="F13026" t="s">
        <v>35374</v>
      </c>
      <c r="J13026" t="s">
        <v>115</v>
      </c>
      <c r="K13026" s="18" t="s">
        <v>35375</v>
      </c>
      <c r="N13026" s="17" t="s">
        <v>77</v>
      </c>
      <c r="O13026" t="s">
        <v>261</v>
      </c>
      <c r="U13026" s="17"/>
      <c r="V13026" s="18" t="s">
        <v>35375</v>
      </c>
      <c r="W13026" t="s">
        <v>35376</v>
      </c>
      <c r="Y13026" s="17" t="s">
        <v>704</v>
      </c>
      <c r="AA13026" t="s">
        <v>705</v>
      </c>
      <c r="AB13026" t="s">
        <v>119</v>
      </c>
    </row>
    <row r="13027" ht="15" customHeight="1" spans="1:25" x14ac:dyDescent="0.25">
      <c r="A13027" s="17" t="s">
        <v>35377</v>
      </c>
      <c r="B13027" s="17" t="s">
        <v>70</v>
      </c>
      <c r="C13027" s="17" t="s">
        <v>71</v>
      </c>
      <c r="D13027" t="s">
        <v>35378</v>
      </c>
      <c r="F13027" t="s">
        <v>618</v>
      </c>
      <c r="K13027" s="18">
        <f>62818323738</f>
        <v>62818323738</v>
      </c>
      <c r="N13027" s="17" t="s">
        <v>77</v>
      </c>
      <c r="U13027" s="17"/>
      <c r="V13027" s="18">
        <f>62818323738</f>
        <v>62818323738</v>
      </c>
      <c r="W13027" t="s">
        <v>35379</v>
      </c>
      <c r="Y13027" s="17" t="s">
        <v>704</v>
      </c>
    </row>
    <row r="13028" ht="15" customHeight="1" spans="1:22" x14ac:dyDescent="0.25">
      <c r="A13028" s="17" t="s">
        <v>35380</v>
      </c>
      <c r="B13028" s="17" t="s">
        <v>70</v>
      </c>
      <c r="C13028" s="17" t="s">
        <v>71</v>
      </c>
      <c r="D13028" t="s">
        <v>35381</v>
      </c>
      <c r="F13028" t="s">
        <v>35381</v>
      </c>
      <c r="K13028" s="18">
        <f>6289981105346</f>
        <v>6289981105346</v>
      </c>
      <c r="N13028" s="17" t="s">
        <v>77</v>
      </c>
      <c r="V13028" s="18">
        <f>6289981105346</f>
        <v>6289981105346</v>
      </c>
    </row>
    <row r="13029" ht="15" customHeight="1" spans="1:28" x14ac:dyDescent="0.25">
      <c r="A13029" s="17" t="s">
        <v>35382</v>
      </c>
      <c r="B13029" s="17" t="s">
        <v>70</v>
      </c>
      <c r="C13029" s="17" t="s">
        <v>71</v>
      </c>
      <c r="D13029" t="s">
        <v>35383</v>
      </c>
      <c r="F13029" t="s">
        <v>35384</v>
      </c>
      <c r="J13029" s="17" t="s">
        <v>35385</v>
      </c>
      <c r="K13029" s="18" t="s">
        <v>35386</v>
      </c>
      <c r="N13029" s="17" t="s">
        <v>77</v>
      </c>
      <c r="O13029" t="s">
        <v>199</v>
      </c>
      <c r="U13029" s="17"/>
      <c r="V13029" s="18" t="s">
        <v>35386</v>
      </c>
      <c r="W13029" t="s">
        <v>1349</v>
      </c>
      <c r="Y13029" t="s">
        <v>1349</v>
      </c>
      <c r="AA13029" t="s">
        <v>115</v>
      </c>
      <c r="AB13029" t="s">
        <v>1349</v>
      </c>
    </row>
    <row r="13030" ht="15" customHeight="1" spans="1:25" x14ac:dyDescent="0.25">
      <c r="A13030" s="17" t="s">
        <v>35387</v>
      </c>
      <c r="B13030" s="17" t="s">
        <v>70</v>
      </c>
      <c r="C13030" s="17" t="s">
        <v>71</v>
      </c>
      <c r="D13030" t="s">
        <v>35388</v>
      </c>
      <c r="F13030" t="s">
        <v>23111</v>
      </c>
      <c r="K13030" s="18">
        <f>628156505052</f>
        <v>628156505052</v>
      </c>
      <c r="N13030" s="17" t="s">
        <v>77</v>
      </c>
      <c r="U13030" s="17"/>
      <c r="V13030" s="18">
        <f>628156505052</f>
        <v>628156505052</v>
      </c>
      <c r="W13030" t="s">
        <v>35389</v>
      </c>
      <c r="Y13030" s="17" t="s">
        <v>410</v>
      </c>
    </row>
    <row r="13031" ht="15" customHeight="1" spans="1:22" x14ac:dyDescent="0.25">
      <c r="A13031" s="17" t="s">
        <v>35390</v>
      </c>
      <c r="B13031" s="17" t="s">
        <v>70</v>
      </c>
      <c r="C13031" s="17" t="s">
        <v>71</v>
      </c>
      <c r="D13031" t="s">
        <v>35388</v>
      </c>
      <c r="F13031" t="s">
        <v>1169</v>
      </c>
      <c r="K13031" s="18">
        <f>622131926713</f>
        <v>622131926713</v>
      </c>
      <c r="N13031" s="17" t="s">
        <v>77</v>
      </c>
      <c r="V13031" s="18">
        <f>622131926713</f>
        <v>622131926713</v>
      </c>
    </row>
    <row r="13032" ht="15" customHeight="1" spans="1:23" x14ac:dyDescent="0.25">
      <c r="A13032" s="17" t="s">
        <v>35391</v>
      </c>
      <c r="B13032" s="17" t="s">
        <v>70</v>
      </c>
      <c r="C13032" s="17" t="s">
        <v>71</v>
      </c>
      <c r="D13032" t="s">
        <v>35392</v>
      </c>
      <c r="F13032" t="s">
        <v>27869</v>
      </c>
      <c r="K13032" s="18">
        <f>96895520000</f>
        <v>96895520000</v>
      </c>
      <c r="N13032" s="17" t="s">
        <v>77</v>
      </c>
      <c r="U13032" s="17"/>
      <c r="V13032" s="18">
        <f>96895520000</f>
        <v>96895520000</v>
      </c>
      <c r="W13032" t="s">
        <v>1315</v>
      </c>
    </row>
    <row r="13033" ht="15" customHeight="1" spans="1:25" x14ac:dyDescent="0.25">
      <c r="A13033" s="17" t="s">
        <v>35393</v>
      </c>
      <c r="B13033" s="17" t="s">
        <v>70</v>
      </c>
      <c r="C13033" s="17" t="s">
        <v>71</v>
      </c>
      <c r="D13033" t="s">
        <v>35394</v>
      </c>
      <c r="F13033" t="s">
        <v>35395</v>
      </c>
      <c r="K13033" s="18">
        <f>628524437773</f>
        <v>628524437773</v>
      </c>
      <c r="N13033" s="17" t="s">
        <v>77</v>
      </c>
      <c r="V13033" s="18">
        <f>628524437773</f>
        <v>628524437773</v>
      </c>
      <c r="Y13033" s="17" t="s">
        <v>1190</v>
      </c>
    </row>
    <row r="13034" ht="15" customHeight="1" spans="1:22" x14ac:dyDescent="0.25">
      <c r="A13034" s="17" t="s">
        <v>35396</v>
      </c>
      <c r="B13034" s="17" t="s">
        <v>70</v>
      </c>
      <c r="C13034" s="17" t="s">
        <v>71</v>
      </c>
      <c r="D13034" t="s">
        <v>35397</v>
      </c>
      <c r="F13034" t="s">
        <v>35398</v>
      </c>
      <c r="K13034" s="18">
        <f>628233933344</f>
        <v>628233933344</v>
      </c>
      <c r="N13034" s="17" t="s">
        <v>81</v>
      </c>
      <c r="V13034" s="18">
        <f>628233933344</f>
        <v>628233933344</v>
      </c>
    </row>
    <row r="13035" ht="15" customHeight="1" spans="1:22" x14ac:dyDescent="0.25">
      <c r="A13035" s="17" t="s">
        <v>35399</v>
      </c>
      <c r="B13035" s="17" t="s">
        <v>70</v>
      </c>
      <c r="C13035" s="17" t="s">
        <v>71</v>
      </c>
      <c r="D13035" t="s">
        <v>23111</v>
      </c>
      <c r="F13035" t="s">
        <v>23111</v>
      </c>
      <c r="K13035" s="18">
        <f>628170152301</f>
        <v>628170152301</v>
      </c>
      <c r="N13035" s="17" t="s">
        <v>77</v>
      </c>
      <c r="V13035" s="18">
        <f>628170152301</f>
        <v>628170152301</v>
      </c>
    </row>
    <row r="13036" ht="15" customHeight="1" spans="1:22" x14ac:dyDescent="0.25">
      <c r="A13036" s="17" t="s">
        <v>35400</v>
      </c>
      <c r="B13036" s="17" t="s">
        <v>70</v>
      </c>
      <c r="C13036" s="17" t="s">
        <v>71</v>
      </c>
      <c r="D13036" t="s">
        <v>23111</v>
      </c>
      <c r="F13036" t="s">
        <v>35401</v>
      </c>
      <c r="K13036" s="18">
        <f>6281806481388</f>
        <v>6281806481388</v>
      </c>
      <c r="N13036" s="17" t="s">
        <v>77</v>
      </c>
      <c r="V13036" s="18">
        <f>6281806481388</f>
        <v>6281806481388</v>
      </c>
    </row>
    <row r="13037" ht="15" customHeight="1" spans="1:28" x14ac:dyDescent="0.25">
      <c r="A13037" s="17" t="s">
        <v>35402</v>
      </c>
      <c r="B13037" s="17" t="s">
        <v>70</v>
      </c>
      <c r="C13037" s="17" t="s">
        <v>71</v>
      </c>
      <c r="D13037" t="s">
        <v>23111</v>
      </c>
      <c r="F13037" t="s">
        <v>2903</v>
      </c>
      <c r="J13037" t="s">
        <v>115</v>
      </c>
      <c r="K13037" s="18" t="s">
        <v>35403</v>
      </c>
      <c r="N13037" s="17" t="s">
        <v>74</v>
      </c>
      <c r="O13037" t="s">
        <v>489</v>
      </c>
      <c r="U13037" s="17"/>
      <c r="V13037" s="18" t="s">
        <v>35403</v>
      </c>
      <c r="W13037" t="s">
        <v>35404</v>
      </c>
      <c r="Y13037" t="s">
        <v>1084</v>
      </c>
      <c r="AA13037" t="s">
        <v>3146</v>
      </c>
      <c r="AB13037" t="s">
        <v>119</v>
      </c>
    </row>
    <row r="13038" ht="15" customHeight="1" spans="1:27" x14ac:dyDescent="0.25">
      <c r="A13038" s="17" t="s">
        <v>35405</v>
      </c>
      <c r="B13038" s="17" t="s">
        <v>70</v>
      </c>
      <c r="C13038" s="17" t="s">
        <v>71</v>
      </c>
      <c r="D13038" t="s">
        <v>23111</v>
      </c>
      <c r="F13038" t="s">
        <v>35406</v>
      </c>
      <c r="J13038" s="17" t="s">
        <v>35407</v>
      </c>
      <c r="K13038" s="18">
        <f>628119504947</f>
        <v>628119504947</v>
      </c>
      <c r="N13038" s="17" t="s">
        <v>77</v>
      </c>
      <c r="U13038" s="17"/>
      <c r="V13038" s="18">
        <f>628119504947</f>
        <v>628119504947</v>
      </c>
      <c r="W13038" t="s">
        <v>35408</v>
      </c>
      <c r="AA13038" s="17">
        <v>12310</v>
      </c>
    </row>
    <row r="13039" ht="15" customHeight="1" spans="1:25" x14ac:dyDescent="0.25">
      <c r="A13039" s="17" t="s">
        <v>35409</v>
      </c>
      <c r="B13039" s="17" t="s">
        <v>70</v>
      </c>
      <c r="C13039" s="17" t="s">
        <v>71</v>
      </c>
      <c r="D13039" t="s">
        <v>23111</v>
      </c>
      <c r="F13039" t="s">
        <v>1053</v>
      </c>
      <c r="J13039" s="17" t="s">
        <v>35410</v>
      </c>
      <c r="K13039" s="18">
        <f>62812230177777</f>
        <v>62812230177777</v>
      </c>
      <c r="N13039" s="17" t="s">
        <v>77</v>
      </c>
      <c r="U13039" s="17"/>
      <c r="V13039" s="18">
        <f>62812230177777</f>
        <v>62812230177777</v>
      </c>
      <c r="W13039" t="s">
        <v>35411</v>
      </c>
      <c r="Y13039" s="17" t="s">
        <v>704</v>
      </c>
    </row>
    <row r="13040" ht="15" customHeight="1" spans="1:22" x14ac:dyDescent="0.25">
      <c r="A13040" s="17" t="s">
        <v>35412</v>
      </c>
      <c r="B13040" s="17" t="s">
        <v>70</v>
      </c>
      <c r="C13040" s="17" t="s">
        <v>71</v>
      </c>
      <c r="D13040" t="s">
        <v>23111</v>
      </c>
      <c r="F13040" t="s">
        <v>1169</v>
      </c>
      <c r="K13040" s="18">
        <v>6287853039915</v>
      </c>
      <c r="N13040" s="17" t="s">
        <v>77</v>
      </c>
      <c r="V13040" s="18">
        <v>6287853039915</v>
      </c>
    </row>
    <row r="13041" ht="15" customHeight="1" spans="1:22" x14ac:dyDescent="0.25">
      <c r="A13041" s="17" t="s">
        <v>35413</v>
      </c>
      <c r="B13041" s="17" t="s">
        <v>70</v>
      </c>
      <c r="C13041" s="17" t="s">
        <v>71</v>
      </c>
      <c r="D13041" t="s">
        <v>23111</v>
      </c>
      <c r="F13041" t="s">
        <v>12083</v>
      </c>
      <c r="K13041" s="18">
        <f>6281286606972</f>
        <v>6281286606972</v>
      </c>
      <c r="N13041" s="17" t="s">
        <v>81</v>
      </c>
      <c r="V13041" s="18">
        <f>6281286606972</f>
        <v>6281286606972</v>
      </c>
    </row>
    <row r="13042" ht="15" customHeight="1" spans="1:22" x14ac:dyDescent="0.25">
      <c r="A13042" s="17" t="s">
        <v>35414</v>
      </c>
      <c r="B13042" s="17" t="s">
        <v>70</v>
      </c>
      <c r="C13042" s="17" t="s">
        <v>71</v>
      </c>
      <c r="D13042" t="s">
        <v>35415</v>
      </c>
      <c r="F13042" t="s">
        <v>35415</v>
      </c>
      <c r="K13042" s="18">
        <f>62817249249</f>
        <v>62817249249</v>
      </c>
      <c r="N13042" s="17" t="s">
        <v>81</v>
      </c>
      <c r="V13042" s="18">
        <f>62817249249</f>
        <v>62817249249</v>
      </c>
    </row>
    <row r="13043" ht="15" customHeight="1" spans="1:23" x14ac:dyDescent="0.25">
      <c r="A13043" s="17" t="s">
        <v>35416</v>
      </c>
      <c r="B13043" s="17" t="s">
        <v>70</v>
      </c>
      <c r="C13043" s="17" t="s">
        <v>71</v>
      </c>
      <c r="D13043" t="s">
        <v>35417</v>
      </c>
      <c r="F13043" t="s">
        <v>35417</v>
      </c>
      <c r="K13043" s="18">
        <f>6285282930380</f>
        <v>6285282930380</v>
      </c>
      <c r="N13043" s="17" t="s">
        <v>77</v>
      </c>
      <c r="U13043" s="17"/>
      <c r="V13043" s="18">
        <f>6285282930380</f>
        <v>6285282930380</v>
      </c>
      <c r="W13043" t="s">
        <v>35418</v>
      </c>
    </row>
    <row r="13044" ht="15" customHeight="1" spans="1:23" x14ac:dyDescent="0.25">
      <c r="A13044" s="17" t="s">
        <v>35419</v>
      </c>
      <c r="B13044" s="17" t="s">
        <v>70</v>
      </c>
      <c r="C13044" s="17" t="s">
        <v>71</v>
      </c>
      <c r="D13044" s="19" t="s">
        <v>35420</v>
      </c>
      <c r="F13044" t="s">
        <v>35421</v>
      </c>
      <c r="K13044" s="18">
        <f>905355643262</f>
        <v>905355643262</v>
      </c>
      <c r="N13044" s="17" t="s">
        <v>77</v>
      </c>
      <c r="U13044" s="17"/>
      <c r="V13044" s="18">
        <f>905355643262</f>
        <v>905355643262</v>
      </c>
      <c r="W13044" t="s">
        <v>29516</v>
      </c>
    </row>
    <row r="13045" ht="15" customHeight="1" spans="1:22" x14ac:dyDescent="0.25">
      <c r="A13045" s="17" t="s">
        <v>35422</v>
      </c>
      <c r="B13045" s="17" t="s">
        <v>70</v>
      </c>
      <c r="C13045" s="17" t="s">
        <v>71</v>
      </c>
      <c r="D13045" t="s">
        <v>35423</v>
      </c>
      <c r="F13045" t="s">
        <v>35423</v>
      </c>
      <c r="K13045" s="18">
        <f>62816790637</f>
        <v>62816790637</v>
      </c>
      <c r="N13045" s="17" t="s">
        <v>77</v>
      </c>
      <c r="V13045" s="18">
        <f>62816790637</f>
        <v>62816790637</v>
      </c>
    </row>
    <row r="13046" ht="15" customHeight="1" spans="1:23" x14ac:dyDescent="0.25">
      <c r="A13046" s="17" t="s">
        <v>35424</v>
      </c>
      <c r="B13046" s="17" t="s">
        <v>70</v>
      </c>
      <c r="C13046" s="17" t="s">
        <v>71</v>
      </c>
      <c r="D13046" t="s">
        <v>35425</v>
      </c>
      <c r="F13046" t="s">
        <v>35426</v>
      </c>
      <c r="J13046" s="17" t="s">
        <v>35427</v>
      </c>
      <c r="K13046" s="18">
        <f>16503538397</f>
        <v>16503538397</v>
      </c>
      <c r="N13046" s="17" t="s">
        <v>81</v>
      </c>
      <c r="U13046" s="17"/>
      <c r="V13046" s="18">
        <f>16503538397</f>
        <v>16503538397</v>
      </c>
      <c r="W13046" t="s">
        <v>35428</v>
      </c>
    </row>
    <row r="13047" ht="15" customHeight="1" spans="1:22" x14ac:dyDescent="0.25">
      <c r="A13047" s="17" t="s">
        <v>35429</v>
      </c>
      <c r="B13047" s="17" t="s">
        <v>70</v>
      </c>
      <c r="C13047" s="17" t="s">
        <v>71</v>
      </c>
      <c r="D13047" t="s">
        <v>35430</v>
      </c>
      <c r="F13047" t="s">
        <v>1754</v>
      </c>
      <c r="K13047" s="18">
        <f>35796273048</f>
        <v>35796273048</v>
      </c>
      <c r="N13047" s="17" t="s">
        <v>77</v>
      </c>
      <c r="V13047" s="18">
        <f>35796273048</f>
        <v>35796273048</v>
      </c>
    </row>
    <row r="13048" ht="15" customHeight="1" spans="1:22" x14ac:dyDescent="0.25">
      <c r="A13048" s="17" t="s">
        <v>35431</v>
      </c>
      <c r="B13048" s="17" t="s">
        <v>70</v>
      </c>
      <c r="C13048" s="17" t="s">
        <v>71</v>
      </c>
      <c r="D13048" t="s">
        <v>35432</v>
      </c>
      <c r="F13048" t="s">
        <v>7153</v>
      </c>
      <c r="K13048" s="18">
        <f>6281365505536</f>
        <v>6281365505536</v>
      </c>
      <c r="N13048" s="17" t="s">
        <v>81</v>
      </c>
      <c r="V13048" s="18">
        <f>6281365505536</f>
        <v>6281365505536</v>
      </c>
    </row>
    <row r="13049" ht="15" customHeight="1" spans="1:25" x14ac:dyDescent="0.25">
      <c r="A13049" s="17" t="s">
        <v>35433</v>
      </c>
      <c r="B13049" s="17" t="s">
        <v>70</v>
      </c>
      <c r="C13049" s="17" t="s">
        <v>71</v>
      </c>
      <c r="D13049" t="s">
        <v>35434</v>
      </c>
      <c r="F13049" t="s">
        <v>35434</v>
      </c>
      <c r="K13049" s="18">
        <f>6281314306348</f>
        <v>6281314306348</v>
      </c>
      <c r="N13049" s="17" t="s">
        <v>77</v>
      </c>
      <c r="U13049" s="17"/>
      <c r="V13049" s="18">
        <f>6281314306348</f>
        <v>6281314306348</v>
      </c>
      <c r="W13049" t="s">
        <v>35435</v>
      </c>
      <c r="Y13049" s="17" t="s">
        <v>35436</v>
      </c>
    </row>
    <row r="13050" ht="15" customHeight="1" spans="1:22" x14ac:dyDescent="0.25">
      <c r="A13050" s="17" t="s">
        <v>35437</v>
      </c>
      <c r="B13050" s="17" t="s">
        <v>70</v>
      </c>
      <c r="C13050" s="17" t="s">
        <v>71</v>
      </c>
      <c r="D13050" t="s">
        <v>15494</v>
      </c>
      <c r="F13050" t="s">
        <v>15494</v>
      </c>
      <c r="K13050" s="18">
        <f>6281282160760</f>
        <v>6281282160760</v>
      </c>
      <c r="N13050" s="17" t="s">
        <v>77</v>
      </c>
      <c r="V13050" s="18">
        <f>6281282160760</f>
        <v>6281282160760</v>
      </c>
    </row>
    <row r="13051" ht="15" customHeight="1" spans="1:22" x14ac:dyDescent="0.25">
      <c r="A13051" s="17" t="s">
        <v>35438</v>
      </c>
      <c r="B13051" s="17" t="s">
        <v>70</v>
      </c>
      <c r="C13051" s="17" t="s">
        <v>71</v>
      </c>
      <c r="D13051" t="s">
        <v>15494</v>
      </c>
      <c r="F13051" t="s">
        <v>15494</v>
      </c>
      <c r="K13051" s="18">
        <f>6285959905638</f>
        <v>6285959905638</v>
      </c>
      <c r="N13051" s="17" t="s">
        <v>77</v>
      </c>
      <c r="V13051" s="18">
        <f>6285959905638</f>
        <v>6285959905638</v>
      </c>
    </row>
    <row r="13052" ht="15" customHeight="1" spans="1:22" x14ac:dyDescent="0.25">
      <c r="A13052" s="17" t="s">
        <v>35439</v>
      </c>
      <c r="B13052" s="17" t="s">
        <v>70</v>
      </c>
      <c r="C13052" s="17" t="s">
        <v>71</v>
      </c>
      <c r="D13052" t="s">
        <v>15494</v>
      </c>
      <c r="F13052" t="s">
        <v>33333</v>
      </c>
      <c r="K13052" s="18">
        <f>628121028441</f>
        <v>628121028441</v>
      </c>
      <c r="N13052" s="17" t="s">
        <v>81</v>
      </c>
      <c r="V13052" s="18">
        <f>628121028441</f>
        <v>628121028441</v>
      </c>
    </row>
    <row r="13053" ht="15" customHeight="1" spans="1:27" x14ac:dyDescent="0.25">
      <c r="A13053" s="17" t="s">
        <v>35440</v>
      </c>
      <c r="B13053" s="17" t="s">
        <v>70</v>
      </c>
      <c r="C13053" s="17" t="s">
        <v>71</v>
      </c>
      <c r="D13053" t="s">
        <v>15494</v>
      </c>
      <c r="F13053" t="s">
        <v>17323</v>
      </c>
      <c r="J13053" s="17" t="s">
        <v>35441</v>
      </c>
      <c r="K13053" s="18">
        <f>628111105111</f>
        <v>628111105111</v>
      </c>
      <c r="N13053" s="17" t="s">
        <v>81</v>
      </c>
      <c r="U13053" s="17"/>
      <c r="V13053" s="18">
        <f>628111105111</f>
        <v>628111105111</v>
      </c>
      <c r="W13053" t="s">
        <v>35442</v>
      </c>
      <c r="Y13053" s="17" t="s">
        <v>1084</v>
      </c>
      <c r="AA13053" s="17">
        <v>14350</v>
      </c>
    </row>
    <row r="13054" ht="15" customHeight="1" spans="1:22" x14ac:dyDescent="0.25">
      <c r="A13054" s="17" t="s">
        <v>35443</v>
      </c>
      <c r="B13054" s="17" t="s">
        <v>70</v>
      </c>
      <c r="C13054" s="17" t="s">
        <v>71</v>
      </c>
      <c r="D13054" t="s">
        <v>15494</v>
      </c>
      <c r="F13054" t="s">
        <v>35444</v>
      </c>
      <c r="J13054" s="17" t="s">
        <v>29999</v>
      </c>
      <c r="K13054" s="18">
        <f>811900978</f>
        <v>811900978</v>
      </c>
      <c r="N13054" s="17" t="s">
        <v>81</v>
      </c>
      <c r="V13054" s="18">
        <f>811900978</f>
        <v>811900978</v>
      </c>
    </row>
    <row r="13055" ht="15" customHeight="1" spans="1:23" x14ac:dyDescent="0.25">
      <c r="A13055" s="17" t="s">
        <v>35445</v>
      </c>
      <c r="B13055" s="17" t="s">
        <v>70</v>
      </c>
      <c r="C13055" s="17" t="s">
        <v>71</v>
      </c>
      <c r="D13055" t="s">
        <v>15494</v>
      </c>
      <c r="F13055" t="s">
        <v>6671</v>
      </c>
      <c r="K13055" s="18">
        <f>62811808883</f>
        <v>62811808883</v>
      </c>
      <c r="N13055" s="17" t="s">
        <v>81</v>
      </c>
      <c r="U13055" s="17"/>
      <c r="V13055" s="18">
        <f>62811808883</f>
        <v>62811808883</v>
      </c>
      <c r="W13055" t="s">
        <v>35446</v>
      </c>
    </row>
    <row r="13056" ht="15" customHeight="1" spans="1:27" x14ac:dyDescent="0.25">
      <c r="A13056" s="17" t="s">
        <v>35447</v>
      </c>
      <c r="B13056" s="17" t="s">
        <v>70</v>
      </c>
      <c r="C13056" s="17" t="s">
        <v>71</v>
      </c>
      <c r="D13056" t="s">
        <v>15494</v>
      </c>
      <c r="F13056" t="s">
        <v>2566</v>
      </c>
      <c r="K13056" s="18">
        <f>6281286155409</f>
        <v>6281286155409</v>
      </c>
      <c r="N13056" s="17" t="s">
        <v>81</v>
      </c>
      <c r="U13056" s="17"/>
      <c r="V13056" s="18">
        <f>6281286155409</f>
        <v>6281286155409</v>
      </c>
      <c r="W13056" t="s">
        <v>35448</v>
      </c>
      <c r="Y13056" s="17" t="s">
        <v>96</v>
      </c>
      <c r="AA13056" s="17">
        <v>12770</v>
      </c>
    </row>
    <row r="13057" ht="15" customHeight="1" spans="1:22" x14ac:dyDescent="0.25">
      <c r="A13057" s="17" t="s">
        <v>35449</v>
      </c>
      <c r="B13057" s="17" t="s">
        <v>70</v>
      </c>
      <c r="C13057" s="17" t="s">
        <v>71</v>
      </c>
      <c r="D13057" t="s">
        <v>15494</v>
      </c>
      <c r="F13057" t="s">
        <v>18986</v>
      </c>
      <c r="K13057" s="18">
        <f>62816851195</f>
        <v>62816851195</v>
      </c>
      <c r="N13057" s="17" t="s">
        <v>74</v>
      </c>
      <c r="V13057" s="18">
        <f>62816851195</f>
        <v>62816851195</v>
      </c>
    </row>
    <row r="13058" ht="15" customHeight="1" spans="1:22" x14ac:dyDescent="0.25">
      <c r="A13058" s="17" t="s">
        <v>35450</v>
      </c>
      <c r="B13058" s="17" t="s">
        <v>70</v>
      </c>
      <c r="C13058" s="17" t="s">
        <v>71</v>
      </c>
      <c r="D13058" t="s">
        <v>15494</v>
      </c>
      <c r="F13058" t="s">
        <v>16355</v>
      </c>
      <c r="K13058" s="18">
        <f>6282123080832</f>
        <v>6282123080832</v>
      </c>
      <c r="N13058" s="17" t="s">
        <v>81</v>
      </c>
      <c r="V13058" s="18">
        <f>6282123080832</f>
        <v>6282123080832</v>
      </c>
    </row>
    <row r="13059" ht="15" customHeight="1" spans="1:28" x14ac:dyDescent="0.25">
      <c r="A13059" s="17" t="s">
        <v>35451</v>
      </c>
      <c r="B13059" s="17" t="s">
        <v>70</v>
      </c>
      <c r="C13059" s="17" t="s">
        <v>71</v>
      </c>
      <c r="D13059" t="s">
        <v>15494</v>
      </c>
      <c r="F13059" t="s">
        <v>2087</v>
      </c>
      <c r="J13059" t="s">
        <v>115</v>
      </c>
      <c r="K13059" s="18" t="s">
        <v>35452</v>
      </c>
      <c r="N13059" s="17" t="s">
        <v>77</v>
      </c>
      <c r="O13059" t="s">
        <v>145</v>
      </c>
      <c r="V13059" s="18" t="s">
        <v>35452</v>
      </c>
      <c r="Y13059" t="s">
        <v>190</v>
      </c>
      <c r="AA13059" t="s">
        <v>118</v>
      </c>
      <c r="AB13059" t="s">
        <v>119</v>
      </c>
    </row>
    <row r="13060" ht="15" customHeight="1" spans="1:28" x14ac:dyDescent="0.25">
      <c r="A13060" s="17" t="s">
        <v>35453</v>
      </c>
      <c r="B13060" s="17" t="s">
        <v>70</v>
      </c>
      <c r="C13060" s="17" t="s">
        <v>71</v>
      </c>
      <c r="D13060" t="s">
        <v>35454</v>
      </c>
      <c r="F13060" t="s">
        <v>35455</v>
      </c>
      <c r="J13060" s="17" t="s">
        <v>35456</v>
      </c>
      <c r="K13060" s="18" t="s">
        <v>35457</v>
      </c>
      <c r="N13060" s="17" t="s">
        <v>77</v>
      </c>
      <c r="O13060" t="s">
        <v>145</v>
      </c>
      <c r="V13060" s="18" t="s">
        <v>35457</v>
      </c>
      <c r="Y13060" t="s">
        <v>115</v>
      </c>
      <c r="AA13060" t="s">
        <v>115</v>
      </c>
      <c r="AB13060" t="s">
        <v>17764</v>
      </c>
    </row>
    <row r="13061" ht="15" customHeight="1" spans="1:28" x14ac:dyDescent="0.25">
      <c r="A13061" s="17" t="s">
        <v>35458</v>
      </c>
      <c r="B13061" s="17" t="s">
        <v>70</v>
      </c>
      <c r="C13061" s="17" t="s">
        <v>71</v>
      </c>
      <c r="D13061" t="s">
        <v>15494</v>
      </c>
      <c r="F13061" t="s">
        <v>35459</v>
      </c>
      <c r="J13061" t="s">
        <v>115</v>
      </c>
      <c r="K13061" s="18" t="s">
        <v>35460</v>
      </c>
      <c r="N13061" s="17" t="s">
        <v>81</v>
      </c>
      <c r="O13061" t="s">
        <v>117</v>
      </c>
      <c r="V13061" s="18" t="s">
        <v>35460</v>
      </c>
      <c r="Y13061" t="s">
        <v>90</v>
      </c>
      <c r="AA13061" t="s">
        <v>118</v>
      </c>
      <c r="AB13061" t="s">
        <v>119</v>
      </c>
    </row>
    <row r="13062" ht="15" customHeight="1" spans="1:28" x14ac:dyDescent="0.25">
      <c r="A13062" s="17" t="s">
        <v>35461</v>
      </c>
      <c r="B13062" s="17" t="s">
        <v>70</v>
      </c>
      <c r="C13062" s="17" t="s">
        <v>71</v>
      </c>
      <c r="D13062" t="s">
        <v>15494</v>
      </c>
      <c r="F13062" t="s">
        <v>35462</v>
      </c>
      <c r="J13062" t="s">
        <v>115</v>
      </c>
      <c r="K13062" s="18" t="s">
        <v>35463</v>
      </c>
      <c r="N13062" s="17" t="s">
        <v>77</v>
      </c>
      <c r="O13062" t="s">
        <v>145</v>
      </c>
      <c r="V13062" s="18" t="s">
        <v>35463</v>
      </c>
      <c r="Y13062" t="s">
        <v>90</v>
      </c>
      <c r="AA13062" t="s">
        <v>118</v>
      </c>
      <c r="AB13062" t="s">
        <v>119</v>
      </c>
    </row>
    <row r="13063" ht="15" customHeight="1" spans="1:22" x14ac:dyDescent="0.25">
      <c r="A13063" s="17" t="s">
        <v>35464</v>
      </c>
      <c r="B13063" s="17" t="s">
        <v>70</v>
      </c>
      <c r="C13063" s="17" t="s">
        <v>71</v>
      </c>
      <c r="D13063" t="s">
        <v>15494</v>
      </c>
      <c r="F13063" t="s">
        <v>35465</v>
      </c>
      <c r="K13063" s="18">
        <f>628161889680</f>
        <v>628161889680</v>
      </c>
      <c r="N13063" s="17" t="s">
        <v>77</v>
      </c>
      <c r="V13063" s="18">
        <f>628161889680</f>
        <v>628161889680</v>
      </c>
    </row>
    <row r="13064" ht="15" customHeight="1" spans="1:23" x14ac:dyDescent="0.25">
      <c r="A13064" s="17" t="s">
        <v>35466</v>
      </c>
      <c r="B13064" s="17" t="s">
        <v>70</v>
      </c>
      <c r="C13064" s="17" t="s">
        <v>71</v>
      </c>
      <c r="D13064" t="s">
        <v>15494</v>
      </c>
      <c r="F13064" t="s">
        <v>1564</v>
      </c>
      <c r="K13064" s="18">
        <f>6281280079105</f>
        <v>6281280079105</v>
      </c>
      <c r="N13064" s="17" t="s">
        <v>77</v>
      </c>
      <c r="U13064" s="17"/>
      <c r="V13064" s="18">
        <f>6281280079105</f>
        <v>6281280079105</v>
      </c>
      <c r="W13064" t="s">
        <v>35467</v>
      </c>
    </row>
    <row r="13065" ht="15" customHeight="1" spans="1:27" x14ac:dyDescent="0.25">
      <c r="A13065" s="17" t="s">
        <v>35468</v>
      </c>
      <c r="B13065" s="17" t="s">
        <v>70</v>
      </c>
      <c r="C13065" s="17" t="s">
        <v>71</v>
      </c>
      <c r="D13065" t="s">
        <v>35469</v>
      </c>
      <c r="F13065" t="s">
        <v>35470</v>
      </c>
      <c r="J13065" s="17" t="s">
        <v>35471</v>
      </c>
      <c r="K13065" s="18">
        <f>6281242147819</f>
        <v>6281242147819</v>
      </c>
      <c r="N13065" s="17" t="s">
        <v>77</v>
      </c>
      <c r="U13065" s="17"/>
      <c r="V13065" s="18">
        <f>6281242147819</f>
        <v>6281242147819</v>
      </c>
      <c r="W13065" t="s">
        <v>35472</v>
      </c>
      <c r="AA13065" s="17">
        <v>95545</v>
      </c>
    </row>
    <row r="13066" ht="15" customHeight="1" spans="1:23" x14ac:dyDescent="0.25">
      <c r="A13066" s="17" t="s">
        <v>35473</v>
      </c>
      <c r="B13066" s="17" t="s">
        <v>70</v>
      </c>
      <c r="C13066" s="17" t="s">
        <v>71</v>
      </c>
      <c r="D13066" t="s">
        <v>35474</v>
      </c>
      <c r="F13066" t="s">
        <v>35474</v>
      </c>
      <c r="K13066" s="18">
        <f>62811955281</f>
        <v>62811955281</v>
      </c>
      <c r="N13066" s="17" t="s">
        <v>81</v>
      </c>
      <c r="U13066" s="17"/>
      <c r="V13066" s="18">
        <f>62811955281</f>
        <v>62811955281</v>
      </c>
      <c r="W13066" t="s">
        <v>35475</v>
      </c>
    </row>
    <row r="13067" ht="15" customHeight="1" spans="1:28" x14ac:dyDescent="0.25">
      <c r="A13067" s="17" t="s">
        <v>35476</v>
      </c>
      <c r="B13067" s="17" t="s">
        <v>70</v>
      </c>
      <c r="C13067" s="17" t="s">
        <v>71</v>
      </c>
      <c r="D13067" t="s">
        <v>35477</v>
      </c>
      <c r="F13067" t="s">
        <v>35478</v>
      </c>
      <c r="J13067" t="s">
        <v>35479</v>
      </c>
      <c r="K13067" s="18" t="s">
        <v>35480</v>
      </c>
      <c r="N13067" s="17" t="s">
        <v>74</v>
      </c>
      <c r="O13067" t="s">
        <v>489</v>
      </c>
      <c r="U13067" s="17"/>
      <c r="V13067" s="18" t="s">
        <v>35480</v>
      </c>
      <c r="W13067" t="s">
        <v>35481</v>
      </c>
      <c r="Y13067" s="17" t="s">
        <v>217</v>
      </c>
      <c r="AA13067" t="s">
        <v>218</v>
      </c>
      <c r="AB13067" t="s">
        <v>119</v>
      </c>
    </row>
    <row r="13068" ht="15" customHeight="1" spans="1:28" x14ac:dyDescent="0.25">
      <c r="A13068" s="17" t="s">
        <v>35482</v>
      </c>
      <c r="B13068" s="17" t="s">
        <v>70</v>
      </c>
      <c r="C13068" s="17" t="s">
        <v>71</v>
      </c>
      <c r="D13068" t="s">
        <v>35483</v>
      </c>
      <c r="F13068" t="s">
        <v>35484</v>
      </c>
      <c r="J13068" s="17" t="s">
        <v>35485</v>
      </c>
      <c r="K13068" s="18" t="s">
        <v>35486</v>
      </c>
      <c r="N13068" s="17" t="s">
        <v>77</v>
      </c>
      <c r="O13068" t="s">
        <v>145</v>
      </c>
      <c r="U13068" s="17"/>
      <c r="V13068" s="18" t="s">
        <v>35486</v>
      </c>
      <c r="W13068" t="s">
        <v>1903</v>
      </c>
      <c r="Y13068" t="s">
        <v>1903</v>
      </c>
      <c r="AA13068" t="s">
        <v>115</v>
      </c>
      <c r="AB13068" t="s">
        <v>1903</v>
      </c>
    </row>
    <row r="13069" ht="15" customHeight="1" spans="1:22" x14ac:dyDescent="0.25">
      <c r="A13069" s="17" t="s">
        <v>35487</v>
      </c>
      <c r="B13069" s="17" t="s">
        <v>70</v>
      </c>
      <c r="C13069" s="17" t="s">
        <v>71</v>
      </c>
      <c r="D13069" t="s">
        <v>35488</v>
      </c>
      <c r="F13069" t="s">
        <v>824</v>
      </c>
      <c r="K13069" s="18">
        <f>6282135858588</f>
        <v>6282135858588</v>
      </c>
      <c r="N13069" s="17" t="s">
        <v>74</v>
      </c>
      <c r="V13069" s="18">
        <f>6282135858588</f>
        <v>6282135858588</v>
      </c>
    </row>
    <row r="13070" ht="15" customHeight="1" spans="1:23" x14ac:dyDescent="0.25">
      <c r="A13070" s="17" t="s">
        <v>35489</v>
      </c>
      <c r="B13070" s="17" t="s">
        <v>70</v>
      </c>
      <c r="C13070" s="17" t="s">
        <v>71</v>
      </c>
      <c r="D13070" t="s">
        <v>9544</v>
      </c>
      <c r="F13070" t="s">
        <v>9544</v>
      </c>
      <c r="K13070" s="18">
        <f>6282313131358</f>
        <v>6282313131358</v>
      </c>
      <c r="N13070" s="17" t="s">
        <v>77</v>
      </c>
      <c r="U13070" s="17"/>
      <c r="V13070" s="18">
        <f>6282313131358</f>
        <v>6282313131358</v>
      </c>
      <c r="W13070" t="s">
        <v>35490</v>
      </c>
    </row>
    <row r="13071" ht="15" customHeight="1" spans="1:22" x14ac:dyDescent="0.25">
      <c r="A13071" s="17" t="s">
        <v>35491</v>
      </c>
      <c r="B13071" s="17" t="s">
        <v>70</v>
      </c>
      <c r="C13071" s="17" t="s">
        <v>71</v>
      </c>
      <c r="D13071" t="s">
        <v>9544</v>
      </c>
      <c r="F13071" t="s">
        <v>9544</v>
      </c>
      <c r="K13071" s="18">
        <f>62818897071</f>
        <v>62818897071</v>
      </c>
      <c r="N13071" s="17" t="s">
        <v>77</v>
      </c>
      <c r="V13071" s="18">
        <f>62818897071</f>
        <v>62818897071</v>
      </c>
    </row>
    <row r="13072" ht="15" customHeight="1" spans="1:28" x14ac:dyDescent="0.25">
      <c r="A13072" s="17" t="s">
        <v>35492</v>
      </c>
      <c r="B13072" s="17" t="s">
        <v>70</v>
      </c>
      <c r="C13072" s="17" t="s">
        <v>71</v>
      </c>
      <c r="D13072" t="s">
        <v>9544</v>
      </c>
      <c r="F13072" t="s">
        <v>35493</v>
      </c>
      <c r="J13072" s="17" t="s">
        <v>35494</v>
      </c>
      <c r="K13072" s="18" t="s">
        <v>35495</v>
      </c>
      <c r="N13072" s="17" t="s">
        <v>77</v>
      </c>
      <c r="O13072" t="s">
        <v>117</v>
      </c>
      <c r="U13072" s="17"/>
      <c r="V13072" s="18" t="s">
        <v>35495</v>
      </c>
      <c r="W13072" t="s">
        <v>35496</v>
      </c>
      <c r="Y13072" t="s">
        <v>115</v>
      </c>
      <c r="AA13072" t="s">
        <v>115</v>
      </c>
      <c r="AB13072" t="s">
        <v>119</v>
      </c>
    </row>
    <row r="13073" ht="15" customHeight="1" spans="1:25" x14ac:dyDescent="0.25">
      <c r="A13073" s="17" t="s">
        <v>35497</v>
      </c>
      <c r="B13073" s="17" t="s">
        <v>70</v>
      </c>
      <c r="C13073" s="17" t="s">
        <v>71</v>
      </c>
      <c r="D13073" t="s">
        <v>9544</v>
      </c>
      <c r="F13073" t="s">
        <v>35498</v>
      </c>
      <c r="K13073" s="18">
        <f>62811184332</f>
        <v>62811184332</v>
      </c>
      <c r="N13073" s="17" t="s">
        <v>77</v>
      </c>
      <c r="U13073" s="17"/>
      <c r="V13073" s="18">
        <f>62811184332</f>
        <v>62811184332</v>
      </c>
      <c r="W13073" t="s">
        <v>35499</v>
      </c>
      <c r="Y13073" s="17" t="s">
        <v>96</v>
      </c>
    </row>
    <row r="13074" ht="15" customHeight="1" spans="1:22" x14ac:dyDescent="0.25">
      <c r="A13074" s="17" t="s">
        <v>35500</v>
      </c>
      <c r="B13074" s="17" t="s">
        <v>70</v>
      </c>
      <c r="C13074" s="17" t="s">
        <v>71</v>
      </c>
      <c r="D13074" t="s">
        <v>9544</v>
      </c>
      <c r="F13074" t="s">
        <v>35501</v>
      </c>
      <c r="K13074" s="18">
        <f>6287766633998</f>
        <v>6287766633998</v>
      </c>
      <c r="N13074" s="17" t="s">
        <v>81</v>
      </c>
      <c r="V13074" s="18">
        <f>6287766633998</f>
        <v>6287766633998</v>
      </c>
    </row>
    <row r="13075" ht="15" customHeight="1" spans="1:22" x14ac:dyDescent="0.25">
      <c r="A13075" s="17" t="s">
        <v>35502</v>
      </c>
      <c r="B13075" s="17" t="s">
        <v>70</v>
      </c>
      <c r="C13075" s="17" t="s">
        <v>71</v>
      </c>
      <c r="D13075" t="s">
        <v>9544</v>
      </c>
      <c r="F13075" t="s">
        <v>10788</v>
      </c>
      <c r="K13075" s="18">
        <f>6281345733692</f>
        <v>6281345733692</v>
      </c>
      <c r="N13075" s="17" t="s">
        <v>77</v>
      </c>
      <c r="V13075" s="18">
        <f>6281345733692</f>
        <v>6281345733692</v>
      </c>
    </row>
    <row r="13076" ht="15" customHeight="1" spans="1:22" x14ac:dyDescent="0.25">
      <c r="A13076" s="17" t="s">
        <v>35503</v>
      </c>
      <c r="B13076" s="17" t="s">
        <v>70</v>
      </c>
      <c r="C13076" s="17" t="s">
        <v>71</v>
      </c>
      <c r="D13076" t="s">
        <v>9544</v>
      </c>
      <c r="F13076" t="s">
        <v>35504</v>
      </c>
      <c r="K13076" s="18">
        <f>6281294233399</f>
        <v>6281294233399</v>
      </c>
      <c r="N13076" s="17" t="s">
        <v>77</v>
      </c>
      <c r="V13076" s="18">
        <f>6281294233399</f>
        <v>6281294233399</v>
      </c>
    </row>
    <row r="13077" ht="15" customHeight="1" spans="1:22" x14ac:dyDescent="0.25">
      <c r="A13077" s="17" t="s">
        <v>35505</v>
      </c>
      <c r="B13077" s="17" t="s">
        <v>70</v>
      </c>
      <c r="C13077" s="17" t="s">
        <v>71</v>
      </c>
      <c r="D13077" t="s">
        <v>9544</v>
      </c>
      <c r="F13077" t="s">
        <v>3723</v>
      </c>
      <c r="K13077" s="18">
        <f>628157079666</f>
        <v>628157079666</v>
      </c>
      <c r="N13077" s="17" t="s">
        <v>77</v>
      </c>
      <c r="V13077" s="18">
        <f>628157079666</f>
        <v>628157079666</v>
      </c>
    </row>
    <row r="13078" ht="15" customHeight="1" spans="1:23" x14ac:dyDescent="0.25">
      <c r="A13078" s="17" t="s">
        <v>35506</v>
      </c>
      <c r="B13078" s="17" t="s">
        <v>70</v>
      </c>
      <c r="C13078" s="17" t="s">
        <v>71</v>
      </c>
      <c r="D13078" t="s">
        <v>9544</v>
      </c>
      <c r="F13078" t="s">
        <v>35507</v>
      </c>
      <c r="K13078" s="18">
        <f>62811143239</f>
        <v>62811143239</v>
      </c>
      <c r="N13078" s="17" t="s">
        <v>77</v>
      </c>
      <c r="U13078" s="17"/>
      <c r="V13078" s="18">
        <f>62811143239</f>
        <v>62811143239</v>
      </c>
      <c r="W13078" t="s">
        <v>35508</v>
      </c>
    </row>
    <row r="13079" ht="15" customHeight="1" spans="1:28" x14ac:dyDescent="0.25">
      <c r="A13079" s="17" t="s">
        <v>35509</v>
      </c>
      <c r="B13079" s="17" t="s">
        <v>70</v>
      </c>
      <c r="C13079" s="17" t="s">
        <v>71</v>
      </c>
      <c r="D13079" t="s">
        <v>9544</v>
      </c>
      <c r="F13079" t="s">
        <v>9544</v>
      </c>
      <c r="J13079" t="s">
        <v>115</v>
      </c>
      <c r="K13079" s="18" t="s">
        <v>35510</v>
      </c>
      <c r="N13079" s="17" t="s">
        <v>77</v>
      </c>
      <c r="O13079" t="s">
        <v>117</v>
      </c>
      <c r="V13079" s="18" t="s">
        <v>35510</v>
      </c>
      <c r="Y13079" t="s">
        <v>90</v>
      </c>
      <c r="AA13079" t="s">
        <v>118</v>
      </c>
      <c r="AB13079" t="s">
        <v>119</v>
      </c>
    </row>
    <row r="13080" ht="15" customHeight="1" spans="1:25" x14ac:dyDescent="0.25">
      <c r="A13080" s="17" t="s">
        <v>35511</v>
      </c>
      <c r="B13080" s="17" t="s">
        <v>70</v>
      </c>
      <c r="C13080" s="17" t="s">
        <v>71</v>
      </c>
      <c r="D13080" t="s">
        <v>9544</v>
      </c>
      <c r="F13080" t="s">
        <v>1869</v>
      </c>
      <c r="K13080" s="18">
        <f>62816795645</f>
        <v>62816795645</v>
      </c>
      <c r="N13080" s="17" t="s">
        <v>77</v>
      </c>
      <c r="U13080" s="17"/>
      <c r="V13080" s="18">
        <f>62816795645</f>
        <v>62816795645</v>
      </c>
      <c r="W13080" t="s">
        <v>35512</v>
      </c>
      <c r="Y13080" s="17" t="s">
        <v>1084</v>
      </c>
    </row>
    <row r="13081" ht="15" customHeight="1" spans="1:22" x14ac:dyDescent="0.25">
      <c r="A13081" s="17" t="s">
        <v>35513</v>
      </c>
      <c r="B13081" s="17" t="s">
        <v>70</v>
      </c>
      <c r="C13081" s="17" t="s">
        <v>71</v>
      </c>
      <c r="D13081" t="s">
        <v>9544</v>
      </c>
      <c r="F13081" t="s">
        <v>35514</v>
      </c>
      <c r="K13081" s="18">
        <f>62811877256</f>
        <v>62811877256</v>
      </c>
      <c r="N13081" s="17" t="s">
        <v>77</v>
      </c>
      <c r="V13081" s="18">
        <f>62811877256</f>
        <v>62811877256</v>
      </c>
    </row>
    <row r="13082" ht="15" customHeight="1" spans="1:25" x14ac:dyDescent="0.25">
      <c r="A13082" s="17" t="s">
        <v>35515</v>
      </c>
      <c r="B13082" s="17" t="s">
        <v>70</v>
      </c>
      <c r="C13082" s="17" t="s">
        <v>71</v>
      </c>
      <c r="D13082" t="s">
        <v>22554</v>
      </c>
      <c r="F13082" t="s">
        <v>35516</v>
      </c>
      <c r="K13082" s="18">
        <f>6289654585857</f>
        <v>6289654585857</v>
      </c>
      <c r="N13082" s="17" t="s">
        <v>81</v>
      </c>
      <c r="V13082" s="18">
        <f>6289654585857</f>
        <v>6289654585857</v>
      </c>
      <c r="Y13082" s="17" t="s">
        <v>181</v>
      </c>
    </row>
    <row r="13083" ht="15" customHeight="1" spans="1:22" x14ac:dyDescent="0.25">
      <c r="A13083" s="17" t="s">
        <v>35517</v>
      </c>
      <c r="B13083" s="17" t="s">
        <v>70</v>
      </c>
      <c r="C13083" s="17" t="s">
        <v>71</v>
      </c>
      <c r="D13083" t="s">
        <v>22554</v>
      </c>
      <c r="F13083" t="s">
        <v>1754</v>
      </c>
      <c r="K13083" s="18">
        <f>62811472558</f>
        <v>62811472558</v>
      </c>
      <c r="N13083" s="17" t="s">
        <v>74</v>
      </c>
      <c r="V13083" s="18">
        <f>62811472558</f>
        <v>62811472558</v>
      </c>
    </row>
    <row r="13084" ht="15" customHeight="1" spans="1:22" x14ac:dyDescent="0.25">
      <c r="A13084" s="17" t="s">
        <v>35518</v>
      </c>
      <c r="B13084" s="17" t="s">
        <v>70</v>
      </c>
      <c r="C13084" s="17" t="s">
        <v>71</v>
      </c>
      <c r="D13084" t="s">
        <v>22554</v>
      </c>
      <c r="F13084" t="s">
        <v>22554</v>
      </c>
      <c r="K13084" s="18">
        <f>18951160990</f>
        <v>18951160990</v>
      </c>
      <c r="N13084" s="17" t="s">
        <v>77</v>
      </c>
      <c r="V13084" s="18">
        <f>18951160990</f>
        <v>18951160990</v>
      </c>
    </row>
    <row r="13085" ht="15" customHeight="1" spans="1:23" x14ac:dyDescent="0.25">
      <c r="A13085" s="17" t="s">
        <v>35519</v>
      </c>
      <c r="B13085" s="17" t="s">
        <v>70</v>
      </c>
      <c r="C13085" s="17" t="s">
        <v>71</v>
      </c>
      <c r="D13085" t="s">
        <v>35520</v>
      </c>
      <c r="F13085" t="s">
        <v>7914</v>
      </c>
      <c r="K13085" s="18">
        <f>6281389302770</f>
        <v>6281389302770</v>
      </c>
      <c r="N13085" s="17" t="s">
        <v>77</v>
      </c>
      <c r="U13085" s="17"/>
      <c r="V13085" s="18">
        <f>6281389302770</f>
        <v>6281389302770</v>
      </c>
      <c r="W13085" t="s">
        <v>35521</v>
      </c>
    </row>
    <row r="13086" ht="15" customHeight="1" spans="1:22" x14ac:dyDescent="0.25">
      <c r="A13086" s="17" t="s">
        <v>35522</v>
      </c>
      <c r="B13086" s="17" t="s">
        <v>70</v>
      </c>
      <c r="C13086" s="17" t="s">
        <v>71</v>
      </c>
      <c r="D13086" t="s">
        <v>4180</v>
      </c>
      <c r="F13086" t="s">
        <v>4180</v>
      </c>
      <c r="K13086" s="18">
        <f>6283722028888</f>
        <v>6283722028888</v>
      </c>
      <c r="N13086" s="17" t="s">
        <v>81</v>
      </c>
      <c r="V13086" s="18">
        <f>6283722028888</f>
        <v>6283722028888</v>
      </c>
    </row>
    <row r="13087" ht="15" customHeight="1" spans="1:22" x14ac:dyDescent="0.25">
      <c r="A13087" s="17" t="s">
        <v>35523</v>
      </c>
      <c r="B13087" s="17" t="s">
        <v>70</v>
      </c>
      <c r="C13087" s="17" t="s">
        <v>71</v>
      </c>
      <c r="D13087" t="s">
        <v>35524</v>
      </c>
      <c r="F13087" t="s">
        <v>35524</v>
      </c>
      <c r="K13087" s="18">
        <f>6281289905760</f>
        <v>6281289905760</v>
      </c>
      <c r="N13087" s="17" t="s">
        <v>77</v>
      </c>
      <c r="V13087" s="18">
        <f>6281289905760</f>
        <v>6281289905760</v>
      </c>
    </row>
    <row r="13088" ht="15" customHeight="1" spans="1:23" x14ac:dyDescent="0.25">
      <c r="A13088" s="17" t="s">
        <v>35525</v>
      </c>
      <c r="B13088" s="17" t="s">
        <v>70</v>
      </c>
      <c r="C13088" s="17" t="s">
        <v>71</v>
      </c>
      <c r="D13088" t="s">
        <v>35524</v>
      </c>
      <c r="F13088" t="s">
        <v>35526</v>
      </c>
      <c r="K13088" s="18">
        <f>6281282959962</f>
        <v>6281282959962</v>
      </c>
      <c r="N13088" s="17" t="s">
        <v>81</v>
      </c>
      <c r="U13088" s="17"/>
      <c r="V13088" s="18">
        <f>6281282959962</f>
        <v>6281282959962</v>
      </c>
      <c r="W13088" t="s">
        <v>35527</v>
      </c>
    </row>
    <row r="13089" ht="15" customHeight="1" spans="1:23" x14ac:dyDescent="0.25">
      <c r="A13089" s="17" t="s">
        <v>35528</v>
      </c>
      <c r="B13089" s="17" t="s">
        <v>70</v>
      </c>
      <c r="C13089" s="17" t="s">
        <v>71</v>
      </c>
      <c r="D13089" t="s">
        <v>35529</v>
      </c>
      <c r="F13089" t="s">
        <v>1589</v>
      </c>
      <c r="K13089" s="18">
        <f>628119111179</f>
        <v>628119111179</v>
      </c>
      <c r="N13089" s="17" t="s">
        <v>74</v>
      </c>
      <c r="U13089" s="17"/>
      <c r="V13089" s="18">
        <f>628119111179</f>
        <v>628119111179</v>
      </c>
      <c r="W13089" t="s">
        <v>35530</v>
      </c>
    </row>
    <row r="13090" ht="15" customHeight="1" spans="1:28" x14ac:dyDescent="0.25">
      <c r="A13090" s="17" t="s">
        <v>35531</v>
      </c>
      <c r="B13090" s="17" t="s">
        <v>70</v>
      </c>
      <c r="C13090" s="17" t="s">
        <v>71</v>
      </c>
      <c r="D13090" t="s">
        <v>35529</v>
      </c>
      <c r="F13090" t="s">
        <v>672</v>
      </c>
      <c r="J13090" t="s">
        <v>115</v>
      </c>
      <c r="K13090" s="18" t="s">
        <v>35532</v>
      </c>
      <c r="N13090" s="17" t="s">
        <v>81</v>
      </c>
      <c r="O13090" t="s">
        <v>261</v>
      </c>
      <c r="U13090" s="17"/>
      <c r="V13090" s="18" t="s">
        <v>35532</v>
      </c>
      <c r="W13090" t="s">
        <v>90</v>
      </c>
      <c r="Y13090" t="s">
        <v>90</v>
      </c>
      <c r="AA13090" t="s">
        <v>118</v>
      </c>
      <c r="AB13090" t="s">
        <v>119</v>
      </c>
    </row>
    <row r="13091" ht="15" customHeight="1" spans="1:22" x14ac:dyDescent="0.25">
      <c r="A13091" s="17" t="s">
        <v>35533</v>
      </c>
      <c r="B13091" s="17" t="s">
        <v>70</v>
      </c>
      <c r="C13091" s="17" t="s">
        <v>71</v>
      </c>
      <c r="D13091" t="s">
        <v>4228</v>
      </c>
      <c r="F13091" t="s">
        <v>35534</v>
      </c>
      <c r="K13091" s="18">
        <f>628125147606</f>
        <v>628125147606</v>
      </c>
      <c r="N13091" s="17" t="s">
        <v>81</v>
      </c>
      <c r="V13091" s="18">
        <f>628125147606</f>
        <v>628125147606</v>
      </c>
    </row>
    <row r="13092" ht="15" customHeight="1" spans="1:22" x14ac:dyDescent="0.25">
      <c r="A13092" s="17" t="s">
        <v>35535</v>
      </c>
      <c r="B13092" s="17" t="s">
        <v>70</v>
      </c>
      <c r="C13092" s="17" t="s">
        <v>71</v>
      </c>
      <c r="D13092" t="s">
        <v>4228</v>
      </c>
      <c r="F13092" t="s">
        <v>1169</v>
      </c>
      <c r="K13092" s="18">
        <f>628112793888</f>
        <v>628112793888</v>
      </c>
      <c r="N13092" s="17" t="s">
        <v>81</v>
      </c>
      <c r="V13092" s="18">
        <f>628112793888</f>
        <v>628112793888</v>
      </c>
    </row>
    <row r="13093" ht="15" customHeight="1" spans="1:28" x14ac:dyDescent="0.25">
      <c r="A13093" s="17" t="s">
        <v>35536</v>
      </c>
      <c r="B13093" s="17" t="s">
        <v>70</v>
      </c>
      <c r="C13093" s="17" t="s">
        <v>71</v>
      </c>
      <c r="D13093" t="s">
        <v>35537</v>
      </c>
      <c r="F13093" t="s">
        <v>6671</v>
      </c>
      <c r="J13093" t="s">
        <v>115</v>
      </c>
      <c r="K13093" s="18" t="s">
        <v>35538</v>
      </c>
      <c r="N13093" s="17" t="s">
        <v>77</v>
      </c>
      <c r="O13093" t="s">
        <v>145</v>
      </c>
      <c r="V13093" s="18" t="s">
        <v>35538</v>
      </c>
      <c r="Y13093" t="s">
        <v>1157</v>
      </c>
      <c r="AA13093" t="s">
        <v>5957</v>
      </c>
      <c r="AB13093" t="s">
        <v>119</v>
      </c>
    </row>
    <row r="13094" ht="15" customHeight="1" spans="1:27" x14ac:dyDescent="0.25">
      <c r="A13094" s="17" t="s">
        <v>35539</v>
      </c>
      <c r="B13094" s="17" t="s">
        <v>70</v>
      </c>
      <c r="C13094" s="17" t="s">
        <v>71</v>
      </c>
      <c r="D13094" t="s">
        <v>35540</v>
      </c>
      <c r="F13094" t="s">
        <v>2159</v>
      </c>
      <c r="K13094" s="18">
        <f>6281212661115</f>
        <v>6281212661115</v>
      </c>
      <c r="N13094" s="17" t="s">
        <v>81</v>
      </c>
      <c r="U13094" s="17"/>
      <c r="V13094" s="18">
        <f>6281212661115</f>
        <v>6281212661115</v>
      </c>
      <c r="W13094" t="s">
        <v>35541</v>
      </c>
      <c r="AA13094" s="17">
        <v>11470</v>
      </c>
    </row>
    <row r="13095" ht="15" customHeight="1" spans="1:22" x14ac:dyDescent="0.25">
      <c r="A13095" s="17" t="s">
        <v>35542</v>
      </c>
      <c r="B13095" s="17" t="s">
        <v>70</v>
      </c>
      <c r="C13095" s="17" t="s">
        <v>71</v>
      </c>
      <c r="D13095" t="s">
        <v>28753</v>
      </c>
      <c r="F13095" t="s">
        <v>28753</v>
      </c>
      <c r="K13095" s="18">
        <f>6281322777777</f>
        <v>6281322777777</v>
      </c>
      <c r="N13095" s="17" t="s">
        <v>77</v>
      </c>
      <c r="V13095" s="18">
        <f>6281322777777</f>
        <v>6281322777777</v>
      </c>
    </row>
    <row r="13096" ht="15" customHeight="1" spans="1:22" x14ac:dyDescent="0.25">
      <c r="A13096" s="17" t="s">
        <v>35543</v>
      </c>
      <c r="B13096" s="17" t="s">
        <v>70</v>
      </c>
      <c r="C13096" s="17" t="s">
        <v>71</v>
      </c>
      <c r="D13096" t="s">
        <v>28753</v>
      </c>
      <c r="F13096" t="s">
        <v>28753</v>
      </c>
      <c r="K13096" s="18">
        <f>62811851558</f>
        <v>62811851558</v>
      </c>
      <c r="N13096" s="17" t="s">
        <v>74</v>
      </c>
      <c r="V13096" s="18">
        <f>62811851558</f>
        <v>62811851558</v>
      </c>
    </row>
    <row r="13097" ht="15" customHeight="1" spans="1:22" x14ac:dyDescent="0.25">
      <c r="A13097" s="17" t="s">
        <v>35544</v>
      </c>
      <c r="B13097" s="17" t="s">
        <v>70</v>
      </c>
      <c r="C13097" s="17" t="s">
        <v>71</v>
      </c>
      <c r="D13097" t="s">
        <v>28753</v>
      </c>
      <c r="F13097" t="s">
        <v>28753</v>
      </c>
      <c r="K13097" s="18">
        <f>628129288888</f>
        <v>628129288888</v>
      </c>
      <c r="N13097" s="17" t="s">
        <v>77</v>
      </c>
      <c r="V13097" s="18">
        <f>628129288888</f>
        <v>628129288888</v>
      </c>
    </row>
    <row r="13098" ht="15" customHeight="1" spans="1:22" x14ac:dyDescent="0.25">
      <c r="A13098" s="17" t="s">
        <v>35545</v>
      </c>
      <c r="B13098" s="17" t="s">
        <v>70</v>
      </c>
      <c r="C13098" s="17" t="s">
        <v>71</v>
      </c>
      <c r="D13098" t="s">
        <v>28753</v>
      </c>
      <c r="F13098" t="s">
        <v>2381</v>
      </c>
      <c r="K13098" s="18">
        <f>628161998280</f>
        <v>628161998280</v>
      </c>
      <c r="N13098" s="17" t="s">
        <v>74</v>
      </c>
      <c r="V13098" s="18">
        <f>628161998280</f>
        <v>628161998280</v>
      </c>
    </row>
    <row r="13099" ht="15" customHeight="1" spans="1:28" x14ac:dyDescent="0.25">
      <c r="A13099" s="17" t="s">
        <v>35546</v>
      </c>
      <c r="B13099" s="17" t="s">
        <v>70</v>
      </c>
      <c r="C13099" s="17" t="s">
        <v>71</v>
      </c>
      <c r="D13099" t="s">
        <v>28753</v>
      </c>
      <c r="F13099" t="s">
        <v>35547</v>
      </c>
      <c r="J13099" t="s">
        <v>35548</v>
      </c>
      <c r="K13099" s="18" t="s">
        <v>35549</v>
      </c>
      <c r="N13099" s="17" t="s">
        <v>74</v>
      </c>
      <c r="O13099" t="s">
        <v>489</v>
      </c>
      <c r="U13099" s="17"/>
      <c r="V13099" s="18" t="s">
        <v>35549</v>
      </c>
      <c r="W13099" t="s">
        <v>35550</v>
      </c>
      <c r="Y13099" s="17" t="s">
        <v>96</v>
      </c>
      <c r="AA13099" t="s">
        <v>693</v>
      </c>
      <c r="AB13099" t="s">
        <v>119</v>
      </c>
    </row>
    <row r="13100" ht="15" customHeight="1" spans="1:22" x14ac:dyDescent="0.25">
      <c r="A13100" s="17" t="s">
        <v>35551</v>
      </c>
      <c r="B13100" s="17" t="s">
        <v>70</v>
      </c>
      <c r="C13100" s="17" t="s">
        <v>71</v>
      </c>
      <c r="D13100" t="s">
        <v>28753</v>
      </c>
      <c r="F13100" t="s">
        <v>35552</v>
      </c>
      <c r="K13100" s="18">
        <f>62811153833</f>
        <v>62811153833</v>
      </c>
      <c r="N13100" s="17" t="s">
        <v>77</v>
      </c>
      <c r="V13100" s="18">
        <f>62811153833</f>
        <v>62811153833</v>
      </c>
    </row>
    <row r="13101" ht="15" customHeight="1" spans="1:27" x14ac:dyDescent="0.25">
      <c r="A13101" s="17" t="s">
        <v>35553</v>
      </c>
      <c r="B13101" s="17" t="s">
        <v>70</v>
      </c>
      <c r="C13101" s="17" t="s">
        <v>71</v>
      </c>
      <c r="D13101" t="s">
        <v>28753</v>
      </c>
      <c r="F13101" t="s">
        <v>35554</v>
      </c>
      <c r="K13101" s="18">
        <v>45853188</v>
      </c>
      <c r="N13101" s="17" t="s">
        <v>77</v>
      </c>
      <c r="U13101" s="17"/>
      <c r="V13101" s="18">
        <v>45853188</v>
      </c>
      <c r="W13101" t="s">
        <v>35555</v>
      </c>
      <c r="Y13101" s="17" t="s">
        <v>1084</v>
      </c>
      <c r="AA13101" s="17" t="s">
        <v>5003</v>
      </c>
    </row>
    <row r="13102" ht="15" customHeight="1" spans="1:22" x14ac:dyDescent="0.25">
      <c r="A13102" s="17" t="s">
        <v>35556</v>
      </c>
      <c r="B13102" s="17" t="s">
        <v>70</v>
      </c>
      <c r="C13102" s="17" t="s">
        <v>71</v>
      </c>
      <c r="D13102" t="s">
        <v>35557</v>
      </c>
      <c r="F13102" t="s">
        <v>30329</v>
      </c>
      <c r="K13102" s="18">
        <f>6281316800088</f>
        <v>6281316800088</v>
      </c>
      <c r="N13102" s="17" t="s">
        <v>77</v>
      </c>
      <c r="V13102" s="18">
        <f>6281316800088</f>
        <v>6281316800088</v>
      </c>
    </row>
    <row r="13103" ht="15" customHeight="1" spans="1:23" x14ac:dyDescent="0.25">
      <c r="A13103" s="17" t="s">
        <v>35558</v>
      </c>
      <c r="B13103" s="17" t="s">
        <v>70</v>
      </c>
      <c r="C13103" s="17" t="s">
        <v>71</v>
      </c>
      <c r="D13103" t="s">
        <v>35559</v>
      </c>
      <c r="F13103" t="s">
        <v>35559</v>
      </c>
      <c r="K13103" s="18">
        <f>628158303943</f>
        <v>628158303943</v>
      </c>
      <c r="N13103" s="17" t="s">
        <v>77</v>
      </c>
      <c r="U13103" s="17"/>
      <c r="V13103" s="18">
        <f>628158303943</f>
        <v>628158303943</v>
      </c>
      <c r="W13103" t="s">
        <v>35560</v>
      </c>
    </row>
    <row r="13104" ht="15" customHeight="1" spans="1:22" x14ac:dyDescent="0.25">
      <c r="A13104" s="17" t="s">
        <v>35561</v>
      </c>
      <c r="B13104" s="17" t="s">
        <v>70</v>
      </c>
      <c r="C13104" s="17" t="s">
        <v>71</v>
      </c>
      <c r="D13104" t="s">
        <v>649</v>
      </c>
      <c r="F13104" t="s">
        <v>35562</v>
      </c>
      <c r="K13104" s="18">
        <f>628161933374</f>
        <v>628161933374</v>
      </c>
      <c r="N13104" s="17" t="s">
        <v>77</v>
      </c>
      <c r="V13104" s="18">
        <f>628161933374</f>
        <v>628161933374</v>
      </c>
    </row>
    <row r="13105" ht="15" customHeight="1" spans="1:23" x14ac:dyDescent="0.25">
      <c r="A13105" s="17" t="s">
        <v>35563</v>
      </c>
      <c r="B13105" s="17" t="s">
        <v>70</v>
      </c>
      <c r="C13105" s="17" t="s">
        <v>71</v>
      </c>
      <c r="D13105" t="s">
        <v>649</v>
      </c>
      <c r="F13105" t="s">
        <v>3763</v>
      </c>
      <c r="J13105" s="17" t="s">
        <v>35564</v>
      </c>
      <c r="K13105" s="18">
        <f>6287773335798</f>
        <v>6287773335798</v>
      </c>
      <c r="N13105" s="17" t="s">
        <v>81</v>
      </c>
      <c r="U13105" s="17"/>
      <c r="V13105" s="18">
        <f>6287773335798</f>
        <v>6287773335798</v>
      </c>
      <c r="W13105" t="s">
        <v>35565</v>
      </c>
    </row>
    <row r="13106" ht="15" customHeight="1" spans="1:28" x14ac:dyDescent="0.25">
      <c r="A13106" s="17" t="s">
        <v>35566</v>
      </c>
      <c r="B13106" s="17" t="s">
        <v>70</v>
      </c>
      <c r="C13106" s="17" t="s">
        <v>71</v>
      </c>
      <c r="D13106" t="s">
        <v>35567</v>
      </c>
      <c r="F13106" t="s">
        <v>35567</v>
      </c>
      <c r="J13106" t="s">
        <v>115</v>
      </c>
      <c r="K13106" s="18" t="s">
        <v>35568</v>
      </c>
      <c r="N13106" s="17" t="s">
        <v>81</v>
      </c>
      <c r="O13106" t="s">
        <v>117</v>
      </c>
      <c r="V13106" s="18" t="s">
        <v>35568</v>
      </c>
      <c r="Y13106" t="s">
        <v>96</v>
      </c>
      <c r="AA13106" t="s">
        <v>693</v>
      </c>
      <c r="AB13106" t="s">
        <v>119</v>
      </c>
    </row>
    <row r="13107" ht="15" customHeight="1" spans="1:28" x14ac:dyDescent="0.25">
      <c r="A13107" s="17" t="s">
        <v>35569</v>
      </c>
      <c r="B13107" s="17" t="s">
        <v>70</v>
      </c>
      <c r="C13107" s="17" t="s">
        <v>71</v>
      </c>
      <c r="D13107" t="s">
        <v>35567</v>
      </c>
      <c r="F13107" t="s">
        <v>35570</v>
      </c>
      <c r="J13107" t="s">
        <v>115</v>
      </c>
      <c r="K13107" s="18" t="s">
        <v>35571</v>
      </c>
      <c r="N13107" s="17" t="s">
        <v>74</v>
      </c>
      <c r="O13107" t="s">
        <v>117</v>
      </c>
      <c r="V13107" s="18" t="s">
        <v>35571</v>
      </c>
      <c r="Y13107" t="s">
        <v>190</v>
      </c>
      <c r="AA13107" t="s">
        <v>118</v>
      </c>
      <c r="AB13107" t="s">
        <v>119</v>
      </c>
    </row>
    <row r="13108" ht="15" customHeight="1" spans="1:22" x14ac:dyDescent="0.25">
      <c r="A13108" s="17" t="s">
        <v>35572</v>
      </c>
      <c r="B13108" s="17" t="s">
        <v>70</v>
      </c>
      <c r="C13108" s="17" t="s">
        <v>71</v>
      </c>
      <c r="D13108" t="s">
        <v>13079</v>
      </c>
      <c r="F13108" t="s">
        <v>13079</v>
      </c>
      <c r="K13108" s="18">
        <f>62217542271</f>
        <v>62217542271</v>
      </c>
      <c r="N13108" s="17" t="s">
        <v>74</v>
      </c>
      <c r="V13108" s="18">
        <f>62217542271</f>
        <v>62217542271</v>
      </c>
    </row>
    <row r="13109" ht="15" customHeight="1" spans="1:22" x14ac:dyDescent="0.25">
      <c r="A13109" s="17" t="s">
        <v>35573</v>
      </c>
      <c r="B13109" s="17" t="s">
        <v>70</v>
      </c>
      <c r="C13109" s="17" t="s">
        <v>71</v>
      </c>
      <c r="D13109" t="s">
        <v>13079</v>
      </c>
      <c r="F13109" t="s">
        <v>13079</v>
      </c>
      <c r="K13109" s="18">
        <f>6281310603749</f>
        <v>6281310603749</v>
      </c>
      <c r="N13109" s="17" t="s">
        <v>77</v>
      </c>
      <c r="V13109" s="18">
        <f>6281310603749</f>
        <v>6281310603749</v>
      </c>
    </row>
    <row r="13110" ht="15" customHeight="1" spans="1:23" x14ac:dyDescent="0.25">
      <c r="A13110" s="17" t="s">
        <v>35574</v>
      </c>
      <c r="B13110" s="17" t="s">
        <v>70</v>
      </c>
      <c r="C13110" s="17" t="s">
        <v>71</v>
      </c>
      <c r="D13110" t="s">
        <v>13079</v>
      </c>
      <c r="F13110" t="s">
        <v>13079</v>
      </c>
      <c r="K13110" s="18">
        <f>6281212122830</f>
        <v>6281212122830</v>
      </c>
      <c r="N13110" s="17" t="s">
        <v>81</v>
      </c>
      <c r="U13110" s="17"/>
      <c r="V13110" s="18">
        <f>6281212122830</f>
        <v>6281212122830</v>
      </c>
      <c r="W13110" t="s">
        <v>35575</v>
      </c>
    </row>
    <row r="13111" ht="15" customHeight="1" spans="1:22" x14ac:dyDescent="0.25">
      <c r="A13111" s="17" t="s">
        <v>35576</v>
      </c>
      <c r="B13111" s="17" t="s">
        <v>70</v>
      </c>
      <c r="C13111" s="17" t="s">
        <v>71</v>
      </c>
      <c r="D13111" t="s">
        <v>13079</v>
      </c>
      <c r="F13111" t="s">
        <v>13079</v>
      </c>
      <c r="K13111" s="18">
        <f>62811878890</f>
        <v>62811878890</v>
      </c>
      <c r="N13111" s="17" t="s">
        <v>81</v>
      </c>
      <c r="V13111" s="18">
        <f>62811878890</f>
        <v>62811878890</v>
      </c>
    </row>
    <row r="13112" ht="15" customHeight="1" spans="1:28" x14ac:dyDescent="0.25">
      <c r="A13112" s="17" t="s">
        <v>35577</v>
      </c>
      <c r="B13112" s="17" t="s">
        <v>70</v>
      </c>
      <c r="C13112" s="17" t="s">
        <v>71</v>
      </c>
      <c r="D13112" t="s">
        <v>13079</v>
      </c>
      <c r="F13112" t="s">
        <v>11572</v>
      </c>
      <c r="J13112" s="17" t="s">
        <v>35578</v>
      </c>
      <c r="K13112" s="18" t="s">
        <v>35579</v>
      </c>
      <c r="N13112" s="17" t="s">
        <v>81</v>
      </c>
      <c r="O13112" t="s">
        <v>117</v>
      </c>
      <c r="U13112" s="17"/>
      <c r="V13112" s="18" t="s">
        <v>35579</v>
      </c>
      <c r="W13112" t="s">
        <v>35580</v>
      </c>
      <c r="Y13112" t="s">
        <v>190</v>
      </c>
      <c r="AA13112" t="s">
        <v>118</v>
      </c>
      <c r="AB13112" t="s">
        <v>119</v>
      </c>
    </row>
    <row r="13113" ht="15" customHeight="1" spans="1:23" x14ac:dyDescent="0.25">
      <c r="A13113" s="17" t="s">
        <v>35581</v>
      </c>
      <c r="B13113" s="17" t="s">
        <v>70</v>
      </c>
      <c r="C13113" s="17" t="s">
        <v>71</v>
      </c>
      <c r="D13113" t="s">
        <v>13079</v>
      </c>
      <c r="F13113" t="s">
        <v>35582</v>
      </c>
      <c r="K13113" s="18">
        <f>14092024</f>
        <v>14092024</v>
      </c>
      <c r="N13113" s="17" t="s">
        <v>77</v>
      </c>
      <c r="U13113" s="17"/>
      <c r="V13113" s="18">
        <f>14092024</f>
        <v>14092024</v>
      </c>
      <c r="W13113" t="s">
        <v>35583</v>
      </c>
    </row>
    <row r="13114" ht="15" customHeight="1" spans="1:22" x14ac:dyDescent="0.25">
      <c r="A13114" s="17" t="s">
        <v>35584</v>
      </c>
      <c r="B13114" s="17" t="s">
        <v>70</v>
      </c>
      <c r="C13114" s="17" t="s">
        <v>71</v>
      </c>
      <c r="D13114" t="s">
        <v>13079</v>
      </c>
      <c r="F13114" t="s">
        <v>3099</v>
      </c>
      <c r="K13114" s="18">
        <f>628129003456</f>
        <v>628129003456</v>
      </c>
      <c r="N13114" s="17" t="s">
        <v>77</v>
      </c>
      <c r="V13114" s="18">
        <f>628129003456</f>
        <v>628129003456</v>
      </c>
    </row>
    <row r="13115" ht="15" customHeight="1" spans="1:22" x14ac:dyDescent="0.25">
      <c r="A13115" s="17" t="s">
        <v>35585</v>
      </c>
      <c r="B13115" s="17" t="s">
        <v>70</v>
      </c>
      <c r="C13115" s="17" t="s">
        <v>71</v>
      </c>
      <c r="D13115" t="s">
        <v>13079</v>
      </c>
      <c r="F13115" t="s">
        <v>35586</v>
      </c>
      <c r="K13115" s="18">
        <f>62811158008</f>
        <v>62811158008</v>
      </c>
      <c r="N13115" s="17" t="s">
        <v>81</v>
      </c>
      <c r="V13115" s="18">
        <f>62811158008</f>
        <v>62811158008</v>
      </c>
    </row>
    <row r="13116" ht="15" customHeight="1" spans="1:22" x14ac:dyDescent="0.25">
      <c r="A13116" s="17" t="s">
        <v>35587</v>
      </c>
      <c r="B13116" s="17" t="s">
        <v>70</v>
      </c>
      <c r="C13116" s="17" t="s">
        <v>71</v>
      </c>
      <c r="D13116" t="s">
        <v>13079</v>
      </c>
      <c r="F13116" t="s">
        <v>35588</v>
      </c>
      <c r="K13116" s="18">
        <f>628161655952</f>
        <v>628161655952</v>
      </c>
      <c r="N13116" s="17" t="s">
        <v>74</v>
      </c>
      <c r="V13116" s="18">
        <f>628161655952</f>
        <v>628161655952</v>
      </c>
    </row>
    <row r="13117" ht="15" customHeight="1" spans="1:22" x14ac:dyDescent="0.25">
      <c r="A13117" s="17" t="s">
        <v>35589</v>
      </c>
      <c r="B13117" s="17" t="s">
        <v>70</v>
      </c>
      <c r="C13117" s="17" t="s">
        <v>71</v>
      </c>
      <c r="D13117" t="s">
        <v>13079</v>
      </c>
      <c r="F13117" t="s">
        <v>35590</v>
      </c>
      <c r="K13117" s="18">
        <f>6281808338055</f>
        <v>6281808338055</v>
      </c>
      <c r="N13117" s="17" t="s">
        <v>74</v>
      </c>
      <c r="V13117" s="18">
        <f>6281808338055</f>
        <v>6281808338055</v>
      </c>
    </row>
    <row r="13118" ht="15" customHeight="1" spans="1:22" x14ac:dyDescent="0.25">
      <c r="A13118" s="17" t="s">
        <v>35591</v>
      </c>
      <c r="B13118" s="17" t="s">
        <v>70</v>
      </c>
      <c r="C13118" s="17" t="s">
        <v>71</v>
      </c>
      <c r="D13118" t="s">
        <v>9963</v>
      </c>
      <c r="F13118" t="s">
        <v>35592</v>
      </c>
      <c r="K13118" s="18">
        <f>6287888878558</f>
        <v>6287888878558</v>
      </c>
      <c r="N13118" s="17" t="s">
        <v>77</v>
      </c>
      <c r="V13118" s="18">
        <f>6287888878558</f>
        <v>6287888878558</v>
      </c>
    </row>
    <row r="13119" ht="15" customHeight="1" spans="1:28" x14ac:dyDescent="0.25">
      <c r="A13119" s="17" t="s">
        <v>35593</v>
      </c>
      <c r="B13119" s="17" t="s">
        <v>70</v>
      </c>
      <c r="C13119" s="17" t="s">
        <v>71</v>
      </c>
      <c r="D13119" t="s">
        <v>35594</v>
      </c>
      <c r="F13119" t="s">
        <v>1750</v>
      </c>
      <c r="J13119" t="s">
        <v>115</v>
      </c>
      <c r="K13119" s="18" t="s">
        <v>35595</v>
      </c>
      <c r="N13119" s="17" t="s">
        <v>77</v>
      </c>
      <c r="O13119" t="s">
        <v>489</v>
      </c>
      <c r="U13119" s="17"/>
      <c r="V13119" s="18" t="s">
        <v>35595</v>
      </c>
      <c r="W13119" t="s">
        <v>1157</v>
      </c>
      <c r="Y13119" t="s">
        <v>1157</v>
      </c>
      <c r="AA13119" t="s">
        <v>5957</v>
      </c>
      <c r="AB13119" t="s">
        <v>119</v>
      </c>
    </row>
    <row r="13120" ht="15" customHeight="1" spans="1:22" x14ac:dyDescent="0.25">
      <c r="A13120" s="17" t="s">
        <v>35596</v>
      </c>
      <c r="B13120" s="17" t="s">
        <v>70</v>
      </c>
      <c r="C13120" s="17" t="s">
        <v>71</v>
      </c>
      <c r="D13120" t="s">
        <v>35597</v>
      </c>
      <c r="F13120" t="s">
        <v>35598</v>
      </c>
      <c r="K13120" s="18">
        <f>62818123047</f>
        <v>62818123047</v>
      </c>
      <c r="N13120" s="17" t="s">
        <v>77</v>
      </c>
      <c r="V13120" s="18">
        <f>62818123047</f>
        <v>62818123047</v>
      </c>
    </row>
    <row r="13121" ht="15" customHeight="1" spans="1:22" x14ac:dyDescent="0.25">
      <c r="A13121" s="17" t="s">
        <v>35599</v>
      </c>
      <c r="B13121" s="17" t="s">
        <v>70</v>
      </c>
      <c r="C13121" s="17" t="s">
        <v>71</v>
      </c>
      <c r="D13121" t="s">
        <v>35597</v>
      </c>
      <c r="F13121" t="s">
        <v>3605</v>
      </c>
      <c r="K13121" s="18">
        <f>6281318981511</f>
        <v>6281318981511</v>
      </c>
      <c r="N13121" s="17" t="s">
        <v>77</v>
      </c>
      <c r="V13121" s="18">
        <f>6281318981511</f>
        <v>6281318981511</v>
      </c>
    </row>
    <row r="13122" ht="15" customHeight="1" spans="1:22" x14ac:dyDescent="0.25">
      <c r="A13122" s="17" t="s">
        <v>35600</v>
      </c>
      <c r="B13122" s="17" t="s">
        <v>70</v>
      </c>
      <c r="C13122" s="17" t="s">
        <v>71</v>
      </c>
      <c r="D13122" t="s">
        <v>282</v>
      </c>
      <c r="F13122" t="s">
        <v>282</v>
      </c>
      <c r="K13122" s="18">
        <f>6281294117911</f>
        <v>6281294117911</v>
      </c>
      <c r="N13122" s="17" t="s">
        <v>77</v>
      </c>
      <c r="V13122" s="18">
        <f>6281294117911</f>
        <v>6281294117911</v>
      </c>
    </row>
    <row r="13123" ht="15" customHeight="1" spans="1:25" x14ac:dyDescent="0.25">
      <c r="A13123" s="17" t="s">
        <v>35601</v>
      </c>
      <c r="B13123" s="17" t="s">
        <v>70</v>
      </c>
      <c r="C13123" s="17" t="s">
        <v>71</v>
      </c>
      <c r="D13123" t="s">
        <v>282</v>
      </c>
      <c r="F13123" t="s">
        <v>282</v>
      </c>
      <c r="K13123" s="18">
        <f>62816999199</f>
        <v>62816999199</v>
      </c>
      <c r="N13123" s="17" t="s">
        <v>74</v>
      </c>
      <c r="U13123" s="17"/>
      <c r="V13123" s="18">
        <f>62816999199</f>
        <v>62816999199</v>
      </c>
      <c r="W13123" t="s">
        <v>35602</v>
      </c>
      <c r="Y13123" s="17" t="s">
        <v>90</v>
      </c>
    </row>
    <row r="13124" ht="15" customHeight="1" spans="1:28" x14ac:dyDescent="0.25">
      <c r="A13124" s="17" t="s">
        <v>35603</v>
      </c>
      <c r="B13124" s="17" t="s">
        <v>70</v>
      </c>
      <c r="C13124" s="17" t="s">
        <v>71</v>
      </c>
      <c r="D13124" t="s">
        <v>282</v>
      </c>
      <c r="F13124" t="s">
        <v>35604</v>
      </c>
      <c r="J13124" t="s">
        <v>115</v>
      </c>
      <c r="K13124" s="18" t="s">
        <v>35605</v>
      </c>
      <c r="N13124" s="17" t="s">
        <v>77</v>
      </c>
      <c r="O13124" t="s">
        <v>1188</v>
      </c>
      <c r="V13124" s="18" t="s">
        <v>35605</v>
      </c>
      <c r="Y13124" t="s">
        <v>190</v>
      </c>
      <c r="AA13124" t="s">
        <v>118</v>
      </c>
      <c r="AB13124" t="s">
        <v>119</v>
      </c>
    </row>
    <row r="13125" ht="15" customHeight="1" spans="1:22" x14ac:dyDescent="0.25">
      <c r="A13125" s="17" t="s">
        <v>35606</v>
      </c>
      <c r="B13125" s="17" t="s">
        <v>70</v>
      </c>
      <c r="C13125" s="17" t="s">
        <v>71</v>
      </c>
      <c r="D13125" t="s">
        <v>35607</v>
      </c>
      <c r="F13125" t="s">
        <v>35607</v>
      </c>
      <c r="K13125" s="18">
        <f>6281271818006</f>
        <v>6281271818006</v>
      </c>
      <c r="N13125" s="17" t="s">
        <v>77</v>
      </c>
      <c r="V13125" s="18">
        <f>6281271818006</f>
        <v>6281271818006</v>
      </c>
    </row>
    <row r="13126" ht="15" customHeight="1" spans="1:22" x14ac:dyDescent="0.25">
      <c r="A13126" s="17" t="s">
        <v>35608</v>
      </c>
      <c r="B13126" s="17" t="s">
        <v>70</v>
      </c>
      <c r="C13126" s="17" t="s">
        <v>71</v>
      </c>
      <c r="D13126" t="s">
        <v>35607</v>
      </c>
      <c r="F13126" t="s">
        <v>35607</v>
      </c>
      <c r="K13126" s="18">
        <f>6281287445097</f>
        <v>6281287445097</v>
      </c>
      <c r="N13126" s="17" t="s">
        <v>77</v>
      </c>
      <c r="V13126" s="18">
        <f>6281287445097</f>
        <v>6281287445097</v>
      </c>
    </row>
    <row r="13127" ht="15" customHeight="1" spans="1:23" x14ac:dyDescent="0.25">
      <c r="A13127" s="17" t="s">
        <v>35609</v>
      </c>
      <c r="B13127" s="17" t="s">
        <v>70</v>
      </c>
      <c r="C13127" s="17" t="s">
        <v>71</v>
      </c>
      <c r="D13127" t="s">
        <v>35607</v>
      </c>
      <c r="F13127" t="s">
        <v>35417</v>
      </c>
      <c r="K13127" s="18">
        <f>6281905957075</f>
        <v>6281905957075</v>
      </c>
      <c r="N13127" s="17" t="s">
        <v>81</v>
      </c>
      <c r="U13127" s="17"/>
      <c r="V13127" s="18">
        <f>6281905957075</f>
        <v>6281905957075</v>
      </c>
      <c r="W13127" t="s">
        <v>35610</v>
      </c>
    </row>
    <row r="13128" ht="15" customHeight="1" spans="1:22" x14ac:dyDescent="0.25">
      <c r="A13128" s="17" t="s">
        <v>35611</v>
      </c>
      <c r="B13128" s="17" t="s">
        <v>70</v>
      </c>
      <c r="C13128" s="17" t="s">
        <v>71</v>
      </c>
      <c r="D13128" t="s">
        <v>35607</v>
      </c>
      <c r="F13128" t="s">
        <v>35612</v>
      </c>
      <c r="K13128" s="18">
        <v>8111992345</v>
      </c>
      <c r="N13128" s="17" t="s">
        <v>77</v>
      </c>
      <c r="V13128" s="18">
        <v>8111992345</v>
      </c>
    </row>
    <row r="13129" ht="15" customHeight="1" spans="1:22" x14ac:dyDescent="0.25">
      <c r="A13129" s="17" t="s">
        <v>35613</v>
      </c>
      <c r="B13129" s="17" t="s">
        <v>70</v>
      </c>
      <c r="C13129" s="17" t="s">
        <v>71</v>
      </c>
      <c r="D13129" t="s">
        <v>35607</v>
      </c>
      <c r="F13129" t="s">
        <v>26439</v>
      </c>
      <c r="K13129" s="18">
        <f>628113999572</f>
        <v>628113999572</v>
      </c>
      <c r="N13129" s="17" t="s">
        <v>77</v>
      </c>
      <c r="V13129" s="18">
        <f>628113999572</f>
        <v>628113999572</v>
      </c>
    </row>
    <row r="13130" ht="15" customHeight="1" spans="1:28" x14ac:dyDescent="0.25">
      <c r="A13130" s="17" t="s">
        <v>35614</v>
      </c>
      <c r="B13130" s="17" t="s">
        <v>70</v>
      </c>
      <c r="C13130" s="17" t="s">
        <v>71</v>
      </c>
      <c r="D13130" t="s">
        <v>35607</v>
      </c>
      <c r="F13130" t="s">
        <v>12705</v>
      </c>
      <c r="J13130" s="17" t="s">
        <v>35615</v>
      </c>
      <c r="K13130" s="18" t="s">
        <v>35616</v>
      </c>
      <c r="N13130" s="17" t="s">
        <v>81</v>
      </c>
      <c r="O13130" t="s">
        <v>145</v>
      </c>
      <c r="U13130" s="17"/>
      <c r="V13130" s="18" t="s">
        <v>35616</v>
      </c>
      <c r="W13130" t="s">
        <v>35617</v>
      </c>
      <c r="Y13130" s="17" t="s">
        <v>90</v>
      </c>
      <c r="AA13130" t="s">
        <v>118</v>
      </c>
      <c r="AB13130" t="s">
        <v>119</v>
      </c>
    </row>
    <row r="13131" ht="15" customHeight="1" spans="1:22" x14ac:dyDescent="0.25">
      <c r="A13131" s="17" t="s">
        <v>35618</v>
      </c>
      <c r="B13131" s="17" t="s">
        <v>70</v>
      </c>
      <c r="C13131" s="17" t="s">
        <v>71</v>
      </c>
      <c r="D13131" t="s">
        <v>35619</v>
      </c>
      <c r="F13131" t="s">
        <v>35619</v>
      </c>
      <c r="K13131" s="18">
        <f>6281281956811</f>
        <v>6281281956811</v>
      </c>
      <c r="N13131" s="17" t="s">
        <v>81</v>
      </c>
      <c r="V13131" s="18">
        <f>6281281956811</f>
        <v>6281281956811</v>
      </c>
    </row>
    <row r="13132" ht="15" customHeight="1" spans="1:22" x14ac:dyDescent="0.25">
      <c r="A13132" s="17" t="s">
        <v>35620</v>
      </c>
      <c r="B13132" s="17" t="s">
        <v>70</v>
      </c>
      <c r="C13132" s="17" t="s">
        <v>71</v>
      </c>
      <c r="D13132" t="s">
        <v>35621</v>
      </c>
      <c r="F13132" t="s">
        <v>24787</v>
      </c>
      <c r="K13132" s="18">
        <f>62216590819</f>
        <v>62216590819</v>
      </c>
      <c r="N13132" s="17" t="s">
        <v>77</v>
      </c>
      <c r="V13132" s="18">
        <f>62216590819</f>
        <v>62216590819</v>
      </c>
    </row>
    <row r="13133" ht="15" customHeight="1" spans="1:22" x14ac:dyDescent="0.25">
      <c r="A13133" s="17" t="s">
        <v>35622</v>
      </c>
      <c r="B13133" s="17" t="s">
        <v>70</v>
      </c>
      <c r="C13133" s="17" t="s">
        <v>71</v>
      </c>
      <c r="D13133" t="s">
        <v>35623</v>
      </c>
      <c r="F13133" t="s">
        <v>35624</v>
      </c>
      <c r="K13133" s="18">
        <f>79313143978</f>
        <v>79313143978</v>
      </c>
      <c r="N13133" s="17" t="s">
        <v>81</v>
      </c>
      <c r="V13133" s="18">
        <f>79313143978</f>
        <v>79313143978</v>
      </c>
    </row>
    <row r="13134" ht="15" customHeight="1" spans="1:22" x14ac:dyDescent="0.25">
      <c r="A13134" s="17" t="s">
        <v>35625</v>
      </c>
      <c r="B13134" s="17" t="s">
        <v>70</v>
      </c>
      <c r="C13134" s="17" t="s">
        <v>71</v>
      </c>
      <c r="D13134" t="s">
        <v>35626</v>
      </c>
      <c r="F13134" t="s">
        <v>35626</v>
      </c>
      <c r="K13134" s="18">
        <f>628161859085</f>
        <v>628161859085</v>
      </c>
      <c r="N13134" s="17" t="s">
        <v>77</v>
      </c>
      <c r="V13134" s="18">
        <f>628161859085</f>
        <v>628161859085</v>
      </c>
    </row>
    <row r="13135" ht="15" customHeight="1" spans="1:27" x14ac:dyDescent="0.25">
      <c r="A13135" s="17" t="s">
        <v>35627</v>
      </c>
      <c r="B13135" s="17" t="s">
        <v>70</v>
      </c>
      <c r="C13135" s="17" t="s">
        <v>71</v>
      </c>
      <c r="D13135" t="s">
        <v>35628</v>
      </c>
      <c r="F13135" t="s">
        <v>4213</v>
      </c>
      <c r="J13135" s="17" t="s">
        <v>35629</v>
      </c>
      <c r="K13135" s="18">
        <f>62818678809</f>
        <v>62818678809</v>
      </c>
      <c r="N13135" s="17" t="s">
        <v>81</v>
      </c>
      <c r="U13135" s="17"/>
      <c r="V13135" s="18">
        <f>62818678809</f>
        <v>62818678809</v>
      </c>
      <c r="W13135" t="s">
        <v>35630</v>
      </c>
      <c r="Y13135" s="17" t="s">
        <v>90</v>
      </c>
      <c r="AA13135" s="17">
        <v>12160</v>
      </c>
    </row>
    <row r="13136" ht="15" customHeight="1" spans="1:23" x14ac:dyDescent="0.25">
      <c r="A13136" s="17" t="s">
        <v>35631</v>
      </c>
      <c r="B13136" s="17" t="s">
        <v>70</v>
      </c>
      <c r="C13136" s="17" t="s">
        <v>71</v>
      </c>
      <c r="D13136" t="s">
        <v>1770</v>
      </c>
      <c r="F13136" t="s">
        <v>35632</v>
      </c>
      <c r="K13136" s="18">
        <f>6281311110551</f>
        <v>6281311110551</v>
      </c>
      <c r="N13136" s="17" t="s">
        <v>77</v>
      </c>
      <c r="U13136" s="17"/>
      <c r="V13136" s="18">
        <f>6281311110551</f>
        <v>6281311110551</v>
      </c>
      <c r="W13136" t="s">
        <v>35633</v>
      </c>
    </row>
    <row r="13137" ht="15" customHeight="1" spans="1:22" x14ac:dyDescent="0.25">
      <c r="A13137" s="17" t="s">
        <v>35634</v>
      </c>
      <c r="B13137" s="17" t="s">
        <v>70</v>
      </c>
      <c r="C13137" s="17" t="s">
        <v>71</v>
      </c>
      <c r="D13137" t="s">
        <v>35635</v>
      </c>
      <c r="F13137" t="s">
        <v>4669</v>
      </c>
      <c r="K13137" s="18">
        <f>628551030870</f>
        <v>628551030870</v>
      </c>
      <c r="N13137" s="17" t="s">
        <v>77</v>
      </c>
      <c r="V13137" s="18">
        <f>628551030870</f>
        <v>628551030870</v>
      </c>
    </row>
    <row r="13138" ht="15" customHeight="1" spans="1:22" x14ac:dyDescent="0.25">
      <c r="A13138" s="17" t="s">
        <v>35636</v>
      </c>
      <c r="B13138" s="17" t="s">
        <v>70</v>
      </c>
      <c r="C13138" s="17" t="s">
        <v>71</v>
      </c>
      <c r="D13138" t="s">
        <v>22409</v>
      </c>
      <c r="F13138" t="s">
        <v>22409</v>
      </c>
      <c r="K13138" s="18">
        <f>6282122255559</f>
        <v>6282122255559</v>
      </c>
      <c r="N13138" s="17" t="s">
        <v>81</v>
      </c>
      <c r="V13138" s="18">
        <f>6282122255559</f>
        <v>6282122255559</v>
      </c>
    </row>
    <row r="13139" ht="15" customHeight="1" spans="1:22" x14ac:dyDescent="0.25">
      <c r="A13139" s="17" t="s">
        <v>35637</v>
      </c>
      <c r="B13139" s="17" t="s">
        <v>70</v>
      </c>
      <c r="C13139" s="17" t="s">
        <v>71</v>
      </c>
      <c r="D13139" t="s">
        <v>22409</v>
      </c>
      <c r="F13139" t="s">
        <v>35638</v>
      </c>
      <c r="K13139" s="18">
        <f>250522</f>
        <v>250522</v>
      </c>
      <c r="N13139" s="17" t="s">
        <v>77</v>
      </c>
      <c r="V13139" s="18">
        <f>250522</f>
        <v>250522</v>
      </c>
    </row>
    <row r="13140" ht="15" customHeight="1" spans="1:27" x14ac:dyDescent="0.25">
      <c r="A13140" s="17" t="s">
        <v>35639</v>
      </c>
      <c r="B13140" s="17" t="s">
        <v>70</v>
      </c>
      <c r="C13140" s="17" t="s">
        <v>71</v>
      </c>
      <c r="D13140" t="s">
        <v>22409</v>
      </c>
      <c r="F13140" t="s">
        <v>35640</v>
      </c>
      <c r="J13140" s="17" t="s">
        <v>35641</v>
      </c>
      <c r="K13140" s="18">
        <f>628111362329</f>
        <v>628111362329</v>
      </c>
      <c r="N13140" s="17" t="s">
        <v>77</v>
      </c>
      <c r="U13140" s="17"/>
      <c r="V13140" s="18">
        <f>628111362329</f>
        <v>628111362329</v>
      </c>
      <c r="W13140" t="s">
        <v>35642</v>
      </c>
      <c r="AA13140" s="17">
        <v>12730</v>
      </c>
    </row>
    <row r="13141" ht="15" customHeight="1" spans="1:22" x14ac:dyDescent="0.25">
      <c r="A13141" s="17" t="s">
        <v>35643</v>
      </c>
      <c r="B13141" s="17" t="s">
        <v>70</v>
      </c>
      <c r="C13141" s="17" t="s">
        <v>71</v>
      </c>
      <c r="D13141" t="s">
        <v>25877</v>
      </c>
      <c r="F13141" t="s">
        <v>25877</v>
      </c>
      <c r="K13141" s="18">
        <f>6281212081818</f>
        <v>6281212081818</v>
      </c>
      <c r="N13141" s="17" t="s">
        <v>81</v>
      </c>
      <c r="V13141" s="18">
        <f>6281212081818</f>
        <v>6281212081818</v>
      </c>
    </row>
    <row r="13142" ht="15" customHeight="1" spans="1:22" x14ac:dyDescent="0.25">
      <c r="A13142" s="17" t="s">
        <v>35644</v>
      </c>
      <c r="B13142" s="17" t="s">
        <v>70</v>
      </c>
      <c r="C13142" s="17" t="s">
        <v>71</v>
      </c>
      <c r="D13142" t="s">
        <v>25877</v>
      </c>
      <c r="F13142" t="s">
        <v>25877</v>
      </c>
      <c r="K13142" s="18">
        <f>628111500168</f>
        <v>628111500168</v>
      </c>
      <c r="N13142" s="17" t="s">
        <v>77</v>
      </c>
      <c r="V13142" s="18">
        <f>628111500168</f>
        <v>628111500168</v>
      </c>
    </row>
    <row r="13143" ht="15" customHeight="1" spans="1:22" x14ac:dyDescent="0.25">
      <c r="A13143" s="17" t="s">
        <v>35645</v>
      </c>
      <c r="B13143" s="17" t="s">
        <v>70</v>
      </c>
      <c r="C13143" s="17" t="s">
        <v>71</v>
      </c>
      <c r="D13143" t="s">
        <v>25877</v>
      </c>
      <c r="F13143" t="s">
        <v>25877</v>
      </c>
      <c r="K13143" s="18">
        <f>62818993512</f>
        <v>62818993512</v>
      </c>
      <c r="N13143" s="17" t="s">
        <v>74</v>
      </c>
      <c r="V13143" s="18">
        <f>62818993512</f>
        <v>62818993512</v>
      </c>
    </row>
    <row r="13144" ht="15" customHeight="1" spans="1:23" x14ac:dyDescent="0.25">
      <c r="A13144" s="17" t="s">
        <v>35646</v>
      </c>
      <c r="B13144" s="17" t="s">
        <v>70</v>
      </c>
      <c r="C13144" s="17" t="s">
        <v>71</v>
      </c>
      <c r="D13144" t="s">
        <v>25877</v>
      </c>
      <c r="F13144" t="s">
        <v>25877</v>
      </c>
      <c r="K13144" s="18">
        <f>628122637844</f>
        <v>628122637844</v>
      </c>
      <c r="N13144" s="17" t="s">
        <v>77</v>
      </c>
      <c r="U13144" s="17"/>
      <c r="V13144" s="18">
        <f>628122637844</f>
        <v>628122637844</v>
      </c>
      <c r="W13144" t="s">
        <v>35647</v>
      </c>
    </row>
    <row r="13145" ht="15" customHeight="1" spans="1:23" x14ac:dyDescent="0.25">
      <c r="A13145" s="17" t="s">
        <v>35648</v>
      </c>
      <c r="B13145" s="17" t="s">
        <v>70</v>
      </c>
      <c r="C13145" s="17" t="s">
        <v>71</v>
      </c>
      <c r="D13145" t="s">
        <v>25877</v>
      </c>
      <c r="F13145" t="s">
        <v>25877</v>
      </c>
      <c r="K13145" s="18">
        <f>628111808305</f>
        <v>628111808305</v>
      </c>
      <c r="N13145" s="17" t="s">
        <v>81</v>
      </c>
      <c r="U13145" s="17"/>
      <c r="V13145" s="18">
        <f>628111808305</f>
        <v>628111808305</v>
      </c>
      <c r="W13145" t="s">
        <v>35649</v>
      </c>
    </row>
    <row r="13146" ht="15" customHeight="1" spans="1:22" x14ac:dyDescent="0.25">
      <c r="A13146" s="17" t="s">
        <v>35650</v>
      </c>
      <c r="B13146" s="17" t="s">
        <v>70</v>
      </c>
      <c r="C13146" s="17" t="s">
        <v>71</v>
      </c>
      <c r="D13146" t="s">
        <v>25877</v>
      </c>
      <c r="F13146" t="s">
        <v>25877</v>
      </c>
      <c r="K13146" s="18">
        <f>628123639378</f>
        <v>628123639378</v>
      </c>
      <c r="N13146" s="17" t="s">
        <v>77</v>
      </c>
      <c r="V13146" s="18">
        <f>628123639378</f>
        <v>628123639378</v>
      </c>
    </row>
    <row r="13147" ht="15" customHeight="1" spans="1:22" x14ac:dyDescent="0.25">
      <c r="A13147" s="17" t="s">
        <v>35651</v>
      </c>
      <c r="B13147" s="17" t="s">
        <v>70</v>
      </c>
      <c r="C13147" s="17" t="s">
        <v>71</v>
      </c>
      <c r="D13147" t="s">
        <v>25877</v>
      </c>
      <c r="F13147" t="s">
        <v>2103</v>
      </c>
      <c r="K13147" s="18">
        <f>6287883732228</f>
        <v>6287883732228</v>
      </c>
      <c r="N13147" s="17" t="s">
        <v>81</v>
      </c>
      <c r="V13147" s="18">
        <f>6287883732228</f>
        <v>6287883732228</v>
      </c>
    </row>
    <row r="13148" ht="15" customHeight="1" spans="1:22" x14ac:dyDescent="0.25">
      <c r="A13148" s="17" t="s">
        <v>35652</v>
      </c>
      <c r="B13148" s="17" t="s">
        <v>70</v>
      </c>
      <c r="C13148" s="17" t="s">
        <v>71</v>
      </c>
      <c r="D13148" t="s">
        <v>25877</v>
      </c>
      <c r="F13148" t="s">
        <v>2103</v>
      </c>
      <c r="K13148" s="18">
        <f>6281284692218</f>
        <v>6281284692218</v>
      </c>
      <c r="N13148" s="17" t="s">
        <v>74</v>
      </c>
      <c r="V13148" s="18">
        <f>6281284692218</f>
        <v>6281284692218</v>
      </c>
    </row>
    <row r="13149" ht="15" customHeight="1" spans="1:25" x14ac:dyDescent="0.25">
      <c r="A13149" s="17" t="s">
        <v>35653</v>
      </c>
      <c r="B13149" s="17" t="s">
        <v>70</v>
      </c>
      <c r="C13149" s="17" t="s">
        <v>71</v>
      </c>
      <c r="D13149" t="s">
        <v>25877</v>
      </c>
      <c r="F13149" t="s">
        <v>35654</v>
      </c>
      <c r="K13149" s="18" t="s">
        <v>35655</v>
      </c>
      <c r="N13149" s="17" t="s">
        <v>77</v>
      </c>
      <c r="U13149" s="17"/>
      <c r="V13149" s="18" t="s">
        <v>35655</v>
      </c>
      <c r="W13149" t="s">
        <v>35656</v>
      </c>
      <c r="Y13149" s="17" t="s">
        <v>622</v>
      </c>
    </row>
    <row r="13150" ht="15" customHeight="1" spans="1:28" x14ac:dyDescent="0.25">
      <c r="A13150" s="17" t="s">
        <v>35657</v>
      </c>
      <c r="B13150" s="17" t="s">
        <v>70</v>
      </c>
      <c r="C13150" s="17" t="s">
        <v>71</v>
      </c>
      <c r="D13150" t="s">
        <v>25877</v>
      </c>
      <c r="F13150" t="s">
        <v>35658</v>
      </c>
      <c r="J13150" t="s">
        <v>35659</v>
      </c>
      <c r="K13150" s="18" t="s">
        <v>35660</v>
      </c>
      <c r="N13150" s="17" t="s">
        <v>77</v>
      </c>
      <c r="O13150" t="s">
        <v>199</v>
      </c>
      <c r="U13150" s="17"/>
      <c r="V13150" s="18" t="s">
        <v>35660</v>
      </c>
      <c r="W13150" t="s">
        <v>35661</v>
      </c>
      <c r="Y13150" s="17" t="s">
        <v>90</v>
      </c>
      <c r="AA13150" t="s">
        <v>118</v>
      </c>
      <c r="AB13150" t="s">
        <v>119</v>
      </c>
    </row>
    <row r="13151" ht="15" customHeight="1" spans="1:23" x14ac:dyDescent="0.25">
      <c r="A13151" s="17" t="s">
        <v>35662</v>
      </c>
      <c r="B13151" s="17" t="s">
        <v>70</v>
      </c>
      <c r="C13151" s="17" t="s">
        <v>71</v>
      </c>
      <c r="D13151" t="s">
        <v>25877</v>
      </c>
      <c r="F13151" t="s">
        <v>35663</v>
      </c>
      <c r="K13151" s="18">
        <f>62811884506</f>
        <v>62811884506</v>
      </c>
      <c r="N13151" s="17" t="s">
        <v>77</v>
      </c>
      <c r="U13151" s="17"/>
      <c r="V13151" s="18">
        <f>62811884506</f>
        <v>62811884506</v>
      </c>
      <c r="W13151" t="s">
        <v>35664</v>
      </c>
    </row>
    <row r="13152" ht="15" customHeight="1" spans="1:28" x14ac:dyDescent="0.25">
      <c r="A13152" s="17" t="s">
        <v>35665</v>
      </c>
      <c r="B13152" s="17" t="s">
        <v>70</v>
      </c>
      <c r="C13152" s="17" t="s">
        <v>71</v>
      </c>
      <c r="D13152" t="s">
        <v>25877</v>
      </c>
      <c r="F13152" t="s">
        <v>3086</v>
      </c>
      <c r="J13152" t="s">
        <v>115</v>
      </c>
      <c r="K13152" s="18" t="s">
        <v>35666</v>
      </c>
      <c r="N13152" s="17" t="s">
        <v>77</v>
      </c>
      <c r="O13152" t="s">
        <v>117</v>
      </c>
      <c r="V13152" s="18" t="s">
        <v>35666</v>
      </c>
      <c r="Y13152" t="s">
        <v>90</v>
      </c>
      <c r="AA13152" t="s">
        <v>118</v>
      </c>
      <c r="AB13152" t="s">
        <v>119</v>
      </c>
    </row>
    <row r="13153" ht="15" customHeight="1" spans="1:28" x14ac:dyDescent="0.25">
      <c r="A13153" s="17" t="s">
        <v>35667</v>
      </c>
      <c r="B13153" s="17" t="s">
        <v>70</v>
      </c>
      <c r="C13153" s="17" t="s">
        <v>71</v>
      </c>
      <c r="D13153" t="s">
        <v>25877</v>
      </c>
      <c r="F13153" t="s">
        <v>35668</v>
      </c>
      <c r="J13153" s="17" t="s">
        <v>35669</v>
      </c>
      <c r="K13153" s="18" t="s">
        <v>35670</v>
      </c>
      <c r="N13153" s="17" t="s">
        <v>77</v>
      </c>
      <c r="O13153" t="s">
        <v>489</v>
      </c>
      <c r="U13153" s="17"/>
      <c r="V13153" s="18" t="s">
        <v>35670</v>
      </c>
      <c r="W13153" t="s">
        <v>35671</v>
      </c>
      <c r="Y13153" t="s">
        <v>90</v>
      </c>
      <c r="AA13153" t="s">
        <v>118</v>
      </c>
      <c r="AB13153" t="s">
        <v>119</v>
      </c>
    </row>
    <row r="13154" ht="15" customHeight="1" spans="1:25" x14ac:dyDescent="0.25">
      <c r="A13154" s="17" t="s">
        <v>35672</v>
      </c>
      <c r="B13154" s="17" t="s">
        <v>70</v>
      </c>
      <c r="C13154" s="17" t="s">
        <v>71</v>
      </c>
      <c r="D13154" t="s">
        <v>25877</v>
      </c>
      <c r="F13154" t="s">
        <v>35673</v>
      </c>
      <c r="K13154" s="18">
        <f>6281930999995</f>
        <v>6281930999995</v>
      </c>
      <c r="N13154" s="17" t="s">
        <v>81</v>
      </c>
      <c r="V13154" s="18">
        <f>6281930999995</f>
        <v>6281930999995</v>
      </c>
      <c r="Y13154" s="17" t="s">
        <v>35674</v>
      </c>
    </row>
    <row r="13155" ht="15" customHeight="1" spans="1:25" x14ac:dyDescent="0.25">
      <c r="A13155" s="17" t="s">
        <v>35675</v>
      </c>
      <c r="B13155" s="17" t="s">
        <v>70</v>
      </c>
      <c r="C13155" s="17" t="s">
        <v>71</v>
      </c>
      <c r="D13155" t="s">
        <v>25877</v>
      </c>
      <c r="F13155" t="s">
        <v>35676</v>
      </c>
      <c r="K13155" s="18">
        <f>6281807784499</f>
        <v>6281807784499</v>
      </c>
      <c r="N13155" s="17" t="s">
        <v>81</v>
      </c>
      <c r="U13155" s="17"/>
      <c r="V13155" s="18">
        <f>6281807784499</f>
        <v>6281807784499</v>
      </c>
      <c r="W13155" t="s">
        <v>6485</v>
      </c>
      <c r="Y13155" s="17" t="s">
        <v>96</v>
      </c>
    </row>
    <row r="13156" ht="15" customHeight="1" spans="1:28" x14ac:dyDescent="0.25">
      <c r="A13156" s="17" t="s">
        <v>35677</v>
      </c>
      <c r="B13156" s="17" t="s">
        <v>70</v>
      </c>
      <c r="C13156" s="17" t="s">
        <v>71</v>
      </c>
      <c r="D13156" t="s">
        <v>35678</v>
      </c>
      <c r="F13156" t="s">
        <v>35679</v>
      </c>
      <c r="J13156" t="s">
        <v>115</v>
      </c>
      <c r="K13156" s="18" t="s">
        <v>35680</v>
      </c>
      <c r="N13156" s="17" t="s">
        <v>77</v>
      </c>
      <c r="O13156" t="s">
        <v>199</v>
      </c>
      <c r="V13156" s="18" t="s">
        <v>35680</v>
      </c>
      <c r="Y13156" t="s">
        <v>500</v>
      </c>
      <c r="AA13156" t="s">
        <v>501</v>
      </c>
      <c r="AB13156" t="s">
        <v>119</v>
      </c>
    </row>
    <row r="13157" ht="15" customHeight="1" spans="1:28" x14ac:dyDescent="0.25">
      <c r="A13157" s="17" t="s">
        <v>35681</v>
      </c>
      <c r="B13157" s="17" t="s">
        <v>70</v>
      </c>
      <c r="C13157" s="17" t="s">
        <v>71</v>
      </c>
      <c r="D13157" t="s">
        <v>35682</v>
      </c>
      <c r="F13157" t="s">
        <v>33012</v>
      </c>
      <c r="J13157" t="s">
        <v>115</v>
      </c>
      <c r="K13157" s="18" t="s">
        <v>35683</v>
      </c>
      <c r="N13157" s="17" t="s">
        <v>81</v>
      </c>
      <c r="O13157" t="s">
        <v>145</v>
      </c>
      <c r="U13157" s="17"/>
      <c r="V13157" s="18" t="s">
        <v>35683</v>
      </c>
      <c r="W13157" t="s">
        <v>35684</v>
      </c>
      <c r="Y13157" t="s">
        <v>217</v>
      </c>
      <c r="AA13157" t="s">
        <v>218</v>
      </c>
      <c r="AB13157" t="s">
        <v>119</v>
      </c>
    </row>
    <row r="13158" ht="15" customHeight="1" spans="1:22" x14ac:dyDescent="0.25">
      <c r="A13158" s="17" t="s">
        <v>35685</v>
      </c>
      <c r="B13158" s="17" t="s">
        <v>70</v>
      </c>
      <c r="C13158" s="17" t="s">
        <v>71</v>
      </c>
      <c r="D13158" t="s">
        <v>25877</v>
      </c>
      <c r="F13158" t="s">
        <v>21293</v>
      </c>
      <c r="K13158" s="18">
        <f>6282211505757</f>
        <v>6282211505757</v>
      </c>
      <c r="N13158" s="17" t="s">
        <v>81</v>
      </c>
      <c r="V13158" s="18">
        <f>6282211505757</f>
        <v>6282211505757</v>
      </c>
    </row>
    <row r="13159" ht="15" customHeight="1" spans="1:22" x14ac:dyDescent="0.25">
      <c r="A13159" s="17" t="s">
        <v>35686</v>
      </c>
      <c r="B13159" s="17" t="s">
        <v>70</v>
      </c>
      <c r="C13159" s="17" t="s">
        <v>71</v>
      </c>
      <c r="D13159" t="s">
        <v>25877</v>
      </c>
      <c r="F13159" t="s">
        <v>3869</v>
      </c>
      <c r="K13159" s="18">
        <f>62811998903</f>
        <v>62811998903</v>
      </c>
      <c r="N13159" s="17" t="s">
        <v>77</v>
      </c>
      <c r="V13159" s="18">
        <f>62811998903</f>
        <v>62811998903</v>
      </c>
    </row>
    <row r="13160" ht="15" customHeight="1" spans="1:28" x14ac:dyDescent="0.25">
      <c r="A13160" s="17" t="s">
        <v>35687</v>
      </c>
      <c r="B13160" s="17" t="s">
        <v>70</v>
      </c>
      <c r="C13160" s="17" t="s">
        <v>71</v>
      </c>
      <c r="D13160" t="s">
        <v>22409</v>
      </c>
      <c r="F13160" t="s">
        <v>35688</v>
      </c>
      <c r="J13160" t="s">
        <v>115</v>
      </c>
      <c r="K13160" s="18" t="s">
        <v>35689</v>
      </c>
      <c r="N13160" s="17" t="s">
        <v>77</v>
      </c>
      <c r="O13160" t="s">
        <v>199</v>
      </c>
      <c r="U13160" s="17"/>
      <c r="V13160" s="18" t="s">
        <v>35689</v>
      </c>
      <c r="W13160" t="s">
        <v>35690</v>
      </c>
      <c r="Y13160" s="17" t="s">
        <v>190</v>
      </c>
      <c r="AA13160" t="s">
        <v>118</v>
      </c>
      <c r="AB13160" t="s">
        <v>119</v>
      </c>
    </row>
    <row r="13161" ht="15" customHeight="1" spans="1:25" x14ac:dyDescent="0.25">
      <c r="A13161" s="17" t="s">
        <v>35691</v>
      </c>
      <c r="B13161" s="17" t="s">
        <v>70</v>
      </c>
      <c r="C13161" s="17" t="s">
        <v>71</v>
      </c>
      <c r="D13161" t="s">
        <v>25877</v>
      </c>
      <c r="F13161" t="s">
        <v>35692</v>
      </c>
      <c r="K13161" s="18">
        <f>628111113046</f>
        <v>628111113046</v>
      </c>
      <c r="N13161" s="17" t="s">
        <v>74</v>
      </c>
      <c r="U13161" s="17"/>
      <c r="V13161" s="18">
        <f>628111113046</f>
        <v>628111113046</v>
      </c>
      <c r="W13161" t="s">
        <v>35693</v>
      </c>
      <c r="Y13161" s="17" t="s">
        <v>97</v>
      </c>
    </row>
    <row r="13162" ht="15" customHeight="1" spans="1:28" x14ac:dyDescent="0.25">
      <c r="A13162" s="17" t="s">
        <v>35694</v>
      </c>
      <c r="B13162" s="17" t="s">
        <v>70</v>
      </c>
      <c r="C13162" s="17" t="s">
        <v>71</v>
      </c>
      <c r="D13162" t="s">
        <v>25877</v>
      </c>
      <c r="F13162" t="s">
        <v>35695</v>
      </c>
      <c r="J13162" s="17" t="s">
        <v>35696</v>
      </c>
      <c r="K13162" s="18" t="s">
        <v>35697</v>
      </c>
      <c r="N13162" s="17" t="s">
        <v>77</v>
      </c>
      <c r="O13162" t="s">
        <v>145</v>
      </c>
      <c r="U13162" s="17"/>
      <c r="V13162" s="18" t="s">
        <v>35697</v>
      </c>
      <c r="W13162" t="s">
        <v>35698</v>
      </c>
      <c r="Y13162" s="17" t="s">
        <v>500</v>
      </c>
      <c r="AA13162" s="17" t="s">
        <v>501</v>
      </c>
      <c r="AB13162" t="s">
        <v>119</v>
      </c>
    </row>
    <row r="13163" ht="15" customHeight="1" spans="1:22" x14ac:dyDescent="0.25">
      <c r="A13163" s="17" t="s">
        <v>35699</v>
      </c>
      <c r="B13163" s="17" t="s">
        <v>70</v>
      </c>
      <c r="C13163" s="17" t="s">
        <v>71</v>
      </c>
      <c r="D13163" t="s">
        <v>25877</v>
      </c>
      <c r="F13163" t="s">
        <v>35700</v>
      </c>
      <c r="K13163" s="18">
        <f>6287889901164</f>
        <v>6287889901164</v>
      </c>
      <c r="N13163" s="17" t="s">
        <v>77</v>
      </c>
      <c r="V13163" s="18">
        <f>6287889901164</f>
        <v>6287889901164</v>
      </c>
    </row>
    <row r="13164" ht="15" customHeight="1" spans="1:23" x14ac:dyDescent="0.25">
      <c r="A13164" s="17" t="s">
        <v>35701</v>
      </c>
      <c r="B13164" s="17" t="s">
        <v>70</v>
      </c>
      <c r="C13164" s="17" t="s">
        <v>71</v>
      </c>
      <c r="D13164" t="s">
        <v>25877</v>
      </c>
      <c r="F13164" t="s">
        <v>35702</v>
      </c>
      <c r="K13164" s="18">
        <f>628131006463</f>
        <v>628131006463</v>
      </c>
      <c r="N13164" s="17" t="s">
        <v>77</v>
      </c>
      <c r="U13164" s="17"/>
      <c r="V13164" s="18">
        <f>628131006463</f>
        <v>628131006463</v>
      </c>
      <c r="W13164" t="s">
        <v>90</v>
      </c>
    </row>
    <row r="13165" ht="15" customHeight="1" spans="1:28" x14ac:dyDescent="0.25">
      <c r="A13165" s="17" t="s">
        <v>35703</v>
      </c>
      <c r="B13165" s="17" t="s">
        <v>70</v>
      </c>
      <c r="C13165" s="17" t="s">
        <v>71</v>
      </c>
      <c r="D13165" t="s">
        <v>25877</v>
      </c>
      <c r="F13165" t="s">
        <v>3432</v>
      </c>
      <c r="J13165" t="s">
        <v>115</v>
      </c>
      <c r="K13165" s="18" t="s">
        <v>35704</v>
      </c>
      <c r="N13165" s="17" t="s">
        <v>81</v>
      </c>
      <c r="O13165" t="s">
        <v>117</v>
      </c>
      <c r="V13165" s="18" t="s">
        <v>35704</v>
      </c>
      <c r="Y13165" t="s">
        <v>90</v>
      </c>
      <c r="AA13165" t="s">
        <v>118</v>
      </c>
      <c r="AB13165" t="s">
        <v>119</v>
      </c>
    </row>
    <row r="13166" ht="15" customHeight="1" spans="1:27" x14ac:dyDescent="0.25">
      <c r="A13166" s="17" t="s">
        <v>35705</v>
      </c>
      <c r="B13166" s="17" t="s">
        <v>70</v>
      </c>
      <c r="C13166" s="17" t="s">
        <v>71</v>
      </c>
      <c r="D13166" t="s">
        <v>25877</v>
      </c>
      <c r="F13166" t="s">
        <v>11494</v>
      </c>
      <c r="K13166" s="18">
        <f>62811988111</f>
        <v>62811988111</v>
      </c>
      <c r="N13166" s="17" t="s">
        <v>77</v>
      </c>
      <c r="U13166" s="17"/>
      <c r="V13166" s="18">
        <f>62811988111</f>
        <v>62811988111</v>
      </c>
      <c r="W13166" t="s">
        <v>35706</v>
      </c>
      <c r="Y13166" s="17" t="s">
        <v>1084</v>
      </c>
      <c r="AA13166" s="17">
        <v>14450</v>
      </c>
    </row>
    <row r="13167" ht="15" customHeight="1" spans="1:22" x14ac:dyDescent="0.25">
      <c r="A13167" s="17" t="s">
        <v>35707</v>
      </c>
      <c r="B13167" s="17" t="s">
        <v>70</v>
      </c>
      <c r="C13167" s="17" t="s">
        <v>71</v>
      </c>
      <c r="D13167" t="s">
        <v>25877</v>
      </c>
      <c r="F13167" t="s">
        <v>35708</v>
      </c>
      <c r="K13167" s="18">
        <f>628111016999</f>
        <v>628111016999</v>
      </c>
      <c r="N13167" s="17" t="s">
        <v>81</v>
      </c>
      <c r="V13167" s="18">
        <f>628111016999</f>
        <v>628111016999</v>
      </c>
    </row>
    <row r="13168" ht="15" customHeight="1" spans="1:22" x14ac:dyDescent="0.25">
      <c r="A13168" s="17" t="s">
        <v>35709</v>
      </c>
      <c r="B13168" s="17" t="s">
        <v>70</v>
      </c>
      <c r="C13168" s="17" t="s">
        <v>71</v>
      </c>
      <c r="D13168" t="s">
        <v>35710</v>
      </c>
      <c r="F13168" t="s">
        <v>35711</v>
      </c>
      <c r="K13168" s="18">
        <f>628158884501</f>
        <v>628158884501</v>
      </c>
      <c r="N13168" s="17" t="s">
        <v>77</v>
      </c>
      <c r="V13168" s="18">
        <f>628158884501</f>
        <v>628158884501</v>
      </c>
    </row>
    <row r="13169" ht="15" customHeight="1" spans="1:22" x14ac:dyDescent="0.25">
      <c r="A13169" s="17" t="s">
        <v>35712</v>
      </c>
      <c r="B13169" s="17" t="s">
        <v>70</v>
      </c>
      <c r="C13169" s="17" t="s">
        <v>71</v>
      </c>
      <c r="D13169" t="s">
        <v>5602</v>
      </c>
      <c r="F13169" t="s">
        <v>1564</v>
      </c>
      <c r="K13169" s="18">
        <f>62811961770</f>
        <v>62811961770</v>
      </c>
      <c r="N13169" s="17" t="s">
        <v>81</v>
      </c>
      <c r="V13169" s="18">
        <f>62811961770</f>
        <v>62811961770</v>
      </c>
    </row>
    <row r="13170" ht="15" customHeight="1" spans="1:28" x14ac:dyDescent="0.25">
      <c r="A13170" s="17" t="s">
        <v>35713</v>
      </c>
      <c r="B13170" s="17" t="s">
        <v>70</v>
      </c>
      <c r="C13170" s="17" t="s">
        <v>71</v>
      </c>
      <c r="D13170" t="s">
        <v>35714</v>
      </c>
      <c r="F13170" t="s">
        <v>35714</v>
      </c>
      <c r="J13170" t="s">
        <v>115</v>
      </c>
      <c r="K13170" s="18" t="s">
        <v>35715</v>
      </c>
      <c r="N13170" s="17" t="s">
        <v>77</v>
      </c>
      <c r="O13170" t="s">
        <v>261</v>
      </c>
      <c r="V13170" s="18" t="s">
        <v>35715</v>
      </c>
      <c r="Y13170" t="s">
        <v>90</v>
      </c>
      <c r="AA13170" t="s">
        <v>118</v>
      </c>
      <c r="AB13170" t="s">
        <v>119</v>
      </c>
    </row>
    <row r="13171" ht="15" customHeight="1" spans="1:27" x14ac:dyDescent="0.25">
      <c r="A13171" s="17" t="s">
        <v>35716</v>
      </c>
      <c r="B13171" s="17" t="s">
        <v>70</v>
      </c>
      <c r="C13171" s="17" t="s">
        <v>71</v>
      </c>
      <c r="D13171" t="s">
        <v>35717</v>
      </c>
      <c r="F13171" t="s">
        <v>4401</v>
      </c>
      <c r="K13171" s="18">
        <v>7258219</v>
      </c>
      <c r="N13171" s="17" t="s">
        <v>74</v>
      </c>
      <c r="U13171" s="17"/>
      <c r="V13171" s="18">
        <v>7258219</v>
      </c>
      <c r="W13171" t="s">
        <v>35718</v>
      </c>
      <c r="Y13171" s="17" t="s">
        <v>96</v>
      </c>
      <c r="AA13171" s="17" t="s">
        <v>35719</v>
      </c>
    </row>
    <row r="13172" ht="15" customHeight="1" spans="1:22" x14ac:dyDescent="0.25">
      <c r="A13172" s="17" t="s">
        <v>35720</v>
      </c>
      <c r="B13172" s="17" t="s">
        <v>70</v>
      </c>
      <c r="C13172" s="17" t="s">
        <v>71</v>
      </c>
      <c r="D13172" t="s">
        <v>2258</v>
      </c>
      <c r="F13172" t="s">
        <v>2258</v>
      </c>
      <c r="K13172" s="18">
        <f>628129966747</f>
        <v>628129966747</v>
      </c>
      <c r="N13172" s="17" t="s">
        <v>77</v>
      </c>
      <c r="V13172" s="18">
        <f>628129966747</f>
        <v>628129966747</v>
      </c>
    </row>
    <row r="13173" ht="15" customHeight="1" spans="1:22" x14ac:dyDescent="0.25">
      <c r="A13173" s="17" t="s">
        <v>35721</v>
      </c>
      <c r="B13173" s="17" t="s">
        <v>70</v>
      </c>
      <c r="C13173" s="17" t="s">
        <v>71</v>
      </c>
      <c r="D13173" t="s">
        <v>2258</v>
      </c>
      <c r="F13173" t="s">
        <v>2258</v>
      </c>
      <c r="K13173" s="18">
        <f>6282111000358</f>
        <v>6282111000358</v>
      </c>
      <c r="N13173" s="17" t="s">
        <v>81</v>
      </c>
      <c r="V13173" s="18">
        <f>6282111000358</f>
        <v>6282111000358</v>
      </c>
    </row>
    <row r="13174" ht="15" customHeight="1" spans="1:22" x14ac:dyDescent="0.25">
      <c r="A13174" s="17" t="s">
        <v>35722</v>
      </c>
      <c r="B13174" s="17" t="s">
        <v>70</v>
      </c>
      <c r="C13174" s="17" t="s">
        <v>71</v>
      </c>
      <c r="D13174" t="s">
        <v>2258</v>
      </c>
      <c r="F13174" t="s">
        <v>35723</v>
      </c>
      <c r="K13174" s="18">
        <f>62816894465</f>
        <v>62816894465</v>
      </c>
      <c r="N13174" s="17" t="s">
        <v>74</v>
      </c>
      <c r="V13174" s="18">
        <f>62816894465</f>
        <v>62816894465</v>
      </c>
    </row>
    <row r="13175" ht="15" customHeight="1" spans="1:28" x14ac:dyDescent="0.25">
      <c r="A13175" s="17" t="s">
        <v>35724</v>
      </c>
      <c r="B13175" s="17" t="s">
        <v>70</v>
      </c>
      <c r="C13175" s="17" t="s">
        <v>71</v>
      </c>
      <c r="D13175" t="s">
        <v>2258</v>
      </c>
      <c r="F13175" t="s">
        <v>35725</v>
      </c>
      <c r="J13175" t="s">
        <v>115</v>
      </c>
      <c r="K13175" s="18" t="s">
        <v>35726</v>
      </c>
      <c r="N13175" s="17" t="s">
        <v>77</v>
      </c>
      <c r="O13175" t="s">
        <v>489</v>
      </c>
      <c r="V13175" s="18" t="s">
        <v>35726</v>
      </c>
      <c r="Y13175" t="s">
        <v>190</v>
      </c>
      <c r="AA13175" t="s">
        <v>118</v>
      </c>
      <c r="AB13175" t="s">
        <v>119</v>
      </c>
    </row>
    <row r="13176" ht="15" customHeight="1" spans="1:22" x14ac:dyDescent="0.25">
      <c r="A13176" s="17" t="s">
        <v>35727</v>
      </c>
      <c r="B13176" s="17" t="s">
        <v>70</v>
      </c>
      <c r="C13176" s="17" t="s">
        <v>71</v>
      </c>
      <c r="D13176" t="s">
        <v>2258</v>
      </c>
      <c r="F13176" t="s">
        <v>35728</v>
      </c>
      <c r="K13176" s="18">
        <f>62816881528</f>
        <v>62816881528</v>
      </c>
      <c r="N13176" s="17" t="s">
        <v>77</v>
      </c>
      <c r="V13176" s="18">
        <f>62816881528</f>
        <v>62816881528</v>
      </c>
    </row>
    <row r="13177" ht="15" customHeight="1" spans="1:22" x14ac:dyDescent="0.25">
      <c r="A13177" s="17" t="s">
        <v>35729</v>
      </c>
      <c r="B13177" s="17" t="s">
        <v>70</v>
      </c>
      <c r="C13177" s="17" t="s">
        <v>71</v>
      </c>
      <c r="D13177" t="s">
        <v>2258</v>
      </c>
      <c r="F13177" t="s">
        <v>1982</v>
      </c>
      <c r="K13177" s="18">
        <f>62818817871</f>
        <v>62818817871</v>
      </c>
      <c r="N13177" s="17" t="s">
        <v>77</v>
      </c>
      <c r="V13177" s="18">
        <f>62818817871</f>
        <v>62818817871</v>
      </c>
    </row>
    <row r="13178" ht="15" customHeight="1" spans="1:23" x14ac:dyDescent="0.25">
      <c r="A13178" s="17" t="s">
        <v>35730</v>
      </c>
      <c r="B13178" s="17" t="s">
        <v>70</v>
      </c>
      <c r="C13178" s="17" t="s">
        <v>71</v>
      </c>
      <c r="D13178" t="s">
        <v>2258</v>
      </c>
      <c r="F13178" t="s">
        <v>3775</v>
      </c>
      <c r="K13178" s="18">
        <f>628111874643</f>
        <v>628111874643</v>
      </c>
      <c r="N13178" s="17" t="s">
        <v>77</v>
      </c>
      <c r="U13178" s="17"/>
      <c r="V13178" s="18">
        <f>628111874643</f>
        <v>628111874643</v>
      </c>
      <c r="W13178" t="s">
        <v>35731</v>
      </c>
    </row>
    <row r="13179" ht="15" customHeight="1" spans="1:22" x14ac:dyDescent="0.25">
      <c r="A13179" s="17" t="s">
        <v>35732</v>
      </c>
      <c r="B13179" s="17" t="s">
        <v>70</v>
      </c>
      <c r="C13179" s="17" t="s">
        <v>71</v>
      </c>
      <c r="D13179" t="s">
        <v>2258</v>
      </c>
      <c r="F13179" t="s">
        <v>35733</v>
      </c>
      <c r="K13179" s="18">
        <f>628128016173</f>
        <v>628128016173</v>
      </c>
      <c r="N13179" s="17" t="s">
        <v>81</v>
      </c>
      <c r="V13179" s="18">
        <f>628128016173</f>
        <v>628128016173</v>
      </c>
    </row>
    <row r="13180" ht="15" customHeight="1" spans="1:22" x14ac:dyDescent="0.25">
      <c r="A13180" s="17" t="s">
        <v>35734</v>
      </c>
      <c r="B13180" s="17" t="s">
        <v>70</v>
      </c>
      <c r="C13180" s="17" t="s">
        <v>71</v>
      </c>
      <c r="D13180" t="s">
        <v>2258</v>
      </c>
      <c r="F13180" t="s">
        <v>35735</v>
      </c>
      <c r="K13180" s="18">
        <f>6281383379789</f>
        <v>6281383379789</v>
      </c>
      <c r="N13180" s="17" t="s">
        <v>81</v>
      </c>
      <c r="V13180" s="18">
        <f>6281383379789</f>
        <v>6281383379789</v>
      </c>
    </row>
    <row r="13181" ht="15" customHeight="1" spans="1:23" x14ac:dyDescent="0.25">
      <c r="A13181" s="17" t="s">
        <v>35736</v>
      </c>
      <c r="B13181" s="17" t="s">
        <v>70</v>
      </c>
      <c r="C13181" s="17" t="s">
        <v>71</v>
      </c>
      <c r="D13181" t="s">
        <v>2258</v>
      </c>
      <c r="F13181" t="s">
        <v>35737</v>
      </c>
      <c r="K13181" s="18">
        <f>628159000333</f>
        <v>628159000333</v>
      </c>
      <c r="N13181" s="17" t="s">
        <v>81</v>
      </c>
      <c r="U13181" s="17"/>
      <c r="V13181" s="18">
        <f>628159000333</f>
        <v>628159000333</v>
      </c>
      <c r="W13181" t="s">
        <v>35738</v>
      </c>
    </row>
    <row r="13182" ht="15" customHeight="1" spans="1:28" x14ac:dyDescent="0.25">
      <c r="A13182" s="17" t="s">
        <v>35739</v>
      </c>
      <c r="B13182" s="17" t="s">
        <v>70</v>
      </c>
      <c r="C13182" s="17" t="s">
        <v>71</v>
      </c>
      <c r="D13182" t="s">
        <v>2258</v>
      </c>
      <c r="F13182" t="s">
        <v>35740</v>
      </c>
      <c r="J13182" s="17" t="s">
        <v>35741</v>
      </c>
      <c r="K13182" s="18" t="s">
        <v>35742</v>
      </c>
      <c r="N13182" s="17" t="s">
        <v>74</v>
      </c>
      <c r="O13182" t="s">
        <v>145</v>
      </c>
      <c r="U13182" s="17"/>
      <c r="V13182" s="18" t="s">
        <v>35742</v>
      </c>
      <c r="W13182" t="s">
        <v>35743</v>
      </c>
      <c r="Y13182" s="17" t="s">
        <v>90</v>
      </c>
      <c r="AA13182" s="17" t="s">
        <v>118</v>
      </c>
      <c r="AB13182" t="s">
        <v>119</v>
      </c>
    </row>
    <row r="13183" ht="15" customHeight="1" spans="1:28" x14ac:dyDescent="0.25">
      <c r="A13183" s="17" t="s">
        <v>35744</v>
      </c>
      <c r="B13183" s="17" t="s">
        <v>70</v>
      </c>
      <c r="C13183" s="17" t="s">
        <v>71</v>
      </c>
      <c r="D13183" t="s">
        <v>35745</v>
      </c>
      <c r="F13183" t="s">
        <v>6671</v>
      </c>
      <c r="J13183" s="17" t="s">
        <v>35746</v>
      </c>
      <c r="K13183" s="18" t="s">
        <v>35747</v>
      </c>
      <c r="N13183" s="17" t="s">
        <v>77</v>
      </c>
      <c r="O13183" t="s">
        <v>117</v>
      </c>
      <c r="V13183" s="18" t="s">
        <v>35747</v>
      </c>
      <c r="Y13183" s="17" t="s">
        <v>90</v>
      </c>
      <c r="AA13183" t="s">
        <v>118</v>
      </c>
      <c r="AB13183" t="s">
        <v>119</v>
      </c>
    </row>
    <row r="13184" ht="15" customHeight="1" spans="1:22" x14ac:dyDescent="0.25">
      <c r="A13184" s="17" t="s">
        <v>35748</v>
      </c>
      <c r="B13184" s="17" t="s">
        <v>70</v>
      </c>
      <c r="C13184" s="17" t="s">
        <v>71</v>
      </c>
      <c r="D13184" t="s">
        <v>2258</v>
      </c>
      <c r="F13184" t="s">
        <v>2586</v>
      </c>
      <c r="K13184" s="18">
        <f>6287854908118</f>
        <v>6287854908118</v>
      </c>
      <c r="N13184" s="17" t="s">
        <v>77</v>
      </c>
      <c r="V13184" s="18">
        <f>6287854908118</f>
        <v>6287854908118</v>
      </c>
    </row>
    <row r="13185" ht="15" customHeight="1" spans="1:22" x14ac:dyDescent="0.25">
      <c r="A13185" s="17" t="s">
        <v>35749</v>
      </c>
      <c r="B13185" s="17" t="s">
        <v>70</v>
      </c>
      <c r="C13185" s="17" t="s">
        <v>71</v>
      </c>
      <c r="D13185" t="s">
        <v>2258</v>
      </c>
      <c r="F13185" t="s">
        <v>9973</v>
      </c>
      <c r="K13185" s="18">
        <f>628785490811</f>
        <v>628785490811</v>
      </c>
      <c r="N13185" s="17" t="s">
        <v>77</v>
      </c>
      <c r="V13185" s="18">
        <f>628785490811</f>
        <v>628785490811</v>
      </c>
    </row>
    <row r="13186" ht="15" customHeight="1" spans="1:22" x14ac:dyDescent="0.25">
      <c r="A13186" s="17" t="s">
        <v>35750</v>
      </c>
      <c r="B13186" s="17" t="s">
        <v>70</v>
      </c>
      <c r="C13186" s="17" t="s">
        <v>71</v>
      </c>
      <c r="D13186" t="s">
        <v>2258</v>
      </c>
      <c r="F13186" t="s">
        <v>5402</v>
      </c>
      <c r="K13186" s="18">
        <f>62811976956</f>
        <v>62811976956</v>
      </c>
      <c r="N13186" s="17" t="s">
        <v>77</v>
      </c>
      <c r="V13186" s="18">
        <f>62811976956</f>
        <v>62811976956</v>
      </c>
    </row>
    <row r="13187" ht="15" customHeight="1" spans="1:25" x14ac:dyDescent="0.25">
      <c r="A13187" s="17" t="s">
        <v>35751</v>
      </c>
      <c r="B13187" s="17" t="s">
        <v>70</v>
      </c>
      <c r="C13187" s="17" t="s">
        <v>71</v>
      </c>
      <c r="D13187" t="s">
        <v>2258</v>
      </c>
      <c r="F13187" t="s">
        <v>35752</v>
      </c>
      <c r="J13187" s="17" t="s">
        <v>35753</v>
      </c>
      <c r="K13187" s="18">
        <f>62818416280</f>
        <v>62818416280</v>
      </c>
      <c r="N13187" s="17" t="s">
        <v>77</v>
      </c>
      <c r="U13187" s="17"/>
      <c r="V13187" s="18">
        <f>62818416280</f>
        <v>62818416280</v>
      </c>
      <c r="W13187" t="s">
        <v>35754</v>
      </c>
      <c r="Y13187" s="17" t="s">
        <v>1084</v>
      </c>
    </row>
    <row r="13188" ht="15" customHeight="1" spans="1:23" x14ac:dyDescent="0.25">
      <c r="A13188" s="17" t="s">
        <v>35755</v>
      </c>
      <c r="B13188" s="17" t="s">
        <v>70</v>
      </c>
      <c r="C13188" s="17" t="s">
        <v>71</v>
      </c>
      <c r="D13188" t="s">
        <v>2258</v>
      </c>
      <c r="F13188" t="s">
        <v>35756</v>
      </c>
      <c r="K13188" s="18">
        <f>62817382846</f>
        <v>62817382846</v>
      </c>
      <c r="N13188" s="17" t="s">
        <v>77</v>
      </c>
      <c r="U13188" s="17"/>
      <c r="V13188" s="18">
        <f>62817382846</f>
        <v>62817382846</v>
      </c>
      <c r="W13188" t="s">
        <v>35757</v>
      </c>
    </row>
    <row r="13189" ht="15" customHeight="1" spans="1:23" x14ac:dyDescent="0.25">
      <c r="A13189" s="17" t="s">
        <v>35758</v>
      </c>
      <c r="B13189" s="17" t="s">
        <v>70</v>
      </c>
      <c r="C13189" s="17" t="s">
        <v>71</v>
      </c>
      <c r="D13189" t="s">
        <v>35759</v>
      </c>
      <c r="F13189" t="s">
        <v>35759</v>
      </c>
      <c r="K13189" s="18">
        <f>6282393907864</f>
        <v>6282393907864</v>
      </c>
      <c r="N13189" s="17" t="s">
        <v>81</v>
      </c>
      <c r="U13189" s="17"/>
      <c r="V13189" s="18">
        <f>6282393907864</f>
        <v>6282393907864</v>
      </c>
      <c r="W13189" t="s">
        <v>35760</v>
      </c>
    </row>
    <row r="13190" ht="15" customHeight="1" spans="1:28" x14ac:dyDescent="0.25">
      <c r="A13190" s="17" t="s">
        <v>35761</v>
      </c>
      <c r="B13190" s="17" t="s">
        <v>70</v>
      </c>
      <c r="C13190" s="17" t="s">
        <v>71</v>
      </c>
      <c r="D13190" t="s">
        <v>35762</v>
      </c>
      <c r="F13190" t="s">
        <v>35763</v>
      </c>
      <c r="J13190" t="s">
        <v>115</v>
      </c>
      <c r="K13190" s="18" t="s">
        <v>35764</v>
      </c>
      <c r="N13190" s="17" t="s">
        <v>77</v>
      </c>
      <c r="O13190" t="s">
        <v>117</v>
      </c>
      <c r="U13190" s="17"/>
      <c r="V13190" s="18" t="s">
        <v>35764</v>
      </c>
      <c r="W13190" t="s">
        <v>35765</v>
      </c>
      <c r="Y13190" t="s">
        <v>115</v>
      </c>
      <c r="AA13190" t="s">
        <v>115</v>
      </c>
      <c r="AB13190" t="s">
        <v>119</v>
      </c>
    </row>
    <row r="13191" ht="15" customHeight="1" spans="1:22" x14ac:dyDescent="0.25">
      <c r="A13191" s="17" t="s">
        <v>35766</v>
      </c>
      <c r="B13191" s="17" t="s">
        <v>70</v>
      </c>
      <c r="C13191" s="17" t="s">
        <v>71</v>
      </c>
      <c r="D13191" t="s">
        <v>35767</v>
      </c>
      <c r="F13191" t="s">
        <v>3121</v>
      </c>
      <c r="K13191" s="18">
        <f>6281319085160</f>
        <v>6281319085160</v>
      </c>
      <c r="N13191" s="17" t="s">
        <v>77</v>
      </c>
      <c r="V13191" s="18">
        <f>6281319085160</f>
        <v>6281319085160</v>
      </c>
    </row>
    <row r="13192" ht="15" customHeight="1" spans="1:23" x14ac:dyDescent="0.25">
      <c r="A13192" s="17" t="s">
        <v>35768</v>
      </c>
      <c r="B13192" s="17" t="s">
        <v>70</v>
      </c>
      <c r="C13192" s="17" t="s">
        <v>71</v>
      </c>
      <c r="D13192" t="s">
        <v>35769</v>
      </c>
      <c r="F13192" t="s">
        <v>35769</v>
      </c>
      <c r="K13192" s="18">
        <f>79859237788</f>
        <v>79859237788</v>
      </c>
      <c r="N13192" s="17" t="s">
        <v>77</v>
      </c>
      <c r="U13192" s="17"/>
      <c r="V13192" s="18">
        <f>79859237788</f>
        <v>79859237788</v>
      </c>
      <c r="W13192" t="s">
        <v>1909</v>
      </c>
    </row>
    <row r="13193" ht="15" customHeight="1" spans="1:22" x14ac:dyDescent="0.25">
      <c r="A13193" s="17" t="s">
        <v>35770</v>
      </c>
      <c r="B13193" s="17" t="s">
        <v>70</v>
      </c>
      <c r="C13193" s="17" t="s">
        <v>71</v>
      </c>
      <c r="D13193" t="s">
        <v>35771</v>
      </c>
      <c r="F13193" t="s">
        <v>35771</v>
      </c>
      <c r="K13193" s="18">
        <f>628121170683</f>
        <v>628121170683</v>
      </c>
      <c r="N13193" s="17" t="s">
        <v>81</v>
      </c>
      <c r="V13193" s="18">
        <f>628121170683</f>
        <v>628121170683</v>
      </c>
    </row>
    <row r="13194" ht="15" customHeight="1" spans="1:28" x14ac:dyDescent="0.25">
      <c r="A13194" s="17" t="s">
        <v>35772</v>
      </c>
      <c r="B13194" s="17" t="s">
        <v>70</v>
      </c>
      <c r="C13194" s="17" t="s">
        <v>71</v>
      </c>
      <c r="D13194" t="s">
        <v>2258</v>
      </c>
      <c r="F13194" t="s">
        <v>12610</v>
      </c>
      <c r="J13194" t="s">
        <v>115</v>
      </c>
      <c r="K13194" s="18" t="s">
        <v>35773</v>
      </c>
      <c r="N13194" s="17" t="s">
        <v>81</v>
      </c>
      <c r="O13194" t="s">
        <v>117</v>
      </c>
      <c r="U13194" s="17"/>
      <c r="V13194" s="18" t="s">
        <v>35773</v>
      </c>
      <c r="W13194" t="s">
        <v>35774</v>
      </c>
      <c r="Y13194" t="s">
        <v>181</v>
      </c>
      <c r="AA13194" s="17" t="s">
        <v>1672</v>
      </c>
      <c r="AB13194" t="s">
        <v>119</v>
      </c>
    </row>
    <row r="13195" ht="15" customHeight="1" spans="1:22" x14ac:dyDescent="0.25">
      <c r="A13195" s="17" t="s">
        <v>35775</v>
      </c>
      <c r="B13195" s="17" t="s">
        <v>70</v>
      </c>
      <c r="C13195" s="17" t="s">
        <v>71</v>
      </c>
      <c r="D13195" t="s">
        <v>35776</v>
      </c>
      <c r="F13195" t="s">
        <v>4918</v>
      </c>
      <c r="J13195" s="17" t="s">
        <v>35777</v>
      </c>
      <c r="K13195" s="18">
        <f>62811879975</f>
        <v>62811879975</v>
      </c>
      <c r="N13195" s="17" t="s">
        <v>77</v>
      </c>
      <c r="V13195" s="18">
        <f>62811879975</f>
        <v>62811879975</v>
      </c>
    </row>
    <row r="13196" ht="15" customHeight="1" spans="1:22" x14ac:dyDescent="0.25">
      <c r="A13196" s="17" t="s">
        <v>35778</v>
      </c>
      <c r="B13196" s="17" t="s">
        <v>70</v>
      </c>
      <c r="C13196" s="17" t="s">
        <v>71</v>
      </c>
      <c r="D13196" t="s">
        <v>35779</v>
      </c>
      <c r="F13196" t="s">
        <v>1147</v>
      </c>
      <c r="K13196" s="18">
        <f>62817778778</f>
        <v>62817778778</v>
      </c>
      <c r="N13196" s="17" t="s">
        <v>74</v>
      </c>
      <c r="V13196" s="18">
        <f>62817778778</f>
        <v>62817778778</v>
      </c>
    </row>
    <row r="13197" ht="15" customHeight="1" spans="1:22" x14ac:dyDescent="0.25">
      <c r="A13197" s="17" t="s">
        <v>35780</v>
      </c>
      <c r="B13197" s="17" t="s">
        <v>70</v>
      </c>
      <c r="C13197" s="17" t="s">
        <v>71</v>
      </c>
      <c r="D13197" t="s">
        <v>35781</v>
      </c>
      <c r="F13197" t="s">
        <v>35782</v>
      </c>
      <c r="K13197" s="18">
        <f>201006176479</f>
        <v>201006176479</v>
      </c>
      <c r="N13197" s="17" t="s">
        <v>77</v>
      </c>
      <c r="V13197" s="18">
        <f>201006176479</f>
        <v>201006176479</v>
      </c>
    </row>
    <row r="13198" ht="15" customHeight="1" spans="1:27" x14ac:dyDescent="0.25">
      <c r="A13198" s="17" t="s">
        <v>35783</v>
      </c>
      <c r="B13198" s="17" t="s">
        <v>70</v>
      </c>
      <c r="C13198" s="17" t="s">
        <v>71</v>
      </c>
      <c r="D13198" t="s">
        <v>35784</v>
      </c>
      <c r="F13198" t="s">
        <v>35784</v>
      </c>
      <c r="K13198" s="18">
        <v>4520139</v>
      </c>
      <c r="N13198" s="17" t="s">
        <v>77</v>
      </c>
      <c r="U13198" s="17"/>
      <c r="V13198" s="18">
        <v>4520139</v>
      </c>
      <c r="W13198" t="s">
        <v>35785</v>
      </c>
      <c r="Y13198" s="17" t="s">
        <v>1084</v>
      </c>
      <c r="AA13198" s="17" t="s">
        <v>5003</v>
      </c>
    </row>
    <row r="13199" ht="15" customHeight="1" spans="1:22" x14ac:dyDescent="0.25">
      <c r="A13199" s="17" t="s">
        <v>35786</v>
      </c>
      <c r="B13199" s="17" t="s">
        <v>70</v>
      </c>
      <c r="C13199" s="17" t="s">
        <v>71</v>
      </c>
      <c r="D13199" t="s">
        <v>20814</v>
      </c>
      <c r="F13199" t="s">
        <v>3952</v>
      </c>
      <c r="K13199" s="18">
        <f>6281908303907</f>
        <v>6281908303907</v>
      </c>
      <c r="N13199" s="17" t="s">
        <v>77</v>
      </c>
      <c r="V13199" s="18">
        <f>6281908303907</f>
        <v>6281908303907</v>
      </c>
    </row>
    <row r="13200" ht="15" customHeight="1" spans="1:28" x14ac:dyDescent="0.25">
      <c r="A13200" s="17" t="s">
        <v>35787</v>
      </c>
      <c r="B13200" s="17" t="s">
        <v>70</v>
      </c>
      <c r="C13200" s="17" t="s">
        <v>71</v>
      </c>
      <c r="D13200" t="s">
        <v>35788</v>
      </c>
      <c r="F13200" t="s">
        <v>35788</v>
      </c>
      <c r="J13200" t="s">
        <v>115</v>
      </c>
      <c r="K13200" s="18" t="s">
        <v>35789</v>
      </c>
      <c r="N13200" s="17" t="s">
        <v>81</v>
      </c>
      <c r="O13200" t="s">
        <v>117</v>
      </c>
      <c r="V13200" s="18" t="s">
        <v>35789</v>
      </c>
      <c r="Y13200" t="s">
        <v>115</v>
      </c>
      <c r="AA13200" t="s">
        <v>115</v>
      </c>
      <c r="AB13200" t="s">
        <v>119</v>
      </c>
    </row>
    <row r="13201" ht="15" customHeight="1" spans="1:22" x14ac:dyDescent="0.25">
      <c r="A13201" s="17" t="s">
        <v>35790</v>
      </c>
      <c r="B13201" s="17" t="s">
        <v>70</v>
      </c>
      <c r="C13201" s="17" t="s">
        <v>71</v>
      </c>
      <c r="D13201" t="s">
        <v>9156</v>
      </c>
      <c r="F13201" t="s">
        <v>9156</v>
      </c>
      <c r="K13201" s="18">
        <f>628124499999</f>
        <v>628124499999</v>
      </c>
      <c r="N13201" s="17" t="s">
        <v>74</v>
      </c>
      <c r="V13201" s="18">
        <f>628124499999</f>
        <v>628124499999</v>
      </c>
    </row>
    <row r="13202" ht="15" customHeight="1" spans="1:25" x14ac:dyDescent="0.25">
      <c r="A13202" s="17" t="s">
        <v>35791</v>
      </c>
      <c r="B13202" s="17" t="s">
        <v>70</v>
      </c>
      <c r="C13202" s="17" t="s">
        <v>71</v>
      </c>
      <c r="D13202" t="s">
        <v>35792</v>
      </c>
      <c r="F13202" t="s">
        <v>28657</v>
      </c>
      <c r="K13202" s="18">
        <f>62811155933</f>
        <v>62811155933</v>
      </c>
      <c r="N13202" s="17" t="s">
        <v>77</v>
      </c>
      <c r="U13202" s="17"/>
      <c r="V13202" s="18">
        <f>62811155933</f>
        <v>62811155933</v>
      </c>
      <c r="W13202" t="s">
        <v>35793</v>
      </c>
      <c r="Y13202" s="17" t="s">
        <v>626</v>
      </c>
    </row>
    <row r="13203" ht="15" customHeight="1" spans="1:22" x14ac:dyDescent="0.25">
      <c r="A13203" s="17" t="s">
        <v>35794</v>
      </c>
      <c r="B13203" s="17" t="s">
        <v>70</v>
      </c>
      <c r="C13203" s="17" t="s">
        <v>71</v>
      </c>
      <c r="D13203" t="s">
        <v>35795</v>
      </c>
      <c r="F13203" t="s">
        <v>35795</v>
      </c>
      <c r="K13203" s="18">
        <f>628161957535</f>
        <v>628161957535</v>
      </c>
      <c r="N13203" s="17" t="s">
        <v>81</v>
      </c>
      <c r="V13203" s="18">
        <f>628161957535</f>
        <v>628161957535</v>
      </c>
    </row>
    <row r="13204" ht="15" customHeight="1" spans="1:28" x14ac:dyDescent="0.25">
      <c r="A13204" s="17" t="s">
        <v>35796</v>
      </c>
      <c r="B13204" s="17" t="s">
        <v>70</v>
      </c>
      <c r="C13204" s="17" t="s">
        <v>71</v>
      </c>
      <c r="D13204" t="s">
        <v>8778</v>
      </c>
      <c r="F13204" t="s">
        <v>5686</v>
      </c>
      <c r="J13204" t="s">
        <v>115</v>
      </c>
      <c r="K13204" s="18" t="s">
        <v>35797</v>
      </c>
      <c r="N13204" s="17" t="s">
        <v>77</v>
      </c>
      <c r="O13204" t="s">
        <v>117</v>
      </c>
      <c r="U13204" s="17"/>
      <c r="V13204" s="18" t="s">
        <v>35797</v>
      </c>
      <c r="W13204" t="s">
        <v>35798</v>
      </c>
      <c r="Y13204" s="17" t="s">
        <v>90</v>
      </c>
      <c r="AA13204" t="s">
        <v>118</v>
      </c>
      <c r="AB13204" t="s">
        <v>119</v>
      </c>
    </row>
    <row r="13205" ht="15" customHeight="1" spans="1:22" x14ac:dyDescent="0.25">
      <c r="A13205" s="17" t="s">
        <v>35799</v>
      </c>
      <c r="B13205" s="17" t="s">
        <v>70</v>
      </c>
      <c r="C13205" s="17" t="s">
        <v>71</v>
      </c>
      <c r="D13205" t="s">
        <v>35800</v>
      </c>
      <c r="F13205" t="s">
        <v>153</v>
      </c>
      <c r="K13205" s="18">
        <f>6281388300888</f>
        <v>6281388300888</v>
      </c>
      <c r="N13205" s="17" t="s">
        <v>81</v>
      </c>
      <c r="V13205" s="18">
        <f>6281388300888</f>
        <v>6281388300888</v>
      </c>
    </row>
    <row r="13206" ht="15" customHeight="1" spans="1:27" x14ac:dyDescent="0.25">
      <c r="A13206" s="17" t="s">
        <v>35801</v>
      </c>
      <c r="B13206" s="17" t="s">
        <v>70</v>
      </c>
      <c r="C13206" s="17" t="s">
        <v>71</v>
      </c>
      <c r="D13206" t="s">
        <v>35800</v>
      </c>
      <c r="F13206" t="s">
        <v>3906</v>
      </c>
      <c r="K13206" s="18">
        <f>628151008008</f>
        <v>628151008008</v>
      </c>
      <c r="N13206" s="17" t="s">
        <v>77</v>
      </c>
      <c r="U13206" s="17"/>
      <c r="V13206" s="18">
        <f>628151008008</f>
        <v>628151008008</v>
      </c>
      <c r="W13206" t="s">
        <v>35802</v>
      </c>
      <c r="Y13206" s="17" t="s">
        <v>181</v>
      </c>
      <c r="AA13206" s="17" t="s">
        <v>35803</v>
      </c>
    </row>
    <row r="13207" ht="15" customHeight="1" spans="1:22" x14ac:dyDescent="0.25">
      <c r="A13207" s="17" t="s">
        <v>35804</v>
      </c>
      <c r="B13207" s="17" t="s">
        <v>70</v>
      </c>
      <c r="C13207" s="17" t="s">
        <v>71</v>
      </c>
      <c r="D13207" t="s">
        <v>35805</v>
      </c>
      <c r="F13207" t="s">
        <v>2168</v>
      </c>
      <c r="K13207" s="18">
        <f>6281318419167</f>
        <v>6281318419167</v>
      </c>
      <c r="N13207" s="17" t="s">
        <v>81</v>
      </c>
      <c r="V13207" s="18">
        <f>6281318419167</f>
        <v>6281318419167</v>
      </c>
    </row>
    <row r="13208" ht="15" customHeight="1" spans="1:22" x14ac:dyDescent="0.25">
      <c r="A13208" s="17" t="s">
        <v>35806</v>
      </c>
      <c r="B13208" s="17" t="s">
        <v>70</v>
      </c>
      <c r="C13208" s="17" t="s">
        <v>71</v>
      </c>
      <c r="D13208" t="s">
        <v>35807</v>
      </c>
      <c r="F13208" t="s">
        <v>1208</v>
      </c>
      <c r="K13208" s="18">
        <f>6281381938106</f>
        <v>6281381938106</v>
      </c>
      <c r="N13208" s="17" t="s">
        <v>81</v>
      </c>
      <c r="V13208" s="18">
        <f>6281381938106</f>
        <v>6281381938106</v>
      </c>
    </row>
    <row r="13209" ht="15" customHeight="1" spans="1:23" x14ac:dyDescent="0.25">
      <c r="A13209" s="17" t="s">
        <v>35808</v>
      </c>
      <c r="B13209" s="17" t="s">
        <v>70</v>
      </c>
      <c r="C13209" s="17" t="s">
        <v>71</v>
      </c>
      <c r="D13209" t="s">
        <v>35809</v>
      </c>
      <c r="F13209" t="s">
        <v>35809</v>
      </c>
      <c r="K13209" s="18">
        <f>6281289471512</f>
        <v>6281289471512</v>
      </c>
      <c r="N13209" s="17" t="s">
        <v>81</v>
      </c>
      <c r="U13209" s="17"/>
      <c r="V13209" s="18">
        <f>6281289471512</f>
        <v>6281289471512</v>
      </c>
      <c r="W13209" t="s">
        <v>35810</v>
      </c>
    </row>
    <row r="13210" ht="15" customHeight="1" spans="1:22" x14ac:dyDescent="0.25">
      <c r="A13210" s="17" t="s">
        <v>35811</v>
      </c>
      <c r="B13210" s="17" t="s">
        <v>70</v>
      </c>
      <c r="C13210" s="17" t="s">
        <v>71</v>
      </c>
      <c r="D13210" t="s">
        <v>35809</v>
      </c>
      <c r="F13210" t="s">
        <v>33226</v>
      </c>
      <c r="J13210" s="17" t="s">
        <v>35812</v>
      </c>
      <c r="K13210" s="18">
        <f>6287812110595</f>
        <v>6287812110595</v>
      </c>
      <c r="N13210" s="17" t="s">
        <v>77</v>
      </c>
      <c r="V13210" s="18">
        <f>6287812110595</f>
        <v>6287812110595</v>
      </c>
    </row>
    <row r="13211" ht="15" customHeight="1" spans="1:22" x14ac:dyDescent="0.25">
      <c r="A13211" s="17" t="s">
        <v>35813</v>
      </c>
      <c r="B13211" s="17" t="s">
        <v>70</v>
      </c>
      <c r="C13211" s="17" t="s">
        <v>71</v>
      </c>
      <c r="D13211" t="s">
        <v>35814</v>
      </c>
      <c r="F13211" t="s">
        <v>35814</v>
      </c>
      <c r="K13211" s="18">
        <f>6281381383223</f>
        <v>6281381383223</v>
      </c>
      <c r="N13211" s="17" t="s">
        <v>81</v>
      </c>
      <c r="V13211" s="18">
        <f>6281381383223</f>
        <v>6281381383223</v>
      </c>
    </row>
    <row r="13212" ht="15" customHeight="1" spans="1:25" x14ac:dyDescent="0.25">
      <c r="A13212" s="17" t="s">
        <v>35815</v>
      </c>
      <c r="B13212" s="17" t="s">
        <v>70</v>
      </c>
      <c r="C13212" s="17" t="s">
        <v>71</v>
      </c>
      <c r="D13212" t="s">
        <v>35816</v>
      </c>
      <c r="F13212" t="s">
        <v>35817</v>
      </c>
      <c r="J13212" s="17" t="s">
        <v>35818</v>
      </c>
      <c r="K13212" s="18">
        <f>62811992074</f>
        <v>62811992074</v>
      </c>
      <c r="N13212" s="17" t="s">
        <v>77</v>
      </c>
      <c r="U13212" s="17"/>
      <c r="V13212" s="18">
        <f>62811992074</f>
        <v>62811992074</v>
      </c>
      <c r="W13212" t="s">
        <v>35819</v>
      </c>
      <c r="Y13212" s="17" t="s">
        <v>1084</v>
      </c>
    </row>
    <row r="13213" ht="15" customHeight="1" spans="1:28" x14ac:dyDescent="0.25">
      <c r="A13213" s="17" t="s">
        <v>35820</v>
      </c>
      <c r="B13213" s="17" t="s">
        <v>70</v>
      </c>
      <c r="C13213" s="17" t="s">
        <v>71</v>
      </c>
      <c r="D13213" t="s">
        <v>35821</v>
      </c>
      <c r="F13213" t="s">
        <v>35822</v>
      </c>
      <c r="J13213" s="17" t="s">
        <v>35823</v>
      </c>
      <c r="K13213" s="18" t="s">
        <v>35824</v>
      </c>
      <c r="N13213" s="17" t="s">
        <v>77</v>
      </c>
      <c r="O13213" t="s">
        <v>199</v>
      </c>
      <c r="V13213" s="18" t="s">
        <v>35824</v>
      </c>
      <c r="Y13213" s="17" t="s">
        <v>2500</v>
      </c>
      <c r="AA13213" t="s">
        <v>115</v>
      </c>
      <c r="AB13213" t="s">
        <v>2500</v>
      </c>
    </row>
    <row r="13214" ht="15" customHeight="1" spans="1:28" x14ac:dyDescent="0.25">
      <c r="A13214" s="17" t="s">
        <v>35825</v>
      </c>
      <c r="B13214" s="17" t="s">
        <v>70</v>
      </c>
      <c r="C13214" s="17" t="s">
        <v>71</v>
      </c>
      <c r="D13214" t="s">
        <v>35826</v>
      </c>
      <c r="F13214" t="s">
        <v>35827</v>
      </c>
      <c r="J13214" t="s">
        <v>115</v>
      </c>
      <c r="K13214" s="18" t="s">
        <v>35828</v>
      </c>
      <c r="N13214" s="17" t="s">
        <v>77</v>
      </c>
      <c r="O13214" t="s">
        <v>199</v>
      </c>
      <c r="U13214" s="17"/>
      <c r="V13214" s="18" t="s">
        <v>35828</v>
      </c>
      <c r="W13214" t="s">
        <v>14868</v>
      </c>
      <c r="Y13214" t="s">
        <v>90</v>
      </c>
      <c r="AA13214" t="s">
        <v>118</v>
      </c>
      <c r="AB13214" t="s">
        <v>119</v>
      </c>
    </row>
    <row r="13215" ht="15" customHeight="1" spans="1:23" x14ac:dyDescent="0.25">
      <c r="A13215" s="17" t="s">
        <v>35829</v>
      </c>
      <c r="B13215" s="17" t="s">
        <v>70</v>
      </c>
      <c r="C13215" s="17" t="s">
        <v>71</v>
      </c>
      <c r="D13215" t="s">
        <v>35830</v>
      </c>
      <c r="F13215" t="s">
        <v>35831</v>
      </c>
      <c r="K13215" s="18">
        <f>628121004737</f>
        <v>628121004737</v>
      </c>
      <c r="N13215" s="17" t="s">
        <v>77</v>
      </c>
      <c r="U13215" s="17"/>
      <c r="V13215" s="18">
        <f>628121004737</f>
        <v>628121004737</v>
      </c>
      <c r="W13215" t="s">
        <v>35832</v>
      </c>
    </row>
    <row r="13216" ht="15" customHeight="1" spans="1:23" x14ac:dyDescent="0.25">
      <c r="A13216" s="17" t="s">
        <v>35833</v>
      </c>
      <c r="B13216" s="17" t="s">
        <v>70</v>
      </c>
      <c r="C13216" s="17" t="s">
        <v>71</v>
      </c>
      <c r="D13216" t="s">
        <v>35834</v>
      </c>
      <c r="F13216" t="s">
        <v>35835</v>
      </c>
      <c r="K13216" s="18">
        <f>62215222166</f>
        <v>62215222166</v>
      </c>
      <c r="N13216" s="17" t="s">
        <v>77</v>
      </c>
      <c r="U13216" s="17"/>
      <c r="V13216" s="18">
        <f>62215222166</f>
        <v>62215222166</v>
      </c>
      <c r="W13216" t="s">
        <v>35836</v>
      </c>
    </row>
    <row r="13217" ht="15" customHeight="1" spans="1:22" x14ac:dyDescent="0.25">
      <c r="A13217" s="17" t="s">
        <v>35837</v>
      </c>
      <c r="B13217" s="17" t="s">
        <v>70</v>
      </c>
      <c r="C13217" s="17" t="s">
        <v>71</v>
      </c>
      <c r="D13217" t="s">
        <v>584</v>
      </c>
      <c r="F13217" t="s">
        <v>584</v>
      </c>
      <c r="K13217" s="18">
        <f>6281311168888</f>
        <v>6281311168888</v>
      </c>
      <c r="N13217" s="17" t="s">
        <v>81</v>
      </c>
      <c r="V13217" s="18">
        <f>6281311168888</f>
        <v>6281311168888</v>
      </c>
    </row>
    <row r="13218" ht="15" customHeight="1" spans="1:22" x14ac:dyDescent="0.25">
      <c r="A13218" s="17" t="s">
        <v>35838</v>
      </c>
      <c r="B13218" s="17" t="s">
        <v>70</v>
      </c>
      <c r="C13218" s="17" t="s">
        <v>71</v>
      </c>
      <c r="D13218" t="s">
        <v>584</v>
      </c>
      <c r="F13218" t="s">
        <v>28254</v>
      </c>
      <c r="K13218" s="18">
        <f>6281290562649</f>
        <v>6281290562649</v>
      </c>
      <c r="N13218" s="17" t="s">
        <v>81</v>
      </c>
      <c r="V13218" s="18">
        <f>6281290562649</f>
        <v>6281290562649</v>
      </c>
    </row>
    <row r="13219" ht="15" customHeight="1" spans="1:25" x14ac:dyDescent="0.25">
      <c r="A13219" s="17" t="s">
        <v>35839</v>
      </c>
      <c r="B13219" s="17" t="s">
        <v>70</v>
      </c>
      <c r="C13219" s="17" t="s">
        <v>71</v>
      </c>
      <c r="D13219" t="s">
        <v>584</v>
      </c>
      <c r="F13219" t="s">
        <v>1517</v>
      </c>
      <c r="K13219" s="18">
        <f>628113392540</f>
        <v>628113392540</v>
      </c>
      <c r="N13219" s="17" t="s">
        <v>77</v>
      </c>
      <c r="U13219" s="17"/>
      <c r="V13219" s="18">
        <f>628113392540</f>
        <v>628113392540</v>
      </c>
      <c r="W13219" t="s">
        <v>35840</v>
      </c>
      <c r="Y13219" s="17" t="s">
        <v>96</v>
      </c>
    </row>
    <row r="13220" ht="15" customHeight="1" spans="1:22" x14ac:dyDescent="0.25">
      <c r="A13220" s="17" t="s">
        <v>35841</v>
      </c>
      <c r="B13220" s="17" t="s">
        <v>70</v>
      </c>
      <c r="C13220" s="17" t="s">
        <v>71</v>
      </c>
      <c r="D13220" t="s">
        <v>35842</v>
      </c>
      <c r="F13220" t="s">
        <v>35842</v>
      </c>
      <c r="K13220" s="18">
        <f>62818888822</f>
        <v>62818888822</v>
      </c>
      <c r="N13220" s="17" t="s">
        <v>81</v>
      </c>
      <c r="V13220" s="18">
        <f>62818888822</f>
        <v>62818888822</v>
      </c>
    </row>
    <row r="13221" ht="15" customHeight="1" spans="1:22" x14ac:dyDescent="0.25">
      <c r="A13221" s="17" t="s">
        <v>35843</v>
      </c>
      <c r="B13221" s="17" t="s">
        <v>70</v>
      </c>
      <c r="C13221" s="17" t="s">
        <v>71</v>
      </c>
      <c r="D13221" t="s">
        <v>35842</v>
      </c>
      <c r="F13221" t="s">
        <v>35842</v>
      </c>
      <c r="K13221" s="18">
        <f>6282112128871</f>
        <v>6282112128871</v>
      </c>
      <c r="N13221" s="17" t="s">
        <v>77</v>
      </c>
      <c r="V13221" s="18">
        <f>6282112128871</f>
        <v>6282112128871</v>
      </c>
    </row>
    <row r="13222" ht="15" customHeight="1" spans="1:22" x14ac:dyDescent="0.25">
      <c r="A13222" s="17" t="s">
        <v>35844</v>
      </c>
      <c r="B13222" s="17" t="s">
        <v>70</v>
      </c>
      <c r="C13222" s="17" t="s">
        <v>71</v>
      </c>
      <c r="D13222" t="s">
        <v>35842</v>
      </c>
      <c r="F13222" t="s">
        <v>2517</v>
      </c>
      <c r="K13222" s="18">
        <f>628118187877</f>
        <v>628118187877</v>
      </c>
      <c r="N13222" s="17" t="s">
        <v>81</v>
      </c>
      <c r="V13222" s="18">
        <f>628118187877</f>
        <v>628118187877</v>
      </c>
    </row>
    <row r="13223" ht="15" customHeight="1" spans="1:23" x14ac:dyDescent="0.25">
      <c r="A13223" s="17" t="s">
        <v>35845</v>
      </c>
      <c r="B13223" s="17" t="s">
        <v>70</v>
      </c>
      <c r="C13223" s="17" t="s">
        <v>71</v>
      </c>
      <c r="D13223" t="s">
        <v>35846</v>
      </c>
      <c r="F13223" t="s">
        <v>35763</v>
      </c>
      <c r="K13223" s="18">
        <f>6596612429</f>
        <v>6596612429</v>
      </c>
      <c r="N13223" s="17" t="s">
        <v>81</v>
      </c>
      <c r="U13223" s="17"/>
      <c r="V13223" s="18">
        <f>6596612429</f>
        <v>6596612429</v>
      </c>
      <c r="W13223" t="s">
        <v>35847</v>
      </c>
    </row>
    <row r="13224" ht="15" customHeight="1" spans="1:22" x14ac:dyDescent="0.25">
      <c r="A13224" s="17" t="s">
        <v>35848</v>
      </c>
      <c r="B13224" s="17" t="s">
        <v>70</v>
      </c>
      <c r="C13224" s="17" t="s">
        <v>71</v>
      </c>
      <c r="D13224" t="s">
        <v>35849</v>
      </c>
      <c r="F13224" t="s">
        <v>4044</v>
      </c>
      <c r="J13224" s="17" t="s">
        <v>35850</v>
      </c>
      <c r="K13224" s="18">
        <f>62811159992</f>
        <v>62811159992</v>
      </c>
      <c r="N13224" s="17" t="s">
        <v>77</v>
      </c>
      <c r="V13224" s="18">
        <f>62811159992</f>
        <v>62811159992</v>
      </c>
    </row>
    <row r="13225" ht="15" customHeight="1" spans="1:22" x14ac:dyDescent="0.25">
      <c r="A13225" s="17" t="s">
        <v>35851</v>
      </c>
      <c r="B13225" s="17" t="s">
        <v>70</v>
      </c>
      <c r="C13225" s="17" t="s">
        <v>71</v>
      </c>
      <c r="D13225" t="s">
        <v>35852</v>
      </c>
      <c r="F13225" t="s">
        <v>32437</v>
      </c>
      <c r="K13225" s="18">
        <f>62811818163</f>
        <v>62811818163</v>
      </c>
      <c r="N13225" s="17" t="s">
        <v>77</v>
      </c>
      <c r="V13225" s="18">
        <f>62811818163</f>
        <v>62811818163</v>
      </c>
    </row>
    <row r="13226" ht="15" customHeight="1" spans="1:28" x14ac:dyDescent="0.25">
      <c r="A13226" s="17" t="s">
        <v>35853</v>
      </c>
      <c r="B13226" s="17" t="s">
        <v>70</v>
      </c>
      <c r="C13226" s="17" t="s">
        <v>71</v>
      </c>
      <c r="D13226" t="s">
        <v>8534</v>
      </c>
      <c r="F13226" t="s">
        <v>8534</v>
      </c>
      <c r="J13226" t="s">
        <v>115</v>
      </c>
      <c r="K13226" s="18" t="s">
        <v>35854</v>
      </c>
      <c r="N13226" s="17" t="s">
        <v>77</v>
      </c>
      <c r="O13226" t="s">
        <v>145</v>
      </c>
      <c r="V13226" s="18" t="s">
        <v>35854</v>
      </c>
      <c r="Y13226" t="s">
        <v>190</v>
      </c>
      <c r="AA13226" t="s">
        <v>118</v>
      </c>
      <c r="AB13226" t="s">
        <v>119</v>
      </c>
    </row>
    <row r="13227" ht="15" customHeight="1" spans="1:25" x14ac:dyDescent="0.25">
      <c r="A13227" s="17" t="s">
        <v>35855</v>
      </c>
      <c r="B13227" s="17" t="s">
        <v>70</v>
      </c>
      <c r="C13227" s="17" t="s">
        <v>71</v>
      </c>
      <c r="D13227" t="s">
        <v>8534</v>
      </c>
      <c r="F13227" t="s">
        <v>35856</v>
      </c>
      <c r="J13227" s="17" t="s">
        <v>35857</v>
      </c>
      <c r="K13227" s="18">
        <f>628129392772</f>
        <v>628129392772</v>
      </c>
      <c r="N13227" s="17" t="s">
        <v>77</v>
      </c>
      <c r="U13227" s="17"/>
      <c r="V13227" s="18">
        <f>628129392772</f>
        <v>628129392772</v>
      </c>
      <c r="W13227" t="s">
        <v>35858</v>
      </c>
      <c r="Y13227" s="17" t="s">
        <v>96</v>
      </c>
    </row>
    <row r="13228" ht="15" customHeight="1" spans="1:28" x14ac:dyDescent="0.25">
      <c r="A13228" s="17" t="s">
        <v>35859</v>
      </c>
      <c r="B13228" s="17" t="s">
        <v>70</v>
      </c>
      <c r="C13228" s="17" t="s">
        <v>71</v>
      </c>
      <c r="D13228" t="s">
        <v>35860</v>
      </c>
      <c r="F13228" t="s">
        <v>35861</v>
      </c>
      <c r="J13228" s="17" t="s">
        <v>35862</v>
      </c>
      <c r="K13228" s="18" t="s">
        <v>35863</v>
      </c>
      <c r="N13228" s="17" t="s">
        <v>77</v>
      </c>
      <c r="O13228" t="s">
        <v>199</v>
      </c>
      <c r="U13228" s="17"/>
      <c r="V13228" s="18" t="s">
        <v>35863</v>
      </c>
      <c r="W13228" t="s">
        <v>920</v>
      </c>
      <c r="Y13228" t="s">
        <v>115</v>
      </c>
      <c r="AA13228" t="s">
        <v>115</v>
      </c>
      <c r="AB13228" t="s">
        <v>451</v>
      </c>
    </row>
    <row r="13229" ht="15" customHeight="1" spans="1:23" x14ac:dyDescent="0.25">
      <c r="A13229" s="17" t="s">
        <v>35864</v>
      </c>
      <c r="B13229" s="17" t="s">
        <v>70</v>
      </c>
      <c r="C13229" s="17" t="s">
        <v>71</v>
      </c>
      <c r="D13229" t="s">
        <v>35865</v>
      </c>
      <c r="F13229" t="s">
        <v>35866</v>
      </c>
      <c r="J13229" s="17" t="s">
        <v>35867</v>
      </c>
      <c r="K13229" s="18">
        <v>966505650295</v>
      </c>
      <c r="N13229" s="17" t="s">
        <v>77</v>
      </c>
      <c r="U13229" s="17"/>
      <c r="V13229" s="18">
        <v>966505650295</v>
      </c>
      <c r="W13229" t="s">
        <v>35868</v>
      </c>
    </row>
    <row r="13230" ht="15" customHeight="1" spans="1:22" x14ac:dyDescent="0.25">
      <c r="A13230" s="17" t="s">
        <v>35869</v>
      </c>
      <c r="B13230" s="17" t="s">
        <v>70</v>
      </c>
      <c r="C13230" s="17" t="s">
        <v>71</v>
      </c>
      <c r="D13230" t="s">
        <v>35870</v>
      </c>
      <c r="F13230" t="s">
        <v>35870</v>
      </c>
      <c r="K13230" s="18">
        <f>6281295834011</f>
        <v>6281295834011</v>
      </c>
      <c r="N13230" s="17" t="s">
        <v>81</v>
      </c>
      <c r="V13230" s="18">
        <f>6281295834011</f>
        <v>6281295834011</v>
      </c>
    </row>
    <row r="13231" ht="15" customHeight="1" spans="1:28" x14ac:dyDescent="0.25">
      <c r="A13231" s="17" t="s">
        <v>35871</v>
      </c>
      <c r="B13231" s="17" t="s">
        <v>70</v>
      </c>
      <c r="C13231" s="17" t="s">
        <v>71</v>
      </c>
      <c r="D13231" t="s">
        <v>35872</v>
      </c>
      <c r="F13231" t="s">
        <v>1665</v>
      </c>
      <c r="J13231" s="17" t="s">
        <v>35873</v>
      </c>
      <c r="K13231" s="18" t="s">
        <v>35874</v>
      </c>
      <c r="N13231" s="17" t="s">
        <v>77</v>
      </c>
      <c r="O13231" t="s">
        <v>117</v>
      </c>
      <c r="V13231" s="18" t="s">
        <v>35874</v>
      </c>
      <c r="Y13231" t="s">
        <v>115</v>
      </c>
      <c r="AA13231" t="s">
        <v>115</v>
      </c>
      <c r="AB13231" t="s">
        <v>2605</v>
      </c>
    </row>
    <row r="13232" ht="15" customHeight="1" spans="1:23" x14ac:dyDescent="0.25">
      <c r="A13232" s="17" t="s">
        <v>35875</v>
      </c>
      <c r="B13232" s="17" t="s">
        <v>70</v>
      </c>
      <c r="C13232" s="17" t="s">
        <v>71</v>
      </c>
      <c r="D13232" t="s">
        <v>35876</v>
      </c>
      <c r="F13232" t="s">
        <v>26740</v>
      </c>
      <c r="K13232" s="18">
        <f>491733553798</f>
        <v>491733553798</v>
      </c>
      <c r="N13232" s="17" t="s">
        <v>77</v>
      </c>
      <c r="U13232" s="17"/>
      <c r="V13232" s="18">
        <f>491733553798</f>
        <v>491733553798</v>
      </c>
      <c r="W13232" t="s">
        <v>35877</v>
      </c>
    </row>
    <row r="13233" ht="15" customHeight="1" spans="1:23" x14ac:dyDescent="0.25">
      <c r="A13233" s="17" t="s">
        <v>35878</v>
      </c>
      <c r="B13233" s="17" t="s">
        <v>70</v>
      </c>
      <c r="C13233" s="17" t="s">
        <v>71</v>
      </c>
      <c r="D13233" t="s">
        <v>35879</v>
      </c>
      <c r="F13233" t="s">
        <v>3618</v>
      </c>
      <c r="K13233" s="18">
        <f>17026065088</f>
        <v>17026065088</v>
      </c>
      <c r="N13233" s="17" t="s">
        <v>77</v>
      </c>
      <c r="U13233" s="17"/>
      <c r="V13233" s="18">
        <f>17026065088</f>
        <v>17026065088</v>
      </c>
      <c r="W13233" t="s">
        <v>930</v>
      </c>
    </row>
    <row r="13234" ht="15" customHeight="1" spans="1:28" x14ac:dyDescent="0.25">
      <c r="A13234" s="17" t="s">
        <v>35880</v>
      </c>
      <c r="B13234" s="17" t="s">
        <v>70</v>
      </c>
      <c r="C13234" s="17" t="s">
        <v>71</v>
      </c>
      <c r="D13234" t="s">
        <v>35881</v>
      </c>
      <c r="F13234" t="s">
        <v>35882</v>
      </c>
      <c r="J13234" t="s">
        <v>115</v>
      </c>
      <c r="K13234" s="18" t="s">
        <v>35883</v>
      </c>
      <c r="N13234" s="17" t="s">
        <v>77</v>
      </c>
      <c r="O13234" t="s">
        <v>489</v>
      </c>
      <c r="U13234" s="17"/>
      <c r="V13234" s="18" t="s">
        <v>35883</v>
      </c>
      <c r="W13234" t="s">
        <v>35884</v>
      </c>
      <c r="Y13234" s="17" t="s">
        <v>190</v>
      </c>
      <c r="AA13234" t="s">
        <v>118</v>
      </c>
      <c r="AB13234" t="s">
        <v>119</v>
      </c>
    </row>
    <row r="13235" ht="15" customHeight="1" spans="1:23" x14ac:dyDescent="0.25">
      <c r="A13235" s="17" t="s">
        <v>35885</v>
      </c>
      <c r="B13235" s="17" t="s">
        <v>70</v>
      </c>
      <c r="C13235" s="17" t="s">
        <v>71</v>
      </c>
      <c r="D13235" t="s">
        <v>35886</v>
      </c>
      <c r="F13235" t="s">
        <v>35887</v>
      </c>
      <c r="K13235" s="18">
        <f>628119911996</f>
        <v>628119911996</v>
      </c>
      <c r="N13235" s="17" t="s">
        <v>77</v>
      </c>
      <c r="U13235" s="17"/>
      <c r="V13235" s="18">
        <f>628119911996</f>
        <v>628119911996</v>
      </c>
      <c r="W13235" t="s">
        <v>35888</v>
      </c>
    </row>
    <row r="13236" ht="15" customHeight="1" spans="1:25" x14ac:dyDescent="0.25">
      <c r="A13236" s="17" t="s">
        <v>35889</v>
      </c>
      <c r="B13236" s="17" t="s">
        <v>70</v>
      </c>
      <c r="C13236" s="17" t="s">
        <v>71</v>
      </c>
      <c r="D13236" t="s">
        <v>35890</v>
      </c>
      <c r="F13236" t="s">
        <v>35891</v>
      </c>
      <c r="J13236" s="17" t="s">
        <v>35892</v>
      </c>
      <c r="K13236" s="18">
        <f>6281218485478</f>
        <v>6281218485478</v>
      </c>
      <c r="N13236" s="17" t="s">
        <v>81</v>
      </c>
      <c r="U13236" s="17"/>
      <c r="V13236" s="18">
        <f>6281218485478</f>
        <v>6281218485478</v>
      </c>
      <c r="W13236" t="s">
        <v>35893</v>
      </c>
      <c r="Y13236" s="17" t="s">
        <v>90</v>
      </c>
    </row>
    <row r="13237" ht="15" customHeight="1" spans="1:22" x14ac:dyDescent="0.25">
      <c r="A13237" s="17" t="s">
        <v>35894</v>
      </c>
      <c r="B13237" s="17" t="s">
        <v>70</v>
      </c>
      <c r="C13237" s="17" t="s">
        <v>71</v>
      </c>
      <c r="D13237" t="s">
        <v>35895</v>
      </c>
      <c r="F13237" t="s">
        <v>35896</v>
      </c>
      <c r="K13237" s="18">
        <f>6282298887878</f>
        <v>6282298887878</v>
      </c>
      <c r="N13237" s="17" t="s">
        <v>81</v>
      </c>
      <c r="V13237" s="18">
        <f>6282298887878</f>
        <v>6282298887878</v>
      </c>
    </row>
    <row r="13238" ht="15" customHeight="1" spans="1:28" x14ac:dyDescent="0.25">
      <c r="A13238" s="17" t="s">
        <v>35897</v>
      </c>
      <c r="B13238" s="17" t="s">
        <v>70</v>
      </c>
      <c r="C13238" s="17" t="s">
        <v>71</v>
      </c>
      <c r="D13238" t="s">
        <v>35895</v>
      </c>
      <c r="F13238" t="s">
        <v>6642</v>
      </c>
      <c r="J13238" t="s">
        <v>35898</v>
      </c>
      <c r="K13238" s="18" t="s">
        <v>35899</v>
      </c>
      <c r="N13238" s="17" t="s">
        <v>77</v>
      </c>
      <c r="O13238" t="s">
        <v>117</v>
      </c>
      <c r="V13238" s="18" t="s">
        <v>35899</v>
      </c>
      <c r="Y13238" t="s">
        <v>190</v>
      </c>
      <c r="AA13238" t="s">
        <v>118</v>
      </c>
      <c r="AB13238" t="s">
        <v>119</v>
      </c>
    </row>
    <row r="13239" ht="15" customHeight="1" spans="1:28" x14ac:dyDescent="0.25">
      <c r="A13239" s="17" t="s">
        <v>35900</v>
      </c>
      <c r="B13239" s="17" t="s">
        <v>70</v>
      </c>
      <c r="C13239" s="17" t="s">
        <v>71</v>
      </c>
      <c r="D13239" t="s">
        <v>35895</v>
      </c>
      <c r="F13239" t="s">
        <v>35901</v>
      </c>
      <c r="J13239" t="s">
        <v>35902</v>
      </c>
      <c r="K13239" s="18" t="s">
        <v>35903</v>
      </c>
      <c r="N13239" s="17" t="s">
        <v>77</v>
      </c>
      <c r="O13239" t="s">
        <v>199</v>
      </c>
      <c r="U13239" s="17"/>
      <c r="V13239" s="18" t="s">
        <v>35903</v>
      </c>
      <c r="W13239" t="s">
        <v>35904</v>
      </c>
      <c r="Y13239" s="17" t="s">
        <v>90</v>
      </c>
      <c r="AA13239" t="s">
        <v>118</v>
      </c>
      <c r="AB13239" t="s">
        <v>119</v>
      </c>
    </row>
    <row r="13240" ht="15" customHeight="1" spans="1:22" x14ac:dyDescent="0.25">
      <c r="A13240" s="17" t="s">
        <v>35905</v>
      </c>
      <c r="B13240" s="17" t="s">
        <v>70</v>
      </c>
      <c r="C13240" s="17" t="s">
        <v>71</v>
      </c>
      <c r="D13240" t="s">
        <v>16381</v>
      </c>
      <c r="F13240" t="s">
        <v>16381</v>
      </c>
      <c r="K13240" s="18">
        <f>62215264178</f>
        <v>62215264178</v>
      </c>
      <c r="N13240" s="17" t="s">
        <v>77</v>
      </c>
      <c r="V13240" s="18">
        <f>62215264178</f>
        <v>62215264178</v>
      </c>
    </row>
    <row r="13241" ht="15" customHeight="1" spans="1:22" x14ac:dyDescent="0.25">
      <c r="A13241" s="17" t="s">
        <v>35906</v>
      </c>
      <c r="B13241" s="17" t="s">
        <v>70</v>
      </c>
      <c r="C13241" s="17" t="s">
        <v>71</v>
      </c>
      <c r="D13241" t="s">
        <v>16381</v>
      </c>
      <c r="F13241" t="s">
        <v>16381</v>
      </c>
      <c r="K13241" s="18">
        <f>628121020000</f>
        <v>628121020000</v>
      </c>
      <c r="N13241" s="17" t="s">
        <v>77</v>
      </c>
      <c r="V13241" s="18">
        <f>628121020000</f>
        <v>628121020000</v>
      </c>
    </row>
    <row r="13242" ht="15" customHeight="1" spans="1:23" x14ac:dyDescent="0.25">
      <c r="A13242" s="17" t="s">
        <v>35907</v>
      </c>
      <c r="B13242" s="17" t="s">
        <v>70</v>
      </c>
      <c r="C13242" s="17" t="s">
        <v>71</v>
      </c>
      <c r="D13242" t="s">
        <v>16381</v>
      </c>
      <c r="F13242" t="s">
        <v>509</v>
      </c>
      <c r="K13242" s="18">
        <f>62817870540</f>
        <v>62817870540</v>
      </c>
      <c r="N13242" s="17" t="s">
        <v>81</v>
      </c>
      <c r="U13242" s="17"/>
      <c r="V13242" s="18">
        <f>62817870540</f>
        <v>62817870540</v>
      </c>
      <c r="W13242" t="s">
        <v>35908</v>
      </c>
    </row>
    <row r="13243" ht="15" customHeight="1" spans="1:22" x14ac:dyDescent="0.25">
      <c r="A13243" s="17" t="s">
        <v>35909</v>
      </c>
      <c r="B13243" s="17" t="s">
        <v>70</v>
      </c>
      <c r="C13243" s="17" t="s">
        <v>71</v>
      </c>
      <c r="D13243" t="s">
        <v>16381</v>
      </c>
      <c r="F13243" t="s">
        <v>35910</v>
      </c>
      <c r="K13243" s="18">
        <f>6283808555511</f>
        <v>6283808555511</v>
      </c>
      <c r="N13243" s="17" t="s">
        <v>77</v>
      </c>
      <c r="V13243" s="18">
        <f>6283808555511</f>
        <v>6283808555511</v>
      </c>
    </row>
    <row r="13244" ht="15" customHeight="1" spans="1:28" x14ac:dyDescent="0.25">
      <c r="A13244" s="17" t="s">
        <v>35911</v>
      </c>
      <c r="B13244" s="17" t="s">
        <v>70</v>
      </c>
      <c r="C13244" s="17" t="s">
        <v>71</v>
      </c>
      <c r="D13244" t="s">
        <v>4980</v>
      </c>
      <c r="F13244" t="s">
        <v>35912</v>
      </c>
      <c r="J13244" s="17" t="s">
        <v>35913</v>
      </c>
      <c r="K13244" s="18" t="s">
        <v>35914</v>
      </c>
      <c r="N13244" s="17" t="s">
        <v>77</v>
      </c>
      <c r="O13244" t="s">
        <v>199</v>
      </c>
      <c r="U13244" s="17"/>
      <c r="V13244" s="18" t="s">
        <v>35914</v>
      </c>
      <c r="W13244" t="s">
        <v>2356</v>
      </c>
      <c r="Y13244" t="s">
        <v>115</v>
      </c>
      <c r="AA13244" t="s">
        <v>115</v>
      </c>
      <c r="AB13244" t="s">
        <v>2356</v>
      </c>
    </row>
    <row r="13245" ht="15" customHeight="1" spans="1:28" x14ac:dyDescent="0.25">
      <c r="A13245" s="17" t="s">
        <v>35915</v>
      </c>
      <c r="B13245" s="17" t="s">
        <v>70</v>
      </c>
      <c r="C13245" s="17" t="s">
        <v>71</v>
      </c>
      <c r="D13245" t="s">
        <v>35916</v>
      </c>
      <c r="F13245" t="s">
        <v>35917</v>
      </c>
      <c r="J13245" t="s">
        <v>115</v>
      </c>
      <c r="K13245" s="18" t="s">
        <v>35918</v>
      </c>
      <c r="N13245" s="17" t="s">
        <v>77</v>
      </c>
      <c r="O13245" t="s">
        <v>145</v>
      </c>
      <c r="U13245" s="17"/>
      <c r="V13245" s="18" t="s">
        <v>35918</v>
      </c>
      <c r="W13245" t="s">
        <v>35919</v>
      </c>
      <c r="Y13245" t="s">
        <v>90</v>
      </c>
      <c r="AA13245" t="s">
        <v>118</v>
      </c>
      <c r="AB13245" t="s">
        <v>119</v>
      </c>
    </row>
    <row r="13246" ht="15" customHeight="1" spans="1:23" x14ac:dyDescent="0.25">
      <c r="A13246" s="17" t="s">
        <v>35920</v>
      </c>
      <c r="B13246" s="17" t="s">
        <v>70</v>
      </c>
      <c r="C13246" s="17" t="s">
        <v>71</v>
      </c>
      <c r="D13246" t="s">
        <v>35921</v>
      </c>
      <c r="F13246" t="s">
        <v>35922</v>
      </c>
      <c r="K13246" s="18">
        <f>628118569111</f>
        <v>628118569111</v>
      </c>
      <c r="N13246" s="17" t="s">
        <v>81</v>
      </c>
      <c r="U13246" s="17"/>
      <c r="V13246" s="18">
        <f>628118569111</f>
        <v>628118569111</v>
      </c>
      <c r="W13246" t="s">
        <v>35923</v>
      </c>
    </row>
    <row r="13247" ht="15" customHeight="1" spans="1:22" x14ac:dyDescent="0.25">
      <c r="A13247" s="17" t="s">
        <v>35924</v>
      </c>
      <c r="B13247" s="17" t="s">
        <v>70</v>
      </c>
      <c r="C13247" s="17" t="s">
        <v>71</v>
      </c>
      <c r="D13247" t="s">
        <v>5073</v>
      </c>
      <c r="F13247" t="s">
        <v>35925</v>
      </c>
      <c r="K13247" s="18">
        <f>6281310369019</f>
        <v>6281310369019</v>
      </c>
      <c r="N13247" s="17" t="s">
        <v>81</v>
      </c>
      <c r="V13247" s="18">
        <f>6281310369019</f>
        <v>6281310369019</v>
      </c>
    </row>
    <row r="13248" ht="15" customHeight="1" spans="1:28" x14ac:dyDescent="0.25">
      <c r="A13248" s="17" t="s">
        <v>35926</v>
      </c>
      <c r="B13248" s="17" t="s">
        <v>70</v>
      </c>
      <c r="C13248" s="17" t="s">
        <v>71</v>
      </c>
      <c r="D13248" t="s">
        <v>5073</v>
      </c>
      <c r="F13248" t="s">
        <v>35927</v>
      </c>
      <c r="J13248" s="17" t="s">
        <v>35928</v>
      </c>
      <c r="K13248" s="18" t="s">
        <v>35929</v>
      </c>
      <c r="N13248" s="17" t="s">
        <v>77</v>
      </c>
      <c r="O13248" t="s">
        <v>117</v>
      </c>
      <c r="V13248" s="18" t="s">
        <v>35929</v>
      </c>
      <c r="Y13248" t="s">
        <v>90</v>
      </c>
      <c r="AA13248" t="s">
        <v>118</v>
      </c>
      <c r="AB13248" t="s">
        <v>119</v>
      </c>
    </row>
    <row r="13249" ht="15" customHeight="1" spans="1:22" x14ac:dyDescent="0.25">
      <c r="A13249" s="17" t="s">
        <v>35930</v>
      </c>
      <c r="B13249" s="17" t="s">
        <v>70</v>
      </c>
      <c r="C13249" s="17" t="s">
        <v>71</v>
      </c>
      <c r="D13249" t="s">
        <v>5073</v>
      </c>
      <c r="F13249" t="s">
        <v>8252</v>
      </c>
      <c r="K13249" s="18">
        <f>628113992885</f>
        <v>628113992885</v>
      </c>
      <c r="N13249" s="17" t="s">
        <v>77</v>
      </c>
      <c r="V13249" s="18">
        <f>628113992885</f>
        <v>628113992885</v>
      </c>
    </row>
    <row r="13250" ht="15" customHeight="1" spans="1:28" x14ac:dyDescent="0.25">
      <c r="A13250" s="17" t="s">
        <v>35931</v>
      </c>
      <c r="B13250" s="17" t="s">
        <v>70</v>
      </c>
      <c r="C13250" s="17" t="s">
        <v>71</v>
      </c>
      <c r="D13250" t="s">
        <v>6093</v>
      </c>
      <c r="F13250" t="s">
        <v>35932</v>
      </c>
      <c r="J13250" t="s">
        <v>115</v>
      </c>
      <c r="K13250" s="18" t="s">
        <v>35933</v>
      </c>
      <c r="N13250" s="17" t="s">
        <v>77</v>
      </c>
      <c r="O13250" t="s">
        <v>199</v>
      </c>
      <c r="V13250" s="18" t="s">
        <v>35933</v>
      </c>
      <c r="Y13250" t="s">
        <v>190</v>
      </c>
      <c r="AA13250" t="s">
        <v>118</v>
      </c>
      <c r="AB13250" t="s">
        <v>119</v>
      </c>
    </row>
    <row r="13251" ht="15" customHeight="1" spans="1:28" x14ac:dyDescent="0.25">
      <c r="A13251" s="17" t="s">
        <v>35934</v>
      </c>
      <c r="B13251" s="17" t="s">
        <v>70</v>
      </c>
      <c r="C13251" s="17" t="s">
        <v>71</v>
      </c>
      <c r="D13251" t="s">
        <v>35935</v>
      </c>
      <c r="F13251" t="s">
        <v>35936</v>
      </c>
      <c r="J13251" t="s">
        <v>115</v>
      </c>
      <c r="K13251" s="18" t="s">
        <v>35937</v>
      </c>
      <c r="N13251" s="17" t="s">
        <v>77</v>
      </c>
      <c r="O13251" t="s">
        <v>145</v>
      </c>
      <c r="V13251" s="18" t="s">
        <v>35937</v>
      </c>
      <c r="Y13251" s="17" t="s">
        <v>4897</v>
      </c>
      <c r="AA13251" t="s">
        <v>115</v>
      </c>
      <c r="AB13251" t="s">
        <v>119</v>
      </c>
    </row>
    <row r="13252" ht="15" customHeight="1" spans="1:22" x14ac:dyDescent="0.25">
      <c r="A13252" s="17" t="s">
        <v>35938</v>
      </c>
      <c r="B13252" s="17" t="s">
        <v>70</v>
      </c>
      <c r="C13252" s="17" t="s">
        <v>71</v>
      </c>
      <c r="D13252" t="s">
        <v>26269</v>
      </c>
      <c r="F13252" t="s">
        <v>26269</v>
      </c>
      <c r="K13252" s="18">
        <f>6281110009770</f>
        <v>6281110009770</v>
      </c>
      <c r="N13252" s="17" t="s">
        <v>77</v>
      </c>
      <c r="V13252" s="18">
        <f>6281110009770</f>
        <v>6281110009770</v>
      </c>
    </row>
    <row r="13253" ht="15" customHeight="1" spans="1:25" x14ac:dyDescent="0.25">
      <c r="A13253" s="17" t="s">
        <v>35939</v>
      </c>
      <c r="B13253" s="17" t="s">
        <v>70</v>
      </c>
      <c r="C13253" s="17" t="s">
        <v>71</v>
      </c>
      <c r="D13253" t="s">
        <v>35940</v>
      </c>
      <c r="F13253" t="s">
        <v>35940</v>
      </c>
      <c r="K13253" s="18">
        <f>6281510800912</f>
        <v>6281510800912</v>
      </c>
      <c r="N13253" s="17" t="s">
        <v>77</v>
      </c>
      <c r="U13253" s="17"/>
      <c r="V13253" s="18">
        <f>6281510800912</f>
        <v>6281510800912</v>
      </c>
      <c r="W13253" t="s">
        <v>35941</v>
      </c>
      <c r="Y13253" s="17" t="s">
        <v>378</v>
      </c>
    </row>
    <row r="13254" ht="15" customHeight="1" spans="1:22" x14ac:dyDescent="0.25">
      <c r="A13254" s="17" t="s">
        <v>35942</v>
      </c>
      <c r="B13254" s="17" t="s">
        <v>70</v>
      </c>
      <c r="C13254" s="17" t="s">
        <v>71</v>
      </c>
      <c r="D13254" t="s">
        <v>35943</v>
      </c>
      <c r="F13254" t="s">
        <v>2004</v>
      </c>
      <c r="K13254" s="18">
        <f>6281510000596</f>
        <v>6281510000596</v>
      </c>
      <c r="N13254" s="17" t="s">
        <v>81</v>
      </c>
      <c r="V13254" s="18">
        <f>6281510000596</f>
        <v>6281510000596</v>
      </c>
    </row>
    <row r="13255" ht="15" customHeight="1" spans="1:22" x14ac:dyDescent="0.25">
      <c r="A13255" s="17" t="s">
        <v>35944</v>
      </c>
      <c r="B13255" s="17" t="s">
        <v>70</v>
      </c>
      <c r="C13255" s="17" t="s">
        <v>71</v>
      </c>
      <c r="D13255" t="s">
        <v>35945</v>
      </c>
      <c r="F13255" t="s">
        <v>35945</v>
      </c>
      <c r="K13255" s="18">
        <f>6281318901198</f>
        <v>6281318901198</v>
      </c>
      <c r="N13255" s="17" t="s">
        <v>81</v>
      </c>
      <c r="V13255" s="18">
        <f>6281318901198</f>
        <v>6281318901198</v>
      </c>
    </row>
    <row r="13256" ht="15" customHeight="1" spans="1:23" x14ac:dyDescent="0.25">
      <c r="A13256" s="17" t="s">
        <v>35946</v>
      </c>
      <c r="B13256" s="17" t="s">
        <v>70</v>
      </c>
      <c r="C13256" s="17" t="s">
        <v>71</v>
      </c>
      <c r="D13256" t="s">
        <v>35945</v>
      </c>
      <c r="F13256" t="s">
        <v>16735</v>
      </c>
      <c r="K13256" s="18">
        <f>6282116690518</f>
        <v>6282116690518</v>
      </c>
      <c r="N13256" s="17" t="s">
        <v>77</v>
      </c>
      <c r="U13256" s="17"/>
      <c r="V13256" s="18">
        <f>6282116690518</f>
        <v>6282116690518</v>
      </c>
      <c r="W13256" t="s">
        <v>35947</v>
      </c>
    </row>
    <row r="13257" ht="15" customHeight="1" spans="1:28" x14ac:dyDescent="0.25">
      <c r="A13257" s="17" t="s">
        <v>35948</v>
      </c>
      <c r="B13257" s="17" t="s">
        <v>70</v>
      </c>
      <c r="C13257" s="17" t="s">
        <v>71</v>
      </c>
      <c r="D13257" t="s">
        <v>35945</v>
      </c>
      <c r="F13257" t="s">
        <v>35949</v>
      </c>
      <c r="J13257" t="s">
        <v>115</v>
      </c>
      <c r="K13257" s="18" t="s">
        <v>35950</v>
      </c>
      <c r="N13257" s="17" t="s">
        <v>77</v>
      </c>
      <c r="O13257" t="s">
        <v>489</v>
      </c>
      <c r="U13257" s="17"/>
      <c r="V13257" s="18" t="s">
        <v>35950</v>
      </c>
      <c r="W13257" t="s">
        <v>35951</v>
      </c>
      <c r="Y13257" s="17" t="s">
        <v>1091</v>
      </c>
      <c r="AA13257" t="s">
        <v>115</v>
      </c>
      <c r="AB13257" t="s">
        <v>119</v>
      </c>
    </row>
    <row r="13258" ht="15" customHeight="1" spans="1:28" x14ac:dyDescent="0.25">
      <c r="A13258" s="17" t="s">
        <v>35952</v>
      </c>
      <c r="B13258" s="17" t="s">
        <v>70</v>
      </c>
      <c r="C13258" s="17" t="s">
        <v>71</v>
      </c>
      <c r="D13258" t="s">
        <v>35945</v>
      </c>
      <c r="F13258" t="s">
        <v>9928</v>
      </c>
      <c r="J13258" s="17" t="s">
        <v>35953</v>
      </c>
      <c r="K13258" s="18" t="s">
        <v>35954</v>
      </c>
      <c r="N13258" s="17" t="s">
        <v>77</v>
      </c>
      <c r="O13258" t="s">
        <v>145</v>
      </c>
      <c r="U13258" s="17"/>
      <c r="V13258" s="18" t="s">
        <v>35954</v>
      </c>
      <c r="W13258" t="s">
        <v>35955</v>
      </c>
      <c r="Y13258" t="s">
        <v>90</v>
      </c>
      <c r="AA13258" t="s">
        <v>118</v>
      </c>
      <c r="AB13258" t="s">
        <v>119</v>
      </c>
    </row>
    <row r="13259" ht="15" customHeight="1" spans="1:22" x14ac:dyDescent="0.25">
      <c r="A13259" s="17" t="s">
        <v>35956</v>
      </c>
      <c r="B13259" s="17" t="s">
        <v>70</v>
      </c>
      <c r="C13259" s="17" t="s">
        <v>71</v>
      </c>
      <c r="D13259" t="s">
        <v>35957</v>
      </c>
      <c r="F13259" t="s">
        <v>932</v>
      </c>
      <c r="K13259" s="18">
        <f>6285810335555</f>
        <v>6285810335555</v>
      </c>
      <c r="N13259" s="17" t="s">
        <v>81</v>
      </c>
      <c r="V13259" s="18">
        <f>6285810335555</f>
        <v>6285810335555</v>
      </c>
    </row>
    <row r="13260" ht="15" customHeight="1" spans="1:25" x14ac:dyDescent="0.25">
      <c r="A13260" s="17" t="s">
        <v>35958</v>
      </c>
      <c r="B13260" s="17" t="s">
        <v>70</v>
      </c>
      <c r="C13260" s="17" t="s">
        <v>71</v>
      </c>
      <c r="D13260" t="s">
        <v>21591</v>
      </c>
      <c r="F13260" t="s">
        <v>21591</v>
      </c>
      <c r="K13260" s="18">
        <f>6281370129888</f>
        <v>6281370129888</v>
      </c>
      <c r="N13260" s="17" t="s">
        <v>81</v>
      </c>
      <c r="U13260" s="17"/>
      <c r="V13260" s="18">
        <f>6281370129888</f>
        <v>6281370129888</v>
      </c>
      <c r="W13260" t="s">
        <v>35959</v>
      </c>
      <c r="Y13260" s="17" t="s">
        <v>18450</v>
      </c>
    </row>
    <row r="13261" ht="15" customHeight="1" spans="1:22" x14ac:dyDescent="0.25">
      <c r="A13261" s="17" t="s">
        <v>35960</v>
      </c>
      <c r="B13261" s="17" t="s">
        <v>70</v>
      </c>
      <c r="C13261" s="17" t="s">
        <v>71</v>
      </c>
      <c r="D13261" t="s">
        <v>21591</v>
      </c>
      <c r="F13261" t="s">
        <v>21591</v>
      </c>
      <c r="K13261" s="18">
        <f>62811135353</f>
        <v>62811135353</v>
      </c>
      <c r="N13261" s="17" t="s">
        <v>81</v>
      </c>
      <c r="V13261" s="18">
        <f>62811135353</f>
        <v>62811135353</v>
      </c>
    </row>
    <row r="13262" ht="15" customHeight="1" spans="1:23" x14ac:dyDescent="0.25">
      <c r="A13262" s="17" t="s">
        <v>35961</v>
      </c>
      <c r="B13262" s="17" t="s">
        <v>70</v>
      </c>
      <c r="C13262" s="17" t="s">
        <v>71</v>
      </c>
      <c r="D13262" t="s">
        <v>21591</v>
      </c>
      <c r="F13262" t="s">
        <v>6890</v>
      </c>
      <c r="K13262" s="18">
        <f>628170006610</f>
        <v>628170006610</v>
      </c>
      <c r="N13262" s="17" t="s">
        <v>74</v>
      </c>
      <c r="U13262" s="17"/>
      <c r="V13262" s="18">
        <f>628170006610</f>
        <v>628170006610</v>
      </c>
      <c r="W13262" t="s">
        <v>35962</v>
      </c>
    </row>
    <row r="13263" ht="15" customHeight="1" spans="1:22" x14ac:dyDescent="0.25">
      <c r="A13263" s="17" t="s">
        <v>35963</v>
      </c>
      <c r="B13263" s="17" t="s">
        <v>70</v>
      </c>
      <c r="C13263" s="17" t="s">
        <v>71</v>
      </c>
      <c r="D13263" t="s">
        <v>21591</v>
      </c>
      <c r="F13263" t="s">
        <v>35964</v>
      </c>
      <c r="K13263" s="18">
        <f>6281521515777</f>
        <v>6281521515777</v>
      </c>
      <c r="N13263" s="17" t="s">
        <v>77</v>
      </c>
      <c r="V13263" s="18">
        <f>6281521515777</f>
        <v>6281521515777</v>
      </c>
    </row>
    <row r="13264" ht="15" customHeight="1" spans="1:22" x14ac:dyDescent="0.25">
      <c r="A13264" s="17" t="s">
        <v>35965</v>
      </c>
      <c r="B13264" s="17" t="s">
        <v>70</v>
      </c>
      <c r="C13264" s="17" t="s">
        <v>71</v>
      </c>
      <c r="D13264" t="s">
        <v>35966</v>
      </c>
      <c r="F13264" t="s">
        <v>35966</v>
      </c>
      <c r="K13264" s="18">
        <f>628119202305</f>
        <v>628119202305</v>
      </c>
      <c r="N13264" s="17" t="s">
        <v>81</v>
      </c>
      <c r="V13264" s="18">
        <f>628119202305</f>
        <v>628119202305</v>
      </c>
    </row>
    <row r="13265" ht="15" customHeight="1" spans="1:23" x14ac:dyDescent="0.25">
      <c r="A13265" s="17" t="s">
        <v>35967</v>
      </c>
      <c r="B13265" s="17" t="s">
        <v>70</v>
      </c>
      <c r="C13265" s="17" t="s">
        <v>71</v>
      </c>
      <c r="D13265" t="s">
        <v>35968</v>
      </c>
      <c r="F13265" t="s">
        <v>2320</v>
      </c>
      <c r="K13265" s="18">
        <f>628129523210</f>
        <v>628129523210</v>
      </c>
      <c r="N13265" s="17" t="s">
        <v>77</v>
      </c>
      <c r="U13265" s="17"/>
      <c r="V13265" s="18">
        <f>628129523210</f>
        <v>628129523210</v>
      </c>
      <c r="W13265" t="s">
        <v>35969</v>
      </c>
    </row>
    <row r="13266" ht="15" customHeight="1" spans="1:22" x14ac:dyDescent="0.25">
      <c r="A13266" s="17" t="s">
        <v>35970</v>
      </c>
      <c r="B13266" s="17" t="s">
        <v>70</v>
      </c>
      <c r="C13266" s="17" t="s">
        <v>71</v>
      </c>
      <c r="D13266" t="s">
        <v>35971</v>
      </c>
      <c r="F13266" t="s">
        <v>35971</v>
      </c>
      <c r="K13266" s="18">
        <f>628129435883</f>
        <v>628129435883</v>
      </c>
      <c r="N13266" s="17" t="s">
        <v>81</v>
      </c>
      <c r="V13266" s="18">
        <f>628129435883</f>
        <v>628129435883</v>
      </c>
    </row>
    <row r="13267" ht="15" customHeight="1" spans="1:28" x14ac:dyDescent="0.25">
      <c r="A13267" s="17" t="s">
        <v>35972</v>
      </c>
      <c r="B13267" s="17" t="s">
        <v>70</v>
      </c>
      <c r="C13267" s="17" t="s">
        <v>71</v>
      </c>
      <c r="D13267" t="s">
        <v>35971</v>
      </c>
      <c r="F13267" t="s">
        <v>35971</v>
      </c>
      <c r="J13267" t="s">
        <v>115</v>
      </c>
      <c r="K13267" s="18" t="s">
        <v>35973</v>
      </c>
      <c r="N13267" s="17" t="s">
        <v>77</v>
      </c>
      <c r="O13267" t="s">
        <v>117</v>
      </c>
      <c r="V13267" s="18" t="s">
        <v>35973</v>
      </c>
      <c r="Y13267" t="s">
        <v>190</v>
      </c>
      <c r="AA13267" t="s">
        <v>118</v>
      </c>
      <c r="AB13267" t="s">
        <v>119</v>
      </c>
    </row>
    <row r="13268" ht="15" customHeight="1" spans="1:28" x14ac:dyDescent="0.25">
      <c r="A13268" s="17" t="s">
        <v>35974</v>
      </c>
      <c r="B13268" s="17" t="s">
        <v>70</v>
      </c>
      <c r="C13268" s="17" t="s">
        <v>71</v>
      </c>
      <c r="D13268" t="s">
        <v>35971</v>
      </c>
      <c r="F13268" t="s">
        <v>35975</v>
      </c>
      <c r="J13268" s="17" t="s">
        <v>35976</v>
      </c>
      <c r="K13268" s="18" t="s">
        <v>35977</v>
      </c>
      <c r="N13268" s="17" t="s">
        <v>77</v>
      </c>
      <c r="O13268" t="s">
        <v>145</v>
      </c>
      <c r="U13268" s="17"/>
      <c r="V13268" s="18" t="s">
        <v>35977</v>
      </c>
      <c r="W13268" t="s">
        <v>35978</v>
      </c>
      <c r="Y13268" t="s">
        <v>1247</v>
      </c>
      <c r="AA13268" t="s">
        <v>115</v>
      </c>
      <c r="AB13268" t="s">
        <v>119</v>
      </c>
    </row>
    <row r="13269" ht="15" customHeight="1" spans="1:25" x14ac:dyDescent="0.25">
      <c r="A13269" s="17" t="s">
        <v>35979</v>
      </c>
      <c r="B13269" s="17" t="s">
        <v>70</v>
      </c>
      <c r="C13269" s="17" t="s">
        <v>71</v>
      </c>
      <c r="D13269" t="s">
        <v>35971</v>
      </c>
      <c r="F13269" t="s">
        <v>14722</v>
      </c>
      <c r="K13269" s="18">
        <f>6287897080730</f>
        <v>6287897080730</v>
      </c>
      <c r="N13269" s="17" t="s">
        <v>77</v>
      </c>
      <c r="V13269" s="18">
        <f>6287897080730</f>
        <v>6287897080730</v>
      </c>
      <c r="Y13269" s="17" t="s">
        <v>3028</v>
      </c>
    </row>
    <row r="13270" ht="15" customHeight="1" spans="1:22" x14ac:dyDescent="0.25">
      <c r="A13270" s="17" t="s">
        <v>35980</v>
      </c>
      <c r="B13270" s="17" t="s">
        <v>70</v>
      </c>
      <c r="C13270" s="17" t="s">
        <v>71</v>
      </c>
      <c r="D13270" t="s">
        <v>35971</v>
      </c>
      <c r="F13270" t="s">
        <v>35981</v>
      </c>
      <c r="K13270" s="18">
        <f>6282175811673</f>
        <v>6282175811673</v>
      </c>
      <c r="N13270" s="17" t="s">
        <v>77</v>
      </c>
      <c r="V13270" s="18">
        <f>6282175811673</f>
        <v>6282175811673</v>
      </c>
    </row>
    <row r="13271" ht="15" customHeight="1" spans="1:23" x14ac:dyDescent="0.25">
      <c r="A13271" s="17" t="s">
        <v>35982</v>
      </c>
      <c r="B13271" s="17" t="s">
        <v>70</v>
      </c>
      <c r="C13271" s="17" t="s">
        <v>71</v>
      </c>
      <c r="D13271" t="s">
        <v>35971</v>
      </c>
      <c r="F13271" t="s">
        <v>28721</v>
      </c>
      <c r="K13271" s="18">
        <f>6281280208885</f>
        <v>6281280208885</v>
      </c>
      <c r="N13271" s="17" t="s">
        <v>77</v>
      </c>
      <c r="U13271" s="17"/>
      <c r="V13271" s="18">
        <f>6281280208885</f>
        <v>6281280208885</v>
      </c>
      <c r="W13271" t="s">
        <v>35983</v>
      </c>
    </row>
    <row r="13272" ht="15" customHeight="1" spans="1:27" x14ac:dyDescent="0.25">
      <c r="A13272" s="17" t="s">
        <v>35984</v>
      </c>
      <c r="B13272" s="17" t="s">
        <v>70</v>
      </c>
      <c r="C13272" s="17" t="s">
        <v>71</v>
      </c>
      <c r="D13272" t="s">
        <v>35971</v>
      </c>
      <c r="F13272" t="s">
        <v>35985</v>
      </c>
      <c r="J13272" s="17" t="s">
        <v>35986</v>
      </c>
      <c r="K13272" s="18">
        <f>628161440686</f>
        <v>628161440686</v>
      </c>
      <c r="N13272" s="17" t="s">
        <v>77</v>
      </c>
      <c r="U13272" s="17"/>
      <c r="V13272" s="18">
        <f>628161440686</f>
        <v>628161440686</v>
      </c>
      <c r="W13272" t="s">
        <v>35987</v>
      </c>
      <c r="Y13272" s="17" t="s">
        <v>1084</v>
      </c>
      <c r="AA13272" s="17">
        <v>14460</v>
      </c>
    </row>
    <row r="13273" ht="15" customHeight="1" spans="1:28" x14ac:dyDescent="0.25">
      <c r="A13273" s="17" t="s">
        <v>35988</v>
      </c>
      <c r="B13273" s="17" t="s">
        <v>70</v>
      </c>
      <c r="C13273" s="17" t="s">
        <v>71</v>
      </c>
      <c r="D13273" t="s">
        <v>35971</v>
      </c>
      <c r="F13273" t="s">
        <v>35989</v>
      </c>
      <c r="J13273" s="17" t="s">
        <v>35990</v>
      </c>
      <c r="K13273" s="18" t="s">
        <v>35991</v>
      </c>
      <c r="N13273" s="17" t="s">
        <v>81</v>
      </c>
      <c r="O13273" t="s">
        <v>145</v>
      </c>
      <c r="V13273" s="18" t="s">
        <v>35991</v>
      </c>
      <c r="Y13273" t="s">
        <v>90</v>
      </c>
      <c r="AA13273" t="s">
        <v>118</v>
      </c>
      <c r="AB13273" t="s">
        <v>119</v>
      </c>
    </row>
    <row r="13274" ht="15" customHeight="1" spans="1:22" x14ac:dyDescent="0.25">
      <c r="A13274" s="17" t="s">
        <v>35992</v>
      </c>
      <c r="B13274" s="17" t="s">
        <v>70</v>
      </c>
      <c r="C13274" s="17" t="s">
        <v>71</v>
      </c>
      <c r="D13274" t="s">
        <v>35971</v>
      </c>
      <c r="F13274" t="s">
        <v>153</v>
      </c>
      <c r="K13274" s="18">
        <f>62818125050</f>
        <v>62818125050</v>
      </c>
      <c r="N13274" s="17" t="s">
        <v>74</v>
      </c>
      <c r="V13274" s="18">
        <f>62818125050</f>
        <v>62818125050</v>
      </c>
    </row>
    <row r="13275" ht="15" customHeight="1" spans="1:22" x14ac:dyDescent="0.25">
      <c r="A13275" s="17" t="s">
        <v>35993</v>
      </c>
      <c r="B13275" s="17" t="s">
        <v>70</v>
      </c>
      <c r="C13275" s="17" t="s">
        <v>71</v>
      </c>
      <c r="D13275" t="s">
        <v>35994</v>
      </c>
      <c r="F13275" t="s">
        <v>35994</v>
      </c>
      <c r="K13275" s="18">
        <f>62818808872346</f>
        <v>62818808872346</v>
      </c>
      <c r="N13275" s="17" t="s">
        <v>81</v>
      </c>
      <c r="V13275" s="18">
        <f>62818808872346</f>
        <v>62818808872346</v>
      </c>
    </row>
    <row r="13276" ht="15" customHeight="1" spans="1:23" x14ac:dyDescent="0.25">
      <c r="A13276" s="17" t="s">
        <v>35995</v>
      </c>
      <c r="B13276" s="17" t="s">
        <v>70</v>
      </c>
      <c r="C13276" s="17" t="s">
        <v>71</v>
      </c>
      <c r="D13276" t="s">
        <v>35994</v>
      </c>
      <c r="F13276" t="s">
        <v>35996</v>
      </c>
      <c r="K13276" s="18">
        <f>6281386957889</f>
        <v>6281386957889</v>
      </c>
      <c r="N13276" s="17" t="s">
        <v>81</v>
      </c>
      <c r="U13276" s="17"/>
      <c r="V13276" s="18">
        <f>6281386957889</f>
        <v>6281386957889</v>
      </c>
      <c r="W13276" t="s">
        <v>35997</v>
      </c>
    </row>
    <row r="13277" ht="15" customHeight="1" spans="1:23" x14ac:dyDescent="0.25">
      <c r="A13277" s="17" t="s">
        <v>35998</v>
      </c>
      <c r="B13277" s="17" t="s">
        <v>70</v>
      </c>
      <c r="C13277" s="17" t="s">
        <v>71</v>
      </c>
      <c r="D13277" t="s">
        <v>35994</v>
      </c>
      <c r="F13277" t="s">
        <v>2957</v>
      </c>
      <c r="K13277" s="18">
        <f>628121020773</f>
        <v>628121020773</v>
      </c>
      <c r="N13277" s="17" t="s">
        <v>77</v>
      </c>
      <c r="U13277" s="17"/>
      <c r="V13277" s="18">
        <f>628121020773</f>
        <v>628121020773</v>
      </c>
      <c r="W13277" t="s">
        <v>35999</v>
      </c>
    </row>
    <row r="13278" ht="15" customHeight="1" spans="1:22" x14ac:dyDescent="0.25">
      <c r="A13278" s="17" t="s">
        <v>36000</v>
      </c>
      <c r="B13278" s="17" t="s">
        <v>70</v>
      </c>
      <c r="C13278" s="17" t="s">
        <v>71</v>
      </c>
      <c r="D13278" t="s">
        <v>35994</v>
      </c>
      <c r="F13278" t="s">
        <v>8970</v>
      </c>
      <c r="K13278" s="18">
        <f>6281212219660</f>
        <v>6281212219660</v>
      </c>
      <c r="N13278" s="17" t="s">
        <v>77</v>
      </c>
      <c r="V13278" s="18">
        <f>6281212219660</f>
        <v>6281212219660</v>
      </c>
    </row>
    <row r="13279" ht="15" customHeight="1" spans="1:22" x14ac:dyDescent="0.25">
      <c r="A13279" s="17" t="s">
        <v>36001</v>
      </c>
      <c r="B13279" s="17" t="s">
        <v>70</v>
      </c>
      <c r="C13279" s="17" t="s">
        <v>71</v>
      </c>
      <c r="D13279" t="s">
        <v>35994</v>
      </c>
      <c r="F13279" t="s">
        <v>36002</v>
      </c>
      <c r="K13279" s="18">
        <f>6281210742189</f>
        <v>6281210742189</v>
      </c>
      <c r="N13279" s="17" t="s">
        <v>77</v>
      </c>
      <c r="V13279" s="18">
        <f>6281210742189</f>
        <v>6281210742189</v>
      </c>
    </row>
    <row r="13280" ht="15" customHeight="1" spans="1:27" x14ac:dyDescent="0.25">
      <c r="A13280" s="17" t="s">
        <v>36003</v>
      </c>
      <c r="B13280" s="17" t="s">
        <v>70</v>
      </c>
      <c r="C13280" s="17" t="s">
        <v>71</v>
      </c>
      <c r="D13280" t="s">
        <v>36004</v>
      </c>
      <c r="F13280" t="s">
        <v>36005</v>
      </c>
      <c r="J13280" s="17" t="s">
        <v>36006</v>
      </c>
      <c r="K13280" s="18">
        <f>62818973033</f>
        <v>62818973033</v>
      </c>
      <c r="N13280" s="17" t="s">
        <v>77</v>
      </c>
      <c r="U13280" s="17"/>
      <c r="V13280" s="18">
        <f>62818973033</f>
        <v>62818973033</v>
      </c>
      <c r="W13280" t="s">
        <v>36007</v>
      </c>
      <c r="Y13280" s="17" t="s">
        <v>2953</v>
      </c>
      <c r="AA13280" s="17">
        <v>11510</v>
      </c>
    </row>
    <row r="13281" ht="15" customHeight="1" spans="1:27" x14ac:dyDescent="0.25">
      <c r="A13281" s="17" t="s">
        <v>36008</v>
      </c>
      <c r="B13281" s="17" t="s">
        <v>70</v>
      </c>
      <c r="C13281" s="17" t="s">
        <v>71</v>
      </c>
      <c r="D13281" t="s">
        <v>36009</v>
      </c>
      <c r="F13281" t="s">
        <v>36010</v>
      </c>
      <c r="J13281" s="17" t="s">
        <v>36011</v>
      </c>
      <c r="K13281" s="18">
        <f>6281908269627</f>
        <v>6281908269627</v>
      </c>
      <c r="N13281" s="17" t="s">
        <v>77</v>
      </c>
      <c r="U13281" s="17"/>
      <c r="V13281" s="18">
        <f>6281908269627</f>
        <v>6281908269627</v>
      </c>
      <c r="W13281" t="s">
        <v>36012</v>
      </c>
      <c r="Y13281" s="17" t="s">
        <v>36013</v>
      </c>
      <c r="AA13281" s="17">
        <v>11730</v>
      </c>
    </row>
    <row r="13282" ht="15" customHeight="1" spans="1:22" x14ac:dyDescent="0.25">
      <c r="A13282" s="17" t="s">
        <v>36014</v>
      </c>
      <c r="B13282" s="17" t="s">
        <v>70</v>
      </c>
      <c r="C13282" s="17" t="s">
        <v>71</v>
      </c>
      <c r="D13282" t="s">
        <v>36015</v>
      </c>
      <c r="F13282" t="s">
        <v>1169</v>
      </c>
      <c r="K13282" s="18">
        <f>62818823919</f>
        <v>62818823919</v>
      </c>
      <c r="N13282" s="17" t="s">
        <v>81</v>
      </c>
      <c r="V13282" s="18">
        <f>62818823919</f>
        <v>62818823919</v>
      </c>
    </row>
    <row r="13283" ht="15" customHeight="1" spans="1:27" x14ac:dyDescent="0.25">
      <c r="A13283" s="17" t="s">
        <v>36016</v>
      </c>
      <c r="B13283" s="17" t="s">
        <v>70</v>
      </c>
      <c r="C13283" s="17" t="s">
        <v>71</v>
      </c>
      <c r="D13283" t="s">
        <v>36017</v>
      </c>
      <c r="F13283" t="s">
        <v>36017</v>
      </c>
      <c r="K13283" s="18">
        <v>3454031</v>
      </c>
      <c r="N13283" s="17" t="s">
        <v>77</v>
      </c>
      <c r="U13283" s="17"/>
      <c r="V13283" s="18">
        <v>3454031</v>
      </c>
      <c r="W13283" t="s">
        <v>36018</v>
      </c>
      <c r="Y13283" s="17" t="s">
        <v>378</v>
      </c>
      <c r="AA13283" s="17" t="s">
        <v>36019</v>
      </c>
    </row>
    <row r="13284" ht="15" customHeight="1" spans="1:28" x14ac:dyDescent="0.25">
      <c r="A13284" s="17" t="s">
        <v>36020</v>
      </c>
      <c r="B13284" s="17" t="s">
        <v>70</v>
      </c>
      <c r="C13284" s="17" t="s">
        <v>71</v>
      </c>
      <c r="D13284" t="s">
        <v>36021</v>
      </c>
      <c r="F13284" t="s">
        <v>6491</v>
      </c>
      <c r="J13284" s="17" t="s">
        <v>36022</v>
      </c>
      <c r="K13284" s="18" t="s">
        <v>36023</v>
      </c>
      <c r="N13284" s="17" t="s">
        <v>77</v>
      </c>
      <c r="O13284" t="s">
        <v>145</v>
      </c>
      <c r="V13284" s="18" t="s">
        <v>36023</v>
      </c>
      <c r="Y13284" s="17" t="s">
        <v>1909</v>
      </c>
      <c r="AA13284" t="s">
        <v>115</v>
      </c>
      <c r="AB13284" t="s">
        <v>1909</v>
      </c>
    </row>
    <row r="13285" ht="15" customHeight="1" spans="1:23" x14ac:dyDescent="0.25">
      <c r="A13285" s="17" t="s">
        <v>36024</v>
      </c>
      <c r="B13285" s="17" t="s">
        <v>70</v>
      </c>
      <c r="C13285" s="17" t="s">
        <v>71</v>
      </c>
      <c r="D13285" t="s">
        <v>36025</v>
      </c>
      <c r="F13285" t="s">
        <v>36026</v>
      </c>
      <c r="K13285" s="18">
        <f>904231</f>
        <v>904231</v>
      </c>
      <c r="N13285" s="17" t="s">
        <v>77</v>
      </c>
      <c r="U13285" s="17"/>
      <c r="V13285" s="18">
        <f>904231</f>
        <v>904231</v>
      </c>
      <c r="W13285" t="s">
        <v>36027</v>
      </c>
    </row>
    <row r="13286" ht="15" customHeight="1" spans="1:23" x14ac:dyDescent="0.25">
      <c r="A13286" s="17" t="s">
        <v>36028</v>
      </c>
      <c r="B13286" s="17" t="s">
        <v>70</v>
      </c>
      <c r="C13286" s="17" t="s">
        <v>71</v>
      </c>
      <c r="D13286" t="s">
        <v>36029</v>
      </c>
      <c r="F13286" t="s">
        <v>31206</v>
      </c>
      <c r="K13286" s="18">
        <f>622165833600</f>
        <v>622165833600</v>
      </c>
      <c r="N13286" s="17" t="s">
        <v>77</v>
      </c>
      <c r="U13286" s="17"/>
      <c r="V13286" s="18">
        <f>622165833600</f>
        <v>622165833600</v>
      </c>
      <c r="W13286" t="s">
        <v>36030</v>
      </c>
    </row>
    <row r="13287" ht="15" customHeight="1" spans="1:22" x14ac:dyDescent="0.25">
      <c r="A13287" s="17" t="s">
        <v>36031</v>
      </c>
      <c r="B13287" s="17" t="s">
        <v>70</v>
      </c>
      <c r="C13287" s="17" t="s">
        <v>71</v>
      </c>
      <c r="D13287" t="s">
        <v>36032</v>
      </c>
      <c r="F13287" t="s">
        <v>36033</v>
      </c>
      <c r="J13287" s="17" t="s">
        <v>36034</v>
      </c>
      <c r="K13287" s="18">
        <f>6281399991987</f>
        <v>6281399991987</v>
      </c>
      <c r="N13287" s="17" t="s">
        <v>77</v>
      </c>
      <c r="V13287" s="18">
        <f>6281399991987</f>
        <v>6281399991987</v>
      </c>
    </row>
    <row r="13288" ht="15" customHeight="1" spans="1:28" x14ac:dyDescent="0.25">
      <c r="A13288" s="17" t="s">
        <v>36035</v>
      </c>
      <c r="B13288" s="17" t="s">
        <v>70</v>
      </c>
      <c r="C13288" s="17" t="s">
        <v>71</v>
      </c>
      <c r="D13288" t="s">
        <v>33171</v>
      </c>
      <c r="F13288" t="s">
        <v>15347</v>
      </c>
      <c r="J13288" t="s">
        <v>115</v>
      </c>
      <c r="K13288" s="18" t="s">
        <v>36036</v>
      </c>
      <c r="N13288" s="17" t="s">
        <v>77</v>
      </c>
      <c r="O13288" t="s">
        <v>117</v>
      </c>
      <c r="V13288" s="18" t="s">
        <v>36036</v>
      </c>
      <c r="Y13288" t="s">
        <v>115</v>
      </c>
      <c r="AA13288" t="s">
        <v>115</v>
      </c>
      <c r="AB13288" t="s">
        <v>119</v>
      </c>
    </row>
    <row r="13289" ht="15" customHeight="1" spans="1:28" x14ac:dyDescent="0.25">
      <c r="A13289" s="17" t="s">
        <v>36037</v>
      </c>
      <c r="B13289" s="17" t="s">
        <v>70</v>
      </c>
      <c r="C13289" s="17" t="s">
        <v>71</v>
      </c>
      <c r="D13289" t="s">
        <v>36038</v>
      </c>
      <c r="F13289" t="s">
        <v>36039</v>
      </c>
      <c r="J13289" t="s">
        <v>115</v>
      </c>
      <c r="K13289" s="18" t="s">
        <v>36040</v>
      </c>
      <c r="N13289" s="17" t="s">
        <v>77</v>
      </c>
      <c r="O13289" t="s">
        <v>117</v>
      </c>
      <c r="U13289" s="17"/>
      <c r="V13289" s="18" t="s">
        <v>36040</v>
      </c>
      <c r="W13289" t="s">
        <v>36041</v>
      </c>
      <c r="Y13289" s="17" t="s">
        <v>90</v>
      </c>
      <c r="AA13289" t="s">
        <v>118</v>
      </c>
      <c r="AB13289" t="s">
        <v>119</v>
      </c>
    </row>
    <row r="13290" ht="15" customHeight="1" spans="1:22" x14ac:dyDescent="0.25">
      <c r="A13290" s="17" t="s">
        <v>36042</v>
      </c>
      <c r="B13290" s="17" t="s">
        <v>70</v>
      </c>
      <c r="C13290" s="17" t="s">
        <v>71</v>
      </c>
      <c r="D13290" t="s">
        <v>33171</v>
      </c>
      <c r="F13290" t="s">
        <v>36043</v>
      </c>
      <c r="J13290" s="17" t="s">
        <v>36044</v>
      </c>
      <c r="K13290" s="18">
        <f>6281296999889</f>
        <v>6281296999889</v>
      </c>
      <c r="N13290" s="17" t="s">
        <v>81</v>
      </c>
      <c r="V13290" s="18">
        <f>6281296999889</f>
        <v>6281296999889</v>
      </c>
    </row>
    <row r="13291" ht="15" customHeight="1" spans="1:22" x14ac:dyDescent="0.25">
      <c r="A13291" s="17" t="s">
        <v>36045</v>
      </c>
      <c r="B13291" s="17" t="s">
        <v>70</v>
      </c>
      <c r="C13291" s="17" t="s">
        <v>71</v>
      </c>
      <c r="D13291" t="s">
        <v>36046</v>
      </c>
      <c r="F13291" t="s">
        <v>12860</v>
      </c>
      <c r="J13291" s="17" t="s">
        <v>36047</v>
      </c>
      <c r="K13291" s="18">
        <f>6281210015522</f>
        <v>6281210015522</v>
      </c>
      <c r="N13291" s="17" t="s">
        <v>77</v>
      </c>
      <c r="V13291" s="18">
        <f>6281210015522</f>
        <v>6281210015522</v>
      </c>
    </row>
    <row r="13292" ht="15" customHeight="1" spans="1:22" x14ac:dyDescent="0.25">
      <c r="A13292" s="17" t="s">
        <v>36048</v>
      </c>
      <c r="B13292" s="17" t="s">
        <v>70</v>
      </c>
      <c r="C13292" s="17" t="s">
        <v>71</v>
      </c>
      <c r="D13292" t="s">
        <v>36046</v>
      </c>
      <c r="F13292" t="s">
        <v>20752</v>
      </c>
      <c r="K13292" s="18">
        <f>6289627895626</f>
        <v>6289627895626</v>
      </c>
      <c r="N13292" s="17" t="s">
        <v>81</v>
      </c>
      <c r="V13292" s="18">
        <f>6289627895626</f>
        <v>6289627895626</v>
      </c>
    </row>
    <row r="13293" ht="15" customHeight="1" spans="1:22" x14ac:dyDescent="0.25">
      <c r="A13293" s="17" t="s">
        <v>36049</v>
      </c>
      <c r="B13293" s="17" t="s">
        <v>70</v>
      </c>
      <c r="C13293" s="17" t="s">
        <v>71</v>
      </c>
      <c r="D13293" t="s">
        <v>36050</v>
      </c>
      <c r="F13293" t="s">
        <v>36051</v>
      </c>
      <c r="K13293" s="18">
        <f>628155216061</f>
        <v>628155216061</v>
      </c>
      <c r="N13293" s="17" t="s">
        <v>77</v>
      </c>
      <c r="V13293" s="18">
        <f>628155216061</f>
        <v>628155216061</v>
      </c>
    </row>
    <row r="13294" ht="15" customHeight="1" spans="1:28" x14ac:dyDescent="0.25">
      <c r="A13294" s="17" t="s">
        <v>36052</v>
      </c>
      <c r="B13294" s="17" t="s">
        <v>70</v>
      </c>
      <c r="C13294" s="17" t="s">
        <v>71</v>
      </c>
      <c r="D13294" t="s">
        <v>36053</v>
      </c>
      <c r="F13294" t="s">
        <v>414</v>
      </c>
      <c r="J13294" t="s">
        <v>115</v>
      </c>
      <c r="K13294" s="18" t="s">
        <v>36054</v>
      </c>
      <c r="N13294" s="17" t="s">
        <v>77</v>
      </c>
      <c r="O13294" t="s">
        <v>145</v>
      </c>
      <c r="V13294" s="18" t="s">
        <v>36054</v>
      </c>
      <c r="Y13294" t="s">
        <v>90</v>
      </c>
      <c r="AA13294" t="s">
        <v>118</v>
      </c>
      <c r="AB13294" t="s">
        <v>119</v>
      </c>
    </row>
    <row r="13295" ht="15" customHeight="1" spans="1:27" x14ac:dyDescent="0.25">
      <c r="A13295" s="17" t="s">
        <v>36055</v>
      </c>
      <c r="B13295" s="17" t="s">
        <v>70</v>
      </c>
      <c r="C13295" s="17" t="s">
        <v>71</v>
      </c>
      <c r="D13295" t="s">
        <v>19845</v>
      </c>
      <c r="F13295" t="s">
        <v>19845</v>
      </c>
      <c r="K13295" s="18">
        <v>65306576</v>
      </c>
      <c r="N13295" s="17" t="s">
        <v>74</v>
      </c>
      <c r="U13295" s="17"/>
      <c r="V13295" s="18">
        <v>65306576</v>
      </c>
      <c r="W13295" t="s">
        <v>36056</v>
      </c>
      <c r="Y13295" s="17" t="s">
        <v>1084</v>
      </c>
      <c r="AA13295" s="17" t="s">
        <v>36057</v>
      </c>
    </row>
    <row r="13296" ht="15" customHeight="1" spans="1:22" x14ac:dyDescent="0.25">
      <c r="A13296" s="17" t="s">
        <v>36058</v>
      </c>
      <c r="B13296" s="17" t="s">
        <v>70</v>
      </c>
      <c r="C13296" s="17" t="s">
        <v>71</v>
      </c>
      <c r="D13296" t="s">
        <v>36059</v>
      </c>
      <c r="F13296" t="s">
        <v>36060</v>
      </c>
      <c r="K13296" s="18">
        <f>62811812088</f>
        <v>62811812088</v>
      </c>
      <c r="N13296" s="17" t="s">
        <v>77</v>
      </c>
      <c r="V13296" s="18">
        <f>62811812088</f>
        <v>62811812088</v>
      </c>
    </row>
    <row r="13297" ht="15" customHeight="1" spans="1:27" x14ac:dyDescent="0.25">
      <c r="A13297" s="17" t="s">
        <v>36061</v>
      </c>
      <c r="B13297" s="17" t="s">
        <v>70</v>
      </c>
      <c r="C13297" s="17" t="s">
        <v>71</v>
      </c>
      <c r="D13297" t="s">
        <v>3692</v>
      </c>
      <c r="F13297" t="s">
        <v>3692</v>
      </c>
      <c r="K13297" s="18">
        <f>62816888870</f>
        <v>62816888870</v>
      </c>
      <c r="N13297" s="17" t="s">
        <v>74</v>
      </c>
      <c r="U13297" s="17"/>
      <c r="V13297" s="18">
        <f>62816888870</f>
        <v>62816888870</v>
      </c>
      <c r="W13297" t="s">
        <v>36062</v>
      </c>
      <c r="Y13297" s="17" t="s">
        <v>96</v>
      </c>
      <c r="AA13297" s="17" t="s">
        <v>23130</v>
      </c>
    </row>
    <row r="13298" ht="15" customHeight="1" spans="1:22" x14ac:dyDescent="0.25">
      <c r="A13298" s="17" t="s">
        <v>36063</v>
      </c>
      <c r="B13298" s="17" t="s">
        <v>70</v>
      </c>
      <c r="C13298" s="17" t="s">
        <v>71</v>
      </c>
      <c r="D13298" t="s">
        <v>36064</v>
      </c>
      <c r="F13298" t="s">
        <v>2108</v>
      </c>
      <c r="J13298" s="17" t="s">
        <v>36065</v>
      </c>
      <c r="K13298" s="18">
        <f>6281297973067</f>
        <v>6281297973067</v>
      </c>
      <c r="N13298" s="17" t="s">
        <v>77</v>
      </c>
      <c r="V13298" s="18">
        <f>6281297973067</f>
        <v>6281297973067</v>
      </c>
    </row>
    <row r="13299" ht="15" customHeight="1" spans="1:23" x14ac:dyDescent="0.25">
      <c r="A13299" s="17" t="s">
        <v>36066</v>
      </c>
      <c r="B13299" s="17" t="s">
        <v>70</v>
      </c>
      <c r="C13299" s="17" t="s">
        <v>71</v>
      </c>
      <c r="D13299" t="s">
        <v>36067</v>
      </c>
      <c r="F13299" t="s">
        <v>36068</v>
      </c>
      <c r="K13299" s="18">
        <f>8201094985980</f>
        <v>8201094985980</v>
      </c>
      <c r="N13299" s="17" t="s">
        <v>77</v>
      </c>
      <c r="U13299" s="17"/>
      <c r="V13299" s="18">
        <f>8201094985980</f>
        <v>8201094985980</v>
      </c>
      <c r="W13299" t="s">
        <v>7007</v>
      </c>
    </row>
    <row r="13300" ht="15" customHeight="1" spans="1:22" x14ac:dyDescent="0.25">
      <c r="A13300" s="17" t="s">
        <v>36069</v>
      </c>
      <c r="B13300" s="17" t="s">
        <v>70</v>
      </c>
      <c r="C13300" s="17" t="s">
        <v>71</v>
      </c>
      <c r="D13300" t="s">
        <v>36067</v>
      </c>
      <c r="F13300" t="s">
        <v>22648</v>
      </c>
      <c r="J13300" s="17" t="s">
        <v>36070</v>
      </c>
      <c r="K13300" s="18">
        <f>6281310691924</f>
        <v>6281310691924</v>
      </c>
      <c r="N13300" s="17" t="s">
        <v>81</v>
      </c>
      <c r="V13300" s="18">
        <f>6281310691924</f>
        <v>6281310691924</v>
      </c>
    </row>
    <row r="13301" ht="15" customHeight="1" spans="1:22" x14ac:dyDescent="0.25">
      <c r="A13301" s="17" t="s">
        <v>36071</v>
      </c>
      <c r="B13301" s="17" t="s">
        <v>70</v>
      </c>
      <c r="C13301" s="17" t="s">
        <v>71</v>
      </c>
      <c r="D13301" t="s">
        <v>36067</v>
      </c>
      <c r="F13301" t="s">
        <v>150</v>
      </c>
      <c r="J13301" s="17" t="s">
        <v>36072</v>
      </c>
      <c r="K13301" s="18">
        <f>628111353452</f>
        <v>628111353452</v>
      </c>
      <c r="N13301" s="17" t="s">
        <v>81</v>
      </c>
      <c r="V13301" s="18">
        <f>628111353452</f>
        <v>628111353452</v>
      </c>
    </row>
    <row r="13302" ht="15" customHeight="1" spans="1:28" x14ac:dyDescent="0.25">
      <c r="A13302" s="17" t="s">
        <v>36073</v>
      </c>
      <c r="B13302" s="17" t="s">
        <v>70</v>
      </c>
      <c r="C13302" s="17" t="s">
        <v>71</v>
      </c>
      <c r="D13302" t="s">
        <v>36074</v>
      </c>
      <c r="F13302" t="s">
        <v>21059</v>
      </c>
      <c r="J13302" s="17" t="s">
        <v>36075</v>
      </c>
      <c r="K13302" s="18" t="s">
        <v>36076</v>
      </c>
      <c r="N13302" s="17" t="s">
        <v>77</v>
      </c>
      <c r="O13302" t="s">
        <v>145</v>
      </c>
      <c r="V13302" s="18" t="s">
        <v>36076</v>
      </c>
      <c r="Y13302" t="s">
        <v>115</v>
      </c>
      <c r="AA13302" t="s">
        <v>115</v>
      </c>
      <c r="AB13302" t="s">
        <v>16695</v>
      </c>
    </row>
    <row r="13303" ht="15" customHeight="1" spans="1:25" x14ac:dyDescent="0.25">
      <c r="A13303" s="17" t="s">
        <v>36077</v>
      </c>
      <c r="B13303" s="17" t="s">
        <v>70</v>
      </c>
      <c r="C13303" s="17" t="s">
        <v>71</v>
      </c>
      <c r="D13303" t="s">
        <v>36078</v>
      </c>
      <c r="F13303" t="s">
        <v>36079</v>
      </c>
      <c r="K13303" s="18">
        <f>6283895225699</f>
        <v>6283895225699</v>
      </c>
      <c r="N13303" s="17" t="s">
        <v>81</v>
      </c>
      <c r="U13303" s="17"/>
      <c r="V13303" s="18">
        <f>6283895225699</f>
        <v>6283895225699</v>
      </c>
      <c r="W13303" t="s">
        <v>36080</v>
      </c>
      <c r="Y13303" s="17" t="s">
        <v>626</v>
      </c>
    </row>
    <row r="13304" ht="15" customHeight="1" spans="1:22" x14ac:dyDescent="0.25">
      <c r="A13304" s="17" t="s">
        <v>36081</v>
      </c>
      <c r="B13304" s="17" t="s">
        <v>70</v>
      </c>
      <c r="C13304" s="17" t="s">
        <v>71</v>
      </c>
      <c r="D13304" t="s">
        <v>36082</v>
      </c>
      <c r="F13304" t="s">
        <v>36083</v>
      </c>
      <c r="K13304" s="18">
        <f>62811838388</f>
        <v>62811838388</v>
      </c>
      <c r="N13304" s="17" t="s">
        <v>77</v>
      </c>
      <c r="V13304" s="18">
        <f>62811838388</f>
        <v>62811838388</v>
      </c>
    </row>
    <row r="13305" ht="15" customHeight="1" spans="1:25" x14ac:dyDescent="0.25">
      <c r="A13305" s="17" t="s">
        <v>36084</v>
      </c>
      <c r="B13305" s="17" t="s">
        <v>70</v>
      </c>
      <c r="C13305" s="17" t="s">
        <v>71</v>
      </c>
      <c r="D13305" t="s">
        <v>24635</v>
      </c>
      <c r="F13305" t="s">
        <v>24635</v>
      </c>
      <c r="K13305" s="18">
        <v>65833280</v>
      </c>
      <c r="N13305" s="17" t="s">
        <v>77</v>
      </c>
      <c r="U13305" s="17"/>
      <c r="V13305" s="18">
        <v>65833280</v>
      </c>
      <c r="W13305" t="s">
        <v>36085</v>
      </c>
      <c r="Y13305" s="17" t="s">
        <v>1084</v>
      </c>
    </row>
    <row r="13306" ht="15" customHeight="1" spans="1:28" x14ac:dyDescent="0.25">
      <c r="A13306" s="17" t="s">
        <v>36086</v>
      </c>
      <c r="B13306" s="17" t="s">
        <v>70</v>
      </c>
      <c r="C13306" s="17" t="s">
        <v>71</v>
      </c>
      <c r="D13306" t="s">
        <v>36087</v>
      </c>
      <c r="F13306" t="s">
        <v>36088</v>
      </c>
      <c r="J13306" t="s">
        <v>115</v>
      </c>
      <c r="K13306" s="18" t="s">
        <v>36089</v>
      </c>
      <c r="N13306" s="17" t="s">
        <v>81</v>
      </c>
      <c r="O13306" t="s">
        <v>261</v>
      </c>
      <c r="U13306" s="17"/>
      <c r="V13306" s="18" t="s">
        <v>36089</v>
      </c>
      <c r="W13306" t="s">
        <v>36090</v>
      </c>
      <c r="Y13306" s="17" t="s">
        <v>500</v>
      </c>
      <c r="AA13306" t="s">
        <v>501</v>
      </c>
      <c r="AB13306" t="s">
        <v>119</v>
      </c>
    </row>
    <row r="13307" ht="15" customHeight="1" spans="1:22" x14ac:dyDescent="0.25">
      <c r="A13307" s="17" t="s">
        <v>36091</v>
      </c>
      <c r="B13307" s="17" t="s">
        <v>70</v>
      </c>
      <c r="C13307" s="17" t="s">
        <v>71</v>
      </c>
      <c r="D13307" t="s">
        <v>36092</v>
      </c>
      <c r="F13307" t="s">
        <v>36092</v>
      </c>
      <c r="K13307" s="18">
        <f>6287881370516</f>
        <v>6287881370516</v>
      </c>
      <c r="N13307" s="17" t="s">
        <v>77</v>
      </c>
      <c r="V13307" s="18">
        <f>6287881370516</f>
        <v>6287881370516</v>
      </c>
    </row>
    <row r="13308" ht="15" customHeight="1" spans="1:22" x14ac:dyDescent="0.25">
      <c r="A13308" s="17" t="s">
        <v>36093</v>
      </c>
      <c r="B13308" s="17" t="s">
        <v>70</v>
      </c>
      <c r="C13308" s="17" t="s">
        <v>71</v>
      </c>
      <c r="D13308" t="s">
        <v>36092</v>
      </c>
      <c r="F13308" t="s">
        <v>7914</v>
      </c>
      <c r="K13308" s="18">
        <f>628111313164</f>
        <v>628111313164</v>
      </c>
      <c r="N13308" s="17" t="s">
        <v>81</v>
      </c>
      <c r="V13308" s="18">
        <f>628111313164</f>
        <v>628111313164</v>
      </c>
    </row>
    <row r="13309" ht="15" customHeight="1" spans="1:22" x14ac:dyDescent="0.25">
      <c r="A13309" s="17" t="s">
        <v>36094</v>
      </c>
      <c r="B13309" s="17" t="s">
        <v>70</v>
      </c>
      <c r="C13309" s="17" t="s">
        <v>71</v>
      </c>
      <c r="D13309" t="s">
        <v>36095</v>
      </c>
      <c r="F13309" t="s">
        <v>36096</v>
      </c>
      <c r="K13309" s="18">
        <f>6287884651102</f>
        <v>6287884651102</v>
      </c>
      <c r="N13309" s="17" t="s">
        <v>77</v>
      </c>
      <c r="V13309" s="18">
        <f>6287884651102</f>
        <v>6287884651102</v>
      </c>
    </row>
    <row r="13310" ht="15" customHeight="1" spans="1:23" x14ac:dyDescent="0.25">
      <c r="A13310" s="17" t="s">
        <v>36097</v>
      </c>
      <c r="B13310" s="17" t="s">
        <v>70</v>
      </c>
      <c r="C13310" s="17" t="s">
        <v>71</v>
      </c>
      <c r="D13310" t="s">
        <v>36098</v>
      </c>
      <c r="F13310" t="s">
        <v>11651</v>
      </c>
      <c r="K13310" s="18">
        <f>971585382112</f>
        <v>971585382112</v>
      </c>
      <c r="N13310" s="17" t="s">
        <v>77</v>
      </c>
      <c r="U13310" s="17"/>
      <c r="V13310" s="18">
        <f>971585382112</f>
        <v>971585382112</v>
      </c>
      <c r="W13310" t="s">
        <v>1908</v>
      </c>
    </row>
    <row r="13311" ht="15" customHeight="1" spans="1:22" x14ac:dyDescent="0.25">
      <c r="A13311" s="17" t="s">
        <v>36099</v>
      </c>
      <c r="B13311" s="17" t="s">
        <v>70</v>
      </c>
      <c r="C13311" s="17" t="s">
        <v>71</v>
      </c>
      <c r="D13311" t="s">
        <v>36100</v>
      </c>
      <c r="F13311" t="s">
        <v>36100</v>
      </c>
      <c r="K13311" s="18">
        <f>6281355556022</f>
        <v>6281355556022</v>
      </c>
      <c r="N13311" s="17" t="s">
        <v>77</v>
      </c>
      <c r="V13311" s="18">
        <f>6281355556022</f>
        <v>6281355556022</v>
      </c>
    </row>
    <row r="13312" ht="15" customHeight="1" spans="1:28" x14ac:dyDescent="0.25">
      <c r="A13312" s="17" t="s">
        <v>36101</v>
      </c>
      <c r="B13312" s="17" t="s">
        <v>70</v>
      </c>
      <c r="C13312" s="17" t="s">
        <v>71</v>
      </c>
      <c r="D13312" t="s">
        <v>36102</v>
      </c>
      <c r="F13312" t="s">
        <v>32337</v>
      </c>
      <c r="J13312" t="s">
        <v>115</v>
      </c>
      <c r="K13312" s="18" t="s">
        <v>36103</v>
      </c>
      <c r="N13312" s="17" t="s">
        <v>74</v>
      </c>
      <c r="O13312" t="s">
        <v>117</v>
      </c>
      <c r="V13312" s="18" t="s">
        <v>36103</v>
      </c>
      <c r="Y13312" t="s">
        <v>190</v>
      </c>
      <c r="AA13312" t="s">
        <v>118</v>
      </c>
      <c r="AB13312" t="s">
        <v>119</v>
      </c>
    </row>
    <row r="13313" ht="15" customHeight="1" spans="1:22" x14ac:dyDescent="0.25">
      <c r="A13313" s="17" t="s">
        <v>36104</v>
      </c>
      <c r="B13313" s="17" t="s">
        <v>70</v>
      </c>
      <c r="C13313" s="17" t="s">
        <v>71</v>
      </c>
      <c r="D13313" t="s">
        <v>36105</v>
      </c>
      <c r="F13313" t="s">
        <v>209</v>
      </c>
      <c r="K13313" s="18">
        <f>628121271288</f>
        <v>628121271288</v>
      </c>
      <c r="N13313" s="17" t="s">
        <v>77</v>
      </c>
      <c r="V13313" s="18">
        <f>628121271288</f>
        <v>628121271288</v>
      </c>
    </row>
    <row r="13314" ht="15" customHeight="1" spans="1:22" x14ac:dyDescent="0.25">
      <c r="A13314" s="17" t="s">
        <v>36106</v>
      </c>
      <c r="B13314" s="17" t="s">
        <v>70</v>
      </c>
      <c r="C13314" s="17" t="s">
        <v>71</v>
      </c>
      <c r="D13314" t="s">
        <v>36107</v>
      </c>
      <c r="F13314" t="s">
        <v>36108</v>
      </c>
      <c r="K13314" s="18">
        <f>6227651881</f>
        <v>6227651881</v>
      </c>
      <c r="N13314" s="17" t="s">
        <v>77</v>
      </c>
      <c r="V13314" s="18">
        <f>6227651881</f>
        <v>6227651881</v>
      </c>
    </row>
    <row r="13315" ht="15" customHeight="1" spans="1:22" x14ac:dyDescent="0.25">
      <c r="A13315" s="17" t="s">
        <v>36109</v>
      </c>
      <c r="B13315" s="17" t="s">
        <v>70</v>
      </c>
      <c r="C13315" s="17" t="s">
        <v>71</v>
      </c>
      <c r="D13315" t="s">
        <v>36110</v>
      </c>
      <c r="F13315" t="s">
        <v>114</v>
      </c>
      <c r="K13315" s="18">
        <f>6281313123123</f>
        <v>6281313123123</v>
      </c>
      <c r="N13315" s="17" t="s">
        <v>74</v>
      </c>
      <c r="V13315" s="18">
        <f>6281313123123</f>
        <v>6281313123123</v>
      </c>
    </row>
    <row r="13316" ht="15" customHeight="1" spans="1:25" x14ac:dyDescent="0.25">
      <c r="A13316" s="17" t="s">
        <v>36111</v>
      </c>
      <c r="B13316" s="17" t="s">
        <v>70</v>
      </c>
      <c r="C13316" s="17" t="s">
        <v>71</v>
      </c>
      <c r="D13316" t="s">
        <v>4368</v>
      </c>
      <c r="F13316" t="s">
        <v>10192</v>
      </c>
      <c r="K13316" s="18">
        <v>4716172</v>
      </c>
      <c r="N13316" s="17" t="s">
        <v>77</v>
      </c>
      <c r="U13316" s="17"/>
      <c r="V13316" s="18">
        <v>4716172</v>
      </c>
      <c r="W13316" t="s">
        <v>36112</v>
      </c>
      <c r="Y13316" s="17" t="s">
        <v>515</v>
      </c>
    </row>
    <row r="13317" ht="15" customHeight="1" spans="1:22" x14ac:dyDescent="0.25">
      <c r="A13317" s="17" t="s">
        <v>36113</v>
      </c>
      <c r="B13317" s="17" t="s">
        <v>70</v>
      </c>
      <c r="C13317" s="17" t="s">
        <v>71</v>
      </c>
      <c r="D13317" t="s">
        <v>25459</v>
      </c>
      <c r="F13317" t="s">
        <v>3546</v>
      </c>
      <c r="K13317" s="18">
        <f>61403255727</f>
        <v>61403255727</v>
      </c>
      <c r="N13317" s="17" t="s">
        <v>74</v>
      </c>
      <c r="V13317" s="18">
        <f>61403255727</f>
        <v>61403255727</v>
      </c>
    </row>
    <row r="13318" ht="15" customHeight="1" spans="1:22" x14ac:dyDescent="0.25">
      <c r="A13318" s="17" t="s">
        <v>36114</v>
      </c>
      <c r="B13318" s="17" t="s">
        <v>70</v>
      </c>
      <c r="C13318" s="17" t="s">
        <v>71</v>
      </c>
      <c r="D13318" t="s">
        <v>653</v>
      </c>
      <c r="F13318" t="s">
        <v>9117</v>
      </c>
      <c r="K13318" s="18">
        <f>62811819081</f>
        <v>62811819081</v>
      </c>
      <c r="N13318" s="17" t="s">
        <v>77</v>
      </c>
      <c r="V13318" s="18">
        <f>62811819081</f>
        <v>62811819081</v>
      </c>
    </row>
    <row r="13319" ht="15" customHeight="1" spans="1:28" x14ac:dyDescent="0.25">
      <c r="A13319" s="17" t="s">
        <v>36115</v>
      </c>
      <c r="B13319" s="17" t="s">
        <v>70</v>
      </c>
      <c r="C13319" s="17" t="s">
        <v>71</v>
      </c>
      <c r="D13319" t="s">
        <v>1168</v>
      </c>
      <c r="F13319" t="s">
        <v>1169</v>
      </c>
      <c r="J13319" t="s">
        <v>115</v>
      </c>
      <c r="K13319" s="18" t="s">
        <v>36116</v>
      </c>
      <c r="N13319" s="17" t="s">
        <v>74</v>
      </c>
      <c r="O13319" t="s">
        <v>261</v>
      </c>
      <c r="U13319" s="17"/>
      <c r="V13319" s="18" t="s">
        <v>36116</v>
      </c>
      <c r="W13319" t="s">
        <v>36117</v>
      </c>
      <c r="Y13319" t="s">
        <v>190</v>
      </c>
      <c r="AA13319" t="s">
        <v>118</v>
      </c>
      <c r="AB13319" t="s">
        <v>119</v>
      </c>
    </row>
    <row r="13320" ht="15" customHeight="1" spans="1:25" x14ac:dyDescent="0.25">
      <c r="A13320" s="17" t="s">
        <v>36118</v>
      </c>
      <c r="B13320" s="17" t="s">
        <v>70</v>
      </c>
      <c r="C13320" s="17" t="s">
        <v>71</v>
      </c>
      <c r="D13320" t="s">
        <v>36119</v>
      </c>
      <c r="F13320" t="s">
        <v>36120</v>
      </c>
      <c r="K13320" s="18">
        <f>628816804862</f>
        <v>628816804862</v>
      </c>
      <c r="N13320" s="17" t="s">
        <v>77</v>
      </c>
      <c r="U13320" s="17"/>
      <c r="V13320" s="18">
        <f>628816804862</f>
        <v>628816804862</v>
      </c>
      <c r="W13320" t="s">
        <v>36121</v>
      </c>
      <c r="Y13320" s="17" t="s">
        <v>96</v>
      </c>
    </row>
    <row r="13321" ht="15" customHeight="1" spans="1:23" x14ac:dyDescent="0.25">
      <c r="A13321" s="17" t="s">
        <v>36122</v>
      </c>
      <c r="B13321" s="17" t="s">
        <v>70</v>
      </c>
      <c r="C13321" s="17" t="s">
        <v>71</v>
      </c>
      <c r="D13321" t="s">
        <v>669</v>
      </c>
      <c r="F13321" t="s">
        <v>669</v>
      </c>
      <c r="J13321" s="17" t="s">
        <v>36123</v>
      </c>
      <c r="K13321" s="18">
        <f>628119954111</f>
        <v>628119954111</v>
      </c>
      <c r="N13321" s="17" t="s">
        <v>81</v>
      </c>
      <c r="U13321" s="17"/>
      <c r="V13321" s="18">
        <f>628119954111</f>
        <v>628119954111</v>
      </c>
      <c r="W13321" t="s">
        <v>36124</v>
      </c>
    </row>
    <row r="13322" ht="15" customHeight="1" spans="1:23" x14ac:dyDescent="0.25">
      <c r="A13322" s="17" t="s">
        <v>36125</v>
      </c>
      <c r="B13322" s="17" t="s">
        <v>70</v>
      </c>
      <c r="C13322" s="17" t="s">
        <v>71</v>
      </c>
      <c r="D13322" t="s">
        <v>9553</v>
      </c>
      <c r="F13322" t="s">
        <v>35363</v>
      </c>
      <c r="K13322" s="18">
        <f>628119912500</f>
        <v>628119912500</v>
      </c>
      <c r="N13322" s="17" t="s">
        <v>74</v>
      </c>
      <c r="U13322" s="17"/>
      <c r="V13322" s="18">
        <f>628119912500</f>
        <v>628119912500</v>
      </c>
      <c r="W13322" t="s">
        <v>36126</v>
      </c>
    </row>
    <row r="13323" ht="15" customHeight="1" spans="1:23" x14ac:dyDescent="0.25">
      <c r="A13323" s="17" t="s">
        <v>36127</v>
      </c>
      <c r="B13323" s="17" t="s">
        <v>70</v>
      </c>
      <c r="C13323" s="17" t="s">
        <v>71</v>
      </c>
      <c r="D13323" t="s">
        <v>36128</v>
      </c>
      <c r="F13323" t="s">
        <v>36129</v>
      </c>
      <c r="K13323" s="18">
        <f>628123454955</f>
        <v>628123454955</v>
      </c>
      <c r="N13323" s="17" t="s">
        <v>77</v>
      </c>
      <c r="U13323" s="17"/>
      <c r="V13323" s="18">
        <f>628123454955</f>
        <v>628123454955</v>
      </c>
      <c r="W13323" t="s">
        <v>36130</v>
      </c>
    </row>
    <row r="13324" ht="15" customHeight="1" spans="1:22" x14ac:dyDescent="0.25">
      <c r="A13324" s="17" t="s">
        <v>36131</v>
      </c>
      <c r="B13324" s="17" t="s">
        <v>70</v>
      </c>
      <c r="C13324" s="17" t="s">
        <v>71</v>
      </c>
      <c r="D13324" t="s">
        <v>36132</v>
      </c>
      <c r="F13324" t="s">
        <v>36133</v>
      </c>
      <c r="K13324" s="18">
        <f>628122651133</f>
        <v>628122651133</v>
      </c>
      <c r="N13324" s="17" t="s">
        <v>77</v>
      </c>
      <c r="V13324" s="18">
        <f>628122651133</f>
        <v>628122651133</v>
      </c>
    </row>
    <row r="13325" ht="15" customHeight="1" spans="1:22" x14ac:dyDescent="0.25">
      <c r="A13325" s="17" t="s">
        <v>36134</v>
      </c>
      <c r="B13325" s="17" t="s">
        <v>70</v>
      </c>
      <c r="C13325" s="17" t="s">
        <v>71</v>
      </c>
      <c r="D13325" t="s">
        <v>16349</v>
      </c>
      <c r="F13325" t="s">
        <v>36135</v>
      </c>
      <c r="K13325" s="18">
        <f>628116011956</f>
        <v>628116011956</v>
      </c>
      <c r="N13325" s="17" t="s">
        <v>81</v>
      </c>
      <c r="V13325" s="18">
        <f>628116011956</f>
        <v>628116011956</v>
      </c>
    </row>
    <row r="13326" ht="15" customHeight="1" spans="1:27" x14ac:dyDescent="0.25">
      <c r="A13326" s="17" t="s">
        <v>36136</v>
      </c>
      <c r="B13326" s="17" t="s">
        <v>70</v>
      </c>
      <c r="C13326" s="17" t="s">
        <v>71</v>
      </c>
      <c r="D13326" t="s">
        <v>16349</v>
      </c>
      <c r="F13326" t="s">
        <v>36137</v>
      </c>
      <c r="K13326" s="18">
        <v>7263535</v>
      </c>
      <c r="N13326" s="17" t="s">
        <v>74</v>
      </c>
      <c r="U13326" s="17"/>
      <c r="V13326" s="18">
        <v>7263535</v>
      </c>
      <c r="W13326" t="s">
        <v>36138</v>
      </c>
      <c r="Y13326" s="17" t="s">
        <v>96</v>
      </c>
      <c r="AA13326" s="17" t="s">
        <v>133</v>
      </c>
    </row>
    <row r="13327" ht="15" customHeight="1" spans="1:23" x14ac:dyDescent="0.25">
      <c r="A13327" s="17" t="s">
        <v>36139</v>
      </c>
      <c r="B13327" s="17" t="s">
        <v>70</v>
      </c>
      <c r="C13327" s="17" t="s">
        <v>71</v>
      </c>
      <c r="D13327" t="s">
        <v>36140</v>
      </c>
      <c r="F13327" t="s">
        <v>7099</v>
      </c>
      <c r="K13327" s="18">
        <f>62816888871</f>
        <v>62816888871</v>
      </c>
      <c r="N13327" s="17" t="s">
        <v>77</v>
      </c>
      <c r="U13327" s="17"/>
      <c r="V13327" s="18">
        <f>62816888871</f>
        <v>62816888871</v>
      </c>
      <c r="W13327" t="s">
        <v>36141</v>
      </c>
    </row>
    <row r="13328" ht="15" customHeight="1" spans="1:28" x14ac:dyDescent="0.25">
      <c r="A13328" s="17" t="s">
        <v>36142</v>
      </c>
      <c r="B13328" s="17" t="s">
        <v>70</v>
      </c>
      <c r="C13328" s="17" t="s">
        <v>71</v>
      </c>
      <c r="D13328" t="s">
        <v>36143</v>
      </c>
      <c r="F13328" t="s">
        <v>36144</v>
      </c>
      <c r="J13328" t="s">
        <v>115</v>
      </c>
      <c r="K13328" s="18" t="s">
        <v>36145</v>
      </c>
      <c r="N13328" s="17" t="s">
        <v>77</v>
      </c>
      <c r="O13328" t="s">
        <v>145</v>
      </c>
      <c r="V13328" s="18" t="s">
        <v>36145</v>
      </c>
      <c r="Y13328" t="s">
        <v>115</v>
      </c>
      <c r="AA13328" t="s">
        <v>115</v>
      </c>
      <c r="AB13328" t="s">
        <v>3140</v>
      </c>
    </row>
    <row r="13329" ht="15" customHeight="1" spans="1:22" x14ac:dyDescent="0.25">
      <c r="A13329" s="17" t="s">
        <v>36146</v>
      </c>
      <c r="B13329" s="17" t="s">
        <v>70</v>
      </c>
      <c r="C13329" s="17" t="s">
        <v>71</v>
      </c>
      <c r="D13329" t="s">
        <v>36143</v>
      </c>
      <c r="F13329" t="s">
        <v>3869</v>
      </c>
      <c r="K13329" s="18">
        <f>6281280510799</f>
        <v>6281280510799</v>
      </c>
      <c r="N13329" s="17" t="s">
        <v>81</v>
      </c>
      <c r="V13329" s="18">
        <f>6281280510799</f>
        <v>6281280510799</v>
      </c>
    </row>
    <row r="13330" ht="15" customHeight="1" spans="1:22" x14ac:dyDescent="0.25">
      <c r="A13330" s="17" t="s">
        <v>36147</v>
      </c>
      <c r="B13330" s="17" t="s">
        <v>70</v>
      </c>
      <c r="C13330" s="17" t="s">
        <v>71</v>
      </c>
      <c r="D13330" t="s">
        <v>36143</v>
      </c>
      <c r="F13330" t="s">
        <v>3869</v>
      </c>
      <c r="K13330" s="18">
        <f>6285880804056</f>
        <v>6285880804056</v>
      </c>
      <c r="N13330" s="17" t="s">
        <v>81</v>
      </c>
      <c r="V13330" s="18">
        <f>6285880804056</f>
        <v>6285880804056</v>
      </c>
    </row>
    <row r="13331" ht="15" customHeight="1" spans="1:23" x14ac:dyDescent="0.25">
      <c r="A13331" s="17" t="s">
        <v>36148</v>
      </c>
      <c r="B13331" s="17" t="s">
        <v>70</v>
      </c>
      <c r="C13331" s="17" t="s">
        <v>71</v>
      </c>
      <c r="D13331" t="s">
        <v>36143</v>
      </c>
      <c r="F13331" t="s">
        <v>1754</v>
      </c>
      <c r="J13331" s="17" t="s">
        <v>36149</v>
      </c>
      <c r="K13331" s="18">
        <f>6281292512109</f>
        <v>6281292512109</v>
      </c>
      <c r="N13331" s="17" t="s">
        <v>77</v>
      </c>
      <c r="U13331" s="17"/>
      <c r="V13331" s="18">
        <f>6281292512109</f>
        <v>6281292512109</v>
      </c>
      <c r="W13331" t="s">
        <v>36150</v>
      </c>
    </row>
    <row r="13332" ht="15" customHeight="1" spans="1:27" x14ac:dyDescent="0.25">
      <c r="A13332" s="17" t="s">
        <v>36151</v>
      </c>
      <c r="B13332" s="17" t="s">
        <v>70</v>
      </c>
      <c r="C13332" s="17" t="s">
        <v>71</v>
      </c>
      <c r="D13332" t="s">
        <v>36152</v>
      </c>
      <c r="F13332" t="s">
        <v>36153</v>
      </c>
      <c r="K13332" s="18">
        <f>62819808099</f>
        <v>62819808099</v>
      </c>
      <c r="N13332" s="17" t="s">
        <v>81</v>
      </c>
      <c r="U13332" s="17"/>
      <c r="V13332" s="18">
        <f>62819808099</f>
        <v>62819808099</v>
      </c>
      <c r="W13332" t="s">
        <v>7956</v>
      </c>
      <c r="AA13332" s="17">
        <v>14470</v>
      </c>
    </row>
    <row r="13333" ht="15" customHeight="1" spans="1:28" x14ac:dyDescent="0.25">
      <c r="A13333" s="17" t="s">
        <v>36154</v>
      </c>
      <c r="B13333" s="17" t="s">
        <v>70</v>
      </c>
      <c r="C13333" s="17" t="s">
        <v>71</v>
      </c>
      <c r="D13333" t="s">
        <v>36155</v>
      </c>
      <c r="F13333" t="s">
        <v>22895</v>
      </c>
      <c r="J13333" s="17" t="s">
        <v>36156</v>
      </c>
      <c r="K13333" s="18" t="s">
        <v>36157</v>
      </c>
      <c r="N13333" s="17" t="s">
        <v>77</v>
      </c>
      <c r="O13333" t="s">
        <v>145</v>
      </c>
      <c r="U13333" s="17"/>
      <c r="V13333" s="18" t="s">
        <v>36157</v>
      </c>
      <c r="W13333" t="s">
        <v>36158</v>
      </c>
      <c r="Y13333" t="s">
        <v>1909</v>
      </c>
      <c r="AA13333" t="s">
        <v>115</v>
      </c>
      <c r="AB13333" t="s">
        <v>1909</v>
      </c>
    </row>
    <row r="13334" ht="15" customHeight="1" spans="1:22" x14ac:dyDescent="0.25">
      <c r="A13334" s="17" t="s">
        <v>36159</v>
      </c>
      <c r="B13334" s="17" t="s">
        <v>70</v>
      </c>
      <c r="C13334" s="17" t="s">
        <v>71</v>
      </c>
      <c r="D13334" t="s">
        <v>36160</v>
      </c>
      <c r="F13334" t="s">
        <v>1269</v>
      </c>
      <c r="K13334" s="18">
        <f>6282112811114</f>
        <v>6282112811114</v>
      </c>
      <c r="N13334" s="17" t="s">
        <v>81</v>
      </c>
      <c r="V13334" s="18">
        <f>6282112811114</f>
        <v>6282112811114</v>
      </c>
    </row>
    <row r="13335" ht="15" customHeight="1" spans="1:28" x14ac:dyDescent="0.25">
      <c r="A13335" s="17" t="s">
        <v>36161</v>
      </c>
      <c r="B13335" s="17" t="s">
        <v>70</v>
      </c>
      <c r="C13335" s="17" t="s">
        <v>71</v>
      </c>
      <c r="D13335" t="s">
        <v>36162</v>
      </c>
      <c r="F13335" t="s">
        <v>7846</v>
      </c>
      <c r="J13335" s="17" t="s">
        <v>36163</v>
      </c>
      <c r="K13335" s="18" t="s">
        <v>36164</v>
      </c>
      <c r="N13335" s="17" t="s">
        <v>77</v>
      </c>
      <c r="O13335" t="s">
        <v>117</v>
      </c>
      <c r="V13335" s="18" t="s">
        <v>36164</v>
      </c>
      <c r="Y13335" t="s">
        <v>115</v>
      </c>
      <c r="AA13335" t="s">
        <v>115</v>
      </c>
      <c r="AB13335" t="s">
        <v>7412</v>
      </c>
    </row>
    <row r="13336" ht="15" customHeight="1" spans="1:22" x14ac:dyDescent="0.25">
      <c r="A13336" s="17" t="s">
        <v>36165</v>
      </c>
      <c r="B13336" s="17" t="s">
        <v>70</v>
      </c>
      <c r="C13336" s="17" t="s">
        <v>71</v>
      </c>
      <c r="D13336" t="s">
        <v>36166</v>
      </c>
      <c r="F13336" t="s">
        <v>36166</v>
      </c>
      <c r="K13336" s="18">
        <f>628111984064</f>
        <v>628111984064</v>
      </c>
      <c r="N13336" s="17" t="s">
        <v>77</v>
      </c>
      <c r="V13336" s="18">
        <f>628111984064</f>
        <v>628111984064</v>
      </c>
    </row>
    <row r="13337" ht="15" customHeight="1" spans="1:22" x14ac:dyDescent="0.25">
      <c r="A13337" s="17" t="s">
        <v>36167</v>
      </c>
      <c r="B13337" s="17" t="s">
        <v>70</v>
      </c>
      <c r="C13337" s="17" t="s">
        <v>71</v>
      </c>
      <c r="D13337" t="s">
        <v>36168</v>
      </c>
      <c r="F13337" t="s">
        <v>36168</v>
      </c>
      <c r="K13337" s="18">
        <f>628510714999</f>
        <v>628510714999</v>
      </c>
      <c r="N13337" s="17" t="s">
        <v>74</v>
      </c>
      <c r="V13337" s="18">
        <f>628510714999</f>
        <v>628510714999</v>
      </c>
    </row>
    <row r="13338" ht="15" customHeight="1" spans="1:23" x14ac:dyDescent="0.25">
      <c r="A13338" s="17" t="s">
        <v>36169</v>
      </c>
      <c r="B13338" s="17" t="s">
        <v>70</v>
      </c>
      <c r="C13338" s="17" t="s">
        <v>71</v>
      </c>
      <c r="D13338" t="s">
        <v>36168</v>
      </c>
      <c r="F13338" t="s">
        <v>36170</v>
      </c>
      <c r="K13338" s="18">
        <f>628118289129</f>
        <v>628118289129</v>
      </c>
      <c r="N13338" s="17" t="s">
        <v>74</v>
      </c>
      <c r="U13338" s="17"/>
      <c r="V13338" s="18">
        <f>628118289129</f>
        <v>628118289129</v>
      </c>
      <c r="W13338" t="s">
        <v>36171</v>
      </c>
    </row>
    <row r="13339" ht="15" customHeight="1" spans="1:22" x14ac:dyDescent="0.25">
      <c r="A13339" s="17" t="s">
        <v>36172</v>
      </c>
      <c r="B13339" s="17" t="s">
        <v>70</v>
      </c>
      <c r="C13339" s="17" t="s">
        <v>71</v>
      </c>
      <c r="D13339" t="s">
        <v>8592</v>
      </c>
      <c r="F13339" t="s">
        <v>6671</v>
      </c>
      <c r="K13339" s="18">
        <f>6281286517191</f>
        <v>6281286517191</v>
      </c>
      <c r="N13339" s="17" t="s">
        <v>77</v>
      </c>
      <c r="V13339" s="18">
        <f>6281286517191</f>
        <v>6281286517191</v>
      </c>
    </row>
    <row r="13340" ht="15" customHeight="1" spans="1:22" x14ac:dyDescent="0.25">
      <c r="A13340" s="17" t="s">
        <v>36173</v>
      </c>
      <c r="B13340" s="17" t="s">
        <v>70</v>
      </c>
      <c r="C13340" s="17" t="s">
        <v>71</v>
      </c>
      <c r="D13340" t="s">
        <v>36174</v>
      </c>
      <c r="F13340" t="s">
        <v>36174</v>
      </c>
      <c r="K13340" s="18">
        <f>6285601012299</f>
        <v>6285601012299</v>
      </c>
      <c r="N13340" s="17" t="s">
        <v>77</v>
      </c>
      <c r="V13340" s="18">
        <f>6285601012299</f>
        <v>6285601012299</v>
      </c>
    </row>
    <row r="13341" ht="15" customHeight="1" spans="1:22" x14ac:dyDescent="0.25">
      <c r="A13341" s="17" t="s">
        <v>36175</v>
      </c>
      <c r="B13341" s="17" t="s">
        <v>70</v>
      </c>
      <c r="C13341" s="17" t="s">
        <v>71</v>
      </c>
      <c r="D13341" t="s">
        <v>10079</v>
      </c>
      <c r="F13341" t="s">
        <v>10079</v>
      </c>
      <c r="K13341" s="18">
        <f>6281385187007</f>
        <v>6281385187007</v>
      </c>
      <c r="N13341" s="17" t="s">
        <v>77</v>
      </c>
      <c r="V13341" s="18">
        <f>6281385187007</f>
        <v>6281385187007</v>
      </c>
    </row>
    <row r="13342" ht="15" customHeight="1" spans="1:22" x14ac:dyDescent="0.25">
      <c r="A13342" s="17" t="s">
        <v>36176</v>
      </c>
      <c r="B13342" s="17" t="s">
        <v>70</v>
      </c>
      <c r="C13342" s="17" t="s">
        <v>71</v>
      </c>
      <c r="D13342" t="s">
        <v>10079</v>
      </c>
      <c r="F13342" t="s">
        <v>19176</v>
      </c>
      <c r="K13342" s="18">
        <f>62838777877797</f>
        <v>62838777877797</v>
      </c>
      <c r="N13342" s="17" t="s">
        <v>74</v>
      </c>
      <c r="V13342" s="18">
        <f>62838777877797</f>
        <v>62838777877797</v>
      </c>
    </row>
    <row r="13343" ht="15" customHeight="1" spans="1:22" x14ac:dyDescent="0.25">
      <c r="A13343" s="17" t="s">
        <v>36177</v>
      </c>
      <c r="B13343" s="17" t="s">
        <v>70</v>
      </c>
      <c r="C13343" s="17" t="s">
        <v>71</v>
      </c>
      <c r="D13343" t="s">
        <v>10079</v>
      </c>
      <c r="F13343" t="s">
        <v>19176</v>
      </c>
      <c r="K13343" s="18">
        <f>628161874542</f>
        <v>628161874542</v>
      </c>
      <c r="N13343" s="17" t="s">
        <v>77</v>
      </c>
      <c r="V13343" s="18">
        <f>628161874542</f>
        <v>628161874542</v>
      </c>
    </row>
    <row r="13344" ht="15" customHeight="1" spans="1:22" x14ac:dyDescent="0.25">
      <c r="A13344" s="17" t="s">
        <v>36178</v>
      </c>
      <c r="B13344" s="17" t="s">
        <v>70</v>
      </c>
      <c r="C13344" s="17" t="s">
        <v>71</v>
      </c>
      <c r="D13344" t="s">
        <v>10079</v>
      </c>
      <c r="F13344" t="s">
        <v>36179</v>
      </c>
      <c r="K13344" s="18">
        <f>6287886673121</f>
        <v>6287886673121</v>
      </c>
      <c r="N13344" s="17" t="s">
        <v>81</v>
      </c>
      <c r="V13344" s="18">
        <f>6287886673121</f>
        <v>6287886673121</v>
      </c>
    </row>
    <row r="13345" ht="15" customHeight="1" spans="1:28" x14ac:dyDescent="0.25">
      <c r="A13345" s="17" t="s">
        <v>36180</v>
      </c>
      <c r="B13345" s="17" t="s">
        <v>70</v>
      </c>
      <c r="C13345" s="17" t="s">
        <v>71</v>
      </c>
      <c r="D13345" t="s">
        <v>36181</v>
      </c>
      <c r="F13345" t="s">
        <v>36182</v>
      </c>
      <c r="J13345" s="17" t="s">
        <v>36183</v>
      </c>
      <c r="K13345" s="18" t="s">
        <v>36184</v>
      </c>
      <c r="N13345" s="17" t="s">
        <v>77</v>
      </c>
      <c r="O13345" t="s">
        <v>145</v>
      </c>
      <c r="V13345" s="18" t="s">
        <v>36184</v>
      </c>
      <c r="Y13345" t="s">
        <v>410</v>
      </c>
      <c r="AA13345" t="s">
        <v>5299</v>
      </c>
      <c r="AB13345" t="s">
        <v>119</v>
      </c>
    </row>
    <row r="13346" ht="15" customHeight="1" spans="1:28" x14ac:dyDescent="0.25">
      <c r="A13346" s="17" t="s">
        <v>36185</v>
      </c>
      <c r="B13346" s="17" t="s">
        <v>70</v>
      </c>
      <c r="C13346" s="17" t="s">
        <v>71</v>
      </c>
      <c r="D13346" t="s">
        <v>36186</v>
      </c>
      <c r="F13346" t="s">
        <v>36187</v>
      </c>
      <c r="J13346" s="17" t="s">
        <v>36188</v>
      </c>
      <c r="K13346" s="18" t="s">
        <v>36189</v>
      </c>
      <c r="N13346" s="17" t="s">
        <v>77</v>
      </c>
      <c r="O13346" t="s">
        <v>145</v>
      </c>
      <c r="V13346" s="18" t="s">
        <v>36189</v>
      </c>
      <c r="Y13346" t="s">
        <v>115</v>
      </c>
      <c r="AA13346" t="s">
        <v>115</v>
      </c>
      <c r="AB13346" t="s">
        <v>451</v>
      </c>
    </row>
    <row r="13347" ht="15" customHeight="1" spans="1:28" x14ac:dyDescent="0.25">
      <c r="A13347" s="17" t="s">
        <v>36190</v>
      </c>
      <c r="B13347" s="17" t="s">
        <v>70</v>
      </c>
      <c r="C13347" s="17" t="s">
        <v>71</v>
      </c>
      <c r="D13347" t="s">
        <v>36191</v>
      </c>
      <c r="F13347" t="s">
        <v>36192</v>
      </c>
      <c r="J13347" s="22" t="s">
        <v>115</v>
      </c>
      <c r="K13347" s="18" t="s">
        <v>36193</v>
      </c>
      <c r="N13347" s="17" t="s">
        <v>77</v>
      </c>
      <c r="O13347" t="s">
        <v>489</v>
      </c>
      <c r="U13347" s="17"/>
      <c r="V13347" s="18" t="s">
        <v>36193</v>
      </c>
      <c r="W13347" t="s">
        <v>28188</v>
      </c>
      <c r="Y13347" t="s">
        <v>115</v>
      </c>
      <c r="AA13347" t="s">
        <v>115</v>
      </c>
      <c r="AB13347" t="s">
        <v>28188</v>
      </c>
    </row>
    <row r="13348" ht="15" customHeight="1" spans="1:22" x14ac:dyDescent="0.25">
      <c r="A13348" s="17" t="s">
        <v>36194</v>
      </c>
      <c r="B13348" s="17" t="s">
        <v>70</v>
      </c>
      <c r="C13348" s="17" t="s">
        <v>71</v>
      </c>
      <c r="D13348" t="s">
        <v>36195</v>
      </c>
      <c r="F13348" t="s">
        <v>36196</v>
      </c>
      <c r="K13348" s="18">
        <f>97156420404094</f>
        <v>97156420404094</v>
      </c>
      <c r="N13348" s="17" t="s">
        <v>77</v>
      </c>
      <c r="V13348" s="18">
        <f>97156420404094</f>
        <v>97156420404094</v>
      </c>
    </row>
    <row r="13349" ht="15" customHeight="1" spans="1:28" x14ac:dyDescent="0.25">
      <c r="A13349" s="17" t="s">
        <v>36197</v>
      </c>
      <c r="B13349" s="17" t="s">
        <v>70</v>
      </c>
      <c r="C13349" s="17" t="s">
        <v>71</v>
      </c>
      <c r="D13349" t="s">
        <v>36198</v>
      </c>
      <c r="F13349" t="s">
        <v>36199</v>
      </c>
      <c r="J13349" t="s">
        <v>115</v>
      </c>
      <c r="K13349" s="18" t="s">
        <v>36200</v>
      </c>
      <c r="N13349" s="17" t="s">
        <v>77</v>
      </c>
      <c r="O13349" t="s">
        <v>117</v>
      </c>
      <c r="U13349" s="17"/>
      <c r="V13349" s="18" t="s">
        <v>36200</v>
      </c>
      <c r="W13349" t="s">
        <v>36201</v>
      </c>
      <c r="Y13349" t="s">
        <v>190</v>
      </c>
      <c r="AA13349" t="s">
        <v>118</v>
      </c>
      <c r="AB13349" t="s">
        <v>119</v>
      </c>
    </row>
    <row r="13350" ht="15" customHeight="1" spans="1:23" x14ac:dyDescent="0.25">
      <c r="A13350" s="17" t="s">
        <v>36202</v>
      </c>
      <c r="B13350" s="17" t="s">
        <v>70</v>
      </c>
      <c r="C13350" s="17" t="s">
        <v>71</v>
      </c>
      <c r="D13350" t="s">
        <v>36203</v>
      </c>
      <c r="F13350" t="s">
        <v>36203</v>
      </c>
      <c r="K13350" s="18">
        <f>6282115151615</f>
        <v>6282115151615</v>
      </c>
      <c r="N13350" s="17" t="s">
        <v>77</v>
      </c>
      <c r="U13350" s="17"/>
      <c r="V13350" s="18">
        <f>6282115151615</f>
        <v>6282115151615</v>
      </c>
      <c r="W13350" t="s">
        <v>36204</v>
      </c>
    </row>
    <row r="13351" ht="15" customHeight="1" spans="1:22" x14ac:dyDescent="0.25">
      <c r="A13351" s="17" t="s">
        <v>36205</v>
      </c>
      <c r="B13351" s="17" t="s">
        <v>70</v>
      </c>
      <c r="C13351" s="17" t="s">
        <v>71</v>
      </c>
      <c r="D13351" t="s">
        <v>36206</v>
      </c>
      <c r="F13351" t="s">
        <v>36206</v>
      </c>
      <c r="K13351" s="18">
        <f>628817181081</f>
        <v>628817181081</v>
      </c>
      <c r="N13351" s="17" t="s">
        <v>74</v>
      </c>
      <c r="V13351" s="18">
        <f>628817181081</f>
        <v>628817181081</v>
      </c>
    </row>
    <row r="13352" ht="15" customHeight="1" spans="1:28" x14ac:dyDescent="0.25">
      <c r="A13352" s="17" t="s">
        <v>36207</v>
      </c>
      <c r="B13352" s="17" t="s">
        <v>70</v>
      </c>
      <c r="C13352" s="17" t="s">
        <v>71</v>
      </c>
      <c r="D13352" t="s">
        <v>36208</v>
      </c>
      <c r="F13352" t="s">
        <v>20120</v>
      </c>
      <c r="J13352" t="s">
        <v>115</v>
      </c>
      <c r="K13352" s="18" t="s">
        <v>36209</v>
      </c>
      <c r="N13352" s="17" t="s">
        <v>74</v>
      </c>
      <c r="O13352" t="s">
        <v>145</v>
      </c>
      <c r="U13352" s="17"/>
      <c r="V13352" s="18" t="s">
        <v>36209</v>
      </c>
      <c r="W13352" t="s">
        <v>36210</v>
      </c>
      <c r="Y13352" s="17" t="s">
        <v>704</v>
      </c>
      <c r="AA13352" t="s">
        <v>705</v>
      </c>
      <c r="AB13352" t="s">
        <v>119</v>
      </c>
    </row>
    <row r="13353" ht="15" customHeight="1" spans="1:23" x14ac:dyDescent="0.25">
      <c r="A13353" s="17" t="s">
        <v>36211</v>
      </c>
      <c r="B13353" s="17" t="s">
        <v>70</v>
      </c>
      <c r="C13353" s="17" t="s">
        <v>71</v>
      </c>
      <c r="D13353" t="s">
        <v>15085</v>
      </c>
      <c r="F13353" t="s">
        <v>36179</v>
      </c>
      <c r="K13353" s="18">
        <f>6285218086333</f>
        <v>6285218086333</v>
      </c>
      <c r="N13353" s="17" t="s">
        <v>74</v>
      </c>
      <c r="U13353" s="17"/>
      <c r="V13353" s="18">
        <f>6285218086333</f>
        <v>6285218086333</v>
      </c>
      <c r="W13353" t="s">
        <v>36212</v>
      </c>
    </row>
    <row r="13354" ht="15" customHeight="1" spans="1:22" x14ac:dyDescent="0.25">
      <c r="A13354" s="17" t="s">
        <v>36213</v>
      </c>
      <c r="B13354" s="17" t="s">
        <v>70</v>
      </c>
      <c r="C13354" s="17" t="s">
        <v>71</v>
      </c>
      <c r="D13354" t="s">
        <v>2222</v>
      </c>
      <c r="F13354" t="s">
        <v>36214</v>
      </c>
      <c r="K13354" s="18">
        <f>628119783060</f>
        <v>628119783060</v>
      </c>
      <c r="N13354" s="17" t="s">
        <v>81</v>
      </c>
      <c r="V13354" s="18">
        <f>628119783060</f>
        <v>628119783060</v>
      </c>
    </row>
    <row r="13355" ht="15" customHeight="1" spans="1:27" x14ac:dyDescent="0.25">
      <c r="A13355" s="17" t="s">
        <v>36215</v>
      </c>
      <c r="B13355" s="17" t="s">
        <v>70</v>
      </c>
      <c r="C13355" s="17" t="s">
        <v>71</v>
      </c>
      <c r="D13355" t="s">
        <v>36216</v>
      </c>
      <c r="F13355" t="s">
        <v>5019</v>
      </c>
      <c r="K13355" s="18">
        <v>7695008</v>
      </c>
      <c r="N13355" s="17" t="s">
        <v>74</v>
      </c>
      <c r="U13355" s="17"/>
      <c r="V13355" s="18">
        <v>7695008</v>
      </c>
      <c r="W13355" t="s">
        <v>36217</v>
      </c>
      <c r="Y13355" s="17" t="s">
        <v>96</v>
      </c>
      <c r="AA13355" s="17" t="s">
        <v>36218</v>
      </c>
    </row>
    <row r="13356" ht="15" customHeight="1" spans="1:28" x14ac:dyDescent="0.25">
      <c r="A13356" s="17" t="s">
        <v>36219</v>
      </c>
      <c r="B13356" s="17" t="s">
        <v>70</v>
      </c>
      <c r="C13356" s="17" t="s">
        <v>71</v>
      </c>
      <c r="D13356" t="s">
        <v>36216</v>
      </c>
      <c r="F13356" t="s">
        <v>5019</v>
      </c>
      <c r="J13356" t="s">
        <v>115</v>
      </c>
      <c r="K13356" s="18" t="s">
        <v>36220</v>
      </c>
      <c r="N13356" s="17" t="s">
        <v>74</v>
      </c>
      <c r="O13356" t="s">
        <v>1188</v>
      </c>
      <c r="V13356" s="18" t="s">
        <v>36220</v>
      </c>
      <c r="Y13356" t="s">
        <v>190</v>
      </c>
      <c r="AA13356" t="s">
        <v>118</v>
      </c>
      <c r="AB13356" t="s">
        <v>119</v>
      </c>
    </row>
    <row r="13357" ht="15" customHeight="1" spans="1:25" x14ac:dyDescent="0.25">
      <c r="A13357" s="17" t="s">
        <v>36221</v>
      </c>
      <c r="B13357" s="17" t="s">
        <v>70</v>
      </c>
      <c r="C13357" s="17" t="s">
        <v>71</v>
      </c>
      <c r="D13357" t="s">
        <v>36216</v>
      </c>
      <c r="F13357" t="s">
        <v>672</v>
      </c>
      <c r="K13357" s="18">
        <f>628111727309</f>
        <v>628111727309</v>
      </c>
      <c r="N13357" s="17" t="s">
        <v>81</v>
      </c>
      <c r="U13357" s="17"/>
      <c r="V13357" s="18">
        <f>628111727309</f>
        <v>628111727309</v>
      </c>
      <c r="W13357" t="s">
        <v>36222</v>
      </c>
      <c r="Y13357" s="17" t="s">
        <v>13023</v>
      </c>
    </row>
    <row r="13358" ht="15" customHeight="1" spans="1:25" x14ac:dyDescent="0.25">
      <c r="A13358" s="17" t="s">
        <v>36223</v>
      </c>
      <c r="B13358" s="17" t="s">
        <v>70</v>
      </c>
      <c r="C13358" s="17" t="s">
        <v>71</v>
      </c>
      <c r="D13358" t="s">
        <v>36216</v>
      </c>
      <c r="F13358" t="s">
        <v>8541</v>
      </c>
      <c r="K13358" s="18">
        <f>6281316086666</f>
        <v>6281316086666</v>
      </c>
      <c r="N13358" s="17" t="s">
        <v>77</v>
      </c>
      <c r="U13358" s="17"/>
      <c r="V13358" s="18">
        <f>6281316086666</f>
        <v>6281316086666</v>
      </c>
      <c r="W13358" t="s">
        <v>36224</v>
      </c>
      <c r="Y13358" s="17" t="s">
        <v>96</v>
      </c>
    </row>
    <row r="13359" ht="15" customHeight="1" spans="1:22" x14ac:dyDescent="0.25">
      <c r="A13359" s="17" t="s">
        <v>36225</v>
      </c>
      <c r="B13359" s="17" t="s">
        <v>70</v>
      </c>
      <c r="C13359" s="17" t="s">
        <v>71</v>
      </c>
      <c r="D13359" t="s">
        <v>36226</v>
      </c>
      <c r="F13359" t="s">
        <v>36227</v>
      </c>
      <c r="K13359" s="18">
        <f>62811168810</f>
        <v>62811168810</v>
      </c>
      <c r="N13359" s="17" t="s">
        <v>81</v>
      </c>
      <c r="V13359" s="18">
        <f>62811168810</f>
        <v>62811168810</v>
      </c>
    </row>
    <row r="13360" ht="15" customHeight="1" spans="1:28" x14ac:dyDescent="0.25">
      <c r="A13360" s="17" t="s">
        <v>36228</v>
      </c>
      <c r="B13360" s="17" t="s">
        <v>70</v>
      </c>
      <c r="C13360" s="17" t="s">
        <v>71</v>
      </c>
      <c r="D13360" t="s">
        <v>36229</v>
      </c>
      <c r="F13360" t="s">
        <v>36230</v>
      </c>
      <c r="J13360" t="s">
        <v>36231</v>
      </c>
      <c r="K13360" s="18" t="s">
        <v>36232</v>
      </c>
      <c r="N13360" s="17" t="s">
        <v>77</v>
      </c>
      <c r="O13360" t="s">
        <v>199</v>
      </c>
      <c r="V13360" s="18" t="s">
        <v>36232</v>
      </c>
      <c r="Y13360" t="s">
        <v>90</v>
      </c>
      <c r="AA13360" t="s">
        <v>118</v>
      </c>
      <c r="AB13360" t="s">
        <v>119</v>
      </c>
    </row>
    <row r="13361" ht="15" customHeight="1" spans="1:22" x14ac:dyDescent="0.25">
      <c r="A13361" s="17" t="s">
        <v>36233</v>
      </c>
      <c r="B13361" s="17" t="s">
        <v>70</v>
      </c>
      <c r="C13361" s="17" t="s">
        <v>71</v>
      </c>
      <c r="D13361" t="s">
        <v>29736</v>
      </c>
      <c r="F13361" t="s">
        <v>2785</v>
      </c>
      <c r="K13361" s="18">
        <f>6281314751636</f>
        <v>6281314751636</v>
      </c>
      <c r="N13361" s="17" t="s">
        <v>81</v>
      </c>
      <c r="V13361" s="18">
        <f>6281314751636</f>
        <v>6281314751636</v>
      </c>
    </row>
    <row r="13362" ht="15" customHeight="1" spans="1:22" x14ac:dyDescent="0.25">
      <c r="A13362" s="17" t="s">
        <v>36234</v>
      </c>
      <c r="B13362" s="17" t="s">
        <v>70</v>
      </c>
      <c r="C13362" s="17" t="s">
        <v>71</v>
      </c>
      <c r="D13362" t="s">
        <v>36235</v>
      </c>
      <c r="F13362" t="s">
        <v>23319</v>
      </c>
      <c r="K13362" s="18">
        <f>6285260606003</f>
        <v>6285260606003</v>
      </c>
      <c r="N13362" s="17" t="s">
        <v>81</v>
      </c>
      <c r="V13362" s="18">
        <f>6285260606003</f>
        <v>6285260606003</v>
      </c>
    </row>
    <row r="13363" ht="15" customHeight="1" spans="1:25" x14ac:dyDescent="0.25">
      <c r="A13363" s="17" t="s">
        <v>36236</v>
      </c>
      <c r="B13363" s="17" t="s">
        <v>70</v>
      </c>
      <c r="C13363" s="17" t="s">
        <v>71</v>
      </c>
      <c r="D13363" t="s">
        <v>36237</v>
      </c>
      <c r="F13363" t="s">
        <v>36238</v>
      </c>
      <c r="J13363" s="17" t="s">
        <v>36239</v>
      </c>
      <c r="K13363" s="18">
        <f>6281388337777</f>
        <v>6281388337777</v>
      </c>
      <c r="N13363" s="17" t="s">
        <v>77</v>
      </c>
      <c r="U13363" s="17"/>
      <c r="V13363" s="18">
        <f>6281388337777</f>
        <v>6281388337777</v>
      </c>
      <c r="W13363" t="s">
        <v>36240</v>
      </c>
      <c r="Y13363" s="17" t="s">
        <v>90</v>
      </c>
    </row>
    <row r="13364" ht="15" customHeight="1" spans="1:22" x14ac:dyDescent="0.25">
      <c r="A13364" s="17" t="s">
        <v>36241</v>
      </c>
      <c r="B13364" s="17" t="s">
        <v>70</v>
      </c>
      <c r="C13364" s="17" t="s">
        <v>71</v>
      </c>
      <c r="D13364" t="s">
        <v>36242</v>
      </c>
      <c r="F13364" t="s">
        <v>7285</v>
      </c>
      <c r="K13364" s="18">
        <f>6281291679661</f>
        <v>6281291679661</v>
      </c>
      <c r="N13364" s="17" t="s">
        <v>77</v>
      </c>
      <c r="V13364" s="18">
        <f>6281291679661</f>
        <v>6281291679661</v>
      </c>
    </row>
    <row r="13365" ht="15" customHeight="1" spans="1:28" x14ac:dyDescent="0.25">
      <c r="A13365" s="17" t="s">
        <v>36243</v>
      </c>
      <c r="B13365" s="17" t="s">
        <v>70</v>
      </c>
      <c r="C13365" s="17" t="s">
        <v>71</v>
      </c>
      <c r="D13365" t="s">
        <v>36244</v>
      </c>
      <c r="F13365" t="s">
        <v>220</v>
      </c>
      <c r="J13365" s="17" t="s">
        <v>36245</v>
      </c>
      <c r="K13365" s="18" t="s">
        <v>36246</v>
      </c>
      <c r="N13365" s="17" t="s">
        <v>77</v>
      </c>
      <c r="O13365" t="s">
        <v>117</v>
      </c>
      <c r="U13365" s="17"/>
      <c r="V13365" s="18" t="s">
        <v>36246</v>
      </c>
      <c r="W13365" t="s">
        <v>36247</v>
      </c>
      <c r="Y13365" s="17" t="s">
        <v>90</v>
      </c>
      <c r="AA13365" t="s">
        <v>118</v>
      </c>
      <c r="AB13365" t="s">
        <v>119</v>
      </c>
    </row>
    <row r="13366" ht="15" customHeight="1" spans="1:27" x14ac:dyDescent="0.25">
      <c r="A13366" s="17" t="s">
        <v>36248</v>
      </c>
      <c r="B13366" s="17" t="s">
        <v>70</v>
      </c>
      <c r="C13366" s="17" t="s">
        <v>71</v>
      </c>
      <c r="D13366" t="s">
        <v>31481</v>
      </c>
      <c r="F13366" t="s">
        <v>9742</v>
      </c>
      <c r="K13366" s="18">
        <f>447737792474</f>
        <v>447737792474</v>
      </c>
      <c r="N13366" s="17" t="s">
        <v>81</v>
      </c>
      <c r="U13366" s="17"/>
      <c r="V13366" s="18">
        <f>447737792474</f>
        <v>447737792474</v>
      </c>
      <c r="W13366" t="s">
        <v>36249</v>
      </c>
      <c r="AA13366" s="17">
        <v>12560</v>
      </c>
    </row>
    <row r="13367" ht="15" customHeight="1" spans="1:22" x14ac:dyDescent="0.25">
      <c r="A13367" s="17" t="s">
        <v>36250</v>
      </c>
      <c r="B13367" s="17" t="s">
        <v>70</v>
      </c>
      <c r="C13367" s="17" t="s">
        <v>71</v>
      </c>
      <c r="D13367" t="s">
        <v>36251</v>
      </c>
      <c r="F13367" t="s">
        <v>1175</v>
      </c>
      <c r="K13367" s="18">
        <f>6281286136086</f>
        <v>6281286136086</v>
      </c>
      <c r="N13367" s="17" t="s">
        <v>77</v>
      </c>
      <c r="V13367" s="18">
        <f>6281286136086</f>
        <v>6281286136086</v>
      </c>
    </row>
    <row r="13368" ht="15" customHeight="1" spans="1:23" x14ac:dyDescent="0.25">
      <c r="A13368" s="17" t="s">
        <v>36252</v>
      </c>
      <c r="B13368" s="17" t="s">
        <v>70</v>
      </c>
      <c r="C13368" s="17" t="s">
        <v>71</v>
      </c>
      <c r="D13368" t="s">
        <v>36253</v>
      </c>
      <c r="F13368" t="s">
        <v>14821</v>
      </c>
      <c r="J13368" s="17" t="s">
        <v>36254</v>
      </c>
      <c r="K13368" s="18">
        <f>628111995592</f>
        <v>628111995592</v>
      </c>
      <c r="N13368" s="17" t="s">
        <v>81</v>
      </c>
      <c r="U13368" s="17"/>
      <c r="V13368" s="18">
        <f>628111995592</f>
        <v>628111995592</v>
      </c>
      <c r="W13368" t="s">
        <v>36255</v>
      </c>
    </row>
    <row r="13369" ht="15" customHeight="1" spans="1:22" x14ac:dyDescent="0.25">
      <c r="A13369" s="17" t="s">
        <v>36256</v>
      </c>
      <c r="B13369" s="17" t="s">
        <v>70</v>
      </c>
      <c r="C13369" s="17" t="s">
        <v>71</v>
      </c>
      <c r="D13369" t="s">
        <v>25264</v>
      </c>
      <c r="F13369" t="s">
        <v>36257</v>
      </c>
      <c r="K13369" s="18">
        <f>628121191661</f>
        <v>628121191661</v>
      </c>
      <c r="N13369" s="17" t="s">
        <v>77</v>
      </c>
      <c r="V13369" s="18">
        <f>628121191661</f>
        <v>628121191661</v>
      </c>
    </row>
    <row r="13370" ht="15" customHeight="1" spans="1:22" x14ac:dyDescent="0.25">
      <c r="A13370" s="17" t="s">
        <v>36258</v>
      </c>
      <c r="B13370" s="17" t="s">
        <v>70</v>
      </c>
      <c r="C13370" s="17" t="s">
        <v>71</v>
      </c>
      <c r="D13370" t="s">
        <v>25264</v>
      </c>
      <c r="F13370" t="s">
        <v>2258</v>
      </c>
      <c r="K13370" s="18">
        <f>628128888278</f>
        <v>628128888278</v>
      </c>
      <c r="N13370" s="17" t="s">
        <v>77</v>
      </c>
      <c r="V13370" s="18">
        <f>628128888278</f>
        <v>628128888278</v>
      </c>
    </row>
    <row r="13371" ht="15" customHeight="1" spans="1:22" x14ac:dyDescent="0.25">
      <c r="A13371" s="17" t="s">
        <v>36259</v>
      </c>
      <c r="B13371" s="17" t="s">
        <v>70</v>
      </c>
      <c r="C13371" s="17" t="s">
        <v>71</v>
      </c>
      <c r="D13371" t="s">
        <v>36260</v>
      </c>
      <c r="F13371" t="s">
        <v>36261</v>
      </c>
      <c r="K13371" s="18">
        <f>62811160590</f>
        <v>62811160590</v>
      </c>
      <c r="N13371" s="17" t="s">
        <v>81</v>
      </c>
      <c r="V13371" s="18">
        <f>62811160590</f>
        <v>62811160590</v>
      </c>
    </row>
    <row r="13372" ht="15" customHeight="1" spans="1:22" x14ac:dyDescent="0.25">
      <c r="A13372" s="17" t="s">
        <v>36262</v>
      </c>
      <c r="B13372" s="17" t="s">
        <v>70</v>
      </c>
      <c r="C13372" s="17" t="s">
        <v>71</v>
      </c>
      <c r="D13372" t="s">
        <v>10198</v>
      </c>
      <c r="F13372" t="s">
        <v>10198</v>
      </c>
      <c r="K13372" s="18">
        <f>6287772420667</f>
        <v>6287772420667</v>
      </c>
      <c r="N13372" s="17" t="s">
        <v>74</v>
      </c>
      <c r="V13372" s="18">
        <f>6287772420667</f>
        <v>6287772420667</v>
      </c>
    </row>
    <row r="13373" ht="15" customHeight="1" spans="1:22" x14ac:dyDescent="0.25">
      <c r="A13373" s="17" t="s">
        <v>36263</v>
      </c>
      <c r="B13373" s="17" t="s">
        <v>70</v>
      </c>
      <c r="C13373" s="17" t="s">
        <v>71</v>
      </c>
      <c r="D13373" t="s">
        <v>10198</v>
      </c>
      <c r="F13373" t="s">
        <v>10198</v>
      </c>
      <c r="K13373" s="18">
        <f>628111777070</f>
        <v>628111777070</v>
      </c>
      <c r="N13373" s="17" t="s">
        <v>77</v>
      </c>
      <c r="V13373" s="18">
        <f>628111777070</f>
        <v>628111777070</v>
      </c>
    </row>
    <row r="13374" ht="15" customHeight="1" spans="1:22" x14ac:dyDescent="0.25">
      <c r="A13374" s="17" t="s">
        <v>36264</v>
      </c>
      <c r="B13374" s="17" t="s">
        <v>70</v>
      </c>
      <c r="C13374" s="17" t="s">
        <v>71</v>
      </c>
      <c r="D13374" t="s">
        <v>10198</v>
      </c>
      <c r="F13374" t="s">
        <v>36265</v>
      </c>
      <c r="K13374" s="18">
        <f>628159007221</f>
        <v>628159007221</v>
      </c>
      <c r="N13374" s="17" t="s">
        <v>77</v>
      </c>
      <c r="V13374" s="18">
        <f>628159007221</f>
        <v>628159007221</v>
      </c>
    </row>
    <row r="13375" ht="15" customHeight="1" spans="1:23" x14ac:dyDescent="0.25">
      <c r="A13375" s="17" t="s">
        <v>36266</v>
      </c>
      <c r="B13375" s="17" t="s">
        <v>70</v>
      </c>
      <c r="C13375" s="17" t="s">
        <v>71</v>
      </c>
      <c r="D13375" t="s">
        <v>10198</v>
      </c>
      <c r="F13375" t="s">
        <v>5564</v>
      </c>
      <c r="K13375" s="18">
        <f>6281299147575</f>
        <v>6281299147575</v>
      </c>
      <c r="N13375" s="17" t="s">
        <v>77</v>
      </c>
      <c r="U13375" s="17"/>
      <c r="V13375" s="18">
        <f>6281299147575</f>
        <v>6281299147575</v>
      </c>
      <c r="W13375" t="s">
        <v>36267</v>
      </c>
    </row>
    <row r="13376" ht="15" customHeight="1" spans="1:28" x14ac:dyDescent="0.25">
      <c r="A13376" s="17" t="s">
        <v>36268</v>
      </c>
      <c r="B13376" s="17" t="s">
        <v>70</v>
      </c>
      <c r="C13376" s="17" t="s">
        <v>71</v>
      </c>
      <c r="D13376" t="s">
        <v>10198</v>
      </c>
      <c r="F13376" t="s">
        <v>36269</v>
      </c>
      <c r="J13376" t="s">
        <v>115</v>
      </c>
      <c r="K13376" s="18" t="s">
        <v>36270</v>
      </c>
      <c r="N13376" s="17" t="s">
        <v>77</v>
      </c>
      <c r="O13376" t="s">
        <v>145</v>
      </c>
      <c r="V13376" s="18" t="s">
        <v>36270</v>
      </c>
      <c r="Y13376" t="s">
        <v>90</v>
      </c>
      <c r="AA13376" t="s">
        <v>118</v>
      </c>
      <c r="AB13376" t="s">
        <v>119</v>
      </c>
    </row>
    <row r="13377" ht="15" customHeight="1" spans="1:22" x14ac:dyDescent="0.25">
      <c r="A13377" s="17" t="s">
        <v>36271</v>
      </c>
      <c r="B13377" s="17" t="s">
        <v>70</v>
      </c>
      <c r="C13377" s="17" t="s">
        <v>71</v>
      </c>
      <c r="D13377" s="19" t="s">
        <v>10198</v>
      </c>
      <c r="F13377" t="s">
        <v>10198</v>
      </c>
      <c r="K13377" s="18">
        <f>628179251949</f>
        <v>628179251949</v>
      </c>
      <c r="N13377" s="17" t="s">
        <v>81</v>
      </c>
      <c r="V13377" s="18">
        <f>628179251949</f>
        <v>628179251949</v>
      </c>
    </row>
    <row r="13378" ht="15" customHeight="1" spans="1:25" x14ac:dyDescent="0.25">
      <c r="A13378" s="17" t="s">
        <v>36272</v>
      </c>
      <c r="B13378" s="17" t="s">
        <v>70</v>
      </c>
      <c r="C13378" s="17" t="s">
        <v>71</v>
      </c>
      <c r="D13378" s="19" t="s">
        <v>36273</v>
      </c>
      <c r="F13378" t="s">
        <v>3962</v>
      </c>
      <c r="J13378" s="17" t="s">
        <v>36274</v>
      </c>
      <c r="K13378" s="18">
        <v>8613510957218</v>
      </c>
      <c r="N13378" s="17" t="s">
        <v>77</v>
      </c>
      <c r="V13378" s="18">
        <v>8613510957218</v>
      </c>
      <c r="Y13378" s="17" t="s">
        <v>36275</v>
      </c>
    </row>
    <row r="13379" ht="15" customHeight="1" spans="1:22" x14ac:dyDescent="0.25">
      <c r="A13379" s="17" t="s">
        <v>36276</v>
      </c>
      <c r="B13379" s="17" t="s">
        <v>70</v>
      </c>
      <c r="C13379" s="17" t="s">
        <v>71</v>
      </c>
      <c r="D13379" t="s">
        <v>36273</v>
      </c>
      <c r="F13379" t="s">
        <v>36277</v>
      </c>
      <c r="J13379" s="17" t="s">
        <v>36278</v>
      </c>
      <c r="K13379" s="18">
        <f>6282114295265</f>
        <v>6282114295265</v>
      </c>
      <c r="N13379" s="17" t="s">
        <v>81</v>
      </c>
      <c r="V13379" s="18">
        <f>6282114295265</f>
        <v>6282114295265</v>
      </c>
    </row>
    <row r="13380" ht="15" customHeight="1" spans="1:22" x14ac:dyDescent="0.25">
      <c r="A13380" s="17" t="s">
        <v>36279</v>
      </c>
      <c r="B13380" s="17" t="s">
        <v>70</v>
      </c>
      <c r="C13380" s="17" t="s">
        <v>71</v>
      </c>
      <c r="D13380" t="s">
        <v>36280</v>
      </c>
      <c r="F13380" t="s">
        <v>36281</v>
      </c>
      <c r="K13380" s="18">
        <f>8613916140672</f>
        <v>8613916140672</v>
      </c>
      <c r="N13380" s="17" t="s">
        <v>77</v>
      </c>
      <c r="V13380" s="18">
        <f>8613916140672</f>
        <v>8613916140672</v>
      </c>
    </row>
    <row r="13381" ht="15" customHeight="1" spans="1:28" x14ac:dyDescent="0.25">
      <c r="A13381" s="17" t="s">
        <v>36282</v>
      </c>
      <c r="B13381" s="17" t="s">
        <v>70</v>
      </c>
      <c r="C13381" s="17" t="s">
        <v>71</v>
      </c>
      <c r="D13381" t="s">
        <v>36273</v>
      </c>
      <c r="F13381" t="s">
        <v>36283</v>
      </c>
      <c r="J13381" s="17" t="s">
        <v>36284</v>
      </c>
      <c r="K13381" s="18" t="s">
        <v>36285</v>
      </c>
      <c r="N13381" s="17" t="s">
        <v>77</v>
      </c>
      <c r="O13381" t="s">
        <v>117</v>
      </c>
      <c r="V13381" s="18" t="s">
        <v>36285</v>
      </c>
      <c r="Y13381" t="s">
        <v>115</v>
      </c>
      <c r="AA13381" t="s">
        <v>115</v>
      </c>
      <c r="AB13381" t="s">
        <v>5542</v>
      </c>
    </row>
    <row r="13382" ht="15" customHeight="1" spans="1:22" x14ac:dyDescent="0.25">
      <c r="A13382" s="17" t="s">
        <v>36286</v>
      </c>
      <c r="B13382" s="17" t="s">
        <v>70</v>
      </c>
      <c r="C13382" s="17" t="s">
        <v>71</v>
      </c>
      <c r="D13382" t="s">
        <v>36287</v>
      </c>
      <c r="F13382" t="s">
        <v>7299</v>
      </c>
      <c r="J13382" s="17" t="s">
        <v>36288</v>
      </c>
      <c r="K13382" s="18">
        <f>10014468436625</f>
        <v>10014468436625</v>
      </c>
      <c r="N13382" s="17" t="s">
        <v>77</v>
      </c>
      <c r="V13382" s="18">
        <f>10014468436625</f>
        <v>10014468436625</v>
      </c>
    </row>
    <row r="13383" ht="15" customHeight="1" spans="1:28" x14ac:dyDescent="0.25">
      <c r="A13383" s="17" t="s">
        <v>36289</v>
      </c>
      <c r="B13383" s="17" t="s">
        <v>70</v>
      </c>
      <c r="C13383" s="17" t="s">
        <v>71</v>
      </c>
      <c r="D13383" t="s">
        <v>36290</v>
      </c>
      <c r="F13383" t="s">
        <v>36291</v>
      </c>
      <c r="J13383" t="s">
        <v>115</v>
      </c>
      <c r="K13383" s="18" t="s">
        <v>36292</v>
      </c>
      <c r="N13383" s="17" t="s">
        <v>77</v>
      </c>
      <c r="O13383" t="s">
        <v>199</v>
      </c>
      <c r="V13383" s="18" t="s">
        <v>36292</v>
      </c>
      <c r="Y13383" t="s">
        <v>190</v>
      </c>
      <c r="AA13383" t="s">
        <v>118</v>
      </c>
      <c r="AB13383" t="s">
        <v>119</v>
      </c>
    </row>
    <row r="13384" ht="15" customHeight="1" spans="1:22" x14ac:dyDescent="0.25">
      <c r="A13384" s="17" t="s">
        <v>36293</v>
      </c>
      <c r="B13384" s="17" t="s">
        <v>70</v>
      </c>
      <c r="C13384" s="17" t="s">
        <v>71</v>
      </c>
      <c r="D13384" t="s">
        <v>36294</v>
      </c>
      <c r="F13384" t="s">
        <v>36295</v>
      </c>
      <c r="K13384" s="18">
        <f>62816845000</f>
        <v>62816845000</v>
      </c>
      <c r="N13384" s="17" t="s">
        <v>74</v>
      </c>
      <c r="V13384" s="18">
        <f>62816845000</f>
        <v>62816845000</v>
      </c>
    </row>
    <row r="13385" ht="15" customHeight="1" spans="1:22" x14ac:dyDescent="0.25">
      <c r="A13385" s="17" t="s">
        <v>36296</v>
      </c>
      <c r="B13385" s="17" t="s">
        <v>70</v>
      </c>
      <c r="C13385" s="17" t="s">
        <v>71</v>
      </c>
      <c r="D13385" t="s">
        <v>36294</v>
      </c>
      <c r="F13385" t="s">
        <v>36297</v>
      </c>
      <c r="K13385" s="18">
        <f>628129555903</f>
        <v>628129555903</v>
      </c>
      <c r="N13385" s="17" t="s">
        <v>74</v>
      </c>
      <c r="V13385" s="18">
        <f>628129555903</f>
        <v>628129555903</v>
      </c>
    </row>
    <row r="13386" ht="15" customHeight="1" spans="1:22" x14ac:dyDescent="0.25">
      <c r="A13386" s="17" t="s">
        <v>36298</v>
      </c>
      <c r="B13386" s="17" t="s">
        <v>70</v>
      </c>
      <c r="C13386" s="17" t="s">
        <v>71</v>
      </c>
      <c r="D13386" t="s">
        <v>36294</v>
      </c>
      <c r="F13386" t="s">
        <v>36299</v>
      </c>
      <c r="K13386" s="18">
        <f>628129572936</f>
        <v>628129572936</v>
      </c>
      <c r="N13386" s="17" t="s">
        <v>81</v>
      </c>
      <c r="V13386" s="18">
        <f>628129572936</f>
        <v>628129572936</v>
      </c>
    </row>
    <row r="13387" ht="15" customHeight="1" spans="1:23" x14ac:dyDescent="0.25">
      <c r="A13387" s="17" t="s">
        <v>36300</v>
      </c>
      <c r="B13387" s="17" t="s">
        <v>70</v>
      </c>
      <c r="C13387" s="17" t="s">
        <v>71</v>
      </c>
      <c r="D13387" t="s">
        <v>36301</v>
      </c>
      <c r="F13387" t="s">
        <v>36302</v>
      </c>
      <c r="K13387" s="18">
        <f>919829271265</f>
        <v>919829271265</v>
      </c>
      <c r="N13387" s="17" t="s">
        <v>77</v>
      </c>
      <c r="U13387" s="17"/>
      <c r="V13387" s="18">
        <f>919829271265</f>
        <v>919829271265</v>
      </c>
      <c r="W13387" t="s">
        <v>920</v>
      </c>
    </row>
    <row r="13388" ht="15" customHeight="1" spans="1:28" x14ac:dyDescent="0.25">
      <c r="A13388" s="17" t="s">
        <v>36303</v>
      </c>
      <c r="B13388" s="17" t="s">
        <v>70</v>
      </c>
      <c r="C13388" s="17" t="s">
        <v>71</v>
      </c>
      <c r="D13388" t="s">
        <v>36304</v>
      </c>
      <c r="F13388" t="s">
        <v>14124</v>
      </c>
      <c r="J13388" t="s">
        <v>115</v>
      </c>
      <c r="K13388" s="18" t="s">
        <v>36305</v>
      </c>
      <c r="N13388" s="17" t="s">
        <v>77</v>
      </c>
      <c r="O13388" t="s">
        <v>117</v>
      </c>
      <c r="V13388" s="18" t="s">
        <v>36305</v>
      </c>
      <c r="Y13388" t="s">
        <v>190</v>
      </c>
      <c r="AA13388" t="s">
        <v>118</v>
      </c>
      <c r="AB13388" t="s">
        <v>119</v>
      </c>
    </row>
    <row r="13389" ht="15" customHeight="1" spans="1:28" x14ac:dyDescent="0.25">
      <c r="A13389" s="17" t="s">
        <v>36306</v>
      </c>
      <c r="B13389" s="17" t="s">
        <v>70</v>
      </c>
      <c r="C13389" s="17" t="s">
        <v>71</v>
      </c>
      <c r="D13389" t="s">
        <v>36307</v>
      </c>
      <c r="F13389" t="s">
        <v>994</v>
      </c>
      <c r="J13389" t="s">
        <v>115</v>
      </c>
      <c r="K13389" s="18" t="s">
        <v>36308</v>
      </c>
      <c r="N13389" s="17" t="s">
        <v>77</v>
      </c>
      <c r="O13389" t="s">
        <v>117</v>
      </c>
      <c r="V13389" s="18" t="s">
        <v>36308</v>
      </c>
      <c r="Y13389" t="s">
        <v>190</v>
      </c>
      <c r="AA13389" t="s">
        <v>118</v>
      </c>
      <c r="AB13389" t="s">
        <v>119</v>
      </c>
    </row>
    <row r="13390" ht="15" customHeight="1" spans="1:22" x14ac:dyDescent="0.25">
      <c r="A13390" s="17" t="s">
        <v>36309</v>
      </c>
      <c r="B13390" s="17" t="s">
        <v>70</v>
      </c>
      <c r="C13390" s="17" t="s">
        <v>71</v>
      </c>
      <c r="D13390" t="s">
        <v>36310</v>
      </c>
      <c r="F13390" t="s">
        <v>27040</v>
      </c>
      <c r="K13390" s="18">
        <f>62811148082</f>
        <v>62811148082</v>
      </c>
      <c r="N13390" s="17" t="s">
        <v>77</v>
      </c>
      <c r="V13390" s="18">
        <f>62811148082</f>
        <v>62811148082</v>
      </c>
    </row>
    <row r="13391" ht="15" customHeight="1" spans="1:22" x14ac:dyDescent="0.25">
      <c r="A13391" s="17" t="s">
        <v>36311</v>
      </c>
      <c r="B13391" s="17" t="s">
        <v>70</v>
      </c>
      <c r="C13391" s="17" t="s">
        <v>71</v>
      </c>
      <c r="D13391" t="s">
        <v>36312</v>
      </c>
      <c r="F13391" t="s">
        <v>36312</v>
      </c>
      <c r="K13391" s="18">
        <f>6281289992944</f>
        <v>6281289992944</v>
      </c>
      <c r="N13391" s="17" t="s">
        <v>77</v>
      </c>
      <c r="V13391" s="18">
        <f>6281289992944</f>
        <v>6281289992944</v>
      </c>
    </row>
    <row r="13392" ht="15" customHeight="1" spans="1:27" x14ac:dyDescent="0.25">
      <c r="A13392" s="17" t="s">
        <v>36313</v>
      </c>
      <c r="B13392" s="17" t="s">
        <v>70</v>
      </c>
      <c r="C13392" s="17" t="s">
        <v>71</v>
      </c>
      <c r="D13392" t="s">
        <v>36312</v>
      </c>
      <c r="F13392" t="s">
        <v>36314</v>
      </c>
      <c r="J13392" s="17" t="s">
        <v>36315</v>
      </c>
      <c r="K13392" s="18">
        <f>60123057885</f>
        <v>60123057885</v>
      </c>
      <c r="N13392" s="17" t="s">
        <v>77</v>
      </c>
      <c r="U13392" s="17"/>
      <c r="V13392" s="18">
        <f>60123057885</f>
        <v>60123057885</v>
      </c>
      <c r="W13392" t="s">
        <v>36316</v>
      </c>
      <c r="Y13392" s="17" t="s">
        <v>36317</v>
      </c>
      <c r="AA13392" s="17">
        <v>68000</v>
      </c>
    </row>
    <row r="13393" ht="15" customHeight="1" spans="1:27" x14ac:dyDescent="0.25">
      <c r="A13393" s="17" t="s">
        <v>36318</v>
      </c>
      <c r="B13393" s="17" t="s">
        <v>70</v>
      </c>
      <c r="C13393" s="17" t="s">
        <v>71</v>
      </c>
      <c r="D13393" t="s">
        <v>36319</v>
      </c>
      <c r="F13393" t="s">
        <v>36319</v>
      </c>
      <c r="K13393" s="18">
        <f>6281281398112</f>
        <v>6281281398112</v>
      </c>
      <c r="N13393" s="17" t="s">
        <v>74</v>
      </c>
      <c r="U13393" s="17"/>
      <c r="V13393" s="18">
        <f>6281281398112</f>
        <v>6281281398112</v>
      </c>
      <c r="W13393" t="s">
        <v>36320</v>
      </c>
      <c r="AA13393" s="17">
        <v>12780</v>
      </c>
    </row>
    <row r="13394" ht="15" customHeight="1" spans="1:22" x14ac:dyDescent="0.25">
      <c r="A13394" s="17" t="s">
        <v>36321</v>
      </c>
      <c r="B13394" s="17" t="s">
        <v>70</v>
      </c>
      <c r="C13394" s="17" t="s">
        <v>71</v>
      </c>
      <c r="D13394" t="s">
        <v>325</v>
      </c>
      <c r="F13394" t="s">
        <v>325</v>
      </c>
      <c r="K13394" s="18">
        <f>6281389899191</f>
        <v>6281389899191</v>
      </c>
      <c r="N13394" s="17" t="s">
        <v>81</v>
      </c>
      <c r="V13394" s="18">
        <f>6281389899191</f>
        <v>6281389899191</v>
      </c>
    </row>
    <row r="13395" ht="15" customHeight="1" spans="1:28" x14ac:dyDescent="0.25">
      <c r="A13395" s="17" t="s">
        <v>36322</v>
      </c>
      <c r="B13395" s="17" t="s">
        <v>70</v>
      </c>
      <c r="C13395" s="17" t="s">
        <v>71</v>
      </c>
      <c r="D13395" t="s">
        <v>325</v>
      </c>
      <c r="F13395" t="s">
        <v>4044</v>
      </c>
      <c r="J13395" t="s">
        <v>36323</v>
      </c>
      <c r="K13395" s="18" t="s">
        <v>36324</v>
      </c>
      <c r="N13395" s="17" t="s">
        <v>77</v>
      </c>
      <c r="O13395" t="s">
        <v>117</v>
      </c>
      <c r="U13395" s="17"/>
      <c r="V13395" s="18" t="s">
        <v>36324</v>
      </c>
      <c r="W13395" t="s">
        <v>36325</v>
      </c>
      <c r="Y13395" t="s">
        <v>115</v>
      </c>
      <c r="AA13395" t="s">
        <v>115</v>
      </c>
      <c r="AB13395" t="s">
        <v>119</v>
      </c>
    </row>
    <row r="13396" ht="15" customHeight="1" spans="1:22" x14ac:dyDescent="0.25">
      <c r="A13396" s="17" t="s">
        <v>36326</v>
      </c>
      <c r="B13396" s="17" t="s">
        <v>70</v>
      </c>
      <c r="C13396" s="17" t="s">
        <v>71</v>
      </c>
      <c r="D13396" t="s">
        <v>325</v>
      </c>
      <c r="F13396" t="s">
        <v>20334</v>
      </c>
      <c r="K13396" s="18">
        <f>6281586568888</f>
        <v>6281586568888</v>
      </c>
      <c r="N13396" s="17" t="s">
        <v>74</v>
      </c>
      <c r="V13396" s="18">
        <f>6281586568888</f>
        <v>6281586568888</v>
      </c>
    </row>
    <row r="13397" ht="15" customHeight="1" spans="1:28" x14ac:dyDescent="0.25">
      <c r="A13397" s="17" t="s">
        <v>36327</v>
      </c>
      <c r="B13397" s="17" t="s">
        <v>70</v>
      </c>
      <c r="C13397" s="17" t="s">
        <v>71</v>
      </c>
      <c r="D13397" t="s">
        <v>36328</v>
      </c>
      <c r="F13397" t="s">
        <v>153</v>
      </c>
      <c r="J13397" t="s">
        <v>115</v>
      </c>
      <c r="K13397" s="18" t="s">
        <v>36329</v>
      </c>
      <c r="N13397" s="17" t="s">
        <v>77</v>
      </c>
      <c r="O13397" t="s">
        <v>145</v>
      </c>
      <c r="U13397" s="17"/>
      <c r="V13397" s="18" t="s">
        <v>36329</v>
      </c>
      <c r="W13397" t="s">
        <v>36330</v>
      </c>
      <c r="Y13397" s="17" t="s">
        <v>90</v>
      </c>
      <c r="AA13397" t="s">
        <v>118</v>
      </c>
      <c r="AB13397" t="s">
        <v>119</v>
      </c>
    </row>
    <row r="13398" ht="15" customHeight="1" spans="1:22" x14ac:dyDescent="0.25">
      <c r="A13398" s="17" t="s">
        <v>36331</v>
      </c>
      <c r="B13398" s="17" t="s">
        <v>70</v>
      </c>
      <c r="C13398" s="17" t="s">
        <v>71</v>
      </c>
      <c r="D13398" t="s">
        <v>36332</v>
      </c>
      <c r="F13398" t="s">
        <v>1916</v>
      </c>
      <c r="K13398" s="18">
        <f>628118777787</f>
        <v>628118777787</v>
      </c>
      <c r="N13398" s="17" t="s">
        <v>81</v>
      </c>
      <c r="V13398" s="18">
        <f>628118777787</f>
        <v>628118777787</v>
      </c>
    </row>
    <row r="13399" ht="15" customHeight="1" spans="1:23" x14ac:dyDescent="0.25">
      <c r="A13399" s="17" t="s">
        <v>36333</v>
      </c>
      <c r="B13399" s="17" t="s">
        <v>70</v>
      </c>
      <c r="C13399" s="17" t="s">
        <v>71</v>
      </c>
      <c r="D13399" t="s">
        <v>36334</v>
      </c>
      <c r="F13399" t="s">
        <v>2159</v>
      </c>
      <c r="J13399" s="17" t="s">
        <v>36335</v>
      </c>
      <c r="K13399" s="18">
        <f>62816101919</f>
        <v>62816101919</v>
      </c>
      <c r="N13399" s="17" t="s">
        <v>77</v>
      </c>
      <c r="U13399" s="17"/>
      <c r="V13399" s="18">
        <f>62816101919</f>
        <v>62816101919</v>
      </c>
      <c r="W13399" t="s">
        <v>36336</v>
      </c>
    </row>
    <row r="13400" ht="15" customHeight="1" spans="1:27" x14ac:dyDescent="0.25">
      <c r="A13400" s="17" t="s">
        <v>36337</v>
      </c>
      <c r="B13400" s="17" t="s">
        <v>70</v>
      </c>
      <c r="C13400" s="17" t="s">
        <v>71</v>
      </c>
      <c r="D13400" t="s">
        <v>36334</v>
      </c>
      <c r="F13400" t="s">
        <v>36338</v>
      </c>
      <c r="J13400" s="17" t="s">
        <v>36339</v>
      </c>
      <c r="K13400" s="18">
        <f>6281237720225</f>
        <v>6281237720225</v>
      </c>
      <c r="N13400" s="17" t="s">
        <v>77</v>
      </c>
      <c r="U13400" s="17"/>
      <c r="V13400" s="18">
        <f>6281237720225</f>
        <v>6281237720225</v>
      </c>
      <c r="W13400" t="s">
        <v>36340</v>
      </c>
      <c r="Y13400" s="17" t="s">
        <v>90</v>
      </c>
      <c r="AA13400" s="17">
        <v>12310</v>
      </c>
    </row>
    <row r="13401" ht="15" customHeight="1" spans="1:22" x14ac:dyDescent="0.25">
      <c r="A13401" s="17" t="s">
        <v>36341</v>
      </c>
      <c r="B13401" s="17" t="s">
        <v>70</v>
      </c>
      <c r="C13401" s="17" t="s">
        <v>71</v>
      </c>
      <c r="D13401" t="s">
        <v>36334</v>
      </c>
      <c r="F13401" t="s">
        <v>150</v>
      </c>
      <c r="K13401" s="18">
        <f>628118403345</f>
        <v>628118403345</v>
      </c>
      <c r="N13401" s="17" t="s">
        <v>81</v>
      </c>
      <c r="V13401" s="18">
        <f>628118403345</f>
        <v>628118403345</v>
      </c>
    </row>
    <row r="13402" ht="15" customHeight="1" spans="1:28" x14ac:dyDescent="0.25">
      <c r="A13402" s="17" t="s">
        <v>36342</v>
      </c>
      <c r="B13402" s="17" t="s">
        <v>70</v>
      </c>
      <c r="C13402" s="17" t="s">
        <v>71</v>
      </c>
      <c r="D13402" t="s">
        <v>36343</v>
      </c>
      <c r="F13402" t="s">
        <v>2322</v>
      </c>
      <c r="J13402" t="s">
        <v>115</v>
      </c>
      <c r="K13402" s="18" t="s">
        <v>36344</v>
      </c>
      <c r="N13402" s="17" t="s">
        <v>77</v>
      </c>
      <c r="O13402" t="s">
        <v>145</v>
      </c>
      <c r="U13402" s="17"/>
      <c r="V13402" s="18" t="s">
        <v>36344</v>
      </c>
      <c r="W13402" t="s">
        <v>36345</v>
      </c>
      <c r="Y13402" s="17" t="s">
        <v>1091</v>
      </c>
      <c r="AA13402" t="s">
        <v>115</v>
      </c>
      <c r="AB13402" t="s">
        <v>119</v>
      </c>
    </row>
    <row r="13403" ht="15" customHeight="1" spans="1:28" x14ac:dyDescent="0.25">
      <c r="A13403" s="17" t="s">
        <v>36346</v>
      </c>
      <c r="B13403" s="17" t="s">
        <v>70</v>
      </c>
      <c r="C13403" s="17" t="s">
        <v>71</v>
      </c>
      <c r="D13403" t="s">
        <v>36347</v>
      </c>
      <c r="F13403" t="s">
        <v>36348</v>
      </c>
      <c r="J13403" t="s">
        <v>115</v>
      </c>
      <c r="K13403" s="18" t="s">
        <v>36349</v>
      </c>
      <c r="N13403" s="17" t="s">
        <v>81</v>
      </c>
      <c r="O13403" t="s">
        <v>145</v>
      </c>
      <c r="U13403" s="17"/>
      <c r="V13403" s="18" t="s">
        <v>36349</v>
      </c>
      <c r="W13403" t="s">
        <v>36350</v>
      </c>
      <c r="Y13403" s="17" t="s">
        <v>90</v>
      </c>
      <c r="AA13403" t="s">
        <v>118</v>
      </c>
      <c r="AB13403" t="s">
        <v>119</v>
      </c>
    </row>
    <row r="13404" ht="15" customHeight="1" spans="1:23" x14ac:dyDescent="0.25">
      <c r="A13404" s="17" t="s">
        <v>36351</v>
      </c>
      <c r="B13404" s="17" t="s">
        <v>70</v>
      </c>
      <c r="C13404" s="17" t="s">
        <v>71</v>
      </c>
      <c r="D13404" t="s">
        <v>36347</v>
      </c>
      <c r="F13404" t="s">
        <v>36352</v>
      </c>
      <c r="K13404" s="18">
        <f>6281294037727</f>
        <v>6281294037727</v>
      </c>
      <c r="N13404" s="17" t="s">
        <v>74</v>
      </c>
      <c r="U13404" s="17"/>
      <c r="V13404" s="18">
        <f>6281294037727</f>
        <v>6281294037727</v>
      </c>
      <c r="W13404" t="s">
        <v>36353</v>
      </c>
    </row>
    <row r="13405" ht="15" customHeight="1" spans="1:28" x14ac:dyDescent="0.25">
      <c r="A13405" s="17" t="s">
        <v>36354</v>
      </c>
      <c r="B13405" s="17" t="s">
        <v>70</v>
      </c>
      <c r="C13405" s="17" t="s">
        <v>71</v>
      </c>
      <c r="D13405" t="s">
        <v>36355</v>
      </c>
      <c r="F13405" t="s">
        <v>36356</v>
      </c>
      <c r="J13405" t="s">
        <v>115</v>
      </c>
      <c r="K13405" s="18" t="s">
        <v>36357</v>
      </c>
      <c r="N13405" s="17" t="s">
        <v>81</v>
      </c>
      <c r="O13405" t="s">
        <v>117</v>
      </c>
      <c r="V13405" s="18" t="s">
        <v>36357</v>
      </c>
      <c r="Y13405" t="s">
        <v>190</v>
      </c>
      <c r="AA13405" t="s">
        <v>118</v>
      </c>
      <c r="AB13405" t="s">
        <v>7229</v>
      </c>
    </row>
    <row r="13406" ht="15" customHeight="1" spans="1:28" x14ac:dyDescent="0.25">
      <c r="A13406" s="17" t="s">
        <v>36358</v>
      </c>
      <c r="B13406" s="17" t="s">
        <v>70</v>
      </c>
      <c r="C13406" s="17" t="s">
        <v>71</v>
      </c>
      <c r="D13406" t="s">
        <v>36359</v>
      </c>
      <c r="F13406" t="s">
        <v>474</v>
      </c>
      <c r="J13406" s="17" t="s">
        <v>36360</v>
      </c>
      <c r="K13406" s="18" t="s">
        <v>36361</v>
      </c>
      <c r="N13406" s="17" t="s">
        <v>77</v>
      </c>
      <c r="O13406" t="s">
        <v>145</v>
      </c>
      <c r="U13406" s="17"/>
      <c r="V13406" s="18" t="s">
        <v>36361</v>
      </c>
      <c r="W13406" t="s">
        <v>36362</v>
      </c>
      <c r="Y13406" s="17" t="s">
        <v>490</v>
      </c>
      <c r="AA13406" t="s">
        <v>115</v>
      </c>
      <c r="AB13406" t="s">
        <v>119</v>
      </c>
    </row>
    <row r="13407" ht="15" customHeight="1" spans="1:22" x14ac:dyDescent="0.25">
      <c r="A13407" s="17" t="s">
        <v>36363</v>
      </c>
      <c r="B13407" s="17" t="s">
        <v>70</v>
      </c>
      <c r="C13407" s="17" t="s">
        <v>71</v>
      </c>
      <c r="D13407" t="s">
        <v>36359</v>
      </c>
      <c r="F13407" t="s">
        <v>36364</v>
      </c>
      <c r="K13407" s="18">
        <f>62816694890</f>
        <v>62816694890</v>
      </c>
      <c r="N13407" s="17" t="s">
        <v>77</v>
      </c>
      <c r="V13407" s="18">
        <f>62816694890</f>
        <v>62816694890</v>
      </c>
    </row>
    <row r="13408" ht="15" customHeight="1" spans="1:23" x14ac:dyDescent="0.25">
      <c r="A13408" s="17" t="s">
        <v>36365</v>
      </c>
      <c r="B13408" s="17" t="s">
        <v>70</v>
      </c>
      <c r="C13408" s="17" t="s">
        <v>71</v>
      </c>
      <c r="D13408" t="s">
        <v>36366</v>
      </c>
      <c r="F13408" t="s">
        <v>36366</v>
      </c>
      <c r="K13408" s="18">
        <f>6281310899969</f>
        <v>6281310899969</v>
      </c>
      <c r="N13408" s="17" t="s">
        <v>74</v>
      </c>
      <c r="U13408" s="17"/>
      <c r="V13408" s="18">
        <f>6281310899969</f>
        <v>6281310899969</v>
      </c>
      <c r="W13408" t="s">
        <v>36367</v>
      </c>
    </row>
    <row r="13409" ht="15" customHeight="1" spans="1:22" x14ac:dyDescent="0.25">
      <c r="A13409" s="17" t="s">
        <v>36368</v>
      </c>
      <c r="B13409" s="17" t="s">
        <v>70</v>
      </c>
      <c r="C13409" s="17" t="s">
        <v>71</v>
      </c>
      <c r="D13409" t="s">
        <v>36369</v>
      </c>
      <c r="F13409" t="s">
        <v>36370</v>
      </c>
      <c r="K13409" s="18">
        <f>60792664377</f>
        <v>60792664377</v>
      </c>
      <c r="N13409" s="17" t="s">
        <v>77</v>
      </c>
      <c r="V13409" s="18">
        <f>60792664377</f>
        <v>60792664377</v>
      </c>
    </row>
    <row r="13410" ht="15" customHeight="1" spans="1:22" x14ac:dyDescent="0.25">
      <c r="A13410" s="17" t="s">
        <v>36371</v>
      </c>
      <c r="B13410" s="17" t="s">
        <v>70</v>
      </c>
      <c r="C13410" s="17" t="s">
        <v>71</v>
      </c>
      <c r="D13410" t="s">
        <v>36372</v>
      </c>
      <c r="F13410" t="s">
        <v>36372</v>
      </c>
      <c r="K13410" s="18">
        <f>62811717778</f>
        <v>62811717778</v>
      </c>
      <c r="N13410" s="17" t="s">
        <v>81</v>
      </c>
      <c r="V13410" s="18">
        <f>62811717778</f>
        <v>62811717778</v>
      </c>
    </row>
    <row r="13411" ht="15" customHeight="1" spans="1:25" x14ac:dyDescent="0.25">
      <c r="A13411" s="17" t="s">
        <v>36373</v>
      </c>
      <c r="B13411" s="17" t="s">
        <v>70</v>
      </c>
      <c r="C13411" s="17" t="s">
        <v>71</v>
      </c>
      <c r="D13411" t="s">
        <v>36372</v>
      </c>
      <c r="F13411" t="s">
        <v>36372</v>
      </c>
      <c r="K13411" s="18">
        <v>3103124</v>
      </c>
      <c r="N13411" s="17" t="s">
        <v>77</v>
      </c>
      <c r="U13411" s="17"/>
      <c r="V13411" s="18">
        <v>3103124</v>
      </c>
      <c r="W13411" t="s">
        <v>36374</v>
      </c>
      <c r="Y13411" s="17" t="s">
        <v>378</v>
      </c>
    </row>
    <row r="13412" ht="15" customHeight="1" spans="1:22" x14ac:dyDescent="0.25">
      <c r="A13412" s="17" t="s">
        <v>36375</v>
      </c>
      <c r="B13412" s="17" t="s">
        <v>70</v>
      </c>
      <c r="C13412" s="17" t="s">
        <v>71</v>
      </c>
      <c r="D13412" t="s">
        <v>36372</v>
      </c>
      <c r="F13412" t="s">
        <v>36376</v>
      </c>
      <c r="K13412" s="18">
        <f>62628111906671</f>
        <v>62628111906671</v>
      </c>
      <c r="N13412" s="17" t="s">
        <v>77</v>
      </c>
      <c r="V13412" s="18">
        <f>62628111906671</f>
        <v>62628111906671</v>
      </c>
    </row>
    <row r="13413" ht="15" customHeight="1" spans="1:25" x14ac:dyDescent="0.25">
      <c r="A13413" s="17" t="s">
        <v>36377</v>
      </c>
      <c r="B13413" s="17" t="s">
        <v>70</v>
      </c>
      <c r="C13413" s="17" t="s">
        <v>71</v>
      </c>
      <c r="D13413" t="s">
        <v>36372</v>
      </c>
      <c r="F13413" t="s">
        <v>36378</v>
      </c>
      <c r="J13413" s="17" t="s">
        <v>36379</v>
      </c>
      <c r="K13413" s="18">
        <f>628178622160</f>
        <v>628178622160</v>
      </c>
      <c r="N13413" s="17" t="s">
        <v>77</v>
      </c>
      <c r="U13413" s="17"/>
      <c r="V13413" s="18">
        <f>628178622160</f>
        <v>628178622160</v>
      </c>
      <c r="W13413" t="s">
        <v>36380</v>
      </c>
      <c r="Y13413" s="17" t="s">
        <v>90</v>
      </c>
    </row>
    <row r="13414" ht="15" customHeight="1" spans="1:22" x14ac:dyDescent="0.25">
      <c r="A13414" s="17" t="s">
        <v>36381</v>
      </c>
      <c r="B13414" s="17" t="s">
        <v>70</v>
      </c>
      <c r="C13414" s="17" t="s">
        <v>71</v>
      </c>
      <c r="D13414" t="s">
        <v>36372</v>
      </c>
      <c r="F13414" t="s">
        <v>15489</v>
      </c>
      <c r="K13414" s="18">
        <f>628170027012</f>
        <v>628170027012</v>
      </c>
      <c r="N13414" s="17" t="s">
        <v>81</v>
      </c>
      <c r="V13414" s="18">
        <f>628170027012</f>
        <v>628170027012</v>
      </c>
    </row>
    <row r="13415" ht="15" customHeight="1" spans="1:28" x14ac:dyDescent="0.25">
      <c r="A13415" s="17" t="s">
        <v>36382</v>
      </c>
      <c r="B13415" s="17" t="s">
        <v>70</v>
      </c>
      <c r="C13415" s="17" t="s">
        <v>71</v>
      </c>
      <c r="D13415" t="s">
        <v>36372</v>
      </c>
      <c r="F13415" t="s">
        <v>36383</v>
      </c>
      <c r="J13415" s="17" t="s">
        <v>36384</v>
      </c>
      <c r="K13415" s="18" t="s">
        <v>36385</v>
      </c>
      <c r="N13415" s="17" t="s">
        <v>77</v>
      </c>
      <c r="O13415" t="s">
        <v>199</v>
      </c>
      <c r="U13415" s="17"/>
      <c r="V13415" s="18" t="s">
        <v>36385</v>
      </c>
      <c r="W13415" t="s">
        <v>6737</v>
      </c>
      <c r="Y13415" t="s">
        <v>181</v>
      </c>
      <c r="AA13415" t="s">
        <v>1672</v>
      </c>
      <c r="AB13415" t="s">
        <v>119</v>
      </c>
    </row>
    <row r="13416" ht="15" customHeight="1" spans="1:22" x14ac:dyDescent="0.25">
      <c r="A13416" s="17" t="s">
        <v>36386</v>
      </c>
      <c r="B13416" s="17" t="s">
        <v>70</v>
      </c>
      <c r="C13416" s="17" t="s">
        <v>71</v>
      </c>
      <c r="D13416" t="s">
        <v>36387</v>
      </c>
      <c r="F13416" t="s">
        <v>26095</v>
      </c>
      <c r="K13416" s="18">
        <f>62818111823</f>
        <v>62818111823</v>
      </c>
      <c r="N13416" s="17" t="s">
        <v>77</v>
      </c>
      <c r="V13416" s="18">
        <f>62818111823</f>
        <v>62818111823</v>
      </c>
    </row>
    <row r="13417" ht="15" customHeight="1" spans="1:25" x14ac:dyDescent="0.25">
      <c r="A13417" s="17" t="s">
        <v>36388</v>
      </c>
      <c r="B13417" s="17" t="s">
        <v>70</v>
      </c>
      <c r="C13417" s="17" t="s">
        <v>71</v>
      </c>
      <c r="D13417" t="s">
        <v>36389</v>
      </c>
      <c r="F13417" t="s">
        <v>7965</v>
      </c>
      <c r="K13417" s="18">
        <f>62812310162211</f>
        <v>62812310162211</v>
      </c>
      <c r="N13417" s="17" t="s">
        <v>77</v>
      </c>
      <c r="U13417" s="17"/>
      <c r="V13417" s="18">
        <f>62812310162211</f>
        <v>62812310162211</v>
      </c>
      <c r="W13417" t="s">
        <v>36390</v>
      </c>
      <c r="Y13417" s="17" t="s">
        <v>515</v>
      </c>
    </row>
    <row r="13418" ht="15" customHeight="1" spans="1:28" x14ac:dyDescent="0.25">
      <c r="A13418" s="17" t="s">
        <v>36391</v>
      </c>
      <c r="B13418" s="17" t="s">
        <v>70</v>
      </c>
      <c r="C13418" s="17" t="s">
        <v>71</v>
      </c>
      <c r="D13418" t="s">
        <v>36392</v>
      </c>
      <c r="F13418" t="s">
        <v>17190</v>
      </c>
      <c r="J13418" t="s">
        <v>115</v>
      </c>
      <c r="K13418" s="18" t="s">
        <v>36393</v>
      </c>
      <c r="N13418" s="17" t="s">
        <v>77</v>
      </c>
      <c r="O13418" t="s">
        <v>489</v>
      </c>
      <c r="V13418" s="18" t="s">
        <v>36393</v>
      </c>
      <c r="Y13418" s="17" t="s">
        <v>1247</v>
      </c>
      <c r="AA13418" t="s">
        <v>115</v>
      </c>
      <c r="AB13418" t="s">
        <v>119</v>
      </c>
    </row>
    <row r="13419" ht="15" customHeight="1" spans="1:28" x14ac:dyDescent="0.25">
      <c r="A13419" s="17" t="s">
        <v>36394</v>
      </c>
      <c r="B13419" s="17" t="s">
        <v>70</v>
      </c>
      <c r="C13419" s="17" t="s">
        <v>71</v>
      </c>
      <c r="D13419" t="s">
        <v>36395</v>
      </c>
      <c r="F13419" t="s">
        <v>319</v>
      </c>
      <c r="J13419" t="s">
        <v>36396</v>
      </c>
      <c r="K13419" s="18" t="s">
        <v>36397</v>
      </c>
      <c r="N13419" s="17" t="s">
        <v>77</v>
      </c>
      <c r="O13419" t="s">
        <v>117</v>
      </c>
      <c r="V13419" s="18" t="s">
        <v>36397</v>
      </c>
      <c r="Y13419" t="s">
        <v>90</v>
      </c>
      <c r="AA13419" t="s">
        <v>118</v>
      </c>
      <c r="AB13419" t="s">
        <v>119</v>
      </c>
    </row>
    <row r="13420" ht="15" customHeight="1" spans="1:22" x14ac:dyDescent="0.25">
      <c r="A13420" s="17" t="s">
        <v>36398</v>
      </c>
      <c r="B13420" s="17" t="s">
        <v>70</v>
      </c>
      <c r="C13420" s="17" t="s">
        <v>71</v>
      </c>
      <c r="D13420" t="s">
        <v>36399</v>
      </c>
      <c r="F13420" t="s">
        <v>36399</v>
      </c>
      <c r="K13420" s="18">
        <f>628139888721</f>
        <v>628139888721</v>
      </c>
      <c r="N13420" s="17" t="s">
        <v>77</v>
      </c>
      <c r="V13420" s="18">
        <f>628139888721</f>
        <v>628139888721</v>
      </c>
    </row>
    <row r="13421" ht="15" customHeight="1" spans="1:22" x14ac:dyDescent="0.25">
      <c r="A13421" s="17" t="s">
        <v>36400</v>
      </c>
      <c r="B13421" s="17" t="s">
        <v>70</v>
      </c>
      <c r="C13421" s="17" t="s">
        <v>71</v>
      </c>
      <c r="D13421" t="s">
        <v>36399</v>
      </c>
      <c r="F13421" t="s">
        <v>36399</v>
      </c>
      <c r="K13421" s="18">
        <f>628119912373</f>
        <v>628119912373</v>
      </c>
      <c r="N13421" s="17" t="s">
        <v>81</v>
      </c>
      <c r="V13421" s="18">
        <f>628119912373</f>
        <v>628119912373</v>
      </c>
    </row>
    <row r="13422" ht="15" customHeight="1" spans="1:22" x14ac:dyDescent="0.25">
      <c r="A13422" s="17" t="s">
        <v>36401</v>
      </c>
      <c r="B13422" s="17" t="s">
        <v>70</v>
      </c>
      <c r="C13422" s="17" t="s">
        <v>71</v>
      </c>
      <c r="D13422" t="s">
        <v>36399</v>
      </c>
      <c r="F13422" t="s">
        <v>36399</v>
      </c>
      <c r="K13422" s="18">
        <f>6281398887211</f>
        <v>6281398887211</v>
      </c>
      <c r="N13422" s="17" t="s">
        <v>77</v>
      </c>
      <c r="V13422" s="18">
        <f>6281398887211</f>
        <v>6281398887211</v>
      </c>
    </row>
    <row r="13423" ht="15" customHeight="1" spans="1:28" x14ac:dyDescent="0.25">
      <c r="A13423" s="17" t="s">
        <v>36402</v>
      </c>
      <c r="B13423" s="17" t="s">
        <v>70</v>
      </c>
      <c r="C13423" s="17" t="s">
        <v>71</v>
      </c>
      <c r="D13423" t="s">
        <v>36399</v>
      </c>
      <c r="F13423" t="s">
        <v>36403</v>
      </c>
      <c r="J13423" t="s">
        <v>115</v>
      </c>
      <c r="K13423" s="18" t="s">
        <v>36404</v>
      </c>
      <c r="N13423" s="17" t="s">
        <v>77</v>
      </c>
      <c r="O13423" t="s">
        <v>145</v>
      </c>
      <c r="U13423" s="17"/>
      <c r="V13423" s="18" t="s">
        <v>36404</v>
      </c>
      <c r="W13423" t="s">
        <v>36405</v>
      </c>
      <c r="Y13423" t="s">
        <v>90</v>
      </c>
      <c r="AA13423" t="s">
        <v>118</v>
      </c>
      <c r="AB13423" t="s">
        <v>119</v>
      </c>
    </row>
    <row r="13424" ht="15" customHeight="1" spans="1:28" x14ac:dyDescent="0.25">
      <c r="A13424" s="17" t="s">
        <v>36406</v>
      </c>
      <c r="B13424" s="17" t="s">
        <v>70</v>
      </c>
      <c r="C13424" s="17" t="s">
        <v>71</v>
      </c>
      <c r="D13424" t="s">
        <v>36399</v>
      </c>
      <c r="F13424" t="s">
        <v>7657</v>
      </c>
      <c r="J13424" t="s">
        <v>115</v>
      </c>
      <c r="K13424" s="18" t="s">
        <v>36407</v>
      </c>
      <c r="N13424" s="17" t="s">
        <v>74</v>
      </c>
      <c r="O13424" t="s">
        <v>489</v>
      </c>
      <c r="V13424" s="18" t="s">
        <v>36407</v>
      </c>
      <c r="Y13424" t="s">
        <v>96</v>
      </c>
      <c r="AA13424" t="s">
        <v>693</v>
      </c>
      <c r="AB13424" t="s">
        <v>119</v>
      </c>
    </row>
    <row r="13425" ht="15" customHeight="1" spans="1:22" x14ac:dyDescent="0.25">
      <c r="A13425" s="17" t="s">
        <v>36408</v>
      </c>
      <c r="B13425" s="17" t="s">
        <v>70</v>
      </c>
      <c r="C13425" s="17" t="s">
        <v>71</v>
      </c>
      <c r="D13425" t="s">
        <v>36399</v>
      </c>
      <c r="F13425" t="s">
        <v>36409</v>
      </c>
      <c r="K13425" s="18">
        <f>628121023980</f>
        <v>628121023980</v>
      </c>
      <c r="N13425" s="17" t="s">
        <v>74</v>
      </c>
      <c r="V13425" s="18">
        <f>628121023980</f>
        <v>628121023980</v>
      </c>
    </row>
    <row r="13426" ht="15" customHeight="1" spans="1:22" x14ac:dyDescent="0.25">
      <c r="A13426" s="17" t="s">
        <v>36410</v>
      </c>
      <c r="B13426" s="17" t="s">
        <v>70</v>
      </c>
      <c r="C13426" s="17" t="s">
        <v>71</v>
      </c>
      <c r="D13426" t="s">
        <v>36411</v>
      </c>
      <c r="F13426" t="s">
        <v>36411</v>
      </c>
      <c r="K13426" s="18">
        <f>628111388238</f>
        <v>628111388238</v>
      </c>
      <c r="N13426" s="17" t="s">
        <v>81</v>
      </c>
      <c r="V13426" s="18">
        <f>628111388238</f>
        <v>628111388238</v>
      </c>
    </row>
    <row r="13427" ht="15" customHeight="1" spans="1:22" x14ac:dyDescent="0.25">
      <c r="A13427" s="17" t="s">
        <v>36412</v>
      </c>
      <c r="B13427" s="17" t="s">
        <v>70</v>
      </c>
      <c r="C13427" s="17" t="s">
        <v>71</v>
      </c>
      <c r="D13427" t="s">
        <v>36413</v>
      </c>
      <c r="F13427" t="s">
        <v>36413</v>
      </c>
      <c r="K13427" s="18">
        <f>62818315777</f>
        <v>62818315777</v>
      </c>
      <c r="N13427" s="17" t="s">
        <v>74</v>
      </c>
      <c r="V13427" s="18">
        <f>62818315777</f>
        <v>62818315777</v>
      </c>
    </row>
    <row r="13428" ht="15" customHeight="1" spans="1:22" x14ac:dyDescent="0.25">
      <c r="A13428" s="17" t="s">
        <v>36414</v>
      </c>
      <c r="B13428" s="17" t="s">
        <v>70</v>
      </c>
      <c r="C13428" s="17" t="s">
        <v>71</v>
      </c>
      <c r="D13428" t="s">
        <v>36415</v>
      </c>
      <c r="F13428" t="s">
        <v>36415</v>
      </c>
      <c r="K13428" s="18">
        <f>6281319004391</f>
        <v>6281319004391</v>
      </c>
      <c r="N13428" s="17" t="s">
        <v>81</v>
      </c>
      <c r="V13428" s="18">
        <f>6281319004391</f>
        <v>6281319004391</v>
      </c>
    </row>
    <row r="13429" ht="15" customHeight="1" spans="1:22" x14ac:dyDescent="0.25">
      <c r="A13429" s="17" t="s">
        <v>36416</v>
      </c>
      <c r="B13429" s="17" t="s">
        <v>70</v>
      </c>
      <c r="C13429" s="17" t="s">
        <v>71</v>
      </c>
      <c r="D13429" t="s">
        <v>36415</v>
      </c>
      <c r="F13429" t="s">
        <v>4554</v>
      </c>
      <c r="K13429" s="18">
        <f>62811808576</f>
        <v>62811808576</v>
      </c>
      <c r="N13429" s="17" t="s">
        <v>81</v>
      </c>
      <c r="V13429" s="18">
        <f>62811808576</f>
        <v>62811808576</v>
      </c>
    </row>
    <row r="13430" ht="15" customHeight="1" spans="1:28" x14ac:dyDescent="0.25">
      <c r="A13430" s="17" t="s">
        <v>36417</v>
      </c>
      <c r="B13430" s="17" t="s">
        <v>70</v>
      </c>
      <c r="C13430" s="17" t="s">
        <v>71</v>
      </c>
      <c r="D13430" t="s">
        <v>36415</v>
      </c>
      <c r="F13430" t="s">
        <v>36418</v>
      </c>
      <c r="J13430" s="17" t="s">
        <v>36419</v>
      </c>
      <c r="K13430" s="18" t="s">
        <v>36420</v>
      </c>
      <c r="N13430" s="17" t="s">
        <v>74</v>
      </c>
      <c r="O13430" t="s">
        <v>261</v>
      </c>
      <c r="V13430" s="18" t="s">
        <v>36420</v>
      </c>
      <c r="Y13430" t="s">
        <v>90</v>
      </c>
      <c r="AA13430" t="s">
        <v>118</v>
      </c>
      <c r="AB13430" t="s">
        <v>119</v>
      </c>
    </row>
    <row r="13431" ht="15" customHeight="1" spans="1:25" x14ac:dyDescent="0.25">
      <c r="A13431" s="17" t="s">
        <v>36421</v>
      </c>
      <c r="B13431" s="17" t="s">
        <v>70</v>
      </c>
      <c r="C13431" s="17" t="s">
        <v>71</v>
      </c>
      <c r="D13431" t="s">
        <v>36415</v>
      </c>
      <c r="F13431" t="s">
        <v>1070</v>
      </c>
      <c r="K13431" s="18">
        <f>6281210538018</f>
        <v>6281210538018</v>
      </c>
      <c r="N13431" s="17" t="s">
        <v>77</v>
      </c>
      <c r="U13431" s="17"/>
      <c r="V13431" s="18">
        <f>6281210538018</f>
        <v>6281210538018</v>
      </c>
      <c r="W13431" t="s">
        <v>36422</v>
      </c>
      <c r="Y13431" s="17" t="s">
        <v>190</v>
      </c>
    </row>
    <row r="13432" ht="15" customHeight="1" spans="1:28" x14ac:dyDescent="0.25">
      <c r="A13432" s="17" t="s">
        <v>36423</v>
      </c>
      <c r="B13432" s="17" t="s">
        <v>70</v>
      </c>
      <c r="C13432" s="17" t="s">
        <v>71</v>
      </c>
      <c r="D13432" t="s">
        <v>36415</v>
      </c>
      <c r="F13432" t="s">
        <v>4821</v>
      </c>
      <c r="J13432" s="17" t="s">
        <v>36424</v>
      </c>
      <c r="K13432" s="18" t="s">
        <v>36425</v>
      </c>
      <c r="N13432" s="17" t="s">
        <v>77</v>
      </c>
      <c r="O13432" t="s">
        <v>199</v>
      </c>
      <c r="V13432" s="18" t="s">
        <v>36425</v>
      </c>
      <c r="Y13432" t="s">
        <v>90</v>
      </c>
      <c r="AA13432" t="s">
        <v>118</v>
      </c>
      <c r="AB13432" t="s">
        <v>119</v>
      </c>
    </row>
    <row r="13433" ht="15" customHeight="1" spans="1:22" x14ac:dyDescent="0.25">
      <c r="A13433" s="17" t="s">
        <v>36426</v>
      </c>
      <c r="B13433" s="17" t="s">
        <v>70</v>
      </c>
      <c r="C13433" s="17" t="s">
        <v>71</v>
      </c>
      <c r="D13433" t="s">
        <v>36427</v>
      </c>
      <c r="F13433" t="s">
        <v>14643</v>
      </c>
      <c r="K13433" s="18">
        <f>628179990008</f>
        <v>628179990008</v>
      </c>
      <c r="N13433" s="17" t="s">
        <v>77</v>
      </c>
      <c r="V13433" s="18">
        <f>628179990008</f>
        <v>628179990008</v>
      </c>
    </row>
    <row r="13434" ht="15" customHeight="1" spans="1:22" x14ac:dyDescent="0.25">
      <c r="A13434" s="17" t="s">
        <v>36428</v>
      </c>
      <c r="B13434" s="17" t="s">
        <v>70</v>
      </c>
      <c r="C13434" s="17" t="s">
        <v>71</v>
      </c>
      <c r="D13434" t="s">
        <v>36427</v>
      </c>
      <c r="F13434" t="s">
        <v>14643</v>
      </c>
      <c r="K13434" s="18">
        <f>628118889521</f>
        <v>628118889521</v>
      </c>
      <c r="N13434" s="17" t="s">
        <v>77</v>
      </c>
      <c r="V13434" s="18">
        <f>628118889521</f>
        <v>628118889521</v>
      </c>
    </row>
    <row r="13435" ht="15" customHeight="1" spans="1:22" x14ac:dyDescent="0.25">
      <c r="A13435" s="17" t="s">
        <v>36429</v>
      </c>
      <c r="B13435" s="17" t="s">
        <v>70</v>
      </c>
      <c r="C13435" s="17" t="s">
        <v>71</v>
      </c>
      <c r="D13435" t="s">
        <v>23565</v>
      </c>
      <c r="F13435" t="s">
        <v>36430</v>
      </c>
      <c r="K13435" s="18">
        <f>6281973318180</f>
        <v>6281973318180</v>
      </c>
      <c r="N13435" s="17" t="s">
        <v>77</v>
      </c>
      <c r="V13435" s="18">
        <f>6281973318180</f>
        <v>6281973318180</v>
      </c>
    </row>
    <row r="13436" ht="15" customHeight="1" spans="1:28" x14ac:dyDescent="0.25">
      <c r="A13436" s="17" t="s">
        <v>36431</v>
      </c>
      <c r="B13436" s="17" t="s">
        <v>70</v>
      </c>
      <c r="C13436" s="17" t="s">
        <v>71</v>
      </c>
      <c r="D13436" t="s">
        <v>23565</v>
      </c>
      <c r="F13436" t="s">
        <v>36432</v>
      </c>
      <c r="J13436" t="s">
        <v>115</v>
      </c>
      <c r="K13436" s="18" t="s">
        <v>36433</v>
      </c>
      <c r="N13436" s="17" t="s">
        <v>77</v>
      </c>
      <c r="O13436" t="s">
        <v>145</v>
      </c>
      <c r="U13436" s="17"/>
      <c r="V13436" s="18" t="s">
        <v>36433</v>
      </c>
      <c r="W13436" t="s">
        <v>3140</v>
      </c>
      <c r="Y13436" t="s">
        <v>115</v>
      </c>
      <c r="AA13436" t="s">
        <v>115</v>
      </c>
      <c r="AB13436" t="s">
        <v>7412</v>
      </c>
    </row>
    <row r="13437" ht="15" customHeight="1" spans="1:28" x14ac:dyDescent="0.25">
      <c r="A13437" s="17" t="s">
        <v>36434</v>
      </c>
      <c r="B13437" s="17" t="s">
        <v>70</v>
      </c>
      <c r="C13437" s="17" t="s">
        <v>71</v>
      </c>
      <c r="D13437" t="s">
        <v>23565</v>
      </c>
      <c r="F13437" t="s">
        <v>36435</v>
      </c>
      <c r="J13437" s="17" t="s">
        <v>36436</v>
      </c>
      <c r="K13437" s="18" t="s">
        <v>36437</v>
      </c>
      <c r="N13437" s="17" t="s">
        <v>77</v>
      </c>
      <c r="O13437" t="s">
        <v>117</v>
      </c>
      <c r="U13437" s="17"/>
      <c r="V13437" s="18" t="s">
        <v>36437</v>
      </c>
      <c r="W13437" t="s">
        <v>3140</v>
      </c>
      <c r="Y13437" t="s">
        <v>1903</v>
      </c>
      <c r="AA13437" t="s">
        <v>115</v>
      </c>
      <c r="AB13437" t="s">
        <v>1903</v>
      </c>
    </row>
    <row r="13438" ht="15" customHeight="1" spans="1:28" x14ac:dyDescent="0.25">
      <c r="A13438" s="17" t="s">
        <v>36438</v>
      </c>
      <c r="B13438" s="17" t="s">
        <v>70</v>
      </c>
      <c r="C13438" s="17" t="s">
        <v>71</v>
      </c>
      <c r="D13438" t="s">
        <v>23565</v>
      </c>
      <c r="F13438" t="s">
        <v>16000</v>
      </c>
      <c r="J13438" s="17" t="s">
        <v>36439</v>
      </c>
      <c r="K13438" s="18" t="s">
        <v>36440</v>
      </c>
      <c r="N13438" s="17" t="s">
        <v>77</v>
      </c>
      <c r="O13438" t="s">
        <v>117</v>
      </c>
      <c r="U13438" s="17"/>
      <c r="V13438" s="18" t="s">
        <v>36440</v>
      </c>
      <c r="W13438" t="s">
        <v>36441</v>
      </c>
      <c r="Y13438" t="s">
        <v>115</v>
      </c>
      <c r="AA13438" t="s">
        <v>115</v>
      </c>
      <c r="AB13438" t="s">
        <v>3140</v>
      </c>
    </row>
    <row r="13439" ht="15" customHeight="1" spans="1:22" x14ac:dyDescent="0.25">
      <c r="A13439" s="17" t="s">
        <v>36442</v>
      </c>
      <c r="B13439" s="17" t="s">
        <v>70</v>
      </c>
      <c r="C13439" s="17" t="s">
        <v>71</v>
      </c>
      <c r="D13439" t="s">
        <v>36443</v>
      </c>
      <c r="F13439" t="s">
        <v>3866</v>
      </c>
      <c r="K13439" s="18">
        <f>886922757256</f>
        <v>886922757256</v>
      </c>
      <c r="N13439" s="17" t="s">
        <v>77</v>
      </c>
      <c r="V13439" s="18">
        <f>886922757256</f>
        <v>886922757256</v>
      </c>
    </row>
    <row r="13440" ht="15" customHeight="1" spans="1:22" x14ac:dyDescent="0.25">
      <c r="A13440" s="17" t="s">
        <v>36444</v>
      </c>
      <c r="B13440" s="17" t="s">
        <v>70</v>
      </c>
      <c r="C13440" s="17" t="s">
        <v>71</v>
      </c>
      <c r="D13440" t="s">
        <v>36445</v>
      </c>
      <c r="F13440" t="s">
        <v>36446</v>
      </c>
      <c r="K13440" s="18">
        <f>628111681009</f>
        <v>628111681009</v>
      </c>
      <c r="N13440" s="17" t="s">
        <v>77</v>
      </c>
      <c r="V13440" s="18">
        <f>628111681009</f>
        <v>628111681009</v>
      </c>
    </row>
    <row r="13441" ht="15" customHeight="1" spans="1:22" x14ac:dyDescent="0.25">
      <c r="A13441" s="17" t="s">
        <v>36447</v>
      </c>
      <c r="B13441" s="17" t="s">
        <v>70</v>
      </c>
      <c r="C13441" s="17" t="s">
        <v>71</v>
      </c>
      <c r="D13441" t="s">
        <v>36448</v>
      </c>
      <c r="F13441" t="s">
        <v>23840</v>
      </c>
      <c r="K13441" s="18">
        <f>8615376990096</f>
        <v>8615376990096</v>
      </c>
      <c r="N13441" s="17" t="s">
        <v>81</v>
      </c>
      <c r="V13441" s="18">
        <f>8615376990096</f>
        <v>8615376990096</v>
      </c>
    </row>
    <row r="13442" ht="15" customHeight="1" spans="1:28" x14ac:dyDescent="0.25">
      <c r="A13442" s="17" t="s">
        <v>36449</v>
      </c>
      <c r="B13442" s="17" t="s">
        <v>70</v>
      </c>
      <c r="C13442" s="17" t="s">
        <v>71</v>
      </c>
      <c r="D13442" t="s">
        <v>36448</v>
      </c>
      <c r="F13442" t="s">
        <v>36450</v>
      </c>
      <c r="J13442" t="s">
        <v>115</v>
      </c>
      <c r="K13442" s="18" t="s">
        <v>36451</v>
      </c>
      <c r="N13442" s="17" t="s">
        <v>77</v>
      </c>
      <c r="O13442" t="s">
        <v>117</v>
      </c>
      <c r="V13442" s="18" t="s">
        <v>36451</v>
      </c>
      <c r="Y13442" t="s">
        <v>90</v>
      </c>
      <c r="AA13442" t="s">
        <v>118</v>
      </c>
      <c r="AB13442" t="s">
        <v>119</v>
      </c>
    </row>
    <row r="13443" ht="15" customHeight="1" spans="1:28" x14ac:dyDescent="0.25">
      <c r="A13443" s="17" t="s">
        <v>36452</v>
      </c>
      <c r="B13443" s="17" t="s">
        <v>70</v>
      </c>
      <c r="C13443" s="17" t="s">
        <v>71</v>
      </c>
      <c r="D13443" t="s">
        <v>36453</v>
      </c>
      <c r="F13443" t="s">
        <v>36454</v>
      </c>
      <c r="J13443" t="s">
        <v>115</v>
      </c>
      <c r="K13443" s="18" t="s">
        <v>36455</v>
      </c>
      <c r="N13443" s="17" t="s">
        <v>81</v>
      </c>
      <c r="O13443" t="s">
        <v>261</v>
      </c>
      <c r="U13443" s="17"/>
      <c r="V13443" s="18" t="s">
        <v>36455</v>
      </c>
      <c r="W13443" t="s">
        <v>36456</v>
      </c>
      <c r="Y13443" t="s">
        <v>90</v>
      </c>
      <c r="AA13443" t="s">
        <v>118</v>
      </c>
      <c r="AB13443" t="s">
        <v>119</v>
      </c>
    </row>
    <row r="13444" ht="15" customHeight="1" spans="1:22" x14ac:dyDescent="0.25">
      <c r="A13444" s="17" t="s">
        <v>36457</v>
      </c>
      <c r="B13444" s="17" t="s">
        <v>70</v>
      </c>
      <c r="C13444" s="17" t="s">
        <v>71</v>
      </c>
      <c r="D13444" t="s">
        <v>36458</v>
      </c>
      <c r="F13444" t="s">
        <v>36458</v>
      </c>
      <c r="K13444" s="18">
        <f>62813108999969</f>
        <v>62813108999969</v>
      </c>
      <c r="N13444" s="17" t="s">
        <v>77</v>
      </c>
      <c r="V13444" s="18">
        <f>62813108999969</f>
        <v>62813108999969</v>
      </c>
    </row>
    <row r="13445" ht="15" customHeight="1" spans="1:22" x14ac:dyDescent="0.25">
      <c r="A13445" s="17" t="s">
        <v>36459</v>
      </c>
      <c r="B13445" s="17" t="s">
        <v>70</v>
      </c>
      <c r="C13445" s="17" t="s">
        <v>71</v>
      </c>
      <c r="D13445" t="s">
        <v>36460</v>
      </c>
      <c r="F13445" t="s">
        <v>14985</v>
      </c>
      <c r="K13445" s="18">
        <f>6218122022</f>
        <v>6218122022</v>
      </c>
      <c r="N13445" s="17" t="s">
        <v>81</v>
      </c>
      <c r="V13445" s="18">
        <f>6218122022</f>
        <v>6218122022</v>
      </c>
    </row>
    <row r="13446" ht="15" customHeight="1" spans="1:27" x14ac:dyDescent="0.25">
      <c r="A13446" s="17" t="s">
        <v>36461</v>
      </c>
      <c r="B13446" s="17" t="s">
        <v>70</v>
      </c>
      <c r="C13446" s="17" t="s">
        <v>71</v>
      </c>
      <c r="D13446" t="s">
        <v>36462</v>
      </c>
      <c r="F13446" t="s">
        <v>36463</v>
      </c>
      <c r="J13446" s="17" t="s">
        <v>36464</v>
      </c>
      <c r="K13446" s="18">
        <f>16265366255</f>
        <v>16265366255</v>
      </c>
      <c r="N13446" s="17" t="s">
        <v>81</v>
      </c>
      <c r="U13446" s="17"/>
      <c r="V13446" s="18">
        <f>16265366255</f>
        <v>16265366255</v>
      </c>
      <c r="W13446" t="s">
        <v>36465</v>
      </c>
      <c r="Y13446" s="17" t="s">
        <v>36466</v>
      </c>
      <c r="AA13446" s="17">
        <v>92867</v>
      </c>
    </row>
    <row r="13447" ht="15" customHeight="1" spans="1:28" x14ac:dyDescent="0.25">
      <c r="A13447" s="17" t="s">
        <v>36467</v>
      </c>
      <c r="B13447" s="17" t="s">
        <v>70</v>
      </c>
      <c r="C13447" s="17" t="s">
        <v>71</v>
      </c>
      <c r="D13447" t="s">
        <v>36468</v>
      </c>
      <c r="F13447" t="s">
        <v>36469</v>
      </c>
      <c r="J13447" s="17" t="s">
        <v>36470</v>
      </c>
      <c r="K13447" s="18" t="s">
        <v>36471</v>
      </c>
      <c r="N13447" s="17" t="s">
        <v>77</v>
      </c>
      <c r="O13447" t="s">
        <v>199</v>
      </c>
      <c r="U13447" s="17"/>
      <c r="V13447" s="18" t="s">
        <v>36471</v>
      </c>
      <c r="W13447" t="s">
        <v>36472</v>
      </c>
      <c r="Y13447" t="s">
        <v>90</v>
      </c>
      <c r="AA13447" t="s">
        <v>118</v>
      </c>
      <c r="AB13447" t="s">
        <v>119</v>
      </c>
    </row>
    <row r="13448" ht="15" customHeight="1" spans="1:28" x14ac:dyDescent="0.25">
      <c r="A13448" s="17" t="s">
        <v>36473</v>
      </c>
      <c r="B13448" s="17" t="s">
        <v>70</v>
      </c>
      <c r="C13448" s="17" t="s">
        <v>71</v>
      </c>
      <c r="D13448" t="s">
        <v>36474</v>
      </c>
      <c r="F13448" t="s">
        <v>36475</v>
      </c>
      <c r="J13448" t="s">
        <v>36476</v>
      </c>
      <c r="K13448" s="18" t="s">
        <v>36477</v>
      </c>
      <c r="N13448" s="17" t="s">
        <v>77</v>
      </c>
      <c r="O13448" t="s">
        <v>145</v>
      </c>
      <c r="U13448" s="17"/>
      <c r="V13448" s="18" t="s">
        <v>36477</v>
      </c>
      <c r="W13448" t="s">
        <v>36478</v>
      </c>
      <c r="Y13448" t="s">
        <v>490</v>
      </c>
      <c r="AA13448" t="s">
        <v>115</v>
      </c>
      <c r="AB13448" t="s">
        <v>119</v>
      </c>
    </row>
    <row r="13449" ht="15" customHeight="1" spans="1:22" x14ac:dyDescent="0.25">
      <c r="A13449" s="17" t="s">
        <v>36479</v>
      </c>
      <c r="B13449" s="17" t="s">
        <v>70</v>
      </c>
      <c r="C13449" s="17" t="s">
        <v>71</v>
      </c>
      <c r="D13449" t="s">
        <v>36480</v>
      </c>
      <c r="F13449" t="s">
        <v>1130</v>
      </c>
      <c r="K13449" s="18">
        <f>6281119001111</f>
        <v>6281119001111</v>
      </c>
      <c r="N13449" s="17" t="s">
        <v>77</v>
      </c>
      <c r="V13449" s="18">
        <f>6281119001111</f>
        <v>6281119001111</v>
      </c>
    </row>
    <row r="13450" ht="15" customHeight="1" spans="1:28" x14ac:dyDescent="0.25">
      <c r="A13450" s="17" t="s">
        <v>36481</v>
      </c>
      <c r="B13450" s="17" t="s">
        <v>70</v>
      </c>
      <c r="C13450" s="17" t="s">
        <v>71</v>
      </c>
      <c r="D13450" t="s">
        <v>36480</v>
      </c>
      <c r="F13450" t="s">
        <v>5793</v>
      </c>
      <c r="J13450" t="s">
        <v>36482</v>
      </c>
      <c r="K13450" s="18" t="s">
        <v>36483</v>
      </c>
      <c r="N13450" s="17" t="s">
        <v>77</v>
      </c>
      <c r="O13450" t="s">
        <v>145</v>
      </c>
      <c r="V13450" s="18" t="s">
        <v>36483</v>
      </c>
      <c r="Y13450" t="s">
        <v>190</v>
      </c>
      <c r="AA13450" t="s">
        <v>118</v>
      </c>
      <c r="AB13450" t="s">
        <v>119</v>
      </c>
    </row>
    <row r="13451" ht="15" customHeight="1" spans="1:28" x14ac:dyDescent="0.25">
      <c r="A13451" s="17" t="s">
        <v>36484</v>
      </c>
      <c r="B13451" s="17" t="s">
        <v>70</v>
      </c>
      <c r="C13451" s="17" t="s">
        <v>71</v>
      </c>
      <c r="D13451" t="s">
        <v>36480</v>
      </c>
      <c r="F13451" t="s">
        <v>36485</v>
      </c>
      <c r="J13451" t="s">
        <v>36486</v>
      </c>
      <c r="K13451" s="18" t="s">
        <v>36487</v>
      </c>
      <c r="N13451" s="17" t="s">
        <v>77</v>
      </c>
      <c r="O13451" t="s">
        <v>145</v>
      </c>
      <c r="V13451" s="18" t="s">
        <v>36487</v>
      </c>
      <c r="Y13451" t="s">
        <v>190</v>
      </c>
      <c r="AA13451" t="s">
        <v>118</v>
      </c>
      <c r="AB13451" t="s">
        <v>119</v>
      </c>
    </row>
    <row r="13452" ht="15" customHeight="1" spans="1:22" x14ac:dyDescent="0.25">
      <c r="A13452" s="17" t="s">
        <v>36488</v>
      </c>
      <c r="B13452" s="17" t="s">
        <v>70</v>
      </c>
      <c r="C13452" s="17" t="s">
        <v>71</v>
      </c>
      <c r="D13452" t="s">
        <v>36489</v>
      </c>
      <c r="F13452" t="s">
        <v>36489</v>
      </c>
      <c r="K13452" s="18">
        <f>628111897211</f>
        <v>628111897211</v>
      </c>
      <c r="N13452" s="17" t="s">
        <v>81</v>
      </c>
      <c r="V13452" s="18">
        <f>628111897211</f>
        <v>628111897211</v>
      </c>
    </row>
    <row r="13453" ht="15" customHeight="1" spans="1:28" x14ac:dyDescent="0.25">
      <c r="A13453" s="17" t="s">
        <v>36490</v>
      </c>
      <c r="B13453" s="17" t="s">
        <v>70</v>
      </c>
      <c r="C13453" s="17" t="s">
        <v>71</v>
      </c>
      <c r="D13453" t="s">
        <v>36489</v>
      </c>
      <c r="F13453" t="s">
        <v>36489</v>
      </c>
      <c r="J13453" t="s">
        <v>115</v>
      </c>
      <c r="K13453" s="18" t="s">
        <v>36491</v>
      </c>
      <c r="N13453" s="17" t="s">
        <v>81</v>
      </c>
      <c r="O13453" t="s">
        <v>261</v>
      </c>
      <c r="U13453" s="17"/>
      <c r="V13453" s="18" t="s">
        <v>36491</v>
      </c>
      <c r="W13453" t="s">
        <v>36492</v>
      </c>
      <c r="Y13453" t="s">
        <v>90</v>
      </c>
      <c r="AA13453" t="s">
        <v>118</v>
      </c>
      <c r="AB13453" t="s">
        <v>119</v>
      </c>
    </row>
    <row r="13454" ht="15" customHeight="1" spans="1:22" x14ac:dyDescent="0.25">
      <c r="A13454" s="17" t="s">
        <v>36493</v>
      </c>
      <c r="B13454" s="17" t="s">
        <v>70</v>
      </c>
      <c r="C13454" s="17" t="s">
        <v>71</v>
      </c>
      <c r="D13454" t="s">
        <v>36489</v>
      </c>
      <c r="F13454" t="s">
        <v>36489</v>
      </c>
      <c r="K13454" s="18">
        <f>628124275858</f>
        <v>628124275858</v>
      </c>
      <c r="N13454" s="17" t="s">
        <v>77</v>
      </c>
      <c r="V13454" s="18">
        <f>628124275858</f>
        <v>628124275858</v>
      </c>
    </row>
    <row r="13455" ht="15" customHeight="1" spans="1:23" x14ac:dyDescent="0.25">
      <c r="A13455" s="17" t="s">
        <v>36494</v>
      </c>
      <c r="B13455" s="17" t="s">
        <v>70</v>
      </c>
      <c r="C13455" s="17" t="s">
        <v>71</v>
      </c>
      <c r="D13455" t="s">
        <v>36489</v>
      </c>
      <c r="F13455" t="s">
        <v>36489</v>
      </c>
      <c r="K13455" s="18">
        <f>62817810088</f>
        <v>62817810088</v>
      </c>
      <c r="N13455" s="17" t="s">
        <v>81</v>
      </c>
      <c r="U13455" s="17"/>
      <c r="V13455" s="18">
        <f>62817810088</f>
        <v>62817810088</v>
      </c>
      <c r="W13455" t="s">
        <v>36495</v>
      </c>
    </row>
    <row r="13456" ht="15" customHeight="1" spans="1:22" x14ac:dyDescent="0.25">
      <c r="A13456" s="17" t="s">
        <v>36496</v>
      </c>
      <c r="B13456" s="17" t="s">
        <v>70</v>
      </c>
      <c r="C13456" s="17" t="s">
        <v>71</v>
      </c>
      <c r="D13456" t="s">
        <v>36489</v>
      </c>
      <c r="F13456" t="s">
        <v>3372</v>
      </c>
      <c r="K13456" s="18">
        <f>6285883427153</f>
        <v>6285883427153</v>
      </c>
      <c r="N13456" s="17" t="s">
        <v>77</v>
      </c>
      <c r="V13456" s="18">
        <f>6285883427153</f>
        <v>6285883427153</v>
      </c>
    </row>
    <row r="13457" ht="15" customHeight="1" spans="1:28" x14ac:dyDescent="0.25">
      <c r="A13457" s="17" t="s">
        <v>36497</v>
      </c>
      <c r="B13457" s="17" t="s">
        <v>70</v>
      </c>
      <c r="C13457" s="17" t="s">
        <v>71</v>
      </c>
      <c r="D13457" t="s">
        <v>36498</v>
      </c>
      <c r="F13457" t="s">
        <v>3672</v>
      </c>
      <c r="J13457" t="s">
        <v>115</v>
      </c>
      <c r="K13457" s="18" t="s">
        <v>36499</v>
      </c>
      <c r="N13457" s="17" t="s">
        <v>77</v>
      </c>
      <c r="O13457" t="s">
        <v>117</v>
      </c>
      <c r="V13457" s="18" t="s">
        <v>36499</v>
      </c>
      <c r="Y13457" t="s">
        <v>4054</v>
      </c>
      <c r="AA13457" t="s">
        <v>115</v>
      </c>
      <c r="AB13457" t="s">
        <v>119</v>
      </c>
    </row>
    <row r="13458" ht="15" customHeight="1" spans="1:27" x14ac:dyDescent="0.25">
      <c r="A13458" s="17" t="s">
        <v>36500</v>
      </c>
      <c r="B13458" s="17" t="s">
        <v>70</v>
      </c>
      <c r="C13458" s="17" t="s">
        <v>71</v>
      </c>
      <c r="D13458" t="s">
        <v>36489</v>
      </c>
      <c r="F13458" t="s">
        <v>36501</v>
      </c>
      <c r="K13458" s="18">
        <f>628151813399</f>
        <v>628151813399</v>
      </c>
      <c r="N13458" s="17" t="s">
        <v>74</v>
      </c>
      <c r="U13458" s="17"/>
      <c r="V13458" s="18">
        <f>628151813399</f>
        <v>628151813399</v>
      </c>
      <c r="W13458" t="s">
        <v>36502</v>
      </c>
      <c r="Y13458" s="17" t="s">
        <v>96</v>
      </c>
      <c r="AA13458" s="17" t="s">
        <v>7091</v>
      </c>
    </row>
    <row r="13459" ht="15" customHeight="1" spans="1:22" x14ac:dyDescent="0.25">
      <c r="A13459" s="17" t="s">
        <v>36503</v>
      </c>
      <c r="B13459" s="17" t="s">
        <v>70</v>
      </c>
      <c r="C13459" s="17" t="s">
        <v>71</v>
      </c>
      <c r="D13459" t="s">
        <v>36489</v>
      </c>
      <c r="F13459" t="s">
        <v>36504</v>
      </c>
      <c r="K13459" s="18">
        <f>6281808799900</f>
        <v>6281808799900</v>
      </c>
      <c r="N13459" s="17" t="s">
        <v>81</v>
      </c>
      <c r="V13459" s="18">
        <f>6281808799900</f>
        <v>6281808799900</v>
      </c>
    </row>
    <row r="13460" ht="15" customHeight="1" spans="1:25" x14ac:dyDescent="0.25">
      <c r="A13460" s="17" t="s">
        <v>36505</v>
      </c>
      <c r="B13460" s="17" t="s">
        <v>70</v>
      </c>
      <c r="C13460" s="17" t="s">
        <v>71</v>
      </c>
      <c r="D13460" t="s">
        <v>36489</v>
      </c>
      <c r="F13460" t="s">
        <v>36506</v>
      </c>
      <c r="K13460" s="18">
        <f>62811953523</f>
        <v>62811953523</v>
      </c>
      <c r="N13460" s="17" t="s">
        <v>74</v>
      </c>
      <c r="U13460" s="17"/>
      <c r="V13460" s="18">
        <f>62811953523</f>
        <v>62811953523</v>
      </c>
      <c r="W13460" t="s">
        <v>36507</v>
      </c>
      <c r="Y13460" s="17" t="s">
        <v>378</v>
      </c>
    </row>
    <row r="13461" ht="15" customHeight="1" spans="1:25" x14ac:dyDescent="0.25">
      <c r="A13461" s="17" t="s">
        <v>36508</v>
      </c>
      <c r="B13461" s="17" t="s">
        <v>70</v>
      </c>
      <c r="C13461" s="17" t="s">
        <v>71</v>
      </c>
      <c r="D13461" t="s">
        <v>36489</v>
      </c>
      <c r="F13461" t="s">
        <v>7860</v>
      </c>
      <c r="K13461" s="18">
        <f>628111004844</f>
        <v>628111004844</v>
      </c>
      <c r="N13461" s="17" t="s">
        <v>74</v>
      </c>
      <c r="U13461" s="17"/>
      <c r="V13461" s="18">
        <f>628111004844</f>
        <v>628111004844</v>
      </c>
      <c r="W13461" t="s">
        <v>36509</v>
      </c>
      <c r="Y13461" s="17" t="s">
        <v>13662</v>
      </c>
    </row>
    <row r="13462" ht="15" customHeight="1" spans="1:28" x14ac:dyDescent="0.25">
      <c r="A13462" s="17" t="s">
        <v>36510</v>
      </c>
      <c r="B13462" s="17" t="s">
        <v>70</v>
      </c>
      <c r="C13462" s="17" t="s">
        <v>71</v>
      </c>
      <c r="D13462" t="s">
        <v>36489</v>
      </c>
      <c r="F13462" t="s">
        <v>1169</v>
      </c>
      <c r="J13462" t="s">
        <v>36511</v>
      </c>
      <c r="K13462" s="18" t="s">
        <v>36512</v>
      </c>
      <c r="N13462" s="17" t="s">
        <v>77</v>
      </c>
      <c r="O13462" t="s">
        <v>117</v>
      </c>
      <c r="U13462" s="17"/>
      <c r="V13462" s="18" t="s">
        <v>36512</v>
      </c>
      <c r="W13462" t="s">
        <v>36513</v>
      </c>
      <c r="Y13462" s="17" t="s">
        <v>6937</v>
      </c>
      <c r="AA13462" t="s">
        <v>115</v>
      </c>
      <c r="AB13462" t="s">
        <v>6937</v>
      </c>
    </row>
    <row r="13463" ht="15" customHeight="1" spans="1:25" x14ac:dyDescent="0.25">
      <c r="A13463" s="17" t="s">
        <v>36514</v>
      </c>
      <c r="B13463" s="17" t="s">
        <v>70</v>
      </c>
      <c r="C13463" s="17" t="s">
        <v>71</v>
      </c>
      <c r="D13463" t="s">
        <v>36515</v>
      </c>
      <c r="F13463" t="s">
        <v>36515</v>
      </c>
      <c r="K13463" s="18">
        <f>628125114588</f>
        <v>628125114588</v>
      </c>
      <c r="N13463" s="17" t="s">
        <v>81</v>
      </c>
      <c r="V13463" s="18">
        <f>628125114588</f>
        <v>628125114588</v>
      </c>
      <c r="Y13463" s="17" t="s">
        <v>4959</v>
      </c>
    </row>
    <row r="13464" ht="15" customHeight="1" spans="1:22" x14ac:dyDescent="0.25">
      <c r="A13464" s="17" t="s">
        <v>36516</v>
      </c>
      <c r="B13464" s="17" t="s">
        <v>70</v>
      </c>
      <c r="C13464" s="17" t="s">
        <v>71</v>
      </c>
      <c r="D13464" t="s">
        <v>36517</v>
      </c>
      <c r="F13464" t="s">
        <v>36518</v>
      </c>
      <c r="K13464" s="18">
        <f>6281310641964</f>
        <v>6281310641964</v>
      </c>
      <c r="N13464" s="17" t="s">
        <v>77</v>
      </c>
      <c r="V13464" s="18">
        <f>6281310641964</f>
        <v>6281310641964</v>
      </c>
    </row>
    <row r="13465" ht="15" customHeight="1" spans="1:28" x14ac:dyDescent="0.25">
      <c r="A13465" s="17" t="s">
        <v>36519</v>
      </c>
      <c r="B13465" s="17" t="s">
        <v>70</v>
      </c>
      <c r="C13465" s="17" t="s">
        <v>71</v>
      </c>
      <c r="D13465" t="s">
        <v>36520</v>
      </c>
      <c r="F13465" t="s">
        <v>36520</v>
      </c>
      <c r="J13465" t="s">
        <v>115</v>
      </c>
      <c r="K13465" s="18" t="s">
        <v>36521</v>
      </c>
      <c r="N13465" s="17" t="s">
        <v>74</v>
      </c>
      <c r="O13465" t="s">
        <v>199</v>
      </c>
      <c r="V13465" s="18" t="s">
        <v>36521</v>
      </c>
      <c r="Y13465" t="s">
        <v>115</v>
      </c>
      <c r="AA13465" t="s">
        <v>115</v>
      </c>
      <c r="AB13465" t="s">
        <v>119</v>
      </c>
    </row>
    <row r="13466" ht="15" customHeight="1" spans="1:22" x14ac:dyDescent="0.25">
      <c r="A13466" s="17" t="s">
        <v>36522</v>
      </c>
      <c r="B13466" s="17" t="s">
        <v>70</v>
      </c>
      <c r="C13466" s="17" t="s">
        <v>71</v>
      </c>
      <c r="D13466" t="s">
        <v>36523</v>
      </c>
      <c r="F13466" t="s">
        <v>36524</v>
      </c>
      <c r="J13466" s="17" t="s">
        <v>36525</v>
      </c>
      <c r="K13466" s="18">
        <f>628126576588</f>
        <v>628126576588</v>
      </c>
      <c r="N13466" s="17" t="s">
        <v>77</v>
      </c>
      <c r="V13466" s="18">
        <f>628126576588</f>
        <v>628126576588</v>
      </c>
    </row>
    <row r="13467" ht="15" customHeight="1" spans="1:28" x14ac:dyDescent="0.25">
      <c r="A13467" s="17" t="s">
        <v>36526</v>
      </c>
      <c r="B13467" s="17" t="s">
        <v>70</v>
      </c>
      <c r="C13467" s="17" t="s">
        <v>71</v>
      </c>
      <c r="D13467" t="s">
        <v>36523</v>
      </c>
      <c r="F13467" t="s">
        <v>29263</v>
      </c>
      <c r="J13467" t="s">
        <v>115</v>
      </c>
      <c r="K13467" s="18" t="s">
        <v>36527</v>
      </c>
      <c r="N13467" s="17" t="s">
        <v>77</v>
      </c>
      <c r="O13467" t="s">
        <v>199</v>
      </c>
      <c r="U13467" s="17"/>
      <c r="V13467" s="18" t="s">
        <v>36527</v>
      </c>
      <c r="W13467" t="s">
        <v>36528</v>
      </c>
      <c r="Y13467" t="s">
        <v>90</v>
      </c>
      <c r="AA13467" t="s">
        <v>118</v>
      </c>
      <c r="AB13467" t="s">
        <v>119</v>
      </c>
    </row>
    <row r="13468" ht="15" customHeight="1" spans="1:22" x14ac:dyDescent="0.25">
      <c r="A13468" s="17" t="s">
        <v>36529</v>
      </c>
      <c r="B13468" s="17" t="s">
        <v>70</v>
      </c>
      <c r="C13468" s="17" t="s">
        <v>71</v>
      </c>
      <c r="D13468" t="s">
        <v>36530</v>
      </c>
      <c r="F13468" t="s">
        <v>1208</v>
      </c>
      <c r="K13468" s="18">
        <f>628111962008</f>
        <v>628111962008</v>
      </c>
      <c r="N13468" s="17" t="s">
        <v>77</v>
      </c>
      <c r="V13468" s="18">
        <f>628111962008</f>
        <v>628111962008</v>
      </c>
    </row>
    <row r="13469" ht="15" customHeight="1" spans="1:22" x14ac:dyDescent="0.25">
      <c r="A13469" s="17" t="s">
        <v>36531</v>
      </c>
      <c r="B13469" s="17" t="s">
        <v>70</v>
      </c>
      <c r="C13469" s="17" t="s">
        <v>71</v>
      </c>
      <c r="D13469" t="s">
        <v>23857</v>
      </c>
      <c r="F13469" t="s">
        <v>23857</v>
      </c>
      <c r="K13469" s="18">
        <f>6289626150871</f>
        <v>6289626150871</v>
      </c>
      <c r="N13469" s="17" t="s">
        <v>81</v>
      </c>
      <c r="V13469" s="18">
        <f>6289626150871</f>
        <v>6289626150871</v>
      </c>
    </row>
    <row r="13470" ht="15" customHeight="1" spans="1:22" x14ac:dyDescent="0.25">
      <c r="A13470" s="17" t="s">
        <v>36532</v>
      </c>
      <c r="B13470" s="17" t="s">
        <v>70</v>
      </c>
      <c r="C13470" s="17" t="s">
        <v>71</v>
      </c>
      <c r="D13470" t="s">
        <v>23857</v>
      </c>
      <c r="F13470" t="s">
        <v>36533</v>
      </c>
      <c r="K13470" s="18">
        <f>628128696897</f>
        <v>628128696897</v>
      </c>
      <c r="N13470" s="17" t="s">
        <v>81</v>
      </c>
      <c r="V13470" s="18">
        <f>628128696897</f>
        <v>628128696897</v>
      </c>
    </row>
    <row r="13471" ht="15" customHeight="1" spans="1:22" x14ac:dyDescent="0.25">
      <c r="A13471" s="17" t="s">
        <v>36534</v>
      </c>
      <c r="B13471" s="17" t="s">
        <v>70</v>
      </c>
      <c r="C13471" s="17" t="s">
        <v>71</v>
      </c>
      <c r="D13471" t="s">
        <v>23857</v>
      </c>
      <c r="F13471" t="s">
        <v>16014</v>
      </c>
      <c r="K13471" s="18">
        <f>6281286661777</f>
        <v>6281286661777</v>
      </c>
      <c r="N13471" s="17" t="s">
        <v>77</v>
      </c>
      <c r="V13471" s="18">
        <f>6281286661777</f>
        <v>6281286661777</v>
      </c>
    </row>
    <row r="13472" ht="15" customHeight="1" spans="1:28" x14ac:dyDescent="0.25">
      <c r="A13472" s="17" t="s">
        <v>36535</v>
      </c>
      <c r="B13472" s="17" t="s">
        <v>70</v>
      </c>
      <c r="C13472" s="17" t="s">
        <v>71</v>
      </c>
      <c r="D13472" t="s">
        <v>23857</v>
      </c>
      <c r="F13472" t="s">
        <v>36536</v>
      </c>
      <c r="J13472" t="s">
        <v>115</v>
      </c>
      <c r="K13472" s="18" t="s">
        <v>36537</v>
      </c>
      <c r="N13472" s="17" t="s">
        <v>77</v>
      </c>
      <c r="O13472" t="s">
        <v>145</v>
      </c>
      <c r="U13472" s="17"/>
      <c r="V13472" s="18" t="s">
        <v>36537</v>
      </c>
      <c r="W13472" t="s">
        <v>6666</v>
      </c>
      <c r="Y13472" t="s">
        <v>3140</v>
      </c>
      <c r="AA13472" t="s">
        <v>115</v>
      </c>
      <c r="AB13472" t="s">
        <v>3140</v>
      </c>
    </row>
    <row r="13473" ht="15" customHeight="1" spans="1:22" x14ac:dyDescent="0.25">
      <c r="A13473" s="17" t="s">
        <v>36538</v>
      </c>
      <c r="B13473" s="17" t="s">
        <v>70</v>
      </c>
      <c r="C13473" s="17" t="s">
        <v>71</v>
      </c>
      <c r="D13473" t="s">
        <v>23857</v>
      </c>
      <c r="F13473" t="s">
        <v>36539</v>
      </c>
      <c r="K13473" s="18">
        <v>13974901289</v>
      </c>
      <c r="N13473" s="17" t="s">
        <v>77</v>
      </c>
      <c r="V13473" s="18">
        <v>13974901289</v>
      </c>
    </row>
    <row r="13474" ht="15" customHeight="1" spans="1:23" x14ac:dyDescent="0.25">
      <c r="A13474" s="17" t="s">
        <v>36540</v>
      </c>
      <c r="B13474" s="17" t="s">
        <v>70</v>
      </c>
      <c r="C13474" s="17" t="s">
        <v>71</v>
      </c>
      <c r="D13474" t="s">
        <v>23857</v>
      </c>
      <c r="F13474" t="s">
        <v>36541</v>
      </c>
      <c r="J13474" s="17" t="s">
        <v>36542</v>
      </c>
      <c r="K13474" s="18">
        <f>6281248266005</f>
        <v>6281248266005</v>
      </c>
      <c r="N13474" s="17" t="s">
        <v>81</v>
      </c>
      <c r="U13474" s="17"/>
      <c r="V13474" s="18">
        <f>6281248266005</f>
        <v>6281248266005</v>
      </c>
      <c r="W13474" t="s">
        <v>36543</v>
      </c>
    </row>
    <row r="13475" ht="15" customHeight="1" spans="1:22" x14ac:dyDescent="0.25">
      <c r="A13475" s="17" t="s">
        <v>36544</v>
      </c>
      <c r="B13475" s="17" t="s">
        <v>70</v>
      </c>
      <c r="C13475" s="17" t="s">
        <v>71</v>
      </c>
      <c r="D13475" t="s">
        <v>23857</v>
      </c>
      <c r="F13475" t="s">
        <v>15691</v>
      </c>
      <c r="K13475" s="18">
        <f>6281578299999</f>
        <v>6281578299999</v>
      </c>
      <c r="N13475" s="17" t="s">
        <v>77</v>
      </c>
      <c r="V13475" s="18">
        <f>6281578299999</f>
        <v>6281578299999</v>
      </c>
    </row>
    <row r="13476" ht="15" customHeight="1" spans="1:28" x14ac:dyDescent="0.25">
      <c r="A13476" s="17" t="s">
        <v>36545</v>
      </c>
      <c r="B13476" s="17" t="s">
        <v>70</v>
      </c>
      <c r="C13476" s="17" t="s">
        <v>71</v>
      </c>
      <c r="D13476" t="s">
        <v>23857</v>
      </c>
      <c r="F13476" t="s">
        <v>3962</v>
      </c>
      <c r="J13476" t="s">
        <v>36546</v>
      </c>
      <c r="K13476" s="18" t="s">
        <v>36547</v>
      </c>
      <c r="N13476" s="17" t="s">
        <v>77</v>
      </c>
      <c r="O13476" t="s">
        <v>117</v>
      </c>
      <c r="V13476" s="18" t="s">
        <v>36547</v>
      </c>
      <c r="Y13476" t="s">
        <v>115</v>
      </c>
      <c r="AA13476" t="s">
        <v>115</v>
      </c>
      <c r="AB13476" t="s">
        <v>3140</v>
      </c>
    </row>
    <row r="13477" ht="15" customHeight="1" spans="1:22" x14ac:dyDescent="0.25">
      <c r="A13477" s="17" t="s">
        <v>36548</v>
      </c>
      <c r="B13477" s="17" t="s">
        <v>70</v>
      </c>
      <c r="C13477" s="17" t="s">
        <v>71</v>
      </c>
      <c r="D13477" t="s">
        <v>23857</v>
      </c>
      <c r="F13477" t="s">
        <v>10997</v>
      </c>
      <c r="K13477" s="18">
        <f>6591689083</f>
        <v>6591689083</v>
      </c>
      <c r="N13477" s="17" t="s">
        <v>77</v>
      </c>
      <c r="V13477" s="18">
        <f>6591689083</f>
        <v>6591689083</v>
      </c>
    </row>
    <row r="13478" ht="15" customHeight="1" spans="1:23" x14ac:dyDescent="0.25">
      <c r="A13478" s="17" t="s">
        <v>36549</v>
      </c>
      <c r="B13478" s="17" t="s">
        <v>70</v>
      </c>
      <c r="C13478" s="17" t="s">
        <v>71</v>
      </c>
      <c r="D13478" t="s">
        <v>23857</v>
      </c>
      <c r="F13478" t="s">
        <v>36550</v>
      </c>
      <c r="K13478" s="18">
        <f>6596508612</f>
        <v>6596508612</v>
      </c>
      <c r="N13478" s="17" t="s">
        <v>77</v>
      </c>
      <c r="U13478" s="17"/>
      <c r="V13478" s="18">
        <f>6596508612</f>
        <v>6596508612</v>
      </c>
      <c r="W13478" t="s">
        <v>3140</v>
      </c>
    </row>
    <row r="13479" ht="15" customHeight="1" spans="1:23" x14ac:dyDescent="0.25">
      <c r="A13479" s="17" t="s">
        <v>36551</v>
      </c>
      <c r="B13479" s="17" t="s">
        <v>70</v>
      </c>
      <c r="C13479" s="17" t="s">
        <v>71</v>
      </c>
      <c r="D13479" t="s">
        <v>22245</v>
      </c>
      <c r="F13479" t="s">
        <v>36552</v>
      </c>
      <c r="K13479" s="18">
        <f>8618502148944</f>
        <v>8618502148944</v>
      </c>
      <c r="N13479" s="17" t="s">
        <v>77</v>
      </c>
      <c r="U13479" s="17"/>
      <c r="V13479" s="18">
        <f>8618502148944</f>
        <v>8618502148944</v>
      </c>
      <c r="W13479" t="s">
        <v>8335</v>
      </c>
    </row>
    <row r="13480" ht="15" customHeight="1" spans="1:28" x14ac:dyDescent="0.25">
      <c r="A13480" s="17" t="s">
        <v>36553</v>
      </c>
      <c r="B13480" s="17" t="s">
        <v>70</v>
      </c>
      <c r="C13480" s="17" t="s">
        <v>71</v>
      </c>
      <c r="D13480" t="s">
        <v>23857</v>
      </c>
      <c r="F13480" t="s">
        <v>23857</v>
      </c>
      <c r="J13480" s="17" t="s">
        <v>36554</v>
      </c>
      <c r="K13480" s="18" t="s">
        <v>36555</v>
      </c>
      <c r="N13480" s="17" t="s">
        <v>77</v>
      </c>
      <c r="O13480" t="s">
        <v>117</v>
      </c>
      <c r="U13480" s="17"/>
      <c r="V13480" s="18" t="s">
        <v>36555</v>
      </c>
      <c r="W13480" t="s">
        <v>3140</v>
      </c>
      <c r="Y13480" t="s">
        <v>3140</v>
      </c>
      <c r="AA13480" t="s">
        <v>115</v>
      </c>
      <c r="AB13480" t="s">
        <v>3140</v>
      </c>
    </row>
    <row r="13481" ht="15" customHeight="1" spans="1:28" x14ac:dyDescent="0.25">
      <c r="A13481" s="17" t="s">
        <v>36556</v>
      </c>
      <c r="B13481" s="17" t="s">
        <v>70</v>
      </c>
      <c r="C13481" s="17" t="s">
        <v>71</v>
      </c>
      <c r="D13481" t="s">
        <v>23857</v>
      </c>
      <c r="F13481" t="s">
        <v>36557</v>
      </c>
      <c r="J13481" s="17" t="s">
        <v>36558</v>
      </c>
      <c r="K13481" s="18" t="s">
        <v>36559</v>
      </c>
      <c r="N13481" s="17" t="s">
        <v>77</v>
      </c>
      <c r="O13481" t="s">
        <v>117</v>
      </c>
      <c r="V13481" s="18" t="s">
        <v>36559</v>
      </c>
      <c r="Y13481" t="s">
        <v>115</v>
      </c>
      <c r="AA13481" t="s">
        <v>115</v>
      </c>
      <c r="AB13481" t="s">
        <v>3140</v>
      </c>
    </row>
    <row r="13482" ht="15" customHeight="1" spans="1:28" x14ac:dyDescent="0.25">
      <c r="A13482" s="17" t="s">
        <v>36560</v>
      </c>
      <c r="B13482" s="17" t="s">
        <v>70</v>
      </c>
      <c r="C13482" s="17" t="s">
        <v>71</v>
      </c>
      <c r="D13482" t="s">
        <v>23857</v>
      </c>
      <c r="F13482" t="s">
        <v>36561</v>
      </c>
      <c r="J13482" s="17" t="s">
        <v>36562</v>
      </c>
      <c r="K13482" s="18" t="s">
        <v>36563</v>
      </c>
      <c r="N13482" s="17" t="s">
        <v>77</v>
      </c>
      <c r="O13482" t="s">
        <v>117</v>
      </c>
      <c r="U13482" s="17"/>
      <c r="V13482" s="18" t="s">
        <v>36563</v>
      </c>
      <c r="W13482" t="s">
        <v>3140</v>
      </c>
      <c r="Y13482" t="s">
        <v>115</v>
      </c>
      <c r="AA13482" t="s">
        <v>115</v>
      </c>
      <c r="AB13482" t="s">
        <v>3140</v>
      </c>
    </row>
    <row r="13483" ht="15" customHeight="1" spans="1:28" x14ac:dyDescent="0.25">
      <c r="A13483" s="17" t="s">
        <v>36564</v>
      </c>
      <c r="B13483" s="17" t="s">
        <v>70</v>
      </c>
      <c r="C13483" s="17" t="s">
        <v>71</v>
      </c>
      <c r="D13483" t="s">
        <v>36565</v>
      </c>
      <c r="F13483" t="s">
        <v>24654</v>
      </c>
      <c r="J13483" t="s">
        <v>115</v>
      </c>
      <c r="K13483" s="18" t="s">
        <v>36566</v>
      </c>
      <c r="N13483" s="17" t="s">
        <v>77</v>
      </c>
      <c r="O13483" t="s">
        <v>261</v>
      </c>
      <c r="V13483" s="18" t="s">
        <v>36566</v>
      </c>
      <c r="Y13483" t="s">
        <v>500</v>
      </c>
      <c r="AA13483" t="s">
        <v>501</v>
      </c>
      <c r="AB13483" t="s">
        <v>119</v>
      </c>
    </row>
    <row r="13484" ht="15" customHeight="1" spans="1:25" x14ac:dyDescent="0.25">
      <c r="A13484" s="17" t="s">
        <v>36567</v>
      </c>
      <c r="B13484" s="17" t="s">
        <v>70</v>
      </c>
      <c r="C13484" s="17" t="s">
        <v>71</v>
      </c>
      <c r="D13484" t="s">
        <v>36568</v>
      </c>
      <c r="F13484" t="s">
        <v>36569</v>
      </c>
      <c r="K13484" s="18">
        <f>628121998881</f>
        <v>628121998881</v>
      </c>
      <c r="N13484" s="17" t="s">
        <v>77</v>
      </c>
      <c r="U13484" s="17"/>
      <c r="V13484" s="18">
        <f>628121998881</f>
        <v>628121998881</v>
      </c>
      <c r="W13484" t="s">
        <v>36570</v>
      </c>
      <c r="Y13484" s="17" t="s">
        <v>1084</v>
      </c>
    </row>
    <row r="13485" ht="15" customHeight="1" spans="1:28" x14ac:dyDescent="0.25">
      <c r="A13485" s="17" t="s">
        <v>36571</v>
      </c>
      <c r="B13485" s="17" t="s">
        <v>70</v>
      </c>
      <c r="C13485" s="17" t="s">
        <v>71</v>
      </c>
      <c r="D13485" t="s">
        <v>36572</v>
      </c>
      <c r="F13485" t="s">
        <v>5301</v>
      </c>
      <c r="J13485" t="s">
        <v>115</v>
      </c>
      <c r="K13485" s="18" t="s">
        <v>36573</v>
      </c>
      <c r="N13485" s="17" t="s">
        <v>81</v>
      </c>
      <c r="O13485" t="s">
        <v>117</v>
      </c>
      <c r="V13485" s="18" t="s">
        <v>36573</v>
      </c>
      <c r="Y13485" t="s">
        <v>90</v>
      </c>
      <c r="AA13485" t="s">
        <v>118</v>
      </c>
      <c r="AB13485" t="s">
        <v>119</v>
      </c>
    </row>
    <row r="13486" ht="15" customHeight="1" spans="1:22" x14ac:dyDescent="0.25">
      <c r="A13486" s="17" t="s">
        <v>36574</v>
      </c>
      <c r="B13486" s="17" t="s">
        <v>70</v>
      </c>
      <c r="C13486" s="17" t="s">
        <v>71</v>
      </c>
      <c r="D13486" t="s">
        <v>36575</v>
      </c>
      <c r="F13486" t="s">
        <v>36575</v>
      </c>
      <c r="K13486" s="18">
        <f>62811902220</f>
        <v>62811902220</v>
      </c>
      <c r="N13486" s="17" t="s">
        <v>77</v>
      </c>
      <c r="V13486" s="18">
        <f>62811902220</f>
        <v>62811902220</v>
      </c>
    </row>
    <row r="13487" ht="15" customHeight="1" spans="1:23" x14ac:dyDescent="0.25">
      <c r="A13487" s="17" t="s">
        <v>36576</v>
      </c>
      <c r="B13487" s="17" t="s">
        <v>70</v>
      </c>
      <c r="C13487" s="17" t="s">
        <v>71</v>
      </c>
      <c r="D13487" t="s">
        <v>36577</v>
      </c>
      <c r="F13487" t="s">
        <v>36577</v>
      </c>
      <c r="K13487" s="18">
        <f>628129155195</f>
        <v>628129155195</v>
      </c>
      <c r="N13487" s="17" t="s">
        <v>81</v>
      </c>
      <c r="U13487" s="17"/>
      <c r="V13487" s="18">
        <f>628129155195</f>
        <v>628129155195</v>
      </c>
      <c r="W13487" t="s">
        <v>36578</v>
      </c>
    </row>
    <row r="13488" ht="15" customHeight="1" spans="1:22" x14ac:dyDescent="0.25">
      <c r="A13488" s="17" t="s">
        <v>36579</v>
      </c>
      <c r="B13488" s="17" t="s">
        <v>70</v>
      </c>
      <c r="C13488" s="17" t="s">
        <v>71</v>
      </c>
      <c r="D13488" t="s">
        <v>36580</v>
      </c>
      <c r="F13488" t="s">
        <v>36581</v>
      </c>
      <c r="K13488" s="18">
        <f>6281380301333</f>
        <v>6281380301333</v>
      </c>
      <c r="N13488" s="17" t="s">
        <v>77</v>
      </c>
      <c r="V13488" s="18">
        <f>6281380301333</f>
        <v>6281380301333</v>
      </c>
    </row>
    <row r="13489" ht="15" customHeight="1" spans="1:23" x14ac:dyDescent="0.25">
      <c r="A13489" s="17" t="s">
        <v>36582</v>
      </c>
      <c r="B13489" s="17" t="s">
        <v>70</v>
      </c>
      <c r="C13489" s="17" t="s">
        <v>71</v>
      </c>
      <c r="D13489" t="s">
        <v>22648</v>
      </c>
      <c r="F13489" t="s">
        <v>23528</v>
      </c>
      <c r="J13489" s="17" t="s">
        <v>36583</v>
      </c>
      <c r="K13489" s="18">
        <f>6281219871068</f>
        <v>6281219871068</v>
      </c>
      <c r="N13489" s="17" t="s">
        <v>77</v>
      </c>
      <c r="U13489" s="17"/>
      <c r="V13489" s="18">
        <f>6281219871068</f>
        <v>6281219871068</v>
      </c>
      <c r="W13489" t="s">
        <v>36584</v>
      </c>
    </row>
    <row r="13490" ht="15" customHeight="1" spans="1:28" x14ac:dyDescent="0.25">
      <c r="A13490" s="17" t="s">
        <v>36585</v>
      </c>
      <c r="B13490" s="17" t="s">
        <v>70</v>
      </c>
      <c r="C13490" s="17" t="s">
        <v>71</v>
      </c>
      <c r="D13490" t="s">
        <v>22648</v>
      </c>
      <c r="F13490" t="s">
        <v>36586</v>
      </c>
      <c r="J13490" t="s">
        <v>115</v>
      </c>
      <c r="K13490" s="18" t="s">
        <v>36587</v>
      </c>
      <c r="N13490" s="17" t="s">
        <v>77</v>
      </c>
      <c r="O13490" t="s">
        <v>261</v>
      </c>
      <c r="V13490" s="18" t="s">
        <v>36587</v>
      </c>
      <c r="Y13490" t="s">
        <v>90</v>
      </c>
      <c r="AA13490" t="s">
        <v>118</v>
      </c>
      <c r="AB13490" t="s">
        <v>119</v>
      </c>
    </row>
    <row r="13491" ht="15" customHeight="1" spans="1:23" x14ac:dyDescent="0.25">
      <c r="A13491" s="17" t="s">
        <v>36588</v>
      </c>
      <c r="B13491" s="17" t="s">
        <v>70</v>
      </c>
      <c r="C13491" s="17" t="s">
        <v>71</v>
      </c>
      <c r="D13491" t="s">
        <v>36589</v>
      </c>
      <c r="F13491" t="s">
        <v>17836</v>
      </c>
      <c r="J13491" s="17" t="s">
        <v>36590</v>
      </c>
      <c r="K13491" s="18">
        <f>6281318502858</f>
        <v>6281318502858</v>
      </c>
      <c r="N13491" s="17" t="s">
        <v>77</v>
      </c>
      <c r="U13491" s="17"/>
      <c r="V13491" s="18">
        <f>6281318502858</f>
        <v>6281318502858</v>
      </c>
      <c r="W13491" t="s">
        <v>36591</v>
      </c>
    </row>
    <row r="13492" ht="15" customHeight="1" spans="1:22" x14ac:dyDescent="0.25">
      <c r="A13492" s="17" t="s">
        <v>36592</v>
      </c>
      <c r="B13492" s="17" t="s">
        <v>70</v>
      </c>
      <c r="C13492" s="17" t="s">
        <v>71</v>
      </c>
      <c r="D13492" s="19" t="s">
        <v>36593</v>
      </c>
      <c r="F13492" t="s">
        <v>36594</v>
      </c>
      <c r="K13492" s="18">
        <f>62811988436</f>
        <v>62811988436</v>
      </c>
      <c r="N13492" s="17" t="s">
        <v>77</v>
      </c>
      <c r="V13492" s="18">
        <f>62811988436</f>
        <v>62811988436</v>
      </c>
    </row>
    <row r="13493" ht="15" customHeight="1" spans="1:22" x14ac:dyDescent="0.25">
      <c r="A13493" s="17" t="s">
        <v>36595</v>
      </c>
      <c r="B13493" s="17" t="s">
        <v>70</v>
      </c>
      <c r="C13493" s="17" t="s">
        <v>71</v>
      </c>
      <c r="D13493" t="s">
        <v>36596</v>
      </c>
      <c r="F13493" t="s">
        <v>36597</v>
      </c>
      <c r="K13493" s="18">
        <f>6281236276232</f>
        <v>6281236276232</v>
      </c>
      <c r="N13493" s="17" t="s">
        <v>77</v>
      </c>
      <c r="V13493" s="18">
        <f>6281236276232</f>
        <v>6281236276232</v>
      </c>
    </row>
    <row r="13494" ht="15" customHeight="1" spans="1:22" x14ac:dyDescent="0.25">
      <c r="A13494" s="17" t="s">
        <v>36598</v>
      </c>
      <c r="B13494" s="17" t="s">
        <v>70</v>
      </c>
      <c r="C13494" s="17" t="s">
        <v>71</v>
      </c>
      <c r="D13494" t="s">
        <v>36599</v>
      </c>
      <c r="F13494" t="s">
        <v>36599</v>
      </c>
      <c r="K13494" s="18">
        <f>628118771658</f>
        <v>628118771658</v>
      </c>
      <c r="N13494" s="17" t="s">
        <v>77</v>
      </c>
      <c r="V13494" s="18">
        <f>628118771658</f>
        <v>628118771658</v>
      </c>
    </row>
    <row r="13495" ht="15" customHeight="1" spans="1:22" x14ac:dyDescent="0.25">
      <c r="A13495" s="17" t="s">
        <v>36600</v>
      </c>
      <c r="B13495" s="17" t="s">
        <v>70</v>
      </c>
      <c r="C13495" s="17" t="s">
        <v>71</v>
      </c>
      <c r="D13495" t="s">
        <v>2184</v>
      </c>
      <c r="F13495" t="s">
        <v>2184</v>
      </c>
      <c r="K13495" s="18">
        <f>62817776773</f>
        <v>62817776773</v>
      </c>
      <c r="N13495" s="17" t="s">
        <v>81</v>
      </c>
      <c r="V13495" s="18">
        <f>62817776773</f>
        <v>62817776773</v>
      </c>
    </row>
    <row r="13496" ht="15" customHeight="1" spans="1:22" x14ac:dyDescent="0.25">
      <c r="A13496" s="17" t="s">
        <v>36601</v>
      </c>
      <c r="B13496" s="17" t="s">
        <v>70</v>
      </c>
      <c r="C13496" s="17" t="s">
        <v>71</v>
      </c>
      <c r="D13496" t="s">
        <v>2184</v>
      </c>
      <c r="F13496" t="s">
        <v>2184</v>
      </c>
      <c r="K13496" s="18">
        <f>628129330723</f>
        <v>628129330723</v>
      </c>
      <c r="N13496" s="17" t="s">
        <v>77</v>
      </c>
      <c r="V13496" s="18">
        <f>628129330723</f>
        <v>628129330723</v>
      </c>
    </row>
    <row r="13497" ht="15" customHeight="1" spans="1:22" x14ac:dyDescent="0.25">
      <c r="A13497" s="17" t="s">
        <v>36602</v>
      </c>
      <c r="B13497" s="17" t="s">
        <v>70</v>
      </c>
      <c r="C13497" s="17" t="s">
        <v>71</v>
      </c>
      <c r="D13497" t="s">
        <v>2184</v>
      </c>
      <c r="F13497" t="s">
        <v>2184</v>
      </c>
      <c r="K13497" s="18">
        <f>6282112450400</f>
        <v>6282112450400</v>
      </c>
      <c r="N13497" s="17" t="s">
        <v>81</v>
      </c>
      <c r="V13497" s="18">
        <f>6282112450400</f>
        <v>6282112450400</v>
      </c>
    </row>
    <row r="13498" ht="15" customHeight="1" spans="1:28" x14ac:dyDescent="0.25">
      <c r="A13498" s="17" t="s">
        <v>36603</v>
      </c>
      <c r="B13498" s="17" t="s">
        <v>70</v>
      </c>
      <c r="C13498" s="17" t="s">
        <v>71</v>
      </c>
      <c r="D13498" t="s">
        <v>2184</v>
      </c>
      <c r="F13498" t="s">
        <v>36604</v>
      </c>
      <c r="J13498" t="s">
        <v>115</v>
      </c>
      <c r="K13498" s="18" t="s">
        <v>36605</v>
      </c>
      <c r="N13498" s="17" t="s">
        <v>77</v>
      </c>
      <c r="O13498" t="s">
        <v>199</v>
      </c>
      <c r="V13498" s="18" t="s">
        <v>36605</v>
      </c>
      <c r="Y13498" t="s">
        <v>217</v>
      </c>
      <c r="AA13498" t="s">
        <v>218</v>
      </c>
      <c r="AB13498" t="s">
        <v>119</v>
      </c>
    </row>
    <row r="13499" ht="15" customHeight="1" spans="1:25" x14ac:dyDescent="0.25">
      <c r="A13499" s="17" t="s">
        <v>36606</v>
      </c>
      <c r="B13499" s="17" t="s">
        <v>70</v>
      </c>
      <c r="C13499" s="17" t="s">
        <v>71</v>
      </c>
      <c r="D13499" t="s">
        <v>2184</v>
      </c>
      <c r="F13499" t="s">
        <v>32380</v>
      </c>
      <c r="K13499" s="18">
        <f>62215262251</f>
        <v>62215262251</v>
      </c>
      <c r="N13499" s="17" t="s">
        <v>77</v>
      </c>
      <c r="U13499" s="17"/>
      <c r="V13499" s="18">
        <f>62215262251</f>
        <v>62215262251</v>
      </c>
      <c r="W13499" t="s">
        <v>36607</v>
      </c>
      <c r="Y13499" s="17" t="s">
        <v>90</v>
      </c>
    </row>
    <row r="13500" ht="15" customHeight="1" spans="1:22" x14ac:dyDescent="0.25">
      <c r="A13500" s="17" t="s">
        <v>36608</v>
      </c>
      <c r="B13500" s="17" t="s">
        <v>70</v>
      </c>
      <c r="C13500" s="17" t="s">
        <v>71</v>
      </c>
      <c r="D13500" t="s">
        <v>2184</v>
      </c>
      <c r="F13500" t="s">
        <v>36609</v>
      </c>
      <c r="K13500" s="18">
        <f>628111101088</f>
        <v>628111101088</v>
      </c>
      <c r="N13500" s="17" t="s">
        <v>77</v>
      </c>
      <c r="V13500" s="18">
        <f>628111101088</f>
        <v>628111101088</v>
      </c>
    </row>
    <row r="13501" ht="15" customHeight="1" spans="1:22" x14ac:dyDescent="0.25">
      <c r="A13501" s="17" t="s">
        <v>36610</v>
      </c>
      <c r="B13501" s="17" t="s">
        <v>70</v>
      </c>
      <c r="C13501" s="17" t="s">
        <v>71</v>
      </c>
      <c r="D13501" t="s">
        <v>2184</v>
      </c>
      <c r="F13501" t="s">
        <v>36611</v>
      </c>
      <c r="K13501" s="18">
        <f>628128618995</f>
        <v>628128618995</v>
      </c>
      <c r="N13501" s="17" t="s">
        <v>77</v>
      </c>
      <c r="V13501" s="18">
        <f>628128618995</f>
        <v>628128618995</v>
      </c>
    </row>
    <row r="13502" ht="15" customHeight="1" spans="1:28" x14ac:dyDescent="0.25">
      <c r="A13502" s="17" t="s">
        <v>36612</v>
      </c>
      <c r="B13502" s="17" t="s">
        <v>70</v>
      </c>
      <c r="C13502" s="17" t="s">
        <v>71</v>
      </c>
      <c r="D13502" t="s">
        <v>2184</v>
      </c>
      <c r="F13502" t="s">
        <v>212</v>
      </c>
      <c r="J13502" t="s">
        <v>115</v>
      </c>
      <c r="K13502" s="18" t="s">
        <v>36613</v>
      </c>
      <c r="N13502" s="17" t="s">
        <v>77</v>
      </c>
      <c r="O13502" t="s">
        <v>261</v>
      </c>
      <c r="V13502" s="18" t="s">
        <v>36613</v>
      </c>
      <c r="Y13502" t="s">
        <v>90</v>
      </c>
      <c r="AA13502" t="s">
        <v>118</v>
      </c>
      <c r="AB13502" t="s">
        <v>119</v>
      </c>
    </row>
    <row r="13503" ht="15" customHeight="1" spans="1:22" x14ac:dyDescent="0.25">
      <c r="A13503" s="17" t="s">
        <v>36614</v>
      </c>
      <c r="B13503" s="17" t="s">
        <v>70</v>
      </c>
      <c r="C13503" s="17" t="s">
        <v>71</v>
      </c>
      <c r="D13503" t="s">
        <v>2184</v>
      </c>
      <c r="F13503" t="s">
        <v>10449</v>
      </c>
      <c r="K13503" s="18">
        <f>62818354511</f>
        <v>62818354511</v>
      </c>
      <c r="N13503" s="17" t="s">
        <v>77</v>
      </c>
      <c r="V13503" s="18">
        <f>62818354511</f>
        <v>62818354511</v>
      </c>
    </row>
    <row r="13504" ht="15" customHeight="1" spans="1:27" x14ac:dyDescent="0.25">
      <c r="A13504" s="17" t="s">
        <v>36615</v>
      </c>
      <c r="B13504" s="17" t="s">
        <v>70</v>
      </c>
      <c r="C13504" s="17" t="s">
        <v>71</v>
      </c>
      <c r="D13504" t="s">
        <v>2184</v>
      </c>
      <c r="F13504" t="s">
        <v>983</v>
      </c>
      <c r="K13504" s="18">
        <v>8506089</v>
      </c>
      <c r="N13504" s="17" t="s">
        <v>77</v>
      </c>
      <c r="U13504" s="17"/>
      <c r="V13504" s="18">
        <v>8506089</v>
      </c>
      <c r="W13504" t="s">
        <v>36616</v>
      </c>
      <c r="Y13504" s="17" t="s">
        <v>515</v>
      </c>
      <c r="AA13504" s="17" t="s">
        <v>36617</v>
      </c>
    </row>
    <row r="13505" ht="15" customHeight="1" spans="1:22" x14ac:dyDescent="0.25">
      <c r="A13505" s="17" t="s">
        <v>36618</v>
      </c>
      <c r="B13505" s="17" t="s">
        <v>70</v>
      </c>
      <c r="C13505" s="17" t="s">
        <v>71</v>
      </c>
      <c r="D13505" t="s">
        <v>2184</v>
      </c>
      <c r="F13505" t="s">
        <v>983</v>
      </c>
      <c r="K13505" s="18">
        <f>62878875501818</f>
        <v>62878875501818</v>
      </c>
      <c r="N13505" s="17" t="s">
        <v>77</v>
      </c>
      <c r="V13505" s="18">
        <f>62878875501818</f>
        <v>62878875501818</v>
      </c>
    </row>
    <row r="13506" ht="15" customHeight="1" spans="1:22" x14ac:dyDescent="0.25">
      <c r="A13506" s="17" t="s">
        <v>36619</v>
      </c>
      <c r="B13506" s="17" t="s">
        <v>70</v>
      </c>
      <c r="C13506" s="17" t="s">
        <v>71</v>
      </c>
      <c r="D13506" t="s">
        <v>2184</v>
      </c>
      <c r="F13506" t="s">
        <v>36620</v>
      </c>
      <c r="K13506" s="18">
        <f>62818830883</f>
        <v>62818830883</v>
      </c>
      <c r="N13506" s="17" t="s">
        <v>74</v>
      </c>
      <c r="V13506" s="18">
        <f>62818830883</f>
        <v>62818830883</v>
      </c>
    </row>
    <row r="13507" ht="15" customHeight="1" spans="1:22" x14ac:dyDescent="0.25">
      <c r="A13507" s="17" t="s">
        <v>36621</v>
      </c>
      <c r="B13507" s="17" t="s">
        <v>70</v>
      </c>
      <c r="C13507" s="17" t="s">
        <v>71</v>
      </c>
      <c r="D13507" t="s">
        <v>2184</v>
      </c>
      <c r="F13507" t="s">
        <v>36622</v>
      </c>
      <c r="K13507" s="18">
        <f>6281804950838</f>
        <v>6281804950838</v>
      </c>
      <c r="N13507" s="17" t="s">
        <v>81</v>
      </c>
      <c r="V13507" s="18">
        <f>6281804950838</f>
        <v>6281804950838</v>
      </c>
    </row>
    <row r="13508" ht="15" customHeight="1" spans="1:22" x14ac:dyDescent="0.25">
      <c r="A13508" s="17" t="s">
        <v>36623</v>
      </c>
      <c r="B13508" s="17" t="s">
        <v>70</v>
      </c>
      <c r="C13508" s="17" t="s">
        <v>71</v>
      </c>
      <c r="D13508" t="s">
        <v>2184</v>
      </c>
      <c r="F13508" t="s">
        <v>364</v>
      </c>
      <c r="K13508" s="18">
        <f>62818171777</f>
        <v>62818171777</v>
      </c>
      <c r="N13508" s="17" t="s">
        <v>77</v>
      </c>
      <c r="V13508" s="18">
        <f>62818171777</f>
        <v>62818171777</v>
      </c>
    </row>
    <row r="13509" ht="15" customHeight="1" spans="1:22" x14ac:dyDescent="0.25">
      <c r="A13509" s="17" t="s">
        <v>36624</v>
      </c>
      <c r="B13509" s="17" t="s">
        <v>70</v>
      </c>
      <c r="C13509" s="17" t="s">
        <v>71</v>
      </c>
      <c r="D13509" t="s">
        <v>2184</v>
      </c>
      <c r="F13509" t="s">
        <v>672</v>
      </c>
      <c r="J13509" s="17" t="s">
        <v>36625</v>
      </c>
      <c r="K13509" s="18">
        <f>6281310288899</f>
        <v>6281310288899</v>
      </c>
      <c r="N13509" s="17" t="s">
        <v>81</v>
      </c>
      <c r="V13509" s="18">
        <f>6281310288899</f>
        <v>6281310288899</v>
      </c>
    </row>
    <row r="13510" ht="15" customHeight="1" spans="1:27" x14ac:dyDescent="0.25">
      <c r="A13510" s="17" t="s">
        <v>36626</v>
      </c>
      <c r="B13510" s="17" t="s">
        <v>70</v>
      </c>
      <c r="C13510" s="17" t="s">
        <v>71</v>
      </c>
      <c r="D13510" t="s">
        <v>2184</v>
      </c>
      <c r="F13510" t="s">
        <v>672</v>
      </c>
      <c r="J13510" s="17" t="s">
        <v>36627</v>
      </c>
      <c r="K13510" s="18">
        <f>628819998698</f>
        <v>628819998698</v>
      </c>
      <c r="N13510" s="17" t="s">
        <v>77</v>
      </c>
      <c r="U13510" s="17"/>
      <c r="V13510" s="18">
        <f>628819998698</f>
        <v>628819998698</v>
      </c>
      <c r="W13510" t="s">
        <v>36628</v>
      </c>
      <c r="Y13510" s="17" t="s">
        <v>626</v>
      </c>
      <c r="AA13510" s="17">
        <v>11610</v>
      </c>
    </row>
    <row r="13511" ht="15" customHeight="1" spans="1:22" x14ac:dyDescent="0.25">
      <c r="A13511" s="17" t="s">
        <v>36629</v>
      </c>
      <c r="B13511" s="17" t="s">
        <v>70</v>
      </c>
      <c r="C13511" s="17" t="s">
        <v>71</v>
      </c>
      <c r="D13511" t="s">
        <v>2184</v>
      </c>
      <c r="F13511" t="s">
        <v>36630</v>
      </c>
      <c r="K13511" s="18">
        <f>6281226655000</f>
        <v>6281226655000</v>
      </c>
      <c r="N13511" s="17" t="s">
        <v>77</v>
      </c>
      <c r="V13511" s="18">
        <f>6281226655000</f>
        <v>6281226655000</v>
      </c>
    </row>
    <row r="13512" ht="15" customHeight="1" spans="1:22" x14ac:dyDescent="0.25">
      <c r="A13512" s="17" t="s">
        <v>36631</v>
      </c>
      <c r="B13512" s="17" t="s">
        <v>70</v>
      </c>
      <c r="C13512" s="17" t="s">
        <v>71</v>
      </c>
      <c r="D13512" t="s">
        <v>2184</v>
      </c>
      <c r="F13512" t="s">
        <v>36632</v>
      </c>
      <c r="J13512" s="17" t="s">
        <v>36633</v>
      </c>
      <c r="K13512" s="18">
        <f>628119988101</f>
        <v>628119988101</v>
      </c>
      <c r="N13512" s="17" t="s">
        <v>77</v>
      </c>
      <c r="V13512" s="18">
        <f>628119988101</f>
        <v>628119988101</v>
      </c>
    </row>
    <row r="13513" ht="15" customHeight="1" spans="1:25" x14ac:dyDescent="0.25">
      <c r="A13513" s="17" t="s">
        <v>36634</v>
      </c>
      <c r="B13513" s="17" t="s">
        <v>70</v>
      </c>
      <c r="C13513" s="17" t="s">
        <v>71</v>
      </c>
      <c r="D13513" t="s">
        <v>36635</v>
      </c>
      <c r="F13513" t="s">
        <v>618</v>
      </c>
      <c r="K13513" s="18">
        <f>6281282018322</f>
        <v>6281282018322</v>
      </c>
      <c r="N13513" s="17" t="s">
        <v>77</v>
      </c>
      <c r="U13513" s="17"/>
      <c r="V13513" s="18">
        <f>6281282018322</f>
        <v>6281282018322</v>
      </c>
      <c r="W13513" t="s">
        <v>36636</v>
      </c>
      <c r="Y13513" s="17" t="s">
        <v>90</v>
      </c>
    </row>
    <row r="13514" ht="15" customHeight="1" spans="1:22" x14ac:dyDescent="0.25">
      <c r="A13514" s="17" t="s">
        <v>36637</v>
      </c>
      <c r="B13514" s="17" t="s">
        <v>70</v>
      </c>
      <c r="C13514" s="17" t="s">
        <v>71</v>
      </c>
      <c r="D13514" t="s">
        <v>5732</v>
      </c>
      <c r="F13514" t="s">
        <v>36638</v>
      </c>
      <c r="K13514" s="18">
        <f>6281342578906</f>
        <v>6281342578906</v>
      </c>
      <c r="N13514" s="17" t="s">
        <v>74</v>
      </c>
      <c r="V13514" s="18">
        <f>6281342578906</f>
        <v>6281342578906</v>
      </c>
    </row>
    <row r="13515" ht="15" customHeight="1" spans="1:23" x14ac:dyDescent="0.25">
      <c r="A13515" s="17" t="s">
        <v>36639</v>
      </c>
      <c r="B13515" s="17" t="s">
        <v>70</v>
      </c>
      <c r="C13515" s="17" t="s">
        <v>71</v>
      </c>
      <c r="D13515" t="s">
        <v>5732</v>
      </c>
      <c r="F13515" t="s">
        <v>36640</v>
      </c>
      <c r="J13515" s="17" t="s">
        <v>36641</v>
      </c>
      <c r="K13515" s="18">
        <f>62811891111</f>
        <v>62811891111</v>
      </c>
      <c r="N13515" s="17" t="s">
        <v>77</v>
      </c>
      <c r="U13515" s="17"/>
      <c r="V13515" s="18">
        <f>62811891111</f>
        <v>62811891111</v>
      </c>
      <c r="W13515" t="s">
        <v>36642</v>
      </c>
    </row>
    <row r="13516" ht="15" customHeight="1" spans="1:22" x14ac:dyDescent="0.25">
      <c r="A13516" s="17" t="s">
        <v>36643</v>
      </c>
      <c r="B13516" s="17" t="s">
        <v>70</v>
      </c>
      <c r="C13516" s="17" t="s">
        <v>71</v>
      </c>
      <c r="D13516" t="s">
        <v>36644</v>
      </c>
      <c r="F13516" t="s">
        <v>36644</v>
      </c>
      <c r="K13516" s="18">
        <f>628128610052</f>
        <v>628128610052</v>
      </c>
      <c r="N13516" s="17" t="s">
        <v>77</v>
      </c>
      <c r="V13516" s="18">
        <f>628128610052</f>
        <v>628128610052</v>
      </c>
    </row>
    <row r="13517" ht="15" customHeight="1" spans="1:22" x14ac:dyDescent="0.25">
      <c r="A13517" s="17" t="s">
        <v>36645</v>
      </c>
      <c r="B13517" s="17" t="s">
        <v>70</v>
      </c>
      <c r="C13517" s="17" t="s">
        <v>71</v>
      </c>
      <c r="D13517" t="s">
        <v>36644</v>
      </c>
      <c r="F13517" t="s">
        <v>36646</v>
      </c>
      <c r="K13517" s="18">
        <f>62816993737</f>
        <v>62816993737</v>
      </c>
      <c r="N13517" s="17" t="s">
        <v>77</v>
      </c>
      <c r="V13517" s="18">
        <f>62816993737</f>
        <v>62816993737</v>
      </c>
    </row>
    <row r="13518" ht="15" customHeight="1" spans="1:23" x14ac:dyDescent="0.25">
      <c r="A13518" s="17" t="s">
        <v>36647</v>
      </c>
      <c r="B13518" s="17" t="s">
        <v>70</v>
      </c>
      <c r="C13518" s="17" t="s">
        <v>71</v>
      </c>
      <c r="D13518" t="s">
        <v>36648</v>
      </c>
      <c r="F13518" t="s">
        <v>36133</v>
      </c>
      <c r="J13518" s="17" t="s">
        <v>36649</v>
      </c>
      <c r="K13518" s="18">
        <f>628161106886</f>
        <v>628161106886</v>
      </c>
      <c r="N13518" s="17" t="s">
        <v>77</v>
      </c>
      <c r="U13518" s="17"/>
      <c r="V13518" s="18">
        <f>628161106886</f>
        <v>628161106886</v>
      </c>
      <c r="W13518" t="s">
        <v>36650</v>
      </c>
    </row>
    <row r="13519" ht="15" customHeight="1" spans="1:22" x14ac:dyDescent="0.25">
      <c r="A13519" s="17" t="s">
        <v>36651</v>
      </c>
      <c r="B13519" s="17" t="s">
        <v>70</v>
      </c>
      <c r="C13519" s="17" t="s">
        <v>71</v>
      </c>
      <c r="D13519" t="s">
        <v>15509</v>
      </c>
      <c r="F13519" t="s">
        <v>15509</v>
      </c>
      <c r="K13519" s="18">
        <f>628176380427</f>
        <v>628176380427</v>
      </c>
      <c r="N13519" s="17" t="s">
        <v>81</v>
      </c>
      <c r="V13519" s="18">
        <f>628176380427</f>
        <v>628176380427</v>
      </c>
    </row>
    <row r="13520" ht="15" customHeight="1" spans="1:27" x14ac:dyDescent="0.25">
      <c r="A13520" s="17" t="s">
        <v>36652</v>
      </c>
      <c r="B13520" s="17" t="s">
        <v>70</v>
      </c>
      <c r="C13520" s="17" t="s">
        <v>71</v>
      </c>
      <c r="D13520" t="s">
        <v>15509</v>
      </c>
      <c r="F13520" t="s">
        <v>8213</v>
      </c>
      <c r="K13520" s="18">
        <v>5872019</v>
      </c>
      <c r="N13520" s="17" t="s">
        <v>74</v>
      </c>
      <c r="U13520" s="17"/>
      <c r="V13520" s="18">
        <v>5872019</v>
      </c>
      <c r="W13520" t="s">
        <v>5477</v>
      </c>
      <c r="Y13520" s="17" t="s">
        <v>626</v>
      </c>
      <c r="AA13520" s="17" t="s">
        <v>36653</v>
      </c>
    </row>
    <row r="13521" ht="15" customHeight="1" spans="1:22" x14ac:dyDescent="0.25">
      <c r="A13521" s="17" t="s">
        <v>36654</v>
      </c>
      <c r="B13521" s="17" t="s">
        <v>70</v>
      </c>
      <c r="C13521" s="17" t="s">
        <v>71</v>
      </c>
      <c r="D13521" t="s">
        <v>15509</v>
      </c>
      <c r="F13521" t="s">
        <v>36655</v>
      </c>
      <c r="K13521" s="18">
        <f>62811142459</f>
        <v>62811142459</v>
      </c>
      <c r="N13521" s="17" t="s">
        <v>77</v>
      </c>
      <c r="V13521" s="18">
        <f>62811142459</f>
        <v>62811142459</v>
      </c>
    </row>
    <row r="13522" ht="15" customHeight="1" spans="1:28" x14ac:dyDescent="0.25">
      <c r="A13522" s="17" t="s">
        <v>36656</v>
      </c>
      <c r="B13522" s="17" t="s">
        <v>70</v>
      </c>
      <c r="C13522" s="17" t="s">
        <v>71</v>
      </c>
      <c r="D13522" t="s">
        <v>15509</v>
      </c>
      <c r="F13522" t="s">
        <v>36657</v>
      </c>
      <c r="J13522" t="s">
        <v>115</v>
      </c>
      <c r="K13522" s="18" t="s">
        <v>36658</v>
      </c>
      <c r="N13522" s="17" t="s">
        <v>77</v>
      </c>
      <c r="O13522" t="s">
        <v>117</v>
      </c>
      <c r="V13522" s="18" t="s">
        <v>36658</v>
      </c>
      <c r="Y13522" t="s">
        <v>90</v>
      </c>
      <c r="AA13522" t="s">
        <v>118</v>
      </c>
      <c r="AB13522" t="s">
        <v>119</v>
      </c>
    </row>
    <row r="13523" ht="15" customHeight="1" spans="1:22" x14ac:dyDescent="0.25">
      <c r="A13523" s="17" t="s">
        <v>36659</v>
      </c>
      <c r="B13523" s="17" t="s">
        <v>70</v>
      </c>
      <c r="C13523" s="17" t="s">
        <v>71</v>
      </c>
      <c r="D13523" t="s">
        <v>15509</v>
      </c>
      <c r="F13523" t="s">
        <v>36660</v>
      </c>
      <c r="K13523" s="18">
        <f>6281510545369</f>
        <v>6281510545369</v>
      </c>
      <c r="N13523" s="17" t="s">
        <v>81</v>
      </c>
      <c r="V13523" s="18">
        <f>6281510545369</f>
        <v>6281510545369</v>
      </c>
    </row>
    <row r="13524" ht="15" customHeight="1" spans="1:22" x14ac:dyDescent="0.25">
      <c r="A13524" s="17" t="s">
        <v>36661</v>
      </c>
      <c r="B13524" s="17" t="s">
        <v>70</v>
      </c>
      <c r="C13524" s="17" t="s">
        <v>71</v>
      </c>
      <c r="D13524" t="s">
        <v>15509</v>
      </c>
      <c r="F13524" t="s">
        <v>12313</v>
      </c>
      <c r="K13524" s="18">
        <f>628111015826</f>
        <v>628111015826</v>
      </c>
      <c r="N13524" s="17" t="s">
        <v>77</v>
      </c>
      <c r="V13524" s="18">
        <f>628111015826</f>
        <v>628111015826</v>
      </c>
    </row>
    <row r="13525" ht="15" customHeight="1" spans="1:22" x14ac:dyDescent="0.25">
      <c r="A13525" s="17" t="s">
        <v>36662</v>
      </c>
      <c r="B13525" s="17" t="s">
        <v>70</v>
      </c>
      <c r="C13525" s="17" t="s">
        <v>71</v>
      </c>
      <c r="D13525" t="s">
        <v>36663</v>
      </c>
      <c r="F13525" t="s">
        <v>36664</v>
      </c>
      <c r="K13525" s="18">
        <f>628111904870</f>
        <v>628111904870</v>
      </c>
      <c r="N13525" s="17" t="s">
        <v>74</v>
      </c>
      <c r="V13525" s="18">
        <f>628111904870</f>
        <v>628111904870</v>
      </c>
    </row>
    <row r="13526" ht="15" customHeight="1" spans="1:27" x14ac:dyDescent="0.25">
      <c r="A13526" s="17" t="s">
        <v>36665</v>
      </c>
      <c r="B13526" s="17" t="s">
        <v>70</v>
      </c>
      <c r="C13526" s="17" t="s">
        <v>71</v>
      </c>
      <c r="D13526" t="s">
        <v>36666</v>
      </c>
      <c r="F13526" t="s">
        <v>36301</v>
      </c>
      <c r="J13526" s="17" t="s">
        <v>36667</v>
      </c>
      <c r="K13526" s="18">
        <f>6281573008482</f>
        <v>6281573008482</v>
      </c>
      <c r="N13526" s="17" t="s">
        <v>77</v>
      </c>
      <c r="U13526" s="17"/>
      <c r="V13526" s="18">
        <f>6281573008482</f>
        <v>6281573008482</v>
      </c>
      <c r="W13526" t="s">
        <v>36668</v>
      </c>
      <c r="Y13526" s="17" t="s">
        <v>378</v>
      </c>
      <c r="AA13526" s="17">
        <v>12210</v>
      </c>
    </row>
    <row r="13527" ht="15" customHeight="1" spans="1:28" x14ac:dyDescent="0.25">
      <c r="A13527" s="17" t="s">
        <v>36669</v>
      </c>
      <c r="B13527" s="17" t="s">
        <v>70</v>
      </c>
      <c r="C13527" s="17" t="s">
        <v>71</v>
      </c>
      <c r="D13527" t="s">
        <v>36670</v>
      </c>
      <c r="F13527" t="s">
        <v>36671</v>
      </c>
      <c r="J13527" t="s">
        <v>115</v>
      </c>
      <c r="K13527" s="18" t="s">
        <v>36672</v>
      </c>
      <c r="N13527" s="17" t="s">
        <v>77</v>
      </c>
      <c r="O13527" t="s">
        <v>145</v>
      </c>
      <c r="V13527" s="18" t="s">
        <v>36672</v>
      </c>
      <c r="Y13527" t="s">
        <v>6100</v>
      </c>
      <c r="AA13527" t="s">
        <v>115</v>
      </c>
      <c r="AB13527" t="s">
        <v>119</v>
      </c>
    </row>
    <row r="13528" ht="15" customHeight="1" spans="1:23" x14ac:dyDescent="0.25">
      <c r="A13528" s="17" t="s">
        <v>36673</v>
      </c>
      <c r="B13528" s="17" t="s">
        <v>70</v>
      </c>
      <c r="C13528" s="17" t="s">
        <v>71</v>
      </c>
      <c r="D13528" t="s">
        <v>36674</v>
      </c>
      <c r="F13528" t="s">
        <v>31228</v>
      </c>
      <c r="K13528" s="18">
        <f>79265523677</f>
        <v>79265523677</v>
      </c>
      <c r="N13528" s="17" t="s">
        <v>77</v>
      </c>
      <c r="U13528" s="17"/>
      <c r="V13528" s="18">
        <f>79265523677</f>
        <v>79265523677</v>
      </c>
      <c r="W13528" t="s">
        <v>1909</v>
      </c>
    </row>
    <row r="13529" ht="15" customHeight="1" spans="1:23" x14ac:dyDescent="0.25">
      <c r="A13529" s="17" t="s">
        <v>36675</v>
      </c>
      <c r="B13529" s="17" t="s">
        <v>70</v>
      </c>
      <c r="C13529" s="17" t="s">
        <v>71</v>
      </c>
      <c r="D13529" t="s">
        <v>36674</v>
      </c>
      <c r="F13529" t="s">
        <v>36676</v>
      </c>
      <c r="K13529" s="18">
        <f>79265523674</f>
        <v>79265523674</v>
      </c>
      <c r="N13529" s="17" t="s">
        <v>77</v>
      </c>
      <c r="U13529" s="17"/>
      <c r="V13529" s="18">
        <f>79265523674</f>
        <v>79265523674</v>
      </c>
      <c r="W13529" t="s">
        <v>1909</v>
      </c>
    </row>
    <row r="13530" ht="15" customHeight="1" spans="1:22" x14ac:dyDescent="0.25">
      <c r="A13530" s="17" t="s">
        <v>36677</v>
      </c>
      <c r="B13530" s="17" t="s">
        <v>70</v>
      </c>
      <c r="C13530" s="17" t="s">
        <v>71</v>
      </c>
      <c r="D13530" s="19" t="s">
        <v>36678</v>
      </c>
      <c r="F13530" t="s">
        <v>36678</v>
      </c>
      <c r="K13530" s="18">
        <f>62817453200</f>
        <v>62817453200</v>
      </c>
      <c r="N13530" s="17" t="s">
        <v>77</v>
      </c>
      <c r="V13530" s="18">
        <f>62817453200</f>
        <v>62817453200</v>
      </c>
    </row>
    <row r="13531" ht="15" customHeight="1" spans="1:27" x14ac:dyDescent="0.25">
      <c r="A13531" s="17" t="s">
        <v>36679</v>
      </c>
      <c r="B13531" s="17" t="s">
        <v>70</v>
      </c>
      <c r="C13531" s="17" t="s">
        <v>71</v>
      </c>
      <c r="D13531" t="s">
        <v>36680</v>
      </c>
      <c r="F13531" t="s">
        <v>17437</v>
      </c>
      <c r="K13531" s="18">
        <f>628118884901</f>
        <v>628118884901</v>
      </c>
      <c r="N13531" s="17" t="s">
        <v>77</v>
      </c>
      <c r="U13531" s="17"/>
      <c r="V13531" s="18">
        <f>628118884901</f>
        <v>628118884901</v>
      </c>
      <c r="W13531" t="s">
        <v>36681</v>
      </c>
      <c r="Y13531" s="17" t="s">
        <v>90</v>
      </c>
      <c r="AA13531" s="17">
        <v>12910</v>
      </c>
    </row>
    <row r="13532" ht="15" customHeight="1" spans="1:28" x14ac:dyDescent="0.25">
      <c r="A13532" s="17" t="s">
        <v>36682</v>
      </c>
      <c r="B13532" s="17" t="s">
        <v>70</v>
      </c>
      <c r="C13532" s="17" t="s">
        <v>71</v>
      </c>
      <c r="D13532" t="s">
        <v>36683</v>
      </c>
      <c r="F13532" t="s">
        <v>7914</v>
      </c>
      <c r="J13532" t="s">
        <v>115</v>
      </c>
      <c r="K13532" s="18" t="s">
        <v>36684</v>
      </c>
      <c r="N13532" s="17" t="s">
        <v>77</v>
      </c>
      <c r="O13532" t="s">
        <v>117</v>
      </c>
      <c r="V13532" s="18" t="s">
        <v>36684</v>
      </c>
      <c r="Y13532" t="s">
        <v>90</v>
      </c>
      <c r="AA13532" t="s">
        <v>118</v>
      </c>
      <c r="AB13532" t="s">
        <v>119</v>
      </c>
    </row>
    <row r="13533" ht="15" customHeight="1" spans="1:28" x14ac:dyDescent="0.25">
      <c r="A13533" s="17" t="s">
        <v>36685</v>
      </c>
      <c r="B13533" s="17" t="s">
        <v>70</v>
      </c>
      <c r="C13533" s="17" t="s">
        <v>71</v>
      </c>
      <c r="D13533" t="s">
        <v>36686</v>
      </c>
      <c r="F13533" t="s">
        <v>36687</v>
      </c>
      <c r="J13533" t="s">
        <v>115</v>
      </c>
      <c r="K13533" s="18" t="s">
        <v>36688</v>
      </c>
      <c r="N13533" s="17" t="s">
        <v>77</v>
      </c>
      <c r="O13533" t="s">
        <v>489</v>
      </c>
      <c r="V13533" s="18" t="s">
        <v>36688</v>
      </c>
      <c r="Y13533" t="s">
        <v>190</v>
      </c>
      <c r="AA13533" t="s">
        <v>118</v>
      </c>
      <c r="AB13533" t="s">
        <v>119</v>
      </c>
    </row>
    <row r="13534" ht="15" customHeight="1" spans="1:23" x14ac:dyDescent="0.25">
      <c r="A13534" s="17" t="s">
        <v>36689</v>
      </c>
      <c r="B13534" s="17" t="s">
        <v>70</v>
      </c>
      <c r="C13534" s="17" t="s">
        <v>71</v>
      </c>
      <c r="D13534" t="s">
        <v>36690</v>
      </c>
      <c r="F13534" t="s">
        <v>36691</v>
      </c>
      <c r="K13534" s="18">
        <f>961709136046</f>
        <v>961709136046</v>
      </c>
      <c r="N13534" s="17" t="s">
        <v>77</v>
      </c>
      <c r="U13534" s="17"/>
      <c r="V13534" s="18">
        <f>961709136046</f>
        <v>961709136046</v>
      </c>
      <c r="W13534" t="s">
        <v>8563</v>
      </c>
    </row>
    <row r="13535" ht="15" customHeight="1" spans="1:22" x14ac:dyDescent="0.25">
      <c r="A13535" s="17" t="s">
        <v>36692</v>
      </c>
      <c r="B13535" s="17" t="s">
        <v>70</v>
      </c>
      <c r="C13535" s="17" t="s">
        <v>71</v>
      </c>
      <c r="D13535" t="s">
        <v>36693</v>
      </c>
      <c r="F13535" t="s">
        <v>36694</v>
      </c>
      <c r="K13535" s="18">
        <f>628118107311</f>
        <v>628118107311</v>
      </c>
      <c r="N13535" s="17" t="s">
        <v>77</v>
      </c>
      <c r="V13535" s="18">
        <f>628118107311</f>
        <v>628118107311</v>
      </c>
    </row>
    <row r="13536" ht="15" customHeight="1" spans="1:25" x14ac:dyDescent="0.25">
      <c r="A13536" s="17" t="s">
        <v>36695</v>
      </c>
      <c r="B13536" s="17" t="s">
        <v>70</v>
      </c>
      <c r="C13536" s="17" t="s">
        <v>71</v>
      </c>
      <c r="D13536" s="19" t="s">
        <v>36696</v>
      </c>
      <c r="F13536" t="s">
        <v>23220</v>
      </c>
      <c r="J13536" s="17" t="s">
        <v>36697</v>
      </c>
      <c r="K13536" s="18">
        <f>8615168662919</f>
        <v>8615168662919</v>
      </c>
      <c r="N13536" s="17" t="s">
        <v>77</v>
      </c>
      <c r="V13536" s="18">
        <f>8615168662919</f>
        <v>8615168662919</v>
      </c>
      <c r="Y13536" s="17" t="s">
        <v>36698</v>
      </c>
    </row>
    <row r="13537" ht="15" customHeight="1" spans="1:22" x14ac:dyDescent="0.25">
      <c r="A13537" s="17" t="s">
        <v>36699</v>
      </c>
      <c r="B13537" s="17" t="s">
        <v>70</v>
      </c>
      <c r="C13537" s="17" t="s">
        <v>71</v>
      </c>
      <c r="D13537" t="s">
        <v>36696</v>
      </c>
      <c r="F13537" t="s">
        <v>6583</v>
      </c>
      <c r="K13537" s="18">
        <f>6281385754943</f>
        <v>6281385754943</v>
      </c>
      <c r="N13537" s="17" t="s">
        <v>81</v>
      </c>
      <c r="V13537" s="18">
        <f>6281385754943</f>
        <v>6281385754943</v>
      </c>
    </row>
    <row r="13538" ht="15" customHeight="1" spans="1:23" x14ac:dyDescent="0.25">
      <c r="A13538" s="17" t="s">
        <v>36700</v>
      </c>
      <c r="B13538" s="17" t="s">
        <v>70</v>
      </c>
      <c r="C13538" s="17" t="s">
        <v>71</v>
      </c>
      <c r="D13538" t="s">
        <v>36701</v>
      </c>
      <c r="F13538" t="s">
        <v>36702</v>
      </c>
      <c r="K13538" s="18">
        <f>61433096180</f>
        <v>61433096180</v>
      </c>
      <c r="N13538" s="17" t="s">
        <v>77</v>
      </c>
      <c r="U13538" s="17"/>
      <c r="V13538" s="18">
        <f>61433096180</f>
        <v>61433096180</v>
      </c>
      <c r="W13538" t="s">
        <v>3140</v>
      </c>
    </row>
    <row r="13539" ht="15" customHeight="1" spans="1:23" x14ac:dyDescent="0.25">
      <c r="A13539" s="17" t="s">
        <v>36703</v>
      </c>
      <c r="B13539" s="17" t="s">
        <v>70</v>
      </c>
      <c r="C13539" s="17" t="s">
        <v>71</v>
      </c>
      <c r="D13539" t="s">
        <v>36704</v>
      </c>
      <c r="F13539" t="s">
        <v>36705</v>
      </c>
      <c r="K13539" s="18">
        <f>79057085468</f>
        <v>79057085468</v>
      </c>
      <c r="N13539" s="17" t="s">
        <v>77</v>
      </c>
      <c r="U13539" s="17"/>
      <c r="V13539" s="18">
        <f>79057085468</f>
        <v>79057085468</v>
      </c>
      <c r="W13539" t="s">
        <v>1908</v>
      </c>
    </row>
    <row r="13540" ht="15" customHeight="1" spans="1:22" x14ac:dyDescent="0.25">
      <c r="A13540" s="17" t="s">
        <v>36706</v>
      </c>
      <c r="B13540" s="17" t="s">
        <v>70</v>
      </c>
      <c r="C13540" s="17" t="s">
        <v>71</v>
      </c>
      <c r="D13540" t="s">
        <v>36707</v>
      </c>
      <c r="F13540" t="s">
        <v>36708</v>
      </c>
      <c r="K13540" s="18">
        <f>628119771089</f>
        <v>628119771089</v>
      </c>
      <c r="N13540" s="17" t="s">
        <v>81</v>
      </c>
      <c r="V13540" s="18">
        <f>628119771089</f>
        <v>628119771089</v>
      </c>
    </row>
    <row r="13541" ht="15" customHeight="1" spans="1:22" x14ac:dyDescent="0.25">
      <c r="A13541" s="17" t="s">
        <v>36709</v>
      </c>
      <c r="B13541" s="17" t="s">
        <v>70</v>
      </c>
      <c r="C13541" s="17" t="s">
        <v>71</v>
      </c>
      <c r="D13541" t="s">
        <v>36710</v>
      </c>
      <c r="F13541" t="s">
        <v>36711</v>
      </c>
      <c r="K13541" s="18">
        <f>628129792155</f>
        <v>628129792155</v>
      </c>
      <c r="N13541" s="17" t="s">
        <v>77</v>
      </c>
      <c r="V13541" s="18">
        <f>628129792155</f>
        <v>628129792155</v>
      </c>
    </row>
    <row r="13542" ht="15" customHeight="1" spans="1:22" x14ac:dyDescent="0.25">
      <c r="A13542" s="17" t="s">
        <v>36712</v>
      </c>
      <c r="B13542" s="17" t="s">
        <v>70</v>
      </c>
      <c r="C13542" s="17" t="s">
        <v>71</v>
      </c>
      <c r="D13542" t="s">
        <v>36713</v>
      </c>
      <c r="F13542" t="s">
        <v>36713</v>
      </c>
      <c r="J13542" s="17" t="s">
        <v>36714</v>
      </c>
      <c r="K13542" s="18">
        <v>1412739451</v>
      </c>
      <c r="N13542" s="17" t="s">
        <v>81</v>
      </c>
      <c r="V13542" s="18">
        <v>1412739451</v>
      </c>
    </row>
    <row r="13543" ht="15" customHeight="1" spans="1:23" x14ac:dyDescent="0.25">
      <c r="A13543" s="17" t="s">
        <v>36715</v>
      </c>
      <c r="B13543" s="17" t="s">
        <v>70</v>
      </c>
      <c r="C13543" s="17" t="s">
        <v>71</v>
      </c>
      <c r="D13543" t="s">
        <v>30036</v>
      </c>
      <c r="F13543" t="s">
        <v>6999</v>
      </c>
      <c r="J13543" s="17" t="s">
        <v>36716</v>
      </c>
      <c r="K13543" s="18">
        <f>6281225878012</f>
        <v>6281225878012</v>
      </c>
      <c r="N13543" s="17" t="s">
        <v>77</v>
      </c>
      <c r="U13543" s="17"/>
      <c r="V13543" s="18">
        <f>6281225878012</f>
        <v>6281225878012</v>
      </c>
      <c r="W13543" t="s">
        <v>36717</v>
      </c>
    </row>
    <row r="13544" ht="15" customHeight="1" spans="1:23" x14ac:dyDescent="0.25">
      <c r="A13544" s="17" t="s">
        <v>36718</v>
      </c>
      <c r="B13544" s="17" t="s">
        <v>70</v>
      </c>
      <c r="C13544" s="17" t="s">
        <v>71</v>
      </c>
      <c r="D13544" t="s">
        <v>36719</v>
      </c>
      <c r="F13544" t="s">
        <v>36720</v>
      </c>
      <c r="J13544" s="17" t="s">
        <v>36721</v>
      </c>
      <c r="K13544" s="18">
        <f>8613703006954</f>
        <v>8613703006954</v>
      </c>
      <c r="N13544" s="17" t="s">
        <v>4266</v>
      </c>
      <c r="U13544" s="17"/>
      <c r="V13544" s="18">
        <f>8613703006954</f>
        <v>8613703006954</v>
      </c>
      <c r="W13544" t="s">
        <v>3140</v>
      </c>
    </row>
    <row r="13545" ht="15" customHeight="1" spans="1:28" x14ac:dyDescent="0.25">
      <c r="A13545" s="17" t="s">
        <v>36722</v>
      </c>
      <c r="B13545" s="17" t="s">
        <v>70</v>
      </c>
      <c r="C13545" s="17" t="s">
        <v>71</v>
      </c>
      <c r="D13545" t="s">
        <v>36723</v>
      </c>
      <c r="F13545" t="s">
        <v>36724</v>
      </c>
      <c r="J13545" s="17" t="s">
        <v>36725</v>
      </c>
      <c r="K13545" s="18" t="s">
        <v>36726</v>
      </c>
      <c r="N13545" s="17" t="s">
        <v>77</v>
      </c>
      <c r="O13545" t="s">
        <v>145</v>
      </c>
      <c r="U13545" s="17"/>
      <c r="V13545" s="18" t="s">
        <v>36726</v>
      </c>
      <c r="W13545" t="s">
        <v>36727</v>
      </c>
      <c r="Y13545" t="s">
        <v>36727</v>
      </c>
      <c r="AA13545" t="s">
        <v>115</v>
      </c>
      <c r="AB13545" t="s">
        <v>119</v>
      </c>
    </row>
    <row r="13546" ht="15" customHeight="1" spans="1:25" x14ac:dyDescent="0.25">
      <c r="A13546" s="17" t="s">
        <v>36728</v>
      </c>
      <c r="B13546" s="17" t="s">
        <v>70</v>
      </c>
      <c r="C13546" s="17" t="s">
        <v>71</v>
      </c>
      <c r="D13546" t="s">
        <v>14080</v>
      </c>
      <c r="F13546" t="s">
        <v>33641</v>
      </c>
      <c r="K13546" s="18">
        <f>6281261999903</f>
        <v>6281261999903</v>
      </c>
      <c r="N13546" s="17" t="s">
        <v>77</v>
      </c>
      <c r="U13546" s="17"/>
      <c r="V13546" s="18">
        <f>6281261999903</f>
        <v>6281261999903</v>
      </c>
      <c r="W13546" t="s">
        <v>36729</v>
      </c>
      <c r="Y13546" s="17" t="s">
        <v>96</v>
      </c>
    </row>
    <row r="13547" ht="15" customHeight="1" spans="1:22" x14ac:dyDescent="0.25">
      <c r="A13547" s="17" t="s">
        <v>36730</v>
      </c>
      <c r="B13547" s="17" t="s">
        <v>70</v>
      </c>
      <c r="C13547" s="17" t="s">
        <v>71</v>
      </c>
      <c r="D13547" t="s">
        <v>36731</v>
      </c>
      <c r="F13547" t="s">
        <v>36732</v>
      </c>
      <c r="K13547" s="18">
        <f>628161376688</f>
        <v>628161376688</v>
      </c>
      <c r="N13547" s="17" t="s">
        <v>81</v>
      </c>
      <c r="V13547" s="18">
        <f>628161376688</f>
        <v>628161376688</v>
      </c>
    </row>
    <row r="13548" ht="15" customHeight="1" spans="1:22" x14ac:dyDescent="0.25">
      <c r="A13548" s="17" t="s">
        <v>36733</v>
      </c>
      <c r="B13548" s="17" t="s">
        <v>70</v>
      </c>
      <c r="C13548" s="17" t="s">
        <v>71</v>
      </c>
      <c r="D13548" t="s">
        <v>36734</v>
      </c>
      <c r="F13548" t="s">
        <v>36735</v>
      </c>
      <c r="K13548" s="18">
        <f>628128117220</f>
        <v>628128117220</v>
      </c>
      <c r="N13548" s="17" t="s">
        <v>77</v>
      </c>
      <c r="V13548" s="18">
        <f>628128117220</f>
        <v>628128117220</v>
      </c>
    </row>
    <row r="13549" ht="15" customHeight="1" spans="1:22" x14ac:dyDescent="0.25">
      <c r="A13549" s="17" t="s">
        <v>36736</v>
      </c>
      <c r="B13549" s="17" t="s">
        <v>70</v>
      </c>
      <c r="C13549" s="17" t="s">
        <v>71</v>
      </c>
      <c r="D13549" t="s">
        <v>36737</v>
      </c>
      <c r="F13549" t="s">
        <v>36737</v>
      </c>
      <c r="K13549" s="18">
        <f>628119009024</f>
        <v>628119009024</v>
      </c>
      <c r="N13549" s="17" t="s">
        <v>77</v>
      </c>
      <c r="V13549" s="18">
        <f>628119009024</f>
        <v>628119009024</v>
      </c>
    </row>
    <row r="13550" ht="15" customHeight="1" spans="1:28" x14ac:dyDescent="0.25">
      <c r="A13550" s="17" t="s">
        <v>36738</v>
      </c>
      <c r="B13550" s="17" t="s">
        <v>70</v>
      </c>
      <c r="C13550" s="17" t="s">
        <v>71</v>
      </c>
      <c r="D13550" t="s">
        <v>36737</v>
      </c>
      <c r="F13550" t="s">
        <v>4535</v>
      </c>
      <c r="J13550" t="s">
        <v>115</v>
      </c>
      <c r="K13550" s="18" t="s">
        <v>36739</v>
      </c>
      <c r="N13550" s="17" t="s">
        <v>74</v>
      </c>
      <c r="O13550" t="s">
        <v>117</v>
      </c>
      <c r="V13550" s="18" t="s">
        <v>36739</v>
      </c>
      <c r="Y13550" t="s">
        <v>90</v>
      </c>
      <c r="AA13550" t="s">
        <v>118</v>
      </c>
      <c r="AB13550" t="s">
        <v>119</v>
      </c>
    </row>
    <row r="13551" ht="15" customHeight="1" spans="1:23" x14ac:dyDescent="0.25">
      <c r="A13551" s="17" t="s">
        <v>36740</v>
      </c>
      <c r="B13551" s="17" t="s">
        <v>70</v>
      </c>
      <c r="C13551" s="17" t="s">
        <v>71</v>
      </c>
      <c r="D13551" t="s">
        <v>36741</v>
      </c>
      <c r="F13551" t="s">
        <v>36741</v>
      </c>
      <c r="J13551" s="17" t="s">
        <v>36742</v>
      </c>
      <c r="K13551" s="18">
        <f>62817767653</f>
        <v>62817767653</v>
      </c>
      <c r="N13551" s="17" t="s">
        <v>81</v>
      </c>
      <c r="U13551" s="17"/>
      <c r="V13551" s="18">
        <f>62817767653</f>
        <v>62817767653</v>
      </c>
      <c r="W13551" t="s">
        <v>36743</v>
      </c>
    </row>
    <row r="13552" ht="15" customHeight="1" spans="1:22" x14ac:dyDescent="0.25">
      <c r="A13552" s="17" t="s">
        <v>36744</v>
      </c>
      <c r="B13552" s="17" t="s">
        <v>70</v>
      </c>
      <c r="C13552" s="17" t="s">
        <v>71</v>
      </c>
      <c r="D13552" t="s">
        <v>36745</v>
      </c>
      <c r="F13552" t="s">
        <v>36745</v>
      </c>
      <c r="K13552" s="18">
        <f>628159996999</f>
        <v>628159996999</v>
      </c>
      <c r="N13552" s="17" t="s">
        <v>81</v>
      </c>
      <c r="V13552" s="18">
        <f>628159996999</f>
        <v>628159996999</v>
      </c>
    </row>
    <row r="13553" ht="15" customHeight="1" spans="1:22" x14ac:dyDescent="0.25">
      <c r="A13553" s="17" t="s">
        <v>36746</v>
      </c>
      <c r="B13553" s="17" t="s">
        <v>70</v>
      </c>
      <c r="C13553" s="17" t="s">
        <v>71</v>
      </c>
      <c r="D13553" t="s">
        <v>36747</v>
      </c>
      <c r="F13553" t="s">
        <v>36747</v>
      </c>
      <c r="K13553" s="18">
        <f>62811852048</f>
        <v>62811852048</v>
      </c>
      <c r="N13553" s="17" t="s">
        <v>77</v>
      </c>
      <c r="V13553" s="18">
        <f>62811852048</f>
        <v>62811852048</v>
      </c>
    </row>
    <row r="13554" ht="15" customHeight="1" spans="1:22" x14ac:dyDescent="0.25">
      <c r="A13554" s="17" t="s">
        <v>36748</v>
      </c>
      <c r="B13554" s="17" t="s">
        <v>70</v>
      </c>
      <c r="C13554" s="17" t="s">
        <v>71</v>
      </c>
      <c r="D13554" t="s">
        <v>36747</v>
      </c>
      <c r="F13554" t="s">
        <v>8001</v>
      </c>
      <c r="K13554" s="18">
        <f>6282132869029</f>
        <v>6282132869029</v>
      </c>
      <c r="N13554" s="17" t="s">
        <v>81</v>
      </c>
      <c r="V13554" s="18">
        <f>6282132869029</f>
        <v>6282132869029</v>
      </c>
    </row>
    <row r="13555" ht="15" customHeight="1" spans="1:23" x14ac:dyDescent="0.25">
      <c r="A13555" s="17" t="s">
        <v>36749</v>
      </c>
      <c r="B13555" s="17" t="s">
        <v>70</v>
      </c>
      <c r="C13555" s="17" t="s">
        <v>71</v>
      </c>
      <c r="D13555" t="s">
        <v>36750</v>
      </c>
      <c r="F13555" t="s">
        <v>36751</v>
      </c>
      <c r="K13555" s="18">
        <f>62818188570</f>
        <v>62818188570</v>
      </c>
      <c r="N13555" s="17" t="s">
        <v>81</v>
      </c>
      <c r="U13555" s="17"/>
      <c r="V13555" s="18">
        <f>62818188570</f>
        <v>62818188570</v>
      </c>
      <c r="W13555" t="s">
        <v>36752</v>
      </c>
    </row>
    <row r="13556" ht="15" customHeight="1" spans="1:28" x14ac:dyDescent="0.25">
      <c r="A13556" s="17" t="s">
        <v>36753</v>
      </c>
      <c r="B13556" s="17" t="s">
        <v>70</v>
      </c>
      <c r="C13556" s="17" t="s">
        <v>71</v>
      </c>
      <c r="D13556" t="s">
        <v>36754</v>
      </c>
      <c r="F13556" t="s">
        <v>36755</v>
      </c>
      <c r="J13556" t="s">
        <v>115</v>
      </c>
      <c r="K13556" s="18" t="s">
        <v>36756</v>
      </c>
      <c r="N13556" s="17" t="s">
        <v>77</v>
      </c>
      <c r="O13556" t="s">
        <v>145</v>
      </c>
      <c r="V13556" s="18" t="s">
        <v>36756</v>
      </c>
      <c r="Y13556" t="s">
        <v>90</v>
      </c>
      <c r="AA13556" t="s">
        <v>118</v>
      </c>
      <c r="AB13556" t="s">
        <v>119</v>
      </c>
    </row>
    <row r="13557" ht="15" customHeight="1" spans="1:28" x14ac:dyDescent="0.25">
      <c r="A13557" s="17" t="s">
        <v>36757</v>
      </c>
      <c r="B13557" s="17" t="s">
        <v>70</v>
      </c>
      <c r="C13557" s="17" t="s">
        <v>71</v>
      </c>
      <c r="D13557" t="s">
        <v>36758</v>
      </c>
      <c r="F13557" t="s">
        <v>1086</v>
      </c>
      <c r="J13557" s="17" t="s">
        <v>36759</v>
      </c>
      <c r="K13557" s="18" t="s">
        <v>36760</v>
      </c>
      <c r="N13557" s="17" t="s">
        <v>74</v>
      </c>
      <c r="O13557" t="s">
        <v>145</v>
      </c>
      <c r="V13557" s="18" t="s">
        <v>36760</v>
      </c>
      <c r="Y13557" s="17" t="s">
        <v>90</v>
      </c>
      <c r="AA13557" t="s">
        <v>118</v>
      </c>
      <c r="AB13557" t="s">
        <v>119</v>
      </c>
    </row>
    <row r="13558" ht="15" customHeight="1" spans="1:22" x14ac:dyDescent="0.25">
      <c r="A13558" s="17" t="s">
        <v>36761</v>
      </c>
      <c r="B13558" s="17" t="s">
        <v>70</v>
      </c>
      <c r="C13558" s="17" t="s">
        <v>71</v>
      </c>
      <c r="D13558" t="s">
        <v>11813</v>
      </c>
      <c r="F13558" t="s">
        <v>2810</v>
      </c>
      <c r="J13558" s="17" t="s">
        <v>36762</v>
      </c>
      <c r="K13558" s="18">
        <f>6281388777588</f>
        <v>6281388777588</v>
      </c>
      <c r="N13558" s="17" t="s">
        <v>77</v>
      </c>
      <c r="V13558" s="18">
        <f>6281388777588</f>
        <v>6281388777588</v>
      </c>
    </row>
    <row r="13559" ht="15" customHeight="1" spans="1:22" x14ac:dyDescent="0.25">
      <c r="A13559" s="17" t="s">
        <v>36763</v>
      </c>
      <c r="B13559" s="17" t="s">
        <v>70</v>
      </c>
      <c r="C13559" s="17" t="s">
        <v>71</v>
      </c>
      <c r="D13559" t="s">
        <v>11813</v>
      </c>
      <c r="F13559" t="s">
        <v>36764</v>
      </c>
      <c r="K13559" s="18">
        <f>6281219559595</f>
        <v>6281219559595</v>
      </c>
      <c r="N13559" s="17" t="s">
        <v>77</v>
      </c>
      <c r="V13559" s="18">
        <f>6281219559595</f>
        <v>6281219559595</v>
      </c>
    </row>
    <row r="13560" ht="15" customHeight="1" spans="1:25" x14ac:dyDescent="0.25">
      <c r="A13560" s="17" t="s">
        <v>36765</v>
      </c>
      <c r="B13560" s="17" t="s">
        <v>70</v>
      </c>
      <c r="C13560" s="17" t="s">
        <v>71</v>
      </c>
      <c r="D13560" t="s">
        <v>36766</v>
      </c>
      <c r="F13560" t="s">
        <v>36767</v>
      </c>
      <c r="K13560" s="18">
        <f>919740029400</f>
        <v>919740029400</v>
      </c>
      <c r="N13560" s="17" t="s">
        <v>77</v>
      </c>
      <c r="V13560" s="18">
        <f>919740029400</f>
        <v>919740029400</v>
      </c>
      <c r="Y13560" s="17" t="s">
        <v>36768</v>
      </c>
    </row>
    <row r="13561" ht="15" customHeight="1" spans="1:25" x14ac:dyDescent="0.25">
      <c r="A13561" s="17" t="s">
        <v>36769</v>
      </c>
      <c r="B13561" s="17" t="s">
        <v>70</v>
      </c>
      <c r="C13561" s="17" t="s">
        <v>71</v>
      </c>
      <c r="D13561" t="s">
        <v>2077</v>
      </c>
      <c r="F13561" t="s">
        <v>36770</v>
      </c>
      <c r="K13561" s="18">
        <f>62816915670</f>
        <v>62816915670</v>
      </c>
      <c r="N13561" s="17" t="s">
        <v>74</v>
      </c>
      <c r="U13561" s="17"/>
      <c r="V13561" s="18">
        <f>62816915670</f>
        <v>62816915670</v>
      </c>
      <c r="W13561" t="s">
        <v>36771</v>
      </c>
      <c r="Y13561" s="17" t="s">
        <v>96</v>
      </c>
    </row>
    <row r="13562" ht="15" customHeight="1" spans="1:28" x14ac:dyDescent="0.25">
      <c r="A13562" s="17" t="s">
        <v>36772</v>
      </c>
      <c r="B13562" s="17" t="s">
        <v>70</v>
      </c>
      <c r="C13562" s="17" t="s">
        <v>71</v>
      </c>
      <c r="D13562" t="s">
        <v>36773</v>
      </c>
      <c r="F13562" t="s">
        <v>36774</v>
      </c>
      <c r="J13562" t="s">
        <v>115</v>
      </c>
      <c r="K13562" s="18" t="s">
        <v>36775</v>
      </c>
      <c r="N13562" s="17" t="s">
        <v>77</v>
      </c>
      <c r="O13562" t="s">
        <v>117</v>
      </c>
      <c r="U13562" s="17"/>
      <c r="V13562" s="18" t="s">
        <v>36775</v>
      </c>
      <c r="W13562" t="s">
        <v>36776</v>
      </c>
      <c r="Y13562" s="17" t="s">
        <v>90</v>
      </c>
      <c r="AA13562" t="s">
        <v>118</v>
      </c>
      <c r="AB13562" t="s">
        <v>119</v>
      </c>
    </row>
    <row r="13563" ht="15" customHeight="1" spans="1:27" x14ac:dyDescent="0.25">
      <c r="A13563" s="17" t="s">
        <v>36777</v>
      </c>
      <c r="B13563" s="17" t="s">
        <v>70</v>
      </c>
      <c r="C13563" s="17" t="s">
        <v>71</v>
      </c>
      <c r="D13563" t="s">
        <v>2593</v>
      </c>
      <c r="F13563" t="s">
        <v>3092</v>
      </c>
      <c r="K13563" s="18">
        <f>628161861790</f>
        <v>628161861790</v>
      </c>
      <c r="N13563" s="17" t="s">
        <v>74</v>
      </c>
      <c r="U13563" s="17"/>
      <c r="V13563" s="18">
        <f>628161861790</f>
        <v>628161861790</v>
      </c>
      <c r="W13563" t="s">
        <v>36778</v>
      </c>
      <c r="Y13563" s="17" t="s">
        <v>626</v>
      </c>
      <c r="AA13563" s="17" t="s">
        <v>36779</v>
      </c>
    </row>
    <row r="13564" ht="15" customHeight="1" spans="1:28" x14ac:dyDescent="0.25">
      <c r="A13564" s="17" t="s">
        <v>36780</v>
      </c>
      <c r="B13564" s="17" t="s">
        <v>70</v>
      </c>
      <c r="C13564" s="17" t="s">
        <v>71</v>
      </c>
      <c r="D13564" t="s">
        <v>36781</v>
      </c>
      <c r="F13564" t="s">
        <v>36781</v>
      </c>
      <c r="J13564" t="s">
        <v>115</v>
      </c>
      <c r="K13564" s="18" t="s">
        <v>36782</v>
      </c>
      <c r="N13564" s="17" t="s">
        <v>77</v>
      </c>
      <c r="O13564" t="s">
        <v>117</v>
      </c>
      <c r="V13564" s="18" t="s">
        <v>36782</v>
      </c>
      <c r="Y13564" t="s">
        <v>190</v>
      </c>
      <c r="AA13564" t="s">
        <v>118</v>
      </c>
      <c r="AB13564" t="s">
        <v>119</v>
      </c>
    </row>
    <row r="13565" ht="15" customHeight="1" spans="1:22" x14ac:dyDescent="0.25">
      <c r="A13565" s="17" t="s">
        <v>36783</v>
      </c>
      <c r="B13565" s="17" t="s">
        <v>70</v>
      </c>
      <c r="C13565" s="17" t="s">
        <v>71</v>
      </c>
      <c r="D13565" t="s">
        <v>36784</v>
      </c>
      <c r="F13565" t="s">
        <v>1754</v>
      </c>
      <c r="K13565" s="18">
        <f>6281381798323</f>
        <v>6281381798323</v>
      </c>
      <c r="N13565" s="17" t="s">
        <v>77</v>
      </c>
      <c r="V13565" s="18">
        <f>6281381798323</f>
        <v>6281381798323</v>
      </c>
    </row>
    <row r="13566" ht="15" customHeight="1" spans="1:22" x14ac:dyDescent="0.25">
      <c r="A13566" s="17" t="s">
        <v>36785</v>
      </c>
      <c r="B13566" s="17" t="s">
        <v>70</v>
      </c>
      <c r="C13566" s="17" t="s">
        <v>71</v>
      </c>
      <c r="D13566" t="s">
        <v>36786</v>
      </c>
      <c r="F13566" t="s">
        <v>36786</v>
      </c>
      <c r="K13566" s="18">
        <f>628119806888</f>
        <v>628119806888</v>
      </c>
      <c r="N13566" s="17" t="s">
        <v>81</v>
      </c>
      <c r="V13566" s="18">
        <f>628119806888</f>
        <v>628119806888</v>
      </c>
    </row>
    <row r="13567" ht="15" customHeight="1" spans="1:22" x14ac:dyDescent="0.25">
      <c r="A13567" s="17" t="s">
        <v>36787</v>
      </c>
      <c r="B13567" s="17" t="s">
        <v>70</v>
      </c>
      <c r="C13567" s="17" t="s">
        <v>71</v>
      </c>
      <c r="D13567" t="s">
        <v>36788</v>
      </c>
      <c r="F13567" t="s">
        <v>36788</v>
      </c>
      <c r="K13567" s="18">
        <f>6281398355570</f>
        <v>6281398355570</v>
      </c>
      <c r="N13567" s="17" t="s">
        <v>81</v>
      </c>
      <c r="V13567" s="18">
        <f>6281398355570</f>
        <v>6281398355570</v>
      </c>
    </row>
    <row r="13568" ht="15" customHeight="1" spans="1:28" x14ac:dyDescent="0.25">
      <c r="A13568" s="17" t="s">
        <v>36789</v>
      </c>
      <c r="B13568" s="17" t="s">
        <v>70</v>
      </c>
      <c r="C13568" s="17" t="s">
        <v>71</v>
      </c>
      <c r="D13568" t="s">
        <v>36788</v>
      </c>
      <c r="F13568" t="s">
        <v>36790</v>
      </c>
      <c r="J13568" t="s">
        <v>115</v>
      </c>
      <c r="K13568" s="18" t="s">
        <v>36791</v>
      </c>
      <c r="N13568" s="17" t="s">
        <v>77</v>
      </c>
      <c r="O13568" t="s">
        <v>199</v>
      </c>
      <c r="U13568" s="17"/>
      <c r="V13568" s="18" t="s">
        <v>36791</v>
      </c>
      <c r="W13568" t="s">
        <v>22178</v>
      </c>
      <c r="Y13568" t="s">
        <v>704</v>
      </c>
      <c r="AA13568" t="s">
        <v>705</v>
      </c>
      <c r="AB13568" t="s">
        <v>119</v>
      </c>
    </row>
    <row r="13569" ht="15" customHeight="1" spans="1:22" x14ac:dyDescent="0.25">
      <c r="A13569" s="17" t="s">
        <v>36792</v>
      </c>
      <c r="B13569" s="17" t="s">
        <v>70</v>
      </c>
      <c r="C13569" s="17" t="s">
        <v>71</v>
      </c>
      <c r="D13569" t="s">
        <v>36788</v>
      </c>
      <c r="F13569" t="s">
        <v>10847</v>
      </c>
      <c r="K13569" s="18">
        <f>62816810412</f>
        <v>62816810412</v>
      </c>
      <c r="N13569" s="17" t="s">
        <v>77</v>
      </c>
      <c r="V13569" s="18">
        <f>62816810412</f>
        <v>62816810412</v>
      </c>
    </row>
    <row r="13570" ht="15" customHeight="1" spans="1:27" x14ac:dyDescent="0.25">
      <c r="A13570" s="17" t="s">
        <v>36793</v>
      </c>
      <c r="B13570" s="17" t="s">
        <v>70</v>
      </c>
      <c r="C13570" s="17" t="s">
        <v>71</v>
      </c>
      <c r="D13570" t="s">
        <v>36788</v>
      </c>
      <c r="F13570" t="s">
        <v>36794</v>
      </c>
      <c r="K13570" s="18">
        <v>7694974</v>
      </c>
      <c r="N13570" s="17" t="s">
        <v>74</v>
      </c>
      <c r="U13570" s="17"/>
      <c r="V13570" s="18">
        <v>7694974</v>
      </c>
      <c r="W13570" t="s">
        <v>36795</v>
      </c>
      <c r="Y13570" s="17" t="s">
        <v>96</v>
      </c>
      <c r="AA13570" s="17" t="s">
        <v>6485</v>
      </c>
    </row>
    <row r="13571" ht="15" customHeight="1" spans="1:25" x14ac:dyDescent="0.25">
      <c r="A13571" s="17" t="s">
        <v>36796</v>
      </c>
      <c r="B13571" s="17" t="s">
        <v>70</v>
      </c>
      <c r="C13571" s="17" t="s">
        <v>71</v>
      </c>
      <c r="D13571" t="s">
        <v>36788</v>
      </c>
      <c r="F13571" t="s">
        <v>36797</v>
      </c>
      <c r="K13571" s="18">
        <f>6281513030185</f>
        <v>6281513030185</v>
      </c>
      <c r="N13571" s="17" t="s">
        <v>77</v>
      </c>
      <c r="U13571" s="17"/>
      <c r="V13571" s="18">
        <f>6281513030185</f>
        <v>6281513030185</v>
      </c>
      <c r="W13571" t="s">
        <v>36798</v>
      </c>
      <c r="Y13571" s="17" t="s">
        <v>596</v>
      </c>
    </row>
    <row r="13572" ht="15" customHeight="1" spans="1:23" x14ac:dyDescent="0.25">
      <c r="A13572" s="17" t="s">
        <v>36799</v>
      </c>
      <c r="B13572" s="17" t="s">
        <v>70</v>
      </c>
      <c r="C13572" s="17" t="s">
        <v>71</v>
      </c>
      <c r="D13572" t="s">
        <v>36800</v>
      </c>
      <c r="F13572" t="s">
        <v>36801</v>
      </c>
      <c r="K13572" s="18">
        <f>3548243800</f>
        <v>3548243800</v>
      </c>
      <c r="N13572" s="17" t="s">
        <v>77</v>
      </c>
      <c r="U13572" s="17"/>
      <c r="V13572" s="18">
        <f>3548243800</f>
        <v>3548243800</v>
      </c>
      <c r="W13572" t="s">
        <v>36802</v>
      </c>
    </row>
    <row r="13573" ht="15" customHeight="1" spans="1:22" x14ac:dyDescent="0.25">
      <c r="A13573" s="17" t="s">
        <v>36803</v>
      </c>
      <c r="B13573" s="17" t="s">
        <v>70</v>
      </c>
      <c r="C13573" s="17" t="s">
        <v>71</v>
      </c>
      <c r="D13573" t="s">
        <v>36804</v>
      </c>
      <c r="F13573" t="s">
        <v>24645</v>
      </c>
      <c r="K13573" s="18">
        <f>62818161806</f>
        <v>62818161806</v>
      </c>
      <c r="N13573" s="17" t="s">
        <v>74</v>
      </c>
      <c r="V13573" s="18">
        <f>62818161806</f>
        <v>62818161806</v>
      </c>
    </row>
    <row r="13574" ht="15" customHeight="1" spans="1:23" x14ac:dyDescent="0.25">
      <c r="A13574" s="17" t="s">
        <v>36805</v>
      </c>
      <c r="B13574" s="17" t="s">
        <v>70</v>
      </c>
      <c r="C13574" s="17" t="s">
        <v>71</v>
      </c>
      <c r="D13574" t="s">
        <v>36806</v>
      </c>
      <c r="F13574" t="s">
        <v>36806</v>
      </c>
      <c r="J13574" s="17" t="s">
        <v>36807</v>
      </c>
      <c r="K13574" s="18">
        <f>6281808802233</f>
        <v>6281808802233</v>
      </c>
      <c r="N13574" s="17" t="s">
        <v>77</v>
      </c>
      <c r="U13574" s="17"/>
      <c r="V13574" s="18">
        <f>6281808802233</f>
        <v>6281808802233</v>
      </c>
      <c r="W13574" t="s">
        <v>36808</v>
      </c>
    </row>
    <row r="13575" ht="15" customHeight="1" spans="1:22" x14ac:dyDescent="0.25">
      <c r="A13575" s="17" t="s">
        <v>36809</v>
      </c>
      <c r="B13575" s="17" t="s">
        <v>70</v>
      </c>
      <c r="C13575" s="17" t="s">
        <v>71</v>
      </c>
      <c r="D13575" t="s">
        <v>36810</v>
      </c>
      <c r="F13575" t="s">
        <v>6999</v>
      </c>
      <c r="K13575" s="18">
        <f>6281285827857</f>
        <v>6281285827857</v>
      </c>
      <c r="N13575" s="17" t="s">
        <v>81</v>
      </c>
      <c r="V13575" s="18">
        <f>6281285827857</f>
        <v>6281285827857</v>
      </c>
    </row>
    <row r="13576" ht="15" customHeight="1" spans="1:27" x14ac:dyDescent="0.25">
      <c r="A13576" s="17" t="s">
        <v>36811</v>
      </c>
      <c r="B13576" s="17" t="s">
        <v>70</v>
      </c>
      <c r="C13576" s="17" t="s">
        <v>71</v>
      </c>
      <c r="D13576" t="s">
        <v>36812</v>
      </c>
      <c r="F13576" t="s">
        <v>36812</v>
      </c>
      <c r="J13576" s="17" t="s">
        <v>36813</v>
      </c>
      <c r="K13576" s="18">
        <f>628129559779</f>
        <v>628129559779</v>
      </c>
      <c r="N13576" s="17" t="s">
        <v>81</v>
      </c>
      <c r="U13576" s="17"/>
      <c r="V13576" s="18">
        <f>628129559779</f>
        <v>628129559779</v>
      </c>
      <c r="W13576" t="s">
        <v>36814</v>
      </c>
      <c r="AA13576" s="17">
        <v>14450</v>
      </c>
    </row>
    <row r="13577" ht="15" customHeight="1" spans="1:27" x14ac:dyDescent="0.25">
      <c r="A13577" s="17" t="s">
        <v>36815</v>
      </c>
      <c r="B13577" s="17" t="s">
        <v>70</v>
      </c>
      <c r="C13577" s="17" t="s">
        <v>71</v>
      </c>
      <c r="D13577" t="s">
        <v>36816</v>
      </c>
      <c r="F13577" t="s">
        <v>1337</v>
      </c>
      <c r="K13577" s="18">
        <f>628162055151</f>
        <v>628162055151</v>
      </c>
      <c r="N13577" s="17" t="s">
        <v>77</v>
      </c>
      <c r="U13577" s="17"/>
      <c r="V13577" s="18">
        <f>628162055151</f>
        <v>628162055151</v>
      </c>
      <c r="W13577" t="s">
        <v>36817</v>
      </c>
      <c r="Y13577" s="17" t="s">
        <v>881</v>
      </c>
      <c r="AA13577" s="17" t="s">
        <v>3195</v>
      </c>
    </row>
    <row r="13578" ht="15" customHeight="1" spans="1:22" x14ac:dyDescent="0.25">
      <c r="A13578" s="17" t="s">
        <v>36818</v>
      </c>
      <c r="B13578" s="17" t="s">
        <v>70</v>
      </c>
      <c r="C13578" s="17" t="s">
        <v>71</v>
      </c>
      <c r="D13578" t="s">
        <v>36819</v>
      </c>
      <c r="F13578" t="s">
        <v>36819</v>
      </c>
      <c r="K13578" s="18">
        <f>6281375888885</f>
        <v>6281375888885</v>
      </c>
      <c r="N13578" s="17" t="s">
        <v>81</v>
      </c>
      <c r="V13578" s="18">
        <f>6281375888885</f>
        <v>6281375888885</v>
      </c>
    </row>
    <row r="13579" ht="15" customHeight="1" spans="1:22" x14ac:dyDescent="0.25">
      <c r="A13579" s="17" t="s">
        <v>36820</v>
      </c>
      <c r="B13579" s="17" t="s">
        <v>70</v>
      </c>
      <c r="C13579" s="17" t="s">
        <v>71</v>
      </c>
      <c r="D13579" t="s">
        <v>18499</v>
      </c>
      <c r="F13579" t="s">
        <v>18499</v>
      </c>
      <c r="K13579" s="18">
        <f>62811185791</f>
        <v>62811185791</v>
      </c>
      <c r="N13579" s="17" t="s">
        <v>77</v>
      </c>
      <c r="V13579" s="18">
        <f>62811185791</f>
        <v>62811185791</v>
      </c>
    </row>
    <row r="13580" ht="15" customHeight="1" spans="1:28" x14ac:dyDescent="0.25">
      <c r="A13580" s="17" t="s">
        <v>36821</v>
      </c>
      <c r="B13580" s="17" t="s">
        <v>70</v>
      </c>
      <c r="C13580" s="17" t="s">
        <v>71</v>
      </c>
      <c r="D13580" t="s">
        <v>36822</v>
      </c>
      <c r="F13580" t="s">
        <v>36823</v>
      </c>
      <c r="J13580" s="17" t="s">
        <v>36824</v>
      </c>
      <c r="K13580" s="18" t="s">
        <v>36825</v>
      </c>
      <c r="N13580" s="17" t="s">
        <v>77</v>
      </c>
      <c r="O13580" t="s">
        <v>1188</v>
      </c>
      <c r="V13580" s="18" t="s">
        <v>36825</v>
      </c>
      <c r="Y13580" t="s">
        <v>190</v>
      </c>
      <c r="AA13580" t="s">
        <v>118</v>
      </c>
      <c r="AB13580" t="s">
        <v>119</v>
      </c>
    </row>
    <row r="13581" ht="15" customHeight="1" spans="1:25" x14ac:dyDescent="0.25">
      <c r="A13581" s="17" t="s">
        <v>36826</v>
      </c>
      <c r="B13581" s="17" t="s">
        <v>70</v>
      </c>
      <c r="C13581" s="17" t="s">
        <v>71</v>
      </c>
      <c r="D13581" t="s">
        <v>36827</v>
      </c>
      <c r="F13581" t="s">
        <v>3252</v>
      </c>
      <c r="K13581" s="18">
        <f>628119877199</f>
        <v>628119877199</v>
      </c>
      <c r="N13581" s="17" t="s">
        <v>81</v>
      </c>
      <c r="U13581" s="17"/>
      <c r="V13581" s="18">
        <f>628119877199</f>
        <v>628119877199</v>
      </c>
      <c r="W13581" t="s">
        <v>36828</v>
      </c>
      <c r="Y13581" s="17" t="s">
        <v>1084</v>
      </c>
    </row>
    <row r="13582" ht="15" customHeight="1" spans="1:23" x14ac:dyDescent="0.25">
      <c r="A13582" s="17" t="s">
        <v>36829</v>
      </c>
      <c r="B13582" s="17" t="s">
        <v>70</v>
      </c>
      <c r="C13582" s="17" t="s">
        <v>71</v>
      </c>
      <c r="D13582" t="s">
        <v>36830</v>
      </c>
      <c r="F13582" t="s">
        <v>1169</v>
      </c>
      <c r="K13582" s="18">
        <f>6289633932773</f>
        <v>6289633932773</v>
      </c>
      <c r="N13582" s="17" t="s">
        <v>81</v>
      </c>
      <c r="U13582" s="17"/>
      <c r="V13582" s="18">
        <f>6289633932773</f>
        <v>6289633932773</v>
      </c>
      <c r="W13582" t="s">
        <v>36831</v>
      </c>
    </row>
    <row r="13583" ht="15" customHeight="1" spans="1:22" x14ac:dyDescent="0.25">
      <c r="A13583" s="17" t="s">
        <v>36832</v>
      </c>
      <c r="B13583" s="17" t="s">
        <v>70</v>
      </c>
      <c r="C13583" s="17" t="s">
        <v>71</v>
      </c>
      <c r="D13583" t="s">
        <v>2856</v>
      </c>
      <c r="F13583" t="s">
        <v>2856</v>
      </c>
      <c r="K13583" s="18">
        <f>628159124279</f>
        <v>628159124279</v>
      </c>
      <c r="N13583" s="17" t="s">
        <v>77</v>
      </c>
      <c r="V13583" s="18">
        <f>628159124279</f>
        <v>628159124279</v>
      </c>
    </row>
    <row r="13584" ht="15" customHeight="1" spans="1:22" x14ac:dyDescent="0.25">
      <c r="A13584" s="17" t="s">
        <v>36833</v>
      </c>
      <c r="B13584" s="17" t="s">
        <v>70</v>
      </c>
      <c r="C13584" s="17" t="s">
        <v>71</v>
      </c>
      <c r="D13584" t="s">
        <v>2856</v>
      </c>
      <c r="F13584" t="s">
        <v>1561</v>
      </c>
      <c r="K13584" s="18">
        <f>628111551450</f>
        <v>628111551450</v>
      </c>
      <c r="N13584" s="17" t="s">
        <v>77</v>
      </c>
      <c r="V13584" s="18">
        <f>628111551450</f>
        <v>628111551450</v>
      </c>
    </row>
    <row r="13585" ht="15" customHeight="1" spans="1:28" x14ac:dyDescent="0.25">
      <c r="A13585" s="17" t="s">
        <v>36834</v>
      </c>
      <c r="B13585" s="17" t="s">
        <v>70</v>
      </c>
      <c r="C13585" s="17" t="s">
        <v>71</v>
      </c>
      <c r="D13585" t="s">
        <v>2856</v>
      </c>
      <c r="F13585" t="s">
        <v>36835</v>
      </c>
      <c r="J13585" t="s">
        <v>115</v>
      </c>
      <c r="K13585" s="18" t="s">
        <v>36836</v>
      </c>
      <c r="N13585" s="17" t="s">
        <v>77</v>
      </c>
      <c r="O13585" t="s">
        <v>261</v>
      </c>
      <c r="V13585" s="18" t="s">
        <v>36836</v>
      </c>
      <c r="Y13585" t="s">
        <v>90</v>
      </c>
      <c r="AA13585" t="s">
        <v>118</v>
      </c>
      <c r="AB13585" t="s">
        <v>119</v>
      </c>
    </row>
    <row r="13586" ht="15" customHeight="1" spans="1:28" x14ac:dyDescent="0.25">
      <c r="A13586" s="17" t="s">
        <v>36837</v>
      </c>
      <c r="B13586" s="17" t="s">
        <v>70</v>
      </c>
      <c r="C13586" s="17" t="s">
        <v>71</v>
      </c>
      <c r="D13586" t="s">
        <v>2856</v>
      </c>
      <c r="F13586" t="s">
        <v>2087</v>
      </c>
      <c r="J13586" s="17" t="s">
        <v>36838</v>
      </c>
      <c r="K13586" s="18" t="s">
        <v>36839</v>
      </c>
      <c r="N13586" s="17" t="s">
        <v>77</v>
      </c>
      <c r="O13586" t="s">
        <v>145</v>
      </c>
      <c r="U13586" s="17"/>
      <c r="V13586" s="18" t="s">
        <v>36839</v>
      </c>
      <c r="W13586" t="s">
        <v>36840</v>
      </c>
      <c r="Y13586" t="s">
        <v>1084</v>
      </c>
      <c r="AA13586" t="s">
        <v>3146</v>
      </c>
      <c r="AB13586" t="s">
        <v>119</v>
      </c>
    </row>
    <row r="13587" ht="15" customHeight="1" spans="1:22" x14ac:dyDescent="0.25">
      <c r="A13587" s="17" t="s">
        <v>36841</v>
      </c>
      <c r="B13587" s="17" t="s">
        <v>70</v>
      </c>
      <c r="C13587" s="17" t="s">
        <v>71</v>
      </c>
      <c r="D13587" t="s">
        <v>9581</v>
      </c>
      <c r="F13587" t="s">
        <v>9581</v>
      </c>
      <c r="K13587" s="18">
        <f>628558850099</f>
        <v>628558850099</v>
      </c>
      <c r="N13587" s="17" t="s">
        <v>77</v>
      </c>
      <c r="V13587" s="18">
        <f>628558850099</f>
        <v>628558850099</v>
      </c>
    </row>
    <row r="13588" ht="15" customHeight="1" spans="1:22" x14ac:dyDescent="0.25">
      <c r="A13588" s="17" t="s">
        <v>36842</v>
      </c>
      <c r="B13588" s="17" t="s">
        <v>70</v>
      </c>
      <c r="C13588" s="17" t="s">
        <v>71</v>
      </c>
      <c r="D13588" t="s">
        <v>9581</v>
      </c>
      <c r="F13588" t="s">
        <v>9581</v>
      </c>
      <c r="K13588" s="18">
        <f>6281219489529</f>
        <v>6281219489529</v>
      </c>
      <c r="N13588" s="17" t="s">
        <v>77</v>
      </c>
      <c r="V13588" s="18">
        <f>6281219489529</f>
        <v>6281219489529</v>
      </c>
    </row>
    <row r="13589" ht="15" customHeight="1" spans="1:28" x14ac:dyDescent="0.25">
      <c r="A13589" s="17" t="s">
        <v>36843</v>
      </c>
      <c r="B13589" s="17" t="s">
        <v>70</v>
      </c>
      <c r="C13589" s="17" t="s">
        <v>71</v>
      </c>
      <c r="D13589" t="s">
        <v>9581</v>
      </c>
      <c r="F13589" t="s">
        <v>9581</v>
      </c>
      <c r="J13589" t="s">
        <v>115</v>
      </c>
      <c r="K13589" s="18" t="s">
        <v>36844</v>
      </c>
      <c r="N13589" s="17" t="s">
        <v>77</v>
      </c>
      <c r="O13589" t="s">
        <v>117</v>
      </c>
      <c r="V13589" s="18" t="s">
        <v>36844</v>
      </c>
      <c r="Y13589" t="s">
        <v>190</v>
      </c>
      <c r="AA13589" t="s">
        <v>118</v>
      </c>
      <c r="AB13589" t="s">
        <v>119</v>
      </c>
    </row>
    <row r="13590" ht="15" customHeight="1" spans="1:22" x14ac:dyDescent="0.25">
      <c r="A13590" s="17" t="s">
        <v>36845</v>
      </c>
      <c r="B13590" s="17" t="s">
        <v>70</v>
      </c>
      <c r="C13590" s="17" t="s">
        <v>71</v>
      </c>
      <c r="D13590" t="s">
        <v>9581</v>
      </c>
      <c r="F13590" t="s">
        <v>8584</v>
      </c>
      <c r="K13590" s="18">
        <f>6282165064999</f>
        <v>6282165064999</v>
      </c>
      <c r="N13590" s="17" t="s">
        <v>77</v>
      </c>
      <c r="V13590" s="18">
        <f>6282165064999</f>
        <v>6282165064999</v>
      </c>
    </row>
    <row r="13591" ht="15" customHeight="1" spans="1:22" x14ac:dyDescent="0.25">
      <c r="A13591" s="17" t="s">
        <v>36846</v>
      </c>
      <c r="B13591" s="17" t="s">
        <v>70</v>
      </c>
      <c r="C13591" s="17" t="s">
        <v>71</v>
      </c>
      <c r="D13591" t="s">
        <v>9581</v>
      </c>
      <c r="F13591" t="s">
        <v>36847</v>
      </c>
      <c r="K13591" s="18">
        <f>62811620057</f>
        <v>62811620057</v>
      </c>
      <c r="N13591" s="17" t="s">
        <v>77</v>
      </c>
      <c r="V13591" s="18">
        <f>62811620057</f>
        <v>62811620057</v>
      </c>
    </row>
    <row r="13592" ht="15" customHeight="1" spans="1:25" x14ac:dyDescent="0.25">
      <c r="A13592" s="17" t="s">
        <v>36848</v>
      </c>
      <c r="B13592" s="17" t="s">
        <v>70</v>
      </c>
      <c r="C13592" s="17" t="s">
        <v>71</v>
      </c>
      <c r="D13592" t="s">
        <v>9581</v>
      </c>
      <c r="F13592" t="s">
        <v>36849</v>
      </c>
      <c r="K13592" s="18">
        <f>6281385767505</f>
        <v>6281385767505</v>
      </c>
      <c r="N13592" s="17" t="s">
        <v>74</v>
      </c>
      <c r="U13592" s="17"/>
      <c r="V13592" s="18">
        <f>6281385767505</f>
        <v>6281385767505</v>
      </c>
      <c r="W13592" t="s">
        <v>36850</v>
      </c>
      <c r="Y13592" s="17" t="s">
        <v>96</v>
      </c>
    </row>
    <row r="13593" ht="15" customHeight="1" spans="1:28" x14ac:dyDescent="0.25">
      <c r="A13593" s="17" t="s">
        <v>36851</v>
      </c>
      <c r="B13593" s="17" t="s">
        <v>70</v>
      </c>
      <c r="C13593" s="17" t="s">
        <v>71</v>
      </c>
      <c r="D13593" t="s">
        <v>9581</v>
      </c>
      <c r="F13593" t="s">
        <v>36852</v>
      </c>
      <c r="J13593" s="17" t="s">
        <v>36853</v>
      </c>
      <c r="K13593" s="18" t="s">
        <v>36854</v>
      </c>
      <c r="N13593" s="17" t="s">
        <v>74</v>
      </c>
      <c r="O13593" t="s">
        <v>145</v>
      </c>
      <c r="V13593" s="18" t="s">
        <v>36854</v>
      </c>
      <c r="Y13593" t="s">
        <v>190</v>
      </c>
      <c r="AA13593" t="s">
        <v>118</v>
      </c>
      <c r="AB13593" t="s">
        <v>2356</v>
      </c>
    </row>
    <row r="13594" ht="15" customHeight="1" spans="1:22" x14ac:dyDescent="0.25">
      <c r="A13594" s="17" t="s">
        <v>36855</v>
      </c>
      <c r="B13594" s="17" t="s">
        <v>70</v>
      </c>
      <c r="C13594" s="17" t="s">
        <v>71</v>
      </c>
      <c r="D13594" t="s">
        <v>9581</v>
      </c>
      <c r="F13594" t="s">
        <v>36856</v>
      </c>
      <c r="K13594" s="18">
        <f>6281932534152</f>
        <v>6281932534152</v>
      </c>
      <c r="N13594" s="17" t="s">
        <v>81</v>
      </c>
      <c r="V13594" s="18">
        <f>6281932534152</f>
        <v>6281932534152</v>
      </c>
    </row>
    <row r="13595" ht="15" customHeight="1" spans="1:23" x14ac:dyDescent="0.25">
      <c r="A13595" s="17" t="s">
        <v>36857</v>
      </c>
      <c r="B13595" s="17" t="s">
        <v>70</v>
      </c>
      <c r="C13595" s="17" t="s">
        <v>71</v>
      </c>
      <c r="D13595" t="s">
        <v>9581</v>
      </c>
      <c r="F13595" t="s">
        <v>30749</v>
      </c>
      <c r="K13595" s="18">
        <f>6282111363654</f>
        <v>6282111363654</v>
      </c>
      <c r="N13595" s="17" t="s">
        <v>81</v>
      </c>
      <c r="U13595" s="17"/>
      <c r="V13595" s="18">
        <f>6282111363654</f>
        <v>6282111363654</v>
      </c>
      <c r="W13595" t="s">
        <v>36858</v>
      </c>
    </row>
    <row r="13596" ht="15" customHeight="1" spans="1:28" x14ac:dyDescent="0.25">
      <c r="A13596" s="17" t="s">
        <v>36859</v>
      </c>
      <c r="B13596" s="17" t="s">
        <v>70</v>
      </c>
      <c r="C13596" s="17" t="s">
        <v>71</v>
      </c>
      <c r="D13596" t="s">
        <v>9581</v>
      </c>
      <c r="F13596" t="s">
        <v>36860</v>
      </c>
      <c r="J13596" t="s">
        <v>115</v>
      </c>
      <c r="K13596" s="18" t="s">
        <v>36861</v>
      </c>
      <c r="N13596" s="17" t="s">
        <v>77</v>
      </c>
      <c r="O13596" t="s">
        <v>145</v>
      </c>
      <c r="V13596" s="18" t="s">
        <v>36861</v>
      </c>
      <c r="Y13596" t="s">
        <v>190</v>
      </c>
      <c r="AA13596" t="s">
        <v>118</v>
      </c>
      <c r="AB13596" t="s">
        <v>119</v>
      </c>
    </row>
    <row r="13597" ht="15" customHeight="1" spans="1:23" x14ac:dyDescent="0.25">
      <c r="A13597" s="17" t="s">
        <v>36862</v>
      </c>
      <c r="B13597" s="17" t="s">
        <v>70</v>
      </c>
      <c r="C13597" s="17" t="s">
        <v>71</v>
      </c>
      <c r="D13597" t="s">
        <v>36863</v>
      </c>
      <c r="F13597" t="s">
        <v>33677</v>
      </c>
      <c r="K13597" s="18">
        <f>6281267676699</f>
        <v>6281267676699</v>
      </c>
      <c r="N13597" s="17" t="s">
        <v>77</v>
      </c>
      <c r="U13597" s="17"/>
      <c r="V13597" s="18">
        <f>6281267676699</f>
        <v>6281267676699</v>
      </c>
      <c r="W13597" t="s">
        <v>36864</v>
      </c>
    </row>
    <row r="13598" ht="15" customHeight="1" spans="1:25" x14ac:dyDescent="0.25">
      <c r="A13598" s="17" t="s">
        <v>36865</v>
      </c>
      <c r="B13598" s="17" t="s">
        <v>70</v>
      </c>
      <c r="C13598" s="17" t="s">
        <v>71</v>
      </c>
      <c r="D13598" t="s">
        <v>12011</v>
      </c>
      <c r="F13598" t="s">
        <v>12011</v>
      </c>
      <c r="K13598" s="18">
        <f>6281292711535</f>
        <v>6281292711535</v>
      </c>
      <c r="N13598" s="17" t="s">
        <v>81</v>
      </c>
      <c r="U13598" s="17"/>
      <c r="V13598" s="18">
        <f>6281292711535</f>
        <v>6281292711535</v>
      </c>
      <c r="W13598" t="s">
        <v>36866</v>
      </c>
      <c r="Y13598" s="17" t="s">
        <v>16413</v>
      </c>
    </row>
    <row r="13599" ht="15" customHeight="1" spans="1:28" x14ac:dyDescent="0.25">
      <c r="A13599" s="17" t="s">
        <v>36867</v>
      </c>
      <c r="B13599" s="17" t="s">
        <v>70</v>
      </c>
      <c r="C13599" s="17" t="s">
        <v>71</v>
      </c>
      <c r="D13599" t="s">
        <v>20353</v>
      </c>
      <c r="F13599" t="s">
        <v>36868</v>
      </c>
      <c r="J13599" t="s">
        <v>115</v>
      </c>
      <c r="K13599" s="18" t="s">
        <v>36869</v>
      </c>
      <c r="N13599" s="17" t="s">
        <v>77</v>
      </c>
      <c r="O13599" t="s">
        <v>117</v>
      </c>
      <c r="V13599" s="18" t="s">
        <v>36869</v>
      </c>
      <c r="Y13599" t="s">
        <v>1157</v>
      </c>
      <c r="AA13599" t="s">
        <v>5957</v>
      </c>
      <c r="AB13599" t="s">
        <v>119</v>
      </c>
    </row>
    <row r="13600" ht="15" customHeight="1" spans="1:22" x14ac:dyDescent="0.25">
      <c r="A13600" s="17" t="s">
        <v>36870</v>
      </c>
      <c r="B13600" s="17" t="s">
        <v>70</v>
      </c>
      <c r="C13600" s="17" t="s">
        <v>71</v>
      </c>
      <c r="D13600" t="s">
        <v>36871</v>
      </c>
      <c r="F13600" t="s">
        <v>36871</v>
      </c>
      <c r="K13600" s="18">
        <f>6281310316063</f>
        <v>6281310316063</v>
      </c>
      <c r="N13600" s="17" t="s">
        <v>81</v>
      </c>
      <c r="V13600" s="18">
        <f>6281310316063</f>
        <v>6281310316063</v>
      </c>
    </row>
    <row r="13601" ht="15" customHeight="1" spans="1:22" x14ac:dyDescent="0.25">
      <c r="A13601" s="17" t="s">
        <v>36872</v>
      </c>
      <c r="B13601" s="17" t="s">
        <v>70</v>
      </c>
      <c r="C13601" s="17" t="s">
        <v>71</v>
      </c>
      <c r="D13601" t="s">
        <v>36871</v>
      </c>
      <c r="F13601" t="s">
        <v>36871</v>
      </c>
      <c r="K13601" s="18">
        <f>62628130316063</f>
        <v>62628130316063</v>
      </c>
      <c r="N13601" s="17" t="s">
        <v>77</v>
      </c>
      <c r="V13601" s="18">
        <f>62628130316063</f>
        <v>62628130316063</v>
      </c>
    </row>
    <row r="13602" ht="15" customHeight="1" spans="1:28" x14ac:dyDescent="0.25">
      <c r="A13602" s="17" t="s">
        <v>36873</v>
      </c>
      <c r="B13602" s="17" t="s">
        <v>70</v>
      </c>
      <c r="C13602" s="17" t="s">
        <v>71</v>
      </c>
      <c r="D13602" t="s">
        <v>36871</v>
      </c>
      <c r="F13602" t="s">
        <v>15459</v>
      </c>
      <c r="J13602" t="s">
        <v>115</v>
      </c>
      <c r="K13602" s="18" t="s">
        <v>36874</v>
      </c>
      <c r="N13602" s="17" t="s">
        <v>77</v>
      </c>
      <c r="O13602" t="s">
        <v>145</v>
      </c>
      <c r="V13602" s="18" t="s">
        <v>36874</v>
      </c>
      <c r="Y13602" t="s">
        <v>90</v>
      </c>
      <c r="AA13602" t="s">
        <v>118</v>
      </c>
      <c r="AB13602" t="s">
        <v>119</v>
      </c>
    </row>
    <row r="13603" ht="15" customHeight="1" spans="1:23" x14ac:dyDescent="0.25">
      <c r="A13603" s="17" t="s">
        <v>36875</v>
      </c>
      <c r="B13603" s="17" t="s">
        <v>70</v>
      </c>
      <c r="C13603" s="17" t="s">
        <v>71</v>
      </c>
      <c r="D13603" t="s">
        <v>36876</v>
      </c>
      <c r="F13603" t="s">
        <v>10030</v>
      </c>
      <c r="K13603" s="18">
        <f>62818828771</f>
        <v>62818828771</v>
      </c>
      <c r="N13603" s="17" t="s">
        <v>77</v>
      </c>
      <c r="U13603" s="17"/>
      <c r="V13603" s="18">
        <f>62818828771</f>
        <v>62818828771</v>
      </c>
      <c r="W13603" t="s">
        <v>36877</v>
      </c>
    </row>
    <row r="13604" ht="15" customHeight="1" spans="1:23" x14ac:dyDescent="0.25">
      <c r="A13604" s="17" t="s">
        <v>36878</v>
      </c>
      <c r="B13604" s="17" t="s">
        <v>70</v>
      </c>
      <c r="C13604" s="17" t="s">
        <v>71</v>
      </c>
      <c r="D13604" t="s">
        <v>3111</v>
      </c>
      <c r="F13604" t="s">
        <v>36355</v>
      </c>
      <c r="J13604" s="17" t="s">
        <v>36879</v>
      </c>
      <c r="K13604" s="18">
        <f>6594350665</f>
        <v>6594350665</v>
      </c>
      <c r="N13604" s="17" t="s">
        <v>77</v>
      </c>
      <c r="U13604" s="17"/>
      <c r="V13604" s="18">
        <f>6594350665</f>
        <v>6594350665</v>
      </c>
      <c r="W13604" t="s">
        <v>2356</v>
      </c>
    </row>
    <row r="13605" ht="15" customHeight="1" spans="1:22" x14ac:dyDescent="0.25">
      <c r="A13605" s="17" t="s">
        <v>36880</v>
      </c>
      <c r="B13605" s="17" t="s">
        <v>70</v>
      </c>
      <c r="C13605" s="17" t="s">
        <v>71</v>
      </c>
      <c r="D13605" t="s">
        <v>36881</v>
      </c>
      <c r="F13605" t="s">
        <v>36882</v>
      </c>
      <c r="K13605" s="18">
        <f>62815506725</f>
        <v>62815506725</v>
      </c>
      <c r="N13605" s="17" t="s">
        <v>77</v>
      </c>
      <c r="V13605" s="18">
        <f>62815506725</f>
        <v>62815506725</v>
      </c>
    </row>
    <row r="13606" ht="15" customHeight="1" spans="1:22" x14ac:dyDescent="0.25">
      <c r="A13606" s="17" t="s">
        <v>36883</v>
      </c>
      <c r="B13606" s="17" t="s">
        <v>70</v>
      </c>
      <c r="C13606" s="17" t="s">
        <v>71</v>
      </c>
      <c r="D13606" t="s">
        <v>36884</v>
      </c>
      <c r="F13606" t="s">
        <v>36884</v>
      </c>
      <c r="K13606" s="18">
        <f>62818123579</f>
        <v>62818123579</v>
      </c>
      <c r="N13606" s="17" t="s">
        <v>77</v>
      </c>
      <c r="V13606" s="18">
        <f>62818123579</f>
        <v>62818123579</v>
      </c>
    </row>
    <row r="13607" ht="15" customHeight="1" spans="1:28" x14ac:dyDescent="0.25">
      <c r="A13607" s="17" t="s">
        <v>36885</v>
      </c>
      <c r="B13607" s="17" t="s">
        <v>70</v>
      </c>
      <c r="C13607" s="17" t="s">
        <v>71</v>
      </c>
      <c r="D13607" t="s">
        <v>7725</v>
      </c>
      <c r="F13607" t="s">
        <v>7725</v>
      </c>
      <c r="J13607" s="17" t="s">
        <v>36886</v>
      </c>
      <c r="K13607" s="18" t="s">
        <v>36887</v>
      </c>
      <c r="N13607" s="17" t="s">
        <v>81</v>
      </c>
      <c r="O13607" t="s">
        <v>261</v>
      </c>
      <c r="U13607" s="17"/>
      <c r="V13607" s="18" t="s">
        <v>36887</v>
      </c>
      <c r="W13607" t="s">
        <v>36888</v>
      </c>
      <c r="Y13607" t="s">
        <v>96</v>
      </c>
      <c r="AA13607" t="s">
        <v>693</v>
      </c>
      <c r="AB13607" t="s">
        <v>119</v>
      </c>
    </row>
    <row r="13608" ht="15" customHeight="1" spans="1:22" x14ac:dyDescent="0.25">
      <c r="A13608" s="17" t="s">
        <v>36889</v>
      </c>
      <c r="B13608" s="17" t="s">
        <v>70</v>
      </c>
      <c r="C13608" s="17" t="s">
        <v>71</v>
      </c>
      <c r="D13608" t="s">
        <v>7725</v>
      </c>
      <c r="F13608" t="s">
        <v>1754</v>
      </c>
      <c r="K13608" s="18">
        <f>6281239450101</f>
        <v>6281239450101</v>
      </c>
      <c r="N13608" s="17" t="s">
        <v>77</v>
      </c>
      <c r="V13608" s="18">
        <f>6281239450101</f>
        <v>6281239450101</v>
      </c>
    </row>
    <row r="13609" ht="15" customHeight="1" spans="1:28" x14ac:dyDescent="0.25">
      <c r="A13609" s="17" t="s">
        <v>36890</v>
      </c>
      <c r="B13609" s="17" t="s">
        <v>70</v>
      </c>
      <c r="C13609" s="17" t="s">
        <v>71</v>
      </c>
      <c r="D13609" t="s">
        <v>7725</v>
      </c>
      <c r="F13609" t="s">
        <v>36891</v>
      </c>
      <c r="J13609" s="17" t="s">
        <v>36892</v>
      </c>
      <c r="K13609" s="18" t="s">
        <v>36893</v>
      </c>
      <c r="N13609" s="17" t="s">
        <v>77</v>
      </c>
      <c r="O13609" t="s">
        <v>117</v>
      </c>
      <c r="V13609" s="18" t="s">
        <v>36893</v>
      </c>
      <c r="Y13609" t="s">
        <v>90</v>
      </c>
      <c r="AA13609" t="s">
        <v>118</v>
      </c>
      <c r="AB13609" t="s">
        <v>119</v>
      </c>
    </row>
    <row r="13610" ht="15" customHeight="1" spans="1:23" x14ac:dyDescent="0.25">
      <c r="A13610" s="17" t="s">
        <v>36894</v>
      </c>
      <c r="B13610" s="17" t="s">
        <v>70</v>
      </c>
      <c r="C13610" s="17" t="s">
        <v>71</v>
      </c>
      <c r="D13610" t="s">
        <v>36895</v>
      </c>
      <c r="F13610" t="s">
        <v>36896</v>
      </c>
      <c r="J13610" s="17" t="s">
        <v>36897</v>
      </c>
      <c r="K13610" s="18">
        <f>62816102847</f>
        <v>62816102847</v>
      </c>
      <c r="N13610" s="17" t="s">
        <v>77</v>
      </c>
      <c r="U13610" s="17"/>
      <c r="V13610" s="18">
        <f>62816102847</f>
        <v>62816102847</v>
      </c>
      <c r="W13610" t="s">
        <v>36898</v>
      </c>
    </row>
    <row r="13611" ht="15" customHeight="1" spans="1:27" x14ac:dyDescent="0.25">
      <c r="A13611" s="17" t="s">
        <v>36899</v>
      </c>
      <c r="B13611" s="17" t="s">
        <v>70</v>
      </c>
      <c r="C13611" s="17" t="s">
        <v>71</v>
      </c>
      <c r="D13611" t="s">
        <v>36900</v>
      </c>
      <c r="F13611" t="s">
        <v>3450</v>
      </c>
      <c r="K13611" s="18">
        <f>628129118017</f>
        <v>628129118017</v>
      </c>
      <c r="N13611" s="17" t="s">
        <v>77</v>
      </c>
      <c r="U13611" s="17"/>
      <c r="V13611" s="18">
        <f>628129118017</f>
        <v>628129118017</v>
      </c>
      <c r="W13611" t="s">
        <v>36901</v>
      </c>
      <c r="Y13611" s="17" t="s">
        <v>90</v>
      </c>
      <c r="AA13611" s="17">
        <v>14350</v>
      </c>
    </row>
    <row r="13612" ht="15" customHeight="1" spans="1:22" x14ac:dyDescent="0.25">
      <c r="A13612" s="17" t="s">
        <v>36902</v>
      </c>
      <c r="B13612" s="17" t="s">
        <v>70</v>
      </c>
      <c r="C13612" s="17" t="s">
        <v>71</v>
      </c>
      <c r="D13612" t="s">
        <v>36903</v>
      </c>
      <c r="F13612" t="s">
        <v>36904</v>
      </c>
      <c r="K13612" s="18">
        <f>628116651717</f>
        <v>628116651717</v>
      </c>
      <c r="N13612" s="17" t="s">
        <v>81</v>
      </c>
      <c r="V13612" s="18">
        <f>628116651717</f>
        <v>628116651717</v>
      </c>
    </row>
    <row r="13613" ht="15" customHeight="1" spans="1:28" x14ac:dyDescent="0.25">
      <c r="A13613" s="17" t="s">
        <v>36905</v>
      </c>
      <c r="B13613" s="17" t="s">
        <v>70</v>
      </c>
      <c r="C13613" s="17" t="s">
        <v>71</v>
      </c>
      <c r="D13613" t="s">
        <v>36906</v>
      </c>
      <c r="F13613" t="s">
        <v>6415</v>
      </c>
      <c r="J13613" s="17" t="s">
        <v>36907</v>
      </c>
      <c r="K13613" s="18" t="s">
        <v>36908</v>
      </c>
      <c r="N13613" s="17" t="s">
        <v>74</v>
      </c>
      <c r="O13613" t="s">
        <v>145</v>
      </c>
      <c r="U13613" s="17"/>
      <c r="V13613" s="18" t="s">
        <v>36908</v>
      </c>
      <c r="W13613" t="s">
        <v>36909</v>
      </c>
      <c r="Y13613" s="17" t="s">
        <v>96</v>
      </c>
      <c r="AA13613" t="s">
        <v>693</v>
      </c>
      <c r="AB13613" t="s">
        <v>119</v>
      </c>
    </row>
    <row r="13614" ht="15" customHeight="1" spans="1:22" x14ac:dyDescent="0.25">
      <c r="A13614" s="17" t="s">
        <v>36910</v>
      </c>
      <c r="B13614" s="17" t="s">
        <v>70</v>
      </c>
      <c r="C13614" s="17" t="s">
        <v>71</v>
      </c>
      <c r="D13614" t="s">
        <v>36911</v>
      </c>
      <c r="F13614" t="s">
        <v>36912</v>
      </c>
      <c r="K13614" s="18">
        <f>6281220151988</f>
        <v>6281220151988</v>
      </c>
      <c r="N13614" s="17" t="s">
        <v>77</v>
      </c>
      <c r="V13614" s="18">
        <f>6281220151988</f>
        <v>6281220151988</v>
      </c>
    </row>
    <row r="13615" ht="15" customHeight="1" spans="1:22" x14ac:dyDescent="0.25">
      <c r="A13615" s="17" t="s">
        <v>36913</v>
      </c>
      <c r="B13615" s="17" t="s">
        <v>70</v>
      </c>
      <c r="C13615" s="17" t="s">
        <v>71</v>
      </c>
      <c r="D13615" t="s">
        <v>22780</v>
      </c>
      <c r="F13615" t="s">
        <v>22780</v>
      </c>
      <c r="K13615" s="18">
        <f>628112779405</f>
        <v>628112779405</v>
      </c>
      <c r="N13615" s="17" t="s">
        <v>81</v>
      </c>
      <c r="V13615" s="18">
        <f>628112779405</f>
        <v>628112779405</v>
      </c>
    </row>
    <row r="13616" ht="15" customHeight="1" spans="1:23" x14ac:dyDescent="0.25">
      <c r="A13616" s="17" t="s">
        <v>36914</v>
      </c>
      <c r="B13616" s="17" t="s">
        <v>70</v>
      </c>
      <c r="C13616" s="17" t="s">
        <v>71</v>
      </c>
      <c r="D13616" t="s">
        <v>22780</v>
      </c>
      <c r="F13616" t="s">
        <v>5862</v>
      </c>
      <c r="K13616" s="18">
        <f>628158716135</f>
        <v>628158716135</v>
      </c>
      <c r="N13616" s="17" t="s">
        <v>81</v>
      </c>
      <c r="U13616" s="17"/>
      <c r="V13616" s="18">
        <f>628158716135</f>
        <v>628158716135</v>
      </c>
      <c r="W13616" t="s">
        <v>36915</v>
      </c>
    </row>
    <row r="13617" ht="15" customHeight="1" spans="1:23" x14ac:dyDescent="0.25">
      <c r="A13617" s="17" t="s">
        <v>36916</v>
      </c>
      <c r="B13617" s="17" t="s">
        <v>70</v>
      </c>
      <c r="C13617" s="17" t="s">
        <v>71</v>
      </c>
      <c r="D13617" t="s">
        <v>35763</v>
      </c>
      <c r="F13617" t="s">
        <v>7049</v>
      </c>
      <c r="K13617" s="18">
        <f>61417952025</f>
        <v>61417952025</v>
      </c>
      <c r="N13617" s="17" t="s">
        <v>77</v>
      </c>
      <c r="U13617" s="17"/>
      <c r="V13617" s="18">
        <f>61417952025</f>
        <v>61417952025</v>
      </c>
      <c r="W13617" t="s">
        <v>1903</v>
      </c>
    </row>
    <row r="13618" ht="15" customHeight="1" spans="1:28" x14ac:dyDescent="0.25">
      <c r="A13618" s="17" t="s">
        <v>36917</v>
      </c>
      <c r="B13618" s="17" t="s">
        <v>70</v>
      </c>
      <c r="C13618" s="17" t="s">
        <v>71</v>
      </c>
      <c r="D13618" t="s">
        <v>36918</v>
      </c>
      <c r="F13618" t="s">
        <v>36919</v>
      </c>
      <c r="J13618" s="17" t="s">
        <v>36920</v>
      </c>
      <c r="K13618" s="18" t="s">
        <v>36921</v>
      </c>
      <c r="N13618" s="17" t="s">
        <v>77</v>
      </c>
      <c r="O13618" t="s">
        <v>261</v>
      </c>
      <c r="U13618" s="17"/>
      <c r="V13618" s="18" t="s">
        <v>36921</v>
      </c>
      <c r="W13618" t="s">
        <v>1908</v>
      </c>
      <c r="Y13618" t="s">
        <v>115</v>
      </c>
      <c r="AA13618" t="s">
        <v>115</v>
      </c>
      <c r="AB13618" t="s">
        <v>119</v>
      </c>
    </row>
    <row r="13619" ht="15" customHeight="1" spans="1:22" x14ac:dyDescent="0.25">
      <c r="A13619" s="17" t="s">
        <v>36922</v>
      </c>
      <c r="B13619" s="17" t="s">
        <v>70</v>
      </c>
      <c r="C13619" s="17" t="s">
        <v>71</v>
      </c>
      <c r="D13619" t="s">
        <v>17104</v>
      </c>
      <c r="F13619" t="s">
        <v>17104</v>
      </c>
      <c r="K13619" s="18">
        <f>6281218009013</f>
        <v>6281218009013</v>
      </c>
      <c r="N13619" s="17" t="s">
        <v>81</v>
      </c>
      <c r="V13619" s="18">
        <f>6281218009013</f>
        <v>6281218009013</v>
      </c>
    </row>
    <row r="13620" ht="15" customHeight="1" spans="1:25" x14ac:dyDescent="0.25">
      <c r="A13620" s="17" t="s">
        <v>36923</v>
      </c>
      <c r="B13620" s="17" t="s">
        <v>70</v>
      </c>
      <c r="C13620" s="17" t="s">
        <v>71</v>
      </c>
      <c r="D13620" t="s">
        <v>17104</v>
      </c>
      <c r="F13620" t="s">
        <v>17104</v>
      </c>
      <c r="K13620" s="18">
        <f>6281283752020</f>
        <v>6281283752020</v>
      </c>
      <c r="N13620" s="17" t="s">
        <v>77</v>
      </c>
      <c r="U13620" s="17"/>
      <c r="V13620" s="18">
        <f>6281283752020</f>
        <v>6281283752020</v>
      </c>
      <c r="W13620" t="s">
        <v>36924</v>
      </c>
      <c r="Y13620" s="17" t="s">
        <v>96</v>
      </c>
    </row>
    <row r="13621" ht="15" customHeight="1" spans="1:22" x14ac:dyDescent="0.25">
      <c r="A13621" s="17" t="s">
        <v>36925</v>
      </c>
      <c r="B13621" s="17" t="s">
        <v>70</v>
      </c>
      <c r="C13621" s="17" t="s">
        <v>71</v>
      </c>
      <c r="D13621" t="s">
        <v>17104</v>
      </c>
      <c r="F13621" t="s">
        <v>629</v>
      </c>
      <c r="K13621" s="18">
        <f>628989177172</f>
        <v>628989177172</v>
      </c>
      <c r="N13621" s="17" t="s">
        <v>81</v>
      </c>
      <c r="V13621" s="18">
        <f>628989177172</f>
        <v>628989177172</v>
      </c>
    </row>
    <row r="13622" ht="15" customHeight="1" spans="1:22" x14ac:dyDescent="0.25">
      <c r="A13622" s="17" t="s">
        <v>36926</v>
      </c>
      <c r="B13622" s="17" t="s">
        <v>70</v>
      </c>
      <c r="C13622" s="17" t="s">
        <v>71</v>
      </c>
      <c r="D13622" t="s">
        <v>17104</v>
      </c>
      <c r="F13622" t="s">
        <v>32715</v>
      </c>
      <c r="K13622" s="18">
        <f>62811998030</f>
        <v>62811998030</v>
      </c>
      <c r="N13622" s="17" t="s">
        <v>81</v>
      </c>
      <c r="V13622" s="18">
        <f>62811998030</f>
        <v>62811998030</v>
      </c>
    </row>
    <row r="13623" ht="15" customHeight="1" spans="1:22" x14ac:dyDescent="0.25">
      <c r="A13623" s="17" t="s">
        <v>36927</v>
      </c>
      <c r="B13623" s="17" t="s">
        <v>70</v>
      </c>
      <c r="C13623" s="17" t="s">
        <v>71</v>
      </c>
      <c r="D13623" t="s">
        <v>17104</v>
      </c>
      <c r="F13623" t="s">
        <v>1704</v>
      </c>
      <c r="K13623" s="18">
        <f>628129907330</f>
        <v>628129907330</v>
      </c>
      <c r="N13623" s="17" t="s">
        <v>77</v>
      </c>
      <c r="V13623" s="18">
        <f>628129907330</f>
        <v>628129907330</v>
      </c>
    </row>
    <row r="13624" ht="15" customHeight="1" spans="1:28" x14ac:dyDescent="0.25">
      <c r="A13624" s="17" t="s">
        <v>36928</v>
      </c>
      <c r="B13624" s="17" t="s">
        <v>70</v>
      </c>
      <c r="C13624" s="17" t="s">
        <v>71</v>
      </c>
      <c r="D13624" t="s">
        <v>5734</v>
      </c>
      <c r="F13624" t="s">
        <v>36929</v>
      </c>
      <c r="J13624" s="17" t="s">
        <v>36930</v>
      </c>
      <c r="K13624" s="18" t="s">
        <v>36931</v>
      </c>
      <c r="N13624" s="17" t="s">
        <v>77</v>
      </c>
      <c r="O13624" t="s">
        <v>199</v>
      </c>
      <c r="U13624" s="17"/>
      <c r="V13624" s="18" t="s">
        <v>36931</v>
      </c>
      <c r="W13624" t="s">
        <v>36932</v>
      </c>
      <c r="Y13624" t="s">
        <v>90</v>
      </c>
      <c r="AA13624" t="s">
        <v>118</v>
      </c>
      <c r="AB13624" t="s">
        <v>119</v>
      </c>
    </row>
    <row r="13625" ht="15" customHeight="1" spans="1:22" x14ac:dyDescent="0.25">
      <c r="A13625" s="17" t="s">
        <v>36933</v>
      </c>
      <c r="B13625" s="17" t="s">
        <v>70</v>
      </c>
      <c r="C13625" s="17" t="s">
        <v>71</v>
      </c>
      <c r="D13625" t="s">
        <v>36934</v>
      </c>
      <c r="F13625" t="s">
        <v>36934</v>
      </c>
      <c r="K13625" s="18">
        <f>628158376198</f>
        <v>628158376198</v>
      </c>
      <c r="N13625" s="17" t="s">
        <v>81</v>
      </c>
      <c r="V13625" s="18">
        <f>628158376198</f>
        <v>628158376198</v>
      </c>
    </row>
    <row r="13626" ht="15" customHeight="1" spans="1:22" x14ac:dyDescent="0.25">
      <c r="A13626" s="17" t="s">
        <v>36935</v>
      </c>
      <c r="B13626" s="17" t="s">
        <v>70</v>
      </c>
      <c r="C13626" s="17" t="s">
        <v>71</v>
      </c>
      <c r="D13626" t="s">
        <v>36936</v>
      </c>
      <c r="F13626" t="s">
        <v>11744</v>
      </c>
      <c r="K13626" s="18">
        <f>6297777790991</f>
        <v>6297777790991</v>
      </c>
      <c r="N13626" s="17" t="s">
        <v>77</v>
      </c>
      <c r="V13626" s="18">
        <f>6297777790991</f>
        <v>6297777790991</v>
      </c>
    </row>
    <row r="13627" ht="15" customHeight="1" spans="1:28" x14ac:dyDescent="0.25">
      <c r="A13627" s="17" t="s">
        <v>36937</v>
      </c>
      <c r="B13627" s="17" t="s">
        <v>70</v>
      </c>
      <c r="C13627" s="17" t="s">
        <v>71</v>
      </c>
      <c r="D13627" t="s">
        <v>36938</v>
      </c>
      <c r="F13627" t="s">
        <v>36939</v>
      </c>
      <c r="J13627" s="17" t="s">
        <v>36940</v>
      </c>
      <c r="K13627" s="18" t="s">
        <v>36941</v>
      </c>
      <c r="N13627" s="17" t="s">
        <v>77</v>
      </c>
      <c r="O13627" t="s">
        <v>489</v>
      </c>
      <c r="V13627" s="18" t="s">
        <v>36941</v>
      </c>
      <c r="Y13627" t="s">
        <v>115</v>
      </c>
      <c r="AA13627" t="s">
        <v>115</v>
      </c>
      <c r="AB13627" t="s">
        <v>4036</v>
      </c>
    </row>
    <row r="13628" ht="15" customHeight="1" spans="1:22" x14ac:dyDescent="0.25">
      <c r="A13628" s="17" t="s">
        <v>36942</v>
      </c>
      <c r="B13628" s="17" t="s">
        <v>70</v>
      </c>
      <c r="C13628" s="17" t="s">
        <v>71</v>
      </c>
      <c r="D13628" t="s">
        <v>15838</v>
      </c>
      <c r="F13628" t="s">
        <v>15838</v>
      </c>
      <c r="K13628" s="18">
        <f>6281802056783</f>
        <v>6281802056783</v>
      </c>
      <c r="N13628" s="17" t="s">
        <v>77</v>
      </c>
      <c r="V13628" s="18">
        <f>6281802056783</f>
        <v>6281802056783</v>
      </c>
    </row>
    <row r="13629" ht="15" customHeight="1" spans="1:22" x14ac:dyDescent="0.25">
      <c r="A13629" s="17" t="s">
        <v>36943</v>
      </c>
      <c r="B13629" s="17" t="s">
        <v>70</v>
      </c>
      <c r="C13629" s="17" t="s">
        <v>71</v>
      </c>
      <c r="D13629" t="s">
        <v>36944</v>
      </c>
      <c r="F13629" t="s">
        <v>36945</v>
      </c>
      <c r="K13629" s="18">
        <f>628123452929</f>
        <v>628123452929</v>
      </c>
      <c r="N13629" s="17" t="s">
        <v>77</v>
      </c>
      <c r="V13629" s="18">
        <f>628123452929</f>
        <v>628123452929</v>
      </c>
    </row>
    <row r="13630" ht="15" customHeight="1" spans="1:22" x14ac:dyDescent="0.25">
      <c r="A13630" s="17" t="s">
        <v>36946</v>
      </c>
      <c r="B13630" s="17" t="s">
        <v>70</v>
      </c>
      <c r="C13630" s="17" t="s">
        <v>71</v>
      </c>
      <c r="D13630" t="s">
        <v>23684</v>
      </c>
      <c r="F13630" t="s">
        <v>23684</v>
      </c>
      <c r="K13630" s="18">
        <f>6281410060225</f>
        <v>6281410060225</v>
      </c>
      <c r="N13630" s="17" t="s">
        <v>81</v>
      </c>
      <c r="V13630" s="18">
        <f>6281410060225</f>
        <v>6281410060225</v>
      </c>
    </row>
    <row r="13631" ht="15" customHeight="1" spans="1:28" x14ac:dyDescent="0.25">
      <c r="A13631" s="17" t="s">
        <v>36947</v>
      </c>
      <c r="B13631" s="17" t="s">
        <v>70</v>
      </c>
      <c r="C13631" s="17" t="s">
        <v>71</v>
      </c>
      <c r="D13631" t="s">
        <v>23684</v>
      </c>
      <c r="F13631" t="s">
        <v>23684</v>
      </c>
      <c r="J13631" s="17" t="s">
        <v>36948</v>
      </c>
      <c r="K13631" s="18" t="s">
        <v>36949</v>
      </c>
      <c r="N13631" s="17" t="s">
        <v>77</v>
      </c>
      <c r="O13631" t="s">
        <v>199</v>
      </c>
      <c r="V13631" s="18" t="s">
        <v>36949</v>
      </c>
      <c r="Y13631" t="s">
        <v>90</v>
      </c>
      <c r="AA13631" t="s">
        <v>118</v>
      </c>
      <c r="AB13631" t="s">
        <v>119</v>
      </c>
    </row>
    <row r="13632" ht="15" customHeight="1" spans="1:22" x14ac:dyDescent="0.25">
      <c r="A13632" s="17" t="s">
        <v>36950</v>
      </c>
      <c r="B13632" s="17" t="s">
        <v>70</v>
      </c>
      <c r="C13632" s="17" t="s">
        <v>71</v>
      </c>
      <c r="D13632" t="s">
        <v>23684</v>
      </c>
      <c r="F13632" t="s">
        <v>23684</v>
      </c>
      <c r="K13632" s="18">
        <f>6281315561374</f>
        <v>6281315561374</v>
      </c>
      <c r="N13632" s="17" t="s">
        <v>77</v>
      </c>
      <c r="V13632" s="18">
        <f>6281315561374</f>
        <v>6281315561374</v>
      </c>
    </row>
    <row r="13633" ht="15" customHeight="1" spans="1:22" x14ac:dyDescent="0.25">
      <c r="A13633" s="17" t="s">
        <v>36951</v>
      </c>
      <c r="B13633" s="17" t="s">
        <v>70</v>
      </c>
      <c r="C13633" s="17" t="s">
        <v>71</v>
      </c>
      <c r="D13633" t="s">
        <v>23684</v>
      </c>
      <c r="F13633" t="s">
        <v>36952</v>
      </c>
      <c r="K13633" s="18">
        <f>62818738475</f>
        <v>62818738475</v>
      </c>
      <c r="N13633" s="17" t="s">
        <v>81</v>
      </c>
      <c r="V13633" s="18">
        <f>62818738475</f>
        <v>62818738475</v>
      </c>
    </row>
    <row r="13634" ht="15" customHeight="1" spans="1:22" x14ac:dyDescent="0.25">
      <c r="A13634" s="17" t="s">
        <v>36953</v>
      </c>
      <c r="B13634" s="17" t="s">
        <v>70</v>
      </c>
      <c r="C13634" s="17" t="s">
        <v>71</v>
      </c>
      <c r="D13634" t="s">
        <v>23684</v>
      </c>
      <c r="F13634" t="s">
        <v>2633</v>
      </c>
      <c r="J13634" s="17" t="s">
        <v>36954</v>
      </c>
      <c r="K13634" s="18">
        <f>6281222220870</f>
        <v>6281222220870</v>
      </c>
      <c r="N13634" s="17" t="s">
        <v>77</v>
      </c>
      <c r="V13634" s="18">
        <f>6281222220870</f>
        <v>6281222220870</v>
      </c>
    </row>
    <row r="13635" ht="15" customHeight="1" spans="1:25" x14ac:dyDescent="0.25">
      <c r="A13635" s="17" t="s">
        <v>36955</v>
      </c>
      <c r="B13635" s="17" t="s">
        <v>70</v>
      </c>
      <c r="C13635" s="17" t="s">
        <v>71</v>
      </c>
      <c r="D13635" t="s">
        <v>23684</v>
      </c>
      <c r="F13635" t="s">
        <v>10860</v>
      </c>
      <c r="K13635" s="18">
        <f>6281383075099</f>
        <v>6281383075099</v>
      </c>
      <c r="N13635" s="17" t="s">
        <v>77</v>
      </c>
      <c r="U13635" s="17"/>
      <c r="V13635" s="18">
        <f>6281383075099</f>
        <v>6281383075099</v>
      </c>
      <c r="W13635" t="s">
        <v>36956</v>
      </c>
      <c r="Y13635" s="17" t="s">
        <v>36957</v>
      </c>
    </row>
    <row r="13636" ht="15" customHeight="1" spans="1:22" x14ac:dyDescent="0.25">
      <c r="A13636" s="17" t="s">
        <v>36958</v>
      </c>
      <c r="B13636" s="17" t="s">
        <v>70</v>
      </c>
      <c r="C13636" s="17" t="s">
        <v>71</v>
      </c>
      <c r="D13636" t="s">
        <v>23684</v>
      </c>
      <c r="F13636" t="s">
        <v>1130</v>
      </c>
      <c r="K13636" s="18">
        <f>628158820949</f>
        <v>628158820949</v>
      </c>
      <c r="N13636" s="17" t="s">
        <v>81</v>
      </c>
      <c r="V13636" s="18">
        <f>628158820949</f>
        <v>628158820949</v>
      </c>
    </row>
    <row r="13637" ht="15" customHeight="1" spans="1:28" x14ac:dyDescent="0.25">
      <c r="A13637" s="17" t="s">
        <v>36959</v>
      </c>
      <c r="B13637" s="17" t="s">
        <v>70</v>
      </c>
      <c r="C13637" s="17" t="s">
        <v>71</v>
      </c>
      <c r="D13637" t="s">
        <v>23684</v>
      </c>
      <c r="F13637" t="s">
        <v>11765</v>
      </c>
      <c r="J13637" s="17" t="s">
        <v>36960</v>
      </c>
      <c r="K13637" s="18" t="s">
        <v>36961</v>
      </c>
      <c r="N13637" s="17" t="s">
        <v>74</v>
      </c>
      <c r="O13637" t="s">
        <v>199</v>
      </c>
      <c r="U13637" s="17"/>
      <c r="V13637" s="18" t="s">
        <v>36961</v>
      </c>
      <c r="W13637" t="s">
        <v>36962</v>
      </c>
      <c r="Y13637" t="s">
        <v>4993</v>
      </c>
      <c r="AA13637" s="17" t="s">
        <v>597</v>
      </c>
      <c r="AB13637" t="s">
        <v>119</v>
      </c>
    </row>
    <row r="13638" ht="15" customHeight="1" spans="1:22" x14ac:dyDescent="0.25">
      <c r="A13638" s="17" t="s">
        <v>36963</v>
      </c>
      <c r="B13638" s="17" t="s">
        <v>70</v>
      </c>
      <c r="C13638" s="17" t="s">
        <v>71</v>
      </c>
      <c r="D13638" t="s">
        <v>36964</v>
      </c>
      <c r="F13638" t="s">
        <v>36964</v>
      </c>
      <c r="K13638" s="18">
        <f>6281383081722</f>
        <v>6281383081722</v>
      </c>
      <c r="N13638" s="17" t="s">
        <v>81</v>
      </c>
      <c r="V13638" s="18">
        <f>6281383081722</f>
        <v>6281383081722</v>
      </c>
    </row>
    <row r="13639" ht="15" customHeight="1" spans="1:28" x14ac:dyDescent="0.25">
      <c r="A13639" s="17" t="s">
        <v>36965</v>
      </c>
      <c r="B13639" s="17" t="s">
        <v>70</v>
      </c>
      <c r="C13639" s="17" t="s">
        <v>71</v>
      </c>
      <c r="D13639" t="s">
        <v>36966</v>
      </c>
      <c r="F13639" t="s">
        <v>36966</v>
      </c>
      <c r="J13639" t="s">
        <v>115</v>
      </c>
      <c r="K13639" s="18" t="s">
        <v>36967</v>
      </c>
      <c r="N13639" s="17" t="s">
        <v>77</v>
      </c>
      <c r="O13639" t="s">
        <v>117</v>
      </c>
      <c r="V13639" s="18" t="s">
        <v>36967</v>
      </c>
      <c r="Y13639" t="s">
        <v>115</v>
      </c>
      <c r="AA13639" t="s">
        <v>115</v>
      </c>
      <c r="AB13639" t="s">
        <v>119</v>
      </c>
    </row>
    <row r="13640" ht="15" customHeight="1" spans="1:28" x14ac:dyDescent="0.25">
      <c r="A13640" s="17" t="s">
        <v>36968</v>
      </c>
      <c r="B13640" s="17" t="s">
        <v>70</v>
      </c>
      <c r="C13640" s="17" t="s">
        <v>71</v>
      </c>
      <c r="D13640" t="s">
        <v>36969</v>
      </c>
      <c r="F13640" t="s">
        <v>36970</v>
      </c>
      <c r="J13640" t="s">
        <v>115</v>
      </c>
      <c r="K13640" s="18" t="s">
        <v>36971</v>
      </c>
      <c r="N13640" s="17" t="s">
        <v>77</v>
      </c>
      <c r="O13640" t="s">
        <v>199</v>
      </c>
      <c r="U13640" s="17"/>
      <c r="V13640" s="18" t="s">
        <v>36971</v>
      </c>
      <c r="W13640" t="s">
        <v>36972</v>
      </c>
      <c r="Y13640" t="s">
        <v>96</v>
      </c>
      <c r="AA13640" s="17" t="s">
        <v>693</v>
      </c>
      <c r="AB13640" t="s">
        <v>119</v>
      </c>
    </row>
    <row r="13641" ht="15" customHeight="1" spans="1:22" x14ac:dyDescent="0.25">
      <c r="A13641" s="17" t="s">
        <v>36973</v>
      </c>
      <c r="B13641" s="17" t="s">
        <v>70</v>
      </c>
      <c r="C13641" s="17" t="s">
        <v>71</v>
      </c>
      <c r="D13641" t="s">
        <v>36969</v>
      </c>
      <c r="F13641" t="s">
        <v>3481</v>
      </c>
      <c r="K13641" s="18">
        <f>628551113788</f>
        <v>628551113788</v>
      </c>
      <c r="N13641" s="17" t="s">
        <v>77</v>
      </c>
      <c r="V13641" s="18">
        <f>628551113788</f>
        <v>628551113788</v>
      </c>
    </row>
    <row r="13642" ht="15" customHeight="1" spans="1:22" x14ac:dyDescent="0.25">
      <c r="A13642" s="17" t="s">
        <v>36974</v>
      </c>
      <c r="B13642" s="17" t="s">
        <v>70</v>
      </c>
      <c r="C13642" s="17" t="s">
        <v>71</v>
      </c>
      <c r="D13642" t="s">
        <v>8778</v>
      </c>
      <c r="F13642" t="s">
        <v>8778</v>
      </c>
      <c r="K13642" s="18">
        <f>6281808886363</f>
        <v>6281808886363</v>
      </c>
      <c r="N13642" s="17" t="s">
        <v>77</v>
      </c>
      <c r="V13642" s="18">
        <f>6281808886363</f>
        <v>6281808886363</v>
      </c>
    </row>
    <row r="13643" ht="15" customHeight="1" spans="1:22" x14ac:dyDescent="0.25">
      <c r="A13643" s="17" t="s">
        <v>36975</v>
      </c>
      <c r="B13643" s="17" t="s">
        <v>70</v>
      </c>
      <c r="C13643" s="17" t="s">
        <v>71</v>
      </c>
      <c r="D13643" t="s">
        <v>8778</v>
      </c>
      <c r="F13643" t="s">
        <v>8778</v>
      </c>
      <c r="K13643" s="18">
        <f>6282384770880</f>
        <v>6282384770880</v>
      </c>
      <c r="N13643" s="17" t="s">
        <v>77</v>
      </c>
      <c r="V13643" s="18">
        <f>6282384770880</f>
        <v>6282384770880</v>
      </c>
    </row>
    <row r="13644" ht="15" customHeight="1" spans="1:22" x14ac:dyDescent="0.25">
      <c r="A13644" s="17" t="s">
        <v>36976</v>
      </c>
      <c r="B13644" s="17" t="s">
        <v>70</v>
      </c>
      <c r="C13644" s="17" t="s">
        <v>71</v>
      </c>
      <c r="D13644" t="s">
        <v>8778</v>
      </c>
      <c r="F13644" t="s">
        <v>8778</v>
      </c>
      <c r="K13644" s="18">
        <f>62817227227</f>
        <v>62817227227</v>
      </c>
      <c r="N13644" s="17" t="s">
        <v>81</v>
      </c>
      <c r="V13644" s="18">
        <f>62817227227</f>
        <v>62817227227</v>
      </c>
    </row>
    <row r="13645" ht="15" customHeight="1" spans="1:22" x14ac:dyDescent="0.25">
      <c r="A13645" s="17" t="s">
        <v>36977</v>
      </c>
      <c r="B13645" s="17" t="s">
        <v>70</v>
      </c>
      <c r="C13645" s="17" t="s">
        <v>71</v>
      </c>
      <c r="D13645" t="s">
        <v>8778</v>
      </c>
      <c r="F13645" t="s">
        <v>8778</v>
      </c>
      <c r="K13645" s="18">
        <f>62818880702</f>
        <v>62818880702</v>
      </c>
      <c r="N13645" s="17" t="s">
        <v>77</v>
      </c>
      <c r="V13645" s="18">
        <f>62818880702</f>
        <v>62818880702</v>
      </c>
    </row>
    <row r="13646" ht="15" customHeight="1" spans="1:22" x14ac:dyDescent="0.25">
      <c r="A13646" s="17" t="s">
        <v>36978</v>
      </c>
      <c r="B13646" s="17" t="s">
        <v>70</v>
      </c>
      <c r="C13646" s="17" t="s">
        <v>71</v>
      </c>
      <c r="D13646" t="s">
        <v>8778</v>
      </c>
      <c r="F13646" t="s">
        <v>36979</v>
      </c>
      <c r="K13646" s="18">
        <f>628151411002</f>
        <v>628151411002</v>
      </c>
      <c r="N13646" s="17" t="s">
        <v>77</v>
      </c>
      <c r="V13646" s="18">
        <f>628151411002</f>
        <v>628151411002</v>
      </c>
    </row>
    <row r="13647" ht="15" customHeight="1" spans="1:22" x14ac:dyDescent="0.25">
      <c r="A13647" s="17" t="s">
        <v>36980</v>
      </c>
      <c r="B13647" s="17" t="s">
        <v>70</v>
      </c>
      <c r="C13647" s="17" t="s">
        <v>71</v>
      </c>
      <c r="D13647" t="s">
        <v>8778</v>
      </c>
      <c r="F13647" t="s">
        <v>6671</v>
      </c>
      <c r="K13647" s="18">
        <f>62811165521</f>
        <v>62811165521</v>
      </c>
      <c r="N13647" s="17" t="s">
        <v>77</v>
      </c>
      <c r="V13647" s="18">
        <f>62811165521</f>
        <v>62811165521</v>
      </c>
    </row>
    <row r="13648" ht="15" customHeight="1" spans="1:22" x14ac:dyDescent="0.25">
      <c r="A13648" s="17" t="s">
        <v>36981</v>
      </c>
      <c r="B13648" s="17" t="s">
        <v>70</v>
      </c>
      <c r="C13648" s="17" t="s">
        <v>71</v>
      </c>
      <c r="D13648" t="s">
        <v>8778</v>
      </c>
      <c r="F13648" t="s">
        <v>36982</v>
      </c>
      <c r="K13648" s="18">
        <f>6285222990088</f>
        <v>6285222990088</v>
      </c>
      <c r="N13648" s="17" t="s">
        <v>77</v>
      </c>
      <c r="V13648" s="18">
        <f>6285222990088</f>
        <v>6285222990088</v>
      </c>
    </row>
    <row r="13649" ht="15" customHeight="1" spans="1:27" x14ac:dyDescent="0.25">
      <c r="A13649" s="17" t="s">
        <v>36983</v>
      </c>
      <c r="B13649" s="17" t="s">
        <v>70</v>
      </c>
      <c r="C13649" s="17" t="s">
        <v>71</v>
      </c>
      <c r="D13649" t="s">
        <v>8778</v>
      </c>
      <c r="F13649" t="s">
        <v>864</v>
      </c>
      <c r="J13649" s="17" t="s">
        <v>36984</v>
      </c>
      <c r="K13649" s="18">
        <f>62818656352</f>
        <v>62818656352</v>
      </c>
      <c r="N13649" s="17" t="s">
        <v>77</v>
      </c>
      <c r="U13649" s="17"/>
      <c r="V13649" s="18">
        <f>62818656352</f>
        <v>62818656352</v>
      </c>
      <c r="W13649" t="s">
        <v>36985</v>
      </c>
      <c r="AA13649" s="17">
        <v>10330</v>
      </c>
    </row>
    <row r="13650" ht="15" customHeight="1" spans="1:28" x14ac:dyDescent="0.25">
      <c r="A13650" s="17" t="s">
        <v>36986</v>
      </c>
      <c r="B13650" s="17" t="s">
        <v>70</v>
      </c>
      <c r="C13650" s="17" t="s">
        <v>71</v>
      </c>
      <c r="D13650" t="s">
        <v>8778</v>
      </c>
      <c r="F13650" t="s">
        <v>10833</v>
      </c>
      <c r="J13650" t="s">
        <v>115</v>
      </c>
      <c r="K13650" s="18" t="s">
        <v>36987</v>
      </c>
      <c r="N13650" s="17" t="s">
        <v>77</v>
      </c>
      <c r="O13650" t="s">
        <v>117</v>
      </c>
      <c r="V13650" s="18" t="s">
        <v>36987</v>
      </c>
      <c r="Y13650" t="s">
        <v>90</v>
      </c>
      <c r="AA13650" t="s">
        <v>118</v>
      </c>
      <c r="AB13650" t="s">
        <v>119</v>
      </c>
    </row>
    <row r="13651" ht="15" customHeight="1" spans="1:28" x14ac:dyDescent="0.25">
      <c r="A13651" s="17" t="s">
        <v>36988</v>
      </c>
      <c r="B13651" s="17" t="s">
        <v>70</v>
      </c>
      <c r="C13651" s="17" t="s">
        <v>71</v>
      </c>
      <c r="D13651" t="s">
        <v>8778</v>
      </c>
      <c r="F13651" t="s">
        <v>18519</v>
      </c>
      <c r="J13651" t="s">
        <v>115</v>
      </c>
      <c r="K13651" s="18" t="s">
        <v>36989</v>
      </c>
      <c r="N13651" s="17" t="s">
        <v>77</v>
      </c>
      <c r="O13651" t="s">
        <v>117</v>
      </c>
      <c r="V13651" s="18" t="s">
        <v>36989</v>
      </c>
      <c r="Y13651" t="s">
        <v>90</v>
      </c>
      <c r="AA13651" t="s">
        <v>118</v>
      </c>
      <c r="AB13651" t="s">
        <v>119</v>
      </c>
    </row>
    <row r="13652" ht="15" customHeight="1" spans="1:22" x14ac:dyDescent="0.25">
      <c r="A13652" s="17" t="s">
        <v>36990</v>
      </c>
      <c r="B13652" s="17" t="s">
        <v>70</v>
      </c>
      <c r="C13652" s="17" t="s">
        <v>71</v>
      </c>
      <c r="D13652" t="s">
        <v>8778</v>
      </c>
      <c r="F13652" t="s">
        <v>30586</v>
      </c>
      <c r="K13652" s="18">
        <f>6283877776590</f>
        <v>6283877776590</v>
      </c>
      <c r="N13652" s="17" t="s">
        <v>77</v>
      </c>
      <c r="V13652" s="18">
        <f>6283877776590</f>
        <v>6283877776590</v>
      </c>
    </row>
    <row r="13653" ht="15" customHeight="1" spans="1:22" x14ac:dyDescent="0.25">
      <c r="A13653" s="17" t="s">
        <v>36991</v>
      </c>
      <c r="B13653" s="17" t="s">
        <v>70</v>
      </c>
      <c r="C13653" s="17" t="s">
        <v>71</v>
      </c>
      <c r="D13653" t="s">
        <v>8778</v>
      </c>
      <c r="F13653" t="s">
        <v>1208</v>
      </c>
      <c r="K13653" s="18">
        <f>6281120209090</f>
        <v>6281120209090</v>
      </c>
      <c r="N13653" s="17" t="s">
        <v>77</v>
      </c>
      <c r="V13653" s="18">
        <f>6281120209090</f>
        <v>6281120209090</v>
      </c>
    </row>
    <row r="13654" ht="15" customHeight="1" spans="1:22" x14ac:dyDescent="0.25">
      <c r="A13654" s="17" t="s">
        <v>36992</v>
      </c>
      <c r="B13654" s="17" t="s">
        <v>70</v>
      </c>
      <c r="C13654" s="17" t="s">
        <v>71</v>
      </c>
      <c r="D13654" t="s">
        <v>8778</v>
      </c>
      <c r="F13654" t="s">
        <v>36993</v>
      </c>
      <c r="K13654" s="18">
        <f>628161908234</f>
        <v>628161908234</v>
      </c>
      <c r="N13654" s="17" t="s">
        <v>77</v>
      </c>
      <c r="V13654" s="18">
        <f>628161908234</f>
        <v>628161908234</v>
      </c>
    </row>
    <row r="13655" ht="15" customHeight="1" spans="1:28" x14ac:dyDescent="0.25">
      <c r="A13655" s="17" t="s">
        <v>36994</v>
      </c>
      <c r="B13655" s="17" t="s">
        <v>70</v>
      </c>
      <c r="C13655" s="17" t="s">
        <v>71</v>
      </c>
      <c r="D13655" t="s">
        <v>8778</v>
      </c>
      <c r="F13655" t="s">
        <v>36822</v>
      </c>
      <c r="J13655" s="17" t="s">
        <v>36995</v>
      </c>
      <c r="K13655" s="18" t="s">
        <v>36996</v>
      </c>
      <c r="N13655" s="17" t="s">
        <v>74</v>
      </c>
      <c r="O13655" t="s">
        <v>117</v>
      </c>
      <c r="U13655" s="17"/>
      <c r="V13655" s="18" t="s">
        <v>36996</v>
      </c>
      <c r="W13655" t="s">
        <v>36997</v>
      </c>
      <c r="Y13655" s="17" t="s">
        <v>36998</v>
      </c>
      <c r="AA13655" t="s">
        <v>115</v>
      </c>
      <c r="AB13655" t="s">
        <v>119</v>
      </c>
    </row>
    <row r="13656" ht="15" customHeight="1" spans="1:22" x14ac:dyDescent="0.25">
      <c r="A13656" s="17" t="s">
        <v>36999</v>
      </c>
      <c r="B13656" s="17" t="s">
        <v>70</v>
      </c>
      <c r="C13656" s="17" t="s">
        <v>71</v>
      </c>
      <c r="D13656" t="s">
        <v>8778</v>
      </c>
      <c r="F13656" t="s">
        <v>37000</v>
      </c>
      <c r="K13656" s="18">
        <f>628112079388</f>
        <v>628112079388</v>
      </c>
      <c r="N13656" s="17" t="s">
        <v>77</v>
      </c>
      <c r="V13656" s="18">
        <f>628112079388</f>
        <v>628112079388</v>
      </c>
    </row>
    <row r="13657" ht="15" customHeight="1" spans="1:22" x14ac:dyDescent="0.25">
      <c r="A13657" s="17" t="s">
        <v>37001</v>
      </c>
      <c r="B13657" s="17" t="s">
        <v>70</v>
      </c>
      <c r="C13657" s="17" t="s">
        <v>71</v>
      </c>
      <c r="D13657" t="s">
        <v>37002</v>
      </c>
      <c r="F13657" t="s">
        <v>37002</v>
      </c>
      <c r="K13657" s="18">
        <f>62818990000</f>
        <v>62818990000</v>
      </c>
      <c r="N13657" s="17" t="s">
        <v>77</v>
      </c>
      <c r="V13657" s="18">
        <f>62818990000</f>
        <v>62818990000</v>
      </c>
    </row>
    <row r="13658" ht="15" customHeight="1" spans="1:28" x14ac:dyDescent="0.25">
      <c r="A13658" s="17" t="s">
        <v>37003</v>
      </c>
      <c r="B13658" s="17" t="s">
        <v>70</v>
      </c>
      <c r="C13658" s="17" t="s">
        <v>71</v>
      </c>
      <c r="D13658" t="s">
        <v>37004</v>
      </c>
      <c r="F13658" t="s">
        <v>37005</v>
      </c>
      <c r="J13658" t="s">
        <v>115</v>
      </c>
      <c r="K13658" s="18" t="s">
        <v>37006</v>
      </c>
      <c r="N13658" s="17" t="s">
        <v>81</v>
      </c>
      <c r="O13658" t="s">
        <v>117</v>
      </c>
      <c r="V13658" s="18" t="s">
        <v>37006</v>
      </c>
      <c r="Y13658" t="s">
        <v>217</v>
      </c>
      <c r="AA13658" t="s">
        <v>218</v>
      </c>
      <c r="AB13658" t="s">
        <v>119</v>
      </c>
    </row>
    <row r="13659" ht="15" customHeight="1" spans="1:22" x14ac:dyDescent="0.25">
      <c r="A13659" s="17" t="s">
        <v>37007</v>
      </c>
      <c r="B13659" s="17" t="s">
        <v>70</v>
      </c>
      <c r="C13659" s="17" t="s">
        <v>71</v>
      </c>
      <c r="D13659" t="s">
        <v>37008</v>
      </c>
      <c r="F13659" t="s">
        <v>37008</v>
      </c>
      <c r="K13659" s="18">
        <f>62816763617</f>
        <v>62816763617</v>
      </c>
      <c r="N13659" s="17" t="s">
        <v>77</v>
      </c>
      <c r="V13659" s="18">
        <f>62816763617</f>
        <v>62816763617</v>
      </c>
    </row>
    <row r="13660" ht="15" customHeight="1" spans="1:28" x14ac:dyDescent="0.25">
      <c r="A13660" s="17" t="s">
        <v>37009</v>
      </c>
      <c r="B13660" s="17" t="s">
        <v>70</v>
      </c>
      <c r="C13660" s="17" t="s">
        <v>71</v>
      </c>
      <c r="D13660" t="s">
        <v>37010</v>
      </c>
      <c r="F13660" t="s">
        <v>16431</v>
      </c>
      <c r="J13660" t="s">
        <v>115</v>
      </c>
      <c r="K13660" s="18" t="s">
        <v>37011</v>
      </c>
      <c r="N13660" s="17" t="s">
        <v>77</v>
      </c>
      <c r="O13660" t="s">
        <v>117</v>
      </c>
      <c r="V13660" s="18" t="s">
        <v>37011</v>
      </c>
      <c r="Y13660" t="s">
        <v>190</v>
      </c>
      <c r="AA13660" t="s">
        <v>118</v>
      </c>
      <c r="AB13660" t="s">
        <v>119</v>
      </c>
    </row>
    <row r="13661" ht="15" customHeight="1" spans="1:22" x14ac:dyDescent="0.25">
      <c r="A13661" s="17" t="s">
        <v>37012</v>
      </c>
      <c r="B13661" s="17" t="s">
        <v>70</v>
      </c>
      <c r="C13661" s="17" t="s">
        <v>71</v>
      </c>
      <c r="D13661" t="s">
        <v>37013</v>
      </c>
      <c r="F13661" t="s">
        <v>37014</v>
      </c>
      <c r="K13661" s="18">
        <f>62816957952</f>
        <v>62816957952</v>
      </c>
      <c r="N13661" s="17" t="s">
        <v>81</v>
      </c>
      <c r="V13661" s="18">
        <f>62816957952</f>
        <v>62816957952</v>
      </c>
    </row>
    <row r="13662" ht="15" customHeight="1" spans="1:28" x14ac:dyDescent="0.25">
      <c r="A13662" s="17" t="s">
        <v>37015</v>
      </c>
      <c r="B13662" s="17" t="s">
        <v>70</v>
      </c>
      <c r="C13662" s="17" t="s">
        <v>71</v>
      </c>
      <c r="D13662" t="s">
        <v>37016</v>
      </c>
      <c r="F13662" t="s">
        <v>1269</v>
      </c>
      <c r="J13662" t="s">
        <v>115</v>
      </c>
      <c r="K13662" s="18" t="s">
        <v>37017</v>
      </c>
      <c r="N13662" s="17" t="s">
        <v>77</v>
      </c>
      <c r="O13662" t="s">
        <v>117</v>
      </c>
      <c r="V13662" s="18" t="s">
        <v>37017</v>
      </c>
      <c r="Y13662" t="s">
        <v>96</v>
      </c>
      <c r="AA13662" t="s">
        <v>693</v>
      </c>
      <c r="AB13662" t="s">
        <v>119</v>
      </c>
    </row>
    <row r="13663" ht="15" customHeight="1" spans="1:22" x14ac:dyDescent="0.25">
      <c r="A13663" s="17" t="s">
        <v>37018</v>
      </c>
      <c r="B13663" s="17" t="s">
        <v>70</v>
      </c>
      <c r="C13663" s="17" t="s">
        <v>71</v>
      </c>
      <c r="D13663" t="s">
        <v>34153</v>
      </c>
      <c r="F13663" t="s">
        <v>34153</v>
      </c>
      <c r="K13663" s="18">
        <f>6281294637325</f>
        <v>6281294637325</v>
      </c>
      <c r="N13663" s="17" t="s">
        <v>77</v>
      </c>
      <c r="V13663" s="18">
        <f>6281294637325</f>
        <v>6281294637325</v>
      </c>
    </row>
    <row r="13664" ht="15" customHeight="1" spans="1:22" x14ac:dyDescent="0.25">
      <c r="A13664" s="17" t="s">
        <v>37019</v>
      </c>
      <c r="B13664" s="17" t="s">
        <v>70</v>
      </c>
      <c r="C13664" s="17" t="s">
        <v>71</v>
      </c>
      <c r="D13664" t="s">
        <v>34153</v>
      </c>
      <c r="F13664" t="s">
        <v>9669</v>
      </c>
      <c r="J13664" s="17" t="s">
        <v>37020</v>
      </c>
      <c r="K13664" s="18">
        <f>62811950243</f>
        <v>62811950243</v>
      </c>
      <c r="N13664" s="17" t="s">
        <v>81</v>
      </c>
      <c r="V13664" s="18">
        <f>62811950243</f>
        <v>62811950243</v>
      </c>
    </row>
    <row r="13665" ht="15" customHeight="1" spans="1:22" x14ac:dyDescent="0.25">
      <c r="A13665" s="17" t="s">
        <v>37021</v>
      </c>
      <c r="B13665" s="17" t="s">
        <v>70</v>
      </c>
      <c r="C13665" s="17" t="s">
        <v>71</v>
      </c>
      <c r="D13665" t="s">
        <v>34153</v>
      </c>
      <c r="F13665" t="s">
        <v>13629</v>
      </c>
      <c r="K13665" s="18">
        <f>628129369432</f>
        <v>628129369432</v>
      </c>
      <c r="N13665" s="17" t="s">
        <v>81</v>
      </c>
      <c r="V13665" s="18">
        <f>628129369432</f>
        <v>628129369432</v>
      </c>
    </row>
    <row r="13666" ht="15" customHeight="1" spans="1:28" x14ac:dyDescent="0.25">
      <c r="A13666" s="17" t="s">
        <v>37022</v>
      </c>
      <c r="B13666" s="17" t="s">
        <v>70</v>
      </c>
      <c r="C13666" s="17" t="s">
        <v>71</v>
      </c>
      <c r="D13666" t="s">
        <v>34153</v>
      </c>
      <c r="F13666" t="s">
        <v>1657</v>
      </c>
      <c r="J13666" t="s">
        <v>115</v>
      </c>
      <c r="K13666" s="18" t="s">
        <v>37023</v>
      </c>
      <c r="N13666" s="17" t="s">
        <v>77</v>
      </c>
      <c r="O13666" t="s">
        <v>117</v>
      </c>
      <c r="U13666" s="17"/>
      <c r="V13666" s="18" t="s">
        <v>37023</v>
      </c>
      <c r="W13666" t="s">
        <v>37024</v>
      </c>
      <c r="Y13666" s="17" t="s">
        <v>6942</v>
      </c>
      <c r="AA13666" s="17" t="s">
        <v>37025</v>
      </c>
      <c r="AB13666" t="s">
        <v>119</v>
      </c>
    </row>
    <row r="13667" ht="15" customHeight="1" spans="1:23" x14ac:dyDescent="0.25">
      <c r="A13667" s="17" t="s">
        <v>37026</v>
      </c>
      <c r="B13667" s="17" t="s">
        <v>70</v>
      </c>
      <c r="C13667" s="17" t="s">
        <v>71</v>
      </c>
      <c r="D13667" t="s">
        <v>34153</v>
      </c>
      <c r="F13667" t="s">
        <v>37027</v>
      </c>
      <c r="K13667" s="18">
        <f>6281311334391</f>
        <v>6281311334391</v>
      </c>
      <c r="N13667" s="17" t="s">
        <v>74</v>
      </c>
      <c r="U13667" s="17"/>
      <c r="V13667" s="18">
        <f>6281311334391</f>
        <v>6281311334391</v>
      </c>
      <c r="W13667" t="s">
        <v>37028</v>
      </c>
    </row>
    <row r="13668" ht="15" customHeight="1" spans="1:22" x14ac:dyDescent="0.25">
      <c r="A13668" s="17" t="s">
        <v>37029</v>
      </c>
      <c r="B13668" s="17" t="s">
        <v>70</v>
      </c>
      <c r="C13668" s="17" t="s">
        <v>71</v>
      </c>
      <c r="D13668" t="s">
        <v>34153</v>
      </c>
      <c r="F13668" t="s">
        <v>37027</v>
      </c>
      <c r="K13668" s="18">
        <f>62217192977</f>
        <v>62217192977</v>
      </c>
      <c r="N13668" s="17" t="s">
        <v>77</v>
      </c>
      <c r="V13668" s="18">
        <f>62217192977</f>
        <v>62217192977</v>
      </c>
    </row>
    <row r="13669" ht="15" customHeight="1" spans="1:22" x14ac:dyDescent="0.25">
      <c r="A13669" s="17" t="s">
        <v>37030</v>
      </c>
      <c r="B13669" s="17" t="s">
        <v>70</v>
      </c>
      <c r="C13669" s="17" t="s">
        <v>71</v>
      </c>
      <c r="D13669" t="s">
        <v>34153</v>
      </c>
      <c r="F13669" t="s">
        <v>37027</v>
      </c>
      <c r="K13669" s="18">
        <f>62811169100</f>
        <v>62811169100</v>
      </c>
      <c r="N13669" s="17" t="s">
        <v>81</v>
      </c>
      <c r="V13669" s="18">
        <f>62811169100</f>
        <v>62811169100</v>
      </c>
    </row>
    <row r="13670" ht="15" customHeight="1" spans="1:22" x14ac:dyDescent="0.25">
      <c r="A13670" s="17" t="s">
        <v>37031</v>
      </c>
      <c r="B13670" s="17" t="s">
        <v>70</v>
      </c>
      <c r="C13670" s="17" t="s">
        <v>71</v>
      </c>
      <c r="D13670" t="s">
        <v>34153</v>
      </c>
      <c r="F13670" t="s">
        <v>37032</v>
      </c>
      <c r="K13670" s="18">
        <f>6281294055510</f>
        <v>6281294055510</v>
      </c>
      <c r="N13670" s="17" t="s">
        <v>77</v>
      </c>
      <c r="V13670" s="18">
        <f>6281294055510</f>
        <v>6281294055510</v>
      </c>
    </row>
    <row r="13671" ht="15" customHeight="1" spans="1:22" x14ac:dyDescent="0.25">
      <c r="A13671" s="17" t="s">
        <v>37033</v>
      </c>
      <c r="B13671" s="17" t="s">
        <v>70</v>
      </c>
      <c r="C13671" s="17" t="s">
        <v>71</v>
      </c>
      <c r="D13671" t="s">
        <v>17988</v>
      </c>
      <c r="F13671" t="s">
        <v>17988</v>
      </c>
      <c r="K13671" s="18">
        <f>62215275237</f>
        <v>62215275237</v>
      </c>
      <c r="N13671" s="17" t="s">
        <v>74</v>
      </c>
      <c r="V13671" s="18">
        <f>62215275237</f>
        <v>62215275237</v>
      </c>
    </row>
    <row r="13672" ht="15" customHeight="1" spans="1:22" x14ac:dyDescent="0.25">
      <c r="A13672" s="17" t="s">
        <v>37034</v>
      </c>
      <c r="B13672" s="17" t="s">
        <v>70</v>
      </c>
      <c r="C13672" s="17" t="s">
        <v>71</v>
      </c>
      <c r="D13672" t="s">
        <v>17988</v>
      </c>
      <c r="F13672" t="s">
        <v>1205</v>
      </c>
      <c r="K13672" s="18">
        <f>6281317170179</f>
        <v>6281317170179</v>
      </c>
      <c r="N13672" s="17" t="s">
        <v>77</v>
      </c>
      <c r="V13672" s="18">
        <f>6281317170179</f>
        <v>6281317170179</v>
      </c>
    </row>
    <row r="13673" ht="15" customHeight="1" spans="1:23" x14ac:dyDescent="0.25">
      <c r="A13673" s="17" t="s">
        <v>37035</v>
      </c>
      <c r="B13673" s="17" t="s">
        <v>70</v>
      </c>
      <c r="C13673" s="17" t="s">
        <v>71</v>
      </c>
      <c r="D13673" t="s">
        <v>17988</v>
      </c>
      <c r="F13673" t="s">
        <v>1396</v>
      </c>
      <c r="J13673" s="17" t="s">
        <v>37036</v>
      </c>
      <c r="K13673" s="18">
        <f>6281281221979</f>
        <v>6281281221979</v>
      </c>
      <c r="N13673" s="17" t="s">
        <v>77</v>
      </c>
      <c r="U13673" s="17"/>
      <c r="V13673" s="18">
        <f>6281281221979</f>
        <v>6281281221979</v>
      </c>
      <c r="W13673" t="s">
        <v>500</v>
      </c>
    </row>
    <row r="13674" ht="15" customHeight="1" spans="1:28" x14ac:dyDescent="0.25">
      <c r="A13674" s="17" t="s">
        <v>37037</v>
      </c>
      <c r="B13674" s="17" t="s">
        <v>70</v>
      </c>
      <c r="C13674" s="17" t="s">
        <v>71</v>
      </c>
      <c r="D13674" t="s">
        <v>17988</v>
      </c>
      <c r="F13674" t="s">
        <v>1396</v>
      </c>
      <c r="J13674" s="17" t="s">
        <v>37038</v>
      </c>
      <c r="K13674" s="18" t="s">
        <v>37039</v>
      </c>
      <c r="N13674" s="17" t="s">
        <v>77</v>
      </c>
      <c r="O13674" t="s">
        <v>117</v>
      </c>
      <c r="U13674" s="17"/>
      <c r="V13674" s="18" t="s">
        <v>37039</v>
      </c>
      <c r="W13674" t="s">
        <v>37040</v>
      </c>
      <c r="Y13674" t="s">
        <v>3048</v>
      </c>
      <c r="AA13674" t="s">
        <v>115</v>
      </c>
      <c r="AB13674" t="s">
        <v>119</v>
      </c>
    </row>
    <row r="13675" ht="15" customHeight="1" spans="1:28" x14ac:dyDescent="0.25">
      <c r="A13675" s="17" t="s">
        <v>37041</v>
      </c>
      <c r="B13675" s="17" t="s">
        <v>70</v>
      </c>
      <c r="C13675" s="17" t="s">
        <v>71</v>
      </c>
      <c r="D13675" t="s">
        <v>37042</v>
      </c>
      <c r="F13675" t="s">
        <v>25074</v>
      </c>
      <c r="J13675" t="s">
        <v>37043</v>
      </c>
      <c r="K13675" s="18" t="s">
        <v>37044</v>
      </c>
      <c r="N13675" s="17" t="s">
        <v>77</v>
      </c>
      <c r="O13675" t="s">
        <v>489</v>
      </c>
      <c r="U13675" s="17"/>
      <c r="V13675" s="18" t="s">
        <v>37044</v>
      </c>
      <c r="W13675" t="s">
        <v>37045</v>
      </c>
      <c r="Y13675" s="17" t="s">
        <v>4412</v>
      </c>
      <c r="AA13675" t="s">
        <v>115</v>
      </c>
      <c r="AB13675" t="s">
        <v>119</v>
      </c>
    </row>
    <row r="13676" ht="15" customHeight="1" spans="1:22" x14ac:dyDescent="0.25">
      <c r="A13676" s="17" t="s">
        <v>37046</v>
      </c>
      <c r="B13676" s="17" t="s">
        <v>70</v>
      </c>
      <c r="C13676" s="17" t="s">
        <v>71</v>
      </c>
      <c r="D13676" t="s">
        <v>17988</v>
      </c>
      <c r="F13676" t="s">
        <v>37047</v>
      </c>
      <c r="K13676" s="18">
        <f>62811816670</f>
        <v>62811816670</v>
      </c>
      <c r="N13676" s="17" t="s">
        <v>77</v>
      </c>
      <c r="V13676" s="18">
        <f>62811816670</f>
        <v>62811816670</v>
      </c>
    </row>
    <row r="13677" ht="15" customHeight="1" spans="1:22" x14ac:dyDescent="0.25">
      <c r="A13677" s="17" t="s">
        <v>37048</v>
      </c>
      <c r="B13677" s="17" t="s">
        <v>70</v>
      </c>
      <c r="C13677" s="17" t="s">
        <v>71</v>
      </c>
      <c r="D13677" t="s">
        <v>17988</v>
      </c>
      <c r="F13677" t="s">
        <v>37049</v>
      </c>
      <c r="K13677" s="18">
        <f>62818880649</f>
        <v>62818880649</v>
      </c>
      <c r="N13677" s="17" t="s">
        <v>81</v>
      </c>
      <c r="V13677" s="18">
        <f>62818880649</f>
        <v>62818880649</v>
      </c>
    </row>
    <row r="13678" ht="15" customHeight="1" spans="1:23" x14ac:dyDescent="0.25">
      <c r="A13678" s="17" t="s">
        <v>37050</v>
      </c>
      <c r="B13678" s="17" t="s">
        <v>70</v>
      </c>
      <c r="C13678" s="17" t="s">
        <v>71</v>
      </c>
      <c r="D13678" t="s">
        <v>17988</v>
      </c>
      <c r="F13678" t="s">
        <v>27259</v>
      </c>
      <c r="K13678" s="18">
        <f>6281375006200</f>
        <v>6281375006200</v>
      </c>
      <c r="N13678" s="17" t="s">
        <v>77</v>
      </c>
      <c r="U13678" s="17"/>
      <c r="V13678" s="18">
        <f>6281375006200</f>
        <v>6281375006200</v>
      </c>
      <c r="W13678" t="s">
        <v>37051</v>
      </c>
    </row>
    <row r="13679" ht="15" customHeight="1" spans="1:28" x14ac:dyDescent="0.25">
      <c r="A13679" s="17" t="s">
        <v>37052</v>
      </c>
      <c r="B13679" s="17" t="s">
        <v>70</v>
      </c>
      <c r="C13679" s="17" t="s">
        <v>71</v>
      </c>
      <c r="D13679" t="s">
        <v>17988</v>
      </c>
      <c r="F13679" t="s">
        <v>3643</v>
      </c>
      <c r="J13679" t="s">
        <v>115</v>
      </c>
      <c r="K13679" s="18" t="s">
        <v>37053</v>
      </c>
      <c r="N13679" s="17" t="s">
        <v>81</v>
      </c>
      <c r="O13679" t="s">
        <v>117</v>
      </c>
      <c r="V13679" s="18" t="s">
        <v>37053</v>
      </c>
      <c r="Y13679" t="s">
        <v>90</v>
      </c>
      <c r="AA13679" t="s">
        <v>118</v>
      </c>
      <c r="AB13679" t="s">
        <v>119</v>
      </c>
    </row>
    <row r="13680" ht="15" customHeight="1" spans="1:23" x14ac:dyDescent="0.25">
      <c r="A13680" s="17" t="s">
        <v>37054</v>
      </c>
      <c r="B13680" s="17" t="s">
        <v>70</v>
      </c>
      <c r="C13680" s="17" t="s">
        <v>71</v>
      </c>
      <c r="D13680" t="s">
        <v>17988</v>
      </c>
      <c r="F13680" t="s">
        <v>37055</v>
      </c>
      <c r="K13680" s="18">
        <f>6281210108028</f>
        <v>6281210108028</v>
      </c>
      <c r="N13680" s="17" t="s">
        <v>77</v>
      </c>
      <c r="U13680" s="17"/>
      <c r="V13680" s="18">
        <f>6281210108028</f>
        <v>6281210108028</v>
      </c>
      <c r="W13680" t="s">
        <v>37056</v>
      </c>
    </row>
    <row r="13681" ht="15" customHeight="1" spans="1:25" x14ac:dyDescent="0.25">
      <c r="A13681" s="17" t="s">
        <v>37057</v>
      </c>
      <c r="B13681" s="17" t="s">
        <v>70</v>
      </c>
      <c r="C13681" s="17" t="s">
        <v>71</v>
      </c>
      <c r="D13681" t="s">
        <v>17988</v>
      </c>
      <c r="F13681" t="s">
        <v>2418</v>
      </c>
      <c r="K13681" s="18">
        <v>6594810</v>
      </c>
      <c r="N13681" s="17" t="s">
        <v>74</v>
      </c>
      <c r="U13681" s="17"/>
      <c r="V13681" s="18">
        <v>6594810</v>
      </c>
      <c r="W13681" t="s">
        <v>37058</v>
      </c>
      <c r="Y13681" s="17" t="s">
        <v>378</v>
      </c>
    </row>
    <row r="13682" ht="15" customHeight="1" spans="1:23" x14ac:dyDescent="0.25">
      <c r="A13682" s="17" t="s">
        <v>37059</v>
      </c>
      <c r="B13682" s="17" t="s">
        <v>70</v>
      </c>
      <c r="C13682" s="17" t="s">
        <v>71</v>
      </c>
      <c r="D13682" t="s">
        <v>17988</v>
      </c>
      <c r="F13682" t="s">
        <v>37060</v>
      </c>
      <c r="K13682" s="18">
        <f>62818402787</f>
        <v>62818402787</v>
      </c>
      <c r="N13682" s="17" t="s">
        <v>77</v>
      </c>
      <c r="U13682" s="17"/>
      <c r="V13682" s="18">
        <f>62818402787</f>
        <v>62818402787</v>
      </c>
      <c r="W13682" t="s">
        <v>37061</v>
      </c>
    </row>
    <row r="13683" ht="15" customHeight="1" spans="1:28" x14ac:dyDescent="0.25">
      <c r="A13683" s="17" t="s">
        <v>37062</v>
      </c>
      <c r="B13683" s="17" t="s">
        <v>70</v>
      </c>
      <c r="C13683" s="17" t="s">
        <v>71</v>
      </c>
      <c r="D13683" t="s">
        <v>17988</v>
      </c>
      <c r="F13683" t="s">
        <v>37063</v>
      </c>
      <c r="J13683" t="s">
        <v>115</v>
      </c>
      <c r="K13683" s="18" t="s">
        <v>37064</v>
      </c>
      <c r="N13683" s="17" t="s">
        <v>77</v>
      </c>
      <c r="O13683" t="s">
        <v>199</v>
      </c>
      <c r="V13683" s="18" t="s">
        <v>37064</v>
      </c>
      <c r="Y13683" t="s">
        <v>90</v>
      </c>
      <c r="AA13683" t="s">
        <v>118</v>
      </c>
      <c r="AB13683" t="s">
        <v>119</v>
      </c>
    </row>
    <row r="13684" ht="15" customHeight="1" spans="1:23" x14ac:dyDescent="0.25">
      <c r="A13684" s="17" t="s">
        <v>37065</v>
      </c>
      <c r="B13684" s="17" t="s">
        <v>70</v>
      </c>
      <c r="C13684" s="17" t="s">
        <v>71</v>
      </c>
      <c r="D13684" t="s">
        <v>17988</v>
      </c>
      <c r="F13684" t="s">
        <v>37066</v>
      </c>
      <c r="K13684" s="18">
        <f>6281383886747</f>
        <v>6281383886747</v>
      </c>
      <c r="N13684" s="17" t="s">
        <v>77</v>
      </c>
      <c r="U13684" s="17"/>
      <c r="V13684" s="18">
        <f>6281383886747</f>
        <v>6281383886747</v>
      </c>
      <c r="W13684" t="s">
        <v>37067</v>
      </c>
    </row>
    <row r="13685" ht="15" customHeight="1" spans="1:28" x14ac:dyDescent="0.25">
      <c r="A13685" s="17" t="s">
        <v>37068</v>
      </c>
      <c r="B13685" s="17" t="s">
        <v>70</v>
      </c>
      <c r="C13685" s="17" t="s">
        <v>71</v>
      </c>
      <c r="D13685" t="s">
        <v>25914</v>
      </c>
      <c r="F13685" t="s">
        <v>2258</v>
      </c>
      <c r="J13685" t="s">
        <v>115</v>
      </c>
      <c r="K13685" s="18" t="s">
        <v>37069</v>
      </c>
      <c r="N13685" s="17" t="s">
        <v>74</v>
      </c>
      <c r="O13685" t="s">
        <v>117</v>
      </c>
      <c r="V13685" s="18" t="s">
        <v>37069</v>
      </c>
      <c r="Y13685" t="s">
        <v>190</v>
      </c>
      <c r="AA13685" t="s">
        <v>118</v>
      </c>
      <c r="AB13685" t="s">
        <v>119</v>
      </c>
    </row>
    <row r="13686" ht="15" customHeight="1" spans="1:28" x14ac:dyDescent="0.25">
      <c r="A13686" s="17" t="s">
        <v>37070</v>
      </c>
      <c r="B13686" s="17" t="s">
        <v>70</v>
      </c>
      <c r="C13686" s="17" t="s">
        <v>71</v>
      </c>
      <c r="D13686" t="s">
        <v>17988</v>
      </c>
      <c r="F13686" t="s">
        <v>37071</v>
      </c>
      <c r="J13686" t="s">
        <v>115</v>
      </c>
      <c r="K13686" s="18" t="s">
        <v>37072</v>
      </c>
      <c r="N13686" s="17" t="s">
        <v>77</v>
      </c>
      <c r="O13686" t="s">
        <v>199</v>
      </c>
      <c r="V13686" s="18" t="s">
        <v>37072</v>
      </c>
      <c r="Y13686" t="s">
        <v>1084</v>
      </c>
      <c r="AA13686" t="s">
        <v>3146</v>
      </c>
      <c r="AB13686" t="s">
        <v>119</v>
      </c>
    </row>
    <row r="13687" ht="15" customHeight="1" spans="1:22" x14ac:dyDescent="0.25">
      <c r="A13687" s="17" t="s">
        <v>37073</v>
      </c>
      <c r="B13687" s="17" t="s">
        <v>70</v>
      </c>
      <c r="C13687" s="17" t="s">
        <v>71</v>
      </c>
      <c r="D13687" t="s">
        <v>17988</v>
      </c>
      <c r="F13687" t="s">
        <v>4616</v>
      </c>
      <c r="K13687" s="18">
        <f>62217695917</f>
        <v>62217695917</v>
      </c>
      <c r="N13687" s="17" t="s">
        <v>77</v>
      </c>
      <c r="V13687" s="18">
        <f>62217695917</f>
        <v>62217695917</v>
      </c>
    </row>
    <row r="13688" ht="15" customHeight="1" spans="1:28" x14ac:dyDescent="0.25">
      <c r="A13688" s="17" t="s">
        <v>37074</v>
      </c>
      <c r="B13688" s="17" t="s">
        <v>70</v>
      </c>
      <c r="C13688" s="17" t="s">
        <v>71</v>
      </c>
      <c r="D13688" t="s">
        <v>17988</v>
      </c>
      <c r="F13688" t="s">
        <v>26625</v>
      </c>
      <c r="J13688" t="s">
        <v>115</v>
      </c>
      <c r="K13688" s="18" t="s">
        <v>37075</v>
      </c>
      <c r="N13688" s="17" t="s">
        <v>77</v>
      </c>
      <c r="O13688" t="s">
        <v>145</v>
      </c>
      <c r="V13688" s="18" t="s">
        <v>37075</v>
      </c>
      <c r="Y13688" t="s">
        <v>90</v>
      </c>
      <c r="AA13688" t="s">
        <v>118</v>
      </c>
      <c r="AB13688" t="s">
        <v>119</v>
      </c>
    </row>
    <row r="13689" ht="15" customHeight="1" spans="1:27" x14ac:dyDescent="0.25">
      <c r="A13689" s="17" t="s">
        <v>37076</v>
      </c>
      <c r="B13689" s="17" t="s">
        <v>70</v>
      </c>
      <c r="C13689" s="17" t="s">
        <v>71</v>
      </c>
      <c r="D13689" t="s">
        <v>17988</v>
      </c>
      <c r="F13689" t="s">
        <v>26629</v>
      </c>
      <c r="K13689" s="18">
        <f>628122632501</f>
        <v>628122632501</v>
      </c>
      <c r="N13689" s="17" t="s">
        <v>77</v>
      </c>
      <c r="U13689" s="17"/>
      <c r="V13689" s="18">
        <f>628122632501</f>
        <v>628122632501</v>
      </c>
      <c r="W13689" t="s">
        <v>37077</v>
      </c>
      <c r="Y13689" s="17" t="s">
        <v>1042</v>
      </c>
      <c r="AA13689" s="17">
        <v>57143</v>
      </c>
    </row>
    <row r="13690" ht="15" customHeight="1" spans="1:28" x14ac:dyDescent="0.25">
      <c r="A13690" s="17" t="s">
        <v>37078</v>
      </c>
      <c r="B13690" s="17" t="s">
        <v>70</v>
      </c>
      <c r="C13690" s="17" t="s">
        <v>71</v>
      </c>
      <c r="D13690" t="s">
        <v>17988</v>
      </c>
      <c r="F13690" t="s">
        <v>37079</v>
      </c>
      <c r="J13690" t="s">
        <v>115</v>
      </c>
      <c r="K13690" s="18" t="s">
        <v>37080</v>
      </c>
      <c r="N13690" s="17" t="s">
        <v>77</v>
      </c>
      <c r="O13690" t="s">
        <v>117</v>
      </c>
      <c r="V13690" s="18" t="s">
        <v>37080</v>
      </c>
      <c r="Y13690" t="s">
        <v>115</v>
      </c>
      <c r="AA13690" t="s">
        <v>115</v>
      </c>
      <c r="AB13690" t="s">
        <v>119</v>
      </c>
    </row>
    <row r="13691" ht="15" customHeight="1" spans="1:22" x14ac:dyDescent="0.25">
      <c r="A13691" s="17" t="s">
        <v>37081</v>
      </c>
      <c r="B13691" s="17" t="s">
        <v>70</v>
      </c>
      <c r="C13691" s="17" t="s">
        <v>71</v>
      </c>
      <c r="D13691" t="s">
        <v>17988</v>
      </c>
      <c r="F13691" t="s">
        <v>37082</v>
      </c>
      <c r="K13691" s="18">
        <f>6281269139007</f>
        <v>6281269139007</v>
      </c>
      <c r="N13691" s="17" t="s">
        <v>81</v>
      </c>
      <c r="V13691" s="18">
        <f>6281269139007</f>
        <v>6281269139007</v>
      </c>
    </row>
    <row r="13692" ht="15" customHeight="1" spans="1:22" x14ac:dyDescent="0.25">
      <c r="A13692" s="17" t="s">
        <v>37083</v>
      </c>
      <c r="B13692" s="17" t="s">
        <v>70</v>
      </c>
      <c r="C13692" s="17" t="s">
        <v>71</v>
      </c>
      <c r="D13692" t="s">
        <v>17988</v>
      </c>
      <c r="F13692" t="s">
        <v>37084</v>
      </c>
      <c r="J13692" s="17" t="s">
        <v>37085</v>
      </c>
      <c r="K13692" s="18">
        <f>62818198500</f>
        <v>62818198500</v>
      </c>
      <c r="N13692" s="17" t="s">
        <v>77</v>
      </c>
      <c r="V13692" s="18">
        <f>62818198500</f>
        <v>62818198500</v>
      </c>
    </row>
    <row r="13693" ht="15" customHeight="1" spans="1:22" x14ac:dyDescent="0.25">
      <c r="A13693" s="17" t="s">
        <v>37086</v>
      </c>
      <c r="B13693" s="17" t="s">
        <v>70</v>
      </c>
      <c r="C13693" s="17" t="s">
        <v>71</v>
      </c>
      <c r="D13693" t="s">
        <v>17988</v>
      </c>
      <c r="F13693" t="s">
        <v>37087</v>
      </c>
      <c r="K13693" s="18">
        <f>62811160902</f>
        <v>62811160902</v>
      </c>
      <c r="N13693" s="17" t="s">
        <v>74</v>
      </c>
      <c r="V13693" s="18">
        <f>62811160902</f>
        <v>62811160902</v>
      </c>
    </row>
    <row r="13694" ht="15" customHeight="1" spans="1:23" x14ac:dyDescent="0.25">
      <c r="A13694" s="17" t="s">
        <v>37088</v>
      </c>
      <c r="B13694" s="17" t="s">
        <v>70</v>
      </c>
      <c r="C13694" s="17" t="s">
        <v>71</v>
      </c>
      <c r="D13694" t="s">
        <v>17988</v>
      </c>
      <c r="F13694" t="s">
        <v>4708</v>
      </c>
      <c r="K13694" s="18">
        <f>6282262222007</f>
        <v>6282262222007</v>
      </c>
      <c r="N13694" s="17" t="s">
        <v>81</v>
      </c>
      <c r="U13694" s="17"/>
      <c r="V13694" s="18">
        <f>6282262222007</f>
        <v>6282262222007</v>
      </c>
      <c r="W13694" t="s">
        <v>37089</v>
      </c>
    </row>
    <row r="13695" ht="15" customHeight="1" spans="1:22" x14ac:dyDescent="0.25">
      <c r="A13695" s="17" t="s">
        <v>37090</v>
      </c>
      <c r="B13695" s="17" t="s">
        <v>70</v>
      </c>
      <c r="C13695" s="17" t="s">
        <v>71</v>
      </c>
      <c r="D13695" t="s">
        <v>17988</v>
      </c>
      <c r="F13695" t="s">
        <v>34502</v>
      </c>
      <c r="K13695" s="18">
        <f>6281290555273</f>
        <v>6281290555273</v>
      </c>
      <c r="N13695" s="17" t="s">
        <v>81</v>
      </c>
      <c r="V13695" s="18">
        <f>6281290555273</f>
        <v>6281290555273</v>
      </c>
    </row>
    <row r="13696" ht="15" customHeight="1" spans="1:25" x14ac:dyDescent="0.25">
      <c r="A13696" s="17" t="s">
        <v>37091</v>
      </c>
      <c r="B13696" s="17" t="s">
        <v>70</v>
      </c>
      <c r="C13696" s="17" t="s">
        <v>71</v>
      </c>
      <c r="D13696" t="s">
        <v>17988</v>
      </c>
      <c r="F13696" t="s">
        <v>12793</v>
      </c>
      <c r="J13696" s="17" t="s">
        <v>37092</v>
      </c>
      <c r="K13696" s="18">
        <f>6287812123232</f>
        <v>6287812123232</v>
      </c>
      <c r="N13696" s="17" t="s">
        <v>77</v>
      </c>
      <c r="U13696" s="17"/>
      <c r="V13696" s="18">
        <f>6287812123232</f>
        <v>6287812123232</v>
      </c>
      <c r="W13696" t="s">
        <v>37093</v>
      </c>
      <c r="Y13696" s="17" t="s">
        <v>37094</v>
      </c>
    </row>
    <row r="13697" ht="15" customHeight="1" spans="1:23" x14ac:dyDescent="0.25">
      <c r="A13697" s="17" t="s">
        <v>37095</v>
      </c>
      <c r="B13697" s="17" t="s">
        <v>70</v>
      </c>
      <c r="C13697" s="17" t="s">
        <v>71</v>
      </c>
      <c r="D13697" t="s">
        <v>17988</v>
      </c>
      <c r="F13697" t="s">
        <v>37096</v>
      </c>
      <c r="K13697" s="18">
        <f>628118072000</f>
        <v>628118072000</v>
      </c>
      <c r="N13697" s="17" t="s">
        <v>74</v>
      </c>
      <c r="U13697" s="17"/>
      <c r="V13697" s="18">
        <f>628118072000</f>
        <v>628118072000</v>
      </c>
      <c r="W13697" t="s">
        <v>37097</v>
      </c>
    </row>
    <row r="13698" ht="15" customHeight="1" spans="1:28" x14ac:dyDescent="0.25">
      <c r="A13698" s="17" t="s">
        <v>37098</v>
      </c>
      <c r="B13698" s="17" t="s">
        <v>70</v>
      </c>
      <c r="C13698" s="17" t="s">
        <v>71</v>
      </c>
      <c r="D13698" t="s">
        <v>17988</v>
      </c>
      <c r="F13698" t="s">
        <v>25877</v>
      </c>
      <c r="J13698" t="s">
        <v>37099</v>
      </c>
      <c r="K13698" s="18" t="s">
        <v>37100</v>
      </c>
      <c r="N13698" s="17" t="s">
        <v>77</v>
      </c>
      <c r="O13698" t="s">
        <v>145</v>
      </c>
      <c r="U13698" s="17"/>
      <c r="V13698" s="18" t="s">
        <v>37100</v>
      </c>
      <c r="W13698" t="s">
        <v>37101</v>
      </c>
      <c r="Y13698" t="s">
        <v>596</v>
      </c>
      <c r="AA13698" t="s">
        <v>597</v>
      </c>
      <c r="AB13698" t="s">
        <v>119</v>
      </c>
    </row>
    <row r="13699" ht="15" customHeight="1" spans="1:22" x14ac:dyDescent="0.25">
      <c r="A13699" s="17" t="s">
        <v>37102</v>
      </c>
      <c r="B13699" s="17" t="s">
        <v>70</v>
      </c>
      <c r="C13699" s="17" t="s">
        <v>71</v>
      </c>
      <c r="D13699" t="s">
        <v>17988</v>
      </c>
      <c r="F13699" t="s">
        <v>37103</v>
      </c>
      <c r="K13699" s="18">
        <f>628567811160</f>
        <v>628567811160</v>
      </c>
      <c r="N13699" s="17" t="s">
        <v>81</v>
      </c>
      <c r="V13699" s="18">
        <f>628567811160</f>
        <v>628567811160</v>
      </c>
    </row>
    <row r="13700" ht="15" customHeight="1" spans="1:22" x14ac:dyDescent="0.25">
      <c r="A13700" s="17" t="s">
        <v>37104</v>
      </c>
      <c r="B13700" s="17" t="s">
        <v>70</v>
      </c>
      <c r="C13700" s="17" t="s">
        <v>71</v>
      </c>
      <c r="D13700" t="s">
        <v>17988</v>
      </c>
      <c r="F13700" t="s">
        <v>37105</v>
      </c>
      <c r="K13700" s="18">
        <f>628128151401</f>
        <v>628128151401</v>
      </c>
      <c r="N13700" s="17" t="s">
        <v>74</v>
      </c>
      <c r="V13700" s="18">
        <f>628128151401</f>
        <v>628128151401</v>
      </c>
    </row>
    <row r="13701" ht="15" customHeight="1" spans="1:28" x14ac:dyDescent="0.25">
      <c r="A13701" s="17" t="s">
        <v>37106</v>
      </c>
      <c r="B13701" s="17" t="s">
        <v>70</v>
      </c>
      <c r="C13701" s="17" t="s">
        <v>71</v>
      </c>
      <c r="D13701" t="s">
        <v>17988</v>
      </c>
      <c r="F13701" t="s">
        <v>37107</v>
      </c>
      <c r="J13701" s="17" t="s">
        <v>37108</v>
      </c>
      <c r="K13701" s="18" t="s">
        <v>37109</v>
      </c>
      <c r="N13701" s="17" t="s">
        <v>77</v>
      </c>
      <c r="O13701" t="s">
        <v>117</v>
      </c>
      <c r="V13701" s="18" t="s">
        <v>37109</v>
      </c>
      <c r="Y13701" t="s">
        <v>90</v>
      </c>
      <c r="AA13701" t="s">
        <v>118</v>
      </c>
      <c r="AB13701" t="s">
        <v>119</v>
      </c>
    </row>
    <row r="13702" ht="15" customHeight="1" spans="1:28" x14ac:dyDescent="0.25">
      <c r="A13702" s="17" t="s">
        <v>37110</v>
      </c>
      <c r="B13702" s="17" t="s">
        <v>70</v>
      </c>
      <c r="C13702" s="17" t="s">
        <v>71</v>
      </c>
      <c r="D13702" t="s">
        <v>37111</v>
      </c>
      <c r="F13702" t="s">
        <v>8203</v>
      </c>
      <c r="J13702" t="s">
        <v>115</v>
      </c>
      <c r="K13702" s="18" t="s">
        <v>37112</v>
      </c>
      <c r="N13702" s="17" t="s">
        <v>77</v>
      </c>
      <c r="O13702" t="s">
        <v>117</v>
      </c>
      <c r="V13702" s="18" t="s">
        <v>37112</v>
      </c>
      <c r="Y13702" t="s">
        <v>115</v>
      </c>
      <c r="AA13702" t="s">
        <v>115</v>
      </c>
      <c r="AB13702" t="s">
        <v>119</v>
      </c>
    </row>
    <row r="13703" ht="15" customHeight="1" spans="1:25" x14ac:dyDescent="0.25">
      <c r="A13703" s="17" t="s">
        <v>37113</v>
      </c>
      <c r="B13703" s="17" t="s">
        <v>70</v>
      </c>
      <c r="C13703" s="17" t="s">
        <v>71</v>
      </c>
      <c r="D13703" t="s">
        <v>17988</v>
      </c>
      <c r="F13703" t="s">
        <v>37114</v>
      </c>
      <c r="K13703" s="18">
        <f>628111171909</f>
        <v>628111171909</v>
      </c>
      <c r="N13703" s="17" t="s">
        <v>81</v>
      </c>
      <c r="U13703" s="17"/>
      <c r="V13703" s="18">
        <f>628111171909</f>
        <v>628111171909</v>
      </c>
      <c r="W13703" t="s">
        <v>37115</v>
      </c>
      <c r="Y13703" s="17" t="s">
        <v>622</v>
      </c>
    </row>
    <row r="13704" ht="15" customHeight="1" spans="1:25" x14ac:dyDescent="0.25">
      <c r="A13704" s="17" t="s">
        <v>37116</v>
      </c>
      <c r="B13704" s="17" t="s">
        <v>70</v>
      </c>
      <c r="C13704" s="17" t="s">
        <v>71</v>
      </c>
      <c r="D13704" t="s">
        <v>37117</v>
      </c>
      <c r="F13704" t="s">
        <v>37118</v>
      </c>
      <c r="K13704" s="18">
        <f>6281250948687</f>
        <v>6281250948687</v>
      </c>
      <c r="N13704" s="17" t="s">
        <v>77</v>
      </c>
      <c r="U13704" s="17"/>
      <c r="V13704" s="18">
        <f>6281250948687</f>
        <v>6281250948687</v>
      </c>
      <c r="W13704" t="s">
        <v>37119</v>
      </c>
      <c r="Y13704" s="17" t="s">
        <v>881</v>
      </c>
    </row>
    <row r="13705" ht="15" customHeight="1" spans="1:23" x14ac:dyDescent="0.25">
      <c r="A13705" s="17" t="s">
        <v>37120</v>
      </c>
      <c r="B13705" s="17" t="s">
        <v>70</v>
      </c>
      <c r="C13705" s="17" t="s">
        <v>71</v>
      </c>
      <c r="D13705" t="s">
        <v>37121</v>
      </c>
      <c r="F13705" t="s">
        <v>6028</v>
      </c>
      <c r="J13705" s="17" t="s">
        <v>37122</v>
      </c>
      <c r="K13705" s="18">
        <f>6281510590788</f>
        <v>6281510590788</v>
      </c>
      <c r="N13705" s="17" t="s">
        <v>77</v>
      </c>
      <c r="U13705" s="17"/>
      <c r="V13705" s="18">
        <f>6281510590788</f>
        <v>6281510590788</v>
      </c>
      <c r="W13705" t="s">
        <v>37123</v>
      </c>
    </row>
    <row r="13706" ht="15" customHeight="1" spans="1:28" x14ac:dyDescent="0.25">
      <c r="A13706" s="17" t="s">
        <v>37124</v>
      </c>
      <c r="B13706" s="17" t="s">
        <v>70</v>
      </c>
      <c r="C13706" s="17" t="s">
        <v>71</v>
      </c>
      <c r="D13706" t="s">
        <v>37125</v>
      </c>
      <c r="F13706" t="s">
        <v>4713</v>
      </c>
      <c r="J13706" t="s">
        <v>37126</v>
      </c>
      <c r="K13706" s="18" t="s">
        <v>37127</v>
      </c>
      <c r="N13706" s="17" t="s">
        <v>77</v>
      </c>
      <c r="O13706" t="s">
        <v>199</v>
      </c>
      <c r="U13706" s="17"/>
      <c r="V13706" s="18" t="s">
        <v>37127</v>
      </c>
      <c r="W13706" t="s">
        <v>37128</v>
      </c>
      <c r="Y13706" t="s">
        <v>190</v>
      </c>
      <c r="AA13706" t="s">
        <v>118</v>
      </c>
      <c r="AB13706" t="s">
        <v>119</v>
      </c>
    </row>
    <row r="13707" ht="15" customHeight="1" spans="1:22" x14ac:dyDescent="0.25">
      <c r="A13707" s="17" t="s">
        <v>37129</v>
      </c>
      <c r="B13707" s="17" t="s">
        <v>70</v>
      </c>
      <c r="C13707" s="17" t="s">
        <v>71</v>
      </c>
      <c r="D13707" t="s">
        <v>37121</v>
      </c>
      <c r="F13707" t="s">
        <v>37130</v>
      </c>
      <c r="K13707" s="18">
        <f>628181299000</f>
        <v>628181299000</v>
      </c>
      <c r="N13707" s="17" t="s">
        <v>77</v>
      </c>
      <c r="V13707" s="18">
        <f>628181299000</f>
        <v>628181299000</v>
      </c>
    </row>
    <row r="13708" ht="15" customHeight="1" spans="1:28" x14ac:dyDescent="0.25">
      <c r="A13708" s="17" t="s">
        <v>37131</v>
      </c>
      <c r="B13708" s="17" t="s">
        <v>70</v>
      </c>
      <c r="C13708" s="17" t="s">
        <v>71</v>
      </c>
      <c r="D13708" t="s">
        <v>37132</v>
      </c>
      <c r="F13708" t="s">
        <v>21480</v>
      </c>
      <c r="J13708" t="s">
        <v>37133</v>
      </c>
      <c r="K13708" s="18" t="s">
        <v>37134</v>
      </c>
      <c r="N13708" s="17" t="s">
        <v>81</v>
      </c>
      <c r="O13708" t="s">
        <v>117</v>
      </c>
      <c r="U13708" s="17"/>
      <c r="V13708" s="18" t="s">
        <v>37134</v>
      </c>
      <c r="W13708" t="s">
        <v>37135</v>
      </c>
      <c r="Y13708" t="s">
        <v>190</v>
      </c>
      <c r="AA13708" t="s">
        <v>118</v>
      </c>
      <c r="AB13708" t="s">
        <v>119</v>
      </c>
    </row>
    <row r="13709" ht="15" customHeight="1" spans="1:22" x14ac:dyDescent="0.25">
      <c r="A13709" s="17" t="s">
        <v>37136</v>
      </c>
      <c r="B13709" s="17" t="s">
        <v>70</v>
      </c>
      <c r="C13709" s="17" t="s">
        <v>71</v>
      </c>
      <c r="D13709" t="s">
        <v>37137</v>
      </c>
      <c r="F13709" t="s">
        <v>37138</v>
      </c>
      <c r="K13709" s="18">
        <f>6281297900800</f>
        <v>6281297900800</v>
      </c>
      <c r="N13709" s="17" t="s">
        <v>77</v>
      </c>
      <c r="V13709" s="18">
        <f>6281297900800</f>
        <v>6281297900800</v>
      </c>
    </row>
    <row r="13710" ht="15" customHeight="1" spans="1:28" x14ac:dyDescent="0.25">
      <c r="A13710" s="17" t="s">
        <v>37139</v>
      </c>
      <c r="B13710" s="17" t="s">
        <v>70</v>
      </c>
      <c r="C13710" s="17" t="s">
        <v>71</v>
      </c>
      <c r="D13710" t="s">
        <v>37140</v>
      </c>
      <c r="F13710" t="s">
        <v>13966</v>
      </c>
      <c r="J13710" t="s">
        <v>115</v>
      </c>
      <c r="K13710" s="18" t="s">
        <v>37141</v>
      </c>
      <c r="N13710" s="17" t="s">
        <v>77</v>
      </c>
      <c r="O13710" t="s">
        <v>489</v>
      </c>
      <c r="V13710" s="18" t="s">
        <v>37141</v>
      </c>
      <c r="Y13710" t="s">
        <v>3140</v>
      </c>
      <c r="AA13710" t="s">
        <v>115</v>
      </c>
      <c r="AB13710" t="s">
        <v>3140</v>
      </c>
    </row>
    <row r="13711" ht="15" customHeight="1" spans="1:22" x14ac:dyDescent="0.25">
      <c r="A13711" s="17" t="s">
        <v>37142</v>
      </c>
      <c r="B13711" s="17" t="s">
        <v>70</v>
      </c>
      <c r="C13711" s="17" t="s">
        <v>71</v>
      </c>
      <c r="D13711" t="s">
        <v>32052</v>
      </c>
      <c r="F13711" t="s">
        <v>32052</v>
      </c>
      <c r="K13711" s="18">
        <f>62818495888</f>
        <v>62818495888</v>
      </c>
      <c r="N13711" s="17" t="s">
        <v>77</v>
      </c>
      <c r="V13711" s="18">
        <f>62818495888</f>
        <v>62818495888</v>
      </c>
    </row>
    <row r="13712" ht="15" customHeight="1" spans="1:22" x14ac:dyDescent="0.25">
      <c r="A13712" s="17" t="s">
        <v>37143</v>
      </c>
      <c r="B13712" s="17" t="s">
        <v>70</v>
      </c>
      <c r="C13712" s="17" t="s">
        <v>71</v>
      </c>
      <c r="D13712" t="s">
        <v>37144</v>
      </c>
      <c r="F13712" t="s">
        <v>3866</v>
      </c>
      <c r="K13712" s="18">
        <f>8615110067706</f>
        <v>8615110067706</v>
      </c>
      <c r="N13712" s="17" t="s">
        <v>77</v>
      </c>
      <c r="V13712" s="18">
        <f>8615110067706</f>
        <v>8615110067706</v>
      </c>
    </row>
    <row r="13713" ht="15" customHeight="1" spans="1:22" x14ac:dyDescent="0.25">
      <c r="A13713" s="17" t="s">
        <v>37145</v>
      </c>
      <c r="B13713" s="17" t="s">
        <v>70</v>
      </c>
      <c r="C13713" s="17" t="s">
        <v>71</v>
      </c>
      <c r="D13713" t="s">
        <v>37146</v>
      </c>
      <c r="F13713" t="s">
        <v>8824</v>
      </c>
      <c r="K13713" s="18">
        <f>62811947523</f>
        <v>62811947523</v>
      </c>
      <c r="N13713" s="17" t="s">
        <v>74</v>
      </c>
      <c r="V13713" s="18">
        <f>62811947523</f>
        <v>62811947523</v>
      </c>
    </row>
    <row r="13714" ht="15" customHeight="1" spans="1:22" x14ac:dyDescent="0.25">
      <c r="A13714" s="17" t="s">
        <v>37147</v>
      </c>
      <c r="B13714" s="17" t="s">
        <v>70</v>
      </c>
      <c r="C13714" s="17" t="s">
        <v>71</v>
      </c>
      <c r="D13714" t="s">
        <v>37148</v>
      </c>
      <c r="F13714" t="s">
        <v>37148</v>
      </c>
      <c r="K13714" s="18">
        <f>628119930636</f>
        <v>628119930636</v>
      </c>
      <c r="N13714" s="17" t="s">
        <v>81</v>
      </c>
      <c r="V13714" s="18">
        <f>628119930636</f>
        <v>628119930636</v>
      </c>
    </row>
    <row r="13715" ht="15" customHeight="1" spans="1:27" x14ac:dyDescent="0.25">
      <c r="A13715" s="17" t="s">
        <v>37149</v>
      </c>
      <c r="B13715" s="17" t="s">
        <v>70</v>
      </c>
      <c r="C13715" s="17" t="s">
        <v>71</v>
      </c>
      <c r="D13715" t="s">
        <v>36153</v>
      </c>
      <c r="F13715" t="s">
        <v>37150</v>
      </c>
      <c r="K13715" s="18">
        <f>62811924173</f>
        <v>62811924173</v>
      </c>
      <c r="N13715" s="17" t="s">
        <v>77</v>
      </c>
      <c r="U13715" s="17"/>
      <c r="V13715" s="18">
        <f>62811924173</f>
        <v>62811924173</v>
      </c>
      <c r="W13715" t="s">
        <v>37151</v>
      </c>
      <c r="Y13715" s="17" t="s">
        <v>397</v>
      </c>
      <c r="AA13715" s="17" t="s">
        <v>37152</v>
      </c>
    </row>
    <row r="13716" ht="15" customHeight="1" spans="1:22" x14ac:dyDescent="0.25">
      <c r="A13716" s="17" t="s">
        <v>37153</v>
      </c>
      <c r="B13716" s="17" t="s">
        <v>70</v>
      </c>
      <c r="C13716" s="17" t="s">
        <v>71</v>
      </c>
      <c r="D13716" t="s">
        <v>4265</v>
      </c>
      <c r="F13716" t="s">
        <v>4264</v>
      </c>
      <c r="K13716" s="18">
        <f>628121314171</f>
        <v>628121314171</v>
      </c>
      <c r="N13716" s="17" t="s">
        <v>81</v>
      </c>
      <c r="V13716" s="18">
        <f>628121314171</f>
        <v>628121314171</v>
      </c>
    </row>
    <row r="13717" ht="15" customHeight="1" spans="1:27" x14ac:dyDescent="0.25">
      <c r="A13717" s="17" t="s">
        <v>37154</v>
      </c>
      <c r="B13717" s="17" t="s">
        <v>70</v>
      </c>
      <c r="C13717" s="17" t="s">
        <v>71</v>
      </c>
      <c r="D13717" t="s">
        <v>19891</v>
      </c>
      <c r="F13717" t="s">
        <v>27089</v>
      </c>
      <c r="K13717" s="18">
        <f>6281210697600</f>
        <v>6281210697600</v>
      </c>
      <c r="N13717" s="17" t="s">
        <v>77</v>
      </c>
      <c r="U13717" s="17"/>
      <c r="V13717" s="18">
        <f>6281210697600</f>
        <v>6281210697600</v>
      </c>
      <c r="W13717" t="s">
        <v>37155</v>
      </c>
      <c r="Y13717" s="17" t="s">
        <v>90</v>
      </c>
      <c r="AA13717" s="17">
        <v>12310</v>
      </c>
    </row>
    <row r="13718" ht="15" customHeight="1" spans="1:28" x14ac:dyDescent="0.25">
      <c r="A13718" s="17" t="s">
        <v>37156</v>
      </c>
      <c r="B13718" s="17" t="s">
        <v>70</v>
      </c>
      <c r="C13718" s="17" t="s">
        <v>71</v>
      </c>
      <c r="D13718" t="s">
        <v>37157</v>
      </c>
      <c r="F13718" t="s">
        <v>24229</v>
      </c>
      <c r="J13718" t="s">
        <v>37158</v>
      </c>
      <c r="K13718" s="18" t="s">
        <v>37159</v>
      </c>
      <c r="N13718" s="17" t="s">
        <v>77</v>
      </c>
      <c r="O13718" t="s">
        <v>489</v>
      </c>
      <c r="V13718" s="18" t="s">
        <v>37159</v>
      </c>
      <c r="Y13718" t="s">
        <v>704</v>
      </c>
      <c r="AA13718" t="s">
        <v>705</v>
      </c>
      <c r="AB13718" t="s">
        <v>119</v>
      </c>
    </row>
    <row r="13719" ht="15" customHeight="1" spans="1:28" x14ac:dyDescent="0.25">
      <c r="A13719" s="17" t="s">
        <v>37160</v>
      </c>
      <c r="B13719" s="17" t="s">
        <v>70</v>
      </c>
      <c r="C13719" s="17" t="s">
        <v>71</v>
      </c>
      <c r="D13719" t="s">
        <v>37161</v>
      </c>
      <c r="F13719" t="s">
        <v>37161</v>
      </c>
      <c r="J13719" s="17" t="s">
        <v>37162</v>
      </c>
      <c r="K13719" s="18" t="s">
        <v>37163</v>
      </c>
      <c r="N13719" s="17" t="s">
        <v>77</v>
      </c>
      <c r="O13719" t="s">
        <v>145</v>
      </c>
      <c r="U13719" s="17"/>
      <c r="V13719" s="18" t="s">
        <v>37163</v>
      </c>
      <c r="W13719" t="s">
        <v>37164</v>
      </c>
      <c r="Y13719" t="s">
        <v>190</v>
      </c>
      <c r="AA13719" t="s">
        <v>118</v>
      </c>
      <c r="AB13719" t="s">
        <v>119</v>
      </c>
    </row>
    <row r="13720" ht="15" customHeight="1" spans="1:28" x14ac:dyDescent="0.25">
      <c r="A13720" s="17" t="s">
        <v>37165</v>
      </c>
      <c r="B13720" s="17" t="s">
        <v>70</v>
      </c>
      <c r="C13720" s="17" t="s">
        <v>71</v>
      </c>
      <c r="D13720" t="s">
        <v>37166</v>
      </c>
      <c r="F13720" t="s">
        <v>37167</v>
      </c>
      <c r="J13720" s="17" t="s">
        <v>37168</v>
      </c>
      <c r="K13720" s="18" t="s">
        <v>37169</v>
      </c>
      <c r="N13720" s="17" t="s">
        <v>77</v>
      </c>
      <c r="O13720" t="s">
        <v>261</v>
      </c>
      <c r="U13720" s="17"/>
      <c r="V13720" s="18" t="s">
        <v>37169</v>
      </c>
      <c r="W13720" t="s">
        <v>37170</v>
      </c>
      <c r="Y13720" t="s">
        <v>37170</v>
      </c>
      <c r="AA13720" t="s">
        <v>115</v>
      </c>
      <c r="AB13720" t="s">
        <v>119</v>
      </c>
    </row>
    <row r="13721" ht="15" customHeight="1" spans="1:28" x14ac:dyDescent="0.25">
      <c r="A13721" s="17" t="s">
        <v>37171</v>
      </c>
      <c r="B13721" s="17" t="s">
        <v>70</v>
      </c>
      <c r="C13721" s="17" t="s">
        <v>71</v>
      </c>
      <c r="D13721" t="s">
        <v>37172</v>
      </c>
      <c r="F13721" t="s">
        <v>31065</v>
      </c>
      <c r="J13721" t="s">
        <v>115</v>
      </c>
      <c r="K13721" s="18" t="s">
        <v>37173</v>
      </c>
      <c r="N13721" s="17" t="s">
        <v>77</v>
      </c>
      <c r="O13721" t="s">
        <v>145</v>
      </c>
      <c r="V13721" s="18" t="s">
        <v>37173</v>
      </c>
      <c r="Y13721" t="s">
        <v>1909</v>
      </c>
      <c r="AA13721" t="s">
        <v>115</v>
      </c>
      <c r="AB13721" t="s">
        <v>1909</v>
      </c>
    </row>
    <row r="13722" ht="15" customHeight="1" spans="1:22" x14ac:dyDescent="0.25">
      <c r="A13722" s="17" t="s">
        <v>37174</v>
      </c>
      <c r="B13722" s="17" t="s">
        <v>70</v>
      </c>
      <c r="C13722" s="17" t="s">
        <v>71</v>
      </c>
      <c r="D13722" t="s">
        <v>37175</v>
      </c>
      <c r="F13722" t="s">
        <v>2957</v>
      </c>
      <c r="K13722" s="18">
        <f>628111877178</f>
        <v>628111877178</v>
      </c>
      <c r="N13722" s="17" t="s">
        <v>81</v>
      </c>
      <c r="V13722" s="18">
        <f>628111877178</f>
        <v>628111877178</v>
      </c>
    </row>
    <row r="13723" ht="15" customHeight="1" spans="1:22" x14ac:dyDescent="0.25">
      <c r="A13723" s="17" t="s">
        <v>37176</v>
      </c>
      <c r="B13723" s="17" t="s">
        <v>70</v>
      </c>
      <c r="C13723" s="17" t="s">
        <v>71</v>
      </c>
      <c r="D13723" t="s">
        <v>37175</v>
      </c>
      <c r="F13723" t="s">
        <v>14443</v>
      </c>
      <c r="K13723" s="18">
        <f>62811111910</f>
        <v>62811111910</v>
      </c>
      <c r="N13723" s="17" t="s">
        <v>77</v>
      </c>
      <c r="V13723" s="18">
        <f>62811111910</f>
        <v>62811111910</v>
      </c>
    </row>
    <row r="13724" ht="15" customHeight="1" spans="1:28" x14ac:dyDescent="0.25">
      <c r="A13724" s="17" t="s">
        <v>37177</v>
      </c>
      <c r="B13724" s="17" t="s">
        <v>70</v>
      </c>
      <c r="C13724" s="17" t="s">
        <v>71</v>
      </c>
      <c r="D13724" t="s">
        <v>37178</v>
      </c>
      <c r="F13724" t="s">
        <v>37179</v>
      </c>
      <c r="J13724" t="s">
        <v>115</v>
      </c>
      <c r="K13724" s="18" t="s">
        <v>37180</v>
      </c>
      <c r="N13724" s="17" t="s">
        <v>77</v>
      </c>
      <c r="O13724" t="s">
        <v>261</v>
      </c>
      <c r="U13724" s="17"/>
      <c r="V13724" s="18" t="s">
        <v>37180</v>
      </c>
      <c r="W13724" t="s">
        <v>5451</v>
      </c>
      <c r="Y13724" t="s">
        <v>5451</v>
      </c>
      <c r="AA13724" t="s">
        <v>115</v>
      </c>
      <c r="AB13724" t="s">
        <v>119</v>
      </c>
    </row>
    <row r="13725" ht="15" customHeight="1" spans="1:28" x14ac:dyDescent="0.25">
      <c r="A13725" s="17" t="s">
        <v>37181</v>
      </c>
      <c r="B13725" s="17" t="s">
        <v>70</v>
      </c>
      <c r="C13725" s="17" t="s">
        <v>71</v>
      </c>
      <c r="D13725" t="s">
        <v>37182</v>
      </c>
      <c r="F13725" t="s">
        <v>37183</v>
      </c>
      <c r="J13725" s="17" t="s">
        <v>37184</v>
      </c>
      <c r="K13725" s="18" t="s">
        <v>37185</v>
      </c>
      <c r="N13725" s="17" t="s">
        <v>77</v>
      </c>
      <c r="O13725" t="s">
        <v>145</v>
      </c>
      <c r="U13725" s="17"/>
      <c r="V13725" s="18" t="s">
        <v>37185</v>
      </c>
      <c r="W13725" t="s">
        <v>20509</v>
      </c>
      <c r="Y13725" s="17" t="s">
        <v>451</v>
      </c>
      <c r="AA13725" t="s">
        <v>115</v>
      </c>
      <c r="AB13725" t="s">
        <v>451</v>
      </c>
    </row>
    <row r="13726" ht="15" customHeight="1" spans="1:22" x14ac:dyDescent="0.25">
      <c r="A13726" s="17" t="s">
        <v>37186</v>
      </c>
      <c r="B13726" s="17" t="s">
        <v>70</v>
      </c>
      <c r="C13726" s="17" t="s">
        <v>71</v>
      </c>
      <c r="D13726" t="s">
        <v>37187</v>
      </c>
      <c r="F13726" t="s">
        <v>37188</v>
      </c>
      <c r="K13726" s="18">
        <f>6285883671288</f>
        <v>6285883671288</v>
      </c>
      <c r="N13726" s="17" t="s">
        <v>81</v>
      </c>
      <c r="V13726" s="18">
        <f>6285883671288</f>
        <v>6285883671288</v>
      </c>
    </row>
    <row r="13727" ht="15" customHeight="1" spans="1:22" x14ac:dyDescent="0.25">
      <c r="A13727" s="17" t="s">
        <v>37189</v>
      </c>
      <c r="B13727" s="17" t="s">
        <v>70</v>
      </c>
      <c r="C13727" s="17" t="s">
        <v>71</v>
      </c>
      <c r="D13727" t="s">
        <v>1470</v>
      </c>
      <c r="F13727" t="s">
        <v>153</v>
      </c>
      <c r="K13727" s="18">
        <f>628116006661</f>
        <v>628116006661</v>
      </c>
      <c r="N13727" s="17" t="s">
        <v>81</v>
      </c>
      <c r="V13727" s="18">
        <f>628116006661</f>
        <v>628116006661</v>
      </c>
    </row>
    <row r="13728" ht="15" customHeight="1" spans="1:27" x14ac:dyDescent="0.25">
      <c r="A13728" s="17" t="s">
        <v>37190</v>
      </c>
      <c r="B13728" s="17" t="s">
        <v>70</v>
      </c>
      <c r="C13728" s="17" t="s">
        <v>71</v>
      </c>
      <c r="D13728" t="s">
        <v>1470</v>
      </c>
      <c r="F13728" t="s">
        <v>37191</v>
      </c>
      <c r="K13728" s="18">
        <f>628121085050</f>
        <v>628121085050</v>
      </c>
      <c r="N13728" s="17" t="s">
        <v>77</v>
      </c>
      <c r="U13728" s="17"/>
      <c r="V13728" s="18">
        <f>628121085050</f>
        <v>628121085050</v>
      </c>
      <c r="W13728" t="s">
        <v>37192</v>
      </c>
      <c r="Y13728" s="17" t="s">
        <v>1084</v>
      </c>
      <c r="AA13728" s="17" t="s">
        <v>37193</v>
      </c>
    </row>
    <row r="13729" ht="15" customHeight="1" spans="1:28" x14ac:dyDescent="0.25">
      <c r="A13729" s="17" t="s">
        <v>37194</v>
      </c>
      <c r="B13729" s="17" t="s">
        <v>70</v>
      </c>
      <c r="C13729" s="17" t="s">
        <v>71</v>
      </c>
      <c r="D13729" t="s">
        <v>1470</v>
      </c>
      <c r="F13729" t="s">
        <v>37195</v>
      </c>
      <c r="J13729" s="17" t="s">
        <v>37196</v>
      </c>
      <c r="K13729" s="18" t="s">
        <v>37197</v>
      </c>
      <c r="N13729" s="17" t="s">
        <v>77</v>
      </c>
      <c r="O13729" t="s">
        <v>199</v>
      </c>
      <c r="V13729" s="18" t="s">
        <v>37197</v>
      </c>
      <c r="Y13729" t="s">
        <v>3140</v>
      </c>
      <c r="AA13729" t="s">
        <v>115</v>
      </c>
      <c r="AB13729" t="s">
        <v>3140</v>
      </c>
    </row>
    <row r="13730" ht="15" customHeight="1" spans="1:28" x14ac:dyDescent="0.25">
      <c r="A13730" s="17" t="s">
        <v>37198</v>
      </c>
      <c r="B13730" s="17" t="s">
        <v>70</v>
      </c>
      <c r="C13730" s="17" t="s">
        <v>71</v>
      </c>
      <c r="D13730" t="s">
        <v>37199</v>
      </c>
      <c r="F13730" t="s">
        <v>37200</v>
      </c>
      <c r="J13730" s="17" t="s">
        <v>37201</v>
      </c>
      <c r="K13730" s="18" t="s">
        <v>37202</v>
      </c>
      <c r="N13730" s="17" t="s">
        <v>77</v>
      </c>
      <c r="O13730" t="s">
        <v>199</v>
      </c>
      <c r="V13730" s="18" t="s">
        <v>37202</v>
      </c>
      <c r="Y13730" s="17" t="s">
        <v>1046</v>
      </c>
      <c r="AA13730" t="s">
        <v>115</v>
      </c>
      <c r="AB13730" t="s">
        <v>1046</v>
      </c>
    </row>
    <row r="13731" ht="15" customHeight="1" spans="1:22" x14ac:dyDescent="0.25">
      <c r="A13731" s="17" t="s">
        <v>37203</v>
      </c>
      <c r="B13731" s="17" t="s">
        <v>70</v>
      </c>
      <c r="C13731" s="17" t="s">
        <v>71</v>
      </c>
      <c r="D13731" t="s">
        <v>37204</v>
      </c>
      <c r="F13731" t="s">
        <v>29469</v>
      </c>
      <c r="K13731" s="18">
        <f>6281237259537</f>
        <v>6281237259537</v>
      </c>
      <c r="N13731" s="17" t="s">
        <v>77</v>
      </c>
      <c r="V13731" s="18">
        <f>6281237259537</f>
        <v>6281237259537</v>
      </c>
    </row>
    <row r="13732" ht="15" customHeight="1" spans="1:22" x14ac:dyDescent="0.25">
      <c r="A13732" s="17" t="s">
        <v>37205</v>
      </c>
      <c r="B13732" s="17" t="s">
        <v>70</v>
      </c>
      <c r="C13732" s="17" t="s">
        <v>71</v>
      </c>
      <c r="D13732" t="s">
        <v>37206</v>
      </c>
      <c r="F13732" t="s">
        <v>15850</v>
      </c>
      <c r="K13732" s="18">
        <f>628111478890</f>
        <v>628111478890</v>
      </c>
      <c r="N13732" s="17" t="s">
        <v>77</v>
      </c>
      <c r="V13732" s="18">
        <f>628111478890</f>
        <v>628111478890</v>
      </c>
    </row>
    <row r="13733" ht="15" customHeight="1" spans="1:23" x14ac:dyDescent="0.25">
      <c r="A13733" s="17" t="s">
        <v>37207</v>
      </c>
      <c r="B13733" s="17" t="s">
        <v>70</v>
      </c>
      <c r="C13733" s="17" t="s">
        <v>71</v>
      </c>
      <c r="D13733" t="s">
        <v>37208</v>
      </c>
      <c r="F13733" t="s">
        <v>37208</v>
      </c>
      <c r="K13733" s="18">
        <f>6281280222735</f>
        <v>6281280222735</v>
      </c>
      <c r="N13733" s="17" t="s">
        <v>81</v>
      </c>
      <c r="U13733" s="17"/>
      <c r="V13733" s="18">
        <f>6281280222735</f>
        <v>6281280222735</v>
      </c>
      <c r="W13733" t="s">
        <v>37209</v>
      </c>
    </row>
    <row r="13734" ht="15" customHeight="1" spans="1:22" x14ac:dyDescent="0.25">
      <c r="A13734" s="17" t="s">
        <v>37210</v>
      </c>
      <c r="B13734" s="17" t="s">
        <v>70</v>
      </c>
      <c r="C13734" s="17" t="s">
        <v>71</v>
      </c>
      <c r="D13734" t="s">
        <v>37211</v>
      </c>
      <c r="F13734" t="s">
        <v>37211</v>
      </c>
      <c r="K13734" s="18">
        <f>6282131068888</f>
        <v>6282131068888</v>
      </c>
      <c r="N13734" s="17" t="s">
        <v>77</v>
      </c>
      <c r="V13734" s="18">
        <f>6282131068888</f>
        <v>6282131068888</v>
      </c>
    </row>
    <row r="13735" ht="15" customHeight="1" spans="1:22" x14ac:dyDescent="0.25">
      <c r="A13735" s="17" t="s">
        <v>37212</v>
      </c>
      <c r="B13735" s="17" t="s">
        <v>70</v>
      </c>
      <c r="C13735" s="17" t="s">
        <v>71</v>
      </c>
      <c r="D13735" t="s">
        <v>34530</v>
      </c>
      <c r="F13735" t="s">
        <v>13898</v>
      </c>
      <c r="K13735" s="18">
        <f>62811988599</f>
        <v>62811988599</v>
      </c>
      <c r="N13735" s="17" t="s">
        <v>74</v>
      </c>
      <c r="V13735" s="18">
        <f>62811988599</f>
        <v>62811988599</v>
      </c>
    </row>
    <row r="13736" ht="15" customHeight="1" spans="1:28" x14ac:dyDescent="0.25">
      <c r="A13736" s="17" t="s">
        <v>37213</v>
      </c>
      <c r="B13736" s="17" t="s">
        <v>70</v>
      </c>
      <c r="C13736" s="17" t="s">
        <v>71</v>
      </c>
      <c r="D13736" t="s">
        <v>34530</v>
      </c>
      <c r="F13736" t="s">
        <v>37214</v>
      </c>
      <c r="J13736" s="17" t="s">
        <v>37215</v>
      </c>
      <c r="K13736" s="18" t="s">
        <v>37216</v>
      </c>
      <c r="N13736" s="17" t="s">
        <v>77</v>
      </c>
      <c r="O13736" t="s">
        <v>199</v>
      </c>
      <c r="U13736" s="17"/>
      <c r="V13736" s="18" t="s">
        <v>37216</v>
      </c>
      <c r="W13736" t="s">
        <v>10994</v>
      </c>
      <c r="Y13736" t="s">
        <v>32978</v>
      </c>
      <c r="AA13736" t="s">
        <v>115</v>
      </c>
      <c r="AB13736" t="s">
        <v>119</v>
      </c>
    </row>
    <row r="13737" ht="15" customHeight="1" spans="1:22" x14ac:dyDescent="0.25">
      <c r="A13737" s="17" t="s">
        <v>37217</v>
      </c>
      <c r="B13737" s="17" t="s">
        <v>70</v>
      </c>
      <c r="C13737" s="17" t="s">
        <v>71</v>
      </c>
      <c r="D13737" t="s">
        <v>37218</v>
      </c>
      <c r="F13737" t="s">
        <v>7860</v>
      </c>
      <c r="K13737" s="18">
        <f>628129999929</f>
        <v>628129999929</v>
      </c>
      <c r="N13737" s="17" t="s">
        <v>81</v>
      </c>
      <c r="V13737" s="18">
        <f>628129999929</f>
        <v>628129999929</v>
      </c>
    </row>
    <row r="13738" ht="15" customHeight="1" spans="1:23" x14ac:dyDescent="0.25">
      <c r="A13738" s="17" t="s">
        <v>37219</v>
      </c>
      <c r="B13738" s="17" t="s">
        <v>70</v>
      </c>
      <c r="C13738" s="17" t="s">
        <v>71</v>
      </c>
      <c r="D13738" t="s">
        <v>794</v>
      </c>
      <c r="F13738" t="s">
        <v>37220</v>
      </c>
      <c r="J13738" s="17" t="s">
        <v>37221</v>
      </c>
      <c r="K13738" s="18">
        <v>4113612815</v>
      </c>
      <c r="N13738" s="17" t="s">
        <v>77</v>
      </c>
      <c r="U13738" s="17"/>
      <c r="V13738" s="18">
        <v>4113612815</v>
      </c>
      <c r="W13738" t="s">
        <v>37222</v>
      </c>
    </row>
    <row r="13739" ht="15" customHeight="1" spans="1:22" x14ac:dyDescent="0.25">
      <c r="A13739" s="17" t="s">
        <v>37223</v>
      </c>
      <c r="B13739" s="17" t="s">
        <v>70</v>
      </c>
      <c r="C13739" s="17" t="s">
        <v>71</v>
      </c>
      <c r="D13739" t="s">
        <v>17213</v>
      </c>
      <c r="F13739" t="s">
        <v>37224</v>
      </c>
      <c r="K13739" s="18">
        <f>62816105642</f>
        <v>62816105642</v>
      </c>
      <c r="N13739" s="17" t="s">
        <v>81</v>
      </c>
      <c r="V13739" s="18">
        <f>62816105642</f>
        <v>62816105642</v>
      </c>
    </row>
    <row r="13740" ht="15" customHeight="1" spans="1:27" x14ac:dyDescent="0.25">
      <c r="A13740" s="17" t="s">
        <v>37225</v>
      </c>
      <c r="B13740" s="17" t="s">
        <v>70</v>
      </c>
      <c r="C13740" s="17" t="s">
        <v>71</v>
      </c>
      <c r="D13740" t="s">
        <v>37226</v>
      </c>
      <c r="F13740" t="s">
        <v>37226</v>
      </c>
      <c r="K13740" s="18">
        <f>62816963212</f>
        <v>62816963212</v>
      </c>
      <c r="N13740" s="17" t="s">
        <v>77</v>
      </c>
      <c r="U13740" s="17"/>
      <c r="V13740" s="18">
        <f>62816963212</f>
        <v>62816963212</v>
      </c>
      <c r="W13740" t="s">
        <v>37227</v>
      </c>
      <c r="Y13740" s="17" t="s">
        <v>1119</v>
      </c>
      <c r="AA13740" s="17" t="s">
        <v>37228</v>
      </c>
    </row>
    <row r="13741" ht="15" customHeight="1" spans="1:27" x14ac:dyDescent="0.25">
      <c r="A13741" s="17" t="s">
        <v>37229</v>
      </c>
      <c r="B13741" s="17" t="s">
        <v>70</v>
      </c>
      <c r="C13741" s="17" t="s">
        <v>71</v>
      </c>
      <c r="D13741" t="s">
        <v>37230</v>
      </c>
      <c r="F13741" t="s">
        <v>37231</v>
      </c>
      <c r="J13741" s="17" t="s">
        <v>37232</v>
      </c>
      <c r="K13741" s="18">
        <f>628122022035</f>
        <v>628122022035</v>
      </c>
      <c r="N13741" s="17" t="s">
        <v>77</v>
      </c>
      <c r="U13741" s="17"/>
      <c r="V13741" s="18">
        <f>628122022035</f>
        <v>628122022035</v>
      </c>
      <c r="W13741" t="s">
        <v>37233</v>
      </c>
      <c r="Y13741" s="17" t="s">
        <v>500</v>
      </c>
      <c r="AA13741" s="17">
        <v>40171</v>
      </c>
    </row>
    <row r="13742" ht="15" customHeight="1" spans="1:23" x14ac:dyDescent="0.25">
      <c r="A13742" s="17" t="s">
        <v>37234</v>
      </c>
      <c r="B13742" s="17" t="s">
        <v>70</v>
      </c>
      <c r="C13742" s="17" t="s">
        <v>71</v>
      </c>
      <c r="D13742" t="s">
        <v>9810</v>
      </c>
      <c r="F13742" t="s">
        <v>1496</v>
      </c>
      <c r="K13742" s="18">
        <f>62217693553</f>
        <v>62217693553</v>
      </c>
      <c r="N13742" s="17" t="s">
        <v>77</v>
      </c>
      <c r="U13742" s="17"/>
      <c r="V13742" s="18">
        <f>62217693553</f>
        <v>62217693553</v>
      </c>
      <c r="W13742" t="s">
        <v>37235</v>
      </c>
    </row>
    <row r="13743" ht="15" customHeight="1" spans="1:23" x14ac:dyDescent="0.25">
      <c r="A13743" s="17" t="s">
        <v>37236</v>
      </c>
      <c r="B13743" s="17" t="s">
        <v>70</v>
      </c>
      <c r="C13743" s="17" t="s">
        <v>71</v>
      </c>
      <c r="D13743" t="s">
        <v>399</v>
      </c>
      <c r="F13743" t="s">
        <v>399</v>
      </c>
      <c r="K13743" s="18">
        <f>628161115500</f>
        <v>628161115500</v>
      </c>
      <c r="N13743" s="17" t="s">
        <v>77</v>
      </c>
      <c r="U13743" s="17"/>
      <c r="V13743" s="18">
        <f>628161115500</f>
        <v>628161115500</v>
      </c>
      <c r="W13743" t="s">
        <v>37237</v>
      </c>
    </row>
    <row r="13744" ht="15" customHeight="1" spans="1:22" x14ac:dyDescent="0.25">
      <c r="A13744" s="17" t="s">
        <v>37238</v>
      </c>
      <c r="B13744" s="17" t="s">
        <v>70</v>
      </c>
      <c r="C13744" s="17" t="s">
        <v>71</v>
      </c>
      <c r="D13744" t="s">
        <v>37239</v>
      </c>
      <c r="F13744" t="s">
        <v>672</v>
      </c>
      <c r="K13744" s="18">
        <f>812960009688</f>
        <v>812960009688</v>
      </c>
      <c r="N13744" s="17" t="s">
        <v>81</v>
      </c>
      <c r="V13744" s="18">
        <f>812960009688</f>
        <v>812960009688</v>
      </c>
    </row>
    <row r="13745" ht="15" customHeight="1" spans="1:27" x14ac:dyDescent="0.25">
      <c r="A13745" s="17" t="s">
        <v>37240</v>
      </c>
      <c r="B13745" s="17" t="s">
        <v>70</v>
      </c>
      <c r="C13745" s="17" t="s">
        <v>71</v>
      </c>
      <c r="D13745" s="19" t="s">
        <v>37241</v>
      </c>
      <c r="F13745" t="s">
        <v>37242</v>
      </c>
      <c r="K13745" s="18">
        <v>5846192</v>
      </c>
      <c r="N13745" s="17" t="s">
        <v>74</v>
      </c>
      <c r="U13745" s="17"/>
      <c r="V13745" s="18">
        <v>5846192</v>
      </c>
      <c r="W13745" t="s">
        <v>37243</v>
      </c>
      <c r="Y13745" s="17" t="s">
        <v>626</v>
      </c>
      <c r="AA13745" s="17" t="s">
        <v>37244</v>
      </c>
    </row>
    <row r="13746" ht="15" customHeight="1" spans="1:22" x14ac:dyDescent="0.25">
      <c r="A13746" s="17" t="s">
        <v>37245</v>
      </c>
      <c r="B13746" s="17" t="s">
        <v>70</v>
      </c>
      <c r="C13746" s="17" t="s">
        <v>71</v>
      </c>
      <c r="D13746" t="s">
        <v>37246</v>
      </c>
      <c r="F13746" t="s">
        <v>37246</v>
      </c>
      <c r="K13746" s="18">
        <f>6281392034206</f>
        <v>6281392034206</v>
      </c>
      <c r="N13746" s="17" t="s">
        <v>77</v>
      </c>
      <c r="V13746" s="18">
        <f>6281392034206</f>
        <v>6281392034206</v>
      </c>
    </row>
    <row r="13747" ht="15" customHeight="1" spans="1:22" x14ac:dyDescent="0.25">
      <c r="A13747" s="17" t="s">
        <v>37247</v>
      </c>
      <c r="B13747" s="17" t="s">
        <v>70</v>
      </c>
      <c r="C13747" s="17" t="s">
        <v>71</v>
      </c>
      <c r="D13747" t="s">
        <v>37248</v>
      </c>
      <c r="F13747" t="s">
        <v>37249</v>
      </c>
      <c r="J13747" s="17" t="s">
        <v>37250</v>
      </c>
      <c r="K13747" s="18">
        <f>628119429000</f>
        <v>628119429000</v>
      </c>
      <c r="N13747" s="17" t="s">
        <v>81</v>
      </c>
      <c r="V13747" s="18">
        <f>628119429000</f>
        <v>628119429000</v>
      </c>
    </row>
    <row r="13748" ht="15" customHeight="1" spans="1:27" x14ac:dyDescent="0.25">
      <c r="A13748" s="17" t="s">
        <v>37251</v>
      </c>
      <c r="B13748" s="17" t="s">
        <v>70</v>
      </c>
      <c r="C13748" s="17" t="s">
        <v>71</v>
      </c>
      <c r="D13748" t="s">
        <v>37252</v>
      </c>
      <c r="F13748" t="s">
        <v>15405</v>
      </c>
      <c r="K13748" s="18">
        <f>62818811234</f>
        <v>62818811234</v>
      </c>
      <c r="N13748" s="17" t="s">
        <v>77</v>
      </c>
      <c r="U13748" s="17"/>
      <c r="V13748" s="18">
        <f>62818811234</f>
        <v>62818811234</v>
      </c>
      <c r="W13748" t="s">
        <v>37253</v>
      </c>
      <c r="Y13748" s="17" t="s">
        <v>96</v>
      </c>
      <c r="AA13748" s="17" t="s">
        <v>37254</v>
      </c>
    </row>
    <row r="13749" ht="15" customHeight="1" spans="1:25" x14ac:dyDescent="0.25">
      <c r="A13749" s="17" t="s">
        <v>37255</v>
      </c>
      <c r="B13749" s="17" t="s">
        <v>70</v>
      </c>
      <c r="C13749" s="17" t="s">
        <v>71</v>
      </c>
      <c r="D13749" t="s">
        <v>37256</v>
      </c>
      <c r="F13749" t="s">
        <v>782</v>
      </c>
      <c r="K13749" s="18">
        <f>62817850565</f>
        <v>62817850565</v>
      </c>
      <c r="N13749" s="17" t="s">
        <v>74</v>
      </c>
      <c r="U13749" s="17"/>
      <c r="V13749" s="18">
        <f>62817850565</f>
        <v>62817850565</v>
      </c>
      <c r="W13749" t="s">
        <v>37257</v>
      </c>
      <c r="Y13749" s="17" t="s">
        <v>90</v>
      </c>
    </row>
    <row r="13750" ht="15" customHeight="1" spans="1:22" x14ac:dyDescent="0.25">
      <c r="A13750" s="17" t="s">
        <v>37258</v>
      </c>
      <c r="B13750" s="17" t="s">
        <v>70</v>
      </c>
      <c r="C13750" s="17" t="s">
        <v>71</v>
      </c>
      <c r="D13750" t="s">
        <v>37259</v>
      </c>
      <c r="F13750" t="s">
        <v>37259</v>
      </c>
      <c r="K13750" s="18">
        <f>62215731836</f>
        <v>62215731836</v>
      </c>
      <c r="N13750" s="17" t="s">
        <v>74</v>
      </c>
      <c r="V13750" s="18">
        <f>62215731836</f>
        <v>62215731836</v>
      </c>
    </row>
    <row r="13751" ht="15" customHeight="1" spans="1:25" x14ac:dyDescent="0.25">
      <c r="A13751" s="17" t="s">
        <v>37260</v>
      </c>
      <c r="B13751" s="17" t="s">
        <v>70</v>
      </c>
      <c r="C13751" s="17" t="s">
        <v>71</v>
      </c>
      <c r="D13751" t="s">
        <v>10204</v>
      </c>
      <c r="F13751" t="s">
        <v>37261</v>
      </c>
      <c r="K13751" s="18">
        <v>315945968</v>
      </c>
      <c r="N13751" s="17" t="s">
        <v>77</v>
      </c>
      <c r="U13751" s="17"/>
      <c r="V13751" s="18">
        <v>315945968</v>
      </c>
      <c r="W13751" t="s">
        <v>37262</v>
      </c>
      <c r="Y13751" s="17" t="s">
        <v>704</v>
      </c>
    </row>
    <row r="13752" ht="15" customHeight="1" spans="1:22" x14ac:dyDescent="0.25">
      <c r="A13752" s="17" t="s">
        <v>37263</v>
      </c>
      <c r="B13752" s="17" t="s">
        <v>70</v>
      </c>
      <c r="C13752" s="17" t="s">
        <v>71</v>
      </c>
      <c r="D13752" t="s">
        <v>37264</v>
      </c>
      <c r="F13752" t="s">
        <v>6671</v>
      </c>
      <c r="K13752" s="18">
        <f>6281344395001</f>
        <v>6281344395001</v>
      </c>
      <c r="N13752" s="17" t="s">
        <v>81</v>
      </c>
      <c r="V13752" s="18">
        <f>6281344395001</f>
        <v>6281344395001</v>
      </c>
    </row>
    <row r="13753" ht="15" customHeight="1" spans="1:25" x14ac:dyDescent="0.25">
      <c r="A13753" s="17" t="s">
        <v>37265</v>
      </c>
      <c r="B13753" s="17" t="s">
        <v>70</v>
      </c>
      <c r="C13753" s="17" t="s">
        <v>71</v>
      </c>
      <c r="D13753" t="s">
        <v>6439</v>
      </c>
      <c r="F13753" t="s">
        <v>37266</v>
      </c>
      <c r="J13753" s="17" t="s">
        <v>37267</v>
      </c>
      <c r="K13753" s="18">
        <f>628161890710</f>
        <v>628161890710</v>
      </c>
      <c r="N13753" s="17" t="s">
        <v>77</v>
      </c>
      <c r="U13753" s="17"/>
      <c r="V13753" s="18">
        <f>628161890710</f>
        <v>628161890710</v>
      </c>
      <c r="W13753" t="s">
        <v>37268</v>
      </c>
      <c r="Y13753" s="17" t="s">
        <v>96</v>
      </c>
    </row>
    <row r="13754" ht="15" customHeight="1" spans="1:22" x14ac:dyDescent="0.25">
      <c r="A13754" s="17" t="s">
        <v>37269</v>
      </c>
      <c r="B13754" s="17" t="s">
        <v>70</v>
      </c>
      <c r="C13754" s="17" t="s">
        <v>71</v>
      </c>
      <c r="D13754" t="s">
        <v>37270</v>
      </c>
      <c r="F13754" t="s">
        <v>37271</v>
      </c>
      <c r="K13754" s="18">
        <f>6281295114211</f>
        <v>6281295114211</v>
      </c>
      <c r="N13754" s="17" t="s">
        <v>77</v>
      </c>
      <c r="V13754" s="18">
        <f>6281295114211</f>
        <v>6281295114211</v>
      </c>
    </row>
    <row r="13755" ht="15" customHeight="1" spans="1:27" x14ac:dyDescent="0.25">
      <c r="A13755" s="17" t="s">
        <v>37272</v>
      </c>
      <c r="B13755" s="17" t="s">
        <v>70</v>
      </c>
      <c r="C13755" s="17" t="s">
        <v>71</v>
      </c>
      <c r="D13755" t="s">
        <v>37273</v>
      </c>
      <c r="F13755" t="s">
        <v>37274</v>
      </c>
      <c r="K13755" s="18">
        <f>6281315654287</f>
        <v>6281315654287</v>
      </c>
      <c r="N13755" s="17" t="s">
        <v>77</v>
      </c>
      <c r="U13755" s="17"/>
      <c r="V13755" s="18">
        <f>6281315654287</f>
        <v>6281315654287</v>
      </c>
      <c r="W13755" t="s">
        <v>37275</v>
      </c>
      <c r="AA13755" s="17">
        <v>12530</v>
      </c>
    </row>
    <row r="13756" ht="15" customHeight="1" spans="1:22" x14ac:dyDescent="0.25">
      <c r="A13756" s="17" t="s">
        <v>37276</v>
      </c>
      <c r="B13756" s="17" t="s">
        <v>70</v>
      </c>
      <c r="C13756" s="17" t="s">
        <v>71</v>
      </c>
      <c r="D13756" t="s">
        <v>37273</v>
      </c>
      <c r="F13756" t="s">
        <v>37277</v>
      </c>
      <c r="K13756" s="18">
        <f>62811838213</f>
        <v>62811838213</v>
      </c>
      <c r="N13756" s="17" t="s">
        <v>77</v>
      </c>
      <c r="V13756" s="18">
        <f>62811838213</f>
        <v>62811838213</v>
      </c>
    </row>
    <row r="13757" ht="15" customHeight="1" spans="1:28" x14ac:dyDescent="0.25">
      <c r="A13757" s="17" t="s">
        <v>37278</v>
      </c>
      <c r="B13757" s="17" t="s">
        <v>70</v>
      </c>
      <c r="C13757" s="17" t="s">
        <v>71</v>
      </c>
      <c r="D13757" t="s">
        <v>14260</v>
      </c>
      <c r="F13757" t="s">
        <v>14260</v>
      </c>
      <c r="J13757" t="s">
        <v>115</v>
      </c>
      <c r="K13757" s="18" t="s">
        <v>37279</v>
      </c>
      <c r="N13757" s="17" t="s">
        <v>77</v>
      </c>
      <c r="O13757" t="s">
        <v>117</v>
      </c>
      <c r="V13757" s="18" t="s">
        <v>37279</v>
      </c>
      <c r="Y13757" t="s">
        <v>90</v>
      </c>
      <c r="AA13757" t="s">
        <v>118</v>
      </c>
      <c r="AB13757" t="s">
        <v>119</v>
      </c>
    </row>
    <row r="13758" ht="15" customHeight="1" spans="1:25" x14ac:dyDescent="0.25">
      <c r="A13758" s="17" t="s">
        <v>37280</v>
      </c>
      <c r="B13758" s="17" t="s">
        <v>70</v>
      </c>
      <c r="C13758" s="17" t="s">
        <v>71</v>
      </c>
      <c r="D13758" t="s">
        <v>14260</v>
      </c>
      <c r="F13758" t="s">
        <v>37281</v>
      </c>
      <c r="K13758" s="18">
        <f>62816438216</f>
        <v>62816438216</v>
      </c>
      <c r="N13758" s="17" t="s">
        <v>77</v>
      </c>
      <c r="U13758" s="17"/>
      <c r="V13758" s="18">
        <f>62816438216</f>
        <v>62816438216</v>
      </c>
      <c r="W13758" t="s">
        <v>37282</v>
      </c>
      <c r="Y13758" s="17" t="s">
        <v>1084</v>
      </c>
    </row>
    <row r="13759" ht="15" customHeight="1" spans="1:22" x14ac:dyDescent="0.25">
      <c r="A13759" s="17" t="s">
        <v>37283</v>
      </c>
      <c r="B13759" s="17" t="s">
        <v>70</v>
      </c>
      <c r="C13759" s="17" t="s">
        <v>71</v>
      </c>
      <c r="D13759" t="s">
        <v>14260</v>
      </c>
      <c r="F13759" t="s">
        <v>16755</v>
      </c>
      <c r="K13759" s="18">
        <f>628121035121</f>
        <v>628121035121</v>
      </c>
      <c r="N13759" s="17" t="s">
        <v>81</v>
      </c>
      <c r="V13759" s="18">
        <f>628121035121</f>
        <v>628121035121</v>
      </c>
    </row>
    <row r="13760" ht="15" customHeight="1" spans="1:25" x14ac:dyDescent="0.25">
      <c r="A13760" s="17" t="s">
        <v>37284</v>
      </c>
      <c r="B13760" s="17" t="s">
        <v>70</v>
      </c>
      <c r="C13760" s="17" t="s">
        <v>71</v>
      </c>
      <c r="D13760" t="s">
        <v>37285</v>
      </c>
      <c r="F13760" t="s">
        <v>37286</v>
      </c>
      <c r="K13760" s="18">
        <f>62811378023</f>
        <v>62811378023</v>
      </c>
      <c r="N13760" s="17" t="s">
        <v>77</v>
      </c>
      <c r="U13760" s="17"/>
      <c r="V13760" s="18">
        <f>62811378023</f>
        <v>62811378023</v>
      </c>
      <c r="W13760" t="s">
        <v>37287</v>
      </c>
      <c r="Y13760" s="17" t="s">
        <v>96</v>
      </c>
    </row>
    <row r="13761" ht="15" customHeight="1" spans="1:22" x14ac:dyDescent="0.25">
      <c r="A13761" s="17" t="s">
        <v>37288</v>
      </c>
      <c r="B13761" s="17" t="s">
        <v>70</v>
      </c>
      <c r="C13761" s="17" t="s">
        <v>71</v>
      </c>
      <c r="D13761" t="s">
        <v>37289</v>
      </c>
      <c r="F13761" t="s">
        <v>37289</v>
      </c>
      <c r="K13761" s="18">
        <f>6281932896139</f>
        <v>6281932896139</v>
      </c>
      <c r="N13761" s="17" t="s">
        <v>77</v>
      </c>
      <c r="V13761" s="18">
        <f>6281932896139</f>
        <v>6281932896139</v>
      </c>
    </row>
    <row r="13762" ht="15" customHeight="1" spans="1:22" x14ac:dyDescent="0.25">
      <c r="A13762" s="17" t="s">
        <v>37290</v>
      </c>
      <c r="B13762" s="17" t="s">
        <v>70</v>
      </c>
      <c r="C13762" s="17" t="s">
        <v>71</v>
      </c>
      <c r="D13762" t="s">
        <v>37289</v>
      </c>
      <c r="F13762" t="s">
        <v>37291</v>
      </c>
      <c r="K13762" s="18">
        <f>6281218767606</f>
        <v>6281218767606</v>
      </c>
      <c r="N13762" s="17" t="s">
        <v>74</v>
      </c>
      <c r="V13762" s="18">
        <f>6281218767606</f>
        <v>6281218767606</v>
      </c>
    </row>
    <row r="13763" ht="15" customHeight="1" spans="1:28" x14ac:dyDescent="0.25">
      <c r="A13763" s="17" t="s">
        <v>37292</v>
      </c>
      <c r="B13763" s="17" t="s">
        <v>70</v>
      </c>
      <c r="C13763" s="17" t="s">
        <v>71</v>
      </c>
      <c r="D13763" t="s">
        <v>37289</v>
      </c>
      <c r="F13763" t="s">
        <v>37293</v>
      </c>
      <c r="J13763" s="17" t="s">
        <v>37294</v>
      </c>
      <c r="K13763" s="18" t="s">
        <v>37295</v>
      </c>
      <c r="N13763" s="17" t="s">
        <v>77</v>
      </c>
      <c r="O13763" t="s">
        <v>117</v>
      </c>
      <c r="V13763" s="18" t="s">
        <v>37295</v>
      </c>
      <c r="Y13763" t="s">
        <v>1084</v>
      </c>
      <c r="AA13763" t="s">
        <v>3146</v>
      </c>
      <c r="AB13763" t="s">
        <v>119</v>
      </c>
    </row>
    <row r="13764" ht="15" customHeight="1" spans="1:28" x14ac:dyDescent="0.25">
      <c r="A13764" s="17" t="s">
        <v>37296</v>
      </c>
      <c r="B13764" s="17" t="s">
        <v>70</v>
      </c>
      <c r="C13764" s="17" t="s">
        <v>71</v>
      </c>
      <c r="D13764" t="s">
        <v>37289</v>
      </c>
      <c r="F13764" t="s">
        <v>37297</v>
      </c>
      <c r="J13764" t="s">
        <v>115</v>
      </c>
      <c r="K13764" s="18" t="s">
        <v>37298</v>
      </c>
      <c r="N13764" s="17" t="s">
        <v>77</v>
      </c>
      <c r="O13764" t="s">
        <v>145</v>
      </c>
      <c r="V13764" s="18" t="s">
        <v>37298</v>
      </c>
      <c r="Y13764" t="s">
        <v>490</v>
      </c>
      <c r="AA13764" t="s">
        <v>115</v>
      </c>
      <c r="AB13764" t="s">
        <v>119</v>
      </c>
    </row>
    <row r="13765" ht="15" customHeight="1" spans="1:28" x14ac:dyDescent="0.25">
      <c r="A13765" s="17" t="s">
        <v>37299</v>
      </c>
      <c r="B13765" s="17" t="s">
        <v>70</v>
      </c>
      <c r="C13765" s="17" t="s">
        <v>71</v>
      </c>
      <c r="D13765" t="s">
        <v>37300</v>
      </c>
      <c r="F13765" t="s">
        <v>2159</v>
      </c>
      <c r="J13765" t="s">
        <v>115</v>
      </c>
      <c r="K13765" s="18" t="s">
        <v>37301</v>
      </c>
      <c r="N13765" s="17" t="s">
        <v>77</v>
      </c>
      <c r="O13765" t="s">
        <v>117</v>
      </c>
      <c r="V13765" s="18" t="s">
        <v>37301</v>
      </c>
      <c r="Y13765" t="s">
        <v>90</v>
      </c>
      <c r="AA13765" t="s">
        <v>118</v>
      </c>
      <c r="AB13765" t="s">
        <v>119</v>
      </c>
    </row>
    <row r="13766" ht="15" customHeight="1" spans="1:28" x14ac:dyDescent="0.25">
      <c r="A13766" s="17" t="s">
        <v>37302</v>
      </c>
      <c r="B13766" s="17" t="s">
        <v>70</v>
      </c>
      <c r="C13766" s="17" t="s">
        <v>71</v>
      </c>
      <c r="D13766" t="s">
        <v>37303</v>
      </c>
      <c r="F13766" t="s">
        <v>212</v>
      </c>
      <c r="J13766" s="17" t="s">
        <v>37304</v>
      </c>
      <c r="K13766" s="18" t="s">
        <v>37305</v>
      </c>
      <c r="N13766" s="17" t="s">
        <v>77</v>
      </c>
      <c r="O13766" t="s">
        <v>145</v>
      </c>
      <c r="U13766" s="17"/>
      <c r="V13766" s="18" t="s">
        <v>37305</v>
      </c>
      <c r="W13766" t="s">
        <v>37306</v>
      </c>
      <c r="Y13766" t="s">
        <v>190</v>
      </c>
      <c r="AA13766" s="17" t="s">
        <v>118</v>
      </c>
      <c r="AB13766" t="s">
        <v>119</v>
      </c>
    </row>
    <row r="13767" ht="15" customHeight="1" spans="1:22" x14ac:dyDescent="0.25">
      <c r="A13767" s="17" t="s">
        <v>37307</v>
      </c>
      <c r="B13767" s="17" t="s">
        <v>70</v>
      </c>
      <c r="C13767" s="17" t="s">
        <v>71</v>
      </c>
      <c r="D13767" s="19" t="s">
        <v>37308</v>
      </c>
      <c r="F13767" t="s">
        <v>36644</v>
      </c>
      <c r="K13767" s="18">
        <f>6281574787242</f>
        <v>6281574787242</v>
      </c>
      <c r="N13767" s="17" t="s">
        <v>77</v>
      </c>
      <c r="V13767" s="18">
        <f>6281574787242</f>
        <v>6281574787242</v>
      </c>
    </row>
    <row r="13768" ht="15" customHeight="1" spans="1:22" x14ac:dyDescent="0.25">
      <c r="A13768" s="17" t="s">
        <v>37309</v>
      </c>
      <c r="B13768" s="17" t="s">
        <v>70</v>
      </c>
      <c r="C13768" s="17" t="s">
        <v>71</v>
      </c>
      <c r="D13768" t="s">
        <v>3432</v>
      </c>
      <c r="F13768" t="s">
        <v>2380</v>
      </c>
      <c r="K13768" s="18">
        <f>62818822800</f>
        <v>62818822800</v>
      </c>
      <c r="N13768" s="17" t="s">
        <v>77</v>
      </c>
      <c r="V13768" s="18">
        <f>62818822800</f>
        <v>62818822800</v>
      </c>
    </row>
    <row r="13769" ht="15" customHeight="1" spans="1:27" x14ac:dyDescent="0.25">
      <c r="A13769" s="17" t="s">
        <v>37310</v>
      </c>
      <c r="B13769" s="17" t="s">
        <v>70</v>
      </c>
      <c r="C13769" s="17" t="s">
        <v>71</v>
      </c>
      <c r="D13769" t="s">
        <v>3432</v>
      </c>
      <c r="F13769" t="s">
        <v>37311</v>
      </c>
      <c r="K13769" s="18">
        <f>628568051892</f>
        <v>628568051892</v>
      </c>
      <c r="N13769" s="17" t="s">
        <v>77</v>
      </c>
      <c r="U13769" s="17"/>
      <c r="V13769" s="18">
        <f>628568051892</f>
        <v>628568051892</v>
      </c>
      <c r="W13769" t="s">
        <v>37312</v>
      </c>
      <c r="Y13769" s="17" t="s">
        <v>626</v>
      </c>
      <c r="AA13769" s="17" t="s">
        <v>37313</v>
      </c>
    </row>
    <row r="13770" ht="15" customHeight="1" spans="1:22" x14ac:dyDescent="0.25">
      <c r="A13770" s="17" t="s">
        <v>37314</v>
      </c>
      <c r="B13770" s="17" t="s">
        <v>70</v>
      </c>
      <c r="C13770" s="17" t="s">
        <v>71</v>
      </c>
      <c r="D13770" t="s">
        <v>37315</v>
      </c>
      <c r="F13770" t="s">
        <v>15381</v>
      </c>
      <c r="K13770" s="18">
        <f>62816967686</f>
        <v>62816967686</v>
      </c>
      <c r="N13770" s="17" t="s">
        <v>81</v>
      </c>
      <c r="V13770" s="18">
        <f>62816967686</f>
        <v>62816967686</v>
      </c>
    </row>
    <row r="13771" ht="15" customHeight="1" spans="1:28" x14ac:dyDescent="0.25">
      <c r="A13771" s="17" t="s">
        <v>37316</v>
      </c>
      <c r="B13771" s="17" t="s">
        <v>70</v>
      </c>
      <c r="C13771" s="17" t="s">
        <v>71</v>
      </c>
      <c r="D13771" t="s">
        <v>37317</v>
      </c>
      <c r="F13771" t="s">
        <v>7124</v>
      </c>
      <c r="J13771" s="17" t="s">
        <v>37318</v>
      </c>
      <c r="K13771" s="18" t="s">
        <v>37319</v>
      </c>
      <c r="N13771" s="17" t="s">
        <v>77</v>
      </c>
      <c r="O13771" t="s">
        <v>199</v>
      </c>
      <c r="V13771" s="18" t="s">
        <v>37319</v>
      </c>
      <c r="Y13771" t="s">
        <v>190</v>
      </c>
      <c r="AA13771" t="s">
        <v>118</v>
      </c>
      <c r="AB13771" t="s">
        <v>119</v>
      </c>
    </row>
    <row r="13772" ht="15" customHeight="1" spans="1:25" x14ac:dyDescent="0.25">
      <c r="A13772" s="17" t="s">
        <v>37320</v>
      </c>
      <c r="B13772" s="17" t="s">
        <v>70</v>
      </c>
      <c r="C13772" s="17" t="s">
        <v>71</v>
      </c>
      <c r="D13772" t="s">
        <v>37321</v>
      </c>
      <c r="F13772" t="s">
        <v>37321</v>
      </c>
      <c r="K13772" s="18">
        <f>62811935417</f>
        <v>62811935417</v>
      </c>
      <c r="N13772" s="17" t="s">
        <v>74</v>
      </c>
      <c r="U13772" s="17"/>
      <c r="V13772" s="18">
        <f>62811935417</f>
        <v>62811935417</v>
      </c>
      <c r="W13772" t="s">
        <v>37322</v>
      </c>
      <c r="Y13772" s="17" t="s">
        <v>90</v>
      </c>
    </row>
    <row r="13773" ht="15" customHeight="1" spans="1:28" x14ac:dyDescent="0.25">
      <c r="A13773" s="17" t="s">
        <v>37323</v>
      </c>
      <c r="B13773" s="17" t="s">
        <v>70</v>
      </c>
      <c r="C13773" s="17" t="s">
        <v>71</v>
      </c>
      <c r="D13773" t="s">
        <v>37324</v>
      </c>
      <c r="F13773" t="s">
        <v>22492</v>
      </c>
      <c r="J13773" t="s">
        <v>115</v>
      </c>
      <c r="K13773" s="18" t="s">
        <v>37325</v>
      </c>
      <c r="N13773" s="17" t="s">
        <v>77</v>
      </c>
      <c r="O13773" t="s">
        <v>199</v>
      </c>
      <c r="V13773" s="18" t="s">
        <v>37325</v>
      </c>
      <c r="Y13773" t="s">
        <v>90</v>
      </c>
      <c r="AA13773" t="s">
        <v>118</v>
      </c>
      <c r="AB13773" t="s">
        <v>119</v>
      </c>
    </row>
    <row r="13774" ht="15" customHeight="1" spans="1:28" x14ac:dyDescent="0.25">
      <c r="A13774" s="17" t="s">
        <v>37326</v>
      </c>
      <c r="B13774" s="17" t="s">
        <v>70</v>
      </c>
      <c r="C13774" s="17" t="s">
        <v>71</v>
      </c>
      <c r="D13774" t="s">
        <v>37327</v>
      </c>
      <c r="F13774" t="s">
        <v>9872</v>
      </c>
      <c r="J13774" t="s">
        <v>115</v>
      </c>
      <c r="K13774" s="18" t="s">
        <v>37328</v>
      </c>
      <c r="N13774" s="17" t="s">
        <v>77</v>
      </c>
      <c r="O13774" t="s">
        <v>145</v>
      </c>
      <c r="U13774" s="17"/>
      <c r="V13774" s="18" t="s">
        <v>37328</v>
      </c>
      <c r="W13774" t="s">
        <v>7579</v>
      </c>
      <c r="Y13774" t="s">
        <v>190</v>
      </c>
      <c r="AA13774" t="s">
        <v>118</v>
      </c>
      <c r="AB13774" t="s">
        <v>119</v>
      </c>
    </row>
    <row r="13775" ht="15" customHeight="1" spans="1:22" x14ac:dyDescent="0.25">
      <c r="A13775" s="17" t="s">
        <v>37329</v>
      </c>
      <c r="B13775" s="17" t="s">
        <v>70</v>
      </c>
      <c r="C13775" s="17" t="s">
        <v>71</v>
      </c>
      <c r="D13775" t="s">
        <v>37330</v>
      </c>
      <c r="F13775" t="s">
        <v>37330</v>
      </c>
      <c r="K13775" s="18">
        <f>6282260777039</f>
        <v>6282260777039</v>
      </c>
      <c r="N13775" s="17" t="s">
        <v>77</v>
      </c>
      <c r="V13775" s="18">
        <f>6282260777039</f>
        <v>6282260777039</v>
      </c>
    </row>
    <row r="13776" ht="15" customHeight="1" spans="1:28" x14ac:dyDescent="0.25">
      <c r="A13776" s="17" t="s">
        <v>37331</v>
      </c>
      <c r="B13776" s="17" t="s">
        <v>70</v>
      </c>
      <c r="C13776" s="17" t="s">
        <v>71</v>
      </c>
      <c r="D13776" t="s">
        <v>37332</v>
      </c>
      <c r="F13776" t="s">
        <v>37332</v>
      </c>
      <c r="J13776" t="s">
        <v>115</v>
      </c>
      <c r="K13776" s="18" t="s">
        <v>37333</v>
      </c>
      <c r="N13776" s="17" t="s">
        <v>74</v>
      </c>
      <c r="O13776" t="s">
        <v>1188</v>
      </c>
      <c r="U13776" s="17"/>
      <c r="V13776" s="18" t="s">
        <v>37333</v>
      </c>
      <c r="W13776" t="s">
        <v>37334</v>
      </c>
      <c r="Y13776" t="s">
        <v>190</v>
      </c>
      <c r="AA13776" t="s">
        <v>118</v>
      </c>
      <c r="AB13776" t="s">
        <v>119</v>
      </c>
    </row>
    <row r="13777" ht="15" customHeight="1" spans="1:22" x14ac:dyDescent="0.25">
      <c r="A13777" s="17" t="s">
        <v>37335</v>
      </c>
      <c r="B13777" s="17" t="s">
        <v>70</v>
      </c>
      <c r="C13777" s="17" t="s">
        <v>71</v>
      </c>
      <c r="D13777" t="s">
        <v>37336</v>
      </c>
      <c r="F13777" t="s">
        <v>37337</v>
      </c>
      <c r="K13777" s="18">
        <f>6281357035144</f>
        <v>6281357035144</v>
      </c>
      <c r="N13777" s="17" t="s">
        <v>81</v>
      </c>
      <c r="V13777" s="18">
        <f>6281357035144</f>
        <v>6281357035144</v>
      </c>
    </row>
    <row r="13778" ht="15" customHeight="1" spans="1:23" x14ac:dyDescent="0.25">
      <c r="A13778" s="17" t="s">
        <v>37338</v>
      </c>
      <c r="B13778" s="17" t="s">
        <v>70</v>
      </c>
      <c r="C13778" s="17" t="s">
        <v>71</v>
      </c>
      <c r="D13778" t="s">
        <v>37339</v>
      </c>
      <c r="F13778" t="s">
        <v>1711</v>
      </c>
      <c r="K13778" s="18">
        <f>79166465987</f>
        <v>79166465987</v>
      </c>
      <c r="N13778" s="17" t="s">
        <v>77</v>
      </c>
      <c r="U13778" s="17"/>
      <c r="V13778" s="18">
        <f>79166465987</f>
        <v>79166465987</v>
      </c>
      <c r="W13778" t="s">
        <v>1908</v>
      </c>
    </row>
    <row r="13779" ht="15" customHeight="1" spans="1:22" x14ac:dyDescent="0.25">
      <c r="A13779" s="17" t="s">
        <v>37340</v>
      </c>
      <c r="B13779" s="17" t="s">
        <v>70</v>
      </c>
      <c r="C13779" s="17" t="s">
        <v>71</v>
      </c>
      <c r="D13779" t="s">
        <v>37341</v>
      </c>
      <c r="F13779" t="s">
        <v>37341</v>
      </c>
      <c r="K13779" s="18">
        <f>6281807895555</f>
        <v>6281807895555</v>
      </c>
      <c r="N13779" s="17" t="s">
        <v>81</v>
      </c>
      <c r="V13779" s="18">
        <f>6281807895555</f>
        <v>6281807895555</v>
      </c>
    </row>
    <row r="13780" ht="15" customHeight="1" spans="1:23" x14ac:dyDescent="0.25">
      <c r="A13780" s="17" t="s">
        <v>37342</v>
      </c>
      <c r="B13780" s="17" t="s">
        <v>70</v>
      </c>
      <c r="C13780" s="17" t="s">
        <v>71</v>
      </c>
      <c r="D13780" t="s">
        <v>37343</v>
      </c>
      <c r="F13780" t="s">
        <v>37344</v>
      </c>
      <c r="K13780" s="18">
        <f>6285738679496</f>
        <v>6285738679496</v>
      </c>
      <c r="N13780" s="17" t="s">
        <v>77</v>
      </c>
      <c r="U13780" s="17"/>
      <c r="V13780" s="18">
        <f>6285738679496</f>
        <v>6285738679496</v>
      </c>
      <c r="W13780" t="s">
        <v>4036</v>
      </c>
    </row>
    <row r="13781" ht="15" customHeight="1" spans="1:22" x14ac:dyDescent="0.25">
      <c r="A13781" s="17" t="s">
        <v>37345</v>
      </c>
      <c r="B13781" s="17" t="s">
        <v>70</v>
      </c>
      <c r="C13781" s="17" t="s">
        <v>71</v>
      </c>
      <c r="D13781" t="s">
        <v>37346</v>
      </c>
      <c r="F13781" t="s">
        <v>37346</v>
      </c>
      <c r="K13781" s="18">
        <f>628159993232</f>
        <v>628159993232</v>
      </c>
      <c r="N13781" s="17" t="s">
        <v>81</v>
      </c>
      <c r="V13781" s="18">
        <f>628159993232</f>
        <v>628159993232</v>
      </c>
    </row>
    <row r="13782" ht="15" customHeight="1" spans="1:22" x14ac:dyDescent="0.25">
      <c r="A13782" s="17" t="s">
        <v>37347</v>
      </c>
      <c r="B13782" s="17" t="s">
        <v>70</v>
      </c>
      <c r="C13782" s="17" t="s">
        <v>71</v>
      </c>
      <c r="D13782" t="s">
        <v>37346</v>
      </c>
      <c r="F13782" t="s">
        <v>37348</v>
      </c>
      <c r="J13782" s="17" t="s">
        <v>37349</v>
      </c>
      <c r="K13782" s="18">
        <f>6281293392993</f>
        <v>6281293392993</v>
      </c>
      <c r="N13782" s="17" t="s">
        <v>77</v>
      </c>
      <c r="V13782" s="18">
        <f>6281293392993</f>
        <v>6281293392993</v>
      </c>
    </row>
    <row r="13783" ht="15" customHeight="1" spans="1:22" x14ac:dyDescent="0.25">
      <c r="A13783" s="17" t="s">
        <v>37350</v>
      </c>
      <c r="B13783" s="17" t="s">
        <v>70</v>
      </c>
      <c r="C13783" s="17" t="s">
        <v>71</v>
      </c>
      <c r="D13783" t="s">
        <v>37346</v>
      </c>
      <c r="F13783" t="s">
        <v>28109</v>
      </c>
      <c r="K13783" s="18">
        <f>6287780856717</f>
        <v>6287780856717</v>
      </c>
      <c r="N13783" s="17" t="s">
        <v>77</v>
      </c>
      <c r="V13783" s="18">
        <f>6287780856717</f>
        <v>6287780856717</v>
      </c>
    </row>
    <row r="13784" ht="15" customHeight="1" spans="1:23" x14ac:dyDescent="0.25">
      <c r="A13784" s="17" t="s">
        <v>37351</v>
      </c>
      <c r="B13784" s="17" t="s">
        <v>70</v>
      </c>
      <c r="C13784" s="17" t="s">
        <v>71</v>
      </c>
      <c r="D13784" t="s">
        <v>37346</v>
      </c>
      <c r="F13784" t="s">
        <v>14821</v>
      </c>
      <c r="J13784" s="17" t="s">
        <v>37352</v>
      </c>
      <c r="K13784" s="18">
        <f>681381129681</f>
        <v>681381129681</v>
      </c>
      <c r="N13784" s="17" t="s">
        <v>74</v>
      </c>
      <c r="U13784" s="17"/>
      <c r="V13784" s="18">
        <f>681381129681</f>
        <v>681381129681</v>
      </c>
      <c r="W13784" t="s">
        <v>37353</v>
      </c>
    </row>
    <row r="13785" ht="15" customHeight="1" spans="1:27" x14ac:dyDescent="0.25">
      <c r="A13785" s="17" t="s">
        <v>37354</v>
      </c>
      <c r="B13785" s="17" t="s">
        <v>70</v>
      </c>
      <c r="C13785" s="17" t="s">
        <v>71</v>
      </c>
      <c r="D13785" t="s">
        <v>37355</v>
      </c>
      <c r="F13785" t="s">
        <v>37356</v>
      </c>
      <c r="J13785" s="17" t="s">
        <v>37357</v>
      </c>
      <c r="K13785" s="18">
        <f>61413742278</f>
        <v>61413742278</v>
      </c>
      <c r="N13785" s="17" t="s">
        <v>81</v>
      </c>
      <c r="U13785" s="17"/>
      <c r="V13785" s="18">
        <f>61413742278</f>
        <v>61413742278</v>
      </c>
      <c r="W13785" t="s">
        <v>37358</v>
      </c>
      <c r="AA13785" s="17">
        <v>3044</v>
      </c>
    </row>
    <row r="13786" ht="15" customHeight="1" spans="1:23" x14ac:dyDescent="0.25">
      <c r="A13786" s="17" t="s">
        <v>37359</v>
      </c>
      <c r="B13786" s="17" t="s">
        <v>70</v>
      </c>
      <c r="C13786" s="17" t="s">
        <v>71</v>
      </c>
      <c r="D13786" t="s">
        <v>37355</v>
      </c>
      <c r="F13786" t="s">
        <v>37360</v>
      </c>
      <c r="J13786" s="17" t="s">
        <v>37361</v>
      </c>
      <c r="K13786" s="18">
        <f>628161685518</f>
        <v>628161685518</v>
      </c>
      <c r="N13786" s="17" t="s">
        <v>81</v>
      </c>
      <c r="U13786" s="17"/>
      <c r="V13786" s="18">
        <f>628161685518</f>
        <v>628161685518</v>
      </c>
      <c r="W13786" t="s">
        <v>37362</v>
      </c>
    </row>
    <row r="13787" ht="15" customHeight="1" spans="1:22" x14ac:dyDescent="0.25">
      <c r="A13787" s="17" t="s">
        <v>37363</v>
      </c>
      <c r="B13787" s="17" t="s">
        <v>70</v>
      </c>
      <c r="C13787" s="17" t="s">
        <v>71</v>
      </c>
      <c r="D13787" t="s">
        <v>31505</v>
      </c>
      <c r="F13787" t="s">
        <v>31505</v>
      </c>
      <c r="K13787" s="18">
        <f>62818112255</f>
        <v>62818112255</v>
      </c>
      <c r="N13787" s="17" t="s">
        <v>74</v>
      </c>
      <c r="V13787" s="18">
        <f>62818112255</f>
        <v>62818112255</v>
      </c>
    </row>
    <row r="13788" ht="15" customHeight="1" spans="1:23" x14ac:dyDescent="0.25">
      <c r="A13788" s="17" t="s">
        <v>37364</v>
      </c>
      <c r="B13788" s="17" t="s">
        <v>70</v>
      </c>
      <c r="C13788" s="17" t="s">
        <v>71</v>
      </c>
      <c r="D13788" t="s">
        <v>37365</v>
      </c>
      <c r="F13788" t="s">
        <v>16492</v>
      </c>
      <c r="K13788" s="18">
        <f>6282210020004</f>
        <v>6282210020004</v>
      </c>
      <c r="N13788" s="17" t="s">
        <v>81</v>
      </c>
      <c r="U13788" s="17"/>
      <c r="V13788" s="18">
        <f>6282210020004</f>
        <v>6282210020004</v>
      </c>
      <c r="W13788" t="s">
        <v>3214</v>
      </c>
    </row>
    <row r="13789" ht="15" customHeight="1" spans="1:28" x14ac:dyDescent="0.25">
      <c r="A13789" s="17" t="s">
        <v>37366</v>
      </c>
      <c r="B13789" s="17" t="s">
        <v>70</v>
      </c>
      <c r="C13789" s="17" t="s">
        <v>71</v>
      </c>
      <c r="D13789" t="s">
        <v>24728</v>
      </c>
      <c r="F13789" t="s">
        <v>37367</v>
      </c>
      <c r="J13789" t="s">
        <v>115</v>
      </c>
      <c r="K13789" s="18" t="s">
        <v>37368</v>
      </c>
      <c r="N13789" s="17" t="s">
        <v>77</v>
      </c>
      <c r="O13789" t="s">
        <v>261</v>
      </c>
      <c r="V13789" s="18" t="s">
        <v>37368</v>
      </c>
      <c r="Y13789" t="s">
        <v>90</v>
      </c>
      <c r="AA13789" t="s">
        <v>118</v>
      </c>
      <c r="AB13789" t="s">
        <v>119</v>
      </c>
    </row>
    <row r="13790" ht="15" customHeight="1" spans="1:27" x14ac:dyDescent="0.25">
      <c r="A13790" s="17" t="s">
        <v>37369</v>
      </c>
      <c r="B13790" s="17" t="s">
        <v>70</v>
      </c>
      <c r="C13790" s="17" t="s">
        <v>71</v>
      </c>
      <c r="D13790" t="s">
        <v>24728</v>
      </c>
      <c r="F13790" t="s">
        <v>13426</v>
      </c>
      <c r="J13790" s="17" t="s">
        <v>37370</v>
      </c>
      <c r="K13790" s="18">
        <v>15618374971</v>
      </c>
      <c r="N13790" s="17" t="s">
        <v>77</v>
      </c>
      <c r="U13790" s="17"/>
      <c r="V13790" s="18">
        <v>15618374971</v>
      </c>
      <c r="W13790" t="s">
        <v>37371</v>
      </c>
      <c r="Y13790" s="17" t="s">
        <v>37372</v>
      </c>
      <c r="AA13790" s="17">
        <v>201210</v>
      </c>
    </row>
    <row r="13791" ht="15" customHeight="1" spans="1:23" x14ac:dyDescent="0.25">
      <c r="A13791" s="17" t="s">
        <v>37373</v>
      </c>
      <c r="B13791" s="17" t="s">
        <v>70</v>
      </c>
      <c r="C13791" s="17" t="s">
        <v>71</v>
      </c>
      <c r="D13791" t="s">
        <v>24728</v>
      </c>
      <c r="F13791" t="s">
        <v>37374</v>
      </c>
      <c r="J13791" s="17" t="s">
        <v>37375</v>
      </c>
      <c r="K13791" s="18">
        <f>6281316786589</f>
        <v>6281316786589</v>
      </c>
      <c r="N13791" s="17" t="s">
        <v>77</v>
      </c>
      <c r="U13791" s="17"/>
      <c r="V13791" s="18">
        <f>6281316786589</f>
        <v>6281316786589</v>
      </c>
      <c r="W13791" t="s">
        <v>37376</v>
      </c>
    </row>
    <row r="13792" ht="15" customHeight="1" spans="1:28" x14ac:dyDescent="0.25">
      <c r="A13792" s="17" t="s">
        <v>37377</v>
      </c>
      <c r="B13792" s="17" t="s">
        <v>70</v>
      </c>
      <c r="C13792" s="17" t="s">
        <v>71</v>
      </c>
      <c r="D13792" t="s">
        <v>11315</v>
      </c>
      <c r="F13792" t="s">
        <v>24728</v>
      </c>
      <c r="J13792" s="17" t="s">
        <v>37378</v>
      </c>
      <c r="K13792" s="18" t="s">
        <v>37379</v>
      </c>
      <c r="N13792" s="17" t="s">
        <v>77</v>
      </c>
      <c r="O13792" t="s">
        <v>199</v>
      </c>
      <c r="V13792" s="18" t="s">
        <v>37379</v>
      </c>
      <c r="Y13792" s="17" t="s">
        <v>6937</v>
      </c>
      <c r="AA13792" t="s">
        <v>115</v>
      </c>
      <c r="AB13792" t="s">
        <v>6937</v>
      </c>
    </row>
    <row r="13793" ht="15" customHeight="1" spans="1:23" x14ac:dyDescent="0.25">
      <c r="A13793" s="17" t="s">
        <v>37380</v>
      </c>
      <c r="B13793" s="17" t="s">
        <v>70</v>
      </c>
      <c r="C13793" s="17" t="s">
        <v>71</v>
      </c>
      <c r="D13793" t="s">
        <v>24728</v>
      </c>
      <c r="F13793" t="s">
        <v>37381</v>
      </c>
      <c r="K13793" s="18">
        <f>628118401548</f>
        <v>628118401548</v>
      </c>
      <c r="N13793" s="17" t="s">
        <v>81</v>
      </c>
      <c r="U13793" s="17"/>
      <c r="V13793" s="18">
        <f>628118401548</f>
        <v>628118401548</v>
      </c>
      <c r="W13793" t="s">
        <v>37382</v>
      </c>
    </row>
    <row r="13794" ht="15" customHeight="1" spans="1:22" x14ac:dyDescent="0.25">
      <c r="A13794" s="17" t="s">
        <v>37383</v>
      </c>
      <c r="B13794" s="17" t="s">
        <v>70</v>
      </c>
      <c r="C13794" s="17" t="s">
        <v>71</v>
      </c>
      <c r="D13794" t="s">
        <v>24728</v>
      </c>
      <c r="F13794" t="s">
        <v>37384</v>
      </c>
      <c r="K13794" s="18">
        <f>6281210051392</f>
        <v>6281210051392</v>
      </c>
      <c r="N13794" s="17" t="s">
        <v>81</v>
      </c>
      <c r="V13794" s="18">
        <f>6281210051392</f>
        <v>6281210051392</v>
      </c>
    </row>
    <row r="13795" ht="15" customHeight="1" spans="1:28" x14ac:dyDescent="0.25">
      <c r="A13795" s="17" t="s">
        <v>37385</v>
      </c>
      <c r="B13795" s="17" t="s">
        <v>70</v>
      </c>
      <c r="C13795" s="17" t="s">
        <v>71</v>
      </c>
      <c r="D13795" t="s">
        <v>24728</v>
      </c>
      <c r="F13795" t="s">
        <v>37386</v>
      </c>
      <c r="J13795" s="17" t="s">
        <v>37387</v>
      </c>
      <c r="K13795" s="18" t="s">
        <v>37388</v>
      </c>
      <c r="N13795" s="17" t="s">
        <v>77</v>
      </c>
      <c r="O13795" t="s">
        <v>117</v>
      </c>
      <c r="U13795" s="17"/>
      <c r="V13795" s="18" t="s">
        <v>37388</v>
      </c>
      <c r="W13795" t="s">
        <v>14838</v>
      </c>
      <c r="Y13795" t="s">
        <v>3140</v>
      </c>
      <c r="AA13795" t="s">
        <v>115</v>
      </c>
      <c r="AB13795" t="s">
        <v>3140</v>
      </c>
    </row>
    <row r="13796" ht="15" customHeight="1" spans="1:28" x14ac:dyDescent="0.25">
      <c r="A13796" s="17" t="s">
        <v>37389</v>
      </c>
      <c r="B13796" s="17" t="s">
        <v>70</v>
      </c>
      <c r="C13796" s="17" t="s">
        <v>71</v>
      </c>
      <c r="D13796" t="s">
        <v>37390</v>
      </c>
      <c r="F13796" t="s">
        <v>37391</v>
      </c>
      <c r="J13796" s="17" t="s">
        <v>37392</v>
      </c>
      <c r="K13796" s="18" t="s">
        <v>37393</v>
      </c>
      <c r="N13796" s="17" t="s">
        <v>77</v>
      </c>
      <c r="O13796" t="s">
        <v>145</v>
      </c>
      <c r="V13796" s="18" t="s">
        <v>37393</v>
      </c>
      <c r="Y13796" t="s">
        <v>115</v>
      </c>
      <c r="AA13796" t="s">
        <v>115</v>
      </c>
      <c r="AB13796" t="s">
        <v>3140</v>
      </c>
    </row>
    <row r="13797" ht="15" customHeight="1" spans="1:23" x14ac:dyDescent="0.25">
      <c r="A13797" s="17" t="s">
        <v>37394</v>
      </c>
      <c r="B13797" s="17" t="s">
        <v>70</v>
      </c>
      <c r="C13797" s="17" t="s">
        <v>71</v>
      </c>
      <c r="D13797" t="s">
        <v>37390</v>
      </c>
      <c r="F13797" t="s">
        <v>37395</v>
      </c>
      <c r="K13797" s="18">
        <f>8618868113919</f>
        <v>8618868113919</v>
      </c>
      <c r="N13797" s="17" t="s">
        <v>77</v>
      </c>
      <c r="U13797" s="17"/>
      <c r="V13797" s="18">
        <f>8618868113919</f>
        <v>8618868113919</v>
      </c>
      <c r="W13797" t="s">
        <v>3140</v>
      </c>
    </row>
    <row r="13798" ht="15" customHeight="1" spans="1:27" x14ac:dyDescent="0.25">
      <c r="A13798" s="17" t="s">
        <v>37396</v>
      </c>
      <c r="B13798" s="17" t="s">
        <v>70</v>
      </c>
      <c r="C13798" s="17" t="s">
        <v>71</v>
      </c>
      <c r="D13798" t="s">
        <v>37397</v>
      </c>
      <c r="F13798" t="s">
        <v>1898</v>
      </c>
      <c r="J13798" s="17" t="s">
        <v>37398</v>
      </c>
      <c r="K13798" s="18">
        <f>6282170678844</f>
        <v>6282170678844</v>
      </c>
      <c r="N13798" s="17" t="s">
        <v>81</v>
      </c>
      <c r="U13798" s="17"/>
      <c r="V13798" s="18">
        <f>6282170678844</f>
        <v>6282170678844</v>
      </c>
      <c r="W13798" t="s">
        <v>37399</v>
      </c>
      <c r="Y13798" s="17" t="s">
        <v>6840</v>
      </c>
      <c r="AA13798" s="17">
        <v>28142</v>
      </c>
    </row>
    <row r="13799" ht="15" customHeight="1" spans="1:23" x14ac:dyDescent="0.25">
      <c r="A13799" s="17" t="s">
        <v>37400</v>
      </c>
      <c r="B13799" s="17" t="s">
        <v>70</v>
      </c>
      <c r="C13799" s="17" t="s">
        <v>71</v>
      </c>
      <c r="D13799" t="s">
        <v>37401</v>
      </c>
      <c r="F13799" t="s">
        <v>26420</v>
      </c>
      <c r="K13799" s="18">
        <f>62817223382</f>
        <v>62817223382</v>
      </c>
      <c r="N13799" s="17" t="s">
        <v>77</v>
      </c>
      <c r="U13799" s="17"/>
      <c r="V13799" s="18">
        <f>62817223382</f>
        <v>62817223382</v>
      </c>
      <c r="W13799" t="s">
        <v>37402</v>
      </c>
    </row>
    <row r="13800" ht="15" customHeight="1" spans="1:27" x14ac:dyDescent="0.25">
      <c r="A13800" s="17" t="s">
        <v>37403</v>
      </c>
      <c r="B13800" s="17" t="s">
        <v>70</v>
      </c>
      <c r="C13800" s="17" t="s">
        <v>71</v>
      </c>
      <c r="D13800" t="s">
        <v>37404</v>
      </c>
      <c r="F13800" t="s">
        <v>37405</v>
      </c>
      <c r="K13800" s="18">
        <f>62811940182</f>
        <v>62811940182</v>
      </c>
      <c r="N13800" s="17" t="s">
        <v>81</v>
      </c>
      <c r="U13800" s="17"/>
      <c r="V13800" s="18">
        <f>62811940182</f>
        <v>62811940182</v>
      </c>
      <c r="W13800" t="s">
        <v>37406</v>
      </c>
      <c r="AA13800" s="17">
        <v>11830</v>
      </c>
    </row>
    <row r="13801" ht="15" customHeight="1" spans="1:28" x14ac:dyDescent="0.25">
      <c r="A13801" s="17" t="s">
        <v>37407</v>
      </c>
      <c r="B13801" s="17" t="s">
        <v>70</v>
      </c>
      <c r="C13801" s="17" t="s">
        <v>71</v>
      </c>
      <c r="D13801" t="s">
        <v>12183</v>
      </c>
      <c r="F13801" t="s">
        <v>12183</v>
      </c>
      <c r="J13801" t="s">
        <v>115</v>
      </c>
      <c r="K13801" s="18" t="s">
        <v>37408</v>
      </c>
      <c r="N13801" s="17" t="s">
        <v>77</v>
      </c>
      <c r="O13801" t="s">
        <v>117</v>
      </c>
      <c r="V13801" s="18" t="s">
        <v>37408</v>
      </c>
      <c r="Y13801" t="s">
        <v>1091</v>
      </c>
      <c r="AA13801" t="s">
        <v>115</v>
      </c>
      <c r="AB13801" t="s">
        <v>119</v>
      </c>
    </row>
    <row r="13802" ht="15" customHeight="1" spans="1:27" x14ac:dyDescent="0.25">
      <c r="A13802" s="17" t="s">
        <v>37409</v>
      </c>
      <c r="B13802" s="17" t="s">
        <v>70</v>
      </c>
      <c r="C13802" s="17" t="s">
        <v>71</v>
      </c>
      <c r="D13802" t="s">
        <v>12183</v>
      </c>
      <c r="F13802" t="s">
        <v>8419</v>
      </c>
      <c r="K13802" s="18">
        <f>62816245151</f>
        <v>62816245151</v>
      </c>
      <c r="N13802" s="17" t="s">
        <v>77</v>
      </c>
      <c r="U13802" s="17"/>
      <c r="V13802" s="18">
        <f>62816245151</f>
        <v>62816245151</v>
      </c>
      <c r="W13802" t="s">
        <v>37410</v>
      </c>
      <c r="Y13802" s="17" t="s">
        <v>1119</v>
      </c>
      <c r="AA13802" s="17" t="s">
        <v>37227</v>
      </c>
    </row>
    <row r="13803" ht="15" customHeight="1" spans="1:22" x14ac:dyDescent="0.25">
      <c r="A13803" s="17" t="s">
        <v>37411</v>
      </c>
      <c r="B13803" s="17" t="s">
        <v>70</v>
      </c>
      <c r="C13803" s="17" t="s">
        <v>71</v>
      </c>
      <c r="D13803" t="s">
        <v>12183</v>
      </c>
      <c r="F13803" t="s">
        <v>37412</v>
      </c>
      <c r="J13803" s="22" t="s">
        <v>37413</v>
      </c>
      <c r="K13803" s="18">
        <f>62811221088</f>
        <v>62811221088</v>
      </c>
      <c r="N13803" s="17" t="s">
        <v>81</v>
      </c>
      <c r="V13803" s="18">
        <f>62811221088</f>
        <v>62811221088</v>
      </c>
    </row>
    <row r="13804" ht="15" customHeight="1" spans="1:22" x14ac:dyDescent="0.25">
      <c r="A13804" s="17" t="s">
        <v>37414</v>
      </c>
      <c r="B13804" s="17" t="s">
        <v>70</v>
      </c>
      <c r="C13804" s="17" t="s">
        <v>71</v>
      </c>
      <c r="D13804" t="s">
        <v>12183</v>
      </c>
      <c r="F13804" t="s">
        <v>37415</v>
      </c>
      <c r="J13804" s="17" t="s">
        <v>37416</v>
      </c>
      <c r="K13804" s="18">
        <f>6281316161603</f>
        <v>6281316161603</v>
      </c>
      <c r="N13804" s="17" t="s">
        <v>77</v>
      </c>
      <c r="V13804" s="18">
        <f>6281316161603</f>
        <v>6281316161603</v>
      </c>
    </row>
    <row r="13805" ht="15" customHeight="1" spans="1:22" x14ac:dyDescent="0.25">
      <c r="A13805" s="17" t="s">
        <v>37417</v>
      </c>
      <c r="B13805" s="17" t="s">
        <v>70</v>
      </c>
      <c r="C13805" s="17" t="s">
        <v>71</v>
      </c>
      <c r="D13805" t="s">
        <v>37418</v>
      </c>
      <c r="F13805" t="s">
        <v>37418</v>
      </c>
      <c r="K13805" s="18">
        <f>62816890075</f>
        <v>62816890075</v>
      </c>
      <c r="N13805" s="17" t="s">
        <v>77</v>
      </c>
      <c r="V13805" s="18">
        <f>62816890075</f>
        <v>62816890075</v>
      </c>
    </row>
    <row r="13806" ht="15" customHeight="1" spans="1:22" x14ac:dyDescent="0.25">
      <c r="A13806" s="17" t="s">
        <v>37419</v>
      </c>
      <c r="B13806" s="17" t="s">
        <v>70</v>
      </c>
      <c r="C13806" s="17" t="s">
        <v>71</v>
      </c>
      <c r="D13806" t="s">
        <v>37418</v>
      </c>
      <c r="F13806" t="s">
        <v>37420</v>
      </c>
      <c r="K13806" s="18">
        <f>6281355111888</f>
        <v>6281355111888</v>
      </c>
      <c r="N13806" s="17" t="s">
        <v>81</v>
      </c>
      <c r="V13806" s="18">
        <f>6281355111888</f>
        <v>6281355111888</v>
      </c>
    </row>
    <row r="13807" ht="15" customHeight="1" spans="1:23" x14ac:dyDescent="0.25">
      <c r="A13807" s="17" t="s">
        <v>37421</v>
      </c>
      <c r="B13807" s="17" t="s">
        <v>70</v>
      </c>
      <c r="C13807" s="17" t="s">
        <v>71</v>
      </c>
      <c r="D13807" t="s">
        <v>37418</v>
      </c>
      <c r="F13807" t="s">
        <v>37422</v>
      </c>
      <c r="J13807" s="17" t="s">
        <v>37423</v>
      </c>
      <c r="K13807" s="18">
        <f>62811896755</f>
        <v>62811896755</v>
      </c>
      <c r="N13807" s="17" t="s">
        <v>81</v>
      </c>
      <c r="U13807" s="17"/>
      <c r="V13807" s="18">
        <f>62811896755</f>
        <v>62811896755</v>
      </c>
      <c r="W13807" t="s">
        <v>37424</v>
      </c>
    </row>
    <row r="13808" ht="15" customHeight="1" spans="1:28" x14ac:dyDescent="0.25">
      <c r="A13808" s="17" t="s">
        <v>37425</v>
      </c>
      <c r="B13808" s="17" t="s">
        <v>70</v>
      </c>
      <c r="C13808" s="17" t="s">
        <v>71</v>
      </c>
      <c r="D13808" t="s">
        <v>37426</v>
      </c>
      <c r="F13808" t="s">
        <v>15350</v>
      </c>
      <c r="J13808" t="s">
        <v>115</v>
      </c>
      <c r="K13808" s="18" t="s">
        <v>37427</v>
      </c>
      <c r="N13808" s="17" t="s">
        <v>77</v>
      </c>
      <c r="O13808" t="s">
        <v>261</v>
      </c>
      <c r="U13808" s="17"/>
      <c r="V13808" s="18" t="s">
        <v>37427</v>
      </c>
      <c r="W13808" t="s">
        <v>37428</v>
      </c>
      <c r="Y13808" t="s">
        <v>90</v>
      </c>
      <c r="AA13808" t="s">
        <v>118</v>
      </c>
      <c r="AB13808" t="s">
        <v>119</v>
      </c>
    </row>
    <row r="13809" ht="15" customHeight="1" spans="1:23" x14ac:dyDescent="0.25">
      <c r="A13809" s="17" t="s">
        <v>37429</v>
      </c>
      <c r="B13809" s="17" t="s">
        <v>70</v>
      </c>
      <c r="C13809" s="17" t="s">
        <v>71</v>
      </c>
      <c r="D13809" t="s">
        <v>37426</v>
      </c>
      <c r="F13809" t="s">
        <v>10251</v>
      </c>
      <c r="K13809" s="18">
        <f>62811233500</f>
        <v>62811233500</v>
      </c>
      <c r="N13809" s="17" t="s">
        <v>77</v>
      </c>
      <c r="U13809" s="17"/>
      <c r="V13809" s="18">
        <f>62811233500</f>
        <v>62811233500</v>
      </c>
      <c r="W13809" t="s">
        <v>90</v>
      </c>
    </row>
    <row r="13810" ht="15" customHeight="1" spans="1:22" x14ac:dyDescent="0.25">
      <c r="A13810" s="17" t="s">
        <v>37430</v>
      </c>
      <c r="B13810" s="17" t="s">
        <v>70</v>
      </c>
      <c r="C13810" s="17" t="s">
        <v>71</v>
      </c>
      <c r="D13810" t="s">
        <v>37426</v>
      </c>
      <c r="F13810" t="s">
        <v>8163</v>
      </c>
      <c r="K13810" s="18">
        <f>628111887042</f>
        <v>628111887042</v>
      </c>
      <c r="N13810" s="17" t="s">
        <v>77</v>
      </c>
      <c r="V13810" s="18">
        <f>628111887042</f>
        <v>628111887042</v>
      </c>
    </row>
    <row r="13811" ht="15" customHeight="1" spans="1:22" x14ac:dyDescent="0.25">
      <c r="A13811" s="17" t="s">
        <v>37431</v>
      </c>
      <c r="B13811" s="17" t="s">
        <v>70</v>
      </c>
      <c r="C13811" s="17" t="s">
        <v>71</v>
      </c>
      <c r="D13811" t="s">
        <v>37432</v>
      </c>
      <c r="F13811" t="s">
        <v>37432</v>
      </c>
      <c r="K13811" s="18">
        <f>62811958639</f>
        <v>62811958639</v>
      </c>
      <c r="N13811" s="17" t="s">
        <v>74</v>
      </c>
      <c r="V13811" s="18">
        <f>62811958639</f>
        <v>62811958639</v>
      </c>
    </row>
    <row r="13812" ht="15" customHeight="1" spans="1:22" x14ac:dyDescent="0.25">
      <c r="A13812" s="17" t="s">
        <v>37433</v>
      </c>
      <c r="B13812" s="17" t="s">
        <v>70</v>
      </c>
      <c r="C13812" s="17" t="s">
        <v>71</v>
      </c>
      <c r="D13812" t="s">
        <v>37434</v>
      </c>
      <c r="F13812" t="s">
        <v>37434</v>
      </c>
      <c r="K13812" s="18">
        <f>6281289963626</f>
        <v>6281289963626</v>
      </c>
      <c r="N13812" s="17" t="s">
        <v>81</v>
      </c>
      <c r="V13812" s="18">
        <f>6281289963626</f>
        <v>6281289963626</v>
      </c>
    </row>
    <row r="13813" ht="15" customHeight="1" spans="1:22" x14ac:dyDescent="0.25">
      <c r="A13813" s="17" t="s">
        <v>37435</v>
      </c>
      <c r="B13813" s="17" t="s">
        <v>70</v>
      </c>
      <c r="C13813" s="17" t="s">
        <v>71</v>
      </c>
      <c r="D13813" t="s">
        <v>37436</v>
      </c>
      <c r="F13813" t="s">
        <v>37436</v>
      </c>
      <c r="K13813" s="18">
        <f>62811821480</f>
        <v>62811821480</v>
      </c>
      <c r="N13813" s="17" t="s">
        <v>77</v>
      </c>
      <c r="V13813" s="18">
        <f>62811821480</f>
        <v>62811821480</v>
      </c>
    </row>
    <row r="13814" ht="15" customHeight="1" spans="1:22" x14ac:dyDescent="0.25">
      <c r="A13814" s="17" t="s">
        <v>37437</v>
      </c>
      <c r="B13814" s="17" t="s">
        <v>70</v>
      </c>
      <c r="C13814" s="17" t="s">
        <v>71</v>
      </c>
      <c r="D13814" t="s">
        <v>17798</v>
      </c>
      <c r="F13814" t="s">
        <v>7914</v>
      </c>
      <c r="K13814" s="18">
        <v>8121102456</v>
      </c>
      <c r="N13814" s="17" t="s">
        <v>81</v>
      </c>
      <c r="V13814" s="18">
        <v>8121102456</v>
      </c>
    </row>
    <row r="13815" ht="15" customHeight="1" spans="1:22" x14ac:dyDescent="0.25">
      <c r="A13815" s="17" t="s">
        <v>37438</v>
      </c>
      <c r="B13815" s="17" t="s">
        <v>70</v>
      </c>
      <c r="C13815" s="17" t="s">
        <v>71</v>
      </c>
      <c r="D13815" t="s">
        <v>17798</v>
      </c>
      <c r="F13815" t="s">
        <v>150</v>
      </c>
      <c r="J13815" s="17" t="s">
        <v>37439</v>
      </c>
      <c r="K13815" s="18">
        <f>628111542724</f>
        <v>628111542724</v>
      </c>
      <c r="N13815" s="17" t="s">
        <v>81</v>
      </c>
      <c r="V13815" s="18">
        <f>628111542724</f>
        <v>628111542724</v>
      </c>
    </row>
    <row r="13816" ht="15" customHeight="1" spans="1:22" x14ac:dyDescent="0.25">
      <c r="A13816" s="17" t="s">
        <v>37440</v>
      </c>
      <c r="B13816" s="17" t="s">
        <v>70</v>
      </c>
      <c r="C13816" s="17" t="s">
        <v>71</v>
      </c>
      <c r="D13816" t="s">
        <v>37441</v>
      </c>
      <c r="F13816" t="s">
        <v>1754</v>
      </c>
      <c r="K13816" s="18">
        <f>6285813942280</f>
        <v>6285813942280</v>
      </c>
      <c r="N13816" s="17" t="s">
        <v>77</v>
      </c>
      <c r="V13816" s="18">
        <f>6285813942280</f>
        <v>6285813942280</v>
      </c>
    </row>
    <row r="13817" ht="15" customHeight="1" spans="1:22" x14ac:dyDescent="0.25">
      <c r="A13817" s="17" t="s">
        <v>37442</v>
      </c>
      <c r="B13817" s="17" t="s">
        <v>70</v>
      </c>
      <c r="C13817" s="17" t="s">
        <v>71</v>
      </c>
      <c r="D13817" t="s">
        <v>37443</v>
      </c>
      <c r="F13817" t="s">
        <v>7499</v>
      </c>
      <c r="K13817" s="18">
        <f>62811691826</f>
        <v>62811691826</v>
      </c>
      <c r="N13817" s="17" t="s">
        <v>77</v>
      </c>
      <c r="V13817" s="18">
        <f>62811691826</f>
        <v>62811691826</v>
      </c>
    </row>
    <row r="13818" ht="15" customHeight="1" spans="1:22" x14ac:dyDescent="0.25">
      <c r="A13818" s="17" t="s">
        <v>37444</v>
      </c>
      <c r="B13818" s="17" t="s">
        <v>70</v>
      </c>
      <c r="C13818" s="17" t="s">
        <v>71</v>
      </c>
      <c r="D13818" t="s">
        <v>37445</v>
      </c>
      <c r="F13818" t="s">
        <v>1754</v>
      </c>
      <c r="K13818" s="18">
        <f>628111769887</f>
        <v>628111769887</v>
      </c>
      <c r="N13818" s="17" t="s">
        <v>81</v>
      </c>
      <c r="V13818" s="18">
        <f>628111769887</f>
        <v>628111769887</v>
      </c>
    </row>
    <row r="13819" ht="15" customHeight="1" spans="1:28" x14ac:dyDescent="0.25">
      <c r="A13819" s="17" t="s">
        <v>37446</v>
      </c>
      <c r="B13819" s="17" t="s">
        <v>70</v>
      </c>
      <c r="C13819" s="17" t="s">
        <v>71</v>
      </c>
      <c r="D13819" t="s">
        <v>37447</v>
      </c>
      <c r="F13819" t="s">
        <v>37448</v>
      </c>
      <c r="J13819" t="s">
        <v>115</v>
      </c>
      <c r="K13819" s="18" t="s">
        <v>37449</v>
      </c>
      <c r="N13819" s="17" t="s">
        <v>74</v>
      </c>
      <c r="O13819" t="s">
        <v>261</v>
      </c>
      <c r="U13819" s="17"/>
      <c r="V13819" s="18" t="s">
        <v>37449</v>
      </c>
      <c r="W13819" t="s">
        <v>37450</v>
      </c>
      <c r="Y13819" t="s">
        <v>90</v>
      </c>
      <c r="AA13819" t="s">
        <v>118</v>
      </c>
      <c r="AB13819" t="s">
        <v>119</v>
      </c>
    </row>
    <row r="13820" ht="15" customHeight="1" spans="1:22" x14ac:dyDescent="0.25">
      <c r="A13820" s="17" t="s">
        <v>37451</v>
      </c>
      <c r="B13820" s="17" t="s">
        <v>70</v>
      </c>
      <c r="C13820" s="17" t="s">
        <v>71</v>
      </c>
      <c r="D13820" t="s">
        <v>37447</v>
      </c>
      <c r="F13820" t="s">
        <v>18706</v>
      </c>
      <c r="K13820" s="18">
        <f>628121175265</f>
        <v>628121175265</v>
      </c>
      <c r="N13820" s="17" t="s">
        <v>77</v>
      </c>
      <c r="V13820" s="18">
        <f>628121175265</f>
        <v>628121175265</v>
      </c>
    </row>
    <row r="13821" ht="15" customHeight="1" spans="1:28" x14ac:dyDescent="0.25">
      <c r="A13821" s="17" t="s">
        <v>37452</v>
      </c>
      <c r="B13821" s="17" t="s">
        <v>70</v>
      </c>
      <c r="C13821" s="17" t="s">
        <v>71</v>
      </c>
      <c r="D13821" t="s">
        <v>37447</v>
      </c>
      <c r="F13821" t="s">
        <v>20251</v>
      </c>
      <c r="J13821" t="s">
        <v>115</v>
      </c>
      <c r="K13821" s="18" t="s">
        <v>37453</v>
      </c>
      <c r="N13821" s="17" t="s">
        <v>74</v>
      </c>
      <c r="O13821" t="s">
        <v>145</v>
      </c>
      <c r="U13821" s="17"/>
      <c r="V13821" s="18" t="s">
        <v>37453</v>
      </c>
      <c r="W13821" t="s">
        <v>37454</v>
      </c>
      <c r="Y13821" s="17" t="s">
        <v>704</v>
      </c>
      <c r="AA13821" t="s">
        <v>705</v>
      </c>
      <c r="AB13821" t="s">
        <v>119</v>
      </c>
    </row>
    <row r="13822" ht="15" customHeight="1" spans="1:25" x14ac:dyDescent="0.25">
      <c r="A13822" s="17" t="s">
        <v>37455</v>
      </c>
      <c r="B13822" s="17" t="s">
        <v>70</v>
      </c>
      <c r="C13822" s="17" t="s">
        <v>71</v>
      </c>
      <c r="D13822" t="s">
        <v>37447</v>
      </c>
      <c r="F13822" t="s">
        <v>37456</v>
      </c>
      <c r="K13822" s="18">
        <f>628161448983</f>
        <v>628161448983</v>
      </c>
      <c r="N13822" s="17" t="s">
        <v>77</v>
      </c>
      <c r="U13822" s="17"/>
      <c r="V13822" s="18">
        <f>628161448983</f>
        <v>628161448983</v>
      </c>
      <c r="W13822" t="s">
        <v>37457</v>
      </c>
      <c r="Y13822" s="17" t="s">
        <v>1084</v>
      </c>
    </row>
    <row r="13823" ht="15" customHeight="1" spans="1:22" x14ac:dyDescent="0.25">
      <c r="A13823" s="17" t="s">
        <v>37458</v>
      </c>
      <c r="B13823" s="17" t="s">
        <v>70</v>
      </c>
      <c r="C13823" s="17" t="s">
        <v>71</v>
      </c>
      <c r="D13823" t="s">
        <v>37459</v>
      </c>
      <c r="F13823" t="s">
        <v>37459</v>
      </c>
      <c r="K13823" s="18">
        <f>6281212281250</f>
        <v>6281212281250</v>
      </c>
      <c r="N13823" s="17" t="s">
        <v>77</v>
      </c>
      <c r="V13823" s="18">
        <f>6281212281250</f>
        <v>6281212281250</v>
      </c>
    </row>
    <row r="13824" ht="15" customHeight="1" spans="1:22" x14ac:dyDescent="0.25">
      <c r="A13824" s="17" t="s">
        <v>37460</v>
      </c>
      <c r="B13824" s="17" t="s">
        <v>70</v>
      </c>
      <c r="C13824" s="17" t="s">
        <v>71</v>
      </c>
      <c r="D13824" t="s">
        <v>37461</v>
      </c>
      <c r="F13824" t="s">
        <v>37462</v>
      </c>
      <c r="K13824" s="18">
        <f>62811963125</f>
        <v>62811963125</v>
      </c>
      <c r="N13824" s="17" t="s">
        <v>77</v>
      </c>
      <c r="V13824" s="18">
        <f>62811963125</f>
        <v>62811963125</v>
      </c>
    </row>
    <row r="13825" ht="15" customHeight="1" spans="1:22" x14ac:dyDescent="0.25">
      <c r="A13825" s="17" t="s">
        <v>37463</v>
      </c>
      <c r="B13825" s="17" t="s">
        <v>70</v>
      </c>
      <c r="C13825" s="17" t="s">
        <v>71</v>
      </c>
      <c r="D13825" t="s">
        <v>37464</v>
      </c>
      <c r="F13825" t="s">
        <v>37464</v>
      </c>
      <c r="K13825" s="18">
        <f>628111330528</f>
        <v>628111330528</v>
      </c>
      <c r="N13825" s="17" t="s">
        <v>77</v>
      </c>
      <c r="V13825" s="18">
        <f>628111330528</f>
        <v>628111330528</v>
      </c>
    </row>
    <row r="13826" ht="15" customHeight="1" spans="1:25" x14ac:dyDescent="0.25">
      <c r="A13826" s="17" t="s">
        <v>37465</v>
      </c>
      <c r="B13826" s="17" t="s">
        <v>70</v>
      </c>
      <c r="C13826" s="17" t="s">
        <v>71</v>
      </c>
      <c r="D13826" t="s">
        <v>37466</v>
      </c>
      <c r="F13826" t="s">
        <v>17397</v>
      </c>
      <c r="K13826" s="18">
        <f>6281298989811</f>
        <v>6281298989811</v>
      </c>
      <c r="N13826" s="17" t="s">
        <v>77</v>
      </c>
      <c r="U13826" s="17"/>
      <c r="V13826" s="18">
        <f>6281298989811</f>
        <v>6281298989811</v>
      </c>
      <c r="W13826" t="s">
        <v>37467</v>
      </c>
      <c r="Y13826" s="17" t="s">
        <v>384</v>
      </c>
    </row>
    <row r="13827" ht="15" customHeight="1" spans="1:28" x14ac:dyDescent="0.25">
      <c r="A13827" s="17" t="s">
        <v>37468</v>
      </c>
      <c r="B13827" s="17" t="s">
        <v>70</v>
      </c>
      <c r="C13827" s="17" t="s">
        <v>71</v>
      </c>
      <c r="D13827" t="s">
        <v>37469</v>
      </c>
      <c r="F13827" t="s">
        <v>7093</v>
      </c>
      <c r="J13827" t="s">
        <v>115</v>
      </c>
      <c r="K13827" s="18" t="s">
        <v>37470</v>
      </c>
      <c r="N13827" s="17" t="s">
        <v>77</v>
      </c>
      <c r="O13827" t="s">
        <v>261</v>
      </c>
      <c r="V13827" s="18" t="s">
        <v>37470</v>
      </c>
      <c r="Y13827" t="s">
        <v>90</v>
      </c>
      <c r="AA13827" t="s">
        <v>118</v>
      </c>
      <c r="AB13827" t="s">
        <v>119</v>
      </c>
    </row>
    <row r="13828" ht="15" customHeight="1" spans="1:22" x14ac:dyDescent="0.25">
      <c r="A13828" s="17" t="s">
        <v>37471</v>
      </c>
      <c r="B13828" s="17" t="s">
        <v>70</v>
      </c>
      <c r="C13828" s="17" t="s">
        <v>71</v>
      </c>
      <c r="D13828" t="s">
        <v>10541</v>
      </c>
      <c r="F13828" t="s">
        <v>10541</v>
      </c>
      <c r="K13828" s="18">
        <f>6281286467435</f>
        <v>6281286467435</v>
      </c>
      <c r="N13828" s="17" t="s">
        <v>81</v>
      </c>
      <c r="V13828" s="18">
        <f>6281286467435</f>
        <v>6281286467435</v>
      </c>
    </row>
    <row r="13829" ht="15" customHeight="1" spans="1:22" x14ac:dyDescent="0.25">
      <c r="A13829" s="17" t="s">
        <v>37472</v>
      </c>
      <c r="B13829" s="17" t="s">
        <v>70</v>
      </c>
      <c r="C13829" s="17" t="s">
        <v>71</v>
      </c>
      <c r="D13829" t="s">
        <v>10541</v>
      </c>
      <c r="F13829" t="s">
        <v>10541</v>
      </c>
      <c r="K13829" s="18">
        <f>62811993545</f>
        <v>62811993545</v>
      </c>
      <c r="N13829" s="17" t="s">
        <v>77</v>
      </c>
      <c r="V13829" s="18">
        <f>62811993545</f>
        <v>62811993545</v>
      </c>
    </row>
    <row r="13830" ht="15" customHeight="1" spans="1:22" x14ac:dyDescent="0.25">
      <c r="A13830" s="17" t="s">
        <v>37473</v>
      </c>
      <c r="B13830" s="17" t="s">
        <v>70</v>
      </c>
      <c r="C13830" s="17" t="s">
        <v>71</v>
      </c>
      <c r="D13830" t="s">
        <v>10541</v>
      </c>
      <c r="F13830" t="s">
        <v>1208</v>
      </c>
      <c r="J13830" s="17" t="s">
        <v>37474</v>
      </c>
      <c r="K13830" s="18">
        <f>6281310476661</f>
        <v>6281310476661</v>
      </c>
      <c r="N13830" s="17" t="s">
        <v>81</v>
      </c>
      <c r="V13830" s="18">
        <f>6281310476661</f>
        <v>6281310476661</v>
      </c>
    </row>
    <row r="13831" ht="15" customHeight="1" spans="1:28" x14ac:dyDescent="0.25">
      <c r="A13831" s="17" t="s">
        <v>37475</v>
      </c>
      <c r="B13831" s="17" t="s">
        <v>70</v>
      </c>
      <c r="C13831" s="17" t="s">
        <v>71</v>
      </c>
      <c r="D13831" t="s">
        <v>10541</v>
      </c>
      <c r="F13831" t="s">
        <v>15714</v>
      </c>
      <c r="J13831" s="17" t="s">
        <v>37476</v>
      </c>
      <c r="K13831" s="18" t="s">
        <v>37477</v>
      </c>
      <c r="N13831" s="17" t="s">
        <v>77</v>
      </c>
      <c r="O13831" t="s">
        <v>117</v>
      </c>
      <c r="U13831" s="17"/>
      <c r="V13831" s="18" t="s">
        <v>37477</v>
      </c>
      <c r="W13831" t="s">
        <v>37478</v>
      </c>
      <c r="Y13831" t="s">
        <v>190</v>
      </c>
      <c r="AA13831" t="s">
        <v>118</v>
      </c>
      <c r="AB13831" t="s">
        <v>119</v>
      </c>
    </row>
    <row r="13832" ht="15" customHeight="1" spans="1:22" x14ac:dyDescent="0.25">
      <c r="A13832" s="17" t="s">
        <v>37479</v>
      </c>
      <c r="B13832" s="17" t="s">
        <v>70</v>
      </c>
      <c r="C13832" s="17" t="s">
        <v>71</v>
      </c>
      <c r="D13832" t="s">
        <v>10541</v>
      </c>
      <c r="F13832" t="s">
        <v>37480</v>
      </c>
      <c r="K13832" s="18">
        <f>6281331286886</f>
        <v>6281331286886</v>
      </c>
      <c r="N13832" s="17" t="s">
        <v>77</v>
      </c>
      <c r="V13832" s="18">
        <f>6281331286886</f>
        <v>6281331286886</v>
      </c>
    </row>
    <row r="13833" ht="15" customHeight="1" spans="1:27" x14ac:dyDescent="0.25">
      <c r="A13833" s="17" t="s">
        <v>37481</v>
      </c>
      <c r="B13833" s="17" t="s">
        <v>70</v>
      </c>
      <c r="C13833" s="17" t="s">
        <v>71</v>
      </c>
      <c r="D13833" t="s">
        <v>10541</v>
      </c>
      <c r="F13833" t="s">
        <v>2386</v>
      </c>
      <c r="K13833" s="18">
        <f>628112232232</f>
        <v>628112232232</v>
      </c>
      <c r="N13833" s="17" t="s">
        <v>77</v>
      </c>
      <c r="U13833" s="17"/>
      <c r="V13833" s="18">
        <f>628112232232</f>
        <v>628112232232</v>
      </c>
      <c r="W13833" t="s">
        <v>37482</v>
      </c>
      <c r="Y13833" s="17" t="s">
        <v>90</v>
      </c>
      <c r="AA13833" s="17">
        <v>12720</v>
      </c>
    </row>
    <row r="13834" ht="15" customHeight="1" spans="1:27" x14ac:dyDescent="0.25">
      <c r="A13834" s="17" t="s">
        <v>37483</v>
      </c>
      <c r="B13834" s="17" t="s">
        <v>70</v>
      </c>
      <c r="C13834" s="17" t="s">
        <v>71</v>
      </c>
      <c r="D13834" t="s">
        <v>10541</v>
      </c>
      <c r="F13834" t="s">
        <v>7965</v>
      </c>
      <c r="J13834" s="17" t="s">
        <v>37484</v>
      </c>
      <c r="K13834" s="18">
        <f>6282120502332</f>
        <v>6282120502332</v>
      </c>
      <c r="N13834" s="17" t="s">
        <v>77</v>
      </c>
      <c r="U13834" s="17"/>
      <c r="V13834" s="18">
        <f>6282120502332</f>
        <v>6282120502332</v>
      </c>
      <c r="W13834" t="s">
        <v>37485</v>
      </c>
      <c r="Y13834" s="17" t="s">
        <v>217</v>
      </c>
      <c r="AA13834" s="17">
        <v>15810</v>
      </c>
    </row>
    <row r="13835" ht="15" customHeight="1" spans="1:23" x14ac:dyDescent="0.25">
      <c r="A13835" s="17" t="s">
        <v>37486</v>
      </c>
      <c r="B13835" s="17" t="s">
        <v>70</v>
      </c>
      <c r="C13835" s="17" t="s">
        <v>71</v>
      </c>
      <c r="D13835" t="s">
        <v>10541</v>
      </c>
      <c r="F13835" t="s">
        <v>7671</v>
      </c>
      <c r="K13835" s="18">
        <f>628121127123</f>
        <v>628121127123</v>
      </c>
      <c r="N13835" s="17" t="s">
        <v>77</v>
      </c>
      <c r="U13835" s="17"/>
      <c r="V13835" s="18">
        <f>628121127123</f>
        <v>628121127123</v>
      </c>
      <c r="W13835" t="s">
        <v>37487</v>
      </c>
    </row>
    <row r="13836" ht="15" customHeight="1" spans="1:22" x14ac:dyDescent="0.25">
      <c r="A13836" s="17" t="s">
        <v>37488</v>
      </c>
      <c r="B13836" s="17" t="s">
        <v>70</v>
      </c>
      <c r="C13836" s="17" t="s">
        <v>71</v>
      </c>
      <c r="D13836" t="s">
        <v>10541</v>
      </c>
      <c r="F13836" t="s">
        <v>653</v>
      </c>
      <c r="K13836" s="18">
        <f>62816809289</f>
        <v>62816809289</v>
      </c>
      <c r="N13836" s="17" t="s">
        <v>77</v>
      </c>
      <c r="V13836" s="18">
        <f>62816809289</f>
        <v>62816809289</v>
      </c>
    </row>
    <row r="13837" ht="15" customHeight="1" spans="1:22" x14ac:dyDescent="0.25">
      <c r="A13837" s="17" t="s">
        <v>37489</v>
      </c>
      <c r="B13837" s="17" t="s">
        <v>70</v>
      </c>
      <c r="C13837" s="17" t="s">
        <v>71</v>
      </c>
      <c r="D13837" t="s">
        <v>37490</v>
      </c>
      <c r="F13837" t="s">
        <v>20447</v>
      </c>
      <c r="K13837" s="18">
        <f>628112284570</f>
        <v>628112284570</v>
      </c>
      <c r="N13837" s="17" t="s">
        <v>81</v>
      </c>
      <c r="V13837" s="18">
        <f>628112284570</f>
        <v>628112284570</v>
      </c>
    </row>
    <row r="13838" ht="15" customHeight="1" spans="1:22" x14ac:dyDescent="0.25">
      <c r="A13838" s="17" t="s">
        <v>37491</v>
      </c>
      <c r="B13838" s="17" t="s">
        <v>70</v>
      </c>
      <c r="C13838" s="17" t="s">
        <v>71</v>
      </c>
      <c r="D13838" t="s">
        <v>37492</v>
      </c>
      <c r="F13838" t="s">
        <v>2267</v>
      </c>
      <c r="K13838" s="18">
        <f>6208111040104</f>
        <v>6208111040104</v>
      </c>
      <c r="N13838" s="17" t="s">
        <v>81</v>
      </c>
      <c r="V13838" s="18">
        <f>6208111040104</f>
        <v>6208111040104</v>
      </c>
    </row>
    <row r="13839" ht="15" customHeight="1" spans="1:22" x14ac:dyDescent="0.25">
      <c r="A13839" s="17" t="s">
        <v>37493</v>
      </c>
      <c r="B13839" s="17" t="s">
        <v>70</v>
      </c>
      <c r="C13839" s="17" t="s">
        <v>71</v>
      </c>
      <c r="D13839" t="s">
        <v>37494</v>
      </c>
      <c r="F13839" t="s">
        <v>1303</v>
      </c>
      <c r="K13839" s="18">
        <f>628111697009</f>
        <v>628111697009</v>
      </c>
      <c r="N13839" s="17" t="s">
        <v>81</v>
      </c>
      <c r="V13839" s="18">
        <f>628111697009</f>
        <v>628111697009</v>
      </c>
    </row>
    <row r="13840" ht="15" customHeight="1" spans="1:23" x14ac:dyDescent="0.25">
      <c r="A13840" s="17" t="s">
        <v>37495</v>
      </c>
      <c r="B13840" s="17" t="s">
        <v>70</v>
      </c>
      <c r="C13840" s="17" t="s">
        <v>71</v>
      </c>
      <c r="D13840" t="s">
        <v>37496</v>
      </c>
      <c r="F13840" t="s">
        <v>3962</v>
      </c>
      <c r="K13840" s="18">
        <f>8118291444</f>
        <v>8118291444</v>
      </c>
      <c r="N13840" s="17" t="s">
        <v>81</v>
      </c>
      <c r="U13840" s="17"/>
      <c r="V13840" s="18">
        <f>8118291444</f>
        <v>8118291444</v>
      </c>
      <c r="W13840" t="s">
        <v>37497</v>
      </c>
    </row>
    <row r="13841" ht="15" customHeight="1" spans="1:22" x14ac:dyDescent="0.25">
      <c r="A13841" s="17" t="s">
        <v>37498</v>
      </c>
      <c r="B13841" s="17" t="s">
        <v>70</v>
      </c>
      <c r="C13841" s="17" t="s">
        <v>71</v>
      </c>
      <c r="D13841" t="s">
        <v>35745</v>
      </c>
      <c r="F13841" t="s">
        <v>35745</v>
      </c>
      <c r="K13841" s="18">
        <f>6281236854400</f>
        <v>6281236854400</v>
      </c>
      <c r="N13841" s="17" t="s">
        <v>77</v>
      </c>
      <c r="V13841" s="18">
        <f>6281236854400</f>
        <v>6281236854400</v>
      </c>
    </row>
    <row r="13842" ht="15" customHeight="1" spans="1:22" x14ac:dyDescent="0.25">
      <c r="A13842" s="17" t="s">
        <v>37499</v>
      </c>
      <c r="B13842" s="17" t="s">
        <v>70</v>
      </c>
      <c r="C13842" s="17" t="s">
        <v>71</v>
      </c>
      <c r="D13842" t="s">
        <v>35745</v>
      </c>
      <c r="F13842" t="s">
        <v>37500</v>
      </c>
      <c r="K13842" s="18">
        <f>628126001999</f>
        <v>628126001999</v>
      </c>
      <c r="N13842" s="17" t="s">
        <v>81</v>
      </c>
      <c r="V13842" s="18">
        <f>628126001999</f>
        <v>628126001999</v>
      </c>
    </row>
    <row r="13843" ht="15" customHeight="1" spans="1:22" x14ac:dyDescent="0.25">
      <c r="A13843" s="17" t="s">
        <v>37501</v>
      </c>
      <c r="B13843" s="17" t="s">
        <v>70</v>
      </c>
      <c r="C13843" s="17" t="s">
        <v>71</v>
      </c>
      <c r="D13843" t="s">
        <v>35745</v>
      </c>
      <c r="F13843" t="s">
        <v>37502</v>
      </c>
      <c r="K13843" s="18">
        <f>6281193741</f>
        <v>6281193741</v>
      </c>
      <c r="N13843" s="17" t="s">
        <v>77</v>
      </c>
      <c r="V13843" s="18">
        <f>6281193741</f>
        <v>6281193741</v>
      </c>
    </row>
    <row r="13844" ht="15" customHeight="1" spans="1:22" x14ac:dyDescent="0.25">
      <c r="A13844" s="17" t="s">
        <v>37503</v>
      </c>
      <c r="B13844" s="17" t="s">
        <v>70</v>
      </c>
      <c r="C13844" s="17" t="s">
        <v>71</v>
      </c>
      <c r="D13844" t="s">
        <v>35745</v>
      </c>
      <c r="F13844" t="s">
        <v>37504</v>
      </c>
      <c r="K13844" s="18">
        <f>6281318494045</f>
        <v>6281318494045</v>
      </c>
      <c r="N13844" s="17" t="s">
        <v>77</v>
      </c>
      <c r="V13844" s="18">
        <f>6281318494045</f>
        <v>6281318494045</v>
      </c>
    </row>
    <row r="13845" ht="15" customHeight="1" spans="1:28" x14ac:dyDescent="0.25">
      <c r="A13845" s="17" t="s">
        <v>37505</v>
      </c>
      <c r="B13845" s="17" t="s">
        <v>70</v>
      </c>
      <c r="C13845" s="17" t="s">
        <v>71</v>
      </c>
      <c r="D13845" t="s">
        <v>8925</v>
      </c>
      <c r="F13845" t="s">
        <v>11587</v>
      </c>
      <c r="J13845" t="s">
        <v>115</v>
      </c>
      <c r="K13845" s="18" t="s">
        <v>37506</v>
      </c>
      <c r="N13845" s="17" t="s">
        <v>81</v>
      </c>
      <c r="O13845" t="s">
        <v>199</v>
      </c>
      <c r="V13845" s="18" t="s">
        <v>37506</v>
      </c>
      <c r="Y13845" t="s">
        <v>90</v>
      </c>
      <c r="AA13845" t="s">
        <v>118</v>
      </c>
      <c r="AB13845" t="s">
        <v>119</v>
      </c>
    </row>
    <row r="13846" ht="15" customHeight="1" spans="1:22" x14ac:dyDescent="0.25">
      <c r="A13846" s="17" t="s">
        <v>37507</v>
      </c>
      <c r="B13846" s="17" t="s">
        <v>70</v>
      </c>
      <c r="C13846" s="17" t="s">
        <v>71</v>
      </c>
      <c r="D13846" t="s">
        <v>35745</v>
      </c>
      <c r="F13846" t="s">
        <v>1385</v>
      </c>
      <c r="K13846" s="18">
        <f>6281517886767</f>
        <v>6281517886767</v>
      </c>
      <c r="N13846" s="17" t="s">
        <v>77</v>
      </c>
      <c r="V13846" s="18">
        <f>6281517886767</f>
        <v>6281517886767</v>
      </c>
    </row>
    <row r="13847" ht="15" customHeight="1" spans="1:25" x14ac:dyDescent="0.25">
      <c r="A13847" s="17" t="s">
        <v>37508</v>
      </c>
      <c r="B13847" s="17" t="s">
        <v>70</v>
      </c>
      <c r="C13847" s="17" t="s">
        <v>71</v>
      </c>
      <c r="D13847" t="s">
        <v>35745</v>
      </c>
      <c r="F13847" t="s">
        <v>4708</v>
      </c>
      <c r="K13847" s="18">
        <f>622158351270</f>
        <v>622158351270</v>
      </c>
      <c r="N13847" s="17" t="s">
        <v>74</v>
      </c>
      <c r="U13847" s="17"/>
      <c r="V13847" s="18">
        <f>622158351270</f>
        <v>622158351270</v>
      </c>
      <c r="W13847" t="s">
        <v>37509</v>
      </c>
      <c r="Y13847" s="17" t="s">
        <v>626</v>
      </c>
    </row>
    <row r="13848" ht="15" customHeight="1" spans="1:22" x14ac:dyDescent="0.25">
      <c r="A13848" s="17" t="s">
        <v>37510</v>
      </c>
      <c r="B13848" s="17" t="s">
        <v>70</v>
      </c>
      <c r="C13848" s="17" t="s">
        <v>71</v>
      </c>
      <c r="D13848" t="s">
        <v>35745</v>
      </c>
      <c r="F13848" t="s">
        <v>7013</v>
      </c>
      <c r="K13848" s="18">
        <f>6282180001980</f>
        <v>6282180001980</v>
      </c>
      <c r="N13848" s="17" t="s">
        <v>77</v>
      </c>
      <c r="V13848" s="18">
        <f>6282180001980</f>
        <v>6282180001980</v>
      </c>
    </row>
    <row r="13849" ht="15" customHeight="1" spans="1:23" x14ac:dyDescent="0.25">
      <c r="A13849" s="17" t="s">
        <v>37511</v>
      </c>
      <c r="B13849" s="17" t="s">
        <v>70</v>
      </c>
      <c r="C13849" s="17" t="s">
        <v>71</v>
      </c>
      <c r="D13849" t="s">
        <v>35745</v>
      </c>
      <c r="F13849" t="s">
        <v>37512</v>
      </c>
      <c r="K13849" s="18">
        <f>628112999085</f>
        <v>628112999085</v>
      </c>
      <c r="N13849" s="17" t="s">
        <v>81</v>
      </c>
      <c r="U13849" s="17"/>
      <c r="V13849" s="18">
        <f>628112999085</f>
        <v>628112999085</v>
      </c>
      <c r="W13849" t="s">
        <v>37513</v>
      </c>
    </row>
    <row r="13850" ht="15" customHeight="1" spans="1:22" x14ac:dyDescent="0.25">
      <c r="A13850" s="17" t="s">
        <v>37514</v>
      </c>
      <c r="B13850" s="17" t="s">
        <v>70</v>
      </c>
      <c r="C13850" s="17" t="s">
        <v>71</v>
      </c>
      <c r="D13850" t="s">
        <v>35745</v>
      </c>
      <c r="F13850" t="s">
        <v>37515</v>
      </c>
      <c r="K13850" s="18">
        <f>6283806052439</f>
        <v>6283806052439</v>
      </c>
      <c r="N13850" s="17" t="s">
        <v>81</v>
      </c>
      <c r="V13850" s="18">
        <f>6283806052439</f>
        <v>6283806052439</v>
      </c>
    </row>
    <row r="13851" ht="15" customHeight="1" spans="1:22" x14ac:dyDescent="0.25">
      <c r="A13851" s="17" t="s">
        <v>37516</v>
      </c>
      <c r="B13851" s="17" t="s">
        <v>70</v>
      </c>
      <c r="C13851" s="17" t="s">
        <v>71</v>
      </c>
      <c r="D13851" t="s">
        <v>35745</v>
      </c>
      <c r="F13851" t="s">
        <v>37517</v>
      </c>
      <c r="K13851" s="18">
        <f>628161879777</f>
        <v>628161879777</v>
      </c>
      <c r="N13851" s="17" t="s">
        <v>81</v>
      </c>
      <c r="V13851" s="18">
        <f>628161879777</f>
        <v>628161879777</v>
      </c>
    </row>
    <row r="13852" ht="15" customHeight="1" spans="1:28" x14ac:dyDescent="0.25">
      <c r="A13852" s="17" t="s">
        <v>37518</v>
      </c>
      <c r="B13852" s="17" t="s">
        <v>70</v>
      </c>
      <c r="C13852" s="17" t="s">
        <v>71</v>
      </c>
      <c r="D13852" t="s">
        <v>35745</v>
      </c>
      <c r="F13852" t="s">
        <v>7709</v>
      </c>
      <c r="J13852" t="s">
        <v>115</v>
      </c>
      <c r="K13852" s="18" t="s">
        <v>37519</v>
      </c>
      <c r="N13852" s="17" t="s">
        <v>74</v>
      </c>
      <c r="O13852" t="s">
        <v>489</v>
      </c>
      <c r="V13852" s="18" t="s">
        <v>37519</v>
      </c>
      <c r="Y13852" t="s">
        <v>704</v>
      </c>
      <c r="AA13852" t="s">
        <v>705</v>
      </c>
      <c r="AB13852" t="s">
        <v>119</v>
      </c>
    </row>
    <row r="13853" ht="15" customHeight="1" spans="1:28" x14ac:dyDescent="0.25">
      <c r="A13853" s="17" t="s">
        <v>37520</v>
      </c>
      <c r="B13853" s="17" t="s">
        <v>70</v>
      </c>
      <c r="C13853" s="17" t="s">
        <v>71</v>
      </c>
      <c r="D13853" t="s">
        <v>35745</v>
      </c>
      <c r="F13853" t="s">
        <v>16270</v>
      </c>
      <c r="J13853" t="s">
        <v>115</v>
      </c>
      <c r="K13853" s="18" t="s">
        <v>37521</v>
      </c>
      <c r="N13853" s="17" t="s">
        <v>74</v>
      </c>
      <c r="O13853" t="s">
        <v>117</v>
      </c>
      <c r="V13853" s="18" t="s">
        <v>37521</v>
      </c>
      <c r="Y13853" t="s">
        <v>115</v>
      </c>
      <c r="AA13853" t="s">
        <v>115</v>
      </c>
      <c r="AB13853" t="s">
        <v>119</v>
      </c>
    </row>
    <row r="13854" ht="15" customHeight="1" spans="1:28" x14ac:dyDescent="0.25">
      <c r="A13854" s="17" t="s">
        <v>37522</v>
      </c>
      <c r="B13854" s="17" t="s">
        <v>70</v>
      </c>
      <c r="C13854" s="17" t="s">
        <v>71</v>
      </c>
      <c r="D13854" t="s">
        <v>37523</v>
      </c>
      <c r="F13854" t="s">
        <v>37524</v>
      </c>
      <c r="J13854" t="s">
        <v>115</v>
      </c>
      <c r="K13854" s="18" t="s">
        <v>37525</v>
      </c>
      <c r="N13854" s="17" t="s">
        <v>77</v>
      </c>
      <c r="O13854" t="s">
        <v>117</v>
      </c>
      <c r="U13854" s="17"/>
      <c r="V13854" s="18" t="s">
        <v>37525</v>
      </c>
      <c r="W13854" t="s">
        <v>37526</v>
      </c>
      <c r="Y13854" t="s">
        <v>90</v>
      </c>
      <c r="AA13854" t="s">
        <v>118</v>
      </c>
      <c r="AB13854" t="s">
        <v>119</v>
      </c>
    </row>
    <row r="13855" ht="15" customHeight="1" spans="1:22" x14ac:dyDescent="0.25">
      <c r="A13855" s="17" t="s">
        <v>37527</v>
      </c>
      <c r="B13855" s="17" t="s">
        <v>70</v>
      </c>
      <c r="C13855" s="17" t="s">
        <v>71</v>
      </c>
      <c r="D13855" t="s">
        <v>35745</v>
      </c>
      <c r="F13855" t="s">
        <v>9817</v>
      </c>
      <c r="K13855" s="18">
        <f>62816747344</f>
        <v>62816747344</v>
      </c>
      <c r="N13855" s="17" t="s">
        <v>77</v>
      </c>
      <c r="V13855" s="18">
        <f>62816747344</f>
        <v>62816747344</v>
      </c>
    </row>
    <row r="13856" ht="15" customHeight="1" spans="1:28" x14ac:dyDescent="0.25">
      <c r="A13856" s="17" t="s">
        <v>37528</v>
      </c>
      <c r="B13856" s="17" t="s">
        <v>70</v>
      </c>
      <c r="C13856" s="17" t="s">
        <v>71</v>
      </c>
      <c r="D13856" t="s">
        <v>35745</v>
      </c>
      <c r="F13856" t="s">
        <v>36904</v>
      </c>
      <c r="J13856" s="17" t="s">
        <v>37529</v>
      </c>
      <c r="K13856" s="18" t="s">
        <v>37530</v>
      </c>
      <c r="N13856" s="17" t="s">
        <v>74</v>
      </c>
      <c r="O13856" t="s">
        <v>199</v>
      </c>
      <c r="U13856" s="17"/>
      <c r="V13856" s="18" t="s">
        <v>37530</v>
      </c>
      <c r="W13856" t="s">
        <v>37531</v>
      </c>
      <c r="Y13856" t="s">
        <v>704</v>
      </c>
      <c r="AA13856" t="s">
        <v>705</v>
      </c>
      <c r="AB13856" t="s">
        <v>119</v>
      </c>
    </row>
    <row r="13857" ht="15" customHeight="1" spans="1:23" x14ac:dyDescent="0.25">
      <c r="A13857" s="17" t="s">
        <v>37532</v>
      </c>
      <c r="B13857" s="17" t="s">
        <v>70</v>
      </c>
      <c r="C13857" s="17" t="s">
        <v>71</v>
      </c>
      <c r="D13857" t="s">
        <v>35745</v>
      </c>
      <c r="F13857" t="s">
        <v>10099</v>
      </c>
      <c r="K13857" s="18">
        <f>628111919218</f>
        <v>628111919218</v>
      </c>
      <c r="N13857" s="17" t="s">
        <v>74</v>
      </c>
      <c r="U13857" s="17"/>
      <c r="V13857" s="18">
        <f>628111919218</f>
        <v>628111919218</v>
      </c>
      <c r="W13857" t="s">
        <v>37533</v>
      </c>
    </row>
    <row r="13858" ht="15" customHeight="1" spans="1:28" x14ac:dyDescent="0.25">
      <c r="A13858" s="17" t="s">
        <v>37534</v>
      </c>
      <c r="B13858" s="17" t="s">
        <v>70</v>
      </c>
      <c r="C13858" s="17" t="s">
        <v>71</v>
      </c>
      <c r="D13858" t="s">
        <v>35745</v>
      </c>
      <c r="F13858" t="s">
        <v>37535</v>
      </c>
      <c r="J13858" t="s">
        <v>115</v>
      </c>
      <c r="K13858" s="18" t="s">
        <v>37536</v>
      </c>
      <c r="N13858" s="17" t="s">
        <v>74</v>
      </c>
      <c r="O13858" t="s">
        <v>145</v>
      </c>
      <c r="V13858" s="18" t="s">
        <v>37536</v>
      </c>
      <c r="Y13858" t="s">
        <v>90</v>
      </c>
      <c r="AA13858" t="s">
        <v>118</v>
      </c>
      <c r="AB13858" t="s">
        <v>119</v>
      </c>
    </row>
    <row r="13859" ht="15" customHeight="1" spans="1:22" x14ac:dyDescent="0.25">
      <c r="A13859" s="17" t="s">
        <v>37537</v>
      </c>
      <c r="B13859" s="17" t="s">
        <v>70</v>
      </c>
      <c r="C13859" s="17" t="s">
        <v>71</v>
      </c>
      <c r="D13859" t="s">
        <v>35745</v>
      </c>
      <c r="F13859" t="s">
        <v>2258</v>
      </c>
      <c r="K13859" s="18">
        <f>628161986740</f>
        <v>628161986740</v>
      </c>
      <c r="N13859" s="17" t="s">
        <v>77</v>
      </c>
      <c r="V13859" s="18">
        <f>628161986740</f>
        <v>628161986740</v>
      </c>
    </row>
    <row r="13860" ht="15" customHeight="1" spans="1:25" x14ac:dyDescent="0.25">
      <c r="A13860" s="17" t="s">
        <v>37538</v>
      </c>
      <c r="B13860" s="17" t="s">
        <v>70</v>
      </c>
      <c r="C13860" s="17" t="s">
        <v>71</v>
      </c>
      <c r="D13860" t="s">
        <v>35745</v>
      </c>
      <c r="F13860" t="s">
        <v>12125</v>
      </c>
      <c r="K13860" s="18">
        <f>62811176738</f>
        <v>62811176738</v>
      </c>
      <c r="N13860" s="17" t="s">
        <v>77</v>
      </c>
      <c r="U13860" s="17"/>
      <c r="V13860" s="18">
        <f>62811176738</f>
        <v>62811176738</v>
      </c>
      <c r="W13860" t="s">
        <v>37539</v>
      </c>
      <c r="Y13860" s="17" t="s">
        <v>96</v>
      </c>
    </row>
    <row r="13861" ht="15" customHeight="1" spans="1:22" x14ac:dyDescent="0.25">
      <c r="A13861" s="17" t="s">
        <v>37540</v>
      </c>
      <c r="B13861" s="17" t="s">
        <v>70</v>
      </c>
      <c r="C13861" s="17" t="s">
        <v>71</v>
      </c>
      <c r="D13861" t="s">
        <v>35745</v>
      </c>
      <c r="F13861" t="s">
        <v>37541</v>
      </c>
      <c r="K13861" s="18">
        <f>62811386526</f>
        <v>62811386526</v>
      </c>
      <c r="N13861" s="17" t="s">
        <v>77</v>
      </c>
      <c r="V13861" s="18">
        <f>62811386526</f>
        <v>62811386526</v>
      </c>
    </row>
    <row r="13862" ht="15" customHeight="1" spans="1:22" x14ac:dyDescent="0.25">
      <c r="A13862" s="17" t="s">
        <v>37542</v>
      </c>
      <c r="B13862" s="17" t="s">
        <v>70</v>
      </c>
      <c r="C13862" s="17" t="s">
        <v>71</v>
      </c>
      <c r="D13862" t="s">
        <v>35745</v>
      </c>
      <c r="F13862" t="s">
        <v>37543</v>
      </c>
      <c r="K13862" s="18">
        <f>6281139608669</f>
        <v>6281139608669</v>
      </c>
      <c r="N13862" s="17" t="s">
        <v>81</v>
      </c>
      <c r="V13862" s="18">
        <f>6281139608669</f>
        <v>6281139608669</v>
      </c>
    </row>
    <row r="13863" ht="15" customHeight="1" spans="1:22" x14ac:dyDescent="0.25">
      <c r="A13863" s="17" t="s">
        <v>37544</v>
      </c>
      <c r="B13863" s="17" t="s">
        <v>70</v>
      </c>
      <c r="C13863" s="17" t="s">
        <v>71</v>
      </c>
      <c r="D13863" t="s">
        <v>35745</v>
      </c>
      <c r="F13863" t="s">
        <v>9606</v>
      </c>
      <c r="K13863" s="18">
        <f>6282161870043</f>
        <v>6282161870043</v>
      </c>
      <c r="N13863" s="17" t="s">
        <v>81</v>
      </c>
      <c r="V13863" s="18">
        <f>6282161870043</f>
        <v>6282161870043</v>
      </c>
    </row>
    <row r="13864" ht="15" customHeight="1" spans="1:22" x14ac:dyDescent="0.25">
      <c r="A13864" s="17" t="s">
        <v>37545</v>
      </c>
      <c r="B13864" s="17" t="s">
        <v>70</v>
      </c>
      <c r="C13864" s="17" t="s">
        <v>71</v>
      </c>
      <c r="D13864" t="s">
        <v>35745</v>
      </c>
      <c r="F13864" t="s">
        <v>28679</v>
      </c>
      <c r="K13864" s="18">
        <f>628125101398</f>
        <v>628125101398</v>
      </c>
      <c r="N13864" s="17" t="s">
        <v>81</v>
      </c>
      <c r="V13864" s="18">
        <f>628125101398</f>
        <v>628125101398</v>
      </c>
    </row>
    <row r="13865" ht="15" customHeight="1" spans="1:22" x14ac:dyDescent="0.25">
      <c r="A13865" s="17" t="s">
        <v>37546</v>
      </c>
      <c r="B13865" s="17" t="s">
        <v>70</v>
      </c>
      <c r="C13865" s="17" t="s">
        <v>71</v>
      </c>
      <c r="D13865" t="s">
        <v>35745</v>
      </c>
      <c r="F13865" t="s">
        <v>494</v>
      </c>
      <c r="K13865" s="18">
        <f>62217657060</f>
        <v>62217657060</v>
      </c>
      <c r="N13865" s="17" t="s">
        <v>77</v>
      </c>
      <c r="V13865" s="18">
        <f>62217657060</f>
        <v>62217657060</v>
      </c>
    </row>
    <row r="13866" ht="15" customHeight="1" spans="1:22" x14ac:dyDescent="0.25">
      <c r="A13866" s="17" t="s">
        <v>37547</v>
      </c>
      <c r="B13866" s="17" t="s">
        <v>70</v>
      </c>
      <c r="C13866" s="17" t="s">
        <v>71</v>
      </c>
      <c r="D13866" t="s">
        <v>35745</v>
      </c>
      <c r="F13866" t="s">
        <v>37548</v>
      </c>
      <c r="K13866" s="18">
        <f>62217513265</f>
        <v>62217513265</v>
      </c>
      <c r="N13866" s="17" t="s">
        <v>77</v>
      </c>
      <c r="V13866" s="18">
        <f>62217513265</f>
        <v>62217513265</v>
      </c>
    </row>
    <row r="13867" ht="15" customHeight="1" spans="1:23" x14ac:dyDescent="0.25">
      <c r="A13867" s="17" t="s">
        <v>37549</v>
      </c>
      <c r="B13867" s="17" t="s">
        <v>70</v>
      </c>
      <c r="C13867" s="17" t="s">
        <v>71</v>
      </c>
      <c r="D13867" t="s">
        <v>35745</v>
      </c>
      <c r="F13867" t="s">
        <v>1704</v>
      </c>
      <c r="J13867" s="17" t="s">
        <v>37550</v>
      </c>
      <c r="K13867" s="18">
        <f>6281296090699</f>
        <v>6281296090699</v>
      </c>
      <c r="N13867" s="17" t="s">
        <v>77</v>
      </c>
      <c r="U13867" s="17"/>
      <c r="V13867" s="18">
        <f>6281296090699</f>
        <v>6281296090699</v>
      </c>
      <c r="W13867" t="s">
        <v>37551</v>
      </c>
    </row>
    <row r="13868" ht="15" customHeight="1" spans="1:28" x14ac:dyDescent="0.25">
      <c r="A13868" s="17" t="s">
        <v>37552</v>
      </c>
      <c r="B13868" s="17" t="s">
        <v>70</v>
      </c>
      <c r="C13868" s="17" t="s">
        <v>71</v>
      </c>
      <c r="D13868" t="s">
        <v>37553</v>
      </c>
      <c r="F13868" t="s">
        <v>35842</v>
      </c>
      <c r="J13868" t="s">
        <v>115</v>
      </c>
      <c r="K13868" s="18" t="s">
        <v>37554</v>
      </c>
      <c r="N13868" s="17" t="s">
        <v>77</v>
      </c>
      <c r="O13868" t="s">
        <v>489</v>
      </c>
      <c r="U13868" s="17"/>
      <c r="V13868" s="18" t="s">
        <v>37554</v>
      </c>
      <c r="W13868" t="s">
        <v>37555</v>
      </c>
      <c r="Y13868" s="17" t="s">
        <v>181</v>
      </c>
      <c r="AA13868" t="s">
        <v>1672</v>
      </c>
      <c r="AB13868" t="s">
        <v>119</v>
      </c>
    </row>
    <row r="13869" ht="15" customHeight="1" spans="1:22" x14ac:dyDescent="0.25">
      <c r="A13869" s="17" t="s">
        <v>37556</v>
      </c>
      <c r="B13869" s="17" t="s">
        <v>70</v>
      </c>
      <c r="C13869" s="17" t="s">
        <v>71</v>
      </c>
      <c r="D13869" t="s">
        <v>35745</v>
      </c>
      <c r="F13869" t="s">
        <v>4708</v>
      </c>
      <c r="K13869" s="18">
        <f>6281340333018</f>
        <v>6281340333018</v>
      </c>
      <c r="N13869" s="17" t="s">
        <v>81</v>
      </c>
      <c r="V13869" s="18">
        <f>6281340333018</f>
        <v>6281340333018</v>
      </c>
    </row>
    <row r="13870" ht="15" customHeight="1" spans="1:25" x14ac:dyDescent="0.25">
      <c r="A13870" s="17" t="s">
        <v>37557</v>
      </c>
      <c r="B13870" s="17" t="s">
        <v>70</v>
      </c>
      <c r="C13870" s="17" t="s">
        <v>71</v>
      </c>
      <c r="D13870" t="s">
        <v>35745</v>
      </c>
      <c r="F13870" t="s">
        <v>5070</v>
      </c>
      <c r="K13870" s="18">
        <f>6281333160000</f>
        <v>6281333160000</v>
      </c>
      <c r="N13870" s="17" t="s">
        <v>81</v>
      </c>
      <c r="U13870" s="17"/>
      <c r="V13870" s="18">
        <f>6281333160000</f>
        <v>6281333160000</v>
      </c>
      <c r="W13870" t="s">
        <v>37558</v>
      </c>
      <c r="Y13870" s="17" t="s">
        <v>704</v>
      </c>
    </row>
    <row r="13871" ht="15" customHeight="1" spans="1:27" x14ac:dyDescent="0.25">
      <c r="A13871" s="17" t="s">
        <v>37559</v>
      </c>
      <c r="B13871" s="17" t="s">
        <v>70</v>
      </c>
      <c r="C13871" s="17" t="s">
        <v>71</v>
      </c>
      <c r="D13871" t="s">
        <v>35745</v>
      </c>
      <c r="F13871" t="s">
        <v>37560</v>
      </c>
      <c r="K13871" s="18">
        <f>628176943334</f>
        <v>628176943334</v>
      </c>
      <c r="N13871" s="17" t="s">
        <v>77</v>
      </c>
      <c r="U13871" s="17"/>
      <c r="V13871" s="18">
        <f>628176943334</f>
        <v>628176943334</v>
      </c>
      <c r="W13871" t="s">
        <v>37561</v>
      </c>
      <c r="AA13871" s="17">
        <v>15412</v>
      </c>
    </row>
    <row r="13872" ht="15" customHeight="1" spans="1:28" x14ac:dyDescent="0.25">
      <c r="A13872" s="17" t="s">
        <v>37562</v>
      </c>
      <c r="B13872" s="17" t="s">
        <v>70</v>
      </c>
      <c r="C13872" s="17" t="s">
        <v>71</v>
      </c>
      <c r="D13872" t="s">
        <v>35745</v>
      </c>
      <c r="F13872" t="s">
        <v>37563</v>
      </c>
      <c r="J13872" t="s">
        <v>115</v>
      </c>
      <c r="K13872" s="18" t="s">
        <v>37564</v>
      </c>
      <c r="N13872" s="17" t="s">
        <v>74</v>
      </c>
      <c r="O13872" t="s">
        <v>117</v>
      </c>
      <c r="U13872" s="17"/>
      <c r="V13872" s="18" t="s">
        <v>37564</v>
      </c>
      <c r="W13872" t="s">
        <v>37565</v>
      </c>
      <c r="Y13872" t="s">
        <v>500</v>
      </c>
      <c r="AA13872" t="s">
        <v>501</v>
      </c>
      <c r="AB13872" t="s">
        <v>119</v>
      </c>
    </row>
    <row r="13873" ht="15" customHeight="1" spans="1:28" x14ac:dyDescent="0.25">
      <c r="A13873" s="17" t="s">
        <v>37566</v>
      </c>
      <c r="B13873" s="17" t="s">
        <v>70</v>
      </c>
      <c r="C13873" s="17" t="s">
        <v>71</v>
      </c>
      <c r="D13873" t="s">
        <v>35745</v>
      </c>
      <c r="F13873" t="s">
        <v>37567</v>
      </c>
      <c r="J13873" t="s">
        <v>115</v>
      </c>
      <c r="K13873" s="18" t="s">
        <v>37568</v>
      </c>
      <c r="N13873" s="17" t="s">
        <v>77</v>
      </c>
      <c r="O13873" t="s">
        <v>117</v>
      </c>
      <c r="V13873" s="18" t="s">
        <v>37568</v>
      </c>
      <c r="Y13873" t="s">
        <v>190</v>
      </c>
      <c r="AA13873" t="s">
        <v>118</v>
      </c>
      <c r="AB13873" t="s">
        <v>119</v>
      </c>
    </row>
    <row r="13874" ht="15" customHeight="1" spans="1:28" x14ac:dyDescent="0.25">
      <c r="A13874" s="17" t="s">
        <v>37569</v>
      </c>
      <c r="B13874" s="17" t="s">
        <v>70</v>
      </c>
      <c r="C13874" s="17" t="s">
        <v>71</v>
      </c>
      <c r="D13874" t="s">
        <v>37570</v>
      </c>
      <c r="F13874" t="s">
        <v>37571</v>
      </c>
      <c r="J13874" t="s">
        <v>115</v>
      </c>
      <c r="K13874" s="18" t="s">
        <v>37572</v>
      </c>
      <c r="N13874" s="17" t="s">
        <v>74</v>
      </c>
      <c r="O13874" t="s">
        <v>489</v>
      </c>
      <c r="V13874" s="18" t="s">
        <v>37572</v>
      </c>
      <c r="Y13874" t="s">
        <v>190</v>
      </c>
      <c r="AA13874" t="s">
        <v>118</v>
      </c>
      <c r="AB13874" t="s">
        <v>119</v>
      </c>
    </row>
    <row r="13875" ht="15" customHeight="1" spans="1:28" x14ac:dyDescent="0.25">
      <c r="A13875" s="17" t="s">
        <v>37573</v>
      </c>
      <c r="B13875" s="17" t="s">
        <v>70</v>
      </c>
      <c r="C13875" s="17" t="s">
        <v>71</v>
      </c>
      <c r="D13875" t="s">
        <v>35745</v>
      </c>
      <c r="F13875" t="s">
        <v>37574</v>
      </c>
      <c r="J13875" t="s">
        <v>115</v>
      </c>
      <c r="K13875" s="18" t="s">
        <v>37575</v>
      </c>
      <c r="N13875" s="17" t="s">
        <v>77</v>
      </c>
      <c r="O13875" t="s">
        <v>261</v>
      </c>
      <c r="V13875" s="18" t="s">
        <v>37575</v>
      </c>
      <c r="Y13875" t="s">
        <v>90</v>
      </c>
      <c r="AA13875" t="s">
        <v>118</v>
      </c>
      <c r="AB13875" t="s">
        <v>119</v>
      </c>
    </row>
    <row r="13876" ht="15" customHeight="1" spans="1:22" x14ac:dyDescent="0.25">
      <c r="A13876" s="17" t="s">
        <v>37576</v>
      </c>
      <c r="B13876" s="17" t="s">
        <v>70</v>
      </c>
      <c r="C13876" s="17" t="s">
        <v>71</v>
      </c>
      <c r="D13876" t="s">
        <v>35745</v>
      </c>
      <c r="F13876" t="s">
        <v>5308</v>
      </c>
      <c r="K13876" s="18">
        <f>628189655800</f>
        <v>628189655800</v>
      </c>
      <c r="N13876" s="17" t="s">
        <v>77</v>
      </c>
      <c r="V13876" s="18">
        <f>628189655800</f>
        <v>628189655800</v>
      </c>
    </row>
    <row r="13877" ht="15" customHeight="1" spans="1:22" x14ac:dyDescent="0.25">
      <c r="A13877" s="17" t="s">
        <v>37577</v>
      </c>
      <c r="B13877" s="17" t="s">
        <v>70</v>
      </c>
      <c r="C13877" s="17" t="s">
        <v>71</v>
      </c>
      <c r="D13877" t="s">
        <v>35745</v>
      </c>
      <c r="F13877" t="s">
        <v>37578</v>
      </c>
      <c r="K13877" s="18">
        <f>6282134577728</f>
        <v>6282134577728</v>
      </c>
      <c r="N13877" s="17" t="s">
        <v>77</v>
      </c>
      <c r="V13877" s="18">
        <f>6282134577728</f>
        <v>6282134577728</v>
      </c>
    </row>
    <row r="13878" ht="15" customHeight="1" spans="1:28" x14ac:dyDescent="0.25">
      <c r="A13878" s="17" t="s">
        <v>37579</v>
      </c>
      <c r="B13878" s="17" t="s">
        <v>70</v>
      </c>
      <c r="C13878" s="17" t="s">
        <v>71</v>
      </c>
      <c r="D13878" t="s">
        <v>35745</v>
      </c>
      <c r="F13878" t="s">
        <v>3775</v>
      </c>
      <c r="J13878" t="s">
        <v>115</v>
      </c>
      <c r="K13878" s="18" t="s">
        <v>37580</v>
      </c>
      <c r="N13878" s="17" t="s">
        <v>81</v>
      </c>
      <c r="O13878" t="s">
        <v>117</v>
      </c>
      <c r="U13878" s="17"/>
      <c r="V13878" s="18" t="s">
        <v>37580</v>
      </c>
      <c r="W13878" t="s">
        <v>37581</v>
      </c>
      <c r="Y13878" t="s">
        <v>190</v>
      </c>
      <c r="AA13878" s="17" t="s">
        <v>118</v>
      </c>
      <c r="AB13878" t="s">
        <v>119</v>
      </c>
    </row>
    <row r="13879" ht="15" customHeight="1" spans="1:28" x14ac:dyDescent="0.25">
      <c r="A13879" s="17" t="s">
        <v>37582</v>
      </c>
      <c r="B13879" s="17" t="s">
        <v>70</v>
      </c>
      <c r="C13879" s="17" t="s">
        <v>71</v>
      </c>
      <c r="D13879" t="s">
        <v>35745</v>
      </c>
      <c r="F13879" t="s">
        <v>37583</v>
      </c>
      <c r="J13879" t="s">
        <v>115</v>
      </c>
      <c r="K13879" s="18" t="s">
        <v>37584</v>
      </c>
      <c r="N13879" s="17" t="s">
        <v>74</v>
      </c>
      <c r="O13879" t="s">
        <v>117</v>
      </c>
      <c r="V13879" s="18" t="s">
        <v>37584</v>
      </c>
      <c r="Y13879" t="s">
        <v>90</v>
      </c>
      <c r="AA13879" t="s">
        <v>118</v>
      </c>
      <c r="AB13879" t="s">
        <v>119</v>
      </c>
    </row>
    <row r="13880" ht="15" customHeight="1" spans="1:28" x14ac:dyDescent="0.25">
      <c r="A13880" s="17" t="s">
        <v>37585</v>
      </c>
      <c r="B13880" s="17" t="s">
        <v>70</v>
      </c>
      <c r="C13880" s="17" t="s">
        <v>71</v>
      </c>
      <c r="D13880" t="s">
        <v>35745</v>
      </c>
      <c r="F13880" t="s">
        <v>3181</v>
      </c>
      <c r="J13880" t="s">
        <v>115</v>
      </c>
      <c r="K13880" s="18" t="s">
        <v>37586</v>
      </c>
      <c r="N13880" s="17" t="s">
        <v>81</v>
      </c>
      <c r="O13880" t="s">
        <v>199</v>
      </c>
      <c r="U13880" s="17"/>
      <c r="V13880" s="18" t="s">
        <v>37586</v>
      </c>
      <c r="W13880" t="s">
        <v>37587</v>
      </c>
      <c r="Y13880" t="s">
        <v>190</v>
      </c>
      <c r="AA13880" t="s">
        <v>118</v>
      </c>
      <c r="AB13880" t="s">
        <v>119</v>
      </c>
    </row>
    <row r="13881" ht="15" customHeight="1" spans="1:22" x14ac:dyDescent="0.25">
      <c r="A13881" s="17" t="s">
        <v>37588</v>
      </c>
      <c r="B13881" s="17" t="s">
        <v>70</v>
      </c>
      <c r="C13881" s="17" t="s">
        <v>71</v>
      </c>
      <c r="D13881" t="s">
        <v>35745</v>
      </c>
      <c r="F13881" t="s">
        <v>37589</v>
      </c>
      <c r="K13881" s="18">
        <f>62817585971</f>
        <v>62817585971</v>
      </c>
      <c r="N13881" s="17" t="s">
        <v>81</v>
      </c>
      <c r="V13881" s="18">
        <f>62817585971</f>
        <v>62817585971</v>
      </c>
    </row>
    <row r="13882" ht="15" customHeight="1" spans="1:22" x14ac:dyDescent="0.25">
      <c r="A13882" s="17" t="s">
        <v>37590</v>
      </c>
      <c r="B13882" s="17" t="s">
        <v>70</v>
      </c>
      <c r="C13882" s="17" t="s">
        <v>71</v>
      </c>
      <c r="D13882" t="s">
        <v>35745</v>
      </c>
      <c r="F13882" t="s">
        <v>9835</v>
      </c>
      <c r="K13882" s="18">
        <f>628111550603</f>
        <v>628111550603</v>
      </c>
      <c r="N13882" s="17" t="s">
        <v>77</v>
      </c>
      <c r="V13882" s="18">
        <f>628111550603</f>
        <v>628111550603</v>
      </c>
    </row>
    <row r="13883" ht="15" customHeight="1" spans="1:23" x14ac:dyDescent="0.25">
      <c r="A13883" s="17" t="s">
        <v>37591</v>
      </c>
      <c r="B13883" s="17" t="s">
        <v>70</v>
      </c>
      <c r="C13883" s="17" t="s">
        <v>71</v>
      </c>
      <c r="D13883" t="s">
        <v>35745</v>
      </c>
      <c r="F13883" t="s">
        <v>9973</v>
      </c>
      <c r="K13883" s="18">
        <f>62811878501</f>
        <v>62811878501</v>
      </c>
      <c r="N13883" s="17" t="s">
        <v>81</v>
      </c>
      <c r="U13883" s="17"/>
      <c r="V13883" s="18">
        <f>62811878501</f>
        <v>62811878501</v>
      </c>
      <c r="W13883" t="s">
        <v>37592</v>
      </c>
    </row>
    <row r="13884" ht="15" customHeight="1" spans="1:22" x14ac:dyDescent="0.25">
      <c r="A13884" s="17" t="s">
        <v>37593</v>
      </c>
      <c r="B13884" s="17" t="s">
        <v>70</v>
      </c>
      <c r="C13884" s="17" t="s">
        <v>71</v>
      </c>
      <c r="D13884" t="s">
        <v>35745</v>
      </c>
      <c r="F13884" t="s">
        <v>9975</v>
      </c>
      <c r="K13884" s="18">
        <f>6281296410009</f>
        <v>6281296410009</v>
      </c>
      <c r="N13884" s="17" t="s">
        <v>74</v>
      </c>
      <c r="V13884" s="18">
        <f>6281296410009</f>
        <v>6281296410009</v>
      </c>
    </row>
    <row r="13885" ht="15" customHeight="1" spans="1:27" x14ac:dyDescent="0.25">
      <c r="A13885" s="17" t="s">
        <v>37594</v>
      </c>
      <c r="B13885" s="17" t="s">
        <v>70</v>
      </c>
      <c r="C13885" s="17" t="s">
        <v>71</v>
      </c>
      <c r="D13885" t="s">
        <v>35745</v>
      </c>
      <c r="F13885" t="s">
        <v>37595</v>
      </c>
      <c r="K13885" s="18">
        <f>628129960433</f>
        <v>628129960433</v>
      </c>
      <c r="N13885" s="17" t="s">
        <v>77</v>
      </c>
      <c r="U13885" s="17"/>
      <c r="V13885" s="18">
        <f>628129960433</f>
        <v>628129960433</v>
      </c>
      <c r="W13885" t="s">
        <v>37596</v>
      </c>
      <c r="AA13885" s="17" t="s">
        <v>37597</v>
      </c>
    </row>
    <row r="13886" ht="15" customHeight="1" spans="1:28" x14ac:dyDescent="0.25">
      <c r="A13886" s="17" t="s">
        <v>37598</v>
      </c>
      <c r="B13886" s="17" t="s">
        <v>70</v>
      </c>
      <c r="C13886" s="17" t="s">
        <v>71</v>
      </c>
      <c r="D13886" t="s">
        <v>35745</v>
      </c>
      <c r="F13886" t="s">
        <v>37599</v>
      </c>
      <c r="J13886" t="s">
        <v>37600</v>
      </c>
      <c r="K13886" s="18" t="s">
        <v>37601</v>
      </c>
      <c r="N13886" s="17" t="s">
        <v>77</v>
      </c>
      <c r="O13886" t="s">
        <v>145</v>
      </c>
      <c r="V13886" s="18" t="s">
        <v>37601</v>
      </c>
      <c r="Y13886" t="s">
        <v>190</v>
      </c>
      <c r="AA13886" t="s">
        <v>118</v>
      </c>
      <c r="AB13886" t="s">
        <v>119</v>
      </c>
    </row>
    <row r="13887" ht="15" customHeight="1" spans="1:25" x14ac:dyDescent="0.25">
      <c r="A13887" s="17" t="s">
        <v>37602</v>
      </c>
      <c r="B13887" s="17" t="s">
        <v>70</v>
      </c>
      <c r="C13887" s="17" t="s">
        <v>71</v>
      </c>
      <c r="D13887" t="s">
        <v>35745</v>
      </c>
      <c r="F13887" t="s">
        <v>8099</v>
      </c>
      <c r="J13887" s="17" t="s">
        <v>37603</v>
      </c>
      <c r="K13887" s="18">
        <f>6287771117688</f>
        <v>6287771117688</v>
      </c>
      <c r="N13887" s="17" t="s">
        <v>77</v>
      </c>
      <c r="U13887" s="17"/>
      <c r="V13887" s="18">
        <f>6287771117688</f>
        <v>6287771117688</v>
      </c>
      <c r="W13887" t="s">
        <v>37604</v>
      </c>
      <c r="Y13887" s="17" t="s">
        <v>596</v>
      </c>
    </row>
    <row r="13888" ht="15" customHeight="1" spans="1:22" x14ac:dyDescent="0.25">
      <c r="A13888" s="17" t="s">
        <v>37605</v>
      </c>
      <c r="B13888" s="17" t="s">
        <v>70</v>
      </c>
      <c r="C13888" s="17" t="s">
        <v>71</v>
      </c>
      <c r="D13888" t="s">
        <v>35745</v>
      </c>
      <c r="F13888" t="s">
        <v>16073</v>
      </c>
      <c r="K13888" s="18">
        <f>6281228918661</f>
        <v>6281228918661</v>
      </c>
      <c r="N13888" s="17" t="s">
        <v>77</v>
      </c>
      <c r="V13888" s="18">
        <f>6281228918661</f>
        <v>6281228918661</v>
      </c>
    </row>
    <row r="13889" ht="15" customHeight="1" spans="1:28" x14ac:dyDescent="0.25">
      <c r="A13889" s="17" t="s">
        <v>37606</v>
      </c>
      <c r="B13889" s="17" t="s">
        <v>70</v>
      </c>
      <c r="C13889" s="17" t="s">
        <v>71</v>
      </c>
      <c r="D13889" t="s">
        <v>35745</v>
      </c>
      <c r="F13889" t="s">
        <v>4858</v>
      </c>
      <c r="J13889" s="17" t="s">
        <v>37607</v>
      </c>
      <c r="K13889" s="18" t="s">
        <v>37608</v>
      </c>
      <c r="N13889" s="17" t="s">
        <v>77</v>
      </c>
      <c r="O13889" t="s">
        <v>489</v>
      </c>
      <c r="U13889" s="17"/>
      <c r="V13889" s="18" t="s">
        <v>37608</v>
      </c>
      <c r="W13889" t="s">
        <v>37609</v>
      </c>
      <c r="Y13889" t="s">
        <v>1247</v>
      </c>
      <c r="AA13889" t="s">
        <v>115</v>
      </c>
      <c r="AB13889" t="s">
        <v>119</v>
      </c>
    </row>
    <row r="13890" ht="15" customHeight="1" spans="1:22" x14ac:dyDescent="0.25">
      <c r="A13890" s="17" t="s">
        <v>37610</v>
      </c>
      <c r="B13890" s="17" t="s">
        <v>70</v>
      </c>
      <c r="C13890" s="17" t="s">
        <v>71</v>
      </c>
      <c r="D13890" t="s">
        <v>35745</v>
      </c>
      <c r="F13890" t="s">
        <v>37611</v>
      </c>
      <c r="K13890" s="18">
        <f>6287876666159</f>
        <v>6287876666159</v>
      </c>
      <c r="N13890" s="17" t="s">
        <v>77</v>
      </c>
      <c r="V13890" s="18">
        <f>6287876666159</f>
        <v>6287876666159</v>
      </c>
    </row>
    <row r="13891" ht="15" customHeight="1" spans="1:22" x14ac:dyDescent="0.25">
      <c r="A13891" s="17" t="s">
        <v>37612</v>
      </c>
      <c r="B13891" s="17" t="s">
        <v>70</v>
      </c>
      <c r="C13891" s="17" t="s">
        <v>71</v>
      </c>
      <c r="D13891" t="s">
        <v>35745</v>
      </c>
      <c r="F13891" t="s">
        <v>9853</v>
      </c>
      <c r="K13891" s="18">
        <f>62819764337</f>
        <v>62819764337</v>
      </c>
      <c r="N13891" s="17" t="s">
        <v>77</v>
      </c>
      <c r="V13891" s="18">
        <f>62819764337</f>
        <v>62819764337</v>
      </c>
    </row>
    <row r="13892" ht="15" customHeight="1" spans="1:22" x14ac:dyDescent="0.25">
      <c r="A13892" s="17" t="s">
        <v>37613</v>
      </c>
      <c r="B13892" s="17" t="s">
        <v>70</v>
      </c>
      <c r="C13892" s="17" t="s">
        <v>71</v>
      </c>
      <c r="D13892" t="s">
        <v>37614</v>
      </c>
      <c r="F13892" t="s">
        <v>37614</v>
      </c>
      <c r="K13892" s="18">
        <f>6287861382000</f>
        <v>6287861382000</v>
      </c>
      <c r="N13892" s="17" t="s">
        <v>77</v>
      </c>
      <c r="V13892" s="18">
        <f>6287861382000</f>
        <v>6287861382000</v>
      </c>
    </row>
    <row r="13893" ht="15" customHeight="1" spans="1:22" x14ac:dyDescent="0.25">
      <c r="A13893" s="17" t="s">
        <v>37615</v>
      </c>
      <c r="B13893" s="17" t="s">
        <v>70</v>
      </c>
      <c r="C13893" s="17" t="s">
        <v>71</v>
      </c>
      <c r="D13893" t="s">
        <v>37616</v>
      </c>
      <c r="F13893" t="s">
        <v>37616</v>
      </c>
      <c r="K13893" s="18">
        <f>62816726600</f>
        <v>62816726600</v>
      </c>
      <c r="N13893" s="17" t="s">
        <v>81</v>
      </c>
      <c r="V13893" s="18">
        <f>62816726600</f>
        <v>62816726600</v>
      </c>
    </row>
    <row r="13894" ht="15" customHeight="1" spans="1:25" x14ac:dyDescent="0.25">
      <c r="A13894" s="17" t="s">
        <v>37617</v>
      </c>
      <c r="B13894" s="17" t="s">
        <v>70</v>
      </c>
      <c r="C13894" s="17" t="s">
        <v>71</v>
      </c>
      <c r="D13894" t="s">
        <v>37618</v>
      </c>
      <c r="F13894" t="s">
        <v>37618</v>
      </c>
      <c r="K13894" s="18">
        <v>4252379</v>
      </c>
      <c r="N13894" s="17" t="s">
        <v>77</v>
      </c>
      <c r="U13894" s="17"/>
      <c r="V13894" s="18">
        <v>4252379</v>
      </c>
      <c r="W13894" t="s">
        <v>37619</v>
      </c>
      <c r="Y13894" s="17" t="s">
        <v>378</v>
      </c>
    </row>
    <row r="13895" ht="15" customHeight="1" spans="1:22" x14ac:dyDescent="0.25">
      <c r="A13895" s="17" t="s">
        <v>37620</v>
      </c>
      <c r="B13895" s="17" t="s">
        <v>70</v>
      </c>
      <c r="C13895" s="17" t="s">
        <v>71</v>
      </c>
      <c r="D13895" t="s">
        <v>37621</v>
      </c>
      <c r="F13895" t="s">
        <v>37621</v>
      </c>
      <c r="K13895" s="18">
        <f>6221270030262</f>
        <v>6221270030262</v>
      </c>
      <c r="N13895" s="17" t="s">
        <v>81</v>
      </c>
      <c r="V13895" s="18">
        <f>6221270030262</f>
        <v>6221270030262</v>
      </c>
    </row>
    <row r="13896" ht="15" customHeight="1" spans="1:28" x14ac:dyDescent="0.25">
      <c r="A13896" s="17" t="s">
        <v>37622</v>
      </c>
      <c r="B13896" s="17" t="s">
        <v>70</v>
      </c>
      <c r="C13896" s="17" t="s">
        <v>71</v>
      </c>
      <c r="D13896" t="s">
        <v>37623</v>
      </c>
      <c r="F13896" t="s">
        <v>334</v>
      </c>
      <c r="J13896" s="17" t="s">
        <v>37624</v>
      </c>
      <c r="K13896" s="18" t="s">
        <v>37625</v>
      </c>
      <c r="N13896" s="17" t="s">
        <v>77</v>
      </c>
      <c r="O13896" t="s">
        <v>145</v>
      </c>
      <c r="U13896" s="17"/>
      <c r="V13896" s="18" t="s">
        <v>37625</v>
      </c>
      <c r="W13896" t="s">
        <v>28441</v>
      </c>
      <c r="Y13896" t="s">
        <v>1046</v>
      </c>
      <c r="AA13896" t="s">
        <v>115</v>
      </c>
      <c r="AB13896" t="s">
        <v>1046</v>
      </c>
    </row>
    <row r="13897" ht="15" customHeight="1" spans="1:27" x14ac:dyDescent="0.25">
      <c r="A13897" s="17" t="s">
        <v>37626</v>
      </c>
      <c r="B13897" s="17" t="s">
        <v>70</v>
      </c>
      <c r="C13897" s="17" t="s">
        <v>71</v>
      </c>
      <c r="D13897" t="s">
        <v>37627</v>
      </c>
      <c r="F13897" t="s">
        <v>2399</v>
      </c>
      <c r="K13897" s="18">
        <f>628161903816</f>
        <v>628161903816</v>
      </c>
      <c r="N13897" s="17" t="s">
        <v>77</v>
      </c>
      <c r="U13897" s="17"/>
      <c r="V13897" s="18">
        <f>628161903816</f>
        <v>628161903816</v>
      </c>
      <c r="W13897" t="s">
        <v>37628</v>
      </c>
      <c r="Y13897" s="17" t="s">
        <v>96</v>
      </c>
      <c r="AA13897" s="17" t="s">
        <v>37629</v>
      </c>
    </row>
    <row r="13898" ht="15" customHeight="1" spans="1:28" x14ac:dyDescent="0.25">
      <c r="A13898" s="17" t="s">
        <v>37630</v>
      </c>
      <c r="B13898" s="17" t="s">
        <v>70</v>
      </c>
      <c r="C13898" s="17" t="s">
        <v>71</v>
      </c>
      <c r="D13898" t="s">
        <v>37631</v>
      </c>
      <c r="F13898" t="s">
        <v>37632</v>
      </c>
      <c r="J13898" t="s">
        <v>115</v>
      </c>
      <c r="K13898" s="18" t="s">
        <v>37633</v>
      </c>
      <c r="N13898" s="17" t="s">
        <v>77</v>
      </c>
      <c r="O13898" t="s">
        <v>117</v>
      </c>
      <c r="U13898" s="17"/>
      <c r="V13898" s="18" t="s">
        <v>37633</v>
      </c>
      <c r="W13898" t="s">
        <v>37634</v>
      </c>
      <c r="Y13898" t="s">
        <v>96</v>
      </c>
      <c r="AA13898" t="s">
        <v>693</v>
      </c>
      <c r="AB13898" t="s">
        <v>119</v>
      </c>
    </row>
    <row r="13899" ht="15" customHeight="1" spans="1:23" x14ac:dyDescent="0.25">
      <c r="A13899" s="17" t="s">
        <v>37635</v>
      </c>
      <c r="B13899" s="17" t="s">
        <v>70</v>
      </c>
      <c r="C13899" s="17" t="s">
        <v>71</v>
      </c>
      <c r="D13899" t="s">
        <v>37636</v>
      </c>
      <c r="F13899" t="s">
        <v>37637</v>
      </c>
      <c r="K13899" s="18">
        <f>486018149259</f>
        <v>486018149259</v>
      </c>
      <c r="N13899" s="17" t="s">
        <v>77</v>
      </c>
      <c r="U13899" s="17"/>
      <c r="V13899" s="18">
        <f>486018149259</f>
        <v>486018149259</v>
      </c>
      <c r="W13899" t="s">
        <v>3073</v>
      </c>
    </row>
    <row r="13900" ht="15" customHeight="1" spans="1:25" x14ac:dyDescent="0.25">
      <c r="A13900" s="17" t="s">
        <v>37638</v>
      </c>
      <c r="B13900" s="17" t="s">
        <v>70</v>
      </c>
      <c r="C13900" s="17" t="s">
        <v>71</v>
      </c>
      <c r="D13900" t="s">
        <v>37639</v>
      </c>
      <c r="F13900" t="s">
        <v>37639</v>
      </c>
      <c r="J13900" s="17" t="s">
        <v>37640</v>
      </c>
      <c r="K13900" s="18">
        <f>6282169825392</f>
        <v>6282169825392</v>
      </c>
      <c r="N13900" s="17" t="s">
        <v>77</v>
      </c>
      <c r="U13900" s="17"/>
      <c r="V13900" s="18">
        <f>6282169825392</f>
        <v>6282169825392</v>
      </c>
      <c r="W13900" t="s">
        <v>37641</v>
      </c>
      <c r="Y13900" s="17" t="s">
        <v>1084</v>
      </c>
    </row>
    <row r="13901" ht="15" customHeight="1" spans="1:22" x14ac:dyDescent="0.25">
      <c r="A13901" s="17" t="s">
        <v>37642</v>
      </c>
      <c r="B13901" s="17" t="s">
        <v>70</v>
      </c>
      <c r="C13901" s="17" t="s">
        <v>71</v>
      </c>
      <c r="D13901" t="s">
        <v>37643</v>
      </c>
      <c r="F13901" t="s">
        <v>37644</v>
      </c>
      <c r="K13901" s="18">
        <f>6281283998752</f>
        <v>6281283998752</v>
      </c>
      <c r="N13901" s="17" t="s">
        <v>77</v>
      </c>
      <c r="V13901" s="18">
        <f>6281283998752</f>
        <v>6281283998752</v>
      </c>
    </row>
    <row r="13902" ht="15" customHeight="1" spans="1:28" x14ac:dyDescent="0.25">
      <c r="A13902" s="17" t="s">
        <v>37645</v>
      </c>
      <c r="B13902" s="17" t="s">
        <v>70</v>
      </c>
      <c r="C13902" s="17" t="s">
        <v>71</v>
      </c>
      <c r="D13902" t="s">
        <v>37646</v>
      </c>
      <c r="F13902" t="s">
        <v>16899</v>
      </c>
      <c r="J13902" t="s">
        <v>115</v>
      </c>
      <c r="K13902" s="18" t="s">
        <v>37647</v>
      </c>
      <c r="N13902" s="17" t="s">
        <v>77</v>
      </c>
      <c r="O13902" t="s">
        <v>261</v>
      </c>
      <c r="U13902" s="17"/>
      <c r="V13902" s="18" t="s">
        <v>37647</v>
      </c>
      <c r="W13902" t="s">
        <v>37648</v>
      </c>
      <c r="Y13902" t="s">
        <v>90</v>
      </c>
      <c r="AA13902" s="17" t="s">
        <v>118</v>
      </c>
      <c r="AB13902" t="s">
        <v>119</v>
      </c>
    </row>
    <row r="13903" ht="15" customHeight="1" spans="1:23" x14ac:dyDescent="0.25">
      <c r="A13903" s="17" t="s">
        <v>37649</v>
      </c>
      <c r="B13903" s="17" t="s">
        <v>70</v>
      </c>
      <c r="C13903" s="17" t="s">
        <v>71</v>
      </c>
      <c r="D13903" t="s">
        <v>37650</v>
      </c>
      <c r="F13903" t="s">
        <v>17552</v>
      </c>
      <c r="K13903" s="18">
        <f>6281220038185</f>
        <v>6281220038185</v>
      </c>
      <c r="N13903" s="17" t="s">
        <v>81</v>
      </c>
      <c r="U13903" s="17"/>
      <c r="V13903" s="18">
        <f>6281220038185</f>
        <v>6281220038185</v>
      </c>
      <c r="W13903" t="s">
        <v>37651</v>
      </c>
    </row>
    <row r="13904" ht="15" customHeight="1" spans="1:22" x14ac:dyDescent="0.25">
      <c r="A13904" s="17" t="s">
        <v>37652</v>
      </c>
      <c r="B13904" s="17" t="s">
        <v>70</v>
      </c>
      <c r="C13904" s="17" t="s">
        <v>71</v>
      </c>
      <c r="D13904" t="s">
        <v>37653</v>
      </c>
      <c r="F13904" t="s">
        <v>1130</v>
      </c>
      <c r="K13904" s="18">
        <f>628116095788</f>
        <v>628116095788</v>
      </c>
      <c r="N13904" s="17" t="s">
        <v>81</v>
      </c>
      <c r="V13904" s="18">
        <f>628116095788</f>
        <v>628116095788</v>
      </c>
    </row>
    <row r="13905" ht="15" customHeight="1" spans="1:22" x14ac:dyDescent="0.25">
      <c r="A13905" s="17" t="s">
        <v>37654</v>
      </c>
      <c r="B13905" s="17" t="s">
        <v>70</v>
      </c>
      <c r="C13905" s="17" t="s">
        <v>71</v>
      </c>
      <c r="D13905" t="s">
        <v>37655</v>
      </c>
      <c r="F13905" t="s">
        <v>37656</v>
      </c>
      <c r="K13905" s="18">
        <f>628118629360</f>
        <v>628118629360</v>
      </c>
      <c r="N13905" s="17" t="s">
        <v>77</v>
      </c>
      <c r="V13905" s="18">
        <f>628118629360</f>
        <v>628118629360</v>
      </c>
    </row>
    <row r="13906" ht="15" customHeight="1" spans="1:22" x14ac:dyDescent="0.25">
      <c r="A13906" s="17" t="s">
        <v>37657</v>
      </c>
      <c r="B13906" s="17" t="s">
        <v>70</v>
      </c>
      <c r="C13906" s="17" t="s">
        <v>71</v>
      </c>
      <c r="D13906" t="s">
        <v>37658</v>
      </c>
      <c r="F13906" t="s">
        <v>37658</v>
      </c>
      <c r="K13906" s="18">
        <f>6282228989889</f>
        <v>6282228989889</v>
      </c>
      <c r="N13906" s="17" t="s">
        <v>77</v>
      </c>
      <c r="V13906" s="18">
        <f>6282228989889</f>
        <v>6282228989889</v>
      </c>
    </row>
    <row r="13907" ht="15" customHeight="1" spans="1:22" x14ac:dyDescent="0.25">
      <c r="A13907" s="17" t="s">
        <v>37659</v>
      </c>
      <c r="B13907" s="17" t="s">
        <v>70</v>
      </c>
      <c r="C13907" s="17" t="s">
        <v>71</v>
      </c>
      <c r="D13907" t="s">
        <v>37660</v>
      </c>
      <c r="F13907" t="s">
        <v>37660</v>
      </c>
      <c r="K13907" s="18">
        <f>62817398198</f>
        <v>62817398198</v>
      </c>
      <c r="N13907" s="17" t="s">
        <v>77</v>
      </c>
      <c r="V13907" s="18">
        <f>62817398198</f>
        <v>62817398198</v>
      </c>
    </row>
    <row r="13908" ht="15" customHeight="1" spans="1:28" x14ac:dyDescent="0.25">
      <c r="A13908" s="17" t="s">
        <v>37661</v>
      </c>
      <c r="B13908" s="17" t="s">
        <v>70</v>
      </c>
      <c r="C13908" s="17" t="s">
        <v>71</v>
      </c>
      <c r="D13908" t="s">
        <v>37662</v>
      </c>
      <c r="F13908" t="s">
        <v>37663</v>
      </c>
      <c r="J13908" t="s">
        <v>115</v>
      </c>
      <c r="K13908" s="18" t="s">
        <v>37664</v>
      </c>
      <c r="N13908" s="17" t="s">
        <v>77</v>
      </c>
      <c r="O13908" t="s">
        <v>145</v>
      </c>
      <c r="U13908" s="17"/>
      <c r="V13908" s="18" t="s">
        <v>37664</v>
      </c>
      <c r="W13908" t="s">
        <v>37665</v>
      </c>
      <c r="Y13908" s="17" t="s">
        <v>4412</v>
      </c>
      <c r="AA13908" t="s">
        <v>115</v>
      </c>
      <c r="AB13908" t="s">
        <v>119</v>
      </c>
    </row>
    <row r="13909" ht="15" customHeight="1" spans="1:22" x14ac:dyDescent="0.25">
      <c r="A13909" s="17" t="s">
        <v>37666</v>
      </c>
      <c r="B13909" s="17" t="s">
        <v>70</v>
      </c>
      <c r="C13909" s="17" t="s">
        <v>71</v>
      </c>
      <c r="D13909" t="s">
        <v>37662</v>
      </c>
      <c r="F13909" t="s">
        <v>37667</v>
      </c>
      <c r="J13909" s="17" t="s">
        <v>37668</v>
      </c>
      <c r="K13909" s="18">
        <f>6287788007080</f>
        <v>6287788007080</v>
      </c>
      <c r="N13909" s="17" t="s">
        <v>81</v>
      </c>
      <c r="V13909" s="18">
        <f>6287788007080</f>
        <v>6287788007080</v>
      </c>
    </row>
    <row r="13910" ht="15" customHeight="1" spans="1:28" x14ac:dyDescent="0.25">
      <c r="A13910" s="17" t="s">
        <v>37669</v>
      </c>
      <c r="B13910" s="17" t="s">
        <v>70</v>
      </c>
      <c r="C13910" s="17" t="s">
        <v>71</v>
      </c>
      <c r="D13910" t="s">
        <v>35526</v>
      </c>
      <c r="F13910" t="s">
        <v>20340</v>
      </c>
      <c r="J13910" s="17" t="s">
        <v>37670</v>
      </c>
      <c r="K13910" s="18" t="s">
        <v>37671</v>
      </c>
      <c r="N13910" s="17" t="s">
        <v>77</v>
      </c>
      <c r="O13910" t="s">
        <v>117</v>
      </c>
      <c r="U13910" s="17"/>
      <c r="V13910" s="18" t="s">
        <v>37671</v>
      </c>
      <c r="W13910" t="s">
        <v>37672</v>
      </c>
      <c r="Y13910" t="s">
        <v>115</v>
      </c>
      <c r="AA13910" t="s">
        <v>115</v>
      </c>
      <c r="AB13910" t="s">
        <v>119</v>
      </c>
    </row>
    <row r="13911" ht="15" customHeight="1" spans="1:22" x14ac:dyDescent="0.25">
      <c r="A13911" s="17" t="s">
        <v>37673</v>
      </c>
      <c r="B13911" s="17" t="s">
        <v>70</v>
      </c>
      <c r="C13911" s="17" t="s">
        <v>71</v>
      </c>
      <c r="D13911" t="s">
        <v>35526</v>
      </c>
      <c r="F13911" t="s">
        <v>37674</v>
      </c>
      <c r="K13911" s="18">
        <f>628229888307</f>
        <v>628229888307</v>
      </c>
      <c r="N13911" s="17" t="s">
        <v>77</v>
      </c>
      <c r="V13911" s="18">
        <f>628229888307</f>
        <v>628229888307</v>
      </c>
    </row>
    <row r="13912" ht="15" customHeight="1" spans="1:28" x14ac:dyDescent="0.25">
      <c r="A13912" s="17" t="s">
        <v>37675</v>
      </c>
      <c r="B13912" s="17" t="s">
        <v>70</v>
      </c>
      <c r="C13912" s="17" t="s">
        <v>71</v>
      </c>
      <c r="D13912" t="s">
        <v>35526</v>
      </c>
      <c r="F13912" t="s">
        <v>37676</v>
      </c>
      <c r="J13912" s="17" t="s">
        <v>37677</v>
      </c>
      <c r="K13912" s="18" t="s">
        <v>37678</v>
      </c>
      <c r="N13912" s="17" t="s">
        <v>81</v>
      </c>
      <c r="O13912" t="s">
        <v>261</v>
      </c>
      <c r="U13912" s="17"/>
      <c r="V13912" s="18" t="s">
        <v>37678</v>
      </c>
      <c r="W13912" t="s">
        <v>37679</v>
      </c>
      <c r="Y13912" t="s">
        <v>762</v>
      </c>
      <c r="AA13912" t="s">
        <v>115</v>
      </c>
      <c r="AB13912" t="s">
        <v>119</v>
      </c>
    </row>
    <row r="13913" ht="15" customHeight="1" spans="1:28" x14ac:dyDescent="0.25">
      <c r="A13913" s="17" t="s">
        <v>37680</v>
      </c>
      <c r="B13913" s="17" t="s">
        <v>70</v>
      </c>
      <c r="C13913" s="17" t="s">
        <v>71</v>
      </c>
      <c r="D13913" t="s">
        <v>37681</v>
      </c>
      <c r="F13913" t="s">
        <v>37682</v>
      </c>
      <c r="J13913" s="17" t="s">
        <v>37683</v>
      </c>
      <c r="K13913" s="18" t="s">
        <v>37684</v>
      </c>
      <c r="N13913" s="17" t="s">
        <v>77</v>
      </c>
      <c r="O13913" t="s">
        <v>145</v>
      </c>
      <c r="V13913" s="18" t="s">
        <v>37684</v>
      </c>
      <c r="Y13913" t="s">
        <v>1553</v>
      </c>
      <c r="AA13913" t="s">
        <v>115</v>
      </c>
      <c r="AB13913" t="s">
        <v>119</v>
      </c>
    </row>
    <row r="13914" ht="15" customHeight="1" spans="1:22" x14ac:dyDescent="0.25">
      <c r="A13914" s="17" t="s">
        <v>37685</v>
      </c>
      <c r="B13914" s="17" t="s">
        <v>70</v>
      </c>
      <c r="C13914" s="17" t="s">
        <v>71</v>
      </c>
      <c r="D13914" t="s">
        <v>37686</v>
      </c>
      <c r="F13914" t="s">
        <v>37687</v>
      </c>
      <c r="K13914" s="18">
        <f>62816747636</f>
        <v>62816747636</v>
      </c>
      <c r="N13914" s="17" t="s">
        <v>77</v>
      </c>
      <c r="V13914" s="18">
        <f>62816747636</f>
        <v>62816747636</v>
      </c>
    </row>
    <row r="13915" ht="15" customHeight="1" spans="1:22" x14ac:dyDescent="0.25">
      <c r="A13915" s="17" t="s">
        <v>37688</v>
      </c>
      <c r="B13915" s="17" t="s">
        <v>70</v>
      </c>
      <c r="C13915" s="17" t="s">
        <v>71</v>
      </c>
      <c r="D13915" t="s">
        <v>37689</v>
      </c>
      <c r="F13915" t="s">
        <v>37690</v>
      </c>
      <c r="K13915" s="18">
        <f>62818726892</f>
        <v>62818726892</v>
      </c>
      <c r="N13915" s="17" t="s">
        <v>74</v>
      </c>
      <c r="V13915" s="18">
        <f>62818726892</f>
        <v>62818726892</v>
      </c>
    </row>
    <row r="13916" ht="15" customHeight="1" spans="1:22" x14ac:dyDescent="0.25">
      <c r="A13916" s="17" t="s">
        <v>37691</v>
      </c>
      <c r="B13916" s="17" t="s">
        <v>70</v>
      </c>
      <c r="C13916" s="17" t="s">
        <v>71</v>
      </c>
      <c r="D13916" t="s">
        <v>37689</v>
      </c>
      <c r="F13916" t="s">
        <v>37692</v>
      </c>
      <c r="K13916" s="18">
        <f>6281313328888</f>
        <v>6281313328888</v>
      </c>
      <c r="N13916" s="17" t="s">
        <v>81</v>
      </c>
      <c r="V13916" s="18">
        <f>6281313328888</f>
        <v>6281313328888</v>
      </c>
    </row>
    <row r="13917" ht="15" customHeight="1" spans="1:28" x14ac:dyDescent="0.25">
      <c r="A13917" s="17" t="s">
        <v>37693</v>
      </c>
      <c r="B13917" s="17" t="s">
        <v>70</v>
      </c>
      <c r="C13917" s="17" t="s">
        <v>71</v>
      </c>
      <c r="D13917" t="s">
        <v>37694</v>
      </c>
      <c r="F13917" t="s">
        <v>37695</v>
      </c>
      <c r="J13917" t="s">
        <v>37696</v>
      </c>
      <c r="K13917" s="18" t="s">
        <v>37697</v>
      </c>
      <c r="N13917" s="17" t="s">
        <v>81</v>
      </c>
      <c r="O13917" t="s">
        <v>489</v>
      </c>
      <c r="V13917" s="18" t="s">
        <v>37697</v>
      </c>
      <c r="Y13917" t="s">
        <v>190</v>
      </c>
      <c r="AA13917" t="s">
        <v>118</v>
      </c>
      <c r="AB13917" t="s">
        <v>119</v>
      </c>
    </row>
    <row r="13918" ht="15" customHeight="1" spans="1:22" x14ac:dyDescent="0.25">
      <c r="A13918" s="17" t="s">
        <v>37698</v>
      </c>
      <c r="B13918" s="17" t="s">
        <v>70</v>
      </c>
      <c r="C13918" s="17" t="s">
        <v>71</v>
      </c>
      <c r="D13918" t="s">
        <v>37699</v>
      </c>
      <c r="F13918" t="s">
        <v>37699</v>
      </c>
      <c r="K13918" s="18">
        <f>6287788995959</f>
        <v>6287788995959</v>
      </c>
      <c r="N13918" s="17" t="s">
        <v>77</v>
      </c>
      <c r="V13918" s="18">
        <f>6287788995959</f>
        <v>6287788995959</v>
      </c>
    </row>
    <row r="13919" ht="15" customHeight="1" spans="1:28" x14ac:dyDescent="0.25">
      <c r="A13919" s="17" t="s">
        <v>37700</v>
      </c>
      <c r="B13919" s="17" t="s">
        <v>70</v>
      </c>
      <c r="C13919" s="17" t="s">
        <v>71</v>
      </c>
      <c r="D13919" t="s">
        <v>37699</v>
      </c>
      <c r="F13919" t="s">
        <v>913</v>
      </c>
      <c r="J13919" s="17" t="s">
        <v>37701</v>
      </c>
      <c r="K13919" s="18" t="s">
        <v>37702</v>
      </c>
      <c r="N13919" s="17" t="s">
        <v>81</v>
      </c>
      <c r="O13919" t="s">
        <v>261</v>
      </c>
      <c r="V13919" s="18" t="s">
        <v>37702</v>
      </c>
      <c r="Y13919" t="s">
        <v>90</v>
      </c>
      <c r="AA13919" t="s">
        <v>118</v>
      </c>
      <c r="AB13919" t="s">
        <v>119</v>
      </c>
    </row>
    <row r="13920" ht="15" customHeight="1" spans="1:28" x14ac:dyDescent="0.25">
      <c r="A13920" s="17" t="s">
        <v>37703</v>
      </c>
      <c r="B13920" s="17" t="s">
        <v>70</v>
      </c>
      <c r="C13920" s="17" t="s">
        <v>71</v>
      </c>
      <c r="D13920" t="s">
        <v>37704</v>
      </c>
      <c r="F13920" t="s">
        <v>150</v>
      </c>
      <c r="J13920" t="s">
        <v>115</v>
      </c>
      <c r="K13920" s="18" t="s">
        <v>37705</v>
      </c>
      <c r="N13920" s="17" t="s">
        <v>77</v>
      </c>
      <c r="O13920" t="s">
        <v>117</v>
      </c>
      <c r="V13920" s="18" t="s">
        <v>37705</v>
      </c>
      <c r="Y13920" t="s">
        <v>190</v>
      </c>
      <c r="AA13920" t="s">
        <v>118</v>
      </c>
      <c r="AB13920" t="s">
        <v>119</v>
      </c>
    </row>
    <row r="13921" ht="15" customHeight="1" spans="1:25" x14ac:dyDescent="0.25">
      <c r="A13921" s="17" t="s">
        <v>37706</v>
      </c>
      <c r="B13921" s="17" t="s">
        <v>70</v>
      </c>
      <c r="C13921" s="17" t="s">
        <v>71</v>
      </c>
      <c r="D13921" t="s">
        <v>37707</v>
      </c>
      <c r="F13921" t="s">
        <v>37708</v>
      </c>
      <c r="K13921" s="18">
        <f>628111848679</f>
        <v>628111848679</v>
      </c>
      <c r="N13921" s="17" t="s">
        <v>77</v>
      </c>
      <c r="U13921" s="17"/>
      <c r="V13921" s="18">
        <f>628111848679</f>
        <v>628111848679</v>
      </c>
      <c r="W13921" t="s">
        <v>37709</v>
      </c>
      <c r="Y13921" s="17" t="s">
        <v>96</v>
      </c>
    </row>
    <row r="13922" ht="15" customHeight="1" spans="1:22" x14ac:dyDescent="0.25">
      <c r="A13922" s="17" t="s">
        <v>37710</v>
      </c>
      <c r="B13922" s="17" t="s">
        <v>70</v>
      </c>
      <c r="C13922" s="17" t="s">
        <v>71</v>
      </c>
      <c r="D13922" t="s">
        <v>34660</v>
      </c>
      <c r="F13922" t="s">
        <v>34660</v>
      </c>
      <c r="K13922" s="18">
        <f>6285310300700</f>
        <v>6285310300700</v>
      </c>
      <c r="N13922" s="17" t="s">
        <v>74</v>
      </c>
      <c r="V13922" s="18">
        <f>6285310300700</f>
        <v>6285310300700</v>
      </c>
    </row>
    <row r="13923" ht="15" customHeight="1" spans="1:22" x14ac:dyDescent="0.25">
      <c r="A13923" s="17" t="s">
        <v>37711</v>
      </c>
      <c r="B13923" s="17" t="s">
        <v>70</v>
      </c>
      <c r="C13923" s="17" t="s">
        <v>71</v>
      </c>
      <c r="D13923" t="s">
        <v>34660</v>
      </c>
      <c r="F13923" t="s">
        <v>9028</v>
      </c>
      <c r="K13923" s="18">
        <f>6282122772369</f>
        <v>6282122772369</v>
      </c>
      <c r="N13923" s="17" t="s">
        <v>77</v>
      </c>
      <c r="V13923" s="18">
        <f>6282122772369</f>
        <v>6282122772369</v>
      </c>
    </row>
    <row r="13924" ht="15" customHeight="1" spans="1:22" x14ac:dyDescent="0.25">
      <c r="A13924" s="17" t="s">
        <v>37712</v>
      </c>
      <c r="B13924" s="17" t="s">
        <v>70</v>
      </c>
      <c r="C13924" s="17" t="s">
        <v>71</v>
      </c>
      <c r="D13924" t="s">
        <v>34660</v>
      </c>
      <c r="F13924" t="s">
        <v>4378</v>
      </c>
      <c r="K13924" s="18">
        <f>6287880912281</f>
        <v>6287880912281</v>
      </c>
      <c r="N13924" s="17" t="s">
        <v>77</v>
      </c>
      <c r="V13924" s="18">
        <f>6287880912281</f>
        <v>6287880912281</v>
      </c>
    </row>
    <row r="13925" ht="15" customHeight="1" spans="1:27" x14ac:dyDescent="0.25">
      <c r="A13925" s="17" t="s">
        <v>37713</v>
      </c>
      <c r="B13925" s="17" t="s">
        <v>70</v>
      </c>
      <c r="C13925" s="17" t="s">
        <v>71</v>
      </c>
      <c r="D13925" t="s">
        <v>34660</v>
      </c>
      <c r="F13925" t="s">
        <v>37714</v>
      </c>
      <c r="J13925" s="17" t="s">
        <v>37715</v>
      </c>
      <c r="K13925" s="18">
        <f>62811166128</f>
        <v>62811166128</v>
      </c>
      <c r="N13925" s="17" t="s">
        <v>77</v>
      </c>
      <c r="U13925" s="17"/>
      <c r="V13925" s="18">
        <f>62811166128</f>
        <v>62811166128</v>
      </c>
      <c r="W13925" t="s">
        <v>37716</v>
      </c>
      <c r="Y13925" s="17" t="s">
        <v>1084</v>
      </c>
      <c r="AA13925" s="17">
        <v>14450</v>
      </c>
    </row>
    <row r="13926" ht="15" customHeight="1" spans="1:28" x14ac:dyDescent="0.25">
      <c r="A13926" s="17" t="s">
        <v>37717</v>
      </c>
      <c r="B13926" s="17" t="s">
        <v>70</v>
      </c>
      <c r="C13926" s="17" t="s">
        <v>71</v>
      </c>
      <c r="D13926" t="s">
        <v>34660</v>
      </c>
      <c r="F13926" t="s">
        <v>13891</v>
      </c>
      <c r="J13926" s="17" t="s">
        <v>37718</v>
      </c>
      <c r="K13926" s="18" t="s">
        <v>37719</v>
      </c>
      <c r="N13926" s="17" t="s">
        <v>77</v>
      </c>
      <c r="O13926" t="s">
        <v>145</v>
      </c>
      <c r="U13926" s="17"/>
      <c r="V13926" s="18" t="s">
        <v>37719</v>
      </c>
      <c r="W13926" t="s">
        <v>37720</v>
      </c>
      <c r="Y13926" t="s">
        <v>181</v>
      </c>
      <c r="AA13926" t="s">
        <v>1672</v>
      </c>
      <c r="AB13926" t="s">
        <v>119</v>
      </c>
    </row>
    <row r="13927" ht="15" customHeight="1" spans="1:28" x14ac:dyDescent="0.25">
      <c r="A13927" s="17" t="s">
        <v>37721</v>
      </c>
      <c r="B13927" s="17" t="s">
        <v>70</v>
      </c>
      <c r="C13927" s="17" t="s">
        <v>71</v>
      </c>
      <c r="D13927" t="s">
        <v>34660</v>
      </c>
      <c r="F13927" t="s">
        <v>37722</v>
      </c>
      <c r="J13927" t="s">
        <v>115</v>
      </c>
      <c r="K13927" s="18" t="s">
        <v>37723</v>
      </c>
      <c r="N13927" s="17" t="s">
        <v>77</v>
      </c>
      <c r="O13927" t="s">
        <v>117</v>
      </c>
      <c r="U13927" s="17"/>
      <c r="V13927" s="18" t="s">
        <v>37723</v>
      </c>
      <c r="W13927" t="s">
        <v>37724</v>
      </c>
      <c r="Y13927" s="17" t="s">
        <v>90</v>
      </c>
      <c r="AA13927" s="17" t="s">
        <v>118</v>
      </c>
      <c r="AB13927" t="s">
        <v>119</v>
      </c>
    </row>
    <row r="13928" ht="15" customHeight="1" spans="1:22" x14ac:dyDescent="0.25">
      <c r="A13928" s="17" t="s">
        <v>37725</v>
      </c>
      <c r="B13928" s="17" t="s">
        <v>70</v>
      </c>
      <c r="C13928" s="17" t="s">
        <v>71</v>
      </c>
      <c r="D13928" t="s">
        <v>34660</v>
      </c>
      <c r="F13928" t="s">
        <v>20340</v>
      </c>
      <c r="K13928" s="18">
        <f>6282227676795</f>
        <v>6282227676795</v>
      </c>
      <c r="N13928" s="17" t="s">
        <v>77</v>
      </c>
      <c r="V13928" s="18">
        <f>6282227676795</f>
        <v>6282227676795</v>
      </c>
    </row>
    <row r="13929" ht="15" customHeight="1" spans="1:27" x14ac:dyDescent="0.25">
      <c r="A13929" s="17" t="s">
        <v>37726</v>
      </c>
      <c r="B13929" s="17" t="s">
        <v>70</v>
      </c>
      <c r="C13929" s="17" t="s">
        <v>71</v>
      </c>
      <c r="D13929" t="s">
        <v>34660</v>
      </c>
      <c r="F13929" t="s">
        <v>672</v>
      </c>
      <c r="J13929" s="17" t="s">
        <v>37727</v>
      </c>
      <c r="K13929" s="18">
        <f>628111174118</f>
        <v>628111174118</v>
      </c>
      <c r="N13929" s="17" t="s">
        <v>77</v>
      </c>
      <c r="U13929" s="17"/>
      <c r="V13929" s="18">
        <f>628111174118</f>
        <v>628111174118</v>
      </c>
      <c r="W13929" t="s">
        <v>37728</v>
      </c>
      <c r="Y13929" s="17" t="s">
        <v>37729</v>
      </c>
      <c r="AA13929" s="17">
        <v>16143</v>
      </c>
    </row>
    <row r="13930" ht="15" customHeight="1" spans="1:28" x14ac:dyDescent="0.25">
      <c r="A13930" s="17" t="s">
        <v>37730</v>
      </c>
      <c r="B13930" s="17" t="s">
        <v>70</v>
      </c>
      <c r="C13930" s="17" t="s">
        <v>71</v>
      </c>
      <c r="D13930" t="s">
        <v>34660</v>
      </c>
      <c r="F13930" t="s">
        <v>35138</v>
      </c>
      <c r="J13930" t="s">
        <v>115</v>
      </c>
      <c r="K13930" s="18" t="s">
        <v>37731</v>
      </c>
      <c r="N13930" s="17" t="s">
        <v>77</v>
      </c>
      <c r="O13930" t="s">
        <v>145</v>
      </c>
      <c r="V13930" s="18" t="s">
        <v>37731</v>
      </c>
      <c r="Y13930" t="s">
        <v>115</v>
      </c>
      <c r="AA13930" t="s">
        <v>115</v>
      </c>
      <c r="AB13930" t="s">
        <v>119</v>
      </c>
    </row>
    <row r="13931" ht="15" customHeight="1" spans="1:22" x14ac:dyDescent="0.25">
      <c r="A13931" s="17" t="s">
        <v>37732</v>
      </c>
      <c r="B13931" s="17" t="s">
        <v>70</v>
      </c>
      <c r="C13931" s="17" t="s">
        <v>71</v>
      </c>
      <c r="D13931" t="s">
        <v>34660</v>
      </c>
      <c r="F13931" t="s">
        <v>27982</v>
      </c>
      <c r="K13931" s="18">
        <f>628159119716</f>
        <v>628159119716</v>
      </c>
      <c r="N13931" s="17" t="s">
        <v>81</v>
      </c>
      <c r="V13931" s="18">
        <f>628159119716</f>
        <v>628159119716</v>
      </c>
    </row>
    <row r="13932" ht="15" customHeight="1" spans="1:28" x14ac:dyDescent="0.25">
      <c r="A13932" s="17" t="s">
        <v>37733</v>
      </c>
      <c r="B13932" s="17" t="s">
        <v>70</v>
      </c>
      <c r="C13932" s="17" t="s">
        <v>71</v>
      </c>
      <c r="D13932" t="s">
        <v>34660</v>
      </c>
      <c r="F13932" t="s">
        <v>37734</v>
      </c>
      <c r="J13932" t="s">
        <v>37735</v>
      </c>
      <c r="K13932" s="18" t="s">
        <v>37736</v>
      </c>
      <c r="N13932" s="17" t="s">
        <v>77</v>
      </c>
      <c r="O13932" t="s">
        <v>117</v>
      </c>
      <c r="V13932" s="18" t="s">
        <v>37736</v>
      </c>
      <c r="Y13932" t="s">
        <v>90</v>
      </c>
      <c r="AA13932" t="s">
        <v>118</v>
      </c>
      <c r="AB13932" t="s">
        <v>119</v>
      </c>
    </row>
    <row r="13933" ht="15" customHeight="1" spans="1:25" x14ac:dyDescent="0.25">
      <c r="A13933" s="17" t="s">
        <v>37737</v>
      </c>
      <c r="B13933" s="17" t="s">
        <v>70</v>
      </c>
      <c r="C13933" s="17" t="s">
        <v>71</v>
      </c>
      <c r="D13933" t="s">
        <v>34660</v>
      </c>
      <c r="F13933" t="s">
        <v>1730</v>
      </c>
      <c r="K13933" s="18">
        <f>628123580291</f>
        <v>628123580291</v>
      </c>
      <c r="N13933" s="17" t="s">
        <v>77</v>
      </c>
      <c r="U13933" s="17"/>
      <c r="V13933" s="18">
        <f>628123580291</f>
        <v>628123580291</v>
      </c>
      <c r="W13933" t="s">
        <v>37738</v>
      </c>
      <c r="Y13933" s="17" t="s">
        <v>90</v>
      </c>
    </row>
    <row r="13934" ht="15" customHeight="1" spans="1:22" x14ac:dyDescent="0.25">
      <c r="A13934" s="17" t="s">
        <v>37739</v>
      </c>
      <c r="B13934" s="17" t="s">
        <v>70</v>
      </c>
      <c r="C13934" s="17" t="s">
        <v>71</v>
      </c>
      <c r="D13934" t="s">
        <v>34660</v>
      </c>
      <c r="F13934" t="s">
        <v>37740</v>
      </c>
      <c r="K13934" s="18">
        <f>62811904737</f>
        <v>62811904737</v>
      </c>
      <c r="N13934" s="17" t="s">
        <v>77</v>
      </c>
      <c r="V13934" s="18">
        <f>62811904737</f>
        <v>62811904737</v>
      </c>
    </row>
    <row r="13935" ht="15" customHeight="1" spans="1:28" x14ac:dyDescent="0.25">
      <c r="A13935" s="17" t="s">
        <v>37741</v>
      </c>
      <c r="B13935" s="17" t="s">
        <v>70</v>
      </c>
      <c r="C13935" s="17" t="s">
        <v>71</v>
      </c>
      <c r="D13935" t="s">
        <v>34660</v>
      </c>
      <c r="F13935" t="s">
        <v>1169</v>
      </c>
      <c r="J13935" t="s">
        <v>115</v>
      </c>
      <c r="K13935" s="18" t="s">
        <v>37742</v>
      </c>
      <c r="N13935" s="17" t="s">
        <v>77</v>
      </c>
      <c r="O13935" t="s">
        <v>145</v>
      </c>
      <c r="V13935" s="18" t="s">
        <v>37742</v>
      </c>
      <c r="Y13935" t="s">
        <v>90</v>
      </c>
      <c r="AA13935" t="s">
        <v>118</v>
      </c>
      <c r="AB13935" t="s">
        <v>119</v>
      </c>
    </row>
    <row r="13936" ht="15" customHeight="1" spans="1:22" x14ac:dyDescent="0.25">
      <c r="A13936" s="17" t="s">
        <v>37743</v>
      </c>
      <c r="B13936" s="17" t="s">
        <v>70</v>
      </c>
      <c r="C13936" s="17" t="s">
        <v>71</v>
      </c>
      <c r="D13936" t="s">
        <v>37744</v>
      </c>
      <c r="F13936" t="s">
        <v>37744</v>
      </c>
      <c r="K13936" s="18">
        <f>6281281089887</f>
        <v>6281281089887</v>
      </c>
      <c r="N13936" s="17" t="s">
        <v>81</v>
      </c>
      <c r="V13936" s="18">
        <f>6281281089887</f>
        <v>6281281089887</v>
      </c>
    </row>
    <row r="13937" ht="15" customHeight="1" spans="1:23" x14ac:dyDescent="0.25">
      <c r="A13937" s="17" t="s">
        <v>37745</v>
      </c>
      <c r="B13937" s="17" t="s">
        <v>70</v>
      </c>
      <c r="C13937" s="17" t="s">
        <v>71</v>
      </c>
      <c r="D13937" t="s">
        <v>37746</v>
      </c>
      <c r="F13937" t="s">
        <v>37747</v>
      </c>
      <c r="K13937" s="18">
        <f>61419204555</f>
        <v>61419204555</v>
      </c>
      <c r="N13937" s="17" t="s">
        <v>77</v>
      </c>
      <c r="U13937" s="17"/>
      <c r="V13937" s="18">
        <f>61419204555</f>
        <v>61419204555</v>
      </c>
      <c r="W13937" t="s">
        <v>1903</v>
      </c>
    </row>
    <row r="13938" ht="15" customHeight="1" spans="1:28" x14ac:dyDescent="0.25">
      <c r="A13938" s="17" t="s">
        <v>37748</v>
      </c>
      <c r="B13938" s="17" t="s">
        <v>70</v>
      </c>
      <c r="C13938" s="17" t="s">
        <v>71</v>
      </c>
      <c r="D13938" t="s">
        <v>37749</v>
      </c>
      <c r="F13938" t="s">
        <v>37749</v>
      </c>
      <c r="J13938" t="s">
        <v>115</v>
      </c>
      <c r="K13938" s="18" t="s">
        <v>37750</v>
      </c>
      <c r="N13938" s="17" t="s">
        <v>77</v>
      </c>
      <c r="O13938" t="s">
        <v>145</v>
      </c>
      <c r="V13938" s="18" t="s">
        <v>37750</v>
      </c>
      <c r="Y13938" s="17" t="s">
        <v>181</v>
      </c>
      <c r="AA13938" t="s">
        <v>1672</v>
      </c>
      <c r="AB13938" t="s">
        <v>119</v>
      </c>
    </row>
    <row r="13939" ht="15" customHeight="1" spans="1:22" x14ac:dyDescent="0.25">
      <c r="A13939" s="17" t="s">
        <v>37751</v>
      </c>
      <c r="B13939" s="17" t="s">
        <v>70</v>
      </c>
      <c r="C13939" s="17" t="s">
        <v>71</v>
      </c>
      <c r="D13939" t="s">
        <v>37752</v>
      </c>
      <c r="F13939" t="s">
        <v>37753</v>
      </c>
      <c r="K13939" s="18">
        <f>6285880858869</f>
        <v>6285880858869</v>
      </c>
      <c r="N13939" s="17" t="s">
        <v>77</v>
      </c>
      <c r="V13939" s="18">
        <f>6285880858869</f>
        <v>6285880858869</v>
      </c>
    </row>
    <row r="13940" ht="15" customHeight="1" spans="1:27" x14ac:dyDescent="0.25">
      <c r="A13940" s="17" t="s">
        <v>37754</v>
      </c>
      <c r="B13940" s="17" t="s">
        <v>70</v>
      </c>
      <c r="C13940" s="17" t="s">
        <v>71</v>
      </c>
      <c r="D13940" t="s">
        <v>7599</v>
      </c>
      <c r="F13940" t="s">
        <v>7599</v>
      </c>
      <c r="K13940" s="18">
        <f>6281318888999</f>
        <v>6281318888999</v>
      </c>
      <c r="N13940" s="17" t="s">
        <v>77</v>
      </c>
      <c r="U13940" s="17"/>
      <c r="V13940" s="18">
        <f>6281318888999</f>
        <v>6281318888999</v>
      </c>
      <c r="W13940" t="s">
        <v>37755</v>
      </c>
      <c r="Y13940" s="17" t="s">
        <v>96</v>
      </c>
      <c r="AA13940" s="17" t="s">
        <v>6485</v>
      </c>
    </row>
    <row r="13941" ht="15" customHeight="1" spans="1:22" x14ac:dyDescent="0.25">
      <c r="A13941" s="17" t="s">
        <v>37756</v>
      </c>
      <c r="B13941" s="17" t="s">
        <v>70</v>
      </c>
      <c r="C13941" s="17" t="s">
        <v>71</v>
      </c>
      <c r="D13941" t="s">
        <v>7599</v>
      </c>
      <c r="F13941" t="s">
        <v>7599</v>
      </c>
      <c r="K13941" s="18">
        <f>628121042134</f>
        <v>628121042134</v>
      </c>
      <c r="N13941" s="17" t="s">
        <v>74</v>
      </c>
      <c r="V13941" s="18">
        <f>628121042134</f>
        <v>628121042134</v>
      </c>
    </row>
    <row r="13942" ht="15" customHeight="1" spans="1:28" x14ac:dyDescent="0.25">
      <c r="A13942" s="17" t="s">
        <v>37757</v>
      </c>
      <c r="B13942" s="17" t="s">
        <v>70</v>
      </c>
      <c r="C13942" s="17" t="s">
        <v>71</v>
      </c>
      <c r="D13942" t="s">
        <v>7599</v>
      </c>
      <c r="F13942" t="s">
        <v>7599</v>
      </c>
      <c r="J13942" s="17" t="s">
        <v>37758</v>
      </c>
      <c r="K13942" s="18" t="s">
        <v>37759</v>
      </c>
      <c r="N13942" s="17" t="s">
        <v>81</v>
      </c>
      <c r="O13942" t="s">
        <v>489</v>
      </c>
      <c r="V13942" s="18" t="s">
        <v>37759</v>
      </c>
      <c r="Y13942" t="s">
        <v>190</v>
      </c>
      <c r="AA13942" t="s">
        <v>118</v>
      </c>
      <c r="AB13942" t="s">
        <v>119</v>
      </c>
    </row>
    <row r="13943" ht="15" customHeight="1" spans="1:28" x14ac:dyDescent="0.25">
      <c r="A13943" s="17" t="s">
        <v>37760</v>
      </c>
      <c r="B13943" s="17" t="s">
        <v>70</v>
      </c>
      <c r="C13943" s="17" t="s">
        <v>71</v>
      </c>
      <c r="D13943" t="s">
        <v>7599</v>
      </c>
      <c r="F13943" t="s">
        <v>7599</v>
      </c>
      <c r="J13943" t="s">
        <v>115</v>
      </c>
      <c r="K13943" s="18" t="s">
        <v>37761</v>
      </c>
      <c r="N13943" s="17" t="s">
        <v>77</v>
      </c>
      <c r="O13943" t="s">
        <v>117</v>
      </c>
      <c r="V13943" s="18" t="s">
        <v>37761</v>
      </c>
      <c r="Y13943" t="s">
        <v>90</v>
      </c>
      <c r="AA13943" t="s">
        <v>118</v>
      </c>
      <c r="AB13943" t="s">
        <v>119</v>
      </c>
    </row>
    <row r="13944" ht="15" customHeight="1" spans="1:22" x14ac:dyDescent="0.25">
      <c r="A13944" s="17" t="s">
        <v>37762</v>
      </c>
      <c r="B13944" s="17" t="s">
        <v>70</v>
      </c>
      <c r="C13944" s="17" t="s">
        <v>71</v>
      </c>
      <c r="D13944" t="s">
        <v>7599</v>
      </c>
      <c r="F13944" t="s">
        <v>2380</v>
      </c>
      <c r="K13944" s="18">
        <f>628176633387</f>
        <v>628176633387</v>
      </c>
      <c r="N13944" s="17" t="s">
        <v>81</v>
      </c>
      <c r="V13944" s="18">
        <f>628176633387</f>
        <v>628176633387</v>
      </c>
    </row>
    <row r="13945" ht="15" customHeight="1" spans="1:28" x14ac:dyDescent="0.25">
      <c r="A13945" s="17" t="s">
        <v>37763</v>
      </c>
      <c r="B13945" s="17" t="s">
        <v>70</v>
      </c>
      <c r="C13945" s="17" t="s">
        <v>71</v>
      </c>
      <c r="D13945" t="s">
        <v>7599</v>
      </c>
      <c r="F13945" t="s">
        <v>3351</v>
      </c>
      <c r="J13945" s="17" t="s">
        <v>37764</v>
      </c>
      <c r="K13945" s="18" t="s">
        <v>37765</v>
      </c>
      <c r="N13945" s="17" t="s">
        <v>77</v>
      </c>
      <c r="O13945" t="s">
        <v>117</v>
      </c>
      <c r="U13945" s="17"/>
      <c r="V13945" s="18" t="s">
        <v>37765</v>
      </c>
      <c r="W13945" t="s">
        <v>37766</v>
      </c>
      <c r="Y13945" t="s">
        <v>90</v>
      </c>
      <c r="AA13945" t="s">
        <v>118</v>
      </c>
      <c r="AB13945" t="s">
        <v>119</v>
      </c>
    </row>
    <row r="13946" ht="15" customHeight="1" spans="1:22" x14ac:dyDescent="0.25">
      <c r="A13946" s="17" t="s">
        <v>37767</v>
      </c>
      <c r="B13946" s="17" t="s">
        <v>70</v>
      </c>
      <c r="C13946" s="17" t="s">
        <v>71</v>
      </c>
      <c r="D13946" t="s">
        <v>7599</v>
      </c>
      <c r="F13946" t="s">
        <v>37768</v>
      </c>
      <c r="K13946" s="18">
        <f>628112268339</f>
        <v>628112268339</v>
      </c>
      <c r="N13946" s="17" t="s">
        <v>74</v>
      </c>
      <c r="V13946" s="18">
        <f>628112268339</f>
        <v>628112268339</v>
      </c>
    </row>
    <row r="13947" ht="15" customHeight="1" spans="1:22" x14ac:dyDescent="0.25">
      <c r="A13947" s="17" t="s">
        <v>37769</v>
      </c>
      <c r="B13947" s="17" t="s">
        <v>70</v>
      </c>
      <c r="C13947" s="17" t="s">
        <v>71</v>
      </c>
      <c r="D13947" t="s">
        <v>7599</v>
      </c>
      <c r="F13947" t="s">
        <v>4669</v>
      </c>
      <c r="K13947" s="18">
        <f>6281210263487</f>
        <v>6281210263487</v>
      </c>
      <c r="N13947" s="17" t="s">
        <v>77</v>
      </c>
      <c r="V13947" s="18">
        <f>6281210263487</f>
        <v>6281210263487</v>
      </c>
    </row>
    <row r="13948" ht="15" customHeight="1" spans="1:28" x14ac:dyDescent="0.25">
      <c r="A13948" s="17" t="s">
        <v>37770</v>
      </c>
      <c r="B13948" s="17" t="s">
        <v>70</v>
      </c>
      <c r="C13948" s="17" t="s">
        <v>71</v>
      </c>
      <c r="D13948" t="s">
        <v>7599</v>
      </c>
      <c r="F13948" t="s">
        <v>19868</v>
      </c>
      <c r="J13948" t="s">
        <v>115</v>
      </c>
      <c r="K13948" s="18" t="s">
        <v>37771</v>
      </c>
      <c r="N13948" s="17" t="s">
        <v>77</v>
      </c>
      <c r="O13948" t="s">
        <v>489</v>
      </c>
      <c r="V13948" s="18" t="s">
        <v>37771</v>
      </c>
      <c r="Y13948" t="s">
        <v>500</v>
      </c>
      <c r="AA13948" t="s">
        <v>501</v>
      </c>
      <c r="AB13948" t="s">
        <v>119</v>
      </c>
    </row>
    <row r="13949" ht="15" customHeight="1" spans="1:22" x14ac:dyDescent="0.25">
      <c r="A13949" s="17" t="s">
        <v>37772</v>
      </c>
      <c r="B13949" s="17" t="s">
        <v>70</v>
      </c>
      <c r="C13949" s="17" t="s">
        <v>71</v>
      </c>
      <c r="D13949" t="s">
        <v>7599</v>
      </c>
      <c r="F13949" t="s">
        <v>4288</v>
      </c>
      <c r="K13949" s="18">
        <f>6282122227773</f>
        <v>6282122227773</v>
      </c>
      <c r="N13949" s="17" t="s">
        <v>77</v>
      </c>
      <c r="V13949" s="18">
        <f>6282122227773</f>
        <v>6282122227773</v>
      </c>
    </row>
    <row r="13950" ht="15" customHeight="1" spans="1:23" x14ac:dyDescent="0.25">
      <c r="A13950" s="17" t="s">
        <v>37773</v>
      </c>
      <c r="B13950" s="17" t="s">
        <v>70</v>
      </c>
      <c r="C13950" s="17" t="s">
        <v>71</v>
      </c>
      <c r="D13950" t="s">
        <v>7599</v>
      </c>
      <c r="F13950" t="s">
        <v>669</v>
      </c>
      <c r="J13950" s="17" t="s">
        <v>37774</v>
      </c>
      <c r="K13950" s="18">
        <f>81213323223</f>
        <v>81213323223</v>
      </c>
      <c r="N13950" s="17" t="s">
        <v>77</v>
      </c>
      <c r="U13950" s="17"/>
      <c r="V13950" s="18">
        <f>81213323223</f>
        <v>81213323223</v>
      </c>
      <c r="W13950" t="s">
        <v>37775</v>
      </c>
    </row>
    <row r="13951" ht="15" customHeight="1" spans="1:28" x14ac:dyDescent="0.25">
      <c r="A13951" s="17" t="s">
        <v>37776</v>
      </c>
      <c r="B13951" s="17" t="s">
        <v>70</v>
      </c>
      <c r="C13951" s="17" t="s">
        <v>71</v>
      </c>
      <c r="D13951" t="s">
        <v>37777</v>
      </c>
      <c r="F13951" t="s">
        <v>37778</v>
      </c>
      <c r="J13951" s="17" t="s">
        <v>37779</v>
      </c>
      <c r="K13951" s="18" t="s">
        <v>37780</v>
      </c>
      <c r="N13951" s="17" t="s">
        <v>77</v>
      </c>
      <c r="O13951" t="s">
        <v>489</v>
      </c>
      <c r="V13951" s="18" t="s">
        <v>37780</v>
      </c>
      <c r="Y13951" s="17" t="s">
        <v>37781</v>
      </c>
      <c r="AA13951" t="s">
        <v>115</v>
      </c>
      <c r="AB13951" t="s">
        <v>119</v>
      </c>
    </row>
    <row r="13952" ht="15" customHeight="1" spans="1:28" x14ac:dyDescent="0.25">
      <c r="A13952" s="17" t="s">
        <v>37782</v>
      </c>
      <c r="B13952" s="17" t="s">
        <v>70</v>
      </c>
      <c r="C13952" s="17" t="s">
        <v>71</v>
      </c>
      <c r="D13952" t="s">
        <v>7599</v>
      </c>
      <c r="F13952" t="s">
        <v>686</v>
      </c>
      <c r="J13952" t="s">
        <v>115</v>
      </c>
      <c r="K13952" s="18" t="s">
        <v>37783</v>
      </c>
      <c r="N13952" s="17" t="s">
        <v>77</v>
      </c>
      <c r="O13952" t="s">
        <v>145</v>
      </c>
      <c r="V13952" s="18" t="s">
        <v>37783</v>
      </c>
      <c r="Y13952" t="s">
        <v>190</v>
      </c>
      <c r="AA13952" t="s">
        <v>118</v>
      </c>
      <c r="AB13952" t="s">
        <v>119</v>
      </c>
    </row>
    <row r="13953" ht="15" customHeight="1" spans="1:28" x14ac:dyDescent="0.25">
      <c r="A13953" s="17" t="s">
        <v>37784</v>
      </c>
      <c r="B13953" s="17" t="s">
        <v>70</v>
      </c>
      <c r="C13953" s="17" t="s">
        <v>71</v>
      </c>
      <c r="D13953" t="s">
        <v>7599</v>
      </c>
      <c r="F13953" t="s">
        <v>37785</v>
      </c>
      <c r="J13953" t="s">
        <v>37786</v>
      </c>
      <c r="K13953" s="18" t="s">
        <v>37787</v>
      </c>
      <c r="N13953" s="17" t="s">
        <v>77</v>
      </c>
      <c r="O13953" t="s">
        <v>199</v>
      </c>
      <c r="U13953" s="17"/>
      <c r="V13953" s="18" t="s">
        <v>37787</v>
      </c>
      <c r="W13953" t="s">
        <v>626</v>
      </c>
      <c r="Y13953" t="s">
        <v>90</v>
      </c>
      <c r="AA13953" t="s">
        <v>118</v>
      </c>
      <c r="AB13953" t="s">
        <v>119</v>
      </c>
    </row>
    <row r="13954" ht="15" customHeight="1" spans="1:22" x14ac:dyDescent="0.25">
      <c r="A13954" s="17" t="s">
        <v>37788</v>
      </c>
      <c r="B13954" s="17" t="s">
        <v>70</v>
      </c>
      <c r="C13954" s="17" t="s">
        <v>71</v>
      </c>
      <c r="D13954" t="s">
        <v>7751</v>
      </c>
      <c r="F13954" t="s">
        <v>6450</v>
      </c>
      <c r="K13954" s="18">
        <f>6281312367777</f>
        <v>6281312367777</v>
      </c>
      <c r="N13954" s="17" t="s">
        <v>77</v>
      </c>
      <c r="V13954" s="18">
        <f>6281312367777</f>
        <v>6281312367777</v>
      </c>
    </row>
    <row r="13955" ht="15" customHeight="1" spans="1:22" x14ac:dyDescent="0.25">
      <c r="A13955" s="17" t="s">
        <v>37789</v>
      </c>
      <c r="B13955" s="17" t="s">
        <v>70</v>
      </c>
      <c r="C13955" s="17" t="s">
        <v>71</v>
      </c>
      <c r="D13955" t="s">
        <v>37790</v>
      </c>
      <c r="F13955" t="s">
        <v>618</v>
      </c>
      <c r="K13955" s="18">
        <f>628111099047</f>
        <v>628111099047</v>
      </c>
      <c r="N13955" s="17" t="s">
        <v>77</v>
      </c>
      <c r="V13955" s="18">
        <f>628111099047</f>
        <v>628111099047</v>
      </c>
    </row>
    <row r="13956" ht="15" customHeight="1" spans="1:22" x14ac:dyDescent="0.25">
      <c r="A13956" s="17" t="s">
        <v>37791</v>
      </c>
      <c r="B13956" s="17" t="s">
        <v>70</v>
      </c>
      <c r="C13956" s="17" t="s">
        <v>71</v>
      </c>
      <c r="D13956" t="s">
        <v>37790</v>
      </c>
      <c r="F13956" t="s">
        <v>618</v>
      </c>
      <c r="K13956" s="18">
        <f>62818726388</f>
        <v>62818726388</v>
      </c>
      <c r="N13956" s="17" t="s">
        <v>81</v>
      </c>
      <c r="V13956" s="18">
        <f>62818726388</f>
        <v>62818726388</v>
      </c>
    </row>
    <row r="13957" ht="15" customHeight="1" spans="1:28" x14ac:dyDescent="0.25">
      <c r="A13957" s="17" t="s">
        <v>37792</v>
      </c>
      <c r="B13957" s="17" t="s">
        <v>70</v>
      </c>
      <c r="C13957" s="17" t="s">
        <v>71</v>
      </c>
      <c r="D13957" t="s">
        <v>37790</v>
      </c>
      <c r="F13957" t="s">
        <v>1754</v>
      </c>
      <c r="J13957" t="s">
        <v>37793</v>
      </c>
      <c r="K13957" s="18" t="s">
        <v>37794</v>
      </c>
      <c r="N13957" s="17" t="s">
        <v>81</v>
      </c>
      <c r="O13957" t="s">
        <v>117</v>
      </c>
      <c r="V13957" s="18" t="s">
        <v>37794</v>
      </c>
      <c r="Y13957" t="s">
        <v>930</v>
      </c>
      <c r="AA13957" t="s">
        <v>115</v>
      </c>
      <c r="AB13957" t="s">
        <v>930</v>
      </c>
    </row>
    <row r="13958" ht="15" customHeight="1" spans="1:23" x14ac:dyDescent="0.25">
      <c r="A13958" s="17" t="s">
        <v>37795</v>
      </c>
      <c r="B13958" s="17" t="s">
        <v>70</v>
      </c>
      <c r="C13958" s="17" t="s">
        <v>71</v>
      </c>
      <c r="D13958" t="s">
        <v>37790</v>
      </c>
      <c r="F13958" t="s">
        <v>11386</v>
      </c>
      <c r="K13958" s="18">
        <f>6282111838093</f>
        <v>6282111838093</v>
      </c>
      <c r="N13958" s="17" t="s">
        <v>81</v>
      </c>
      <c r="U13958" s="17"/>
      <c r="V13958" s="18">
        <f>6282111838093</f>
        <v>6282111838093</v>
      </c>
      <c r="W13958" t="s">
        <v>37796</v>
      </c>
    </row>
    <row r="13959" ht="15" customHeight="1" spans="1:23" x14ac:dyDescent="0.25">
      <c r="A13959" s="17" t="s">
        <v>37797</v>
      </c>
      <c r="B13959" s="17" t="s">
        <v>70</v>
      </c>
      <c r="C13959" s="17" t="s">
        <v>71</v>
      </c>
      <c r="D13959" t="s">
        <v>37798</v>
      </c>
      <c r="F13959" t="s">
        <v>37798</v>
      </c>
      <c r="K13959" s="18">
        <f>6281287777977</f>
        <v>6281287777977</v>
      </c>
      <c r="N13959" s="17" t="s">
        <v>77</v>
      </c>
      <c r="U13959" s="17"/>
      <c r="V13959" s="18">
        <f>6281287777977</f>
        <v>6281287777977</v>
      </c>
      <c r="W13959" t="s">
        <v>37799</v>
      </c>
    </row>
    <row r="13960" ht="15" customHeight="1" spans="1:28" x14ac:dyDescent="0.25">
      <c r="A13960" s="17" t="s">
        <v>37800</v>
      </c>
      <c r="B13960" s="17" t="s">
        <v>70</v>
      </c>
      <c r="C13960" s="17" t="s">
        <v>71</v>
      </c>
      <c r="D13960" t="s">
        <v>37798</v>
      </c>
      <c r="F13960" t="s">
        <v>8041</v>
      </c>
      <c r="J13960" s="17" t="s">
        <v>37801</v>
      </c>
      <c r="K13960" s="18" t="s">
        <v>37802</v>
      </c>
      <c r="N13960" s="17" t="s">
        <v>77</v>
      </c>
      <c r="O13960" t="s">
        <v>199</v>
      </c>
      <c r="U13960" s="17"/>
      <c r="V13960" s="18" t="s">
        <v>37802</v>
      </c>
      <c r="W13960" t="s">
        <v>37803</v>
      </c>
      <c r="Y13960" s="17" t="s">
        <v>190</v>
      </c>
      <c r="AA13960" t="s">
        <v>118</v>
      </c>
      <c r="AB13960" t="s">
        <v>119</v>
      </c>
    </row>
    <row r="13961" ht="15" customHeight="1" spans="1:23" x14ac:dyDescent="0.25">
      <c r="A13961" s="17" t="s">
        <v>37804</v>
      </c>
      <c r="B13961" s="17" t="s">
        <v>70</v>
      </c>
      <c r="C13961" s="17" t="s">
        <v>71</v>
      </c>
      <c r="D13961" t="s">
        <v>37798</v>
      </c>
      <c r="F13961" t="s">
        <v>1750</v>
      </c>
      <c r="K13961" s="18">
        <f>6287887785707</f>
        <v>6287887785707</v>
      </c>
      <c r="N13961" s="17" t="s">
        <v>77</v>
      </c>
      <c r="U13961" s="17"/>
      <c r="V13961" s="18">
        <f>6287887785707</f>
        <v>6287887785707</v>
      </c>
      <c r="W13961" t="s">
        <v>37805</v>
      </c>
    </row>
    <row r="13962" ht="15" customHeight="1" spans="1:22" x14ac:dyDescent="0.25">
      <c r="A13962" s="17" t="s">
        <v>37806</v>
      </c>
      <c r="B13962" s="17" t="s">
        <v>70</v>
      </c>
      <c r="C13962" s="17" t="s">
        <v>71</v>
      </c>
      <c r="D13962" t="s">
        <v>15136</v>
      </c>
      <c r="F13962" t="s">
        <v>15136</v>
      </c>
      <c r="K13962" s="18">
        <f>62811913135</f>
        <v>62811913135</v>
      </c>
      <c r="N13962" s="17" t="s">
        <v>77</v>
      </c>
      <c r="V13962" s="18">
        <f>62811913135</f>
        <v>62811913135</v>
      </c>
    </row>
    <row r="13963" ht="15" customHeight="1" spans="1:25" x14ac:dyDescent="0.25">
      <c r="A13963" s="17" t="s">
        <v>37807</v>
      </c>
      <c r="B13963" s="17" t="s">
        <v>70</v>
      </c>
      <c r="C13963" s="17" t="s">
        <v>71</v>
      </c>
      <c r="D13963" t="s">
        <v>15136</v>
      </c>
      <c r="F13963" t="s">
        <v>1642</v>
      </c>
      <c r="K13963" s="18">
        <f>6281381111815</f>
        <v>6281381111815</v>
      </c>
      <c r="N13963" s="17" t="s">
        <v>81</v>
      </c>
      <c r="U13963" s="17"/>
      <c r="V13963" s="18">
        <f>6281381111815</f>
        <v>6281381111815</v>
      </c>
      <c r="W13963" t="s">
        <v>37808</v>
      </c>
      <c r="Y13963" s="17" t="s">
        <v>90</v>
      </c>
    </row>
    <row r="13964" ht="15" customHeight="1" spans="1:28" x14ac:dyDescent="0.25">
      <c r="A13964" s="17" t="s">
        <v>37809</v>
      </c>
      <c r="B13964" s="17" t="s">
        <v>70</v>
      </c>
      <c r="C13964" s="17" t="s">
        <v>71</v>
      </c>
      <c r="D13964" t="s">
        <v>15136</v>
      </c>
      <c r="F13964" t="s">
        <v>643</v>
      </c>
      <c r="J13964" s="17" t="s">
        <v>37810</v>
      </c>
      <c r="K13964" s="18" t="s">
        <v>37811</v>
      </c>
      <c r="N13964" s="17" t="s">
        <v>77</v>
      </c>
      <c r="O13964" t="s">
        <v>261</v>
      </c>
      <c r="U13964" s="17"/>
      <c r="V13964" s="18" t="s">
        <v>37811</v>
      </c>
      <c r="W13964" t="s">
        <v>90</v>
      </c>
      <c r="Y13964" t="s">
        <v>90</v>
      </c>
      <c r="AA13964" t="s">
        <v>118</v>
      </c>
      <c r="AB13964" t="s">
        <v>119</v>
      </c>
    </row>
    <row r="13965" ht="15" customHeight="1" spans="1:22" x14ac:dyDescent="0.25">
      <c r="A13965" s="17" t="s">
        <v>37812</v>
      </c>
      <c r="B13965" s="17" t="s">
        <v>70</v>
      </c>
      <c r="C13965" s="17" t="s">
        <v>71</v>
      </c>
      <c r="D13965" t="s">
        <v>37813</v>
      </c>
      <c r="F13965" t="s">
        <v>2493</v>
      </c>
      <c r="K13965" s="18">
        <f>628126030788</f>
        <v>628126030788</v>
      </c>
      <c r="N13965" s="17" t="s">
        <v>74</v>
      </c>
      <c r="V13965" s="18">
        <f>628126030788</f>
        <v>628126030788</v>
      </c>
    </row>
    <row r="13966" ht="15" customHeight="1" spans="1:22" x14ac:dyDescent="0.25">
      <c r="A13966" s="17" t="s">
        <v>37814</v>
      </c>
      <c r="B13966" s="17" t="s">
        <v>70</v>
      </c>
      <c r="C13966" s="17" t="s">
        <v>71</v>
      </c>
      <c r="D13966" t="s">
        <v>37813</v>
      </c>
      <c r="F13966" t="s">
        <v>32963</v>
      </c>
      <c r="K13966" s="18">
        <f>6281337070080</f>
        <v>6281337070080</v>
      </c>
      <c r="N13966" s="17" t="s">
        <v>77</v>
      </c>
      <c r="V13966" s="18">
        <f>6281337070080</f>
        <v>6281337070080</v>
      </c>
    </row>
    <row r="13967" ht="15" customHeight="1" spans="1:25" x14ac:dyDescent="0.25">
      <c r="A13967" s="17" t="s">
        <v>37815</v>
      </c>
      <c r="B13967" s="17" t="s">
        <v>70</v>
      </c>
      <c r="C13967" s="17" t="s">
        <v>71</v>
      </c>
      <c r="D13967" t="s">
        <v>37813</v>
      </c>
      <c r="F13967" t="s">
        <v>913</v>
      </c>
      <c r="K13967" s="18">
        <f>628171777999</f>
        <v>628171777999</v>
      </c>
      <c r="N13967" s="17" t="s">
        <v>77</v>
      </c>
      <c r="U13967" s="17"/>
      <c r="V13967" s="18">
        <f>628171777999</f>
        <v>628171777999</v>
      </c>
      <c r="W13967" t="s">
        <v>37816</v>
      </c>
      <c r="Y13967" s="17" t="s">
        <v>90</v>
      </c>
    </row>
    <row r="13968" ht="15" customHeight="1" spans="1:22" x14ac:dyDescent="0.25">
      <c r="A13968" s="17" t="s">
        <v>37817</v>
      </c>
      <c r="B13968" s="17" t="s">
        <v>70</v>
      </c>
      <c r="C13968" s="17" t="s">
        <v>71</v>
      </c>
      <c r="D13968" t="s">
        <v>37813</v>
      </c>
      <c r="F13968" t="s">
        <v>37818</v>
      </c>
      <c r="K13968" s="18">
        <f>6287885346813</f>
        <v>6287885346813</v>
      </c>
      <c r="N13968" s="17" t="s">
        <v>77</v>
      </c>
      <c r="V13968" s="18">
        <f>6287885346813</f>
        <v>6287885346813</v>
      </c>
    </row>
    <row r="13969" ht="15" customHeight="1" spans="1:22" x14ac:dyDescent="0.25">
      <c r="A13969" s="17" t="s">
        <v>37819</v>
      </c>
      <c r="B13969" s="17" t="s">
        <v>70</v>
      </c>
      <c r="C13969" s="17" t="s">
        <v>71</v>
      </c>
      <c r="D13969" t="s">
        <v>6225</v>
      </c>
      <c r="F13969" t="s">
        <v>6225</v>
      </c>
      <c r="K13969" s="18">
        <f>628111840619</f>
        <v>628111840619</v>
      </c>
      <c r="N13969" s="17" t="s">
        <v>81</v>
      </c>
      <c r="V13969" s="18">
        <f>628111840619</f>
        <v>628111840619</v>
      </c>
    </row>
    <row r="13970" ht="15" customHeight="1" spans="1:28" x14ac:dyDescent="0.25">
      <c r="A13970" s="17" t="s">
        <v>37820</v>
      </c>
      <c r="B13970" s="17" t="s">
        <v>70</v>
      </c>
      <c r="C13970" s="17" t="s">
        <v>71</v>
      </c>
      <c r="D13970" t="s">
        <v>6225</v>
      </c>
      <c r="F13970" t="s">
        <v>37821</v>
      </c>
      <c r="J13970" t="s">
        <v>115</v>
      </c>
      <c r="K13970" s="18" t="s">
        <v>37822</v>
      </c>
      <c r="N13970" s="17" t="s">
        <v>74</v>
      </c>
      <c r="O13970" t="s">
        <v>117</v>
      </c>
      <c r="V13970" s="18" t="s">
        <v>37822</v>
      </c>
      <c r="Y13970" t="s">
        <v>90</v>
      </c>
      <c r="AA13970" t="s">
        <v>118</v>
      </c>
      <c r="AB13970" t="s">
        <v>119</v>
      </c>
    </row>
    <row r="13971" ht="15" customHeight="1" spans="1:28" x14ac:dyDescent="0.25">
      <c r="A13971" s="17" t="s">
        <v>37823</v>
      </c>
      <c r="B13971" s="17" t="s">
        <v>70</v>
      </c>
      <c r="C13971" s="17" t="s">
        <v>71</v>
      </c>
      <c r="D13971" t="s">
        <v>6225</v>
      </c>
      <c r="F13971" t="s">
        <v>2657</v>
      </c>
      <c r="J13971" t="s">
        <v>115</v>
      </c>
      <c r="K13971" s="18" t="s">
        <v>37824</v>
      </c>
      <c r="N13971" s="17" t="s">
        <v>81</v>
      </c>
      <c r="O13971" t="s">
        <v>117</v>
      </c>
      <c r="V13971" s="18" t="s">
        <v>37824</v>
      </c>
      <c r="Y13971" t="s">
        <v>115</v>
      </c>
      <c r="AA13971" t="s">
        <v>115</v>
      </c>
      <c r="AB13971" t="s">
        <v>119</v>
      </c>
    </row>
    <row r="13972" ht="15" customHeight="1" spans="1:28" x14ac:dyDescent="0.25">
      <c r="A13972" s="17" t="s">
        <v>37825</v>
      </c>
      <c r="B13972" s="17" t="s">
        <v>70</v>
      </c>
      <c r="C13972" s="17" t="s">
        <v>71</v>
      </c>
      <c r="D13972" t="s">
        <v>6225</v>
      </c>
      <c r="F13972" t="s">
        <v>6225</v>
      </c>
      <c r="J13972" t="s">
        <v>115</v>
      </c>
      <c r="K13972" s="18" t="s">
        <v>37826</v>
      </c>
      <c r="N13972" s="17" t="s">
        <v>77</v>
      </c>
      <c r="O13972" t="s">
        <v>117</v>
      </c>
      <c r="V13972" s="18" t="s">
        <v>37826</v>
      </c>
      <c r="Y13972" t="s">
        <v>90</v>
      </c>
      <c r="AA13972" t="s">
        <v>118</v>
      </c>
      <c r="AB13972" t="s">
        <v>119</v>
      </c>
    </row>
    <row r="13973" ht="15" customHeight="1" spans="1:22" x14ac:dyDescent="0.25">
      <c r="A13973" s="17" t="s">
        <v>37827</v>
      </c>
      <c r="B13973" s="17" t="s">
        <v>70</v>
      </c>
      <c r="C13973" s="17" t="s">
        <v>71</v>
      </c>
      <c r="D13973" t="s">
        <v>6225</v>
      </c>
      <c r="F13973" t="s">
        <v>1699</v>
      </c>
      <c r="K13973" s="18">
        <f>6281299888</f>
        <v>6281299888</v>
      </c>
      <c r="N13973" s="17" t="s">
        <v>81</v>
      </c>
      <c r="V13973" s="18">
        <f>6281299888</f>
        <v>6281299888</v>
      </c>
    </row>
    <row r="13974" ht="15" customHeight="1" spans="1:22" x14ac:dyDescent="0.25">
      <c r="A13974" s="17" t="s">
        <v>37828</v>
      </c>
      <c r="B13974" s="17" t="s">
        <v>70</v>
      </c>
      <c r="C13974" s="17" t="s">
        <v>71</v>
      </c>
      <c r="D13974" t="s">
        <v>6225</v>
      </c>
      <c r="F13974" t="s">
        <v>15297</v>
      </c>
      <c r="K13974" s="18">
        <f>6285358711464</f>
        <v>6285358711464</v>
      </c>
      <c r="N13974" s="17" t="s">
        <v>77</v>
      </c>
      <c r="V13974" s="18">
        <f>6285358711464</f>
        <v>6285358711464</v>
      </c>
    </row>
    <row r="13975" ht="15" customHeight="1" spans="1:28" x14ac:dyDescent="0.25">
      <c r="A13975" s="17" t="s">
        <v>37829</v>
      </c>
      <c r="B13975" s="17" t="s">
        <v>70</v>
      </c>
      <c r="C13975" s="17" t="s">
        <v>71</v>
      </c>
      <c r="D13975" t="s">
        <v>6225</v>
      </c>
      <c r="F13975" t="s">
        <v>618</v>
      </c>
      <c r="J13975" t="s">
        <v>115</v>
      </c>
      <c r="K13975" s="18" t="s">
        <v>37830</v>
      </c>
      <c r="N13975" s="17" t="s">
        <v>81</v>
      </c>
      <c r="O13975" t="s">
        <v>145</v>
      </c>
      <c r="U13975" s="17"/>
      <c r="V13975" s="18" t="s">
        <v>37830</v>
      </c>
      <c r="W13975" t="s">
        <v>37831</v>
      </c>
      <c r="Y13975" t="s">
        <v>90</v>
      </c>
      <c r="AA13975" t="s">
        <v>118</v>
      </c>
      <c r="AB13975" t="s">
        <v>119</v>
      </c>
    </row>
    <row r="13976" ht="15" customHeight="1" spans="1:22" x14ac:dyDescent="0.25">
      <c r="A13976" s="17" t="s">
        <v>37832</v>
      </c>
      <c r="B13976" s="17" t="s">
        <v>70</v>
      </c>
      <c r="C13976" s="17" t="s">
        <v>71</v>
      </c>
      <c r="D13976" t="s">
        <v>6225</v>
      </c>
      <c r="F13976" t="s">
        <v>7153</v>
      </c>
      <c r="K13976" s="18">
        <f>62817708508</f>
        <v>62817708508</v>
      </c>
      <c r="N13976" s="17" t="s">
        <v>81</v>
      </c>
      <c r="V13976" s="18">
        <f>62817708508</f>
        <v>62817708508</v>
      </c>
    </row>
    <row r="13977" ht="15" customHeight="1" spans="1:27" x14ac:dyDescent="0.25">
      <c r="A13977" s="17" t="s">
        <v>37833</v>
      </c>
      <c r="B13977" s="17" t="s">
        <v>70</v>
      </c>
      <c r="C13977" s="17" t="s">
        <v>71</v>
      </c>
      <c r="D13977" t="s">
        <v>6225</v>
      </c>
      <c r="F13977" t="s">
        <v>672</v>
      </c>
      <c r="J13977" s="17" t="s">
        <v>37834</v>
      </c>
      <c r="K13977" s="18">
        <f>6281311222602</f>
        <v>6281311222602</v>
      </c>
      <c r="N13977" s="17" t="s">
        <v>77</v>
      </c>
      <c r="U13977" s="17"/>
      <c r="V13977" s="18">
        <f>6281311222602</f>
        <v>6281311222602</v>
      </c>
      <c r="W13977" t="s">
        <v>37835</v>
      </c>
      <c r="Y13977" s="17" t="s">
        <v>90</v>
      </c>
      <c r="AA13977" s="17">
        <v>11440</v>
      </c>
    </row>
    <row r="13978" ht="15" customHeight="1" spans="1:22" x14ac:dyDescent="0.25">
      <c r="A13978" s="17" t="s">
        <v>37836</v>
      </c>
      <c r="B13978" s="17" t="s">
        <v>70</v>
      </c>
      <c r="C13978" s="17" t="s">
        <v>71</v>
      </c>
      <c r="D13978" t="s">
        <v>6225</v>
      </c>
      <c r="F13978" t="s">
        <v>37837</v>
      </c>
      <c r="K13978" s="18">
        <f>6287880955503</f>
        <v>6287880955503</v>
      </c>
      <c r="N13978" s="17" t="s">
        <v>81</v>
      </c>
      <c r="V13978" s="18">
        <f>6287880955503</f>
        <v>6287880955503</v>
      </c>
    </row>
    <row r="13979" ht="15" customHeight="1" spans="1:28" x14ac:dyDescent="0.25">
      <c r="A13979" s="17" t="s">
        <v>37838</v>
      </c>
      <c r="B13979" s="17" t="s">
        <v>70</v>
      </c>
      <c r="C13979" s="17" t="s">
        <v>71</v>
      </c>
      <c r="D13979" t="s">
        <v>6225</v>
      </c>
      <c r="F13979" t="s">
        <v>1064</v>
      </c>
      <c r="J13979" t="s">
        <v>115</v>
      </c>
      <c r="K13979" s="18" t="s">
        <v>37839</v>
      </c>
      <c r="N13979" s="17" t="s">
        <v>77</v>
      </c>
      <c r="O13979" t="s">
        <v>117</v>
      </c>
      <c r="U13979" s="17"/>
      <c r="V13979" s="18" t="s">
        <v>37839</v>
      </c>
      <c r="W13979" t="s">
        <v>37840</v>
      </c>
      <c r="Y13979" s="17" t="s">
        <v>190</v>
      </c>
      <c r="AA13979" t="s">
        <v>118</v>
      </c>
      <c r="AB13979" t="s">
        <v>119</v>
      </c>
    </row>
    <row r="13980" ht="15" customHeight="1" spans="1:22" x14ac:dyDescent="0.25">
      <c r="A13980" s="17" t="s">
        <v>37841</v>
      </c>
      <c r="B13980" s="17" t="s">
        <v>70</v>
      </c>
      <c r="C13980" s="17" t="s">
        <v>71</v>
      </c>
      <c r="D13980" t="s">
        <v>6225</v>
      </c>
      <c r="F13980" t="s">
        <v>1754</v>
      </c>
      <c r="K13980" s="18">
        <f>6281131153577</f>
        <v>6281131153577</v>
      </c>
      <c r="N13980" s="17" t="s">
        <v>81</v>
      </c>
      <c r="V13980" s="18">
        <f>6281131153577</f>
        <v>6281131153577</v>
      </c>
    </row>
    <row r="13981" ht="15" customHeight="1" spans="1:25" x14ac:dyDescent="0.25">
      <c r="A13981" s="17" t="s">
        <v>37842</v>
      </c>
      <c r="B13981" s="17" t="s">
        <v>70</v>
      </c>
      <c r="C13981" s="17" t="s">
        <v>71</v>
      </c>
      <c r="D13981" t="s">
        <v>6225</v>
      </c>
      <c r="F13981" t="s">
        <v>1217</v>
      </c>
      <c r="K13981" s="18">
        <f>628179972272</f>
        <v>628179972272</v>
      </c>
      <c r="N13981" s="17" t="s">
        <v>77</v>
      </c>
      <c r="U13981" s="17"/>
      <c r="V13981" s="18">
        <f>628179972272</f>
        <v>628179972272</v>
      </c>
      <c r="W13981" t="s">
        <v>37843</v>
      </c>
      <c r="Y13981" s="17" t="s">
        <v>90</v>
      </c>
    </row>
    <row r="13982" ht="15" customHeight="1" spans="1:22" x14ac:dyDescent="0.25">
      <c r="A13982" s="17" t="s">
        <v>37844</v>
      </c>
      <c r="B13982" s="17" t="s">
        <v>70</v>
      </c>
      <c r="C13982" s="17" t="s">
        <v>71</v>
      </c>
      <c r="D13982" t="s">
        <v>6225</v>
      </c>
      <c r="F13982" t="s">
        <v>37845</v>
      </c>
      <c r="J13982" s="17" t="s">
        <v>37846</v>
      </c>
      <c r="K13982" s="18">
        <f>62818182633</f>
        <v>62818182633</v>
      </c>
      <c r="N13982" s="17" t="s">
        <v>81</v>
      </c>
      <c r="V13982" s="18">
        <f>62818182633</f>
        <v>62818182633</v>
      </c>
    </row>
    <row r="13983" ht="15" customHeight="1" spans="1:22" x14ac:dyDescent="0.25">
      <c r="A13983" s="17" t="s">
        <v>37847</v>
      </c>
      <c r="B13983" s="17" t="s">
        <v>70</v>
      </c>
      <c r="C13983" s="17" t="s">
        <v>71</v>
      </c>
      <c r="D13983" t="s">
        <v>6225</v>
      </c>
      <c r="F13983" t="s">
        <v>37848</v>
      </c>
      <c r="K13983" s="18">
        <f>6281938898897</f>
        <v>6281938898897</v>
      </c>
      <c r="N13983" s="17" t="s">
        <v>77</v>
      </c>
      <c r="V13983" s="18">
        <f>6281938898897</f>
        <v>6281938898897</v>
      </c>
    </row>
    <row r="13984" ht="15" customHeight="1" spans="1:22" x14ac:dyDescent="0.25">
      <c r="A13984" s="17" t="s">
        <v>37849</v>
      </c>
      <c r="B13984" s="17" t="s">
        <v>70</v>
      </c>
      <c r="C13984" s="17" t="s">
        <v>71</v>
      </c>
      <c r="D13984" t="s">
        <v>6225</v>
      </c>
      <c r="F13984" t="s">
        <v>37850</v>
      </c>
      <c r="K13984" s="18">
        <f>6281211671900</f>
        <v>6281211671900</v>
      </c>
      <c r="N13984" s="17" t="s">
        <v>81</v>
      </c>
      <c r="V13984" s="18">
        <f>6281211671900</f>
        <v>6281211671900</v>
      </c>
    </row>
    <row r="13985" ht="15" customHeight="1" spans="1:25" x14ac:dyDescent="0.25">
      <c r="A13985" s="17" t="s">
        <v>37851</v>
      </c>
      <c r="B13985" s="17" t="s">
        <v>70</v>
      </c>
      <c r="C13985" s="17" t="s">
        <v>71</v>
      </c>
      <c r="D13985" t="s">
        <v>6225</v>
      </c>
      <c r="F13985" t="s">
        <v>8203</v>
      </c>
      <c r="K13985" s="18">
        <f>6287771111122</f>
        <v>6287771111122</v>
      </c>
      <c r="N13985" s="17" t="s">
        <v>81</v>
      </c>
      <c r="U13985" s="17"/>
      <c r="V13985" s="18">
        <f>6287771111122</f>
        <v>6287771111122</v>
      </c>
      <c r="W13985" t="s">
        <v>37852</v>
      </c>
      <c r="Y13985" s="17" t="s">
        <v>384</v>
      </c>
    </row>
    <row r="13986" ht="15" customHeight="1" spans="1:23" x14ac:dyDescent="0.25">
      <c r="A13986" s="17" t="s">
        <v>37853</v>
      </c>
      <c r="B13986" s="17" t="s">
        <v>70</v>
      </c>
      <c r="C13986" s="17" t="s">
        <v>71</v>
      </c>
      <c r="D13986" t="s">
        <v>6225</v>
      </c>
      <c r="F13986" t="s">
        <v>1730</v>
      </c>
      <c r="J13986" s="17" t="s">
        <v>37854</v>
      </c>
      <c r="K13986" s="18">
        <f>6282167381198</f>
        <v>6282167381198</v>
      </c>
      <c r="N13986" s="17" t="s">
        <v>77</v>
      </c>
      <c r="U13986" s="17"/>
      <c r="V13986" s="18">
        <f>6282167381198</f>
        <v>6282167381198</v>
      </c>
      <c r="W13986" t="s">
        <v>37855</v>
      </c>
    </row>
    <row r="13987" ht="15" customHeight="1" spans="1:28" x14ac:dyDescent="0.25">
      <c r="A13987" s="17" t="s">
        <v>37856</v>
      </c>
      <c r="B13987" s="17" t="s">
        <v>70</v>
      </c>
      <c r="C13987" s="17" t="s">
        <v>71</v>
      </c>
      <c r="D13987" t="s">
        <v>6225</v>
      </c>
      <c r="F13987" t="s">
        <v>913</v>
      </c>
      <c r="J13987" s="17" t="s">
        <v>37857</v>
      </c>
      <c r="K13987" s="18" t="s">
        <v>31796</v>
      </c>
      <c r="N13987" s="17" t="s">
        <v>77</v>
      </c>
      <c r="O13987" t="s">
        <v>117</v>
      </c>
      <c r="U13987" s="17"/>
      <c r="V13987" s="18" t="s">
        <v>31796</v>
      </c>
      <c r="W13987" t="s">
        <v>37858</v>
      </c>
      <c r="Y13987" s="17" t="s">
        <v>90</v>
      </c>
      <c r="AA13987" s="17" t="s">
        <v>118</v>
      </c>
      <c r="AB13987" t="s">
        <v>119</v>
      </c>
    </row>
    <row r="13988" ht="15" customHeight="1" spans="1:23" x14ac:dyDescent="0.25">
      <c r="A13988" s="17" t="s">
        <v>37859</v>
      </c>
      <c r="B13988" s="17" t="s">
        <v>70</v>
      </c>
      <c r="C13988" s="17" t="s">
        <v>71</v>
      </c>
      <c r="D13988" t="s">
        <v>6225</v>
      </c>
      <c r="F13988" t="s">
        <v>7846</v>
      </c>
      <c r="K13988" s="18">
        <f>62811662264</f>
        <v>62811662264</v>
      </c>
      <c r="N13988" s="17" t="s">
        <v>81</v>
      </c>
      <c r="U13988" s="17"/>
      <c r="V13988" s="18">
        <f>62811662264</f>
        <v>62811662264</v>
      </c>
      <c r="W13988" t="s">
        <v>37860</v>
      </c>
    </row>
    <row r="13989" ht="15" customHeight="1" spans="1:28" x14ac:dyDescent="0.25">
      <c r="A13989" s="17" t="s">
        <v>37861</v>
      </c>
      <c r="B13989" s="17" t="s">
        <v>70</v>
      </c>
      <c r="C13989" s="17" t="s">
        <v>71</v>
      </c>
      <c r="D13989" t="s">
        <v>6225</v>
      </c>
      <c r="F13989" t="s">
        <v>1169</v>
      </c>
      <c r="J13989" t="s">
        <v>115</v>
      </c>
      <c r="K13989" s="18" t="s">
        <v>37862</v>
      </c>
      <c r="N13989" s="17" t="s">
        <v>74</v>
      </c>
      <c r="O13989" t="s">
        <v>145</v>
      </c>
      <c r="V13989" s="18" t="s">
        <v>37862</v>
      </c>
      <c r="Y13989" t="s">
        <v>90</v>
      </c>
      <c r="AA13989" t="s">
        <v>118</v>
      </c>
      <c r="AB13989" t="s">
        <v>119</v>
      </c>
    </row>
    <row r="13990" ht="15" customHeight="1" spans="1:23" x14ac:dyDescent="0.25">
      <c r="A13990" s="17" t="s">
        <v>37863</v>
      </c>
      <c r="B13990" s="17" t="s">
        <v>70</v>
      </c>
      <c r="C13990" s="17" t="s">
        <v>71</v>
      </c>
      <c r="D13990" t="s">
        <v>6225</v>
      </c>
      <c r="F13990" t="s">
        <v>37864</v>
      </c>
      <c r="K13990" s="18">
        <f>6281290901653</f>
        <v>6281290901653</v>
      </c>
      <c r="N13990" s="17" t="s">
        <v>81</v>
      </c>
      <c r="U13990" s="17"/>
      <c r="V13990" s="18">
        <f>6281290901653</f>
        <v>6281290901653</v>
      </c>
      <c r="W13990" t="s">
        <v>37865</v>
      </c>
    </row>
    <row r="13991" ht="15" customHeight="1" spans="1:22" x14ac:dyDescent="0.25">
      <c r="A13991" s="17" t="s">
        <v>37866</v>
      </c>
      <c r="B13991" s="17" t="s">
        <v>70</v>
      </c>
      <c r="C13991" s="17" t="s">
        <v>71</v>
      </c>
      <c r="D13991" t="s">
        <v>6225</v>
      </c>
      <c r="F13991" t="s">
        <v>1166</v>
      </c>
      <c r="K13991" s="18">
        <f>6281391777777</f>
        <v>6281391777777</v>
      </c>
      <c r="N13991" s="17" t="s">
        <v>81</v>
      </c>
      <c r="V13991" s="18">
        <f>6281391777777</f>
        <v>6281391777777</v>
      </c>
    </row>
    <row r="13992" ht="15" customHeight="1" spans="1:28" x14ac:dyDescent="0.25">
      <c r="A13992" s="17" t="s">
        <v>37867</v>
      </c>
      <c r="B13992" s="17" t="s">
        <v>70</v>
      </c>
      <c r="C13992" s="17" t="s">
        <v>71</v>
      </c>
      <c r="D13992" t="s">
        <v>37868</v>
      </c>
      <c r="F13992" t="s">
        <v>37869</v>
      </c>
      <c r="J13992" s="17" t="s">
        <v>37870</v>
      </c>
      <c r="K13992" s="18" t="s">
        <v>37871</v>
      </c>
      <c r="N13992" s="17" t="s">
        <v>77</v>
      </c>
      <c r="O13992" t="s">
        <v>145</v>
      </c>
      <c r="V13992" s="18" t="s">
        <v>37871</v>
      </c>
      <c r="Y13992" t="s">
        <v>115</v>
      </c>
      <c r="AA13992" t="s">
        <v>115</v>
      </c>
      <c r="AB13992" t="s">
        <v>1903</v>
      </c>
    </row>
    <row r="13993" ht="15" customHeight="1" spans="1:27" x14ac:dyDescent="0.25">
      <c r="A13993" s="17" t="s">
        <v>37872</v>
      </c>
      <c r="B13993" s="17" t="s">
        <v>70</v>
      </c>
      <c r="C13993" s="17" t="s">
        <v>71</v>
      </c>
      <c r="D13993" t="s">
        <v>37873</v>
      </c>
      <c r="F13993" t="s">
        <v>37874</v>
      </c>
      <c r="K13993" s="18">
        <f>628128088889</f>
        <v>628128088889</v>
      </c>
      <c r="N13993" s="17" t="s">
        <v>74</v>
      </c>
      <c r="U13993" s="17"/>
      <c r="V13993" s="18">
        <f>628128088889</f>
        <v>628128088889</v>
      </c>
      <c r="W13993" t="s">
        <v>37875</v>
      </c>
      <c r="Y13993" s="17" t="s">
        <v>90</v>
      </c>
      <c r="AA13993" s="17" t="s">
        <v>7579</v>
      </c>
    </row>
    <row r="13994" ht="15" customHeight="1" spans="1:22" x14ac:dyDescent="0.25">
      <c r="A13994" s="17" t="s">
        <v>37876</v>
      </c>
      <c r="B13994" s="17" t="s">
        <v>70</v>
      </c>
      <c r="C13994" s="17" t="s">
        <v>71</v>
      </c>
      <c r="D13994" t="s">
        <v>37877</v>
      </c>
      <c r="F13994" t="s">
        <v>2698</v>
      </c>
      <c r="K13994" s="18">
        <f>6282139688877</f>
        <v>6282139688877</v>
      </c>
      <c r="N13994" s="17" t="s">
        <v>77</v>
      </c>
      <c r="V13994" s="18">
        <f>6282139688877</f>
        <v>6282139688877</v>
      </c>
    </row>
    <row r="13995" ht="15" customHeight="1" spans="1:28" x14ac:dyDescent="0.25">
      <c r="A13995" s="17" t="s">
        <v>37878</v>
      </c>
      <c r="B13995" s="17" t="s">
        <v>70</v>
      </c>
      <c r="C13995" s="17" t="s">
        <v>71</v>
      </c>
      <c r="D13995" t="s">
        <v>37879</v>
      </c>
      <c r="F13995" t="s">
        <v>1217</v>
      </c>
      <c r="J13995" t="s">
        <v>37880</v>
      </c>
      <c r="K13995" s="18" t="s">
        <v>37881</v>
      </c>
      <c r="N13995" s="17" t="s">
        <v>77</v>
      </c>
      <c r="O13995" t="s">
        <v>145</v>
      </c>
      <c r="V13995" s="18" t="s">
        <v>37881</v>
      </c>
      <c r="Y13995" t="s">
        <v>1084</v>
      </c>
      <c r="AA13995" t="s">
        <v>3146</v>
      </c>
      <c r="AB13995" t="s">
        <v>119</v>
      </c>
    </row>
    <row r="13996" ht="15" customHeight="1" spans="1:22" x14ac:dyDescent="0.25">
      <c r="A13996" s="17" t="s">
        <v>37882</v>
      </c>
      <c r="B13996" s="17" t="s">
        <v>70</v>
      </c>
      <c r="C13996" s="17" t="s">
        <v>71</v>
      </c>
      <c r="D13996" t="s">
        <v>37883</v>
      </c>
      <c r="F13996" t="s">
        <v>37884</v>
      </c>
      <c r="K13996" s="18">
        <f>6281219689189</f>
        <v>6281219689189</v>
      </c>
      <c r="N13996" s="17" t="s">
        <v>81</v>
      </c>
      <c r="V13996" s="18">
        <f>6281219689189</f>
        <v>6281219689189</v>
      </c>
    </row>
    <row r="13997" ht="15" customHeight="1" spans="1:22" x14ac:dyDescent="0.25">
      <c r="A13997" s="17" t="s">
        <v>37885</v>
      </c>
      <c r="B13997" s="17" t="s">
        <v>70</v>
      </c>
      <c r="C13997" s="17" t="s">
        <v>71</v>
      </c>
      <c r="D13997" t="s">
        <v>37883</v>
      </c>
      <c r="F13997" t="s">
        <v>37886</v>
      </c>
      <c r="K13997" s="18">
        <f>6281111124212</f>
        <v>6281111124212</v>
      </c>
      <c r="N13997" s="17" t="s">
        <v>74</v>
      </c>
      <c r="V13997" s="18">
        <f>6281111124212</f>
        <v>6281111124212</v>
      </c>
    </row>
    <row r="13998" ht="15" customHeight="1" spans="1:22" x14ac:dyDescent="0.25">
      <c r="A13998" s="17" t="s">
        <v>37887</v>
      </c>
      <c r="B13998" s="17" t="s">
        <v>70</v>
      </c>
      <c r="C13998" s="17" t="s">
        <v>71</v>
      </c>
      <c r="D13998" t="s">
        <v>37888</v>
      </c>
      <c r="F13998" t="s">
        <v>37889</v>
      </c>
      <c r="K13998" s="18">
        <f>6281936018225</f>
        <v>6281936018225</v>
      </c>
      <c r="N13998" s="17" t="s">
        <v>74</v>
      </c>
      <c r="V13998" s="18">
        <f>6281936018225</f>
        <v>6281936018225</v>
      </c>
    </row>
    <row r="13999" ht="15" customHeight="1" spans="1:28" x14ac:dyDescent="0.25">
      <c r="A13999" s="17" t="s">
        <v>37890</v>
      </c>
      <c r="B13999" s="17" t="s">
        <v>70</v>
      </c>
      <c r="C13999" s="17" t="s">
        <v>71</v>
      </c>
      <c r="D13999" t="s">
        <v>310</v>
      </c>
      <c r="F13999" t="s">
        <v>37891</v>
      </c>
      <c r="J13999" s="17" t="s">
        <v>37892</v>
      </c>
      <c r="K13999" s="18" t="s">
        <v>37893</v>
      </c>
      <c r="N13999" s="17" t="s">
        <v>77</v>
      </c>
      <c r="O13999" t="s">
        <v>199</v>
      </c>
      <c r="V13999" s="18" t="s">
        <v>37893</v>
      </c>
      <c r="Y13999" s="17" t="s">
        <v>930</v>
      </c>
      <c r="AA13999" t="s">
        <v>115</v>
      </c>
      <c r="AB13999" t="s">
        <v>451</v>
      </c>
    </row>
    <row r="14000" ht="15" customHeight="1" spans="1:28" x14ac:dyDescent="0.25">
      <c r="A14000" s="17" t="s">
        <v>37894</v>
      </c>
      <c r="B14000" s="17" t="s">
        <v>70</v>
      </c>
      <c r="C14000" s="17" t="s">
        <v>71</v>
      </c>
      <c r="D14000" t="s">
        <v>37895</v>
      </c>
      <c r="F14000" t="s">
        <v>31065</v>
      </c>
      <c r="J14000" t="s">
        <v>115</v>
      </c>
      <c r="K14000" s="18" t="s">
        <v>37896</v>
      </c>
      <c r="N14000" s="17" t="s">
        <v>77</v>
      </c>
      <c r="O14000" t="s">
        <v>199</v>
      </c>
      <c r="U14000" s="17"/>
      <c r="V14000" s="18" t="s">
        <v>37896</v>
      </c>
      <c r="W14000" t="s">
        <v>1909</v>
      </c>
      <c r="Y14000" t="s">
        <v>1909</v>
      </c>
      <c r="AA14000" t="s">
        <v>115</v>
      </c>
      <c r="AB14000" t="s">
        <v>1909</v>
      </c>
    </row>
    <row r="14001" ht="15" customHeight="1" spans="1:22" x14ac:dyDescent="0.25">
      <c r="A14001" s="17" t="s">
        <v>37897</v>
      </c>
      <c r="B14001" s="17" t="s">
        <v>70</v>
      </c>
      <c r="C14001" s="17" t="s">
        <v>71</v>
      </c>
      <c r="D14001" t="s">
        <v>22057</v>
      </c>
      <c r="F14001" t="s">
        <v>37898</v>
      </c>
      <c r="K14001" s="18">
        <f>6587494388</f>
        <v>6587494388</v>
      </c>
      <c r="N14001" s="17" t="s">
        <v>77</v>
      </c>
      <c r="V14001" s="18">
        <f>6587494388</f>
        <v>6587494388</v>
      </c>
    </row>
    <row r="14002" ht="15" customHeight="1" spans="1:28" x14ac:dyDescent="0.25">
      <c r="A14002" s="17" t="s">
        <v>37899</v>
      </c>
      <c r="B14002" s="17" t="s">
        <v>70</v>
      </c>
      <c r="C14002" s="17" t="s">
        <v>71</v>
      </c>
      <c r="D14002" t="s">
        <v>37900</v>
      </c>
      <c r="F14002" t="s">
        <v>29916</v>
      </c>
      <c r="J14002" s="17" t="s">
        <v>37901</v>
      </c>
      <c r="K14002" s="18" t="s">
        <v>37902</v>
      </c>
      <c r="N14002" s="17" t="s">
        <v>77</v>
      </c>
      <c r="O14002" t="s">
        <v>489</v>
      </c>
      <c r="U14002" s="17"/>
      <c r="V14002" s="18" t="s">
        <v>37902</v>
      </c>
      <c r="W14002" t="s">
        <v>6190</v>
      </c>
      <c r="Y14002" t="s">
        <v>115</v>
      </c>
      <c r="AA14002" t="s">
        <v>115</v>
      </c>
      <c r="AB14002" t="s">
        <v>2605</v>
      </c>
    </row>
    <row r="14003" ht="15" customHeight="1" spans="1:27" x14ac:dyDescent="0.25">
      <c r="A14003" s="17" t="s">
        <v>37903</v>
      </c>
      <c r="B14003" s="17" t="s">
        <v>70</v>
      </c>
      <c r="C14003" s="17" t="s">
        <v>71</v>
      </c>
      <c r="D14003" t="s">
        <v>20853</v>
      </c>
      <c r="F14003" t="s">
        <v>18381</v>
      </c>
      <c r="J14003" s="17" t="s">
        <v>37904</v>
      </c>
      <c r="K14003" s="18">
        <f>6285880715057</f>
        <v>6285880715057</v>
      </c>
      <c r="N14003" s="17" t="s">
        <v>77</v>
      </c>
      <c r="U14003" s="17"/>
      <c r="V14003" s="18">
        <f>6285880715057</f>
        <v>6285880715057</v>
      </c>
      <c r="W14003" t="s">
        <v>37905</v>
      </c>
      <c r="AA14003" s="17">
        <v>11270</v>
      </c>
    </row>
    <row r="14004" ht="15" customHeight="1" spans="1:23" x14ac:dyDescent="0.25">
      <c r="A14004" s="17" t="s">
        <v>37906</v>
      </c>
      <c r="B14004" s="17" t="s">
        <v>70</v>
      </c>
      <c r="C14004" s="17" t="s">
        <v>71</v>
      </c>
      <c r="D14004" t="s">
        <v>20853</v>
      </c>
      <c r="F14004" t="s">
        <v>13599</v>
      </c>
      <c r="K14004" s="18">
        <f>959795414818</f>
        <v>959795414818</v>
      </c>
      <c r="N14004" s="17" t="s">
        <v>77</v>
      </c>
      <c r="U14004" s="17"/>
      <c r="V14004" s="18">
        <f>959795414818</f>
        <v>959795414818</v>
      </c>
      <c r="W14004" t="s">
        <v>37907</v>
      </c>
    </row>
    <row r="14005" ht="15" customHeight="1" spans="1:25" x14ac:dyDescent="0.25">
      <c r="A14005" s="17" t="s">
        <v>37908</v>
      </c>
      <c r="B14005" s="17" t="s">
        <v>70</v>
      </c>
      <c r="C14005" s="17" t="s">
        <v>71</v>
      </c>
      <c r="D14005" t="s">
        <v>37909</v>
      </c>
      <c r="F14005" t="s">
        <v>7341</v>
      </c>
      <c r="K14005" s="18">
        <f>6598527306</f>
        <v>6598527306</v>
      </c>
      <c r="N14005" s="17" t="s">
        <v>77</v>
      </c>
      <c r="V14005" s="18">
        <f>6598527306</f>
        <v>6598527306</v>
      </c>
      <c r="Y14005" s="17" t="s">
        <v>2356</v>
      </c>
    </row>
    <row r="14006" ht="15" customHeight="1" spans="1:22" x14ac:dyDescent="0.25">
      <c r="A14006" s="17" t="s">
        <v>37910</v>
      </c>
      <c r="B14006" s="17" t="s">
        <v>70</v>
      </c>
      <c r="C14006" s="17" t="s">
        <v>71</v>
      </c>
      <c r="D14006" t="s">
        <v>20853</v>
      </c>
      <c r="F14006" t="s">
        <v>37911</v>
      </c>
      <c r="K14006" s="18">
        <f>13811833908</f>
        <v>13811833908</v>
      </c>
      <c r="N14006" s="17" t="s">
        <v>77</v>
      </c>
      <c r="V14006" s="18">
        <f>13811833908</f>
        <v>13811833908</v>
      </c>
    </row>
    <row r="14007" ht="15" customHeight="1" spans="1:22" x14ac:dyDescent="0.25">
      <c r="A14007" s="17" t="s">
        <v>37912</v>
      </c>
      <c r="B14007" s="17" t="s">
        <v>70</v>
      </c>
      <c r="C14007" s="17" t="s">
        <v>71</v>
      </c>
      <c r="D14007" t="s">
        <v>20853</v>
      </c>
      <c r="F14007" t="s">
        <v>3869</v>
      </c>
      <c r="K14007" s="18">
        <f>628111206000</f>
        <v>628111206000</v>
      </c>
      <c r="N14007" s="17" t="s">
        <v>77</v>
      </c>
      <c r="V14007" s="18">
        <f>628111206000</f>
        <v>628111206000</v>
      </c>
    </row>
    <row r="14008" ht="15" customHeight="1" spans="1:28" x14ac:dyDescent="0.25">
      <c r="A14008" s="17" t="s">
        <v>37913</v>
      </c>
      <c r="B14008" s="17" t="s">
        <v>70</v>
      </c>
      <c r="C14008" s="17" t="s">
        <v>71</v>
      </c>
      <c r="D14008" t="s">
        <v>20853</v>
      </c>
      <c r="F14008" t="s">
        <v>17672</v>
      </c>
      <c r="J14008" s="17" t="s">
        <v>37914</v>
      </c>
      <c r="K14008" s="18" t="s">
        <v>37915</v>
      </c>
      <c r="N14008" s="17" t="s">
        <v>77</v>
      </c>
      <c r="O14008" t="s">
        <v>117</v>
      </c>
      <c r="U14008" s="17"/>
      <c r="V14008" s="18" t="s">
        <v>37915</v>
      </c>
      <c r="W14008" t="s">
        <v>3140</v>
      </c>
      <c r="Y14008" t="s">
        <v>3140</v>
      </c>
      <c r="AA14008" t="s">
        <v>115</v>
      </c>
      <c r="AB14008" t="s">
        <v>3140</v>
      </c>
    </row>
    <row r="14009" ht="15" customHeight="1" spans="1:28" x14ac:dyDescent="0.25">
      <c r="A14009" s="17" t="s">
        <v>37916</v>
      </c>
      <c r="B14009" s="17" t="s">
        <v>70</v>
      </c>
      <c r="C14009" s="17" t="s">
        <v>71</v>
      </c>
      <c r="D14009" t="s">
        <v>37917</v>
      </c>
      <c r="F14009" t="s">
        <v>37917</v>
      </c>
      <c r="J14009" t="s">
        <v>37918</v>
      </c>
      <c r="K14009" s="18" t="s">
        <v>37919</v>
      </c>
      <c r="N14009" s="17" t="s">
        <v>77</v>
      </c>
      <c r="O14009" t="s">
        <v>117</v>
      </c>
      <c r="U14009" s="17"/>
      <c r="V14009" s="18" t="s">
        <v>37919</v>
      </c>
      <c r="W14009" t="s">
        <v>37920</v>
      </c>
      <c r="Y14009" s="17" t="s">
        <v>4993</v>
      </c>
      <c r="AA14009" t="s">
        <v>115</v>
      </c>
      <c r="AB14009" t="s">
        <v>119</v>
      </c>
    </row>
    <row r="14010" ht="15" customHeight="1" spans="1:22" x14ac:dyDescent="0.25">
      <c r="A14010" s="17" t="s">
        <v>37921</v>
      </c>
      <c r="B14010" s="17" t="s">
        <v>70</v>
      </c>
      <c r="C14010" s="17" t="s">
        <v>71</v>
      </c>
      <c r="D14010" t="s">
        <v>37922</v>
      </c>
      <c r="F14010" t="s">
        <v>37922</v>
      </c>
      <c r="K14010" s="18">
        <f>6281618849825</f>
        <v>6281618849825</v>
      </c>
      <c r="N14010" s="17" t="s">
        <v>77</v>
      </c>
      <c r="V14010" s="18">
        <f>6281618849825</f>
        <v>6281618849825</v>
      </c>
    </row>
    <row r="14011" ht="15" customHeight="1" spans="1:22" x14ac:dyDescent="0.25">
      <c r="A14011" s="17" t="s">
        <v>37923</v>
      </c>
      <c r="B14011" s="17" t="s">
        <v>70</v>
      </c>
      <c r="C14011" s="17" t="s">
        <v>71</v>
      </c>
      <c r="D14011" t="s">
        <v>37924</v>
      </c>
      <c r="F14011" t="s">
        <v>37924</v>
      </c>
      <c r="K14011" s="18">
        <f>6281252529008</f>
        <v>6281252529008</v>
      </c>
      <c r="N14011" s="17" t="s">
        <v>77</v>
      </c>
      <c r="V14011" s="18">
        <f>6281252529008</f>
        <v>6281252529008</v>
      </c>
    </row>
    <row r="14012" ht="15" customHeight="1" spans="1:22" x14ac:dyDescent="0.25">
      <c r="A14012" s="17" t="s">
        <v>37925</v>
      </c>
      <c r="B14012" s="17" t="s">
        <v>70</v>
      </c>
      <c r="C14012" s="17" t="s">
        <v>71</v>
      </c>
      <c r="D14012" t="s">
        <v>1834</v>
      </c>
      <c r="F14012" t="s">
        <v>1834</v>
      </c>
      <c r="K14012" s="18">
        <f>62811176571</f>
        <v>62811176571</v>
      </c>
      <c r="N14012" s="17" t="s">
        <v>77</v>
      </c>
      <c r="V14012" s="18">
        <f>62811176571</f>
        <v>62811176571</v>
      </c>
    </row>
    <row r="14013" ht="15" customHeight="1" spans="1:22" x14ac:dyDescent="0.25">
      <c r="A14013" s="17" t="s">
        <v>37926</v>
      </c>
      <c r="B14013" s="17" t="s">
        <v>70</v>
      </c>
      <c r="C14013" s="17" t="s">
        <v>71</v>
      </c>
      <c r="D14013" t="s">
        <v>9824</v>
      </c>
      <c r="F14013" t="s">
        <v>29647</v>
      </c>
      <c r="K14013" s="18">
        <f>6281338584916</f>
        <v>6281338584916</v>
      </c>
      <c r="N14013" s="17" t="s">
        <v>74</v>
      </c>
      <c r="V14013" s="18">
        <f>6281338584916</f>
        <v>6281338584916</v>
      </c>
    </row>
    <row r="14014" ht="15" customHeight="1" spans="1:28" x14ac:dyDescent="0.25">
      <c r="A14014" s="17" t="s">
        <v>37927</v>
      </c>
      <c r="B14014" s="17" t="s">
        <v>70</v>
      </c>
      <c r="C14014" s="17" t="s">
        <v>71</v>
      </c>
      <c r="D14014" t="s">
        <v>9824</v>
      </c>
      <c r="F14014" t="s">
        <v>37928</v>
      </c>
      <c r="J14014" t="s">
        <v>115</v>
      </c>
      <c r="K14014" s="18" t="s">
        <v>37929</v>
      </c>
      <c r="N14014" s="17" t="s">
        <v>77</v>
      </c>
      <c r="O14014" t="s">
        <v>199</v>
      </c>
      <c r="V14014" s="18" t="s">
        <v>37929</v>
      </c>
      <c r="Y14014" t="s">
        <v>30427</v>
      </c>
      <c r="AA14014" t="s">
        <v>115</v>
      </c>
      <c r="AB14014" t="s">
        <v>119</v>
      </c>
    </row>
    <row r="14015" ht="15" customHeight="1" spans="1:22" x14ac:dyDescent="0.25">
      <c r="A14015" s="17" t="s">
        <v>37930</v>
      </c>
      <c r="B14015" s="17" t="s">
        <v>70</v>
      </c>
      <c r="C14015" s="17" t="s">
        <v>71</v>
      </c>
      <c r="D14015" t="s">
        <v>9824</v>
      </c>
      <c r="F14015" t="s">
        <v>618</v>
      </c>
      <c r="K14015" s="18">
        <f>62218753870</f>
        <v>62218753870</v>
      </c>
      <c r="N14015" s="17" t="s">
        <v>77</v>
      </c>
      <c r="V14015" s="18">
        <f>62218753870</f>
        <v>62218753870</v>
      </c>
    </row>
    <row r="14016" ht="15" customHeight="1" spans="1:28" x14ac:dyDescent="0.25">
      <c r="A14016" s="17" t="s">
        <v>37931</v>
      </c>
      <c r="B14016" s="17" t="s">
        <v>70</v>
      </c>
      <c r="C14016" s="17" t="s">
        <v>71</v>
      </c>
      <c r="D14016" t="s">
        <v>9824</v>
      </c>
      <c r="F14016" t="s">
        <v>1976</v>
      </c>
      <c r="J14016" t="s">
        <v>37932</v>
      </c>
      <c r="K14016" s="18" t="s">
        <v>37933</v>
      </c>
      <c r="N14016" s="17" t="s">
        <v>77</v>
      </c>
      <c r="O14016" t="s">
        <v>489</v>
      </c>
      <c r="U14016" s="17"/>
      <c r="V14016" s="18" t="s">
        <v>37933</v>
      </c>
      <c r="W14016" t="s">
        <v>37934</v>
      </c>
      <c r="Y14016" s="17" t="s">
        <v>500</v>
      </c>
      <c r="AA14016" t="s">
        <v>501</v>
      </c>
      <c r="AB14016" t="s">
        <v>119</v>
      </c>
    </row>
    <row r="14017" ht="15" customHeight="1" spans="1:22" x14ac:dyDescent="0.25">
      <c r="A14017" s="17" t="s">
        <v>37935</v>
      </c>
      <c r="B14017" s="17" t="s">
        <v>70</v>
      </c>
      <c r="C14017" s="17" t="s">
        <v>71</v>
      </c>
      <c r="D14017" t="s">
        <v>9824</v>
      </c>
      <c r="F14017" t="s">
        <v>37936</v>
      </c>
      <c r="K14017" s="18">
        <f>6281381201332</f>
        <v>6281381201332</v>
      </c>
      <c r="N14017" s="17" t="s">
        <v>81</v>
      </c>
      <c r="V14017" s="18">
        <f>6281381201332</f>
        <v>6281381201332</v>
      </c>
    </row>
    <row r="14018" ht="15" customHeight="1" spans="1:23" x14ac:dyDescent="0.25">
      <c r="A14018" s="17" t="s">
        <v>37937</v>
      </c>
      <c r="B14018" s="17" t="s">
        <v>70</v>
      </c>
      <c r="C14018" s="17" t="s">
        <v>71</v>
      </c>
      <c r="D14018" t="s">
        <v>9824</v>
      </c>
      <c r="F14018" t="s">
        <v>37938</v>
      </c>
      <c r="K14018" s="18">
        <f>628111456198</f>
        <v>628111456198</v>
      </c>
      <c r="N14018" s="17" t="s">
        <v>81</v>
      </c>
      <c r="U14018" s="17"/>
      <c r="V14018" s="18">
        <f>628111456198</f>
        <v>628111456198</v>
      </c>
      <c r="W14018" t="s">
        <v>37939</v>
      </c>
    </row>
    <row r="14019" ht="15" customHeight="1" spans="1:25" x14ac:dyDescent="0.25">
      <c r="A14019" s="17" t="s">
        <v>37940</v>
      </c>
      <c r="B14019" s="17" t="s">
        <v>70</v>
      </c>
      <c r="C14019" s="17" t="s">
        <v>71</v>
      </c>
      <c r="D14019" t="s">
        <v>9824</v>
      </c>
      <c r="F14019" t="s">
        <v>37941</v>
      </c>
      <c r="J14019" s="17" t="s">
        <v>37942</v>
      </c>
      <c r="K14019" s="18">
        <f>6281283277540</f>
        <v>6281283277540</v>
      </c>
      <c r="N14019" s="17" t="s">
        <v>77</v>
      </c>
      <c r="U14019" s="17"/>
      <c r="V14019" s="18">
        <f>6281283277540</f>
        <v>6281283277540</v>
      </c>
      <c r="W14019" t="s">
        <v>37943</v>
      </c>
      <c r="Y14019" s="17" t="s">
        <v>37944</v>
      </c>
    </row>
    <row r="14020" ht="15" customHeight="1" spans="1:23" x14ac:dyDescent="0.25">
      <c r="A14020" s="17" t="s">
        <v>37945</v>
      </c>
      <c r="B14020" s="17" t="s">
        <v>70</v>
      </c>
      <c r="C14020" s="17" t="s">
        <v>71</v>
      </c>
      <c r="D14020" t="s">
        <v>9824</v>
      </c>
      <c r="F14020" t="s">
        <v>37946</v>
      </c>
      <c r="K14020" s="18">
        <f>6281282301973</f>
        <v>6281282301973</v>
      </c>
      <c r="N14020" s="17" t="s">
        <v>77</v>
      </c>
      <c r="U14020" s="17"/>
      <c r="V14020" s="18">
        <f>6281282301973</f>
        <v>6281282301973</v>
      </c>
      <c r="W14020" t="s">
        <v>37947</v>
      </c>
    </row>
    <row r="14021" ht="15" customHeight="1" spans="1:28" x14ac:dyDescent="0.25">
      <c r="A14021" s="17" t="s">
        <v>37948</v>
      </c>
      <c r="B14021" s="17" t="s">
        <v>70</v>
      </c>
      <c r="C14021" s="17" t="s">
        <v>71</v>
      </c>
      <c r="D14021" t="s">
        <v>37949</v>
      </c>
      <c r="F14021" t="s">
        <v>37950</v>
      </c>
      <c r="J14021" s="17" t="s">
        <v>37951</v>
      </c>
      <c r="K14021" s="18" t="s">
        <v>37952</v>
      </c>
      <c r="N14021" s="17" t="s">
        <v>81</v>
      </c>
      <c r="O14021" t="s">
        <v>117</v>
      </c>
      <c r="U14021" s="17"/>
      <c r="V14021" s="18" t="s">
        <v>37952</v>
      </c>
      <c r="W14021" t="s">
        <v>37953</v>
      </c>
      <c r="Y14021" t="s">
        <v>96</v>
      </c>
      <c r="AA14021" t="s">
        <v>693</v>
      </c>
      <c r="AB14021" t="s">
        <v>119</v>
      </c>
    </row>
    <row r="14022" ht="15" customHeight="1" spans="1:22" x14ac:dyDescent="0.25">
      <c r="A14022" s="17" t="s">
        <v>37954</v>
      </c>
      <c r="B14022" s="17" t="s">
        <v>70</v>
      </c>
      <c r="C14022" s="17" t="s">
        <v>71</v>
      </c>
      <c r="D14022" t="s">
        <v>37955</v>
      </c>
      <c r="F14022" t="s">
        <v>9686</v>
      </c>
      <c r="K14022" s="18">
        <f>6281280376364</f>
        <v>6281280376364</v>
      </c>
      <c r="N14022" s="17" t="s">
        <v>74</v>
      </c>
      <c r="V14022" s="18">
        <f>6281280376364</f>
        <v>6281280376364</v>
      </c>
    </row>
    <row r="14023" ht="15" customHeight="1" spans="1:22" x14ac:dyDescent="0.25">
      <c r="A14023" s="17" t="s">
        <v>37956</v>
      </c>
      <c r="B14023" s="17" t="s">
        <v>70</v>
      </c>
      <c r="C14023" s="17" t="s">
        <v>71</v>
      </c>
      <c r="D14023" t="s">
        <v>505</v>
      </c>
      <c r="F14023" t="s">
        <v>505</v>
      </c>
      <c r="K14023" s="18">
        <f>6281371308798</f>
        <v>6281371308798</v>
      </c>
      <c r="N14023" s="17" t="s">
        <v>81</v>
      </c>
      <c r="V14023" s="18">
        <f>6281371308798</f>
        <v>6281371308798</v>
      </c>
    </row>
    <row r="14024" ht="15" customHeight="1" spans="1:23" x14ac:dyDescent="0.25">
      <c r="A14024" s="17" t="s">
        <v>37957</v>
      </c>
      <c r="B14024" s="17" t="s">
        <v>70</v>
      </c>
      <c r="C14024" s="17" t="s">
        <v>71</v>
      </c>
      <c r="D14024" t="s">
        <v>37958</v>
      </c>
      <c r="F14024" t="s">
        <v>2195</v>
      </c>
      <c r="K14024" s="18">
        <f>62818860601</f>
        <v>62818860601</v>
      </c>
      <c r="N14024" s="17" t="s">
        <v>77</v>
      </c>
      <c r="U14024" s="17"/>
      <c r="V14024" s="18">
        <f>62818860601</f>
        <v>62818860601</v>
      </c>
      <c r="W14024" t="s">
        <v>37959</v>
      </c>
    </row>
    <row r="14025" ht="15" customHeight="1" spans="1:22" x14ac:dyDescent="0.25">
      <c r="A14025" s="17" t="s">
        <v>37960</v>
      </c>
      <c r="B14025" s="17" t="s">
        <v>70</v>
      </c>
      <c r="C14025" s="17" t="s">
        <v>71</v>
      </c>
      <c r="D14025" t="s">
        <v>37961</v>
      </c>
      <c r="F14025" t="s">
        <v>37961</v>
      </c>
      <c r="K14025" s="18">
        <f>62811135939</f>
        <v>62811135939</v>
      </c>
      <c r="N14025" s="17" t="s">
        <v>77</v>
      </c>
      <c r="V14025" s="18">
        <f>62811135939</f>
        <v>62811135939</v>
      </c>
    </row>
    <row r="14026" ht="15" customHeight="1" spans="1:22" x14ac:dyDescent="0.25">
      <c r="A14026" s="17" t="s">
        <v>37962</v>
      </c>
      <c r="B14026" s="17" t="s">
        <v>70</v>
      </c>
      <c r="C14026" s="17" t="s">
        <v>71</v>
      </c>
      <c r="D14026" t="s">
        <v>37961</v>
      </c>
      <c r="F14026" t="s">
        <v>150</v>
      </c>
      <c r="K14026" s="18">
        <f>62811938088</f>
        <v>62811938088</v>
      </c>
      <c r="N14026" s="17" t="s">
        <v>81</v>
      </c>
      <c r="V14026" s="18">
        <f>62811938088</f>
        <v>62811938088</v>
      </c>
    </row>
    <row r="14027" ht="15" customHeight="1" spans="1:22" x14ac:dyDescent="0.25">
      <c r="A14027" s="17" t="s">
        <v>37963</v>
      </c>
      <c r="B14027" s="17" t="s">
        <v>70</v>
      </c>
      <c r="C14027" s="17" t="s">
        <v>71</v>
      </c>
      <c r="D14027" t="s">
        <v>37964</v>
      </c>
      <c r="F14027" t="s">
        <v>37964</v>
      </c>
      <c r="K14027" s="18">
        <f>6281218955888</f>
        <v>6281218955888</v>
      </c>
      <c r="N14027" s="17" t="s">
        <v>77</v>
      </c>
      <c r="V14027" s="18">
        <f>6281218955888</f>
        <v>6281218955888</v>
      </c>
    </row>
    <row r="14028" ht="15" customHeight="1" spans="1:28" x14ac:dyDescent="0.25">
      <c r="A14028" s="17" t="s">
        <v>37965</v>
      </c>
      <c r="B14028" s="17" t="s">
        <v>70</v>
      </c>
      <c r="C14028" s="17" t="s">
        <v>71</v>
      </c>
      <c r="D14028" t="s">
        <v>37966</v>
      </c>
      <c r="F14028" t="s">
        <v>1982</v>
      </c>
      <c r="J14028" s="17" t="s">
        <v>37967</v>
      </c>
      <c r="K14028" s="18" t="s">
        <v>37968</v>
      </c>
      <c r="N14028" s="17" t="s">
        <v>77</v>
      </c>
      <c r="O14028" t="s">
        <v>117</v>
      </c>
      <c r="V14028" s="18" t="s">
        <v>37968</v>
      </c>
      <c r="Y14028" s="17" t="s">
        <v>378</v>
      </c>
      <c r="AA14028" t="s">
        <v>118</v>
      </c>
      <c r="AB14028" t="s">
        <v>119</v>
      </c>
    </row>
    <row r="14029" ht="15" customHeight="1" spans="1:23" x14ac:dyDescent="0.25">
      <c r="A14029" s="17" t="s">
        <v>37969</v>
      </c>
      <c r="B14029" s="17" t="s">
        <v>70</v>
      </c>
      <c r="C14029" s="17" t="s">
        <v>71</v>
      </c>
      <c r="D14029" t="s">
        <v>37970</v>
      </c>
      <c r="F14029" t="s">
        <v>1869</v>
      </c>
      <c r="K14029" s="18">
        <f>6281236209666</f>
        <v>6281236209666</v>
      </c>
      <c r="N14029" s="17" t="s">
        <v>77</v>
      </c>
      <c r="U14029" s="17"/>
      <c r="V14029" s="18">
        <f>6281236209666</f>
        <v>6281236209666</v>
      </c>
      <c r="W14029" t="s">
        <v>6179</v>
      </c>
    </row>
    <row r="14030" ht="15" customHeight="1" spans="1:28" x14ac:dyDescent="0.25">
      <c r="A14030" s="17" t="s">
        <v>37971</v>
      </c>
      <c r="B14030" s="17" t="s">
        <v>70</v>
      </c>
      <c r="C14030" s="17" t="s">
        <v>71</v>
      </c>
      <c r="D14030" t="s">
        <v>37972</v>
      </c>
      <c r="F14030" t="s">
        <v>6639</v>
      </c>
      <c r="J14030" s="17" t="s">
        <v>37973</v>
      </c>
      <c r="K14030" s="18" t="s">
        <v>37974</v>
      </c>
      <c r="N14030" s="17" t="s">
        <v>77</v>
      </c>
      <c r="O14030" t="s">
        <v>145</v>
      </c>
      <c r="U14030" s="17"/>
      <c r="V14030" s="18" t="s">
        <v>37974</v>
      </c>
      <c r="W14030" t="s">
        <v>37975</v>
      </c>
      <c r="Y14030" t="s">
        <v>90</v>
      </c>
      <c r="AA14030" t="s">
        <v>118</v>
      </c>
      <c r="AB14030" t="s">
        <v>119</v>
      </c>
    </row>
    <row r="14031" ht="15" customHeight="1" spans="1:23" x14ac:dyDescent="0.25">
      <c r="A14031" s="17" t="s">
        <v>37976</v>
      </c>
      <c r="B14031" s="17" t="s">
        <v>70</v>
      </c>
      <c r="C14031" s="17" t="s">
        <v>71</v>
      </c>
      <c r="D14031" t="s">
        <v>37977</v>
      </c>
      <c r="F14031" t="s">
        <v>1217</v>
      </c>
      <c r="J14031" s="17" t="s">
        <v>37978</v>
      </c>
      <c r="K14031" s="18">
        <f>6281389295666</f>
        <v>6281389295666</v>
      </c>
      <c r="N14031" s="17" t="s">
        <v>77</v>
      </c>
      <c r="U14031" s="17"/>
      <c r="V14031" s="18">
        <f>6281389295666</f>
        <v>6281389295666</v>
      </c>
      <c r="W14031" t="s">
        <v>37979</v>
      </c>
    </row>
    <row r="14032" ht="15" customHeight="1" spans="1:22" x14ac:dyDescent="0.25">
      <c r="A14032" s="17" t="s">
        <v>37980</v>
      </c>
      <c r="B14032" s="17" t="s">
        <v>70</v>
      </c>
      <c r="C14032" s="17" t="s">
        <v>71</v>
      </c>
      <c r="D14032" t="s">
        <v>23179</v>
      </c>
      <c r="F14032" t="s">
        <v>23179</v>
      </c>
      <c r="K14032" s="18">
        <f>628127128911</f>
        <v>628127128911</v>
      </c>
      <c r="N14032" s="17" t="s">
        <v>77</v>
      </c>
      <c r="V14032" s="18">
        <f>628127128911</f>
        <v>628127128911</v>
      </c>
    </row>
    <row r="14033" ht="15" customHeight="1" spans="1:22" x14ac:dyDescent="0.25">
      <c r="A14033" s="17" t="s">
        <v>37981</v>
      </c>
      <c r="B14033" s="17" t="s">
        <v>70</v>
      </c>
      <c r="C14033" s="17" t="s">
        <v>71</v>
      </c>
      <c r="D14033" t="s">
        <v>16450</v>
      </c>
      <c r="F14033" t="s">
        <v>37982</v>
      </c>
      <c r="K14033" s="18">
        <f>628159307089</f>
        <v>628159307089</v>
      </c>
      <c r="N14033" s="17" t="s">
        <v>77</v>
      </c>
      <c r="V14033" s="18">
        <f>628159307089</f>
        <v>628159307089</v>
      </c>
    </row>
    <row r="14034" ht="15" customHeight="1" spans="1:22" x14ac:dyDescent="0.25">
      <c r="A14034" s="17" t="s">
        <v>37983</v>
      </c>
      <c r="B14034" s="17" t="s">
        <v>70</v>
      </c>
      <c r="C14034" s="17" t="s">
        <v>71</v>
      </c>
      <c r="D14034" t="s">
        <v>16450</v>
      </c>
      <c r="F14034" t="s">
        <v>10847</v>
      </c>
      <c r="K14034" s="18">
        <f>628128120543</f>
        <v>628128120543</v>
      </c>
      <c r="N14034" s="17" t="s">
        <v>77</v>
      </c>
      <c r="V14034" s="18">
        <f>628128120543</f>
        <v>628128120543</v>
      </c>
    </row>
    <row r="14035" ht="15" customHeight="1" spans="1:28" x14ac:dyDescent="0.25">
      <c r="A14035" s="17" t="s">
        <v>37984</v>
      </c>
      <c r="B14035" s="17" t="s">
        <v>70</v>
      </c>
      <c r="C14035" s="17" t="s">
        <v>71</v>
      </c>
      <c r="D14035" t="s">
        <v>16450</v>
      </c>
      <c r="F14035" t="s">
        <v>871</v>
      </c>
      <c r="J14035" s="17" t="s">
        <v>37985</v>
      </c>
      <c r="K14035" s="18" t="s">
        <v>37986</v>
      </c>
      <c r="N14035" s="17" t="s">
        <v>77</v>
      </c>
      <c r="O14035" t="s">
        <v>489</v>
      </c>
      <c r="V14035" s="18" t="s">
        <v>37986</v>
      </c>
      <c r="Y14035" t="s">
        <v>5216</v>
      </c>
      <c r="AA14035" t="s">
        <v>115</v>
      </c>
      <c r="AB14035" t="s">
        <v>119</v>
      </c>
    </row>
    <row r="14036" ht="15" customHeight="1" spans="1:23" x14ac:dyDescent="0.25">
      <c r="A14036" s="17" t="s">
        <v>37987</v>
      </c>
      <c r="B14036" s="17" t="s">
        <v>70</v>
      </c>
      <c r="C14036" s="17" t="s">
        <v>71</v>
      </c>
      <c r="D14036" t="s">
        <v>16450</v>
      </c>
      <c r="F14036" t="s">
        <v>37988</v>
      </c>
      <c r="K14036" s="18">
        <f>6281410382399</f>
        <v>6281410382399</v>
      </c>
      <c r="N14036" s="17" t="s">
        <v>77</v>
      </c>
      <c r="U14036" s="17"/>
      <c r="V14036" s="18">
        <f>6281410382399</f>
        <v>6281410382399</v>
      </c>
      <c r="W14036" t="s">
        <v>37989</v>
      </c>
    </row>
    <row r="14037" ht="15" customHeight="1" spans="1:23" x14ac:dyDescent="0.25">
      <c r="A14037" s="17" t="s">
        <v>37990</v>
      </c>
      <c r="B14037" s="17" t="s">
        <v>70</v>
      </c>
      <c r="C14037" s="17" t="s">
        <v>71</v>
      </c>
      <c r="D14037" t="s">
        <v>16450</v>
      </c>
      <c r="F14037" t="s">
        <v>37991</v>
      </c>
      <c r="K14037" s="18">
        <f>628119502773</f>
        <v>628119502773</v>
      </c>
      <c r="N14037" s="17" t="s">
        <v>77</v>
      </c>
      <c r="U14037" s="17"/>
      <c r="V14037" s="18">
        <f>628119502773</f>
        <v>628119502773</v>
      </c>
      <c r="W14037" t="s">
        <v>37992</v>
      </c>
    </row>
    <row r="14038" ht="15" customHeight="1" spans="1:22" x14ac:dyDescent="0.25">
      <c r="A14038" s="17" t="s">
        <v>37993</v>
      </c>
      <c r="B14038" s="17" t="s">
        <v>70</v>
      </c>
      <c r="C14038" s="17" t="s">
        <v>71</v>
      </c>
      <c r="D14038" t="s">
        <v>37994</v>
      </c>
      <c r="F14038" t="s">
        <v>1169</v>
      </c>
      <c r="K14038" s="18">
        <f>6281511598881</f>
        <v>6281511598881</v>
      </c>
      <c r="N14038" s="17" t="s">
        <v>77</v>
      </c>
      <c r="V14038" s="18">
        <f>6281511598881</f>
        <v>6281511598881</v>
      </c>
    </row>
    <row r="14039" ht="15" customHeight="1" spans="1:22" x14ac:dyDescent="0.25">
      <c r="A14039" s="17" t="s">
        <v>37995</v>
      </c>
      <c r="B14039" s="17" t="s">
        <v>70</v>
      </c>
      <c r="C14039" s="17" t="s">
        <v>71</v>
      </c>
      <c r="D14039" t="s">
        <v>9656</v>
      </c>
      <c r="F14039" t="s">
        <v>9656</v>
      </c>
      <c r="K14039" s="18">
        <f>6285265793965</f>
        <v>6285265793965</v>
      </c>
      <c r="N14039" s="17" t="s">
        <v>81</v>
      </c>
      <c r="V14039" s="18">
        <f>6285265793965</f>
        <v>6285265793965</v>
      </c>
    </row>
    <row r="14040" ht="15" customHeight="1" spans="1:22" x14ac:dyDescent="0.25">
      <c r="A14040" s="17" t="s">
        <v>37996</v>
      </c>
      <c r="B14040" s="17" t="s">
        <v>70</v>
      </c>
      <c r="C14040" s="17" t="s">
        <v>71</v>
      </c>
      <c r="D14040" t="s">
        <v>9656</v>
      </c>
      <c r="F14040" t="s">
        <v>9656</v>
      </c>
      <c r="K14040" s="18">
        <f>628180808888</f>
        <v>628180808888</v>
      </c>
      <c r="N14040" s="17" t="s">
        <v>77</v>
      </c>
      <c r="V14040" s="18">
        <f>628180808888</f>
        <v>628180808888</v>
      </c>
    </row>
    <row r="14041" ht="15" customHeight="1" spans="1:25" x14ac:dyDescent="0.25">
      <c r="A14041" s="17" t="s">
        <v>37997</v>
      </c>
      <c r="B14041" s="17" t="s">
        <v>70</v>
      </c>
      <c r="C14041" s="17" t="s">
        <v>71</v>
      </c>
      <c r="D14041" t="s">
        <v>9656</v>
      </c>
      <c r="F14041" t="s">
        <v>37998</v>
      </c>
      <c r="K14041" s="18">
        <f>628161954569</f>
        <v>628161954569</v>
      </c>
      <c r="N14041" s="17" t="s">
        <v>77</v>
      </c>
      <c r="U14041" s="17"/>
      <c r="V14041" s="18">
        <f>628161954569</f>
        <v>628161954569</v>
      </c>
      <c r="W14041" t="s">
        <v>37999</v>
      </c>
      <c r="Y14041" s="17" t="s">
        <v>90</v>
      </c>
    </row>
    <row r="14042" ht="15" customHeight="1" spans="1:22" x14ac:dyDescent="0.25">
      <c r="A14042" s="17" t="s">
        <v>38000</v>
      </c>
      <c r="B14042" s="17" t="s">
        <v>70</v>
      </c>
      <c r="C14042" s="17" t="s">
        <v>71</v>
      </c>
      <c r="D14042" t="s">
        <v>1138</v>
      </c>
      <c r="F14042" t="s">
        <v>38001</v>
      </c>
      <c r="K14042" s="18">
        <f>628159048936</f>
        <v>628159048936</v>
      </c>
      <c r="N14042" s="17" t="s">
        <v>77</v>
      </c>
      <c r="V14042" s="18">
        <f>628159048936</f>
        <v>628159048936</v>
      </c>
    </row>
    <row r="14043" ht="15" customHeight="1" spans="1:27" x14ac:dyDescent="0.25">
      <c r="A14043" s="17" t="s">
        <v>38002</v>
      </c>
      <c r="B14043" s="17" t="s">
        <v>70</v>
      </c>
      <c r="C14043" s="17" t="s">
        <v>71</v>
      </c>
      <c r="D14043" t="s">
        <v>1138</v>
      </c>
      <c r="F14043" t="s">
        <v>38003</v>
      </c>
      <c r="K14043" s="18">
        <f>62215159070</f>
        <v>62215159070</v>
      </c>
      <c r="N14043" s="17" t="s">
        <v>77</v>
      </c>
      <c r="U14043" s="17"/>
      <c r="V14043" s="18">
        <f>62215159070</f>
        <v>62215159070</v>
      </c>
      <c r="W14043" t="s">
        <v>38004</v>
      </c>
      <c r="Y14043" s="17" t="s">
        <v>90</v>
      </c>
      <c r="AA14043" s="17" t="s">
        <v>38005</v>
      </c>
    </row>
    <row r="14044" ht="15" customHeight="1" spans="1:22" x14ac:dyDescent="0.25">
      <c r="A14044" s="17" t="s">
        <v>38006</v>
      </c>
      <c r="B14044" s="17" t="s">
        <v>70</v>
      </c>
      <c r="C14044" s="17" t="s">
        <v>71</v>
      </c>
      <c r="D14044" t="s">
        <v>1138</v>
      </c>
      <c r="F14044" t="s">
        <v>7169</v>
      </c>
      <c r="K14044" s="18">
        <f>62816801014</f>
        <v>62816801014</v>
      </c>
      <c r="N14044" s="17" t="s">
        <v>74</v>
      </c>
      <c r="V14044" s="18">
        <f>62816801014</f>
        <v>62816801014</v>
      </c>
    </row>
    <row r="14045" ht="15" customHeight="1" spans="1:22" x14ac:dyDescent="0.25">
      <c r="A14045" s="17" t="s">
        <v>38007</v>
      </c>
      <c r="B14045" s="17" t="s">
        <v>70</v>
      </c>
      <c r="C14045" s="17" t="s">
        <v>71</v>
      </c>
      <c r="D14045" t="s">
        <v>38008</v>
      </c>
      <c r="F14045" t="s">
        <v>38008</v>
      </c>
      <c r="K14045" s="18">
        <f>62811990900</f>
        <v>62811990900</v>
      </c>
      <c r="N14045" s="17" t="s">
        <v>77</v>
      </c>
      <c r="V14045" s="18">
        <f>62811990900</f>
        <v>62811990900</v>
      </c>
    </row>
    <row r="14046" ht="15" customHeight="1" spans="1:28" x14ac:dyDescent="0.25">
      <c r="A14046" s="17" t="s">
        <v>38009</v>
      </c>
      <c r="B14046" s="17" t="s">
        <v>70</v>
      </c>
      <c r="C14046" s="17" t="s">
        <v>71</v>
      </c>
      <c r="D14046" t="s">
        <v>38010</v>
      </c>
      <c r="F14046" t="s">
        <v>2159</v>
      </c>
      <c r="J14046" t="s">
        <v>115</v>
      </c>
      <c r="K14046" s="18" t="s">
        <v>38011</v>
      </c>
      <c r="N14046" s="17" t="s">
        <v>77</v>
      </c>
      <c r="O14046" t="s">
        <v>1188</v>
      </c>
      <c r="U14046" s="17"/>
      <c r="V14046" s="18" t="s">
        <v>38011</v>
      </c>
      <c r="W14046" t="s">
        <v>38012</v>
      </c>
      <c r="Y14046" s="17" t="s">
        <v>96</v>
      </c>
      <c r="AA14046" t="s">
        <v>115</v>
      </c>
      <c r="AB14046" t="s">
        <v>119</v>
      </c>
    </row>
    <row r="14047" ht="15" customHeight="1" spans="1:27" x14ac:dyDescent="0.25">
      <c r="A14047" s="17" t="s">
        <v>38013</v>
      </c>
      <c r="B14047" s="17" t="s">
        <v>70</v>
      </c>
      <c r="C14047" s="17" t="s">
        <v>71</v>
      </c>
      <c r="D14047" t="s">
        <v>37277</v>
      </c>
      <c r="F14047" t="s">
        <v>38014</v>
      </c>
      <c r="K14047" s="18">
        <f>62818748889</f>
        <v>62818748889</v>
      </c>
      <c r="N14047" s="17" t="s">
        <v>77</v>
      </c>
      <c r="U14047" s="17"/>
      <c r="V14047" s="18">
        <f>62818748889</f>
        <v>62818748889</v>
      </c>
      <c r="W14047" t="s">
        <v>38015</v>
      </c>
      <c r="Y14047" s="17" t="s">
        <v>378</v>
      </c>
      <c r="AA14047" s="17" t="s">
        <v>1529</v>
      </c>
    </row>
    <row r="14048" ht="15" customHeight="1" spans="1:22" x14ac:dyDescent="0.25">
      <c r="A14048" s="17" t="s">
        <v>38016</v>
      </c>
      <c r="B14048" s="17" t="s">
        <v>70</v>
      </c>
      <c r="C14048" s="17" t="s">
        <v>71</v>
      </c>
      <c r="D14048" t="s">
        <v>37277</v>
      </c>
      <c r="F14048" t="s">
        <v>34988</v>
      </c>
      <c r="K14048" s="18">
        <v>818210770</v>
      </c>
      <c r="N14048" s="17" t="s">
        <v>81</v>
      </c>
      <c r="V14048" s="18">
        <v>818210770</v>
      </c>
    </row>
    <row r="14049" ht="15" customHeight="1" spans="1:22" x14ac:dyDescent="0.25">
      <c r="A14049" s="17" t="s">
        <v>38017</v>
      </c>
      <c r="B14049" s="17" t="s">
        <v>70</v>
      </c>
      <c r="C14049" s="17" t="s">
        <v>71</v>
      </c>
      <c r="D14049" t="s">
        <v>37277</v>
      </c>
      <c r="F14049" t="s">
        <v>17090</v>
      </c>
      <c r="K14049" s="18">
        <f>62816849696</f>
        <v>62816849696</v>
      </c>
      <c r="N14049" s="17" t="s">
        <v>77</v>
      </c>
      <c r="V14049" s="18">
        <f>62816849696</f>
        <v>62816849696</v>
      </c>
    </row>
    <row r="14050" ht="15" customHeight="1" spans="1:28" x14ac:dyDescent="0.25">
      <c r="A14050" s="17" t="s">
        <v>38018</v>
      </c>
      <c r="B14050" s="17" t="s">
        <v>70</v>
      </c>
      <c r="C14050" s="17" t="s">
        <v>71</v>
      </c>
      <c r="D14050" t="s">
        <v>38019</v>
      </c>
      <c r="F14050" t="s">
        <v>669</v>
      </c>
      <c r="J14050" t="s">
        <v>115</v>
      </c>
      <c r="K14050" s="18" t="s">
        <v>38020</v>
      </c>
      <c r="N14050" s="17" t="s">
        <v>74</v>
      </c>
      <c r="O14050" t="s">
        <v>117</v>
      </c>
      <c r="V14050" s="18" t="s">
        <v>38020</v>
      </c>
      <c r="Y14050" t="s">
        <v>190</v>
      </c>
      <c r="AA14050" t="s">
        <v>118</v>
      </c>
      <c r="AB14050" t="s">
        <v>119</v>
      </c>
    </row>
    <row r="14051" ht="15" customHeight="1" spans="1:22" x14ac:dyDescent="0.25">
      <c r="A14051" s="17" t="s">
        <v>38021</v>
      </c>
      <c r="B14051" s="17" t="s">
        <v>70</v>
      </c>
      <c r="C14051" s="17" t="s">
        <v>71</v>
      </c>
      <c r="D14051" t="s">
        <v>17387</v>
      </c>
      <c r="F14051" t="s">
        <v>17387</v>
      </c>
      <c r="K14051" s="18">
        <f>6287730061972</f>
        <v>6287730061972</v>
      </c>
      <c r="N14051" s="17" t="s">
        <v>81</v>
      </c>
      <c r="V14051" s="18">
        <f>6287730061972</f>
        <v>6287730061972</v>
      </c>
    </row>
    <row r="14052" ht="15" customHeight="1" spans="1:22" x14ac:dyDescent="0.25">
      <c r="A14052" s="17" t="s">
        <v>38022</v>
      </c>
      <c r="B14052" s="17" t="s">
        <v>70</v>
      </c>
      <c r="C14052" s="17" t="s">
        <v>71</v>
      </c>
      <c r="D14052" t="s">
        <v>13757</v>
      </c>
      <c r="F14052" t="s">
        <v>13757</v>
      </c>
      <c r="K14052" s="18">
        <f>62816796435</f>
        <v>62816796435</v>
      </c>
      <c r="N14052" s="17" t="s">
        <v>74</v>
      </c>
      <c r="V14052" s="18">
        <f>62816796435</f>
        <v>62816796435</v>
      </c>
    </row>
    <row r="14053" ht="15" customHeight="1" spans="1:22" x14ac:dyDescent="0.25">
      <c r="A14053" s="17" t="s">
        <v>38023</v>
      </c>
      <c r="B14053" s="17" t="s">
        <v>70</v>
      </c>
      <c r="C14053" s="17" t="s">
        <v>71</v>
      </c>
      <c r="D14053" t="s">
        <v>38024</v>
      </c>
      <c r="F14053" t="s">
        <v>10511</v>
      </c>
      <c r="K14053" s="18">
        <f>6281389033800</f>
        <v>6281389033800</v>
      </c>
      <c r="N14053" s="17" t="s">
        <v>81</v>
      </c>
      <c r="V14053" s="18">
        <f>6281389033800</f>
        <v>6281389033800</v>
      </c>
    </row>
    <row r="14054" ht="15" customHeight="1" spans="1:28" x14ac:dyDescent="0.25">
      <c r="A14054" s="17" t="s">
        <v>38025</v>
      </c>
      <c r="B14054" s="17" t="s">
        <v>70</v>
      </c>
      <c r="C14054" s="17" t="s">
        <v>71</v>
      </c>
      <c r="D14054" t="s">
        <v>38026</v>
      </c>
      <c r="F14054" t="s">
        <v>38027</v>
      </c>
      <c r="J14054" s="17" t="s">
        <v>38028</v>
      </c>
      <c r="K14054" s="18" t="s">
        <v>38029</v>
      </c>
      <c r="N14054" s="17" t="s">
        <v>77</v>
      </c>
      <c r="O14054" t="s">
        <v>145</v>
      </c>
      <c r="V14054" s="18" t="s">
        <v>38029</v>
      </c>
      <c r="Y14054" t="s">
        <v>251</v>
      </c>
      <c r="AA14054" t="s">
        <v>115</v>
      </c>
      <c r="AB14054" t="s">
        <v>251</v>
      </c>
    </row>
    <row r="14055" ht="15" customHeight="1" spans="1:22" x14ac:dyDescent="0.25">
      <c r="A14055" s="17" t="s">
        <v>38030</v>
      </c>
      <c r="B14055" s="17" t="s">
        <v>70</v>
      </c>
      <c r="C14055" s="17" t="s">
        <v>71</v>
      </c>
      <c r="D14055" t="s">
        <v>3579</v>
      </c>
      <c r="F14055" t="s">
        <v>17134</v>
      </c>
      <c r="K14055" s="18">
        <f>62811981718</f>
        <v>62811981718</v>
      </c>
      <c r="N14055" s="17" t="s">
        <v>77</v>
      </c>
      <c r="V14055" s="18">
        <f>62811981718</f>
        <v>62811981718</v>
      </c>
    </row>
    <row r="14056" ht="15" customHeight="1" spans="1:22" x14ac:dyDescent="0.25">
      <c r="A14056" s="17" t="s">
        <v>38031</v>
      </c>
      <c r="B14056" s="17" t="s">
        <v>70</v>
      </c>
      <c r="C14056" s="17" t="s">
        <v>71</v>
      </c>
      <c r="D14056" t="s">
        <v>38032</v>
      </c>
      <c r="F14056" t="s">
        <v>38032</v>
      </c>
      <c r="K14056" s="18">
        <f>62811921718</f>
        <v>62811921718</v>
      </c>
      <c r="N14056" s="17" t="s">
        <v>81</v>
      </c>
      <c r="V14056" s="18">
        <f>62811921718</f>
        <v>62811921718</v>
      </c>
    </row>
    <row r="14057" ht="15" customHeight="1" spans="1:25" x14ac:dyDescent="0.25">
      <c r="A14057" s="17" t="s">
        <v>38033</v>
      </c>
      <c r="B14057" s="17" t="s">
        <v>70</v>
      </c>
      <c r="C14057" s="17" t="s">
        <v>71</v>
      </c>
      <c r="D14057" t="s">
        <v>38034</v>
      </c>
      <c r="F14057" t="s">
        <v>38035</v>
      </c>
      <c r="K14057" s="18">
        <f>62811130065</f>
        <v>62811130065</v>
      </c>
      <c r="N14057" s="17" t="s">
        <v>77</v>
      </c>
      <c r="U14057" s="17"/>
      <c r="V14057" s="18">
        <f>62811130065</f>
        <v>62811130065</v>
      </c>
      <c r="W14057" t="s">
        <v>38036</v>
      </c>
      <c r="Y14057" s="17" t="s">
        <v>1119</v>
      </c>
    </row>
    <row r="14058" ht="15" customHeight="1" spans="1:22" x14ac:dyDescent="0.25">
      <c r="A14058" s="17" t="s">
        <v>38037</v>
      </c>
      <c r="B14058" s="17" t="s">
        <v>70</v>
      </c>
      <c r="C14058" s="17" t="s">
        <v>71</v>
      </c>
      <c r="D14058" t="s">
        <v>38038</v>
      </c>
      <c r="F14058" t="s">
        <v>38038</v>
      </c>
      <c r="K14058" s="18">
        <f>6281379409827</f>
        <v>6281379409827</v>
      </c>
      <c r="N14058" s="17" t="s">
        <v>77</v>
      </c>
      <c r="V14058" s="18">
        <f>6281379409827</f>
        <v>6281379409827</v>
      </c>
    </row>
    <row r="14059" ht="15" customHeight="1" spans="1:22" x14ac:dyDescent="0.25">
      <c r="A14059" s="17" t="s">
        <v>38039</v>
      </c>
      <c r="B14059" s="17" t="s">
        <v>70</v>
      </c>
      <c r="C14059" s="17" t="s">
        <v>71</v>
      </c>
      <c r="D14059" t="s">
        <v>38040</v>
      </c>
      <c r="F14059" t="s">
        <v>38040</v>
      </c>
      <c r="K14059" s="18">
        <f>62811144100</f>
        <v>62811144100</v>
      </c>
      <c r="N14059" s="17" t="s">
        <v>74</v>
      </c>
      <c r="V14059" s="18">
        <f>62811144100</f>
        <v>62811144100</v>
      </c>
    </row>
    <row r="14060" ht="15" customHeight="1" spans="1:22" x14ac:dyDescent="0.25">
      <c r="A14060" s="17" t="s">
        <v>38041</v>
      </c>
      <c r="B14060" s="17" t="s">
        <v>70</v>
      </c>
      <c r="C14060" s="17" t="s">
        <v>71</v>
      </c>
      <c r="D14060" t="s">
        <v>38038</v>
      </c>
      <c r="F14060" t="s">
        <v>38038</v>
      </c>
      <c r="K14060" s="18">
        <f>628159103422</f>
        <v>628159103422</v>
      </c>
      <c r="N14060" s="17" t="s">
        <v>77</v>
      </c>
      <c r="V14060" s="18">
        <f>628159103422</f>
        <v>628159103422</v>
      </c>
    </row>
    <row r="14061" ht="15" customHeight="1" spans="1:22" x14ac:dyDescent="0.25">
      <c r="A14061" s="17" t="s">
        <v>38042</v>
      </c>
      <c r="B14061" s="17" t="s">
        <v>70</v>
      </c>
      <c r="C14061" s="17" t="s">
        <v>71</v>
      </c>
      <c r="D14061" t="s">
        <v>8203</v>
      </c>
      <c r="F14061" t="s">
        <v>8203</v>
      </c>
      <c r="K14061" s="18">
        <f>622123625000</f>
        <v>622123625000</v>
      </c>
      <c r="N14061" s="17" t="s">
        <v>77</v>
      </c>
      <c r="V14061" s="18">
        <f>622123625000</f>
        <v>622123625000</v>
      </c>
    </row>
    <row r="14062" ht="15" customHeight="1" spans="1:22" x14ac:dyDescent="0.25">
      <c r="A14062" s="17" t="s">
        <v>38043</v>
      </c>
      <c r="B14062" s="17" t="s">
        <v>70</v>
      </c>
      <c r="C14062" s="17" t="s">
        <v>71</v>
      </c>
      <c r="D14062" t="s">
        <v>8203</v>
      </c>
      <c r="F14062" t="s">
        <v>38044</v>
      </c>
      <c r="K14062" s="18">
        <f>62811410062</f>
        <v>62811410062</v>
      </c>
      <c r="N14062" s="17" t="s">
        <v>81</v>
      </c>
      <c r="V14062" s="18">
        <f>62811410062</f>
        <v>62811410062</v>
      </c>
    </row>
    <row r="14063" ht="15" customHeight="1" spans="1:25" x14ac:dyDescent="0.25">
      <c r="A14063" s="17" t="s">
        <v>38045</v>
      </c>
      <c r="B14063" s="17" t="s">
        <v>70</v>
      </c>
      <c r="C14063" s="17" t="s">
        <v>71</v>
      </c>
      <c r="D14063" t="s">
        <v>38046</v>
      </c>
      <c r="F14063" t="s">
        <v>38046</v>
      </c>
      <c r="K14063" s="18">
        <f>628121940475</f>
        <v>628121940475</v>
      </c>
      <c r="N14063" s="17" t="s">
        <v>77</v>
      </c>
      <c r="U14063" s="17"/>
      <c r="V14063" s="18">
        <f>628121940475</f>
        <v>628121940475</v>
      </c>
      <c r="W14063" t="s">
        <v>38047</v>
      </c>
      <c r="Y14063" s="17" t="s">
        <v>38048</v>
      </c>
    </row>
    <row r="14064" ht="15" customHeight="1" spans="1:27" x14ac:dyDescent="0.25">
      <c r="A14064" s="17" t="s">
        <v>38049</v>
      </c>
      <c r="B14064" s="17" t="s">
        <v>70</v>
      </c>
      <c r="C14064" s="17" t="s">
        <v>71</v>
      </c>
      <c r="D14064" t="s">
        <v>38050</v>
      </c>
      <c r="F14064" t="s">
        <v>6235</v>
      </c>
      <c r="K14064" s="18">
        <v>83701601</v>
      </c>
      <c r="N14064" s="17" t="s">
        <v>74</v>
      </c>
      <c r="U14064" s="17"/>
      <c r="V14064" s="18">
        <v>83701601</v>
      </c>
      <c r="W14064" t="s">
        <v>38051</v>
      </c>
      <c r="Y14064" s="17" t="s">
        <v>96</v>
      </c>
      <c r="AA14064" s="17" t="s">
        <v>38052</v>
      </c>
    </row>
    <row r="14065" ht="15" customHeight="1" spans="1:22" x14ac:dyDescent="0.25">
      <c r="A14065" s="17" t="s">
        <v>38053</v>
      </c>
      <c r="B14065" s="17" t="s">
        <v>70</v>
      </c>
      <c r="C14065" s="17" t="s">
        <v>71</v>
      </c>
      <c r="D14065" t="s">
        <v>38054</v>
      </c>
      <c r="F14065" t="s">
        <v>38054</v>
      </c>
      <c r="K14065" s="18">
        <f>62813854577742</f>
        <v>62813854577742</v>
      </c>
      <c r="N14065" s="17" t="s">
        <v>74</v>
      </c>
      <c r="V14065" s="18">
        <f>62813854577742</f>
        <v>62813854577742</v>
      </c>
    </row>
    <row r="14066" ht="15" customHeight="1" spans="1:22" x14ac:dyDescent="0.25">
      <c r="A14066" s="17" t="s">
        <v>38055</v>
      </c>
      <c r="B14066" s="17" t="s">
        <v>70</v>
      </c>
      <c r="C14066" s="17" t="s">
        <v>71</v>
      </c>
      <c r="D14066" t="s">
        <v>11737</v>
      </c>
      <c r="F14066" t="s">
        <v>11737</v>
      </c>
      <c r="K14066" s="18">
        <f>6281293699803</f>
        <v>6281293699803</v>
      </c>
      <c r="N14066" s="17" t="s">
        <v>81</v>
      </c>
      <c r="V14066" s="18">
        <f>6281293699803</f>
        <v>6281293699803</v>
      </c>
    </row>
    <row r="14067" ht="15" customHeight="1" spans="1:23" x14ac:dyDescent="0.25">
      <c r="A14067" s="17" t="s">
        <v>38056</v>
      </c>
      <c r="B14067" s="17" t="s">
        <v>70</v>
      </c>
      <c r="C14067" s="17" t="s">
        <v>71</v>
      </c>
      <c r="D14067" t="s">
        <v>27629</v>
      </c>
      <c r="F14067" t="s">
        <v>27629</v>
      </c>
      <c r="K14067" s="18">
        <f>6283879322722</f>
        <v>6283879322722</v>
      </c>
      <c r="N14067" s="17" t="s">
        <v>77</v>
      </c>
      <c r="U14067" s="17"/>
      <c r="V14067" s="18">
        <f>6283879322722</f>
        <v>6283879322722</v>
      </c>
      <c r="W14067" t="s">
        <v>38057</v>
      </c>
    </row>
    <row r="14068" ht="15" customHeight="1" spans="1:22" x14ac:dyDescent="0.25">
      <c r="A14068" s="17" t="s">
        <v>38058</v>
      </c>
      <c r="B14068" s="17" t="s">
        <v>70</v>
      </c>
      <c r="C14068" s="17" t="s">
        <v>71</v>
      </c>
      <c r="D14068" t="s">
        <v>2280</v>
      </c>
      <c r="F14068" t="s">
        <v>2280</v>
      </c>
      <c r="J14068" s="17" t="s">
        <v>38059</v>
      </c>
      <c r="K14068" s="18">
        <f>628121048336</f>
        <v>628121048336</v>
      </c>
      <c r="N14068" s="17" t="s">
        <v>77</v>
      </c>
      <c r="V14068" s="18">
        <f>628121048336</f>
        <v>628121048336</v>
      </c>
    </row>
    <row r="14069" ht="15" customHeight="1" spans="1:27" x14ac:dyDescent="0.25">
      <c r="A14069" s="17" t="s">
        <v>38060</v>
      </c>
      <c r="B14069" s="17" t="s">
        <v>70</v>
      </c>
      <c r="C14069" s="17" t="s">
        <v>71</v>
      </c>
      <c r="D14069" t="s">
        <v>2280</v>
      </c>
      <c r="F14069" t="s">
        <v>10192</v>
      </c>
      <c r="K14069" s="18">
        <f>62811118514</f>
        <v>62811118514</v>
      </c>
      <c r="N14069" s="17" t="s">
        <v>77</v>
      </c>
      <c r="U14069" s="17"/>
      <c r="V14069" s="18">
        <f>62811118514</f>
        <v>62811118514</v>
      </c>
      <c r="W14069" t="s">
        <v>21375</v>
      </c>
      <c r="Y14069" s="17" t="s">
        <v>622</v>
      </c>
      <c r="AA14069" s="17" t="s">
        <v>38061</v>
      </c>
    </row>
    <row r="14070" ht="15" customHeight="1" spans="1:22" x14ac:dyDescent="0.25">
      <c r="A14070" s="17" t="s">
        <v>38062</v>
      </c>
      <c r="B14070" s="17" t="s">
        <v>70</v>
      </c>
      <c r="C14070" s="17" t="s">
        <v>71</v>
      </c>
      <c r="D14070" t="s">
        <v>2280</v>
      </c>
      <c r="F14070" t="s">
        <v>5777</v>
      </c>
      <c r="K14070" s="18">
        <f>62811740870</f>
        <v>62811740870</v>
      </c>
      <c r="N14070" s="17" t="s">
        <v>77</v>
      </c>
      <c r="V14070" s="18">
        <f>62811740870</f>
        <v>62811740870</v>
      </c>
    </row>
    <row r="14071" ht="15" customHeight="1" spans="1:28" x14ac:dyDescent="0.25">
      <c r="A14071" s="17" t="s">
        <v>38063</v>
      </c>
      <c r="B14071" s="17" t="s">
        <v>70</v>
      </c>
      <c r="C14071" s="17" t="s">
        <v>71</v>
      </c>
      <c r="D14071" t="s">
        <v>38064</v>
      </c>
      <c r="F14071" t="s">
        <v>4708</v>
      </c>
      <c r="J14071" t="s">
        <v>115</v>
      </c>
      <c r="K14071" s="18" t="s">
        <v>38065</v>
      </c>
      <c r="N14071" s="17" t="s">
        <v>77</v>
      </c>
      <c r="O14071" t="s">
        <v>145</v>
      </c>
      <c r="U14071" s="17"/>
      <c r="V14071" s="18" t="s">
        <v>38065</v>
      </c>
      <c r="W14071" t="s">
        <v>38066</v>
      </c>
      <c r="Y14071" t="s">
        <v>90</v>
      </c>
      <c r="AA14071" t="s">
        <v>118</v>
      </c>
      <c r="AB14071" t="s">
        <v>119</v>
      </c>
    </row>
    <row r="14072" ht="15" customHeight="1" spans="1:27" x14ac:dyDescent="0.25">
      <c r="A14072" s="17" t="s">
        <v>38067</v>
      </c>
      <c r="B14072" s="17" t="s">
        <v>70</v>
      </c>
      <c r="C14072" s="17" t="s">
        <v>71</v>
      </c>
      <c r="D14072" t="s">
        <v>38068</v>
      </c>
      <c r="F14072" t="s">
        <v>38069</v>
      </c>
      <c r="K14072" s="18">
        <f>628161615366</f>
        <v>628161615366</v>
      </c>
      <c r="N14072" s="17" t="s">
        <v>81</v>
      </c>
      <c r="U14072" s="17"/>
      <c r="V14072" s="18">
        <f>628161615366</f>
        <v>628161615366</v>
      </c>
      <c r="W14072" t="s">
        <v>38070</v>
      </c>
      <c r="Y14072" s="17" t="s">
        <v>378</v>
      </c>
      <c r="AA14072" s="17">
        <v>10750</v>
      </c>
    </row>
    <row r="14073" ht="15" customHeight="1" spans="1:22" x14ac:dyDescent="0.25">
      <c r="A14073" s="17" t="s">
        <v>38071</v>
      </c>
      <c r="B14073" s="17" t="s">
        <v>70</v>
      </c>
      <c r="C14073" s="17" t="s">
        <v>71</v>
      </c>
      <c r="D14073" t="s">
        <v>38072</v>
      </c>
      <c r="F14073" t="s">
        <v>38073</v>
      </c>
      <c r="K14073" s="18">
        <f>62818477690</f>
        <v>62818477690</v>
      </c>
      <c r="N14073" s="17" t="s">
        <v>74</v>
      </c>
      <c r="V14073" s="18">
        <f>62818477690</f>
        <v>62818477690</v>
      </c>
    </row>
    <row r="14074" ht="15" customHeight="1" spans="1:23" x14ac:dyDescent="0.25">
      <c r="A14074" s="17" t="s">
        <v>38074</v>
      </c>
      <c r="B14074" s="17" t="s">
        <v>70</v>
      </c>
      <c r="C14074" s="17" t="s">
        <v>71</v>
      </c>
      <c r="D14074" t="s">
        <v>38075</v>
      </c>
      <c r="F14074" t="s">
        <v>150</v>
      </c>
      <c r="K14074" s="18">
        <f>821024261078</f>
        <v>821024261078</v>
      </c>
      <c r="N14074" s="17" t="s">
        <v>77</v>
      </c>
      <c r="U14074" s="17"/>
      <c r="V14074" s="18">
        <f>821024261078</f>
        <v>821024261078</v>
      </c>
      <c r="W14074" t="s">
        <v>7614</v>
      </c>
    </row>
    <row r="14075" ht="15" customHeight="1" spans="1:22" x14ac:dyDescent="0.25">
      <c r="A14075" s="17" t="s">
        <v>38076</v>
      </c>
      <c r="B14075" s="17" t="s">
        <v>70</v>
      </c>
      <c r="C14075" s="17" t="s">
        <v>71</v>
      </c>
      <c r="D14075" t="s">
        <v>38077</v>
      </c>
      <c r="F14075" t="s">
        <v>7914</v>
      </c>
      <c r="K14075" s="18">
        <f>628113850244</f>
        <v>628113850244</v>
      </c>
      <c r="N14075" s="17" t="s">
        <v>77</v>
      </c>
      <c r="V14075" s="18">
        <f>628113850244</f>
        <v>628113850244</v>
      </c>
    </row>
    <row r="14076" ht="15" customHeight="1" spans="1:28" x14ac:dyDescent="0.25">
      <c r="A14076" s="17" t="s">
        <v>38078</v>
      </c>
      <c r="B14076" s="17" t="s">
        <v>70</v>
      </c>
      <c r="C14076" s="17" t="s">
        <v>71</v>
      </c>
      <c r="D14076" t="s">
        <v>38079</v>
      </c>
      <c r="F14076" t="s">
        <v>7914</v>
      </c>
      <c r="J14076" t="s">
        <v>115</v>
      </c>
      <c r="K14076" s="18" t="s">
        <v>38080</v>
      </c>
      <c r="N14076" s="17" t="s">
        <v>77</v>
      </c>
      <c r="O14076" t="s">
        <v>117</v>
      </c>
      <c r="U14076" s="17"/>
      <c r="V14076" s="18" t="s">
        <v>38080</v>
      </c>
      <c r="W14076" t="s">
        <v>38081</v>
      </c>
      <c r="Y14076" s="17" t="s">
        <v>7007</v>
      </c>
      <c r="AA14076" t="s">
        <v>115</v>
      </c>
      <c r="AB14076" t="s">
        <v>119</v>
      </c>
    </row>
    <row r="14077" ht="15" customHeight="1" spans="1:28" x14ac:dyDescent="0.25">
      <c r="A14077" s="17" t="s">
        <v>38082</v>
      </c>
      <c r="B14077" s="17" t="s">
        <v>70</v>
      </c>
      <c r="C14077" s="17" t="s">
        <v>71</v>
      </c>
      <c r="D14077" t="s">
        <v>38083</v>
      </c>
      <c r="F14077" t="s">
        <v>38083</v>
      </c>
      <c r="J14077" t="s">
        <v>115</v>
      </c>
      <c r="K14077" s="18" t="s">
        <v>38084</v>
      </c>
      <c r="N14077" s="17" t="s">
        <v>77</v>
      </c>
      <c r="O14077" t="s">
        <v>117</v>
      </c>
      <c r="V14077" s="18" t="s">
        <v>38084</v>
      </c>
      <c r="Y14077" t="s">
        <v>190</v>
      </c>
      <c r="AA14077" t="s">
        <v>118</v>
      </c>
      <c r="AB14077" t="s">
        <v>119</v>
      </c>
    </row>
    <row r="14078" ht="15" customHeight="1" spans="1:22" x14ac:dyDescent="0.25">
      <c r="A14078" s="17" t="s">
        <v>38085</v>
      </c>
      <c r="B14078" s="17" t="s">
        <v>70</v>
      </c>
      <c r="C14078" s="17" t="s">
        <v>71</v>
      </c>
      <c r="D14078" t="s">
        <v>38086</v>
      </c>
      <c r="F14078" t="s">
        <v>38087</v>
      </c>
      <c r="K14078" s="18">
        <f>62817200006</f>
        <v>62817200006</v>
      </c>
      <c r="N14078" s="17" t="s">
        <v>77</v>
      </c>
      <c r="V14078" s="18">
        <f>62817200006</f>
        <v>62817200006</v>
      </c>
    </row>
    <row r="14079" ht="15" customHeight="1" spans="1:22" x14ac:dyDescent="0.25">
      <c r="A14079" s="17" t="s">
        <v>38088</v>
      </c>
      <c r="B14079" s="17" t="s">
        <v>70</v>
      </c>
      <c r="C14079" s="17" t="s">
        <v>71</v>
      </c>
      <c r="D14079" t="s">
        <v>29091</v>
      </c>
      <c r="F14079" t="s">
        <v>29091</v>
      </c>
      <c r="K14079" s="18">
        <f>62818127185</f>
        <v>62818127185</v>
      </c>
      <c r="N14079" s="17" t="s">
        <v>77</v>
      </c>
      <c r="V14079" s="18">
        <f>62818127185</f>
        <v>62818127185</v>
      </c>
    </row>
    <row r="14080" ht="15" customHeight="1" spans="1:22" x14ac:dyDescent="0.25">
      <c r="A14080" s="17" t="s">
        <v>38089</v>
      </c>
      <c r="B14080" s="17" t="s">
        <v>70</v>
      </c>
      <c r="C14080" s="17" t="s">
        <v>71</v>
      </c>
      <c r="D14080" t="s">
        <v>38090</v>
      </c>
      <c r="F14080" t="s">
        <v>38090</v>
      </c>
      <c r="K14080" s="18">
        <f>6287832850905</f>
        <v>6287832850905</v>
      </c>
      <c r="N14080" s="17" t="s">
        <v>81</v>
      </c>
      <c r="V14080" s="18">
        <f>6287832850905</f>
        <v>6287832850905</v>
      </c>
    </row>
    <row r="14081" ht="15" customHeight="1" spans="1:22" x14ac:dyDescent="0.25">
      <c r="A14081" s="17" t="s">
        <v>38091</v>
      </c>
      <c r="B14081" s="17" t="s">
        <v>70</v>
      </c>
      <c r="C14081" s="17" t="s">
        <v>71</v>
      </c>
      <c r="D14081" t="s">
        <v>38092</v>
      </c>
      <c r="F14081" t="s">
        <v>9988</v>
      </c>
      <c r="K14081" s="18">
        <f>62811878539</f>
        <v>62811878539</v>
      </c>
      <c r="N14081" s="17" t="s">
        <v>77</v>
      </c>
      <c r="V14081" s="18">
        <f>62811878539</f>
        <v>62811878539</v>
      </c>
    </row>
    <row r="14082" ht="15" customHeight="1" spans="1:22" x14ac:dyDescent="0.25">
      <c r="A14082" s="17" t="s">
        <v>38093</v>
      </c>
      <c r="B14082" s="17" t="s">
        <v>70</v>
      </c>
      <c r="C14082" s="17" t="s">
        <v>71</v>
      </c>
      <c r="D14082" t="s">
        <v>38094</v>
      </c>
      <c r="F14082" t="s">
        <v>38095</v>
      </c>
      <c r="K14082" s="18">
        <f>6281366222220</f>
        <v>6281366222220</v>
      </c>
      <c r="N14082" s="17" t="s">
        <v>81</v>
      </c>
      <c r="V14082" s="18">
        <f>6281366222220</f>
        <v>6281366222220</v>
      </c>
    </row>
    <row r="14083" ht="15" customHeight="1" spans="1:25" x14ac:dyDescent="0.25">
      <c r="A14083" s="17" t="s">
        <v>38096</v>
      </c>
      <c r="B14083" s="17" t="s">
        <v>70</v>
      </c>
      <c r="C14083" s="17" t="s">
        <v>71</v>
      </c>
      <c r="D14083" t="s">
        <v>36732</v>
      </c>
      <c r="F14083" t="s">
        <v>37230</v>
      </c>
      <c r="J14083" s="17" t="s">
        <v>38097</v>
      </c>
      <c r="K14083" s="18">
        <f>6282371845999</f>
        <v>6282371845999</v>
      </c>
      <c r="N14083" s="17" t="s">
        <v>77</v>
      </c>
      <c r="V14083" s="18">
        <f>6282371845999</f>
        <v>6282371845999</v>
      </c>
      <c r="Y14083" s="17" t="s">
        <v>1707</v>
      </c>
    </row>
    <row r="14084" ht="15" customHeight="1" spans="1:23" x14ac:dyDescent="0.25">
      <c r="A14084" s="17" t="s">
        <v>38098</v>
      </c>
      <c r="B14084" s="17" t="s">
        <v>70</v>
      </c>
      <c r="C14084" s="17" t="s">
        <v>71</v>
      </c>
      <c r="D14084" t="s">
        <v>38099</v>
      </c>
      <c r="F14084" t="s">
        <v>3623</v>
      </c>
      <c r="K14084" s="18">
        <f>33668417190</f>
        <v>33668417190</v>
      </c>
      <c r="N14084" s="17" t="s">
        <v>77</v>
      </c>
      <c r="U14084" s="17"/>
      <c r="V14084" s="18">
        <f>33668417190</f>
        <v>33668417190</v>
      </c>
      <c r="W14084" t="s">
        <v>1908</v>
      </c>
    </row>
    <row r="14085" ht="15" customHeight="1" spans="1:22" x14ac:dyDescent="0.25">
      <c r="A14085" s="17" t="s">
        <v>38100</v>
      </c>
      <c r="B14085" s="17" t="s">
        <v>70</v>
      </c>
      <c r="C14085" s="17" t="s">
        <v>71</v>
      </c>
      <c r="D14085" t="s">
        <v>38101</v>
      </c>
      <c r="F14085" t="s">
        <v>38101</v>
      </c>
      <c r="K14085" s="18">
        <f>62816811686</f>
        <v>62816811686</v>
      </c>
      <c r="N14085" s="17" t="s">
        <v>77</v>
      </c>
      <c r="V14085" s="18">
        <f>62816811686</f>
        <v>62816811686</v>
      </c>
    </row>
    <row r="14086" ht="15" customHeight="1" spans="1:22" x14ac:dyDescent="0.25">
      <c r="A14086" s="17" t="s">
        <v>38102</v>
      </c>
      <c r="B14086" s="17" t="s">
        <v>70</v>
      </c>
      <c r="C14086" s="17" t="s">
        <v>71</v>
      </c>
      <c r="D14086" t="s">
        <v>38103</v>
      </c>
      <c r="F14086" t="s">
        <v>38104</v>
      </c>
      <c r="K14086" s="18">
        <f>62811697071</f>
        <v>62811697071</v>
      </c>
      <c r="N14086" s="17" t="s">
        <v>81</v>
      </c>
      <c r="V14086" s="18">
        <f>62811697071</f>
        <v>62811697071</v>
      </c>
    </row>
    <row r="14087" ht="15" customHeight="1" spans="1:23" x14ac:dyDescent="0.25">
      <c r="A14087" s="17" t="s">
        <v>38105</v>
      </c>
      <c r="B14087" s="17" t="s">
        <v>70</v>
      </c>
      <c r="C14087" s="17" t="s">
        <v>71</v>
      </c>
      <c r="D14087" t="s">
        <v>29579</v>
      </c>
      <c r="F14087" t="s">
        <v>6671</v>
      </c>
      <c r="J14087" s="17" t="s">
        <v>38106</v>
      </c>
      <c r="K14087" s="18">
        <f>6285285858981</f>
        <v>6285285858981</v>
      </c>
      <c r="N14087" s="17" t="s">
        <v>77</v>
      </c>
      <c r="U14087" s="17"/>
      <c r="V14087" s="18">
        <f>6285285858981</f>
        <v>6285285858981</v>
      </c>
      <c r="W14087" t="s">
        <v>38107</v>
      </c>
    </row>
    <row r="14088" ht="15" customHeight="1" spans="1:28" x14ac:dyDescent="0.25">
      <c r="A14088" s="17" t="s">
        <v>38108</v>
      </c>
      <c r="B14088" s="17" t="s">
        <v>70</v>
      </c>
      <c r="C14088" s="17" t="s">
        <v>71</v>
      </c>
      <c r="D14088" t="s">
        <v>29579</v>
      </c>
      <c r="F14088" t="s">
        <v>38109</v>
      </c>
      <c r="J14088" t="s">
        <v>115</v>
      </c>
      <c r="K14088" s="18" t="s">
        <v>38110</v>
      </c>
      <c r="N14088" s="17" t="s">
        <v>77</v>
      </c>
      <c r="O14088" t="s">
        <v>117</v>
      </c>
      <c r="V14088" s="18" t="s">
        <v>38110</v>
      </c>
      <c r="Y14088" t="s">
        <v>96</v>
      </c>
      <c r="AA14088" t="s">
        <v>693</v>
      </c>
      <c r="AB14088" t="s">
        <v>119</v>
      </c>
    </row>
    <row r="14089" ht="15" customHeight="1" spans="1:22" x14ac:dyDescent="0.25">
      <c r="A14089" s="17" t="s">
        <v>38111</v>
      </c>
      <c r="B14089" s="17" t="s">
        <v>70</v>
      </c>
      <c r="C14089" s="17" t="s">
        <v>71</v>
      </c>
      <c r="D14089" t="s">
        <v>38112</v>
      </c>
      <c r="F14089" t="s">
        <v>38112</v>
      </c>
      <c r="K14089" s="18">
        <f>620000</f>
        <v>620000</v>
      </c>
      <c r="N14089" s="17" t="s">
        <v>81</v>
      </c>
      <c r="V14089" s="18">
        <f>620000</f>
        <v>620000</v>
      </c>
    </row>
    <row r="14090" ht="15" customHeight="1" spans="1:28" x14ac:dyDescent="0.25">
      <c r="A14090" s="17" t="s">
        <v>38113</v>
      </c>
      <c r="B14090" s="17" t="s">
        <v>70</v>
      </c>
      <c r="C14090" s="17" t="s">
        <v>71</v>
      </c>
      <c r="D14090" t="s">
        <v>38112</v>
      </c>
      <c r="F14090" t="s">
        <v>38114</v>
      </c>
      <c r="J14090" s="17" t="s">
        <v>38115</v>
      </c>
      <c r="K14090" s="18" t="s">
        <v>38116</v>
      </c>
      <c r="N14090" s="17" t="s">
        <v>74</v>
      </c>
      <c r="O14090" t="s">
        <v>489</v>
      </c>
      <c r="U14090" s="17"/>
      <c r="V14090" s="18" t="s">
        <v>38116</v>
      </c>
      <c r="W14090" t="s">
        <v>38117</v>
      </c>
      <c r="Y14090" s="17" t="s">
        <v>1084</v>
      </c>
      <c r="AA14090" t="s">
        <v>3146</v>
      </c>
      <c r="AB14090" t="s">
        <v>119</v>
      </c>
    </row>
    <row r="14091" ht="15" customHeight="1" spans="1:27" x14ac:dyDescent="0.25">
      <c r="A14091" s="17" t="s">
        <v>38118</v>
      </c>
      <c r="B14091" s="17" t="s">
        <v>70</v>
      </c>
      <c r="C14091" s="17" t="s">
        <v>71</v>
      </c>
      <c r="D14091" t="s">
        <v>38119</v>
      </c>
      <c r="F14091" t="s">
        <v>4233</v>
      </c>
      <c r="K14091" s="18">
        <f>62816756375</f>
        <v>62816756375</v>
      </c>
      <c r="N14091" s="17" t="s">
        <v>77</v>
      </c>
      <c r="U14091" s="17"/>
      <c r="V14091" s="18">
        <f>62816756375</f>
        <v>62816756375</v>
      </c>
      <c r="W14091" t="s">
        <v>38120</v>
      </c>
      <c r="Y14091" s="17" t="s">
        <v>378</v>
      </c>
      <c r="AA14091" s="17" t="s">
        <v>38121</v>
      </c>
    </row>
    <row r="14092" ht="15" customHeight="1" spans="1:28" x14ac:dyDescent="0.25">
      <c r="A14092" s="17" t="s">
        <v>38122</v>
      </c>
      <c r="B14092" s="17" t="s">
        <v>70</v>
      </c>
      <c r="C14092" s="17" t="s">
        <v>71</v>
      </c>
      <c r="D14092" t="s">
        <v>38123</v>
      </c>
      <c r="F14092" t="s">
        <v>38124</v>
      </c>
      <c r="J14092" t="s">
        <v>115</v>
      </c>
      <c r="K14092" s="18" t="s">
        <v>38125</v>
      </c>
      <c r="N14092" s="17" t="s">
        <v>77</v>
      </c>
      <c r="O14092" t="s">
        <v>145</v>
      </c>
      <c r="V14092" s="18" t="s">
        <v>38125</v>
      </c>
      <c r="Y14092" t="s">
        <v>190</v>
      </c>
      <c r="AA14092" t="s">
        <v>118</v>
      </c>
      <c r="AB14092" t="s">
        <v>119</v>
      </c>
    </row>
    <row r="14093" ht="15" customHeight="1" spans="1:28" x14ac:dyDescent="0.25">
      <c r="A14093" s="17" t="s">
        <v>38126</v>
      </c>
      <c r="B14093" s="17" t="s">
        <v>70</v>
      </c>
      <c r="C14093" s="17" t="s">
        <v>71</v>
      </c>
      <c r="D14093" t="s">
        <v>11291</v>
      </c>
      <c r="F14093" t="s">
        <v>25942</v>
      </c>
      <c r="J14093" t="s">
        <v>115</v>
      </c>
      <c r="K14093" s="18" t="s">
        <v>38127</v>
      </c>
      <c r="N14093" s="17" t="s">
        <v>77</v>
      </c>
      <c r="O14093" t="s">
        <v>145</v>
      </c>
      <c r="V14093" s="18" t="s">
        <v>38127</v>
      </c>
      <c r="Y14093" t="s">
        <v>190</v>
      </c>
      <c r="AA14093" t="s">
        <v>118</v>
      </c>
      <c r="AB14093" t="s">
        <v>119</v>
      </c>
    </row>
    <row r="14094" ht="15" customHeight="1" spans="1:22" x14ac:dyDescent="0.25">
      <c r="A14094" s="17" t="s">
        <v>38128</v>
      </c>
      <c r="B14094" s="17" t="s">
        <v>70</v>
      </c>
      <c r="C14094" s="17" t="s">
        <v>71</v>
      </c>
      <c r="D14094" t="s">
        <v>11291</v>
      </c>
      <c r="F14094" t="s">
        <v>38129</v>
      </c>
      <c r="K14094" s="18">
        <f>628126436777</f>
        <v>628126436777</v>
      </c>
      <c r="N14094" s="17" t="s">
        <v>81</v>
      </c>
      <c r="V14094" s="18">
        <f>628126436777</f>
        <v>628126436777</v>
      </c>
    </row>
    <row r="14095" ht="15" customHeight="1" spans="1:22" x14ac:dyDescent="0.25">
      <c r="A14095" s="17" t="s">
        <v>38130</v>
      </c>
      <c r="B14095" s="17" t="s">
        <v>70</v>
      </c>
      <c r="C14095" s="17" t="s">
        <v>71</v>
      </c>
      <c r="D14095" t="s">
        <v>38131</v>
      </c>
      <c r="F14095" t="s">
        <v>618</v>
      </c>
      <c r="K14095" s="18">
        <f>62816703807</f>
        <v>62816703807</v>
      </c>
      <c r="N14095" s="17" t="s">
        <v>77</v>
      </c>
      <c r="V14095" s="18">
        <f>62816703807</f>
        <v>62816703807</v>
      </c>
    </row>
    <row r="14096" ht="15" customHeight="1" spans="1:22" x14ac:dyDescent="0.25">
      <c r="A14096" s="17" t="s">
        <v>38132</v>
      </c>
      <c r="B14096" s="17" t="s">
        <v>70</v>
      </c>
      <c r="C14096" s="17" t="s">
        <v>71</v>
      </c>
      <c r="D14096" t="s">
        <v>38133</v>
      </c>
      <c r="F14096" t="s">
        <v>38134</v>
      </c>
      <c r="K14096" s="18">
        <f>6281382264547</f>
        <v>6281382264547</v>
      </c>
      <c r="N14096" s="17" t="s">
        <v>74</v>
      </c>
      <c r="V14096" s="18">
        <f>6281382264547</f>
        <v>6281382264547</v>
      </c>
    </row>
    <row r="14097" ht="15" customHeight="1" spans="1:23" x14ac:dyDescent="0.25">
      <c r="A14097" s="17" t="s">
        <v>38135</v>
      </c>
      <c r="B14097" s="17" t="s">
        <v>70</v>
      </c>
      <c r="C14097" s="17" t="s">
        <v>71</v>
      </c>
      <c r="D14097" t="s">
        <v>38136</v>
      </c>
      <c r="F14097" t="s">
        <v>38136</v>
      </c>
      <c r="K14097" s="18">
        <f>628128896999</f>
        <v>628128896999</v>
      </c>
      <c r="N14097" s="17" t="s">
        <v>77</v>
      </c>
      <c r="U14097" s="17"/>
      <c r="V14097" s="18">
        <f>628128896999</f>
        <v>628128896999</v>
      </c>
      <c r="W14097" t="s">
        <v>38137</v>
      </c>
    </row>
    <row r="14098" ht="15" customHeight="1" spans="1:22" x14ac:dyDescent="0.25">
      <c r="A14098" s="17" t="s">
        <v>38138</v>
      </c>
      <c r="B14098" s="17" t="s">
        <v>70</v>
      </c>
      <c r="C14098" s="17" t="s">
        <v>71</v>
      </c>
      <c r="D14098" t="s">
        <v>38139</v>
      </c>
      <c r="F14098" t="s">
        <v>38139</v>
      </c>
      <c r="K14098" s="18">
        <f>6287883392076</f>
        <v>6287883392076</v>
      </c>
      <c r="N14098" s="17" t="s">
        <v>74</v>
      </c>
      <c r="V14098" s="18">
        <f>6287883392076</f>
        <v>6287883392076</v>
      </c>
    </row>
    <row r="14099" ht="15" customHeight="1" spans="1:22" x14ac:dyDescent="0.25">
      <c r="A14099" s="17" t="s">
        <v>38140</v>
      </c>
      <c r="B14099" s="17" t="s">
        <v>70</v>
      </c>
      <c r="C14099" s="17" t="s">
        <v>71</v>
      </c>
      <c r="D14099" t="s">
        <v>38139</v>
      </c>
      <c r="F14099" t="s">
        <v>38139</v>
      </c>
      <c r="K14099" s="18">
        <f>62811978588</f>
        <v>62811978588</v>
      </c>
      <c r="N14099" s="17" t="s">
        <v>74</v>
      </c>
      <c r="V14099" s="18">
        <f>62811978588</f>
        <v>62811978588</v>
      </c>
    </row>
    <row r="14100" ht="15" customHeight="1" spans="1:22" x14ac:dyDescent="0.25">
      <c r="A14100" s="17" t="s">
        <v>38141</v>
      </c>
      <c r="B14100" s="17" t="s">
        <v>70</v>
      </c>
      <c r="C14100" s="17" t="s">
        <v>71</v>
      </c>
      <c r="D14100" t="s">
        <v>38142</v>
      </c>
      <c r="F14100" t="s">
        <v>38142</v>
      </c>
      <c r="K14100" s="18">
        <f>62817097398</f>
        <v>62817097398</v>
      </c>
      <c r="N14100" s="17" t="s">
        <v>77</v>
      </c>
      <c r="V14100" s="18">
        <f>62817097398</f>
        <v>62817097398</v>
      </c>
    </row>
    <row r="14101" ht="15" customHeight="1" spans="1:22" x14ac:dyDescent="0.25">
      <c r="A14101" s="17" t="s">
        <v>38143</v>
      </c>
      <c r="B14101" s="17" t="s">
        <v>70</v>
      </c>
      <c r="C14101" s="17" t="s">
        <v>71</v>
      </c>
      <c r="D14101" t="s">
        <v>9806</v>
      </c>
      <c r="F14101" t="s">
        <v>38144</v>
      </c>
      <c r="K14101" s="18">
        <f>628121007400</f>
        <v>628121007400</v>
      </c>
      <c r="N14101" s="17" t="s">
        <v>81</v>
      </c>
      <c r="V14101" s="18">
        <f>628121007400</f>
        <v>628121007400</v>
      </c>
    </row>
    <row r="14102" ht="15" customHeight="1" spans="1:22" x14ac:dyDescent="0.25">
      <c r="A14102" s="17" t="s">
        <v>38145</v>
      </c>
      <c r="B14102" s="17" t="s">
        <v>70</v>
      </c>
      <c r="C14102" s="17" t="s">
        <v>71</v>
      </c>
      <c r="D14102" t="s">
        <v>38146</v>
      </c>
      <c r="F14102" t="s">
        <v>38147</v>
      </c>
      <c r="K14102" s="18">
        <f>628161811346</f>
        <v>628161811346</v>
      </c>
      <c r="N14102" s="17" t="s">
        <v>77</v>
      </c>
      <c r="V14102" s="18">
        <f>628161811346</f>
        <v>628161811346</v>
      </c>
    </row>
    <row r="14103" ht="15" customHeight="1" spans="1:25" x14ac:dyDescent="0.25">
      <c r="A14103" s="17" t="s">
        <v>38148</v>
      </c>
      <c r="B14103" s="17" t="s">
        <v>70</v>
      </c>
      <c r="C14103" s="17" t="s">
        <v>71</v>
      </c>
      <c r="D14103" t="s">
        <v>38149</v>
      </c>
      <c r="F14103" t="s">
        <v>38147</v>
      </c>
      <c r="K14103" s="18">
        <f>628161811348</f>
        <v>628161811348</v>
      </c>
      <c r="N14103" s="17" t="s">
        <v>77</v>
      </c>
      <c r="U14103" s="17"/>
      <c r="V14103" s="18">
        <f>628161811348</f>
        <v>628161811348</v>
      </c>
      <c r="W14103" t="s">
        <v>38150</v>
      </c>
      <c r="Y14103" s="17" t="s">
        <v>22508</v>
      </c>
    </row>
    <row r="14104" ht="15" customHeight="1" spans="1:25" x14ac:dyDescent="0.25">
      <c r="A14104" s="17" t="s">
        <v>38151</v>
      </c>
      <c r="B14104" s="17" t="s">
        <v>70</v>
      </c>
      <c r="C14104" s="17" t="s">
        <v>71</v>
      </c>
      <c r="D14104" t="s">
        <v>38152</v>
      </c>
      <c r="F14104" t="s">
        <v>38152</v>
      </c>
      <c r="K14104" s="18">
        <f>62816938327</f>
        <v>62816938327</v>
      </c>
      <c r="N14104" s="17" t="s">
        <v>74</v>
      </c>
      <c r="U14104" s="17"/>
      <c r="V14104" s="18">
        <f>62816938327</f>
        <v>62816938327</v>
      </c>
      <c r="W14104" t="s">
        <v>38153</v>
      </c>
      <c r="Y14104" s="17" t="s">
        <v>378</v>
      </c>
    </row>
    <row r="14105" ht="15" customHeight="1" spans="1:28" x14ac:dyDescent="0.25">
      <c r="A14105" s="17" t="s">
        <v>38154</v>
      </c>
      <c r="B14105" s="17" t="s">
        <v>70</v>
      </c>
      <c r="C14105" s="17" t="s">
        <v>71</v>
      </c>
      <c r="D14105" t="s">
        <v>38155</v>
      </c>
      <c r="F14105" t="s">
        <v>301</v>
      </c>
      <c r="J14105" s="17" t="s">
        <v>38156</v>
      </c>
      <c r="K14105" s="18" t="s">
        <v>38157</v>
      </c>
      <c r="N14105" s="17" t="s">
        <v>77</v>
      </c>
      <c r="O14105" t="s">
        <v>117</v>
      </c>
      <c r="U14105" s="17"/>
      <c r="V14105" s="18" t="s">
        <v>38157</v>
      </c>
      <c r="W14105" t="s">
        <v>38158</v>
      </c>
      <c r="Y14105" t="s">
        <v>115</v>
      </c>
      <c r="AA14105" t="s">
        <v>115</v>
      </c>
      <c r="AB14105" t="s">
        <v>119</v>
      </c>
    </row>
    <row r="14106" ht="15" customHeight="1" spans="1:22" x14ac:dyDescent="0.25">
      <c r="A14106" s="17" t="s">
        <v>38159</v>
      </c>
      <c r="B14106" s="17" t="s">
        <v>70</v>
      </c>
      <c r="C14106" s="17" t="s">
        <v>71</v>
      </c>
      <c r="D14106" t="s">
        <v>4121</v>
      </c>
      <c r="F14106" t="s">
        <v>4121</v>
      </c>
      <c r="K14106" s="18">
        <f>628388888789</f>
        <v>628388888789</v>
      </c>
      <c r="N14106" s="17" t="s">
        <v>77</v>
      </c>
      <c r="V14106" s="18">
        <f>628388888789</f>
        <v>628388888789</v>
      </c>
    </row>
    <row r="14107" ht="15" customHeight="1" spans="1:22" x14ac:dyDescent="0.25">
      <c r="A14107" s="17" t="s">
        <v>38160</v>
      </c>
      <c r="B14107" s="17" t="s">
        <v>70</v>
      </c>
      <c r="C14107" s="17" t="s">
        <v>71</v>
      </c>
      <c r="D14107" t="s">
        <v>4121</v>
      </c>
      <c r="F14107" t="s">
        <v>38161</v>
      </c>
      <c r="J14107" s="17" t="s">
        <v>38162</v>
      </c>
      <c r="K14107" s="18">
        <f>62811968109</f>
        <v>62811968109</v>
      </c>
      <c r="N14107" s="17" t="s">
        <v>77</v>
      </c>
      <c r="V14107" s="18">
        <f>62811968109</f>
        <v>62811968109</v>
      </c>
    </row>
    <row r="14108" ht="15" customHeight="1" spans="1:22" x14ac:dyDescent="0.25">
      <c r="A14108" s="17" t="s">
        <v>38163</v>
      </c>
      <c r="B14108" s="17" t="s">
        <v>70</v>
      </c>
      <c r="C14108" s="17" t="s">
        <v>71</v>
      </c>
      <c r="D14108" t="s">
        <v>4121</v>
      </c>
      <c r="F14108" t="s">
        <v>38164</v>
      </c>
      <c r="K14108" s="18">
        <f>628111155886</f>
        <v>628111155886</v>
      </c>
      <c r="N14108" s="17" t="s">
        <v>77</v>
      </c>
      <c r="V14108" s="18">
        <f>628111155886</f>
        <v>628111155886</v>
      </c>
    </row>
    <row r="14109" ht="15" customHeight="1" spans="1:22" x14ac:dyDescent="0.25">
      <c r="A14109" s="17" t="s">
        <v>38165</v>
      </c>
      <c r="B14109" s="17" t="s">
        <v>70</v>
      </c>
      <c r="C14109" s="17" t="s">
        <v>71</v>
      </c>
      <c r="D14109" t="s">
        <v>38166</v>
      </c>
      <c r="F14109" t="s">
        <v>35943</v>
      </c>
      <c r="K14109" s="18">
        <f>6281285811811</f>
        <v>6281285811811</v>
      </c>
      <c r="N14109" s="17" t="s">
        <v>81</v>
      </c>
      <c r="V14109" s="18">
        <f>6281285811811</f>
        <v>6281285811811</v>
      </c>
    </row>
    <row r="14110" ht="15" customHeight="1" spans="1:23" x14ac:dyDescent="0.25">
      <c r="A14110" s="17" t="s">
        <v>38167</v>
      </c>
      <c r="B14110" s="17" t="s">
        <v>70</v>
      </c>
      <c r="C14110" s="17" t="s">
        <v>71</v>
      </c>
      <c r="D14110" t="s">
        <v>38168</v>
      </c>
      <c r="F14110" t="s">
        <v>1754</v>
      </c>
      <c r="K14110" s="18">
        <f>6281221957148</f>
        <v>6281221957148</v>
      </c>
      <c r="N14110" s="17" t="s">
        <v>77</v>
      </c>
      <c r="U14110" s="17"/>
      <c r="V14110" s="18">
        <f>6281221957148</f>
        <v>6281221957148</v>
      </c>
      <c r="W14110" t="s">
        <v>38169</v>
      </c>
    </row>
    <row r="14111" ht="15" customHeight="1" spans="1:28" x14ac:dyDescent="0.25">
      <c r="A14111" s="17" t="s">
        <v>38170</v>
      </c>
      <c r="B14111" s="17" t="s">
        <v>70</v>
      </c>
      <c r="C14111" s="17" t="s">
        <v>71</v>
      </c>
      <c r="D14111" t="s">
        <v>38171</v>
      </c>
      <c r="F14111" t="s">
        <v>38172</v>
      </c>
      <c r="J14111" t="s">
        <v>115</v>
      </c>
      <c r="K14111" s="18" t="s">
        <v>38173</v>
      </c>
      <c r="N14111" s="17" t="s">
        <v>74</v>
      </c>
      <c r="O14111" t="s">
        <v>199</v>
      </c>
      <c r="U14111" s="17"/>
      <c r="V14111" s="18" t="s">
        <v>38173</v>
      </c>
      <c r="W14111" t="s">
        <v>38174</v>
      </c>
      <c r="Y14111" s="17" t="s">
        <v>90</v>
      </c>
      <c r="AA14111" t="s">
        <v>118</v>
      </c>
      <c r="AB14111" t="s">
        <v>119</v>
      </c>
    </row>
    <row r="14112" ht="15" customHeight="1" spans="1:23" x14ac:dyDescent="0.25">
      <c r="A14112" s="17" t="s">
        <v>38175</v>
      </c>
      <c r="B14112" s="17" t="s">
        <v>70</v>
      </c>
      <c r="C14112" s="17" t="s">
        <v>71</v>
      </c>
      <c r="D14112" t="s">
        <v>38176</v>
      </c>
      <c r="F14112" t="s">
        <v>38177</v>
      </c>
      <c r="K14112" s="18">
        <f>966503411315</f>
        <v>966503411315</v>
      </c>
      <c r="N14112" s="17" t="s">
        <v>77</v>
      </c>
      <c r="U14112" s="17"/>
      <c r="V14112" s="18">
        <f>966503411315</f>
        <v>966503411315</v>
      </c>
      <c r="W14112" t="s">
        <v>251</v>
      </c>
    </row>
    <row r="14113" ht="15" customHeight="1" spans="1:22" x14ac:dyDescent="0.25">
      <c r="A14113" s="17" t="s">
        <v>38178</v>
      </c>
      <c r="B14113" s="17" t="s">
        <v>70</v>
      </c>
      <c r="C14113" s="17" t="s">
        <v>71</v>
      </c>
      <c r="D14113" t="s">
        <v>38176</v>
      </c>
      <c r="F14113" t="s">
        <v>4616</v>
      </c>
      <c r="K14113" s="18">
        <f>6019264377</f>
        <v>6019264377</v>
      </c>
      <c r="N14113" s="17" t="s">
        <v>77</v>
      </c>
      <c r="V14113" s="18">
        <f>6019264377</f>
        <v>6019264377</v>
      </c>
    </row>
    <row r="14114" ht="15" customHeight="1" spans="1:22" x14ac:dyDescent="0.25">
      <c r="A14114" s="17" t="s">
        <v>38179</v>
      </c>
      <c r="B14114" s="17" t="s">
        <v>70</v>
      </c>
      <c r="C14114" s="17" t="s">
        <v>71</v>
      </c>
      <c r="D14114" t="s">
        <v>38176</v>
      </c>
      <c r="F14114" t="s">
        <v>38180</v>
      </c>
      <c r="K14114" s="18">
        <f>628113855524</f>
        <v>628113855524</v>
      </c>
      <c r="N14114" s="17" t="s">
        <v>77</v>
      </c>
      <c r="V14114" s="18">
        <f>628113855524</f>
        <v>628113855524</v>
      </c>
    </row>
    <row r="14115" ht="15" customHeight="1" spans="1:28" x14ac:dyDescent="0.25">
      <c r="A14115" s="17" t="s">
        <v>38181</v>
      </c>
      <c r="B14115" s="17" t="s">
        <v>70</v>
      </c>
      <c r="C14115" s="17" t="s">
        <v>71</v>
      </c>
      <c r="D14115" t="s">
        <v>38182</v>
      </c>
      <c r="F14115" t="s">
        <v>38182</v>
      </c>
      <c r="J14115" t="s">
        <v>38183</v>
      </c>
      <c r="K14115" s="18" t="s">
        <v>38184</v>
      </c>
      <c r="N14115" s="17" t="s">
        <v>81</v>
      </c>
      <c r="O14115" t="s">
        <v>117</v>
      </c>
      <c r="U14115" s="17"/>
      <c r="V14115" s="18" t="s">
        <v>38184</v>
      </c>
      <c r="W14115" t="s">
        <v>38185</v>
      </c>
      <c r="Y14115" t="s">
        <v>567</v>
      </c>
      <c r="AA14115" t="s">
        <v>2291</v>
      </c>
      <c r="AB14115" t="s">
        <v>119</v>
      </c>
    </row>
    <row r="14116" ht="15" customHeight="1" spans="1:22" x14ac:dyDescent="0.25">
      <c r="A14116" s="17" t="s">
        <v>38186</v>
      </c>
      <c r="B14116" s="17" t="s">
        <v>70</v>
      </c>
      <c r="C14116" s="17" t="s">
        <v>71</v>
      </c>
      <c r="D14116" t="s">
        <v>38187</v>
      </c>
      <c r="F14116" t="s">
        <v>38187</v>
      </c>
      <c r="K14116" s="18">
        <f>6281222710008</f>
        <v>6281222710008</v>
      </c>
      <c r="N14116" s="17" t="s">
        <v>77</v>
      </c>
      <c r="V14116" s="18">
        <f>6281222710008</f>
        <v>6281222710008</v>
      </c>
    </row>
    <row r="14117" ht="15" customHeight="1" spans="1:23" x14ac:dyDescent="0.25">
      <c r="A14117" s="17" t="s">
        <v>38188</v>
      </c>
      <c r="B14117" s="17" t="s">
        <v>70</v>
      </c>
      <c r="C14117" s="17" t="s">
        <v>71</v>
      </c>
      <c r="D14117" t="s">
        <v>38189</v>
      </c>
      <c r="F14117" t="s">
        <v>38189</v>
      </c>
      <c r="K14117" s="18">
        <f>62217201160</f>
        <v>62217201160</v>
      </c>
      <c r="N14117" s="17" t="s">
        <v>74</v>
      </c>
      <c r="U14117" s="17"/>
      <c r="V14117" s="18">
        <f>62217201160</f>
        <v>62217201160</v>
      </c>
      <c r="W14117" t="s">
        <v>38190</v>
      </c>
    </row>
    <row r="14118" ht="15" customHeight="1" spans="1:23" x14ac:dyDescent="0.25">
      <c r="A14118" s="17" t="s">
        <v>38191</v>
      </c>
      <c r="B14118" s="17" t="s">
        <v>70</v>
      </c>
      <c r="C14118" s="17" t="s">
        <v>71</v>
      </c>
      <c r="D14118" t="s">
        <v>38189</v>
      </c>
      <c r="F14118" t="s">
        <v>38189</v>
      </c>
      <c r="K14118" s="18">
        <f>628578100008</f>
        <v>628578100008</v>
      </c>
      <c r="N14118" s="17" t="s">
        <v>77</v>
      </c>
      <c r="U14118" s="17"/>
      <c r="V14118" s="18">
        <f>628578100008</f>
        <v>628578100008</v>
      </c>
      <c r="W14118" t="s">
        <v>38192</v>
      </c>
    </row>
    <row r="14119" ht="15" customHeight="1" spans="1:28" x14ac:dyDescent="0.25">
      <c r="A14119" s="17" t="s">
        <v>38193</v>
      </c>
      <c r="B14119" s="17" t="s">
        <v>70</v>
      </c>
      <c r="C14119" s="17" t="s">
        <v>71</v>
      </c>
      <c r="D14119" t="s">
        <v>38194</v>
      </c>
      <c r="F14119" t="s">
        <v>38194</v>
      </c>
      <c r="J14119" t="s">
        <v>115</v>
      </c>
      <c r="K14119" s="18" t="s">
        <v>38195</v>
      </c>
      <c r="N14119" s="17" t="s">
        <v>77</v>
      </c>
      <c r="O14119" t="s">
        <v>199</v>
      </c>
      <c r="V14119" s="18" t="s">
        <v>38195</v>
      </c>
      <c r="Y14119" t="s">
        <v>90</v>
      </c>
      <c r="AA14119" t="s">
        <v>118</v>
      </c>
      <c r="AB14119" t="s">
        <v>119</v>
      </c>
    </row>
    <row r="14120" ht="15" customHeight="1" spans="1:22" x14ac:dyDescent="0.25">
      <c r="A14120" s="17" t="s">
        <v>38196</v>
      </c>
      <c r="B14120" s="17" t="s">
        <v>70</v>
      </c>
      <c r="C14120" s="17" t="s">
        <v>71</v>
      </c>
      <c r="D14120" t="s">
        <v>3735</v>
      </c>
      <c r="F14120" t="s">
        <v>3735</v>
      </c>
      <c r="K14120" s="18">
        <f>62816788123</f>
        <v>62816788123</v>
      </c>
      <c r="N14120" s="17" t="s">
        <v>77</v>
      </c>
      <c r="V14120" s="18">
        <f>62816788123</f>
        <v>62816788123</v>
      </c>
    </row>
    <row r="14121" ht="15" customHeight="1" spans="1:28" x14ac:dyDescent="0.25">
      <c r="A14121" s="17" t="s">
        <v>38197</v>
      </c>
      <c r="B14121" s="17" t="s">
        <v>70</v>
      </c>
      <c r="C14121" s="17" t="s">
        <v>71</v>
      </c>
      <c r="D14121" t="s">
        <v>20853</v>
      </c>
      <c r="F14121" t="s">
        <v>3450</v>
      </c>
      <c r="J14121" t="s">
        <v>115</v>
      </c>
      <c r="K14121" s="18" t="s">
        <v>38198</v>
      </c>
      <c r="N14121" s="17" t="s">
        <v>77</v>
      </c>
      <c r="O14121" t="s">
        <v>145</v>
      </c>
      <c r="U14121" s="17"/>
      <c r="V14121" s="18" t="s">
        <v>38198</v>
      </c>
      <c r="W14121" t="s">
        <v>38199</v>
      </c>
      <c r="Y14121" s="17" t="s">
        <v>378</v>
      </c>
      <c r="AA14121" t="s">
        <v>115</v>
      </c>
      <c r="AB14121" t="s">
        <v>119</v>
      </c>
    </row>
    <row r="14122" ht="15" customHeight="1" spans="1:25" x14ac:dyDescent="0.25">
      <c r="A14122" s="17" t="s">
        <v>38200</v>
      </c>
      <c r="B14122" s="17" t="s">
        <v>70</v>
      </c>
      <c r="C14122" s="17" t="s">
        <v>71</v>
      </c>
      <c r="D14122" t="s">
        <v>38201</v>
      </c>
      <c r="F14122" t="s">
        <v>38201</v>
      </c>
      <c r="K14122" s="18">
        <f>62817888271</f>
        <v>62817888271</v>
      </c>
      <c r="N14122" s="17" t="s">
        <v>77</v>
      </c>
      <c r="U14122" s="17"/>
      <c r="V14122" s="18">
        <f>62817888271</f>
        <v>62817888271</v>
      </c>
      <c r="W14122" t="s">
        <v>38202</v>
      </c>
      <c r="Y14122" s="17" t="s">
        <v>90</v>
      </c>
    </row>
    <row r="14123" ht="15" customHeight="1" spans="1:23" x14ac:dyDescent="0.25">
      <c r="A14123" s="17" t="s">
        <v>38203</v>
      </c>
      <c r="B14123" s="17" t="s">
        <v>70</v>
      </c>
      <c r="C14123" s="17" t="s">
        <v>71</v>
      </c>
      <c r="D14123" t="s">
        <v>33966</v>
      </c>
      <c r="F14123" t="s">
        <v>764</v>
      </c>
      <c r="K14123" s="18">
        <f>62816773228</f>
        <v>62816773228</v>
      </c>
      <c r="N14123" s="17" t="s">
        <v>77</v>
      </c>
      <c r="U14123" s="17"/>
      <c r="V14123" s="18">
        <f>62816773228</f>
        <v>62816773228</v>
      </c>
      <c r="W14123" t="s">
        <v>38204</v>
      </c>
    </row>
    <row r="14124" ht="15" customHeight="1" spans="1:22" x14ac:dyDescent="0.25">
      <c r="A14124" s="17" t="s">
        <v>38205</v>
      </c>
      <c r="B14124" s="17" t="s">
        <v>70</v>
      </c>
      <c r="C14124" s="17" t="s">
        <v>71</v>
      </c>
      <c r="D14124" t="s">
        <v>38206</v>
      </c>
      <c r="F14124" t="s">
        <v>38206</v>
      </c>
      <c r="K14124" s="18">
        <f>628129223523</f>
        <v>628129223523</v>
      </c>
      <c r="N14124" s="17" t="s">
        <v>81</v>
      </c>
      <c r="V14124" s="18">
        <f>628129223523</f>
        <v>628129223523</v>
      </c>
    </row>
    <row r="14125" ht="15" customHeight="1" spans="1:22" x14ac:dyDescent="0.25">
      <c r="A14125" s="17" t="s">
        <v>38207</v>
      </c>
      <c r="B14125" s="17" t="s">
        <v>70</v>
      </c>
      <c r="C14125" s="17" t="s">
        <v>71</v>
      </c>
      <c r="D14125" t="s">
        <v>38208</v>
      </c>
      <c r="F14125" t="s">
        <v>38208</v>
      </c>
      <c r="K14125" s="18">
        <f>62818155372</f>
        <v>62818155372</v>
      </c>
      <c r="N14125" s="17" t="s">
        <v>81</v>
      </c>
      <c r="V14125" s="18">
        <f>62818155372</f>
        <v>62818155372</v>
      </c>
    </row>
    <row r="14126" ht="15" customHeight="1" spans="1:22" x14ac:dyDescent="0.25">
      <c r="A14126" s="17" t="s">
        <v>38209</v>
      </c>
      <c r="B14126" s="17" t="s">
        <v>70</v>
      </c>
      <c r="C14126" s="17" t="s">
        <v>71</v>
      </c>
      <c r="D14126" t="s">
        <v>38210</v>
      </c>
      <c r="F14126" t="s">
        <v>38211</v>
      </c>
      <c r="K14126" s="18">
        <f>62811189228</f>
        <v>62811189228</v>
      </c>
      <c r="N14126" s="17" t="s">
        <v>81</v>
      </c>
      <c r="V14126" s="18">
        <f>62811189228</f>
        <v>62811189228</v>
      </c>
    </row>
    <row r="14127" ht="15" customHeight="1" spans="1:22" x14ac:dyDescent="0.25">
      <c r="A14127" s="17" t="s">
        <v>38212</v>
      </c>
      <c r="B14127" s="17" t="s">
        <v>70</v>
      </c>
      <c r="C14127" s="17" t="s">
        <v>71</v>
      </c>
      <c r="D14127" t="s">
        <v>38213</v>
      </c>
      <c r="F14127" t="s">
        <v>2178</v>
      </c>
      <c r="K14127" s="18">
        <f>62811197682</f>
        <v>62811197682</v>
      </c>
      <c r="N14127" s="17" t="s">
        <v>77</v>
      </c>
      <c r="V14127" s="18">
        <f>62811197682</f>
        <v>62811197682</v>
      </c>
    </row>
    <row r="14128" ht="15" customHeight="1" spans="1:22" x14ac:dyDescent="0.25">
      <c r="A14128" s="17" t="s">
        <v>38214</v>
      </c>
      <c r="B14128" s="17" t="s">
        <v>70</v>
      </c>
      <c r="C14128" s="17" t="s">
        <v>71</v>
      </c>
      <c r="D14128" t="s">
        <v>38215</v>
      </c>
      <c r="F14128" t="s">
        <v>1086</v>
      </c>
      <c r="K14128" s="18">
        <f>628113408899</f>
        <v>628113408899</v>
      </c>
      <c r="N14128" s="17" t="s">
        <v>77</v>
      </c>
      <c r="V14128" s="18">
        <f>628113408899</f>
        <v>628113408899</v>
      </c>
    </row>
    <row r="14129" ht="15" customHeight="1" spans="1:22" x14ac:dyDescent="0.25">
      <c r="A14129" s="17" t="s">
        <v>38216</v>
      </c>
      <c r="B14129" s="17" t="s">
        <v>70</v>
      </c>
      <c r="C14129" s="17" t="s">
        <v>71</v>
      </c>
      <c r="D14129" t="s">
        <v>38217</v>
      </c>
      <c r="F14129" t="s">
        <v>38217</v>
      </c>
      <c r="K14129" s="18">
        <f>628129999917</f>
        <v>628129999917</v>
      </c>
      <c r="N14129" s="17" t="s">
        <v>77</v>
      </c>
      <c r="V14129" s="18">
        <f>628129999917</f>
        <v>628129999917</v>
      </c>
    </row>
    <row r="14130" ht="15" customHeight="1" spans="1:22" x14ac:dyDescent="0.25">
      <c r="A14130" s="17" t="s">
        <v>38218</v>
      </c>
      <c r="B14130" s="17" t="s">
        <v>70</v>
      </c>
      <c r="C14130" s="17" t="s">
        <v>71</v>
      </c>
      <c r="D14130" t="s">
        <v>38217</v>
      </c>
      <c r="F14130" t="s">
        <v>38217</v>
      </c>
      <c r="K14130" s="18">
        <f>62811947870</f>
        <v>62811947870</v>
      </c>
      <c r="N14130" s="17" t="s">
        <v>74</v>
      </c>
      <c r="V14130" s="18">
        <f>62811947870</f>
        <v>62811947870</v>
      </c>
    </row>
    <row r="14131" ht="15" customHeight="1" spans="1:23" x14ac:dyDescent="0.25">
      <c r="A14131" s="17" t="s">
        <v>38219</v>
      </c>
      <c r="B14131" s="17" t="s">
        <v>70</v>
      </c>
      <c r="C14131" s="17" t="s">
        <v>71</v>
      </c>
      <c r="D14131" t="s">
        <v>38220</v>
      </c>
      <c r="F14131" t="s">
        <v>1356</v>
      </c>
      <c r="J14131" s="17" t="s">
        <v>38221</v>
      </c>
      <c r="K14131" s="18">
        <f>628151832237</f>
        <v>628151832237</v>
      </c>
      <c r="N14131" s="17" t="s">
        <v>77</v>
      </c>
      <c r="U14131" s="17"/>
      <c r="V14131" s="18">
        <f>628151832237</f>
        <v>628151832237</v>
      </c>
      <c r="W14131" t="s">
        <v>38222</v>
      </c>
    </row>
    <row r="14132" ht="15" customHeight="1" spans="1:22" x14ac:dyDescent="0.25">
      <c r="A14132" s="17" t="s">
        <v>38223</v>
      </c>
      <c r="B14132" s="17" t="s">
        <v>70</v>
      </c>
      <c r="C14132" s="17" t="s">
        <v>71</v>
      </c>
      <c r="D14132" t="s">
        <v>38224</v>
      </c>
      <c r="F14132" t="s">
        <v>38224</v>
      </c>
      <c r="K14132" s="18">
        <f>6281908637171</f>
        <v>6281908637171</v>
      </c>
      <c r="N14132" s="17" t="s">
        <v>77</v>
      </c>
      <c r="V14132" s="18">
        <f>6281908637171</f>
        <v>6281908637171</v>
      </c>
    </row>
    <row r="14133" ht="15" customHeight="1" spans="1:22" x14ac:dyDescent="0.25">
      <c r="A14133" s="17" t="s">
        <v>38225</v>
      </c>
      <c r="B14133" s="17" t="s">
        <v>70</v>
      </c>
      <c r="C14133" s="17" t="s">
        <v>71</v>
      </c>
      <c r="D14133" t="s">
        <v>38226</v>
      </c>
      <c r="F14133" t="s">
        <v>38226</v>
      </c>
      <c r="K14133" s="18">
        <f>6287888154452</f>
        <v>6287888154452</v>
      </c>
      <c r="N14133" s="17" t="s">
        <v>81</v>
      </c>
      <c r="V14133" s="18">
        <f>6287888154452</f>
        <v>6287888154452</v>
      </c>
    </row>
    <row r="14134" ht="15" customHeight="1" spans="1:28" x14ac:dyDescent="0.25">
      <c r="A14134" s="17" t="s">
        <v>38227</v>
      </c>
      <c r="B14134" s="17" t="s">
        <v>70</v>
      </c>
      <c r="C14134" s="17" t="s">
        <v>71</v>
      </c>
      <c r="D14134" t="s">
        <v>38228</v>
      </c>
      <c r="F14134" t="s">
        <v>38228</v>
      </c>
      <c r="J14134" t="s">
        <v>115</v>
      </c>
      <c r="K14134" s="18" t="s">
        <v>38229</v>
      </c>
      <c r="N14134" s="17" t="s">
        <v>77</v>
      </c>
      <c r="O14134" t="s">
        <v>145</v>
      </c>
      <c r="V14134" s="18" t="s">
        <v>38229</v>
      </c>
      <c r="Y14134" t="s">
        <v>5216</v>
      </c>
      <c r="AA14134" t="s">
        <v>115</v>
      </c>
      <c r="AB14134" t="s">
        <v>119</v>
      </c>
    </row>
    <row r="14135" ht="15" customHeight="1" spans="1:28" x14ac:dyDescent="0.25">
      <c r="A14135" s="17" t="s">
        <v>38230</v>
      </c>
      <c r="B14135" s="17" t="s">
        <v>70</v>
      </c>
      <c r="C14135" s="17" t="s">
        <v>71</v>
      </c>
      <c r="D14135" t="s">
        <v>38228</v>
      </c>
      <c r="F14135" t="s">
        <v>205</v>
      </c>
      <c r="J14135" t="s">
        <v>115</v>
      </c>
      <c r="K14135" s="18" t="s">
        <v>38231</v>
      </c>
      <c r="N14135" s="17" t="s">
        <v>74</v>
      </c>
      <c r="O14135" t="s">
        <v>117</v>
      </c>
      <c r="V14135" s="18" t="s">
        <v>38231</v>
      </c>
      <c r="Y14135" t="s">
        <v>190</v>
      </c>
      <c r="AA14135" t="s">
        <v>118</v>
      </c>
      <c r="AB14135" t="s">
        <v>119</v>
      </c>
    </row>
    <row r="14136" ht="15" customHeight="1" spans="1:22" x14ac:dyDescent="0.25">
      <c r="A14136" s="17" t="s">
        <v>38232</v>
      </c>
      <c r="B14136" s="17" t="s">
        <v>70</v>
      </c>
      <c r="C14136" s="17" t="s">
        <v>71</v>
      </c>
      <c r="D14136" t="s">
        <v>38233</v>
      </c>
      <c r="F14136" t="s">
        <v>38233</v>
      </c>
      <c r="K14136" s="18">
        <f>628119923459</f>
        <v>628119923459</v>
      </c>
      <c r="N14136" s="17" t="s">
        <v>77</v>
      </c>
      <c r="V14136" s="18">
        <f>628119923459</f>
        <v>628119923459</v>
      </c>
    </row>
    <row r="14137" ht="15" customHeight="1" spans="1:22" x14ac:dyDescent="0.25">
      <c r="A14137" s="17" t="s">
        <v>38234</v>
      </c>
      <c r="B14137" s="17" t="s">
        <v>70</v>
      </c>
      <c r="C14137" s="17" t="s">
        <v>71</v>
      </c>
      <c r="D14137" t="s">
        <v>6095</v>
      </c>
      <c r="F14137" t="s">
        <v>6095</v>
      </c>
      <c r="K14137" s="18">
        <f>6285959081688</f>
        <v>6285959081688</v>
      </c>
      <c r="N14137" s="17" t="s">
        <v>81</v>
      </c>
      <c r="V14137" s="18">
        <f>6285959081688</f>
        <v>6285959081688</v>
      </c>
    </row>
    <row r="14138" ht="15" customHeight="1" spans="1:22" x14ac:dyDescent="0.25">
      <c r="A14138" s="17" t="s">
        <v>38235</v>
      </c>
      <c r="B14138" s="17" t="s">
        <v>70</v>
      </c>
      <c r="C14138" s="17" t="s">
        <v>71</v>
      </c>
      <c r="D14138" t="s">
        <v>6095</v>
      </c>
      <c r="F14138" t="s">
        <v>8387</v>
      </c>
      <c r="K14138" s="18">
        <f>6281210101080</f>
        <v>6281210101080</v>
      </c>
      <c r="N14138" s="17" t="s">
        <v>77</v>
      </c>
      <c r="V14138" s="18">
        <f>6281210101080</f>
        <v>6281210101080</v>
      </c>
    </row>
    <row r="14139" ht="15" customHeight="1" spans="1:23" x14ac:dyDescent="0.25">
      <c r="A14139" s="17" t="s">
        <v>38236</v>
      </c>
      <c r="B14139" s="17" t="s">
        <v>70</v>
      </c>
      <c r="C14139" s="17" t="s">
        <v>71</v>
      </c>
      <c r="D14139" t="s">
        <v>6095</v>
      </c>
      <c r="F14139" t="s">
        <v>7093</v>
      </c>
      <c r="K14139" s="18">
        <f>6281299215100</f>
        <v>6281299215100</v>
      </c>
      <c r="N14139" s="17" t="s">
        <v>81</v>
      </c>
      <c r="U14139" s="17"/>
      <c r="V14139" s="18">
        <f>6281299215100</f>
        <v>6281299215100</v>
      </c>
      <c r="W14139" t="s">
        <v>38237</v>
      </c>
    </row>
    <row r="14140" ht="15" customHeight="1" spans="1:28" x14ac:dyDescent="0.25">
      <c r="A14140" s="17" t="s">
        <v>38238</v>
      </c>
      <c r="B14140" s="17" t="s">
        <v>70</v>
      </c>
      <c r="C14140" s="17" t="s">
        <v>71</v>
      </c>
      <c r="D14140" t="s">
        <v>6095</v>
      </c>
      <c r="F14140" t="s">
        <v>38239</v>
      </c>
      <c r="J14140" t="s">
        <v>115</v>
      </c>
      <c r="K14140" s="18" t="s">
        <v>38240</v>
      </c>
      <c r="N14140" s="17" t="s">
        <v>77</v>
      </c>
      <c r="O14140" t="s">
        <v>489</v>
      </c>
      <c r="V14140" s="18" t="s">
        <v>38240</v>
      </c>
      <c r="Y14140" t="s">
        <v>3140</v>
      </c>
      <c r="AA14140" t="s">
        <v>115</v>
      </c>
      <c r="AB14140" t="s">
        <v>3140</v>
      </c>
    </row>
    <row r="14141" ht="15" customHeight="1" spans="1:23" x14ac:dyDescent="0.25">
      <c r="A14141" s="17" t="s">
        <v>38241</v>
      </c>
      <c r="B14141" s="17" t="s">
        <v>70</v>
      </c>
      <c r="C14141" s="17" t="s">
        <v>71</v>
      </c>
      <c r="D14141" t="s">
        <v>38242</v>
      </c>
      <c r="F14141" t="s">
        <v>38243</v>
      </c>
      <c r="K14141" s="18">
        <f>3122022</f>
        <v>3122022</v>
      </c>
      <c r="N14141" s="17" t="s">
        <v>81</v>
      </c>
      <c r="U14141" s="17"/>
      <c r="V14141" s="18">
        <f>3122022</f>
        <v>3122022</v>
      </c>
      <c r="W14141" t="s">
        <v>7269</v>
      </c>
    </row>
    <row r="14142" ht="15" customHeight="1" spans="1:28" x14ac:dyDescent="0.25">
      <c r="A14142" s="17" t="s">
        <v>38244</v>
      </c>
      <c r="B14142" s="17" t="s">
        <v>70</v>
      </c>
      <c r="C14142" s="17" t="s">
        <v>71</v>
      </c>
      <c r="D14142" t="s">
        <v>38245</v>
      </c>
      <c r="F14142" t="s">
        <v>1754</v>
      </c>
      <c r="J14142" t="s">
        <v>38246</v>
      </c>
      <c r="K14142" s="18" t="s">
        <v>38247</v>
      </c>
      <c r="N14142" s="17" t="s">
        <v>77</v>
      </c>
      <c r="O14142" t="s">
        <v>117</v>
      </c>
      <c r="V14142" s="18" t="s">
        <v>38247</v>
      </c>
      <c r="Y14142" t="s">
        <v>7007</v>
      </c>
      <c r="AA14142" t="s">
        <v>115</v>
      </c>
      <c r="AB14142" t="s">
        <v>119</v>
      </c>
    </row>
    <row r="14143" ht="15" customHeight="1" spans="1:22" x14ac:dyDescent="0.25">
      <c r="A14143" s="17" t="s">
        <v>38248</v>
      </c>
      <c r="B14143" s="17" t="s">
        <v>70</v>
      </c>
      <c r="C14143" s="17" t="s">
        <v>71</v>
      </c>
      <c r="D14143" t="s">
        <v>6095</v>
      </c>
      <c r="F14143" t="s">
        <v>38249</v>
      </c>
      <c r="K14143" s="18">
        <f>62877853666668</f>
        <v>62877853666668</v>
      </c>
      <c r="N14143" s="17" t="s">
        <v>77</v>
      </c>
      <c r="V14143" s="18">
        <f>62877853666668</f>
        <v>62877853666668</v>
      </c>
    </row>
    <row r="14144" ht="15" customHeight="1" spans="1:28" x14ac:dyDescent="0.25">
      <c r="A14144" s="17" t="s">
        <v>38250</v>
      </c>
      <c r="B14144" s="17" t="s">
        <v>70</v>
      </c>
      <c r="C14144" s="17" t="s">
        <v>71</v>
      </c>
      <c r="D14144" t="s">
        <v>38251</v>
      </c>
      <c r="F14144" t="s">
        <v>9658</v>
      </c>
      <c r="J14144" t="s">
        <v>115</v>
      </c>
      <c r="K14144" s="18" t="s">
        <v>38252</v>
      </c>
      <c r="N14144" s="17" t="s">
        <v>77</v>
      </c>
      <c r="O14144" t="s">
        <v>117</v>
      </c>
      <c r="V14144" s="18" t="s">
        <v>38252</v>
      </c>
      <c r="Y14144" t="s">
        <v>90</v>
      </c>
      <c r="AA14144" t="s">
        <v>118</v>
      </c>
      <c r="AB14144" t="s">
        <v>119</v>
      </c>
    </row>
    <row r="14145" ht="15" customHeight="1" spans="1:22" x14ac:dyDescent="0.25">
      <c r="A14145" s="17" t="s">
        <v>38253</v>
      </c>
      <c r="B14145" s="17" t="s">
        <v>70</v>
      </c>
      <c r="C14145" s="17" t="s">
        <v>71</v>
      </c>
      <c r="D14145" t="s">
        <v>6095</v>
      </c>
      <c r="F14145" t="s">
        <v>38254</v>
      </c>
      <c r="J14145" s="17" t="s">
        <v>38255</v>
      </c>
      <c r="K14145" s="18">
        <f>8685291946807</f>
        <v>8685291946807</v>
      </c>
      <c r="N14145" s="17" t="s">
        <v>77</v>
      </c>
      <c r="V14145" s="18">
        <f>8685291946807</f>
        <v>8685291946807</v>
      </c>
    </row>
    <row r="14146" ht="15" customHeight="1" spans="1:28" x14ac:dyDescent="0.25">
      <c r="A14146" s="17" t="s">
        <v>38256</v>
      </c>
      <c r="B14146" s="17" t="s">
        <v>70</v>
      </c>
      <c r="C14146" s="17" t="s">
        <v>71</v>
      </c>
      <c r="D14146" t="s">
        <v>6095</v>
      </c>
      <c r="F14146" t="s">
        <v>38257</v>
      </c>
      <c r="J14146" s="17" t="s">
        <v>38258</v>
      </c>
      <c r="K14146" s="18" t="s">
        <v>38259</v>
      </c>
      <c r="N14146" s="17" t="s">
        <v>77</v>
      </c>
      <c r="O14146" t="s">
        <v>145</v>
      </c>
      <c r="U14146" s="17"/>
      <c r="V14146" s="18" t="s">
        <v>38259</v>
      </c>
      <c r="W14146" t="s">
        <v>33130</v>
      </c>
      <c r="Y14146" s="17" t="s">
        <v>1903</v>
      </c>
      <c r="AA14146" t="s">
        <v>115</v>
      </c>
      <c r="AB14146" t="s">
        <v>3140</v>
      </c>
    </row>
    <row r="14147" ht="15" customHeight="1" spans="1:22" x14ac:dyDescent="0.25">
      <c r="A14147" s="17" t="s">
        <v>38260</v>
      </c>
      <c r="B14147" s="17" t="s">
        <v>70</v>
      </c>
      <c r="C14147" s="17" t="s">
        <v>71</v>
      </c>
      <c r="D14147" t="s">
        <v>6095</v>
      </c>
      <c r="F14147" t="s">
        <v>7341</v>
      </c>
      <c r="J14147" s="17" t="s">
        <v>38261</v>
      </c>
      <c r="K14147" s="18">
        <f>8618621579797</f>
        <v>8618621579797</v>
      </c>
      <c r="N14147" s="17" t="s">
        <v>81</v>
      </c>
      <c r="V14147" s="18">
        <f>8618621579797</f>
        <v>8618621579797</v>
      </c>
    </row>
    <row r="14148" ht="15" customHeight="1" spans="1:23" x14ac:dyDescent="0.25">
      <c r="A14148" s="17" t="s">
        <v>38262</v>
      </c>
      <c r="B14148" s="17" t="s">
        <v>70</v>
      </c>
      <c r="C14148" s="17" t="s">
        <v>71</v>
      </c>
      <c r="D14148" t="s">
        <v>6095</v>
      </c>
      <c r="F14148" t="s">
        <v>7341</v>
      </c>
      <c r="K14148" s="18">
        <f>6596191690</f>
        <v>6596191690</v>
      </c>
      <c r="N14148" s="17" t="s">
        <v>77</v>
      </c>
      <c r="U14148" s="17"/>
      <c r="V14148" s="18">
        <f>6596191690</f>
        <v>6596191690</v>
      </c>
      <c r="W14148" t="s">
        <v>2356</v>
      </c>
    </row>
    <row r="14149" ht="15" customHeight="1" spans="1:28" x14ac:dyDescent="0.25">
      <c r="A14149" s="17" t="s">
        <v>38263</v>
      </c>
      <c r="B14149" s="17" t="s">
        <v>70</v>
      </c>
      <c r="C14149" s="17" t="s">
        <v>71</v>
      </c>
      <c r="D14149" t="s">
        <v>38264</v>
      </c>
      <c r="F14149" t="s">
        <v>3869</v>
      </c>
      <c r="J14149" t="s">
        <v>115</v>
      </c>
      <c r="K14149" s="18" t="s">
        <v>38265</v>
      </c>
      <c r="N14149" s="17" t="s">
        <v>77</v>
      </c>
      <c r="O14149" t="s">
        <v>199</v>
      </c>
      <c r="V14149" s="18" t="s">
        <v>38265</v>
      </c>
      <c r="Y14149" t="s">
        <v>90</v>
      </c>
      <c r="AA14149" t="s">
        <v>118</v>
      </c>
      <c r="AB14149" t="s">
        <v>119</v>
      </c>
    </row>
    <row r="14150" ht="15" customHeight="1" spans="1:28" x14ac:dyDescent="0.25">
      <c r="A14150" s="17" t="s">
        <v>38266</v>
      </c>
      <c r="B14150" s="17" t="s">
        <v>70</v>
      </c>
      <c r="C14150" s="17" t="s">
        <v>71</v>
      </c>
      <c r="D14150" t="s">
        <v>38264</v>
      </c>
      <c r="F14150" t="s">
        <v>7914</v>
      </c>
      <c r="J14150" s="17" t="s">
        <v>38267</v>
      </c>
      <c r="K14150" s="18" t="s">
        <v>38268</v>
      </c>
      <c r="N14150" s="17" t="s">
        <v>81</v>
      </c>
      <c r="O14150" t="s">
        <v>145</v>
      </c>
      <c r="U14150" s="17"/>
      <c r="V14150" s="18" t="s">
        <v>38268</v>
      </c>
      <c r="W14150" t="s">
        <v>38269</v>
      </c>
      <c r="Y14150" t="s">
        <v>90</v>
      </c>
      <c r="AA14150" t="s">
        <v>118</v>
      </c>
      <c r="AB14150" t="s">
        <v>119</v>
      </c>
    </row>
    <row r="14151" ht="15" customHeight="1" spans="1:28" x14ac:dyDescent="0.25">
      <c r="A14151" s="17" t="s">
        <v>38270</v>
      </c>
      <c r="B14151" s="17" t="s">
        <v>70</v>
      </c>
      <c r="C14151" s="17" t="s">
        <v>71</v>
      </c>
      <c r="D14151" t="s">
        <v>38271</v>
      </c>
      <c r="F14151" t="s">
        <v>23128</v>
      </c>
      <c r="J14151" s="17" t="s">
        <v>38272</v>
      </c>
      <c r="K14151" s="18" t="s">
        <v>38273</v>
      </c>
      <c r="N14151" s="17" t="s">
        <v>77</v>
      </c>
      <c r="O14151" t="s">
        <v>145</v>
      </c>
      <c r="V14151" s="18" t="s">
        <v>38273</v>
      </c>
      <c r="Y14151" t="s">
        <v>90</v>
      </c>
      <c r="AA14151" t="s">
        <v>118</v>
      </c>
      <c r="AB14151" t="s">
        <v>119</v>
      </c>
    </row>
    <row r="14152" ht="15" customHeight="1" spans="1:28" x14ac:dyDescent="0.25">
      <c r="A14152" s="17" t="s">
        <v>38274</v>
      </c>
      <c r="B14152" s="17" t="s">
        <v>70</v>
      </c>
      <c r="C14152" s="17" t="s">
        <v>71</v>
      </c>
      <c r="D14152" t="s">
        <v>38275</v>
      </c>
      <c r="F14152" t="s">
        <v>6693</v>
      </c>
      <c r="J14152" s="17" t="s">
        <v>38276</v>
      </c>
      <c r="K14152" s="18" t="s">
        <v>38277</v>
      </c>
      <c r="N14152" s="17" t="s">
        <v>77</v>
      </c>
      <c r="O14152" t="s">
        <v>117</v>
      </c>
      <c r="U14152" s="17"/>
      <c r="V14152" s="18" t="s">
        <v>38277</v>
      </c>
      <c r="W14152" t="s">
        <v>38278</v>
      </c>
      <c r="Y14152" s="17" t="s">
        <v>6980</v>
      </c>
      <c r="AA14152" t="s">
        <v>115</v>
      </c>
      <c r="AB14152" t="s">
        <v>3140</v>
      </c>
    </row>
    <row r="14153" ht="15" customHeight="1" spans="1:28" x14ac:dyDescent="0.25">
      <c r="A14153" s="17" t="s">
        <v>38279</v>
      </c>
      <c r="B14153" s="17" t="s">
        <v>70</v>
      </c>
      <c r="C14153" s="17" t="s">
        <v>71</v>
      </c>
      <c r="D14153" t="s">
        <v>7641</v>
      </c>
      <c r="F14153" t="s">
        <v>6095</v>
      </c>
      <c r="J14153" s="17" t="s">
        <v>38280</v>
      </c>
      <c r="K14153" s="18" t="s">
        <v>38281</v>
      </c>
      <c r="N14153" s="17" t="s">
        <v>77</v>
      </c>
      <c r="O14153" t="s">
        <v>117</v>
      </c>
      <c r="V14153" s="18" t="s">
        <v>38281</v>
      </c>
      <c r="Y14153" t="s">
        <v>2500</v>
      </c>
      <c r="AA14153" t="s">
        <v>115</v>
      </c>
      <c r="AB14153" t="s">
        <v>2500</v>
      </c>
    </row>
    <row r="14154" ht="15" customHeight="1" spans="1:23" x14ac:dyDescent="0.25">
      <c r="A14154" s="17" t="s">
        <v>38282</v>
      </c>
      <c r="B14154" s="17" t="s">
        <v>70</v>
      </c>
      <c r="C14154" s="17" t="s">
        <v>71</v>
      </c>
      <c r="D14154" t="s">
        <v>38275</v>
      </c>
      <c r="F14154" t="s">
        <v>38283</v>
      </c>
      <c r="J14154" s="17" t="s">
        <v>38284</v>
      </c>
      <c r="K14154" s="18">
        <f>8615840269977</f>
        <v>8615840269977</v>
      </c>
      <c r="N14154" s="17" t="s">
        <v>77</v>
      </c>
      <c r="U14154" s="17"/>
      <c r="V14154" s="18">
        <f>8615840269977</f>
        <v>8615840269977</v>
      </c>
      <c r="W14154" t="s">
        <v>3140</v>
      </c>
    </row>
    <row r="14155" ht="15" customHeight="1" spans="1:28" x14ac:dyDescent="0.25">
      <c r="A14155" s="17" t="s">
        <v>38285</v>
      </c>
      <c r="B14155" s="17" t="s">
        <v>70</v>
      </c>
      <c r="C14155" s="17" t="s">
        <v>71</v>
      </c>
      <c r="D14155" t="s">
        <v>6095</v>
      </c>
      <c r="F14155" t="s">
        <v>38286</v>
      </c>
      <c r="J14155" s="17" t="s">
        <v>38287</v>
      </c>
      <c r="K14155" s="18" t="s">
        <v>38288</v>
      </c>
      <c r="N14155" s="17" t="s">
        <v>77</v>
      </c>
      <c r="O14155" t="s">
        <v>117</v>
      </c>
      <c r="U14155" s="17"/>
      <c r="V14155" s="18" t="s">
        <v>38288</v>
      </c>
      <c r="W14155" t="s">
        <v>38289</v>
      </c>
      <c r="Y14155" t="s">
        <v>3140</v>
      </c>
      <c r="AA14155" t="s">
        <v>115</v>
      </c>
      <c r="AB14155" t="s">
        <v>3140</v>
      </c>
    </row>
    <row r="14156" ht="15" customHeight="1" spans="1:28" x14ac:dyDescent="0.25">
      <c r="A14156" s="17" t="s">
        <v>38290</v>
      </c>
      <c r="B14156" s="17" t="s">
        <v>70</v>
      </c>
      <c r="C14156" s="17" t="s">
        <v>71</v>
      </c>
      <c r="D14156" t="s">
        <v>6095</v>
      </c>
      <c r="F14156" t="s">
        <v>3962</v>
      </c>
      <c r="J14156" s="17" t="s">
        <v>38291</v>
      </c>
      <c r="K14156" s="18" t="s">
        <v>38292</v>
      </c>
      <c r="N14156" s="17" t="s">
        <v>77</v>
      </c>
      <c r="O14156" t="s">
        <v>117</v>
      </c>
      <c r="U14156" s="17"/>
      <c r="V14156" s="18" t="s">
        <v>38292</v>
      </c>
      <c r="W14156" t="s">
        <v>3140</v>
      </c>
      <c r="Y14156" s="17" t="s">
        <v>3140</v>
      </c>
      <c r="AA14156" t="s">
        <v>115</v>
      </c>
      <c r="AB14156" t="s">
        <v>3140</v>
      </c>
    </row>
    <row r="14157" ht="15" customHeight="1" spans="1:28" x14ac:dyDescent="0.25">
      <c r="A14157" s="17" t="s">
        <v>38293</v>
      </c>
      <c r="B14157" s="17" t="s">
        <v>70</v>
      </c>
      <c r="C14157" s="17" t="s">
        <v>71</v>
      </c>
      <c r="D14157" t="s">
        <v>6095</v>
      </c>
      <c r="F14157" t="s">
        <v>38294</v>
      </c>
      <c r="J14157" s="17" t="s">
        <v>38295</v>
      </c>
      <c r="K14157" s="18" t="s">
        <v>38296</v>
      </c>
      <c r="N14157" s="17" t="s">
        <v>77</v>
      </c>
      <c r="O14157" t="s">
        <v>117</v>
      </c>
      <c r="V14157" s="18" t="s">
        <v>38296</v>
      </c>
      <c r="Y14157" t="s">
        <v>930</v>
      </c>
      <c r="AA14157" t="s">
        <v>115</v>
      </c>
      <c r="AB14157" t="s">
        <v>930</v>
      </c>
    </row>
    <row r="14158" ht="15" customHeight="1" spans="1:27" x14ac:dyDescent="0.25">
      <c r="A14158" s="17" t="s">
        <v>38297</v>
      </c>
      <c r="B14158" s="17" t="s">
        <v>70</v>
      </c>
      <c r="C14158" s="17" t="s">
        <v>71</v>
      </c>
      <c r="D14158" t="s">
        <v>38298</v>
      </c>
      <c r="F14158" t="s">
        <v>304</v>
      </c>
      <c r="J14158" s="17" t="s">
        <v>38299</v>
      </c>
      <c r="K14158" s="18">
        <f>6281310261333</f>
        <v>6281310261333</v>
      </c>
      <c r="N14158" s="17" t="s">
        <v>74</v>
      </c>
      <c r="U14158" s="17"/>
      <c r="V14158" s="18">
        <f>6281310261333</f>
        <v>6281310261333</v>
      </c>
      <c r="W14158" t="s">
        <v>38300</v>
      </c>
      <c r="Y14158" s="17" t="s">
        <v>622</v>
      </c>
      <c r="AA14158" s="17">
        <v>16820</v>
      </c>
    </row>
    <row r="14159" ht="15" customHeight="1" spans="1:28" x14ac:dyDescent="0.25">
      <c r="A14159" s="17" t="s">
        <v>38301</v>
      </c>
      <c r="B14159" s="17" t="s">
        <v>70</v>
      </c>
      <c r="C14159" s="17" t="s">
        <v>71</v>
      </c>
      <c r="D14159" t="s">
        <v>38302</v>
      </c>
      <c r="F14159" t="s">
        <v>38303</v>
      </c>
      <c r="J14159" s="17" t="s">
        <v>38304</v>
      </c>
      <c r="K14159" s="18" t="s">
        <v>38305</v>
      </c>
      <c r="N14159" s="17" t="s">
        <v>81</v>
      </c>
      <c r="O14159" t="s">
        <v>261</v>
      </c>
      <c r="V14159" s="18" t="s">
        <v>38305</v>
      </c>
      <c r="Y14159" t="s">
        <v>115</v>
      </c>
      <c r="AA14159" t="s">
        <v>115</v>
      </c>
      <c r="AB14159" t="s">
        <v>119</v>
      </c>
    </row>
    <row r="14160" ht="15" customHeight="1" spans="1:22" x14ac:dyDescent="0.25">
      <c r="A14160" s="17" t="s">
        <v>38306</v>
      </c>
      <c r="B14160" s="17" t="s">
        <v>70</v>
      </c>
      <c r="C14160" s="17" t="s">
        <v>71</v>
      </c>
      <c r="D14160" t="s">
        <v>32323</v>
      </c>
      <c r="F14160" t="s">
        <v>32323</v>
      </c>
      <c r="K14160" s="18">
        <f>62818889644</f>
        <v>62818889644</v>
      </c>
      <c r="N14160" s="17" t="s">
        <v>77</v>
      </c>
      <c r="V14160" s="18">
        <f>62818889644</f>
        <v>62818889644</v>
      </c>
    </row>
    <row r="14161" ht="15" customHeight="1" spans="1:28" x14ac:dyDescent="0.25">
      <c r="A14161" s="17" t="s">
        <v>38307</v>
      </c>
      <c r="B14161" s="17" t="s">
        <v>70</v>
      </c>
      <c r="C14161" s="17" t="s">
        <v>71</v>
      </c>
      <c r="D14161" t="s">
        <v>38308</v>
      </c>
      <c r="F14161" t="s">
        <v>35080</v>
      </c>
      <c r="J14161" t="s">
        <v>115</v>
      </c>
      <c r="K14161" s="18" t="s">
        <v>38309</v>
      </c>
      <c r="N14161" s="17" t="s">
        <v>77</v>
      </c>
      <c r="O14161" t="s">
        <v>489</v>
      </c>
      <c r="V14161" s="18" t="s">
        <v>38309</v>
      </c>
      <c r="Y14161" t="s">
        <v>90</v>
      </c>
      <c r="AA14161" t="s">
        <v>118</v>
      </c>
      <c r="AB14161" t="s">
        <v>119</v>
      </c>
    </row>
    <row r="14162" ht="15" customHeight="1" spans="1:22" x14ac:dyDescent="0.25">
      <c r="A14162" s="17" t="s">
        <v>38310</v>
      </c>
      <c r="B14162" s="17" t="s">
        <v>70</v>
      </c>
      <c r="C14162" s="17" t="s">
        <v>71</v>
      </c>
      <c r="D14162" t="s">
        <v>10412</v>
      </c>
      <c r="F14162" t="s">
        <v>10412</v>
      </c>
      <c r="K14162" s="18">
        <f>6281519783111</f>
        <v>6281519783111</v>
      </c>
      <c r="N14162" s="17" t="s">
        <v>77</v>
      </c>
      <c r="V14162" s="18">
        <f>6281519783111</f>
        <v>6281519783111</v>
      </c>
    </row>
    <row r="14163" ht="15" customHeight="1" spans="1:22" x14ac:dyDescent="0.25">
      <c r="A14163" s="17" t="s">
        <v>38311</v>
      </c>
      <c r="B14163" s="17" t="s">
        <v>70</v>
      </c>
      <c r="C14163" s="17" t="s">
        <v>71</v>
      </c>
      <c r="D14163" t="s">
        <v>10412</v>
      </c>
      <c r="F14163" t="s">
        <v>10412</v>
      </c>
      <c r="K14163" s="18">
        <f>62818882928</f>
        <v>62818882928</v>
      </c>
      <c r="N14163" s="17" t="s">
        <v>74</v>
      </c>
      <c r="V14163" s="18">
        <f>62818882928</f>
        <v>62818882928</v>
      </c>
    </row>
    <row r="14164" ht="15" customHeight="1" spans="1:25" x14ac:dyDescent="0.25">
      <c r="A14164" s="17" t="s">
        <v>38312</v>
      </c>
      <c r="B14164" s="17" t="s">
        <v>70</v>
      </c>
      <c r="C14164" s="17" t="s">
        <v>71</v>
      </c>
      <c r="D14164" t="s">
        <v>10412</v>
      </c>
      <c r="F14164" t="s">
        <v>23642</v>
      </c>
      <c r="K14164" s="18">
        <f>628119998678</f>
        <v>628119998678</v>
      </c>
      <c r="N14164" s="17" t="s">
        <v>77</v>
      </c>
      <c r="V14164" s="18">
        <f>628119998678</f>
        <v>628119998678</v>
      </c>
      <c r="Y14164" s="17" t="s">
        <v>1084</v>
      </c>
    </row>
    <row r="14165" ht="15" customHeight="1" spans="1:25" x14ac:dyDescent="0.25">
      <c r="A14165" s="17" t="s">
        <v>38313</v>
      </c>
      <c r="B14165" s="17" t="s">
        <v>70</v>
      </c>
      <c r="C14165" s="17" t="s">
        <v>71</v>
      </c>
      <c r="D14165" t="s">
        <v>20606</v>
      </c>
      <c r="F14165" t="s">
        <v>20606</v>
      </c>
      <c r="K14165" s="18">
        <f>628122324252</f>
        <v>628122324252</v>
      </c>
      <c r="N14165" s="17" t="s">
        <v>77</v>
      </c>
      <c r="U14165" s="17"/>
      <c r="V14165" s="18">
        <f>628122324252</f>
        <v>628122324252</v>
      </c>
      <c r="W14165" t="s">
        <v>38314</v>
      </c>
      <c r="Y14165" s="17" t="s">
        <v>500</v>
      </c>
    </row>
    <row r="14166" ht="15" customHeight="1" spans="1:28" x14ac:dyDescent="0.25">
      <c r="A14166" s="17" t="s">
        <v>38315</v>
      </c>
      <c r="B14166" s="17" t="s">
        <v>70</v>
      </c>
      <c r="C14166" s="17" t="s">
        <v>71</v>
      </c>
      <c r="D14166" t="s">
        <v>20606</v>
      </c>
      <c r="F14166" t="s">
        <v>20606</v>
      </c>
      <c r="J14166" t="s">
        <v>115</v>
      </c>
      <c r="K14166" s="18" t="s">
        <v>38316</v>
      </c>
      <c r="N14166" s="17" t="s">
        <v>77</v>
      </c>
      <c r="O14166" t="s">
        <v>117</v>
      </c>
      <c r="V14166" s="18" t="s">
        <v>38316</v>
      </c>
      <c r="Y14166" t="s">
        <v>90</v>
      </c>
      <c r="AA14166" t="s">
        <v>118</v>
      </c>
      <c r="AB14166" t="s">
        <v>119</v>
      </c>
    </row>
    <row r="14167" ht="15" customHeight="1" spans="1:22" x14ac:dyDescent="0.25">
      <c r="A14167" s="17" t="s">
        <v>38317</v>
      </c>
      <c r="B14167" s="17" t="s">
        <v>70</v>
      </c>
      <c r="C14167" s="17" t="s">
        <v>71</v>
      </c>
      <c r="D14167" t="s">
        <v>38318</v>
      </c>
      <c r="F14167" t="s">
        <v>38319</v>
      </c>
      <c r="K14167" s="18">
        <f>6281285186089</f>
        <v>6281285186089</v>
      </c>
      <c r="N14167" s="17" t="s">
        <v>77</v>
      </c>
      <c r="V14167" s="18">
        <f>6281285186089</f>
        <v>6281285186089</v>
      </c>
    </row>
    <row r="14168" ht="15" customHeight="1" spans="1:28" x14ac:dyDescent="0.25">
      <c r="A14168" s="17" t="s">
        <v>38320</v>
      </c>
      <c r="B14168" s="17" t="s">
        <v>70</v>
      </c>
      <c r="C14168" s="17" t="s">
        <v>71</v>
      </c>
      <c r="D14168" t="s">
        <v>38321</v>
      </c>
      <c r="F14168" t="s">
        <v>7914</v>
      </c>
      <c r="J14168" s="17" t="s">
        <v>38322</v>
      </c>
      <c r="K14168" s="18" t="s">
        <v>38323</v>
      </c>
      <c r="N14168" s="17" t="s">
        <v>77</v>
      </c>
      <c r="O14168" t="s">
        <v>145</v>
      </c>
      <c r="V14168" s="18" t="s">
        <v>38323</v>
      </c>
      <c r="Y14168" t="s">
        <v>11496</v>
      </c>
      <c r="AA14168" t="s">
        <v>1969</v>
      </c>
      <c r="AB14168" t="s">
        <v>1306</v>
      </c>
    </row>
    <row r="14169" ht="15" customHeight="1" spans="1:22" x14ac:dyDescent="0.25">
      <c r="A14169" s="17" t="s">
        <v>38324</v>
      </c>
      <c r="B14169" s="17" t="s">
        <v>70</v>
      </c>
      <c r="C14169" s="17" t="s">
        <v>71</v>
      </c>
      <c r="D14169" t="s">
        <v>7941</v>
      </c>
      <c r="F14169" t="s">
        <v>17798</v>
      </c>
      <c r="K14169" s="18">
        <f>6281212445066</f>
        <v>6281212445066</v>
      </c>
      <c r="N14169" s="17" t="s">
        <v>81</v>
      </c>
      <c r="V14169" s="18">
        <f>6281212445066</f>
        <v>6281212445066</v>
      </c>
    </row>
    <row r="14170" ht="15" customHeight="1" spans="1:23" x14ac:dyDescent="0.25">
      <c r="A14170" s="17" t="s">
        <v>38325</v>
      </c>
      <c r="B14170" s="17" t="s">
        <v>70</v>
      </c>
      <c r="C14170" s="17" t="s">
        <v>71</v>
      </c>
      <c r="D14170" t="s">
        <v>7941</v>
      </c>
      <c r="F14170" t="s">
        <v>38326</v>
      </c>
      <c r="K14170" s="18">
        <f>821090693157</f>
        <v>821090693157</v>
      </c>
      <c r="N14170" s="17" t="s">
        <v>77</v>
      </c>
      <c r="U14170" s="17"/>
      <c r="V14170" s="18">
        <f>821090693157</f>
        <v>821090693157</v>
      </c>
      <c r="W14170" t="s">
        <v>7007</v>
      </c>
    </row>
    <row r="14171" ht="15" customHeight="1" spans="1:28" x14ac:dyDescent="0.25">
      <c r="A14171" s="17" t="s">
        <v>38327</v>
      </c>
      <c r="B14171" s="17" t="s">
        <v>70</v>
      </c>
      <c r="C14171" s="17" t="s">
        <v>71</v>
      </c>
      <c r="D14171" t="s">
        <v>38328</v>
      </c>
      <c r="F14171" t="s">
        <v>7941</v>
      </c>
      <c r="J14171" s="17" t="s">
        <v>38255</v>
      </c>
      <c r="K14171" s="18" t="s">
        <v>38329</v>
      </c>
      <c r="N14171" s="17" t="s">
        <v>77</v>
      </c>
      <c r="O14171" t="s">
        <v>199</v>
      </c>
      <c r="V14171" s="18" t="s">
        <v>38329</v>
      </c>
      <c r="Y14171" t="s">
        <v>3140</v>
      </c>
      <c r="AA14171" t="s">
        <v>115</v>
      </c>
      <c r="AB14171" t="s">
        <v>3140</v>
      </c>
    </row>
    <row r="14172" ht="15" customHeight="1" spans="1:27" x14ac:dyDescent="0.25">
      <c r="A14172" s="17" t="s">
        <v>38330</v>
      </c>
      <c r="B14172" s="17" t="s">
        <v>70</v>
      </c>
      <c r="C14172" s="17" t="s">
        <v>71</v>
      </c>
      <c r="D14172" t="s">
        <v>7941</v>
      </c>
      <c r="F14172" t="s">
        <v>38331</v>
      </c>
      <c r="K14172" s="18">
        <f>628161901199</f>
        <v>628161901199</v>
      </c>
      <c r="N14172" s="17" t="s">
        <v>77</v>
      </c>
      <c r="U14172" s="17"/>
      <c r="V14172" s="18">
        <f>628161901199</f>
        <v>628161901199</v>
      </c>
      <c r="W14172" t="s">
        <v>38332</v>
      </c>
      <c r="Y14172" s="17" t="s">
        <v>96</v>
      </c>
      <c r="AA14172" s="17" t="s">
        <v>7091</v>
      </c>
    </row>
    <row r="14173" ht="15" customHeight="1" spans="1:28" x14ac:dyDescent="0.25">
      <c r="A14173" s="17" t="s">
        <v>38333</v>
      </c>
      <c r="B14173" s="17" t="s">
        <v>70</v>
      </c>
      <c r="C14173" s="17" t="s">
        <v>71</v>
      </c>
      <c r="D14173" t="s">
        <v>7941</v>
      </c>
      <c r="F14173" t="s">
        <v>38334</v>
      </c>
      <c r="J14173" s="17" t="s">
        <v>38335</v>
      </c>
      <c r="K14173" s="18" t="s">
        <v>38336</v>
      </c>
      <c r="N14173" s="17" t="s">
        <v>77</v>
      </c>
      <c r="O14173" t="s">
        <v>117</v>
      </c>
      <c r="U14173" s="17"/>
      <c r="V14173" s="18" t="s">
        <v>38336</v>
      </c>
      <c r="W14173" t="s">
        <v>7107</v>
      </c>
      <c r="Y14173" t="s">
        <v>115</v>
      </c>
      <c r="AA14173" t="s">
        <v>115</v>
      </c>
      <c r="AB14173" t="s">
        <v>7412</v>
      </c>
    </row>
    <row r="14174" ht="15" customHeight="1" spans="1:23" x14ac:dyDescent="0.25">
      <c r="A14174" s="17" t="s">
        <v>38337</v>
      </c>
      <c r="B14174" s="17" t="s">
        <v>70</v>
      </c>
      <c r="C14174" s="17" t="s">
        <v>71</v>
      </c>
      <c r="D14174" t="s">
        <v>38338</v>
      </c>
      <c r="F14174" t="s">
        <v>3869</v>
      </c>
      <c r="K14174" s="18">
        <f>821034431272</f>
        <v>821034431272</v>
      </c>
      <c r="N14174" s="17" t="s">
        <v>77</v>
      </c>
      <c r="U14174" s="17"/>
      <c r="V14174" s="18">
        <f>821034431272</f>
        <v>821034431272</v>
      </c>
      <c r="W14174" t="s">
        <v>7007</v>
      </c>
    </row>
    <row r="14175" ht="15" customHeight="1" spans="1:22" x14ac:dyDescent="0.25">
      <c r="A14175" s="17" t="s">
        <v>38339</v>
      </c>
      <c r="B14175" s="17" t="s">
        <v>70</v>
      </c>
      <c r="C14175" s="17" t="s">
        <v>71</v>
      </c>
      <c r="D14175" t="s">
        <v>38340</v>
      </c>
      <c r="F14175" t="s">
        <v>17750</v>
      </c>
      <c r="K14175" s="18">
        <f>6281288262073</f>
        <v>6281288262073</v>
      </c>
      <c r="N14175" s="17" t="s">
        <v>77</v>
      </c>
      <c r="V14175" s="18">
        <f>6281288262073</f>
        <v>6281288262073</v>
      </c>
    </row>
    <row r="14176" ht="15" customHeight="1" spans="1:28" x14ac:dyDescent="0.25">
      <c r="A14176" s="17" t="s">
        <v>38341</v>
      </c>
      <c r="B14176" s="17" t="s">
        <v>70</v>
      </c>
      <c r="C14176" s="17" t="s">
        <v>71</v>
      </c>
      <c r="D14176" t="s">
        <v>38342</v>
      </c>
      <c r="F14176" t="s">
        <v>7024</v>
      </c>
      <c r="J14176" t="s">
        <v>115</v>
      </c>
      <c r="K14176" s="18" t="s">
        <v>38343</v>
      </c>
      <c r="N14176" s="17" t="s">
        <v>77</v>
      </c>
      <c r="O14176" t="s">
        <v>199</v>
      </c>
      <c r="V14176" s="18" t="s">
        <v>38343</v>
      </c>
      <c r="Y14176" t="s">
        <v>190</v>
      </c>
      <c r="AA14176" t="s">
        <v>118</v>
      </c>
      <c r="AB14176" t="s">
        <v>16695</v>
      </c>
    </row>
    <row r="14177" ht="15" customHeight="1" spans="1:28" x14ac:dyDescent="0.25">
      <c r="A14177" s="17" t="s">
        <v>38344</v>
      </c>
      <c r="B14177" s="17" t="s">
        <v>70</v>
      </c>
      <c r="C14177" s="17" t="s">
        <v>71</v>
      </c>
      <c r="D14177" t="s">
        <v>38345</v>
      </c>
      <c r="F14177" t="s">
        <v>1754</v>
      </c>
      <c r="J14177" t="s">
        <v>115</v>
      </c>
      <c r="K14177" s="18" t="s">
        <v>38346</v>
      </c>
      <c r="N14177" s="17" t="s">
        <v>81</v>
      </c>
      <c r="O14177" t="s">
        <v>117</v>
      </c>
      <c r="V14177" s="18" t="s">
        <v>38346</v>
      </c>
      <c r="Y14177" t="s">
        <v>190</v>
      </c>
      <c r="AA14177" t="s">
        <v>118</v>
      </c>
      <c r="AB14177" t="s">
        <v>119</v>
      </c>
    </row>
    <row r="14178" ht="15" customHeight="1" spans="1:23" x14ac:dyDescent="0.25">
      <c r="A14178" s="17" t="s">
        <v>38347</v>
      </c>
      <c r="B14178" s="17" t="s">
        <v>70</v>
      </c>
      <c r="C14178" s="17" t="s">
        <v>71</v>
      </c>
      <c r="D14178" t="s">
        <v>38348</v>
      </c>
      <c r="F14178" t="s">
        <v>38349</v>
      </c>
      <c r="K14178" s="18">
        <f>62819050511025</f>
        <v>62819050511025</v>
      </c>
      <c r="N14178" s="17" t="s">
        <v>77</v>
      </c>
      <c r="U14178" s="17"/>
      <c r="V14178" s="18">
        <f>62819050511025</f>
        <v>62819050511025</v>
      </c>
      <c r="W14178" t="s">
        <v>38350</v>
      </c>
    </row>
    <row r="14179" ht="15" customHeight="1" spans="1:22" x14ac:dyDescent="0.25">
      <c r="A14179" s="17" t="s">
        <v>38351</v>
      </c>
      <c r="B14179" s="17" t="s">
        <v>70</v>
      </c>
      <c r="C14179" s="17" t="s">
        <v>71</v>
      </c>
      <c r="D14179" t="s">
        <v>38352</v>
      </c>
      <c r="F14179" t="s">
        <v>10541</v>
      </c>
      <c r="K14179" s="18">
        <f>628561813341</f>
        <v>628561813341</v>
      </c>
      <c r="N14179" s="17" t="s">
        <v>77</v>
      </c>
      <c r="V14179" s="18">
        <f>628561813341</f>
        <v>628561813341</v>
      </c>
    </row>
    <row r="14180" ht="15" customHeight="1" spans="1:23" x14ac:dyDescent="0.25">
      <c r="A14180" s="17" t="s">
        <v>38353</v>
      </c>
      <c r="B14180" s="17" t="s">
        <v>70</v>
      </c>
      <c r="C14180" s="17" t="s">
        <v>71</v>
      </c>
      <c r="D14180" t="s">
        <v>38354</v>
      </c>
      <c r="F14180" t="s">
        <v>38354</v>
      </c>
      <c r="K14180" s="18">
        <f>628122650102</f>
        <v>628122650102</v>
      </c>
      <c r="N14180" s="17" t="s">
        <v>81</v>
      </c>
      <c r="U14180" s="17"/>
      <c r="V14180" s="18">
        <f>628122650102</f>
        <v>628122650102</v>
      </c>
      <c r="W14180" t="s">
        <v>38355</v>
      </c>
    </row>
    <row r="14181" ht="15" customHeight="1" spans="1:22" x14ac:dyDescent="0.25">
      <c r="A14181" s="17" t="s">
        <v>38356</v>
      </c>
      <c r="B14181" s="17" t="s">
        <v>70</v>
      </c>
      <c r="C14181" s="17" t="s">
        <v>71</v>
      </c>
      <c r="D14181" t="s">
        <v>38357</v>
      </c>
      <c r="F14181" t="s">
        <v>38357</v>
      </c>
      <c r="K14181" s="18">
        <f>62811272511</f>
        <v>62811272511</v>
      </c>
      <c r="N14181" s="17" t="s">
        <v>77</v>
      </c>
      <c r="V14181" s="18">
        <f>62811272511</f>
        <v>62811272511</v>
      </c>
    </row>
    <row r="14182" ht="15" customHeight="1" spans="1:22" x14ac:dyDescent="0.25">
      <c r="A14182" s="17" t="s">
        <v>38358</v>
      </c>
      <c r="B14182" s="17" t="s">
        <v>70</v>
      </c>
      <c r="C14182" s="17" t="s">
        <v>71</v>
      </c>
      <c r="D14182" t="s">
        <v>38357</v>
      </c>
      <c r="F14182" t="s">
        <v>38359</v>
      </c>
      <c r="K14182" s="18">
        <f>62818859777</f>
        <v>62818859777</v>
      </c>
      <c r="N14182" s="17" t="s">
        <v>81</v>
      </c>
      <c r="V14182" s="18">
        <f>62818859777</f>
        <v>62818859777</v>
      </c>
    </row>
    <row r="14183" ht="15" customHeight="1" spans="1:23" x14ac:dyDescent="0.25">
      <c r="A14183" s="17" t="s">
        <v>38360</v>
      </c>
      <c r="B14183" s="17" t="s">
        <v>70</v>
      </c>
      <c r="C14183" s="17" t="s">
        <v>71</v>
      </c>
      <c r="D14183" t="s">
        <v>38361</v>
      </c>
      <c r="F14183" t="s">
        <v>38361</v>
      </c>
      <c r="K14183" s="18">
        <f>6281908242122</f>
        <v>6281908242122</v>
      </c>
      <c r="N14183" s="17" t="s">
        <v>77</v>
      </c>
      <c r="U14183" s="17"/>
      <c r="V14183" s="18">
        <f>6281908242122</f>
        <v>6281908242122</v>
      </c>
      <c r="W14183" t="s">
        <v>38362</v>
      </c>
    </row>
    <row r="14184" ht="15" customHeight="1" spans="1:28" x14ac:dyDescent="0.25">
      <c r="A14184" s="17" t="s">
        <v>38363</v>
      </c>
      <c r="B14184" s="17" t="s">
        <v>70</v>
      </c>
      <c r="C14184" s="17" t="s">
        <v>71</v>
      </c>
      <c r="D14184" t="s">
        <v>2494</v>
      </c>
      <c r="F14184" t="s">
        <v>38364</v>
      </c>
      <c r="J14184" t="s">
        <v>115</v>
      </c>
      <c r="K14184" s="18" t="s">
        <v>38365</v>
      </c>
      <c r="N14184" s="17" t="s">
        <v>81</v>
      </c>
      <c r="O14184" t="s">
        <v>117</v>
      </c>
      <c r="V14184" s="18" t="s">
        <v>38365</v>
      </c>
      <c r="Y14184" t="s">
        <v>190</v>
      </c>
      <c r="AA14184" t="s">
        <v>118</v>
      </c>
      <c r="AB14184" t="s">
        <v>16695</v>
      </c>
    </row>
    <row r="14185" ht="15" customHeight="1" spans="1:22" x14ac:dyDescent="0.25">
      <c r="A14185" s="17" t="s">
        <v>38366</v>
      </c>
      <c r="B14185" s="17" t="s">
        <v>70</v>
      </c>
      <c r="C14185" s="17" t="s">
        <v>71</v>
      </c>
      <c r="D14185" t="s">
        <v>38367</v>
      </c>
      <c r="F14185" t="s">
        <v>6520</v>
      </c>
      <c r="J14185" s="17" t="s">
        <v>38368</v>
      </c>
      <c r="K14185" s="18">
        <f>6281280800789</f>
        <v>6281280800789</v>
      </c>
      <c r="N14185" s="17" t="s">
        <v>77</v>
      </c>
      <c r="V14185" s="18">
        <f>6281280800789</f>
        <v>6281280800789</v>
      </c>
    </row>
    <row r="14186" ht="15" customHeight="1" spans="1:28" x14ac:dyDescent="0.25">
      <c r="A14186" s="17" t="s">
        <v>38369</v>
      </c>
      <c r="B14186" s="17" t="s">
        <v>70</v>
      </c>
      <c r="C14186" s="17" t="s">
        <v>71</v>
      </c>
      <c r="D14186" t="s">
        <v>38367</v>
      </c>
      <c r="F14186" t="s">
        <v>1217</v>
      </c>
      <c r="J14186" t="s">
        <v>115</v>
      </c>
      <c r="K14186" s="18" t="s">
        <v>38370</v>
      </c>
      <c r="N14186" s="17" t="s">
        <v>74</v>
      </c>
      <c r="O14186" t="s">
        <v>199</v>
      </c>
      <c r="V14186" s="18" t="s">
        <v>38370</v>
      </c>
      <c r="Y14186" t="s">
        <v>90</v>
      </c>
      <c r="AA14186" t="s">
        <v>118</v>
      </c>
      <c r="AB14186" t="s">
        <v>119</v>
      </c>
    </row>
    <row r="14187" ht="15" customHeight="1" spans="1:27" x14ac:dyDescent="0.25">
      <c r="A14187" s="17" t="s">
        <v>38371</v>
      </c>
      <c r="B14187" s="17" t="s">
        <v>70</v>
      </c>
      <c r="C14187" s="17" t="s">
        <v>71</v>
      </c>
      <c r="D14187" t="s">
        <v>38367</v>
      </c>
      <c r="F14187" t="s">
        <v>6621</v>
      </c>
      <c r="J14187" s="17" t="s">
        <v>38372</v>
      </c>
      <c r="K14187" s="18">
        <f>628179863315</f>
        <v>628179863315</v>
      </c>
      <c r="N14187" s="17" t="s">
        <v>81</v>
      </c>
      <c r="U14187" s="17"/>
      <c r="V14187" s="18">
        <f>628179863315</f>
        <v>628179863315</v>
      </c>
      <c r="W14187" t="s">
        <v>38373</v>
      </c>
      <c r="AA14187" s="17">
        <v>11270</v>
      </c>
    </row>
    <row r="14188" ht="15" customHeight="1" spans="1:22" x14ac:dyDescent="0.25">
      <c r="A14188" s="17" t="s">
        <v>38374</v>
      </c>
      <c r="B14188" s="17" t="s">
        <v>70</v>
      </c>
      <c r="C14188" s="17" t="s">
        <v>71</v>
      </c>
      <c r="D14188" t="s">
        <v>38375</v>
      </c>
      <c r="F14188" t="s">
        <v>301</v>
      </c>
      <c r="K14188" s="18">
        <f>6281574640021</f>
        <v>6281574640021</v>
      </c>
      <c r="N14188" s="17" t="s">
        <v>77</v>
      </c>
      <c r="V14188" s="18">
        <f>6281574640021</f>
        <v>6281574640021</v>
      </c>
    </row>
    <row r="14189" ht="15" customHeight="1" spans="1:22" x14ac:dyDescent="0.25">
      <c r="A14189" s="17" t="s">
        <v>38376</v>
      </c>
      <c r="B14189" s="17" t="s">
        <v>70</v>
      </c>
      <c r="C14189" s="17" t="s">
        <v>71</v>
      </c>
      <c r="D14189" t="s">
        <v>12607</v>
      </c>
      <c r="F14189" t="s">
        <v>205</v>
      </c>
      <c r="K14189" s="18">
        <f>62818943188</f>
        <v>62818943188</v>
      </c>
      <c r="N14189" s="17" t="s">
        <v>77</v>
      </c>
      <c r="V14189" s="18">
        <f>62818943188</f>
        <v>62818943188</v>
      </c>
    </row>
    <row r="14190" ht="15" customHeight="1" spans="1:22" x14ac:dyDescent="0.25">
      <c r="A14190" s="17" t="s">
        <v>38377</v>
      </c>
      <c r="B14190" s="17" t="s">
        <v>70</v>
      </c>
      <c r="C14190" s="17" t="s">
        <v>71</v>
      </c>
      <c r="D14190" t="s">
        <v>38378</v>
      </c>
      <c r="F14190" t="s">
        <v>38379</v>
      </c>
      <c r="K14190" s="18">
        <f>6282112746797</f>
        <v>6282112746797</v>
      </c>
      <c r="N14190" s="17" t="s">
        <v>77</v>
      </c>
      <c r="V14190" s="18">
        <f>6282112746797</f>
        <v>6282112746797</v>
      </c>
    </row>
    <row r="14191" ht="15" customHeight="1" spans="1:25" x14ac:dyDescent="0.25">
      <c r="A14191" s="17" t="s">
        <v>38380</v>
      </c>
      <c r="B14191" s="17" t="s">
        <v>70</v>
      </c>
      <c r="C14191" s="17" t="s">
        <v>71</v>
      </c>
      <c r="D14191" t="s">
        <v>38381</v>
      </c>
      <c r="F14191" t="s">
        <v>38381</v>
      </c>
      <c r="K14191" s="18">
        <f>62215828328</f>
        <v>62215828328</v>
      </c>
      <c r="N14191" s="17" t="s">
        <v>74</v>
      </c>
      <c r="U14191" s="17"/>
      <c r="V14191" s="18">
        <f>62215828328</f>
        <v>62215828328</v>
      </c>
      <c r="W14191" t="s">
        <v>38382</v>
      </c>
      <c r="Y14191" s="17" t="s">
        <v>626</v>
      </c>
    </row>
    <row r="14192" ht="15" customHeight="1" spans="1:22" x14ac:dyDescent="0.25">
      <c r="A14192" s="17" t="s">
        <v>38383</v>
      </c>
      <c r="B14192" s="17" t="s">
        <v>70</v>
      </c>
      <c r="C14192" s="17" t="s">
        <v>71</v>
      </c>
      <c r="D14192" t="s">
        <v>38384</v>
      </c>
      <c r="F14192" t="s">
        <v>38384</v>
      </c>
      <c r="K14192" s="18">
        <f>62811459869</f>
        <v>62811459869</v>
      </c>
      <c r="N14192" s="17" t="s">
        <v>77</v>
      </c>
      <c r="V14192" s="18">
        <f>62811459869</f>
        <v>62811459869</v>
      </c>
    </row>
    <row r="14193" ht="15" customHeight="1" spans="1:22" x14ac:dyDescent="0.25">
      <c r="A14193" s="17" t="s">
        <v>38385</v>
      </c>
      <c r="B14193" s="17" t="s">
        <v>70</v>
      </c>
      <c r="C14193" s="17" t="s">
        <v>71</v>
      </c>
      <c r="D14193" t="s">
        <v>38386</v>
      </c>
      <c r="F14193" t="s">
        <v>38386</v>
      </c>
      <c r="K14193" s="18">
        <f>62818824750</f>
        <v>62818824750</v>
      </c>
      <c r="N14193" s="17" t="s">
        <v>81</v>
      </c>
      <c r="V14193" s="18">
        <f>62818824750</f>
        <v>62818824750</v>
      </c>
    </row>
    <row r="14194" ht="15" customHeight="1" spans="1:22" x14ac:dyDescent="0.25">
      <c r="A14194" s="17" t="s">
        <v>38387</v>
      </c>
      <c r="B14194" s="17" t="s">
        <v>70</v>
      </c>
      <c r="C14194" s="17" t="s">
        <v>71</v>
      </c>
      <c r="D14194" t="s">
        <v>38388</v>
      </c>
      <c r="F14194" t="s">
        <v>38388</v>
      </c>
      <c r="K14194" s="18">
        <f>6282113715567</f>
        <v>6282113715567</v>
      </c>
      <c r="N14194" s="17" t="s">
        <v>77</v>
      </c>
      <c r="V14194" s="18">
        <f>6282113715567</f>
        <v>6282113715567</v>
      </c>
    </row>
    <row r="14195" ht="15" customHeight="1" spans="1:22" x14ac:dyDescent="0.25">
      <c r="A14195" s="17" t="s">
        <v>38389</v>
      </c>
      <c r="B14195" s="17" t="s">
        <v>70</v>
      </c>
      <c r="C14195" s="17" t="s">
        <v>71</v>
      </c>
      <c r="D14195" t="s">
        <v>38390</v>
      </c>
      <c r="F14195" t="s">
        <v>38390</v>
      </c>
      <c r="K14195" s="18">
        <f>628157370586</f>
        <v>628157370586</v>
      </c>
      <c r="N14195" s="17" t="s">
        <v>81</v>
      </c>
      <c r="V14195" s="18">
        <f>628157370586</f>
        <v>628157370586</v>
      </c>
    </row>
    <row r="14196" ht="15" customHeight="1" spans="1:22" x14ac:dyDescent="0.25">
      <c r="A14196" s="17" t="s">
        <v>38391</v>
      </c>
      <c r="B14196" s="17" t="s">
        <v>70</v>
      </c>
      <c r="C14196" s="17" t="s">
        <v>71</v>
      </c>
      <c r="D14196" t="s">
        <v>38392</v>
      </c>
      <c r="F14196" t="s">
        <v>38392</v>
      </c>
      <c r="K14196" s="18">
        <f>6281331977800</f>
        <v>6281331977800</v>
      </c>
      <c r="N14196" s="17" t="s">
        <v>77</v>
      </c>
      <c r="V14196" s="18">
        <f>6281331977800</f>
        <v>6281331977800</v>
      </c>
    </row>
    <row r="14197" ht="15" customHeight="1" spans="1:22" x14ac:dyDescent="0.25">
      <c r="A14197" s="17" t="s">
        <v>38393</v>
      </c>
      <c r="B14197" s="17" t="s">
        <v>70</v>
      </c>
      <c r="C14197" s="17" t="s">
        <v>71</v>
      </c>
      <c r="D14197" t="s">
        <v>38394</v>
      </c>
      <c r="F14197" t="s">
        <v>38394</v>
      </c>
      <c r="K14197" s="18">
        <f>6281511031241</f>
        <v>6281511031241</v>
      </c>
      <c r="N14197" s="17" t="s">
        <v>77</v>
      </c>
      <c r="V14197" s="18">
        <f>6281511031241</f>
        <v>6281511031241</v>
      </c>
    </row>
    <row r="14198" ht="15" customHeight="1" spans="1:28" x14ac:dyDescent="0.25">
      <c r="A14198" s="17" t="s">
        <v>38395</v>
      </c>
      <c r="B14198" s="17" t="s">
        <v>70</v>
      </c>
      <c r="C14198" s="17" t="s">
        <v>71</v>
      </c>
      <c r="D14198" t="s">
        <v>38396</v>
      </c>
      <c r="F14198" t="s">
        <v>38397</v>
      </c>
      <c r="J14198" t="s">
        <v>115</v>
      </c>
      <c r="K14198" s="18" t="s">
        <v>38398</v>
      </c>
      <c r="N14198" s="17" t="s">
        <v>77</v>
      </c>
      <c r="O14198" t="s">
        <v>145</v>
      </c>
      <c r="V14198" s="18" t="s">
        <v>38398</v>
      </c>
      <c r="Y14198" t="s">
        <v>90</v>
      </c>
      <c r="AA14198" t="s">
        <v>118</v>
      </c>
      <c r="AB14198" t="s">
        <v>119</v>
      </c>
    </row>
    <row r="14199" ht="15" customHeight="1" spans="1:27" x14ac:dyDescent="0.25">
      <c r="A14199" s="17" t="s">
        <v>38399</v>
      </c>
      <c r="B14199" s="17" t="s">
        <v>70</v>
      </c>
      <c r="C14199" s="17" t="s">
        <v>71</v>
      </c>
      <c r="D14199" t="s">
        <v>38400</v>
      </c>
      <c r="F14199" t="s">
        <v>38401</v>
      </c>
      <c r="K14199" s="18">
        <f>628118844454</f>
        <v>628118844454</v>
      </c>
      <c r="N14199" s="17" t="s">
        <v>77</v>
      </c>
      <c r="U14199" s="17"/>
      <c r="V14199" s="18">
        <f>628118844454</f>
        <v>628118844454</v>
      </c>
      <c r="W14199" t="s">
        <v>38402</v>
      </c>
      <c r="AA14199" s="17">
        <v>14470</v>
      </c>
    </row>
    <row r="14200" ht="15" customHeight="1" spans="1:28" x14ac:dyDescent="0.25">
      <c r="A14200" s="17" t="s">
        <v>38403</v>
      </c>
      <c r="B14200" s="17" t="s">
        <v>70</v>
      </c>
      <c r="C14200" s="17" t="s">
        <v>71</v>
      </c>
      <c r="D14200" t="s">
        <v>38404</v>
      </c>
      <c r="F14200" t="s">
        <v>6621</v>
      </c>
      <c r="J14200" t="s">
        <v>115</v>
      </c>
      <c r="K14200" s="18" t="s">
        <v>38405</v>
      </c>
      <c r="N14200" s="17" t="s">
        <v>74</v>
      </c>
      <c r="O14200" t="s">
        <v>261</v>
      </c>
      <c r="U14200" s="17"/>
      <c r="V14200" s="18" t="s">
        <v>38405</v>
      </c>
      <c r="W14200" t="s">
        <v>38406</v>
      </c>
      <c r="Y14200" s="17" t="s">
        <v>378</v>
      </c>
      <c r="AA14200" s="17" t="s">
        <v>118</v>
      </c>
      <c r="AB14200" t="s">
        <v>119</v>
      </c>
    </row>
    <row r="14201" ht="15" customHeight="1" spans="1:22" x14ac:dyDescent="0.25">
      <c r="A14201" s="17" t="s">
        <v>38407</v>
      </c>
      <c r="B14201" s="17" t="s">
        <v>70</v>
      </c>
      <c r="C14201" s="17" t="s">
        <v>71</v>
      </c>
      <c r="D14201" t="s">
        <v>38408</v>
      </c>
      <c r="F14201" t="s">
        <v>38408</v>
      </c>
      <c r="K14201" s="18">
        <f>62811134584</f>
        <v>62811134584</v>
      </c>
      <c r="N14201" s="17" t="s">
        <v>77</v>
      </c>
      <c r="V14201" s="18">
        <f>62811134584</f>
        <v>62811134584</v>
      </c>
    </row>
    <row r="14202" ht="15" customHeight="1" spans="1:25" x14ac:dyDescent="0.25">
      <c r="A14202" s="17" t="s">
        <v>38409</v>
      </c>
      <c r="B14202" s="17" t="s">
        <v>70</v>
      </c>
      <c r="C14202" s="17" t="s">
        <v>71</v>
      </c>
      <c r="D14202" t="s">
        <v>38410</v>
      </c>
      <c r="F14202" t="s">
        <v>19689</v>
      </c>
      <c r="J14202" s="17" t="s">
        <v>38411</v>
      </c>
      <c r="K14202" s="18">
        <f>62811182988</f>
        <v>62811182988</v>
      </c>
      <c r="N14202" s="17" t="s">
        <v>77</v>
      </c>
      <c r="U14202" s="17"/>
      <c r="V14202" s="18">
        <f>62811182988</f>
        <v>62811182988</v>
      </c>
      <c r="W14202" t="s">
        <v>38412</v>
      </c>
      <c r="Y14202" s="17" t="s">
        <v>626</v>
      </c>
    </row>
    <row r="14203" ht="15" customHeight="1" spans="1:22" x14ac:dyDescent="0.25">
      <c r="A14203" s="17" t="s">
        <v>38413</v>
      </c>
      <c r="B14203" s="17" t="s">
        <v>70</v>
      </c>
      <c r="C14203" s="17" t="s">
        <v>71</v>
      </c>
      <c r="D14203" t="s">
        <v>38414</v>
      </c>
      <c r="F14203" t="s">
        <v>5402</v>
      </c>
      <c r="K14203" s="18">
        <f>628158370358</f>
        <v>628158370358</v>
      </c>
      <c r="N14203" s="17" t="s">
        <v>81</v>
      </c>
      <c r="V14203" s="18">
        <f>628158370358</f>
        <v>628158370358</v>
      </c>
    </row>
    <row r="14204" ht="15" customHeight="1" spans="1:23" x14ac:dyDescent="0.25">
      <c r="A14204" s="17" t="s">
        <v>38415</v>
      </c>
      <c r="B14204" s="17" t="s">
        <v>70</v>
      </c>
      <c r="C14204" s="17" t="s">
        <v>71</v>
      </c>
      <c r="D14204" t="s">
        <v>38416</v>
      </c>
      <c r="F14204" t="s">
        <v>38416</v>
      </c>
      <c r="K14204" s="18">
        <f>628115450789</f>
        <v>628115450789</v>
      </c>
      <c r="N14204" s="17" t="s">
        <v>77</v>
      </c>
      <c r="U14204" s="17"/>
      <c r="V14204" s="18">
        <f>628115450789</f>
        <v>628115450789</v>
      </c>
      <c r="W14204" t="s">
        <v>38417</v>
      </c>
    </row>
    <row r="14205" ht="15" customHeight="1" spans="1:23" x14ac:dyDescent="0.25">
      <c r="A14205" s="17" t="s">
        <v>38418</v>
      </c>
      <c r="B14205" s="17" t="s">
        <v>70</v>
      </c>
      <c r="C14205" s="17" t="s">
        <v>71</v>
      </c>
      <c r="D14205" t="s">
        <v>38419</v>
      </c>
      <c r="F14205" t="s">
        <v>20857</v>
      </c>
      <c r="K14205" s="18">
        <f>628158912355</f>
        <v>628158912355</v>
      </c>
      <c r="N14205" s="17" t="s">
        <v>74</v>
      </c>
      <c r="U14205" s="17"/>
      <c r="V14205" s="18">
        <f>628158912355</f>
        <v>628158912355</v>
      </c>
      <c r="W14205" t="s">
        <v>38420</v>
      </c>
    </row>
    <row r="14206" ht="15" customHeight="1" spans="1:22" x14ac:dyDescent="0.25">
      <c r="A14206" s="17" t="s">
        <v>38421</v>
      </c>
      <c r="B14206" s="17" t="s">
        <v>70</v>
      </c>
      <c r="C14206" s="17" t="s">
        <v>71</v>
      </c>
      <c r="D14206" t="s">
        <v>38422</v>
      </c>
      <c r="F14206" t="s">
        <v>38423</v>
      </c>
      <c r="K14206" s="18">
        <f>62818873138</f>
        <v>62818873138</v>
      </c>
      <c r="N14206" s="17" t="s">
        <v>77</v>
      </c>
      <c r="V14206" s="18">
        <f>62818873138</f>
        <v>62818873138</v>
      </c>
    </row>
    <row r="14207" ht="15" customHeight="1" spans="1:22" x14ac:dyDescent="0.25">
      <c r="A14207" s="17" t="s">
        <v>38424</v>
      </c>
      <c r="B14207" s="17" t="s">
        <v>70</v>
      </c>
      <c r="C14207" s="17" t="s">
        <v>71</v>
      </c>
      <c r="D14207" t="s">
        <v>38425</v>
      </c>
      <c r="F14207" t="s">
        <v>38426</v>
      </c>
      <c r="K14207" s="18">
        <f>6281310241241</f>
        <v>6281310241241</v>
      </c>
      <c r="N14207" s="17" t="s">
        <v>81</v>
      </c>
      <c r="V14207" s="18">
        <f>6281310241241</f>
        <v>6281310241241</v>
      </c>
    </row>
    <row r="14208" ht="15" customHeight="1" spans="1:22" x14ac:dyDescent="0.25">
      <c r="A14208" s="17" t="s">
        <v>38427</v>
      </c>
      <c r="B14208" s="17" t="s">
        <v>70</v>
      </c>
      <c r="C14208" s="17" t="s">
        <v>71</v>
      </c>
      <c r="D14208" t="s">
        <v>38428</v>
      </c>
      <c r="F14208" t="s">
        <v>38429</v>
      </c>
      <c r="K14208" s="18">
        <f>6281117230103</f>
        <v>6281117230103</v>
      </c>
      <c r="N14208" s="17" t="s">
        <v>77</v>
      </c>
      <c r="V14208" s="18">
        <f>6281117230103</f>
        <v>6281117230103</v>
      </c>
    </row>
    <row r="14209" ht="15" customHeight="1" spans="1:22" x14ac:dyDescent="0.25">
      <c r="A14209" s="17" t="s">
        <v>38430</v>
      </c>
      <c r="B14209" s="17" t="s">
        <v>70</v>
      </c>
      <c r="C14209" s="17" t="s">
        <v>71</v>
      </c>
      <c r="D14209" t="s">
        <v>1337</v>
      </c>
      <c r="F14209" t="s">
        <v>1337</v>
      </c>
      <c r="K14209" s="18">
        <f>628123010964</f>
        <v>628123010964</v>
      </c>
      <c r="N14209" s="17" t="s">
        <v>77</v>
      </c>
      <c r="V14209" s="18">
        <f>628123010964</f>
        <v>628123010964</v>
      </c>
    </row>
    <row r="14210" ht="15" customHeight="1" spans="1:22" x14ac:dyDescent="0.25">
      <c r="A14210" s="17" t="s">
        <v>38431</v>
      </c>
      <c r="B14210" s="17" t="s">
        <v>70</v>
      </c>
      <c r="C14210" s="17" t="s">
        <v>71</v>
      </c>
      <c r="D14210" t="s">
        <v>1337</v>
      </c>
      <c r="F14210" t="s">
        <v>1337</v>
      </c>
      <c r="K14210" s="18">
        <f>62811846098</f>
        <v>62811846098</v>
      </c>
      <c r="N14210" s="17" t="s">
        <v>77</v>
      </c>
      <c r="V14210" s="18">
        <f>62811846098</f>
        <v>62811846098</v>
      </c>
    </row>
    <row r="14211" ht="15" customHeight="1" spans="1:22" x14ac:dyDescent="0.25">
      <c r="A14211" s="17" t="s">
        <v>38432</v>
      </c>
      <c r="B14211" s="17" t="s">
        <v>70</v>
      </c>
      <c r="C14211" s="17" t="s">
        <v>71</v>
      </c>
      <c r="D14211" t="s">
        <v>1337</v>
      </c>
      <c r="F14211" t="s">
        <v>1064</v>
      </c>
      <c r="K14211" s="18">
        <f>62811824871</f>
        <v>62811824871</v>
      </c>
      <c r="N14211" s="17" t="s">
        <v>77</v>
      </c>
      <c r="V14211" s="18">
        <f>62811824871</f>
        <v>62811824871</v>
      </c>
    </row>
    <row r="14212" ht="15" customHeight="1" spans="1:23" x14ac:dyDescent="0.25">
      <c r="A14212" s="17" t="s">
        <v>38433</v>
      </c>
      <c r="B14212" s="17" t="s">
        <v>70</v>
      </c>
      <c r="C14212" s="17" t="s">
        <v>71</v>
      </c>
      <c r="D14212" t="s">
        <v>1337</v>
      </c>
      <c r="F14212" t="s">
        <v>37639</v>
      </c>
      <c r="K14212" s="18">
        <f>6281250030050</f>
        <v>6281250030050</v>
      </c>
      <c r="N14212" s="17" t="s">
        <v>77</v>
      </c>
      <c r="U14212" s="17"/>
      <c r="V14212" s="18">
        <f>6281250030050</f>
        <v>6281250030050</v>
      </c>
      <c r="W14212" t="s">
        <v>38434</v>
      </c>
    </row>
    <row r="14213" ht="15" customHeight="1" spans="1:25" x14ac:dyDescent="0.25">
      <c r="A14213" s="17" t="s">
        <v>38435</v>
      </c>
      <c r="B14213" s="17" t="s">
        <v>70</v>
      </c>
      <c r="C14213" s="17" t="s">
        <v>71</v>
      </c>
      <c r="D14213" t="s">
        <v>8871</v>
      </c>
      <c r="F14213" t="s">
        <v>38436</v>
      </c>
      <c r="K14213" s="18">
        <f>628129074846</f>
        <v>628129074846</v>
      </c>
      <c r="N14213" s="17" t="s">
        <v>81</v>
      </c>
      <c r="V14213" s="18">
        <f>628129074846</f>
        <v>628129074846</v>
      </c>
      <c r="Y14213" s="17" t="s">
        <v>90</v>
      </c>
    </row>
    <row r="14214" ht="15" customHeight="1" spans="1:22" x14ac:dyDescent="0.25">
      <c r="A14214" s="17" t="s">
        <v>38437</v>
      </c>
      <c r="B14214" s="17" t="s">
        <v>70</v>
      </c>
      <c r="C14214" s="17" t="s">
        <v>71</v>
      </c>
      <c r="D14214" t="s">
        <v>8871</v>
      </c>
      <c r="F14214" t="s">
        <v>10033</v>
      </c>
      <c r="K14214" s="18">
        <f>62811148982</f>
        <v>62811148982</v>
      </c>
      <c r="N14214" s="17" t="s">
        <v>77</v>
      </c>
      <c r="V14214" s="18">
        <f>62811148982</f>
        <v>62811148982</v>
      </c>
    </row>
    <row r="14215" ht="15" customHeight="1" spans="1:23" x14ac:dyDescent="0.25">
      <c r="A14215" s="17" t="s">
        <v>38438</v>
      </c>
      <c r="B14215" s="17" t="s">
        <v>70</v>
      </c>
      <c r="C14215" s="17" t="s">
        <v>71</v>
      </c>
      <c r="D14215" t="s">
        <v>8871</v>
      </c>
      <c r="F14215" t="s">
        <v>16415</v>
      </c>
      <c r="K14215" s="18">
        <f>6285277107165</f>
        <v>6285277107165</v>
      </c>
      <c r="N14215" s="17" t="s">
        <v>77</v>
      </c>
      <c r="U14215" s="17"/>
      <c r="V14215" s="18">
        <f>6285277107165</f>
        <v>6285277107165</v>
      </c>
      <c r="W14215" t="s">
        <v>704</v>
      </c>
    </row>
    <row r="14216" ht="15" customHeight="1" spans="1:23" x14ac:dyDescent="0.25">
      <c r="A14216" s="17" t="s">
        <v>38439</v>
      </c>
      <c r="B14216" s="17" t="s">
        <v>70</v>
      </c>
      <c r="C14216" s="17" t="s">
        <v>71</v>
      </c>
      <c r="D14216" t="s">
        <v>18881</v>
      </c>
      <c r="F14216" t="s">
        <v>18881</v>
      </c>
      <c r="K14216" s="18">
        <f>6285711378808</f>
        <v>6285711378808</v>
      </c>
      <c r="N14216" s="17" t="s">
        <v>77</v>
      </c>
      <c r="U14216" s="17"/>
      <c r="V14216" s="18">
        <f>6285711378808</f>
        <v>6285711378808</v>
      </c>
      <c r="W14216" t="s">
        <v>38440</v>
      </c>
    </row>
    <row r="14217" ht="15" customHeight="1" spans="1:22" x14ac:dyDescent="0.25">
      <c r="A14217" s="17" t="s">
        <v>38441</v>
      </c>
      <c r="B14217" s="17" t="s">
        <v>70</v>
      </c>
      <c r="C14217" s="17" t="s">
        <v>71</v>
      </c>
      <c r="D14217" t="s">
        <v>18881</v>
      </c>
      <c r="F14217" t="s">
        <v>13277</v>
      </c>
      <c r="J14217" s="17" t="s">
        <v>38442</v>
      </c>
      <c r="K14217" s="18">
        <f>628126537172</f>
        <v>628126537172</v>
      </c>
      <c r="N14217" s="17" t="s">
        <v>77</v>
      </c>
      <c r="V14217" s="18">
        <f>628126537172</f>
        <v>628126537172</v>
      </c>
    </row>
    <row r="14218" ht="15" customHeight="1" spans="1:23" x14ac:dyDescent="0.25">
      <c r="A14218" s="17" t="s">
        <v>38443</v>
      </c>
      <c r="B14218" s="17" t="s">
        <v>70</v>
      </c>
      <c r="C14218" s="17" t="s">
        <v>71</v>
      </c>
      <c r="D14218" t="s">
        <v>10081</v>
      </c>
      <c r="F14218" t="s">
        <v>10081</v>
      </c>
      <c r="J14218" s="17" t="s">
        <v>38444</v>
      </c>
      <c r="K14218" s="18">
        <f>6285262406300</f>
        <v>6285262406300</v>
      </c>
      <c r="N14218" s="17" t="s">
        <v>77</v>
      </c>
      <c r="U14218" s="17"/>
      <c r="V14218" s="18">
        <f>6285262406300</f>
        <v>6285262406300</v>
      </c>
      <c r="W14218" t="s">
        <v>38445</v>
      </c>
    </row>
    <row r="14219" ht="15" customHeight="1" spans="1:22" x14ac:dyDescent="0.25">
      <c r="A14219" s="17" t="s">
        <v>38446</v>
      </c>
      <c r="B14219" s="17" t="s">
        <v>70</v>
      </c>
      <c r="C14219" s="17" t="s">
        <v>71</v>
      </c>
      <c r="D14219" t="s">
        <v>10081</v>
      </c>
      <c r="F14219" t="s">
        <v>2976</v>
      </c>
      <c r="K14219" s="18">
        <f>62215868158/59</f>
        <v>1054506239.9661016</v>
      </c>
      <c r="N14219" s="17" t="s">
        <v>77</v>
      </c>
      <c r="V14219" s="18">
        <f>62215868158/59</f>
        <v>1054506239.9661016</v>
      </c>
    </row>
    <row r="14220" ht="15" customHeight="1" spans="1:28" x14ac:dyDescent="0.25">
      <c r="A14220" s="17" t="s">
        <v>38447</v>
      </c>
      <c r="B14220" s="17" t="s">
        <v>70</v>
      </c>
      <c r="C14220" s="17" t="s">
        <v>71</v>
      </c>
      <c r="D14220" t="s">
        <v>10081</v>
      </c>
      <c r="F14220" t="s">
        <v>22834</v>
      </c>
      <c r="J14220" t="s">
        <v>115</v>
      </c>
      <c r="K14220" s="18" t="s">
        <v>38448</v>
      </c>
      <c r="N14220" s="17" t="s">
        <v>74</v>
      </c>
      <c r="O14220" t="s">
        <v>261</v>
      </c>
      <c r="U14220" s="17"/>
      <c r="V14220" s="18" t="s">
        <v>38448</v>
      </c>
      <c r="W14220" t="s">
        <v>38449</v>
      </c>
      <c r="Y14220" s="17" t="s">
        <v>490</v>
      </c>
      <c r="AA14220" t="s">
        <v>115</v>
      </c>
      <c r="AB14220" t="s">
        <v>119</v>
      </c>
    </row>
    <row r="14221" ht="15" customHeight="1" spans="1:22" x14ac:dyDescent="0.25">
      <c r="A14221" s="17" t="s">
        <v>38450</v>
      </c>
      <c r="B14221" s="17" t="s">
        <v>70</v>
      </c>
      <c r="C14221" s="17" t="s">
        <v>71</v>
      </c>
      <c r="D14221" t="s">
        <v>38451</v>
      </c>
      <c r="F14221" t="s">
        <v>38452</v>
      </c>
      <c r="K14221" s="18">
        <f>62811840234</f>
        <v>62811840234</v>
      </c>
      <c r="N14221" s="17" t="s">
        <v>81</v>
      </c>
      <c r="V14221" s="18">
        <f>62811840234</f>
        <v>62811840234</v>
      </c>
    </row>
    <row r="14222" ht="15" customHeight="1" spans="1:22" x14ac:dyDescent="0.25">
      <c r="A14222" s="17" t="s">
        <v>38453</v>
      </c>
      <c r="B14222" s="17" t="s">
        <v>70</v>
      </c>
      <c r="C14222" s="17" t="s">
        <v>71</v>
      </c>
      <c r="D14222" t="s">
        <v>18223</v>
      </c>
      <c r="F14222" t="s">
        <v>18223</v>
      </c>
      <c r="K14222" s="18">
        <f>628159288218</f>
        <v>628159288218</v>
      </c>
      <c r="N14222" s="17" t="s">
        <v>81</v>
      </c>
      <c r="V14222" s="18">
        <f>628159288218</f>
        <v>628159288218</v>
      </c>
    </row>
    <row r="14223" ht="15" customHeight="1" spans="1:22" x14ac:dyDescent="0.25">
      <c r="A14223" s="17" t="s">
        <v>38454</v>
      </c>
      <c r="B14223" s="17" t="s">
        <v>70</v>
      </c>
      <c r="C14223" s="17" t="s">
        <v>71</v>
      </c>
      <c r="D14223" t="s">
        <v>11661</v>
      </c>
      <c r="F14223" t="s">
        <v>1079</v>
      </c>
      <c r="K14223" s="18">
        <f>6281808056617</f>
        <v>6281808056617</v>
      </c>
      <c r="N14223" s="17" t="s">
        <v>81</v>
      </c>
      <c r="V14223" s="18">
        <f>6281808056617</f>
        <v>6281808056617</v>
      </c>
    </row>
    <row r="14224" ht="15" customHeight="1" spans="1:22" x14ac:dyDescent="0.25">
      <c r="A14224" s="17" t="s">
        <v>38455</v>
      </c>
      <c r="B14224" s="17" t="s">
        <v>70</v>
      </c>
      <c r="C14224" s="17" t="s">
        <v>71</v>
      </c>
      <c r="D14224" t="s">
        <v>38456</v>
      </c>
      <c r="F14224" t="s">
        <v>38456</v>
      </c>
      <c r="K14224" s="18">
        <f>628129469397</f>
        <v>628129469397</v>
      </c>
      <c r="N14224" s="17" t="s">
        <v>77</v>
      </c>
      <c r="V14224" s="18">
        <f>628129469397</f>
        <v>628129469397</v>
      </c>
    </row>
    <row r="14225" ht="15" customHeight="1" spans="1:25" x14ac:dyDescent="0.25">
      <c r="A14225" s="17" t="s">
        <v>38457</v>
      </c>
      <c r="B14225" s="17" t="s">
        <v>70</v>
      </c>
      <c r="C14225" s="17" t="s">
        <v>71</v>
      </c>
      <c r="D14225" t="s">
        <v>38458</v>
      </c>
      <c r="F14225" t="s">
        <v>9142</v>
      </c>
      <c r="K14225" s="18">
        <f>628126063477</f>
        <v>628126063477</v>
      </c>
      <c r="N14225" s="17" t="s">
        <v>77</v>
      </c>
      <c r="U14225" s="17"/>
      <c r="V14225" s="18">
        <f>628126063477</f>
        <v>628126063477</v>
      </c>
      <c r="W14225" t="s">
        <v>38459</v>
      </c>
      <c r="Y14225" s="17" t="s">
        <v>1157</v>
      </c>
    </row>
    <row r="14226" ht="15" customHeight="1" spans="1:23" x14ac:dyDescent="0.25">
      <c r="A14226" s="17" t="s">
        <v>38460</v>
      </c>
      <c r="B14226" s="17" t="s">
        <v>70</v>
      </c>
      <c r="C14226" s="17" t="s">
        <v>71</v>
      </c>
      <c r="D14226" t="s">
        <v>7983</v>
      </c>
      <c r="F14226" t="s">
        <v>5549</v>
      </c>
      <c r="J14226" s="17" t="s">
        <v>38461</v>
      </c>
      <c r="K14226" s="18">
        <f>628129051205</f>
        <v>628129051205</v>
      </c>
      <c r="N14226" s="17" t="s">
        <v>81</v>
      </c>
      <c r="U14226" s="17"/>
      <c r="V14226" s="18">
        <f>628129051205</f>
        <v>628129051205</v>
      </c>
      <c r="W14226" t="s">
        <v>38462</v>
      </c>
    </row>
    <row r="14227" ht="15" customHeight="1" spans="1:27" x14ac:dyDescent="0.25">
      <c r="A14227" s="17" t="s">
        <v>38463</v>
      </c>
      <c r="B14227" s="17" t="s">
        <v>70</v>
      </c>
      <c r="C14227" s="17" t="s">
        <v>71</v>
      </c>
      <c r="D14227" t="s">
        <v>7983</v>
      </c>
      <c r="F14227" t="s">
        <v>38464</v>
      </c>
      <c r="K14227" s="18">
        <f>628164838682</f>
        <v>628164838682</v>
      </c>
      <c r="N14227" s="17" t="s">
        <v>81</v>
      </c>
      <c r="U14227" s="17"/>
      <c r="V14227" s="18">
        <f>628164838682</f>
        <v>628164838682</v>
      </c>
      <c r="W14227" t="s">
        <v>38465</v>
      </c>
      <c r="Y14227" s="17" t="s">
        <v>90</v>
      </c>
      <c r="AA14227" s="17">
        <v>12160</v>
      </c>
    </row>
    <row r="14228" ht="15" customHeight="1" spans="1:28" x14ac:dyDescent="0.25">
      <c r="A14228" s="17" t="s">
        <v>38466</v>
      </c>
      <c r="B14228" s="17" t="s">
        <v>70</v>
      </c>
      <c r="C14228" s="17" t="s">
        <v>71</v>
      </c>
      <c r="D14228" t="s">
        <v>7983</v>
      </c>
      <c r="F14228" t="s">
        <v>38467</v>
      </c>
      <c r="J14228" t="s">
        <v>115</v>
      </c>
      <c r="K14228" s="18" t="s">
        <v>38468</v>
      </c>
      <c r="N14228" s="17" t="s">
        <v>81</v>
      </c>
      <c r="O14228" t="s">
        <v>489</v>
      </c>
      <c r="U14228" s="17"/>
      <c r="V14228" s="18" t="s">
        <v>38468</v>
      </c>
      <c r="W14228" t="s">
        <v>38469</v>
      </c>
      <c r="Y14228" t="s">
        <v>4993</v>
      </c>
      <c r="AA14228" s="17" t="s">
        <v>38470</v>
      </c>
      <c r="AB14228" t="s">
        <v>119</v>
      </c>
    </row>
    <row r="14229" ht="15" customHeight="1" spans="1:22" x14ac:dyDescent="0.25">
      <c r="A14229" s="17" t="s">
        <v>38471</v>
      </c>
      <c r="B14229" s="17" t="s">
        <v>70</v>
      </c>
      <c r="C14229" s="17" t="s">
        <v>71</v>
      </c>
      <c r="D14229" t="s">
        <v>38472</v>
      </c>
      <c r="F14229" t="s">
        <v>38472</v>
      </c>
      <c r="K14229" s="18">
        <f>6281350254480</f>
        <v>6281350254480</v>
      </c>
      <c r="N14229" s="17" t="s">
        <v>77</v>
      </c>
      <c r="V14229" s="18">
        <f>6281350254480</f>
        <v>6281350254480</v>
      </c>
    </row>
    <row r="14230" ht="15" customHeight="1" spans="1:28" x14ac:dyDescent="0.25">
      <c r="A14230" s="17" t="s">
        <v>38473</v>
      </c>
      <c r="B14230" s="17" t="s">
        <v>70</v>
      </c>
      <c r="C14230" s="17" t="s">
        <v>71</v>
      </c>
      <c r="D14230" t="s">
        <v>38474</v>
      </c>
      <c r="F14230" t="s">
        <v>38475</v>
      </c>
      <c r="J14230" t="s">
        <v>115</v>
      </c>
      <c r="K14230" s="18" t="s">
        <v>38476</v>
      </c>
      <c r="N14230" s="17" t="s">
        <v>77</v>
      </c>
      <c r="O14230" t="s">
        <v>199</v>
      </c>
      <c r="U14230" s="17"/>
      <c r="V14230" s="18" t="s">
        <v>38476</v>
      </c>
      <c r="W14230" t="s">
        <v>38477</v>
      </c>
      <c r="Y14230" t="s">
        <v>1084</v>
      </c>
      <c r="AA14230" t="s">
        <v>3146</v>
      </c>
      <c r="AB14230" t="s">
        <v>119</v>
      </c>
    </row>
    <row r="14231" ht="15" customHeight="1" spans="1:22" x14ac:dyDescent="0.25">
      <c r="A14231" s="17" t="s">
        <v>38478</v>
      </c>
      <c r="B14231" s="17" t="s">
        <v>70</v>
      </c>
      <c r="C14231" s="17" t="s">
        <v>71</v>
      </c>
      <c r="D14231" t="s">
        <v>16438</v>
      </c>
      <c r="F14231" t="s">
        <v>16438</v>
      </c>
      <c r="K14231" s="18">
        <f>62818111200</f>
        <v>62818111200</v>
      </c>
      <c r="N14231" s="17" t="s">
        <v>81</v>
      </c>
      <c r="V14231" s="18">
        <f>62818111200</f>
        <v>62818111200</v>
      </c>
    </row>
    <row r="14232" ht="15" customHeight="1" spans="1:22" x14ac:dyDescent="0.25">
      <c r="A14232" s="17" t="s">
        <v>38479</v>
      </c>
      <c r="B14232" s="17" t="s">
        <v>70</v>
      </c>
      <c r="C14232" s="17" t="s">
        <v>71</v>
      </c>
      <c r="D14232" t="s">
        <v>16438</v>
      </c>
      <c r="F14232" t="s">
        <v>38480</v>
      </c>
      <c r="K14232" s="18">
        <f>62816876749</f>
        <v>62816876749</v>
      </c>
      <c r="N14232" s="17" t="s">
        <v>77</v>
      </c>
      <c r="V14232" s="18">
        <f>62816876749</f>
        <v>62816876749</v>
      </c>
    </row>
    <row r="14233" ht="15" customHeight="1" spans="1:22" x14ac:dyDescent="0.25">
      <c r="A14233" s="17" t="s">
        <v>38481</v>
      </c>
      <c r="B14233" s="17" t="s">
        <v>70</v>
      </c>
      <c r="C14233" s="17" t="s">
        <v>71</v>
      </c>
      <c r="D14233" t="s">
        <v>13121</v>
      </c>
      <c r="F14233" t="s">
        <v>13121</v>
      </c>
      <c r="K14233" s="18">
        <f>6281250933328</f>
        <v>6281250933328</v>
      </c>
      <c r="N14233" s="17" t="s">
        <v>77</v>
      </c>
      <c r="V14233" s="18">
        <f>6281250933328</f>
        <v>6281250933328</v>
      </c>
    </row>
    <row r="14234" ht="15" customHeight="1" spans="1:22" x14ac:dyDescent="0.25">
      <c r="A14234" s="17" t="s">
        <v>38482</v>
      </c>
      <c r="B14234" s="17" t="s">
        <v>70</v>
      </c>
      <c r="C14234" s="17" t="s">
        <v>71</v>
      </c>
      <c r="D14234" t="s">
        <v>13121</v>
      </c>
      <c r="F14234" t="s">
        <v>13121</v>
      </c>
      <c r="K14234" s="18">
        <f>628121386797</f>
        <v>628121386797</v>
      </c>
      <c r="N14234" s="17" t="s">
        <v>77</v>
      </c>
      <c r="V14234" s="18">
        <f>628121386797</f>
        <v>628121386797</v>
      </c>
    </row>
    <row r="14235" ht="15" customHeight="1" spans="1:22" x14ac:dyDescent="0.25">
      <c r="A14235" s="17" t="s">
        <v>38483</v>
      </c>
      <c r="B14235" s="17" t="s">
        <v>70</v>
      </c>
      <c r="C14235" s="17" t="s">
        <v>71</v>
      </c>
      <c r="D14235" t="s">
        <v>13121</v>
      </c>
      <c r="F14235" t="s">
        <v>5363</v>
      </c>
      <c r="K14235" s="18">
        <f>62816972707</f>
        <v>62816972707</v>
      </c>
      <c r="N14235" s="17" t="s">
        <v>81</v>
      </c>
      <c r="V14235" s="18">
        <f>62816972707</f>
        <v>62816972707</v>
      </c>
    </row>
    <row r="14236" ht="15" customHeight="1" spans="1:25" x14ac:dyDescent="0.25">
      <c r="A14236" s="17" t="s">
        <v>38484</v>
      </c>
      <c r="B14236" s="17" t="s">
        <v>70</v>
      </c>
      <c r="C14236" s="17" t="s">
        <v>71</v>
      </c>
      <c r="D14236" t="s">
        <v>13121</v>
      </c>
      <c r="F14236" t="s">
        <v>38485</v>
      </c>
      <c r="K14236" s="18">
        <f>62818178777</f>
        <v>62818178777</v>
      </c>
      <c r="N14236" s="17" t="s">
        <v>74</v>
      </c>
      <c r="U14236" s="17"/>
      <c r="V14236" s="18">
        <f>62818178777</f>
        <v>62818178777</v>
      </c>
      <c r="W14236" t="s">
        <v>38486</v>
      </c>
      <c r="Y14236" s="17" t="s">
        <v>626</v>
      </c>
    </row>
    <row r="14237" ht="15" customHeight="1" spans="1:22" x14ac:dyDescent="0.25">
      <c r="A14237" s="17" t="s">
        <v>38487</v>
      </c>
      <c r="B14237" s="17" t="s">
        <v>70</v>
      </c>
      <c r="C14237" s="17" t="s">
        <v>71</v>
      </c>
      <c r="D14237" t="s">
        <v>13121</v>
      </c>
      <c r="F14237" t="s">
        <v>37563</v>
      </c>
      <c r="K14237" s="18">
        <f>628111730408</f>
        <v>628111730408</v>
      </c>
      <c r="N14237" s="17" t="s">
        <v>77</v>
      </c>
      <c r="V14237" s="18">
        <f>628111730408</f>
        <v>628111730408</v>
      </c>
    </row>
    <row r="14238" ht="15" customHeight="1" spans="1:22" x14ac:dyDescent="0.25">
      <c r="A14238" s="17" t="s">
        <v>38488</v>
      </c>
      <c r="B14238" s="17" t="s">
        <v>70</v>
      </c>
      <c r="C14238" s="17" t="s">
        <v>71</v>
      </c>
      <c r="D14238" t="s">
        <v>13121</v>
      </c>
      <c r="F14238" t="s">
        <v>3991</v>
      </c>
      <c r="K14238" s="18">
        <f>628119527527</f>
        <v>628119527527</v>
      </c>
      <c r="N14238" s="17" t="s">
        <v>81</v>
      </c>
      <c r="V14238" s="18">
        <f>628119527527</f>
        <v>628119527527</v>
      </c>
    </row>
    <row r="14239" ht="15" customHeight="1" spans="1:28" x14ac:dyDescent="0.25">
      <c r="A14239" s="17" t="s">
        <v>38489</v>
      </c>
      <c r="B14239" s="17" t="s">
        <v>70</v>
      </c>
      <c r="C14239" s="17" t="s">
        <v>71</v>
      </c>
      <c r="D14239" t="s">
        <v>13121</v>
      </c>
      <c r="F14239" t="s">
        <v>6960</v>
      </c>
      <c r="J14239" s="17" t="s">
        <v>38490</v>
      </c>
      <c r="K14239" s="18" t="s">
        <v>38491</v>
      </c>
      <c r="N14239" s="17" t="s">
        <v>77</v>
      </c>
      <c r="O14239" t="s">
        <v>261</v>
      </c>
      <c r="U14239" s="17"/>
      <c r="V14239" s="18" t="s">
        <v>38491</v>
      </c>
      <c r="W14239" t="s">
        <v>38492</v>
      </c>
      <c r="Y14239" t="s">
        <v>90</v>
      </c>
      <c r="AA14239" t="s">
        <v>118</v>
      </c>
      <c r="AB14239" t="s">
        <v>119</v>
      </c>
    </row>
    <row r="14240" ht="15" customHeight="1" spans="1:22" x14ac:dyDescent="0.25">
      <c r="A14240" s="17" t="s">
        <v>38493</v>
      </c>
      <c r="B14240" s="17" t="s">
        <v>70</v>
      </c>
      <c r="C14240" s="17" t="s">
        <v>71</v>
      </c>
      <c r="D14240" t="s">
        <v>13121</v>
      </c>
      <c r="F14240" t="s">
        <v>15385</v>
      </c>
      <c r="K14240" s="18">
        <f>62811899959</f>
        <v>62811899959</v>
      </c>
      <c r="N14240" s="17" t="s">
        <v>81</v>
      </c>
      <c r="V14240" s="18">
        <f>62811899959</f>
        <v>62811899959</v>
      </c>
    </row>
    <row r="14241" ht="15" customHeight="1" spans="1:23" x14ac:dyDescent="0.25">
      <c r="A14241" s="17" t="s">
        <v>38494</v>
      </c>
      <c r="B14241" s="17" t="s">
        <v>70</v>
      </c>
      <c r="C14241" s="17" t="s">
        <v>71</v>
      </c>
      <c r="D14241" t="s">
        <v>13121</v>
      </c>
      <c r="F14241" t="s">
        <v>343</v>
      </c>
      <c r="K14241" s="18">
        <f>628119303334</f>
        <v>628119303334</v>
      </c>
      <c r="N14241" s="17" t="s">
        <v>81</v>
      </c>
      <c r="U14241" s="17"/>
      <c r="V14241" s="18">
        <f>628119303334</f>
        <v>628119303334</v>
      </c>
      <c r="W14241" t="s">
        <v>38495</v>
      </c>
    </row>
    <row r="14242" ht="15" customHeight="1" spans="1:22" x14ac:dyDescent="0.25">
      <c r="A14242" s="17" t="s">
        <v>38496</v>
      </c>
      <c r="B14242" s="17" t="s">
        <v>70</v>
      </c>
      <c r="C14242" s="17" t="s">
        <v>71</v>
      </c>
      <c r="D14242" t="s">
        <v>13121</v>
      </c>
      <c r="F14242" t="s">
        <v>38497</v>
      </c>
      <c r="J14242" s="17" t="s">
        <v>38498</v>
      </c>
      <c r="K14242" s="18">
        <f>6281281999933</f>
        <v>6281281999933</v>
      </c>
      <c r="N14242" s="17" t="s">
        <v>77</v>
      </c>
      <c r="V14242" s="18">
        <f>6281281999933</f>
        <v>6281281999933</v>
      </c>
    </row>
    <row r="14243" ht="15" customHeight="1" spans="1:22" x14ac:dyDescent="0.25">
      <c r="A14243" s="17" t="s">
        <v>38499</v>
      </c>
      <c r="B14243" s="17" t="s">
        <v>70</v>
      </c>
      <c r="C14243" s="17" t="s">
        <v>71</v>
      </c>
      <c r="D14243" t="s">
        <v>13121</v>
      </c>
      <c r="F14243" t="s">
        <v>11388</v>
      </c>
      <c r="K14243" s="18">
        <f>62816867979</f>
        <v>62816867979</v>
      </c>
      <c r="N14243" s="17" t="s">
        <v>77</v>
      </c>
      <c r="V14243" s="18">
        <f>62816867979</f>
        <v>62816867979</v>
      </c>
    </row>
    <row r="14244" ht="15" customHeight="1" spans="1:22" x14ac:dyDescent="0.25">
      <c r="A14244" s="17" t="s">
        <v>38500</v>
      </c>
      <c r="B14244" s="17" t="s">
        <v>70</v>
      </c>
      <c r="C14244" s="17" t="s">
        <v>71</v>
      </c>
      <c r="D14244" t="s">
        <v>13121</v>
      </c>
      <c r="F14244" t="s">
        <v>38501</v>
      </c>
      <c r="K14244" s="18">
        <f>62816733982</f>
        <v>62816733982</v>
      </c>
      <c r="N14244" s="17" t="s">
        <v>74</v>
      </c>
      <c r="V14244" s="18">
        <f>62816733982</f>
        <v>62816733982</v>
      </c>
    </row>
    <row r="14245" ht="15" customHeight="1" spans="1:28" x14ac:dyDescent="0.25">
      <c r="A14245" s="17" t="s">
        <v>38502</v>
      </c>
      <c r="B14245" s="17" t="s">
        <v>70</v>
      </c>
      <c r="C14245" s="17" t="s">
        <v>71</v>
      </c>
      <c r="D14245" t="s">
        <v>13121</v>
      </c>
      <c r="F14245" t="s">
        <v>1169</v>
      </c>
      <c r="J14245" t="s">
        <v>115</v>
      </c>
      <c r="K14245" s="18" t="s">
        <v>38503</v>
      </c>
      <c r="N14245" s="17" t="s">
        <v>77</v>
      </c>
      <c r="O14245" t="s">
        <v>117</v>
      </c>
      <c r="U14245" s="17"/>
      <c r="V14245" s="18" t="s">
        <v>38503</v>
      </c>
      <c r="W14245" t="s">
        <v>38504</v>
      </c>
      <c r="Y14245" s="17" t="s">
        <v>90</v>
      </c>
      <c r="AA14245" s="17" t="s">
        <v>118</v>
      </c>
      <c r="AB14245" t="s">
        <v>119</v>
      </c>
    </row>
    <row r="14246" ht="15" customHeight="1" spans="1:28" x14ac:dyDescent="0.25">
      <c r="A14246" s="17" t="s">
        <v>38505</v>
      </c>
      <c r="B14246" s="17" t="s">
        <v>70</v>
      </c>
      <c r="C14246" s="17" t="s">
        <v>71</v>
      </c>
      <c r="D14246" t="s">
        <v>13121</v>
      </c>
      <c r="F14246" t="s">
        <v>2523</v>
      </c>
      <c r="J14246" s="17" t="s">
        <v>38506</v>
      </c>
      <c r="K14246" s="18" t="s">
        <v>38507</v>
      </c>
      <c r="N14246" s="17" t="s">
        <v>77</v>
      </c>
      <c r="O14246" t="s">
        <v>199</v>
      </c>
      <c r="U14246" s="17"/>
      <c r="V14246" s="18" t="s">
        <v>38507</v>
      </c>
      <c r="W14246" t="s">
        <v>38508</v>
      </c>
      <c r="Y14246" s="17" t="s">
        <v>217</v>
      </c>
      <c r="AA14246" s="17" t="s">
        <v>218</v>
      </c>
      <c r="AB14246" t="s">
        <v>119</v>
      </c>
    </row>
    <row r="14247" ht="15" customHeight="1" spans="1:23" x14ac:dyDescent="0.25">
      <c r="A14247" s="17" t="s">
        <v>38509</v>
      </c>
      <c r="B14247" s="17" t="s">
        <v>70</v>
      </c>
      <c r="C14247" s="17" t="s">
        <v>71</v>
      </c>
      <c r="D14247" t="s">
        <v>38510</v>
      </c>
      <c r="F14247" t="s">
        <v>38510</v>
      </c>
      <c r="K14247" s="18">
        <f>6282123222168</f>
        <v>6282123222168</v>
      </c>
      <c r="N14247" s="17" t="s">
        <v>77</v>
      </c>
      <c r="U14247" s="17"/>
      <c r="V14247" s="18">
        <f>6282123222168</f>
        <v>6282123222168</v>
      </c>
      <c r="W14247" t="s">
        <v>38511</v>
      </c>
    </row>
    <row r="14248" ht="15" customHeight="1" spans="1:22" x14ac:dyDescent="0.25">
      <c r="A14248" s="17" t="s">
        <v>38512</v>
      </c>
      <c r="B14248" s="17" t="s">
        <v>70</v>
      </c>
      <c r="C14248" s="17" t="s">
        <v>71</v>
      </c>
      <c r="D14248" t="s">
        <v>38513</v>
      </c>
      <c r="F14248" t="s">
        <v>38513</v>
      </c>
      <c r="K14248" s="18">
        <f>62811188044</f>
        <v>62811188044</v>
      </c>
      <c r="N14248" s="17" t="s">
        <v>77</v>
      </c>
      <c r="V14248" s="18">
        <f>62811188044</f>
        <v>62811188044</v>
      </c>
    </row>
    <row r="14249" ht="15" customHeight="1" spans="1:23" x14ac:dyDescent="0.25">
      <c r="A14249" s="17" t="s">
        <v>38514</v>
      </c>
      <c r="B14249" s="17" t="s">
        <v>70</v>
      </c>
      <c r="C14249" s="17" t="s">
        <v>71</v>
      </c>
      <c r="D14249" t="s">
        <v>38515</v>
      </c>
      <c r="F14249" t="s">
        <v>19689</v>
      </c>
      <c r="K14249" s="18">
        <f>628129600948</f>
        <v>628129600948</v>
      </c>
      <c r="N14249" s="17" t="s">
        <v>81</v>
      </c>
      <c r="U14249" s="17"/>
      <c r="V14249" s="18">
        <f>628129600948</f>
        <v>628129600948</v>
      </c>
      <c r="W14249" t="s">
        <v>38516</v>
      </c>
    </row>
    <row r="14250" ht="15" customHeight="1" spans="1:23" x14ac:dyDescent="0.25">
      <c r="A14250" s="17" t="s">
        <v>38517</v>
      </c>
      <c r="B14250" s="17" t="s">
        <v>70</v>
      </c>
      <c r="C14250" s="17" t="s">
        <v>71</v>
      </c>
      <c r="D14250" t="s">
        <v>38518</v>
      </c>
      <c r="F14250" t="s">
        <v>5544</v>
      </c>
      <c r="K14250" s="18">
        <f>6281574702201</f>
        <v>6281574702201</v>
      </c>
      <c r="N14250" s="17" t="s">
        <v>81</v>
      </c>
      <c r="U14250" s="17"/>
      <c r="V14250" s="18">
        <f>6281574702201</f>
        <v>6281574702201</v>
      </c>
      <c r="W14250" t="s">
        <v>38519</v>
      </c>
    </row>
    <row r="14251" ht="15" customHeight="1" spans="1:22" x14ac:dyDescent="0.25">
      <c r="A14251" s="17" t="s">
        <v>38520</v>
      </c>
      <c r="B14251" s="17" t="s">
        <v>70</v>
      </c>
      <c r="C14251" s="17" t="s">
        <v>71</v>
      </c>
      <c r="D14251" t="s">
        <v>38521</v>
      </c>
      <c r="F14251" t="s">
        <v>38522</v>
      </c>
      <c r="K14251" s="18">
        <f>62811952538</f>
        <v>62811952538</v>
      </c>
      <c r="N14251" s="17" t="s">
        <v>74</v>
      </c>
      <c r="V14251" s="18">
        <f>62811952538</f>
        <v>62811952538</v>
      </c>
    </row>
    <row r="14252" ht="15" customHeight="1" spans="1:27" x14ac:dyDescent="0.25">
      <c r="A14252" s="17" t="s">
        <v>38523</v>
      </c>
      <c r="B14252" s="17" t="s">
        <v>70</v>
      </c>
      <c r="C14252" s="17" t="s">
        <v>71</v>
      </c>
      <c r="D14252" t="s">
        <v>15525</v>
      </c>
      <c r="F14252" t="s">
        <v>38524</v>
      </c>
      <c r="J14252" s="17" t="s">
        <v>38525</v>
      </c>
      <c r="K14252" s="18">
        <f>628816847406</f>
        <v>628816847406</v>
      </c>
      <c r="N14252" s="17" t="s">
        <v>77</v>
      </c>
      <c r="U14252" s="17"/>
      <c r="V14252" s="18">
        <f>628816847406</f>
        <v>628816847406</v>
      </c>
      <c r="W14252" t="s">
        <v>38526</v>
      </c>
      <c r="AA14252" s="17">
        <v>12160</v>
      </c>
    </row>
    <row r="14253" ht="15" customHeight="1" spans="1:22" x14ac:dyDescent="0.25">
      <c r="A14253" s="17" t="s">
        <v>38527</v>
      </c>
      <c r="B14253" s="17" t="s">
        <v>70</v>
      </c>
      <c r="C14253" s="17" t="s">
        <v>71</v>
      </c>
      <c r="D14253" t="s">
        <v>15525</v>
      </c>
      <c r="F14253" t="s">
        <v>38528</v>
      </c>
      <c r="K14253" s="18">
        <f>62816847406</f>
        <v>62816847406</v>
      </c>
      <c r="N14253" s="17" t="s">
        <v>77</v>
      </c>
      <c r="V14253" s="18">
        <f>62816847406</f>
        <v>62816847406</v>
      </c>
    </row>
    <row r="14254" ht="15" customHeight="1" spans="1:22" x14ac:dyDescent="0.25">
      <c r="A14254" s="17" t="s">
        <v>38529</v>
      </c>
      <c r="B14254" s="17" t="s">
        <v>70</v>
      </c>
      <c r="C14254" s="17" t="s">
        <v>71</v>
      </c>
      <c r="D14254" t="s">
        <v>15525</v>
      </c>
      <c r="F14254" t="s">
        <v>3585</v>
      </c>
      <c r="K14254" s="18">
        <f>6285578779009</f>
        <v>6285578779009</v>
      </c>
      <c r="N14254" s="17" t="s">
        <v>77</v>
      </c>
      <c r="V14254" s="18">
        <f>6285578779009</f>
        <v>6285578779009</v>
      </c>
    </row>
    <row r="14255" ht="15" customHeight="1" spans="1:22" x14ac:dyDescent="0.25">
      <c r="A14255" s="17" t="s">
        <v>38530</v>
      </c>
      <c r="B14255" s="17" t="s">
        <v>70</v>
      </c>
      <c r="C14255" s="17" t="s">
        <v>71</v>
      </c>
      <c r="D14255" t="s">
        <v>15525</v>
      </c>
      <c r="F14255" t="s">
        <v>153</v>
      </c>
      <c r="K14255" s="18" t="s">
        <v>38531</v>
      </c>
      <c r="N14255" s="17" t="s">
        <v>77</v>
      </c>
      <c r="V14255" s="18" t="s">
        <v>38531</v>
      </c>
    </row>
    <row r="14256" ht="15" customHeight="1" spans="1:28" x14ac:dyDescent="0.25">
      <c r="A14256" s="17" t="s">
        <v>38532</v>
      </c>
      <c r="B14256" s="17" t="s">
        <v>70</v>
      </c>
      <c r="C14256" s="17" t="s">
        <v>71</v>
      </c>
      <c r="D14256" t="s">
        <v>15525</v>
      </c>
      <c r="F14256" t="s">
        <v>913</v>
      </c>
      <c r="J14256" t="s">
        <v>38533</v>
      </c>
      <c r="K14256" s="18" t="s">
        <v>38534</v>
      </c>
      <c r="N14256" s="17" t="s">
        <v>77</v>
      </c>
      <c r="O14256" t="s">
        <v>199</v>
      </c>
      <c r="V14256" s="18" t="s">
        <v>38534</v>
      </c>
      <c r="Y14256" s="17" t="s">
        <v>190</v>
      </c>
      <c r="AA14256" t="s">
        <v>118</v>
      </c>
      <c r="AB14256" t="s">
        <v>119</v>
      </c>
    </row>
    <row r="14257" ht="15" customHeight="1" spans="1:25" x14ac:dyDescent="0.25">
      <c r="A14257" s="17" t="s">
        <v>38535</v>
      </c>
      <c r="B14257" s="17" t="s">
        <v>70</v>
      </c>
      <c r="C14257" s="17" t="s">
        <v>71</v>
      </c>
      <c r="D14257" t="s">
        <v>3181</v>
      </c>
      <c r="F14257" t="s">
        <v>3181</v>
      </c>
      <c r="K14257" s="18">
        <f>628115041930</f>
        <v>628115041930</v>
      </c>
      <c r="N14257" s="17" t="s">
        <v>77</v>
      </c>
      <c r="U14257" s="17"/>
      <c r="V14257" s="18">
        <f>628115041930</f>
        <v>628115041930</v>
      </c>
      <c r="W14257" t="s">
        <v>38536</v>
      </c>
      <c r="Y14257" s="17" t="s">
        <v>626</v>
      </c>
    </row>
    <row r="14258" ht="15" customHeight="1" spans="1:25" x14ac:dyDescent="0.25">
      <c r="A14258" s="17" t="s">
        <v>38537</v>
      </c>
      <c r="B14258" s="17" t="s">
        <v>70</v>
      </c>
      <c r="C14258" s="17" t="s">
        <v>71</v>
      </c>
      <c r="D14258" t="s">
        <v>3181</v>
      </c>
      <c r="F14258" t="s">
        <v>16504</v>
      </c>
      <c r="K14258" s="18">
        <f>628128256633</f>
        <v>628128256633</v>
      </c>
      <c r="N14258" s="17" t="s">
        <v>81</v>
      </c>
      <c r="U14258" s="17"/>
      <c r="V14258" s="18">
        <f>628128256633</f>
        <v>628128256633</v>
      </c>
      <c r="W14258" t="s">
        <v>38538</v>
      </c>
      <c r="Y14258" s="17" t="s">
        <v>90</v>
      </c>
    </row>
    <row r="14259" ht="15" customHeight="1" spans="1:22" x14ac:dyDescent="0.25">
      <c r="A14259" s="17" t="s">
        <v>38539</v>
      </c>
      <c r="B14259" s="17" t="s">
        <v>70</v>
      </c>
      <c r="C14259" s="17" t="s">
        <v>71</v>
      </c>
      <c r="D14259" t="s">
        <v>3181</v>
      </c>
      <c r="F14259" t="s">
        <v>913</v>
      </c>
      <c r="K14259" s="18">
        <f>62818866339</f>
        <v>62818866339</v>
      </c>
      <c r="N14259" s="17" t="s">
        <v>74</v>
      </c>
      <c r="V14259" s="18">
        <f>62818866339</f>
        <v>62818866339</v>
      </c>
    </row>
    <row r="14260" ht="15" customHeight="1" spans="1:27" x14ac:dyDescent="0.25">
      <c r="A14260" s="17" t="s">
        <v>38540</v>
      </c>
      <c r="B14260" s="17" t="s">
        <v>70</v>
      </c>
      <c r="C14260" s="17" t="s">
        <v>71</v>
      </c>
      <c r="D14260" t="s">
        <v>38541</v>
      </c>
      <c r="F14260" t="s">
        <v>38542</v>
      </c>
      <c r="K14260" s="18">
        <f>628161354185</f>
        <v>628161354185</v>
      </c>
      <c r="N14260" s="17" t="s">
        <v>74</v>
      </c>
      <c r="U14260" s="17"/>
      <c r="V14260" s="18">
        <f>628161354185</f>
        <v>628161354185</v>
      </c>
      <c r="W14260" t="s">
        <v>38543</v>
      </c>
      <c r="Y14260" s="17" t="s">
        <v>1084</v>
      </c>
      <c r="AA14260" s="17" t="s">
        <v>38544</v>
      </c>
    </row>
    <row r="14261" ht="15" customHeight="1" spans="1:22" x14ac:dyDescent="0.25">
      <c r="A14261" s="17" t="s">
        <v>38545</v>
      </c>
      <c r="B14261" s="17" t="s">
        <v>70</v>
      </c>
      <c r="C14261" s="17" t="s">
        <v>71</v>
      </c>
      <c r="D14261" t="s">
        <v>3585</v>
      </c>
      <c r="F14261" t="s">
        <v>3585</v>
      </c>
      <c r="K14261" s="18">
        <f>6285712666666</f>
        <v>6285712666666</v>
      </c>
      <c r="N14261" s="17" t="s">
        <v>77</v>
      </c>
      <c r="V14261" s="18">
        <f>6285712666666</f>
        <v>6285712666666</v>
      </c>
    </row>
    <row r="14262" ht="15" customHeight="1" spans="1:22" x14ac:dyDescent="0.25">
      <c r="A14262" s="17" t="s">
        <v>38546</v>
      </c>
      <c r="B14262" s="17" t="s">
        <v>70</v>
      </c>
      <c r="C14262" s="17" t="s">
        <v>71</v>
      </c>
      <c r="D14262" t="s">
        <v>3585</v>
      </c>
      <c r="F14262" t="s">
        <v>3585</v>
      </c>
      <c r="K14262" s="18">
        <f>628111311010</f>
        <v>628111311010</v>
      </c>
      <c r="N14262" s="17" t="s">
        <v>81</v>
      </c>
      <c r="V14262" s="18">
        <f>628111311010</f>
        <v>628111311010</v>
      </c>
    </row>
    <row r="14263" ht="15" customHeight="1" spans="1:22" x14ac:dyDescent="0.25">
      <c r="A14263" s="17" t="s">
        <v>38547</v>
      </c>
      <c r="B14263" s="17" t="s">
        <v>70</v>
      </c>
      <c r="C14263" s="17" t="s">
        <v>71</v>
      </c>
      <c r="D14263" t="s">
        <v>3585</v>
      </c>
      <c r="F14263" t="s">
        <v>1551</v>
      </c>
      <c r="K14263" s="18">
        <f>6287875133587</f>
        <v>6287875133587</v>
      </c>
      <c r="N14263" s="17" t="s">
        <v>81</v>
      </c>
      <c r="V14263" s="18">
        <f>6287875133587</f>
        <v>6287875133587</v>
      </c>
    </row>
    <row r="14264" ht="15" customHeight="1" spans="1:22" x14ac:dyDescent="0.25">
      <c r="A14264" s="17" t="s">
        <v>38548</v>
      </c>
      <c r="B14264" s="17" t="s">
        <v>70</v>
      </c>
      <c r="C14264" s="17" t="s">
        <v>71</v>
      </c>
      <c r="D14264" t="s">
        <v>3585</v>
      </c>
      <c r="F14264" t="s">
        <v>7183</v>
      </c>
      <c r="K14264" s="18">
        <f>62816715727</f>
        <v>62816715727</v>
      </c>
      <c r="N14264" s="17" t="s">
        <v>81</v>
      </c>
      <c r="V14264" s="18">
        <f>62816715727</f>
        <v>62816715727</v>
      </c>
    </row>
    <row r="14265" ht="15" customHeight="1" spans="1:22" x14ac:dyDescent="0.25">
      <c r="A14265" s="17" t="s">
        <v>38549</v>
      </c>
      <c r="B14265" s="17" t="s">
        <v>70</v>
      </c>
      <c r="C14265" s="17" t="s">
        <v>71</v>
      </c>
      <c r="D14265" t="s">
        <v>3585</v>
      </c>
      <c r="F14265" t="s">
        <v>3991</v>
      </c>
      <c r="K14265" s="18">
        <f>62816900123</f>
        <v>62816900123</v>
      </c>
      <c r="N14265" s="17" t="s">
        <v>77</v>
      </c>
      <c r="V14265" s="18">
        <f>62816900123</f>
        <v>62816900123</v>
      </c>
    </row>
    <row r="14266" ht="15" customHeight="1" spans="1:22" x14ac:dyDescent="0.25">
      <c r="A14266" s="17" t="s">
        <v>38550</v>
      </c>
      <c r="B14266" s="17" t="s">
        <v>70</v>
      </c>
      <c r="C14266" s="17" t="s">
        <v>71</v>
      </c>
      <c r="D14266" t="s">
        <v>38551</v>
      </c>
      <c r="F14266" t="s">
        <v>38551</v>
      </c>
      <c r="K14266" s="18">
        <f>628129096410</f>
        <v>628129096410</v>
      </c>
      <c r="N14266" s="17" t="s">
        <v>81</v>
      </c>
      <c r="V14266" s="18">
        <f>628129096410</f>
        <v>628129096410</v>
      </c>
    </row>
    <row r="14267" ht="15" customHeight="1" spans="1:22" x14ac:dyDescent="0.25">
      <c r="A14267" s="17" t="s">
        <v>38552</v>
      </c>
      <c r="B14267" s="17" t="s">
        <v>70</v>
      </c>
      <c r="C14267" s="17" t="s">
        <v>71</v>
      </c>
      <c r="D14267" t="s">
        <v>38551</v>
      </c>
      <c r="F14267" t="s">
        <v>38551</v>
      </c>
      <c r="K14267" s="18">
        <f>62811888222</f>
        <v>62811888222</v>
      </c>
      <c r="N14267" s="17" t="s">
        <v>81</v>
      </c>
      <c r="V14267" s="18">
        <f>62811888222</f>
        <v>62811888222</v>
      </c>
    </row>
    <row r="14268" ht="15" customHeight="1" spans="1:28" x14ac:dyDescent="0.25">
      <c r="A14268" s="17" t="s">
        <v>38553</v>
      </c>
      <c r="B14268" s="17" t="s">
        <v>70</v>
      </c>
      <c r="C14268" s="17" t="s">
        <v>71</v>
      </c>
      <c r="D14268" t="s">
        <v>12351</v>
      </c>
      <c r="F14268" t="s">
        <v>12351</v>
      </c>
      <c r="J14268" s="17" t="s">
        <v>38554</v>
      </c>
      <c r="K14268" s="18" t="s">
        <v>38555</v>
      </c>
      <c r="N14268" s="17" t="s">
        <v>77</v>
      </c>
      <c r="O14268" t="s">
        <v>261</v>
      </c>
      <c r="U14268" s="17"/>
      <c r="V14268" s="18" t="s">
        <v>38555</v>
      </c>
      <c r="W14268" t="s">
        <v>38556</v>
      </c>
      <c r="Y14268" t="s">
        <v>38557</v>
      </c>
      <c r="AA14268" t="s">
        <v>115</v>
      </c>
      <c r="AB14268" t="s">
        <v>119</v>
      </c>
    </row>
    <row r="14269" ht="15" customHeight="1" spans="1:22" x14ac:dyDescent="0.25">
      <c r="A14269" s="17" t="s">
        <v>38558</v>
      </c>
      <c r="B14269" s="17" t="s">
        <v>70</v>
      </c>
      <c r="C14269" s="17" t="s">
        <v>71</v>
      </c>
      <c r="D14269" t="s">
        <v>12351</v>
      </c>
      <c r="F14269" t="s">
        <v>12351</v>
      </c>
      <c r="K14269" s="18">
        <f>628161169169</f>
        <v>628161169169</v>
      </c>
      <c r="N14269" s="17" t="s">
        <v>77</v>
      </c>
      <c r="V14269" s="18">
        <f>628161169169</f>
        <v>628161169169</v>
      </c>
    </row>
    <row r="14270" ht="15" customHeight="1" spans="1:25" x14ac:dyDescent="0.25">
      <c r="A14270" s="17" t="s">
        <v>38559</v>
      </c>
      <c r="B14270" s="17" t="s">
        <v>70</v>
      </c>
      <c r="C14270" s="17" t="s">
        <v>71</v>
      </c>
      <c r="D14270" t="s">
        <v>12351</v>
      </c>
      <c r="F14270" t="s">
        <v>672</v>
      </c>
      <c r="K14270" s="18">
        <f>62811830313</f>
        <v>62811830313</v>
      </c>
      <c r="N14270" s="17" t="s">
        <v>77</v>
      </c>
      <c r="U14270" s="17"/>
      <c r="V14270" s="18">
        <f>62811830313</f>
        <v>62811830313</v>
      </c>
      <c r="W14270" t="s">
        <v>38560</v>
      </c>
      <c r="Y14270" s="17" t="s">
        <v>6412</v>
      </c>
    </row>
    <row r="14271" ht="15" customHeight="1" spans="1:23" x14ac:dyDescent="0.25">
      <c r="A14271" s="17" t="s">
        <v>38561</v>
      </c>
      <c r="B14271" s="17" t="s">
        <v>70</v>
      </c>
      <c r="C14271" s="17" t="s">
        <v>71</v>
      </c>
      <c r="D14271" t="s">
        <v>38562</v>
      </c>
      <c r="F14271" t="s">
        <v>38563</v>
      </c>
      <c r="K14271" s="18">
        <f>919901056779</f>
        <v>919901056779</v>
      </c>
      <c r="N14271" s="17" t="s">
        <v>77</v>
      </c>
      <c r="U14271" s="17"/>
      <c r="V14271" s="18">
        <f>919901056779</f>
        <v>919901056779</v>
      </c>
      <c r="W14271" t="s">
        <v>920</v>
      </c>
    </row>
    <row r="14272" ht="15" customHeight="1" spans="1:22" x14ac:dyDescent="0.25">
      <c r="A14272" s="17" t="s">
        <v>38564</v>
      </c>
      <c r="B14272" s="17" t="s">
        <v>70</v>
      </c>
      <c r="C14272" s="17" t="s">
        <v>71</v>
      </c>
      <c r="D14272" t="s">
        <v>2615</v>
      </c>
      <c r="F14272" t="s">
        <v>2615</v>
      </c>
      <c r="K14272" s="18">
        <f>628129999238</f>
        <v>628129999238</v>
      </c>
      <c r="N14272" s="17" t="s">
        <v>81</v>
      </c>
      <c r="V14272" s="18">
        <f>628129999238</f>
        <v>628129999238</v>
      </c>
    </row>
    <row r="14273" ht="15" customHeight="1" spans="1:22" x14ac:dyDescent="0.25">
      <c r="A14273" s="17" t="s">
        <v>38565</v>
      </c>
      <c r="B14273" s="17" t="s">
        <v>70</v>
      </c>
      <c r="C14273" s="17" t="s">
        <v>71</v>
      </c>
      <c r="D14273" t="s">
        <v>2615</v>
      </c>
      <c r="F14273" t="s">
        <v>2615</v>
      </c>
      <c r="J14273" s="17" t="s">
        <v>38566</v>
      </c>
      <c r="K14273" s="18">
        <f>62818164978</f>
        <v>62818164978</v>
      </c>
      <c r="N14273" s="17" t="s">
        <v>77</v>
      </c>
      <c r="V14273" s="18">
        <f>62818164978</f>
        <v>62818164978</v>
      </c>
    </row>
    <row r="14274" ht="15" customHeight="1" spans="1:28" x14ac:dyDescent="0.25">
      <c r="A14274" s="17" t="s">
        <v>38567</v>
      </c>
      <c r="B14274" s="17" t="s">
        <v>70</v>
      </c>
      <c r="C14274" s="17" t="s">
        <v>71</v>
      </c>
      <c r="D14274" t="s">
        <v>2615</v>
      </c>
      <c r="F14274" t="s">
        <v>2615</v>
      </c>
      <c r="J14274" t="s">
        <v>115</v>
      </c>
      <c r="K14274" s="18" t="s">
        <v>38568</v>
      </c>
      <c r="N14274" s="17" t="s">
        <v>77</v>
      </c>
      <c r="O14274" t="s">
        <v>117</v>
      </c>
      <c r="V14274" s="18" t="s">
        <v>38568</v>
      </c>
      <c r="Y14274" t="s">
        <v>90</v>
      </c>
      <c r="AA14274" t="s">
        <v>118</v>
      </c>
      <c r="AB14274" t="s">
        <v>119</v>
      </c>
    </row>
    <row r="14275" ht="15" customHeight="1" spans="1:23" x14ac:dyDescent="0.25">
      <c r="A14275" s="17" t="s">
        <v>38569</v>
      </c>
      <c r="B14275" s="17" t="s">
        <v>70</v>
      </c>
      <c r="C14275" s="17" t="s">
        <v>71</v>
      </c>
      <c r="D14275" t="s">
        <v>2615</v>
      </c>
      <c r="F14275" t="s">
        <v>38570</v>
      </c>
      <c r="K14275" s="18">
        <f>628161310656</f>
        <v>628161310656</v>
      </c>
      <c r="N14275" s="17" t="s">
        <v>77</v>
      </c>
      <c r="U14275" s="17"/>
      <c r="V14275" s="18">
        <f>628161310656</f>
        <v>628161310656</v>
      </c>
      <c r="W14275" t="s">
        <v>38571</v>
      </c>
    </row>
    <row r="14276" ht="15" customHeight="1" spans="1:23" x14ac:dyDescent="0.25">
      <c r="A14276" s="17" t="s">
        <v>38572</v>
      </c>
      <c r="B14276" s="17" t="s">
        <v>70</v>
      </c>
      <c r="C14276" s="17" t="s">
        <v>71</v>
      </c>
      <c r="D14276" t="s">
        <v>2615</v>
      </c>
      <c r="F14276" t="s">
        <v>6198</v>
      </c>
      <c r="K14276" s="18">
        <f>628164840588</f>
        <v>628164840588</v>
      </c>
      <c r="N14276" s="17" t="s">
        <v>81</v>
      </c>
      <c r="U14276" s="17"/>
      <c r="V14276" s="18">
        <f>628164840588</f>
        <v>628164840588</v>
      </c>
      <c r="W14276" t="s">
        <v>38573</v>
      </c>
    </row>
    <row r="14277" ht="15" customHeight="1" spans="1:22" x14ac:dyDescent="0.25">
      <c r="A14277" s="17" t="s">
        <v>38574</v>
      </c>
      <c r="B14277" s="17" t="s">
        <v>70</v>
      </c>
      <c r="C14277" s="17" t="s">
        <v>71</v>
      </c>
      <c r="D14277" t="s">
        <v>2615</v>
      </c>
      <c r="F14277" t="s">
        <v>38575</v>
      </c>
      <c r="K14277" s="18">
        <f>6287780150333</f>
        <v>6287780150333</v>
      </c>
      <c r="N14277" s="17" t="s">
        <v>77</v>
      </c>
      <c r="V14277" s="18">
        <f>6287780150333</f>
        <v>6287780150333</v>
      </c>
    </row>
    <row r="14278" ht="15" customHeight="1" spans="1:25" x14ac:dyDescent="0.25">
      <c r="A14278" s="17" t="s">
        <v>38576</v>
      </c>
      <c r="B14278" s="17" t="s">
        <v>70</v>
      </c>
      <c r="C14278" s="17" t="s">
        <v>71</v>
      </c>
      <c r="D14278" t="s">
        <v>2615</v>
      </c>
      <c r="F14278" t="s">
        <v>38577</v>
      </c>
      <c r="K14278" s="18">
        <f>622174706174</f>
        <v>622174706174</v>
      </c>
      <c r="N14278" s="17" t="s">
        <v>77</v>
      </c>
      <c r="U14278" s="17"/>
      <c r="V14278" s="18">
        <f>622174706174</f>
        <v>622174706174</v>
      </c>
      <c r="W14278" t="s">
        <v>38578</v>
      </c>
      <c r="Y14278" s="17" t="s">
        <v>96</v>
      </c>
    </row>
    <row r="14279" ht="15" customHeight="1" spans="1:22" x14ac:dyDescent="0.25">
      <c r="A14279" s="17" t="s">
        <v>38579</v>
      </c>
      <c r="B14279" s="17" t="s">
        <v>70</v>
      </c>
      <c r="C14279" s="17" t="s">
        <v>71</v>
      </c>
      <c r="D14279" t="s">
        <v>2615</v>
      </c>
      <c r="F14279" t="s">
        <v>17892</v>
      </c>
      <c r="K14279" s="18">
        <f>62811112050</f>
        <v>62811112050</v>
      </c>
      <c r="N14279" s="17" t="s">
        <v>77</v>
      </c>
      <c r="V14279" s="18">
        <f>62811112050</f>
        <v>62811112050</v>
      </c>
    </row>
    <row r="14280" ht="15" customHeight="1" spans="1:25" x14ac:dyDescent="0.25">
      <c r="A14280" s="17" t="s">
        <v>38580</v>
      </c>
      <c r="B14280" s="17" t="s">
        <v>70</v>
      </c>
      <c r="C14280" s="17" t="s">
        <v>71</v>
      </c>
      <c r="D14280" t="s">
        <v>2615</v>
      </c>
      <c r="F14280" t="s">
        <v>4059</v>
      </c>
      <c r="K14280" s="18">
        <f>628111465501</f>
        <v>628111465501</v>
      </c>
      <c r="N14280" s="17" t="s">
        <v>74</v>
      </c>
      <c r="U14280" s="17"/>
      <c r="V14280" s="18">
        <f>628111465501</f>
        <v>628111465501</v>
      </c>
      <c r="W14280" t="s">
        <v>38581</v>
      </c>
      <c r="Y14280" s="17" t="s">
        <v>18107</v>
      </c>
    </row>
    <row r="14281" ht="15" customHeight="1" spans="1:25" x14ac:dyDescent="0.25">
      <c r="A14281" s="17" t="s">
        <v>38582</v>
      </c>
      <c r="B14281" s="17" t="s">
        <v>70</v>
      </c>
      <c r="C14281" s="17" t="s">
        <v>71</v>
      </c>
      <c r="D14281" t="s">
        <v>38583</v>
      </c>
      <c r="F14281" t="s">
        <v>38583</v>
      </c>
      <c r="K14281" s="18">
        <f>628158019298</f>
        <v>628158019298</v>
      </c>
      <c r="N14281" s="17" t="s">
        <v>81</v>
      </c>
      <c r="U14281" s="17"/>
      <c r="V14281" s="18">
        <f>628158019298</f>
        <v>628158019298</v>
      </c>
      <c r="W14281" t="s">
        <v>38584</v>
      </c>
      <c r="Y14281" s="17" t="s">
        <v>704</v>
      </c>
    </row>
    <row r="14282" ht="15" customHeight="1" spans="1:28" x14ac:dyDescent="0.25">
      <c r="A14282" s="17" t="s">
        <v>38585</v>
      </c>
      <c r="B14282" s="17" t="s">
        <v>70</v>
      </c>
      <c r="C14282" s="17" t="s">
        <v>71</v>
      </c>
      <c r="D14282" t="s">
        <v>2523</v>
      </c>
      <c r="F14282" t="s">
        <v>2159</v>
      </c>
      <c r="J14282" t="s">
        <v>115</v>
      </c>
      <c r="K14282" s="18" t="s">
        <v>38586</v>
      </c>
      <c r="N14282" s="17" t="s">
        <v>77</v>
      </c>
      <c r="O14282" t="s">
        <v>117</v>
      </c>
      <c r="V14282" s="18" t="s">
        <v>38586</v>
      </c>
      <c r="Y14282" t="s">
        <v>90</v>
      </c>
      <c r="AA14282" t="s">
        <v>118</v>
      </c>
      <c r="AB14282" t="s">
        <v>119</v>
      </c>
    </row>
    <row r="14283" ht="15" customHeight="1" spans="1:28" x14ac:dyDescent="0.25">
      <c r="A14283" s="17" t="s">
        <v>38587</v>
      </c>
      <c r="B14283" s="17" t="s">
        <v>70</v>
      </c>
      <c r="C14283" s="17" t="s">
        <v>71</v>
      </c>
      <c r="D14283" t="s">
        <v>38588</v>
      </c>
      <c r="F14283" t="s">
        <v>38588</v>
      </c>
      <c r="J14283" t="s">
        <v>115</v>
      </c>
      <c r="K14283" s="18" t="s">
        <v>38589</v>
      </c>
      <c r="N14283" s="17" t="s">
        <v>77</v>
      </c>
      <c r="O14283" t="s">
        <v>261</v>
      </c>
      <c r="U14283" s="17"/>
      <c r="V14283" s="18" t="s">
        <v>38589</v>
      </c>
      <c r="W14283" t="s">
        <v>38590</v>
      </c>
      <c r="Y14283" s="17" t="s">
        <v>217</v>
      </c>
      <c r="AA14283" t="s">
        <v>218</v>
      </c>
      <c r="AB14283" t="s">
        <v>119</v>
      </c>
    </row>
    <row r="14284" ht="15" customHeight="1" spans="1:22" x14ac:dyDescent="0.25">
      <c r="A14284" s="17" t="s">
        <v>38591</v>
      </c>
      <c r="B14284" s="17" t="s">
        <v>70</v>
      </c>
      <c r="C14284" s="17" t="s">
        <v>71</v>
      </c>
      <c r="D14284" t="s">
        <v>12114</v>
      </c>
      <c r="F14284" t="s">
        <v>12114</v>
      </c>
      <c r="K14284" s="18">
        <f>628118012001</f>
        <v>628118012001</v>
      </c>
      <c r="N14284" s="17" t="s">
        <v>77</v>
      </c>
      <c r="V14284" s="18">
        <f>628118012001</f>
        <v>628118012001</v>
      </c>
    </row>
    <row r="14285" ht="15" customHeight="1" spans="1:25" x14ac:dyDescent="0.25">
      <c r="A14285" s="17" t="s">
        <v>38592</v>
      </c>
      <c r="B14285" s="17" t="s">
        <v>70</v>
      </c>
      <c r="C14285" s="17" t="s">
        <v>71</v>
      </c>
      <c r="D14285" t="s">
        <v>12114</v>
      </c>
      <c r="F14285" t="s">
        <v>1608</v>
      </c>
      <c r="J14285" s="17" t="s">
        <v>38593</v>
      </c>
      <c r="K14285" s="18">
        <f>62816719803</f>
        <v>62816719803</v>
      </c>
      <c r="N14285" s="17" t="s">
        <v>77</v>
      </c>
      <c r="U14285" s="17"/>
      <c r="V14285" s="18">
        <f>62816719803</f>
        <v>62816719803</v>
      </c>
      <c r="W14285" t="s">
        <v>38594</v>
      </c>
      <c r="Y14285" s="17" t="s">
        <v>1084</v>
      </c>
    </row>
    <row r="14286" ht="15" customHeight="1" spans="1:22" x14ac:dyDescent="0.25">
      <c r="A14286" s="17" t="s">
        <v>38595</v>
      </c>
      <c r="B14286" s="17" t="s">
        <v>70</v>
      </c>
      <c r="C14286" s="17" t="s">
        <v>71</v>
      </c>
      <c r="D14286" t="s">
        <v>12679</v>
      </c>
      <c r="F14286" t="s">
        <v>12679</v>
      </c>
      <c r="K14286" s="18">
        <f>62816793478</f>
        <v>62816793478</v>
      </c>
      <c r="N14286" s="17" t="s">
        <v>81</v>
      </c>
      <c r="V14286" s="18">
        <f>62816793478</f>
        <v>62816793478</v>
      </c>
    </row>
    <row r="14287" ht="15" customHeight="1" spans="1:22" x14ac:dyDescent="0.25">
      <c r="A14287" s="17" t="s">
        <v>38596</v>
      </c>
      <c r="B14287" s="17" t="s">
        <v>70</v>
      </c>
      <c r="C14287" s="17" t="s">
        <v>71</v>
      </c>
      <c r="D14287" t="s">
        <v>12679</v>
      </c>
      <c r="F14287" t="s">
        <v>38597</v>
      </c>
      <c r="K14287" s="18">
        <f>62817125314</f>
        <v>62817125314</v>
      </c>
      <c r="N14287" s="17" t="s">
        <v>77</v>
      </c>
      <c r="V14287" s="18">
        <f>62817125314</f>
        <v>62817125314</v>
      </c>
    </row>
    <row r="14288" ht="15" customHeight="1" spans="1:28" x14ac:dyDescent="0.25">
      <c r="A14288" s="17" t="s">
        <v>38598</v>
      </c>
      <c r="B14288" s="17" t="s">
        <v>70</v>
      </c>
      <c r="C14288" s="17" t="s">
        <v>71</v>
      </c>
      <c r="D14288" t="s">
        <v>38599</v>
      </c>
      <c r="F14288" t="s">
        <v>17787</v>
      </c>
      <c r="J14288" s="17" t="s">
        <v>38600</v>
      </c>
      <c r="K14288" s="18" t="s">
        <v>38601</v>
      </c>
      <c r="N14288" s="17" t="s">
        <v>81</v>
      </c>
      <c r="O14288" t="s">
        <v>117</v>
      </c>
      <c r="V14288" s="18" t="s">
        <v>38601</v>
      </c>
      <c r="Y14288" t="s">
        <v>90</v>
      </c>
      <c r="AA14288" s="17" t="s">
        <v>118</v>
      </c>
      <c r="AB14288" t="s">
        <v>119</v>
      </c>
    </row>
    <row r="14289" ht="15" customHeight="1" spans="1:22" x14ac:dyDescent="0.25">
      <c r="A14289" s="17" t="s">
        <v>38602</v>
      </c>
      <c r="B14289" s="17" t="s">
        <v>70</v>
      </c>
      <c r="C14289" s="17" t="s">
        <v>71</v>
      </c>
      <c r="D14289" t="s">
        <v>38603</v>
      </c>
      <c r="F14289" t="s">
        <v>38603</v>
      </c>
      <c r="K14289" s="18">
        <f>6281399966688</f>
        <v>6281399966688</v>
      </c>
      <c r="N14289" s="17" t="s">
        <v>77</v>
      </c>
      <c r="V14289" s="18">
        <f>6281399966688</f>
        <v>6281399966688</v>
      </c>
    </row>
    <row r="14290" ht="15" customHeight="1" spans="1:28" x14ac:dyDescent="0.25">
      <c r="A14290" s="17" t="s">
        <v>38604</v>
      </c>
      <c r="B14290" s="17" t="s">
        <v>70</v>
      </c>
      <c r="C14290" s="17" t="s">
        <v>71</v>
      </c>
      <c r="D14290" t="s">
        <v>3796</v>
      </c>
      <c r="F14290" t="s">
        <v>3796</v>
      </c>
      <c r="J14290" t="s">
        <v>115</v>
      </c>
      <c r="K14290" s="18" t="s">
        <v>38605</v>
      </c>
      <c r="N14290" s="17" t="s">
        <v>81</v>
      </c>
      <c r="O14290" t="s">
        <v>117</v>
      </c>
      <c r="V14290" s="18" t="s">
        <v>38605</v>
      </c>
      <c r="Y14290" t="s">
        <v>90</v>
      </c>
      <c r="AA14290" t="s">
        <v>118</v>
      </c>
      <c r="AB14290" t="s">
        <v>119</v>
      </c>
    </row>
    <row r="14291" ht="15" customHeight="1" spans="1:28" x14ac:dyDescent="0.25">
      <c r="A14291" s="17" t="s">
        <v>38606</v>
      </c>
      <c r="B14291" s="17" t="s">
        <v>70</v>
      </c>
      <c r="C14291" s="17" t="s">
        <v>71</v>
      </c>
      <c r="D14291" t="s">
        <v>3796</v>
      </c>
      <c r="F14291" t="s">
        <v>21123</v>
      </c>
      <c r="J14291" t="s">
        <v>115</v>
      </c>
      <c r="K14291" s="18" t="s">
        <v>38607</v>
      </c>
      <c r="N14291" s="17" t="s">
        <v>81</v>
      </c>
      <c r="O14291" t="s">
        <v>117</v>
      </c>
      <c r="U14291" s="17"/>
      <c r="V14291" s="18" t="s">
        <v>38607</v>
      </c>
      <c r="W14291" t="s">
        <v>38608</v>
      </c>
      <c r="Y14291" t="s">
        <v>626</v>
      </c>
      <c r="AA14291" t="s">
        <v>3090</v>
      </c>
      <c r="AB14291" t="s">
        <v>119</v>
      </c>
    </row>
    <row r="14292" ht="15" customHeight="1" spans="1:25" x14ac:dyDescent="0.25">
      <c r="A14292" s="17" t="s">
        <v>38609</v>
      </c>
      <c r="B14292" s="17" t="s">
        <v>70</v>
      </c>
      <c r="C14292" s="17" t="s">
        <v>71</v>
      </c>
      <c r="D14292" t="s">
        <v>3796</v>
      </c>
      <c r="F14292" t="s">
        <v>9806</v>
      </c>
      <c r="K14292" s="18">
        <f>628159910909</f>
        <v>628159910909</v>
      </c>
      <c r="N14292" s="17" t="s">
        <v>77</v>
      </c>
      <c r="U14292" s="17"/>
      <c r="V14292" s="18">
        <f>628159910909</f>
        <v>628159910909</v>
      </c>
      <c r="W14292" t="s">
        <v>38610</v>
      </c>
      <c r="Y14292" s="17" t="s">
        <v>1084</v>
      </c>
    </row>
    <row r="14293" ht="15" customHeight="1" spans="1:22" x14ac:dyDescent="0.25">
      <c r="A14293" s="17" t="s">
        <v>38611</v>
      </c>
      <c r="B14293" s="17" t="s">
        <v>70</v>
      </c>
      <c r="C14293" s="17" t="s">
        <v>71</v>
      </c>
      <c r="D14293" t="s">
        <v>38612</v>
      </c>
      <c r="F14293" t="s">
        <v>38613</v>
      </c>
      <c r="K14293" s="18">
        <f>6281513088530</f>
        <v>6281513088530</v>
      </c>
      <c r="N14293" s="17" t="s">
        <v>77</v>
      </c>
      <c r="V14293" s="18">
        <f>6281513088530</f>
        <v>6281513088530</v>
      </c>
    </row>
    <row r="14294" ht="15" customHeight="1" spans="1:25" x14ac:dyDescent="0.25">
      <c r="A14294" s="17" t="s">
        <v>38614</v>
      </c>
      <c r="B14294" s="17" t="s">
        <v>70</v>
      </c>
      <c r="C14294" s="17" t="s">
        <v>71</v>
      </c>
      <c r="D14294" t="s">
        <v>38615</v>
      </c>
      <c r="F14294" t="s">
        <v>38615</v>
      </c>
      <c r="K14294" s="18">
        <f>6283873509975</f>
        <v>6283873509975</v>
      </c>
      <c r="N14294" s="17" t="s">
        <v>77</v>
      </c>
      <c r="V14294" s="18">
        <f>6283873509975</f>
        <v>6283873509975</v>
      </c>
      <c r="Y14294" s="17" t="s">
        <v>8494</v>
      </c>
    </row>
    <row r="14295" ht="15" customHeight="1" spans="1:28" x14ac:dyDescent="0.25">
      <c r="A14295" s="17" t="s">
        <v>38616</v>
      </c>
      <c r="B14295" s="17" t="s">
        <v>70</v>
      </c>
      <c r="C14295" s="17" t="s">
        <v>71</v>
      </c>
      <c r="D14295" t="s">
        <v>38617</v>
      </c>
      <c r="F14295" t="s">
        <v>38618</v>
      </c>
      <c r="J14295" t="s">
        <v>115</v>
      </c>
      <c r="K14295" s="18" t="s">
        <v>38619</v>
      </c>
      <c r="N14295" s="17" t="s">
        <v>77</v>
      </c>
      <c r="O14295" t="s">
        <v>489</v>
      </c>
      <c r="V14295" s="18" t="s">
        <v>38619</v>
      </c>
      <c r="Y14295" t="s">
        <v>378</v>
      </c>
      <c r="AA14295" t="s">
        <v>118</v>
      </c>
      <c r="AB14295" t="s">
        <v>119</v>
      </c>
    </row>
    <row r="14296" ht="15" customHeight="1" spans="1:23" x14ac:dyDescent="0.25">
      <c r="A14296" s="17" t="s">
        <v>38620</v>
      </c>
      <c r="B14296" s="17" t="s">
        <v>70</v>
      </c>
      <c r="C14296" s="17" t="s">
        <v>71</v>
      </c>
      <c r="D14296" t="s">
        <v>35136</v>
      </c>
      <c r="F14296" t="s">
        <v>35136</v>
      </c>
      <c r="K14296" s="18">
        <f>6287771751717</f>
        <v>6287771751717</v>
      </c>
      <c r="N14296" s="17" t="s">
        <v>77</v>
      </c>
      <c r="U14296" s="17"/>
      <c r="V14296" s="18">
        <f>6287771751717</f>
        <v>6287771751717</v>
      </c>
      <c r="W14296" t="s">
        <v>38621</v>
      </c>
    </row>
    <row r="14297" ht="15" customHeight="1" spans="1:22" x14ac:dyDescent="0.25">
      <c r="A14297" s="17" t="s">
        <v>38622</v>
      </c>
      <c r="B14297" s="17" t="s">
        <v>70</v>
      </c>
      <c r="C14297" s="17" t="s">
        <v>71</v>
      </c>
      <c r="D14297" t="s">
        <v>35136</v>
      </c>
      <c r="F14297" t="s">
        <v>35136</v>
      </c>
      <c r="K14297" s="18">
        <f>6281236009588</f>
        <v>6281236009588</v>
      </c>
      <c r="N14297" s="17" t="s">
        <v>81</v>
      </c>
      <c r="V14297" s="18">
        <f>6281236009588</f>
        <v>6281236009588</v>
      </c>
    </row>
    <row r="14298" ht="15" customHeight="1" spans="1:22" x14ac:dyDescent="0.25">
      <c r="A14298" s="17" t="s">
        <v>38623</v>
      </c>
      <c r="B14298" s="17" t="s">
        <v>70</v>
      </c>
      <c r="C14298" s="17" t="s">
        <v>71</v>
      </c>
      <c r="D14298" t="s">
        <v>35136</v>
      </c>
      <c r="F14298" t="s">
        <v>35136</v>
      </c>
      <c r="K14298" s="18">
        <f>6287809705185</f>
        <v>6287809705185</v>
      </c>
      <c r="N14298" s="17" t="s">
        <v>77</v>
      </c>
      <c r="V14298" s="18">
        <f>6287809705185</f>
        <v>6287809705185</v>
      </c>
    </row>
    <row r="14299" ht="15" customHeight="1" spans="1:28" x14ac:dyDescent="0.25">
      <c r="A14299" s="17" t="s">
        <v>38624</v>
      </c>
      <c r="B14299" s="17" t="s">
        <v>70</v>
      </c>
      <c r="C14299" s="17" t="s">
        <v>71</v>
      </c>
      <c r="D14299" t="s">
        <v>35136</v>
      </c>
      <c r="F14299" t="s">
        <v>38625</v>
      </c>
      <c r="J14299" t="s">
        <v>115</v>
      </c>
      <c r="K14299" s="18" t="s">
        <v>38626</v>
      </c>
      <c r="N14299" s="17" t="s">
        <v>81</v>
      </c>
      <c r="O14299" t="s">
        <v>489</v>
      </c>
      <c r="U14299" s="17"/>
      <c r="V14299" s="18" t="s">
        <v>38626</v>
      </c>
      <c r="W14299" t="s">
        <v>627</v>
      </c>
      <c r="Y14299" t="s">
        <v>190</v>
      </c>
      <c r="AA14299" t="s">
        <v>118</v>
      </c>
      <c r="AB14299" t="s">
        <v>119</v>
      </c>
    </row>
    <row r="14300" ht="15" customHeight="1" spans="1:27" x14ac:dyDescent="0.25">
      <c r="A14300" s="17" t="s">
        <v>38627</v>
      </c>
      <c r="B14300" s="17" t="s">
        <v>70</v>
      </c>
      <c r="C14300" s="17" t="s">
        <v>71</v>
      </c>
      <c r="D14300" t="s">
        <v>35136</v>
      </c>
      <c r="F14300" t="s">
        <v>38628</v>
      </c>
      <c r="K14300" s="18">
        <f>628161181591</f>
        <v>628161181591</v>
      </c>
      <c r="N14300" s="17" t="s">
        <v>74</v>
      </c>
      <c r="U14300" s="17"/>
      <c r="V14300" s="18">
        <f>628161181591</f>
        <v>628161181591</v>
      </c>
      <c r="W14300" t="s">
        <v>38629</v>
      </c>
      <c r="AA14300" s="17">
        <v>14440</v>
      </c>
    </row>
    <row r="14301" ht="15" customHeight="1" spans="1:28" x14ac:dyDescent="0.25">
      <c r="A14301" s="17" t="s">
        <v>38630</v>
      </c>
      <c r="B14301" s="17" t="s">
        <v>70</v>
      </c>
      <c r="C14301" s="17" t="s">
        <v>71</v>
      </c>
      <c r="D14301" t="s">
        <v>38631</v>
      </c>
      <c r="F14301" t="s">
        <v>34988</v>
      </c>
      <c r="J14301" t="s">
        <v>115</v>
      </c>
      <c r="K14301" s="18" t="s">
        <v>38632</v>
      </c>
      <c r="N14301" s="17" t="s">
        <v>77</v>
      </c>
      <c r="O14301" t="s">
        <v>489</v>
      </c>
      <c r="V14301" s="18" t="s">
        <v>38632</v>
      </c>
      <c r="Y14301" t="s">
        <v>90</v>
      </c>
      <c r="AA14301" t="s">
        <v>118</v>
      </c>
      <c r="AB14301" t="s">
        <v>119</v>
      </c>
    </row>
    <row r="14302" ht="15" customHeight="1" spans="1:22" x14ac:dyDescent="0.25">
      <c r="A14302" s="17" t="s">
        <v>38633</v>
      </c>
      <c r="B14302" s="17" t="s">
        <v>70</v>
      </c>
      <c r="C14302" s="17" t="s">
        <v>71</v>
      </c>
      <c r="D14302" t="s">
        <v>35136</v>
      </c>
      <c r="F14302" t="s">
        <v>38634</v>
      </c>
      <c r="K14302" s="18">
        <f>6281808358102</f>
        <v>6281808358102</v>
      </c>
      <c r="N14302" s="17" t="s">
        <v>77</v>
      </c>
      <c r="V14302" s="18">
        <f>6281808358102</f>
        <v>6281808358102</v>
      </c>
    </row>
    <row r="14303" ht="15" customHeight="1" spans="1:23" x14ac:dyDescent="0.25">
      <c r="A14303" s="17" t="s">
        <v>38635</v>
      </c>
      <c r="B14303" s="17" t="s">
        <v>70</v>
      </c>
      <c r="C14303" s="17" t="s">
        <v>71</v>
      </c>
      <c r="D14303" t="s">
        <v>38636</v>
      </c>
      <c r="F14303" t="s">
        <v>14080</v>
      </c>
      <c r="K14303" s="18">
        <f>628116000339</f>
        <v>628116000339</v>
      </c>
      <c r="N14303" s="17" t="s">
        <v>81</v>
      </c>
      <c r="U14303" s="17"/>
      <c r="V14303" s="18">
        <f>628116000339</f>
        <v>628116000339</v>
      </c>
      <c r="W14303" t="s">
        <v>38637</v>
      </c>
    </row>
    <row r="14304" ht="15" customHeight="1" spans="1:22" x14ac:dyDescent="0.25">
      <c r="A14304" s="17" t="s">
        <v>38638</v>
      </c>
      <c r="B14304" s="17" t="s">
        <v>70</v>
      </c>
      <c r="C14304" s="17" t="s">
        <v>71</v>
      </c>
      <c r="D14304" t="s">
        <v>38639</v>
      </c>
      <c r="F14304" t="s">
        <v>38639</v>
      </c>
      <c r="K14304" s="18">
        <f>6281513038530</f>
        <v>6281513038530</v>
      </c>
      <c r="N14304" s="17" t="s">
        <v>81</v>
      </c>
      <c r="V14304" s="18">
        <f>6281513038530</f>
        <v>6281513038530</v>
      </c>
    </row>
    <row r="14305" ht="15" customHeight="1" spans="1:28" x14ac:dyDescent="0.25">
      <c r="A14305" s="17" t="s">
        <v>38640</v>
      </c>
      <c r="B14305" s="17" t="s">
        <v>70</v>
      </c>
      <c r="C14305" s="17" t="s">
        <v>71</v>
      </c>
      <c r="D14305" t="s">
        <v>13121</v>
      </c>
      <c r="F14305" t="s">
        <v>2563</v>
      </c>
      <c r="J14305" t="s">
        <v>115</v>
      </c>
      <c r="K14305" s="18" t="s">
        <v>38641</v>
      </c>
      <c r="N14305" s="17" t="s">
        <v>77</v>
      </c>
      <c r="O14305" t="s">
        <v>117</v>
      </c>
      <c r="V14305" s="18" t="s">
        <v>38641</v>
      </c>
      <c r="Y14305" t="s">
        <v>90</v>
      </c>
      <c r="AA14305" t="s">
        <v>118</v>
      </c>
      <c r="AB14305" t="s">
        <v>119</v>
      </c>
    </row>
    <row r="14306" ht="15" customHeight="1" spans="1:28" x14ac:dyDescent="0.25">
      <c r="A14306" s="17" t="s">
        <v>38642</v>
      </c>
      <c r="B14306" s="17" t="s">
        <v>70</v>
      </c>
      <c r="C14306" s="17" t="s">
        <v>71</v>
      </c>
      <c r="D14306" t="s">
        <v>17035</v>
      </c>
      <c r="F14306" t="s">
        <v>3076</v>
      </c>
      <c r="J14306" t="s">
        <v>115</v>
      </c>
      <c r="K14306" s="18" t="s">
        <v>38643</v>
      </c>
      <c r="N14306" s="17" t="s">
        <v>81</v>
      </c>
      <c r="O14306" t="s">
        <v>261</v>
      </c>
      <c r="U14306" s="17"/>
      <c r="V14306" s="18" t="s">
        <v>38643</v>
      </c>
      <c r="W14306" t="s">
        <v>38644</v>
      </c>
      <c r="Y14306" t="s">
        <v>190</v>
      </c>
      <c r="AA14306" t="s">
        <v>118</v>
      </c>
      <c r="AB14306" t="s">
        <v>119</v>
      </c>
    </row>
    <row r="14307" ht="15" customHeight="1" spans="1:22" x14ac:dyDescent="0.25">
      <c r="A14307" s="17" t="s">
        <v>38645</v>
      </c>
      <c r="B14307" s="17" t="s">
        <v>70</v>
      </c>
      <c r="C14307" s="17" t="s">
        <v>71</v>
      </c>
      <c r="D14307" t="s">
        <v>24520</v>
      </c>
      <c r="F14307" t="s">
        <v>2320</v>
      </c>
      <c r="K14307" s="18">
        <f>628126068570</f>
        <v>628126068570</v>
      </c>
      <c r="N14307" s="17" t="s">
        <v>77</v>
      </c>
      <c r="V14307" s="18">
        <f>628126068570</f>
        <v>628126068570</v>
      </c>
    </row>
    <row r="14308" ht="15" customHeight="1" spans="1:22" x14ac:dyDescent="0.25">
      <c r="A14308" s="17" t="s">
        <v>38646</v>
      </c>
      <c r="B14308" s="17" t="s">
        <v>70</v>
      </c>
      <c r="C14308" s="17" t="s">
        <v>71</v>
      </c>
      <c r="D14308" t="s">
        <v>38647</v>
      </c>
      <c r="F14308" t="s">
        <v>38647</v>
      </c>
      <c r="K14308" s="18">
        <f>628118003806</f>
        <v>628118003806</v>
      </c>
      <c r="N14308" s="17" t="s">
        <v>77</v>
      </c>
      <c r="V14308" s="18">
        <f>628118003806</f>
        <v>628118003806</v>
      </c>
    </row>
    <row r="14309" ht="15" customHeight="1" spans="1:22" x14ac:dyDescent="0.25">
      <c r="A14309" s="17" t="s">
        <v>38648</v>
      </c>
      <c r="B14309" s="17" t="s">
        <v>70</v>
      </c>
      <c r="C14309" s="17" t="s">
        <v>71</v>
      </c>
      <c r="D14309" t="s">
        <v>1790</v>
      </c>
      <c r="F14309" t="s">
        <v>1790</v>
      </c>
      <c r="K14309" s="18">
        <f>6281318988111</f>
        <v>6281318988111</v>
      </c>
      <c r="N14309" s="17" t="s">
        <v>77</v>
      </c>
      <c r="V14309" s="18">
        <f>6281318988111</f>
        <v>6281318988111</v>
      </c>
    </row>
    <row r="14310" ht="15" customHeight="1" spans="1:22" x14ac:dyDescent="0.25">
      <c r="A14310" s="17" t="s">
        <v>38649</v>
      </c>
      <c r="B14310" s="17" t="s">
        <v>70</v>
      </c>
      <c r="C14310" s="17" t="s">
        <v>71</v>
      </c>
      <c r="D14310" t="s">
        <v>1790</v>
      </c>
      <c r="F14310" t="s">
        <v>19891</v>
      </c>
      <c r="K14310" s="18">
        <f>628158001070</f>
        <v>628158001070</v>
      </c>
      <c r="N14310" s="17" t="s">
        <v>77</v>
      </c>
      <c r="V14310" s="18">
        <f>628158001070</f>
        <v>628158001070</v>
      </c>
    </row>
    <row r="14311" ht="15" customHeight="1" spans="1:22" x14ac:dyDescent="0.25">
      <c r="A14311" s="17" t="s">
        <v>38650</v>
      </c>
      <c r="B14311" s="17" t="s">
        <v>70</v>
      </c>
      <c r="C14311" s="17" t="s">
        <v>71</v>
      </c>
      <c r="D14311" t="s">
        <v>1790</v>
      </c>
      <c r="F14311" t="s">
        <v>19891</v>
      </c>
      <c r="K14311" s="18">
        <f>6281519002390</f>
        <v>6281519002390</v>
      </c>
      <c r="N14311" s="17" t="s">
        <v>77</v>
      </c>
      <c r="V14311" s="18">
        <f>6281519002390</f>
        <v>6281519002390</v>
      </c>
    </row>
    <row r="14312" ht="15" customHeight="1" spans="1:28" x14ac:dyDescent="0.25">
      <c r="A14312" s="17" t="s">
        <v>38651</v>
      </c>
      <c r="B14312" s="17" t="s">
        <v>70</v>
      </c>
      <c r="C14312" s="17" t="s">
        <v>71</v>
      </c>
      <c r="D14312" t="s">
        <v>12335</v>
      </c>
      <c r="F14312" t="s">
        <v>7169</v>
      </c>
      <c r="J14312" t="s">
        <v>115</v>
      </c>
      <c r="K14312" s="18" t="s">
        <v>38652</v>
      </c>
      <c r="N14312" s="17" t="s">
        <v>74</v>
      </c>
      <c r="O14312" t="s">
        <v>489</v>
      </c>
      <c r="U14312" s="17"/>
      <c r="V14312" s="18" t="s">
        <v>38652</v>
      </c>
      <c r="W14312" t="s">
        <v>38653</v>
      </c>
      <c r="Y14312" s="17" t="s">
        <v>90</v>
      </c>
      <c r="AA14312" t="s">
        <v>118</v>
      </c>
      <c r="AB14312" t="s">
        <v>119</v>
      </c>
    </row>
    <row r="14313" ht="15" customHeight="1" spans="1:22" x14ac:dyDescent="0.25">
      <c r="A14313" s="17" t="s">
        <v>38654</v>
      </c>
      <c r="B14313" s="17" t="s">
        <v>70</v>
      </c>
      <c r="C14313" s="17" t="s">
        <v>71</v>
      </c>
      <c r="D14313" t="s">
        <v>38655</v>
      </c>
      <c r="F14313" t="s">
        <v>12313</v>
      </c>
      <c r="K14313" s="18">
        <f>628128428418</f>
        <v>628128428418</v>
      </c>
      <c r="N14313" s="17" t="s">
        <v>77</v>
      </c>
      <c r="V14313" s="18">
        <f>628128428418</f>
        <v>628128428418</v>
      </c>
    </row>
    <row r="14314" ht="15" customHeight="1" spans="1:27" x14ac:dyDescent="0.25">
      <c r="A14314" s="17" t="s">
        <v>38656</v>
      </c>
      <c r="B14314" s="17" t="s">
        <v>70</v>
      </c>
      <c r="C14314" s="17" t="s">
        <v>71</v>
      </c>
      <c r="D14314" t="s">
        <v>38657</v>
      </c>
      <c r="F14314" t="s">
        <v>1564</v>
      </c>
      <c r="K14314" s="18">
        <f>62811205030</f>
        <v>62811205030</v>
      </c>
      <c r="N14314" s="17" t="s">
        <v>77</v>
      </c>
      <c r="U14314" s="17"/>
      <c r="V14314" s="18">
        <f>62811205030</f>
        <v>62811205030</v>
      </c>
      <c r="W14314" t="s">
        <v>38658</v>
      </c>
      <c r="Y14314" s="17" t="s">
        <v>490</v>
      </c>
      <c r="AA14314" s="17">
        <v>40256</v>
      </c>
    </row>
    <row r="14315" ht="15" customHeight="1" spans="1:28" x14ac:dyDescent="0.25">
      <c r="A14315" s="17" t="s">
        <v>38659</v>
      </c>
      <c r="B14315" s="17" t="s">
        <v>70</v>
      </c>
      <c r="C14315" s="17" t="s">
        <v>71</v>
      </c>
      <c r="D14315" t="s">
        <v>31791</v>
      </c>
      <c r="F14315" t="s">
        <v>618</v>
      </c>
      <c r="J14315" t="s">
        <v>115</v>
      </c>
      <c r="K14315" s="18" t="s">
        <v>38660</v>
      </c>
      <c r="N14315" s="17" t="s">
        <v>77</v>
      </c>
      <c r="O14315" t="s">
        <v>145</v>
      </c>
      <c r="V14315" s="18" t="s">
        <v>38660</v>
      </c>
      <c r="Y14315" t="s">
        <v>90</v>
      </c>
      <c r="AA14315" t="s">
        <v>118</v>
      </c>
      <c r="AB14315" t="s">
        <v>119</v>
      </c>
    </row>
    <row r="14316" ht="15" customHeight="1" spans="1:22" x14ac:dyDescent="0.25">
      <c r="A14316" s="17" t="s">
        <v>38661</v>
      </c>
      <c r="B14316" s="17" t="s">
        <v>70</v>
      </c>
      <c r="C14316" s="17" t="s">
        <v>71</v>
      </c>
      <c r="D14316" t="s">
        <v>38662</v>
      </c>
      <c r="F14316" t="s">
        <v>548</v>
      </c>
      <c r="K14316" s="18">
        <f>62811161992</f>
        <v>62811161992</v>
      </c>
      <c r="N14316" s="17" t="s">
        <v>77</v>
      </c>
      <c r="V14316" s="18">
        <f>62811161992</f>
        <v>62811161992</v>
      </c>
    </row>
    <row r="14317" ht="15" customHeight="1" spans="1:28" x14ac:dyDescent="0.25">
      <c r="A14317" s="17" t="s">
        <v>38663</v>
      </c>
      <c r="B14317" s="17" t="s">
        <v>70</v>
      </c>
      <c r="C14317" s="17" t="s">
        <v>71</v>
      </c>
      <c r="D14317" t="s">
        <v>1147</v>
      </c>
      <c r="F14317" t="s">
        <v>38664</v>
      </c>
      <c r="J14317" t="s">
        <v>115</v>
      </c>
      <c r="K14317" s="18" t="s">
        <v>38665</v>
      </c>
      <c r="N14317" s="17" t="s">
        <v>77</v>
      </c>
      <c r="O14317" t="s">
        <v>261</v>
      </c>
      <c r="V14317" s="18" t="s">
        <v>38665</v>
      </c>
      <c r="Y14317" t="s">
        <v>1157</v>
      </c>
      <c r="AA14317" t="s">
        <v>5957</v>
      </c>
      <c r="AB14317" t="s">
        <v>119</v>
      </c>
    </row>
    <row r="14318" ht="15" customHeight="1" spans="1:22" x14ac:dyDescent="0.25">
      <c r="A14318" s="17" t="s">
        <v>38666</v>
      </c>
      <c r="B14318" s="17" t="s">
        <v>70</v>
      </c>
      <c r="C14318" s="17" t="s">
        <v>71</v>
      </c>
      <c r="D14318" t="s">
        <v>38667</v>
      </c>
      <c r="F14318" t="s">
        <v>14977</v>
      </c>
      <c r="K14318" s="18">
        <f>6281353263334</f>
        <v>6281353263334</v>
      </c>
      <c r="N14318" s="17" t="s">
        <v>77</v>
      </c>
      <c r="V14318" s="18">
        <f>6281353263334</f>
        <v>6281353263334</v>
      </c>
    </row>
    <row r="14319" ht="15" customHeight="1" spans="1:22" x14ac:dyDescent="0.25">
      <c r="A14319" s="17" t="s">
        <v>38668</v>
      </c>
      <c r="B14319" s="17" t="s">
        <v>70</v>
      </c>
      <c r="C14319" s="17" t="s">
        <v>71</v>
      </c>
      <c r="D14319" t="s">
        <v>38669</v>
      </c>
      <c r="F14319" t="s">
        <v>11126</v>
      </c>
      <c r="K14319" s="18">
        <f>6281615468888</f>
        <v>6281615468888</v>
      </c>
      <c r="N14319" s="17" t="s">
        <v>74</v>
      </c>
      <c r="V14319" s="18">
        <f>6281615468888</f>
        <v>6281615468888</v>
      </c>
    </row>
    <row r="14320" ht="15" customHeight="1" spans="1:22" x14ac:dyDescent="0.25">
      <c r="A14320" s="17" t="s">
        <v>38670</v>
      </c>
      <c r="B14320" s="17" t="s">
        <v>70</v>
      </c>
      <c r="C14320" s="17" t="s">
        <v>71</v>
      </c>
      <c r="D14320" t="s">
        <v>38671</v>
      </c>
      <c r="F14320" t="s">
        <v>38672</v>
      </c>
      <c r="K14320" s="18">
        <f>62816878346</f>
        <v>62816878346</v>
      </c>
      <c r="N14320" s="17" t="s">
        <v>77</v>
      </c>
      <c r="V14320" s="18">
        <f>62816878346</f>
        <v>62816878346</v>
      </c>
    </row>
    <row r="14321" ht="15" customHeight="1" spans="1:22" x14ac:dyDescent="0.25">
      <c r="A14321" s="17" t="s">
        <v>38673</v>
      </c>
      <c r="B14321" s="17" t="s">
        <v>70</v>
      </c>
      <c r="C14321" s="17" t="s">
        <v>71</v>
      </c>
      <c r="D14321" t="s">
        <v>38674</v>
      </c>
      <c r="F14321" t="s">
        <v>653</v>
      </c>
      <c r="K14321" s="18">
        <f>628121971168</f>
        <v>628121971168</v>
      </c>
      <c r="N14321" s="17" t="s">
        <v>77</v>
      </c>
      <c r="V14321" s="18">
        <f>628121971168</f>
        <v>628121971168</v>
      </c>
    </row>
    <row r="14322" ht="15" customHeight="1" spans="1:25" x14ac:dyDescent="0.25">
      <c r="A14322" s="17" t="s">
        <v>38675</v>
      </c>
      <c r="B14322" s="17" t="s">
        <v>70</v>
      </c>
      <c r="C14322" s="17" t="s">
        <v>71</v>
      </c>
      <c r="D14322" t="s">
        <v>38676</v>
      </c>
      <c r="F14322" t="s">
        <v>2698</v>
      </c>
      <c r="K14322" s="18">
        <f>6281297873399</f>
        <v>6281297873399</v>
      </c>
      <c r="N14322" s="17" t="s">
        <v>77</v>
      </c>
      <c r="U14322" s="17"/>
      <c r="V14322" s="18">
        <f>6281297873399</f>
        <v>6281297873399</v>
      </c>
      <c r="W14322" t="s">
        <v>38677</v>
      </c>
      <c r="Y14322" s="17" t="s">
        <v>4959</v>
      </c>
    </row>
    <row r="14323" ht="15" customHeight="1" spans="1:22" x14ac:dyDescent="0.25">
      <c r="A14323" s="17" t="s">
        <v>38678</v>
      </c>
      <c r="B14323" s="17" t="s">
        <v>70</v>
      </c>
      <c r="C14323" s="17" t="s">
        <v>71</v>
      </c>
      <c r="D14323" t="s">
        <v>3976</v>
      </c>
      <c r="F14323" t="s">
        <v>3976</v>
      </c>
      <c r="K14323" s="18">
        <f>628112485678</f>
        <v>628112485678</v>
      </c>
      <c r="N14323" s="17" t="s">
        <v>81</v>
      </c>
      <c r="V14323" s="18">
        <f>628112485678</f>
        <v>628112485678</v>
      </c>
    </row>
    <row r="14324" ht="15" customHeight="1" spans="1:22" x14ac:dyDescent="0.25">
      <c r="A14324" s="17" t="s">
        <v>38679</v>
      </c>
      <c r="B14324" s="17" t="s">
        <v>70</v>
      </c>
      <c r="C14324" s="17" t="s">
        <v>71</v>
      </c>
      <c r="D14324" t="s">
        <v>3976</v>
      </c>
      <c r="F14324" t="s">
        <v>3976</v>
      </c>
      <c r="K14324" s="18">
        <f>6281398989872</f>
        <v>6281398989872</v>
      </c>
      <c r="N14324" s="17" t="s">
        <v>81</v>
      </c>
      <c r="V14324" s="18">
        <f>6281398989872</f>
        <v>6281398989872</v>
      </c>
    </row>
    <row r="14325" ht="15" customHeight="1" spans="1:22" x14ac:dyDescent="0.25">
      <c r="A14325" s="17" t="s">
        <v>38680</v>
      </c>
      <c r="B14325" s="17" t="s">
        <v>70</v>
      </c>
      <c r="C14325" s="17" t="s">
        <v>71</v>
      </c>
      <c r="D14325" t="s">
        <v>3976</v>
      </c>
      <c r="F14325" t="s">
        <v>12495</v>
      </c>
      <c r="K14325" s="18">
        <f>6282140323232</f>
        <v>6282140323232</v>
      </c>
      <c r="N14325" s="17" t="s">
        <v>81</v>
      </c>
      <c r="V14325" s="18">
        <f>6282140323232</f>
        <v>6282140323232</v>
      </c>
    </row>
    <row r="14326" ht="15" customHeight="1" spans="1:22" x14ac:dyDescent="0.25">
      <c r="A14326" s="17" t="s">
        <v>38681</v>
      </c>
      <c r="B14326" s="17" t="s">
        <v>70</v>
      </c>
      <c r="C14326" s="17" t="s">
        <v>71</v>
      </c>
      <c r="D14326" t="s">
        <v>25302</v>
      </c>
      <c r="F14326" t="s">
        <v>25302</v>
      </c>
      <c r="K14326" s="18">
        <f>6281210845979</f>
        <v>6281210845979</v>
      </c>
      <c r="N14326" s="17" t="s">
        <v>81</v>
      </c>
      <c r="V14326" s="18">
        <f>6281210845979</f>
        <v>6281210845979</v>
      </c>
    </row>
    <row r="14327" ht="15" customHeight="1" spans="1:23" x14ac:dyDescent="0.25">
      <c r="A14327" s="17" t="s">
        <v>38682</v>
      </c>
      <c r="B14327" s="17" t="s">
        <v>70</v>
      </c>
      <c r="C14327" s="17" t="s">
        <v>71</v>
      </c>
      <c r="D14327" t="s">
        <v>25302</v>
      </c>
      <c r="F14327" t="s">
        <v>6668</v>
      </c>
      <c r="K14327" s="18">
        <f>62818770009</f>
        <v>62818770009</v>
      </c>
      <c r="N14327" s="17" t="s">
        <v>81</v>
      </c>
      <c r="U14327" s="17"/>
      <c r="V14327" s="18">
        <f>62818770009</f>
        <v>62818770009</v>
      </c>
      <c r="W14327" t="s">
        <v>38683</v>
      </c>
    </row>
    <row r="14328" ht="15" customHeight="1" spans="1:23" x14ac:dyDescent="0.25">
      <c r="A14328" s="17" t="s">
        <v>38684</v>
      </c>
      <c r="B14328" s="17" t="s">
        <v>70</v>
      </c>
      <c r="C14328" s="17" t="s">
        <v>71</v>
      </c>
      <c r="D14328" t="s">
        <v>38685</v>
      </c>
      <c r="F14328" t="s">
        <v>38685</v>
      </c>
      <c r="K14328" s="18">
        <f>6287881955585</f>
        <v>6287881955585</v>
      </c>
      <c r="N14328" s="17" t="s">
        <v>77</v>
      </c>
      <c r="U14328" s="17"/>
      <c r="V14328" s="18">
        <f>6287881955585</f>
        <v>6287881955585</v>
      </c>
      <c r="W14328" t="s">
        <v>38686</v>
      </c>
    </row>
    <row r="14329" ht="15" customHeight="1" spans="1:23" x14ac:dyDescent="0.25">
      <c r="A14329" s="17" t="s">
        <v>38687</v>
      </c>
      <c r="B14329" s="17" t="s">
        <v>70</v>
      </c>
      <c r="C14329" s="17" t="s">
        <v>71</v>
      </c>
      <c r="D14329" t="s">
        <v>38688</v>
      </c>
      <c r="F14329" t="s">
        <v>38688</v>
      </c>
      <c r="K14329" s="18">
        <f>6281808186300</f>
        <v>6281808186300</v>
      </c>
      <c r="N14329" s="17" t="s">
        <v>77</v>
      </c>
      <c r="U14329" s="17"/>
      <c r="V14329" s="18">
        <f>6281808186300</f>
        <v>6281808186300</v>
      </c>
      <c r="W14329" t="s">
        <v>38689</v>
      </c>
    </row>
    <row r="14330" ht="15" customHeight="1" spans="1:28" x14ac:dyDescent="0.25">
      <c r="A14330" s="17" t="s">
        <v>38690</v>
      </c>
      <c r="B14330" s="17" t="s">
        <v>70</v>
      </c>
      <c r="C14330" s="17" t="s">
        <v>71</v>
      </c>
      <c r="D14330" t="s">
        <v>38688</v>
      </c>
      <c r="F14330" t="s">
        <v>38688</v>
      </c>
      <c r="J14330" t="s">
        <v>115</v>
      </c>
      <c r="K14330" s="18" t="s">
        <v>38691</v>
      </c>
      <c r="N14330" s="17" t="s">
        <v>77</v>
      </c>
      <c r="O14330" t="s">
        <v>117</v>
      </c>
      <c r="V14330" s="18" t="s">
        <v>38691</v>
      </c>
      <c r="Y14330" t="s">
        <v>115</v>
      </c>
      <c r="AA14330" t="s">
        <v>115</v>
      </c>
      <c r="AB14330" t="s">
        <v>119</v>
      </c>
    </row>
    <row r="14331" ht="15" customHeight="1" spans="1:22" x14ac:dyDescent="0.25">
      <c r="A14331" s="17" t="s">
        <v>38692</v>
      </c>
      <c r="B14331" s="17" t="s">
        <v>70</v>
      </c>
      <c r="C14331" s="17" t="s">
        <v>71</v>
      </c>
      <c r="D14331" t="s">
        <v>38693</v>
      </c>
      <c r="F14331" t="s">
        <v>38693</v>
      </c>
      <c r="K14331" s="18">
        <f>628158785533</f>
        <v>628158785533</v>
      </c>
      <c r="N14331" s="17" t="s">
        <v>74</v>
      </c>
      <c r="V14331" s="18">
        <f>628158785533</f>
        <v>628158785533</v>
      </c>
    </row>
    <row r="14332" ht="15" customHeight="1" spans="1:25" x14ac:dyDescent="0.25">
      <c r="A14332" s="17" t="s">
        <v>38694</v>
      </c>
      <c r="B14332" s="17" t="s">
        <v>70</v>
      </c>
      <c r="C14332" s="17" t="s">
        <v>71</v>
      </c>
      <c r="D14332" t="s">
        <v>38695</v>
      </c>
      <c r="F14332" t="s">
        <v>38696</v>
      </c>
      <c r="K14332" s="18">
        <f>628159379999</f>
        <v>628159379999</v>
      </c>
      <c r="N14332" s="17" t="s">
        <v>77</v>
      </c>
      <c r="U14332" s="17"/>
      <c r="V14332" s="18">
        <f>628159379999</f>
        <v>628159379999</v>
      </c>
      <c r="W14332" t="s">
        <v>38697</v>
      </c>
      <c r="Y14332" s="17" t="s">
        <v>96</v>
      </c>
    </row>
    <row r="14333" ht="15" customHeight="1" spans="1:22" x14ac:dyDescent="0.25">
      <c r="A14333" s="17" t="s">
        <v>38698</v>
      </c>
      <c r="B14333" s="17" t="s">
        <v>70</v>
      </c>
      <c r="C14333" s="17" t="s">
        <v>71</v>
      </c>
      <c r="D14333" t="s">
        <v>1153</v>
      </c>
      <c r="F14333" t="s">
        <v>1153</v>
      </c>
      <c r="K14333" s="18">
        <f>6285282972028</f>
        <v>6285282972028</v>
      </c>
      <c r="N14333" s="17" t="s">
        <v>81</v>
      </c>
      <c r="V14333" s="18">
        <f>6285282972028</f>
        <v>6285282972028</v>
      </c>
    </row>
    <row r="14334" ht="15" customHeight="1" spans="1:22" x14ac:dyDescent="0.25">
      <c r="A14334" s="17" t="s">
        <v>38699</v>
      </c>
      <c r="B14334" s="17" t="s">
        <v>70</v>
      </c>
      <c r="C14334" s="17" t="s">
        <v>71</v>
      </c>
      <c r="D14334" t="s">
        <v>38700</v>
      </c>
      <c r="F14334" t="s">
        <v>38700</v>
      </c>
      <c r="K14334" s="18">
        <f>62881806833591</f>
        <v>62881806833591</v>
      </c>
      <c r="N14334" s="17" t="s">
        <v>81</v>
      </c>
      <c r="V14334" s="18">
        <f>62881806833591</f>
        <v>62881806833591</v>
      </c>
    </row>
    <row r="14335" ht="15" customHeight="1" spans="1:28" x14ac:dyDescent="0.25">
      <c r="A14335" s="17" t="s">
        <v>38701</v>
      </c>
      <c r="B14335" s="17" t="s">
        <v>70</v>
      </c>
      <c r="C14335" s="17" t="s">
        <v>71</v>
      </c>
      <c r="D14335" t="s">
        <v>22654</v>
      </c>
      <c r="F14335" t="s">
        <v>6693</v>
      </c>
      <c r="J14335" t="s">
        <v>115</v>
      </c>
      <c r="K14335" s="18" t="s">
        <v>38702</v>
      </c>
      <c r="N14335" s="17" t="s">
        <v>81</v>
      </c>
      <c r="O14335" t="s">
        <v>117</v>
      </c>
      <c r="U14335" s="17"/>
      <c r="V14335" s="18" t="s">
        <v>38702</v>
      </c>
      <c r="W14335" t="s">
        <v>38703</v>
      </c>
      <c r="Y14335" t="s">
        <v>90</v>
      </c>
      <c r="AA14335" t="s">
        <v>118</v>
      </c>
      <c r="AB14335" t="s">
        <v>119</v>
      </c>
    </row>
    <row r="14336" ht="15" customHeight="1" spans="1:28" x14ac:dyDescent="0.25">
      <c r="A14336" s="17" t="s">
        <v>38704</v>
      </c>
      <c r="B14336" s="17" t="s">
        <v>70</v>
      </c>
      <c r="C14336" s="17" t="s">
        <v>71</v>
      </c>
      <c r="D14336" t="s">
        <v>38705</v>
      </c>
      <c r="F14336" t="s">
        <v>38706</v>
      </c>
      <c r="J14336" t="s">
        <v>115</v>
      </c>
      <c r="K14336" s="18" t="s">
        <v>38707</v>
      </c>
      <c r="N14336" s="17" t="s">
        <v>77</v>
      </c>
      <c r="O14336" t="s">
        <v>117</v>
      </c>
      <c r="V14336" s="18" t="s">
        <v>38707</v>
      </c>
      <c r="Y14336" t="s">
        <v>190</v>
      </c>
      <c r="AA14336" t="s">
        <v>118</v>
      </c>
      <c r="AB14336" t="s">
        <v>119</v>
      </c>
    </row>
    <row r="14337" ht="15" customHeight="1" spans="1:22" x14ac:dyDescent="0.25">
      <c r="A14337" s="17" t="s">
        <v>38708</v>
      </c>
      <c r="B14337" s="17" t="s">
        <v>70</v>
      </c>
      <c r="C14337" s="17" t="s">
        <v>71</v>
      </c>
      <c r="D14337" t="s">
        <v>38705</v>
      </c>
      <c r="F14337" t="s">
        <v>30803</v>
      </c>
      <c r="K14337" s="18">
        <f>628151688999</f>
        <v>628151688999</v>
      </c>
      <c r="N14337" s="17" t="s">
        <v>77</v>
      </c>
      <c r="V14337" s="18">
        <f>628151688999</f>
        <v>628151688999</v>
      </c>
    </row>
    <row r="14338" ht="15" customHeight="1" spans="1:22" x14ac:dyDescent="0.25">
      <c r="A14338" s="17" t="s">
        <v>38709</v>
      </c>
      <c r="B14338" s="17" t="s">
        <v>70</v>
      </c>
      <c r="C14338" s="17" t="s">
        <v>71</v>
      </c>
      <c r="D14338" t="s">
        <v>38710</v>
      </c>
      <c r="F14338" t="s">
        <v>38710</v>
      </c>
      <c r="K14338" s="18">
        <f>62818809187</f>
        <v>62818809187</v>
      </c>
      <c r="N14338" s="17" t="s">
        <v>77</v>
      </c>
      <c r="V14338" s="18">
        <f>62818809187</f>
        <v>62818809187</v>
      </c>
    </row>
    <row r="14339" ht="15" customHeight="1" spans="1:23" x14ac:dyDescent="0.25">
      <c r="A14339" s="17" t="s">
        <v>38711</v>
      </c>
      <c r="B14339" s="17" t="s">
        <v>70</v>
      </c>
      <c r="C14339" s="17" t="s">
        <v>71</v>
      </c>
      <c r="D14339" t="s">
        <v>38710</v>
      </c>
      <c r="F14339" t="s">
        <v>3759</v>
      </c>
      <c r="K14339" s="18">
        <f>62811155017</f>
        <v>62811155017</v>
      </c>
      <c r="N14339" s="17" t="s">
        <v>77</v>
      </c>
      <c r="U14339" s="17"/>
      <c r="V14339" s="18">
        <f>62811155017</f>
        <v>62811155017</v>
      </c>
      <c r="W14339" t="s">
        <v>38712</v>
      </c>
    </row>
    <row r="14340" ht="15" customHeight="1" spans="1:22" x14ac:dyDescent="0.25">
      <c r="A14340" s="17" t="s">
        <v>38713</v>
      </c>
      <c r="B14340" s="17" t="s">
        <v>70</v>
      </c>
      <c r="C14340" s="17" t="s">
        <v>71</v>
      </c>
      <c r="D14340" t="s">
        <v>38710</v>
      </c>
      <c r="F14340" t="s">
        <v>509</v>
      </c>
      <c r="K14340" s="18">
        <f>62811161807</f>
        <v>62811161807</v>
      </c>
      <c r="N14340" s="17" t="s">
        <v>77</v>
      </c>
      <c r="V14340" s="18">
        <f>62811161807</f>
        <v>62811161807</v>
      </c>
    </row>
    <row r="14341" ht="15" customHeight="1" spans="1:22" x14ac:dyDescent="0.25">
      <c r="A14341" s="17" t="s">
        <v>38714</v>
      </c>
      <c r="B14341" s="17" t="s">
        <v>70</v>
      </c>
      <c r="C14341" s="17" t="s">
        <v>71</v>
      </c>
      <c r="D14341" t="s">
        <v>38715</v>
      </c>
      <c r="F14341" t="s">
        <v>8873</v>
      </c>
      <c r="K14341" s="18">
        <f>628551435671</f>
        <v>628551435671</v>
      </c>
      <c r="N14341" s="17" t="s">
        <v>81</v>
      </c>
      <c r="V14341" s="18">
        <f>628551435671</f>
        <v>628551435671</v>
      </c>
    </row>
    <row r="14342" ht="15" customHeight="1" spans="1:22" x14ac:dyDescent="0.25">
      <c r="A14342" s="17" t="s">
        <v>38716</v>
      </c>
      <c r="B14342" s="17" t="s">
        <v>70</v>
      </c>
      <c r="C14342" s="17" t="s">
        <v>71</v>
      </c>
      <c r="D14342" t="s">
        <v>38717</v>
      </c>
      <c r="F14342" t="s">
        <v>2381</v>
      </c>
      <c r="K14342" s="18">
        <f>628176759368</f>
        <v>628176759368</v>
      </c>
      <c r="N14342" s="17" t="s">
        <v>77</v>
      </c>
      <c r="V14342" s="18">
        <f>628176759368</f>
        <v>628176759368</v>
      </c>
    </row>
    <row r="14343" ht="15" customHeight="1" spans="1:22" x14ac:dyDescent="0.25">
      <c r="A14343" s="17" t="s">
        <v>38718</v>
      </c>
      <c r="B14343" s="17" t="s">
        <v>70</v>
      </c>
      <c r="C14343" s="17" t="s">
        <v>71</v>
      </c>
      <c r="D14343" t="s">
        <v>38717</v>
      </c>
      <c r="F14343" t="s">
        <v>38719</v>
      </c>
      <c r="K14343" s="18">
        <f>628161968136</f>
        <v>628161968136</v>
      </c>
      <c r="N14343" s="17" t="s">
        <v>77</v>
      </c>
      <c r="V14343" s="18">
        <f>628161968136</f>
        <v>628161968136</v>
      </c>
    </row>
    <row r="14344" ht="15" customHeight="1" spans="1:23" x14ac:dyDescent="0.25">
      <c r="A14344" s="17" t="s">
        <v>38720</v>
      </c>
      <c r="B14344" s="17" t="s">
        <v>70</v>
      </c>
      <c r="C14344" s="17" t="s">
        <v>71</v>
      </c>
      <c r="D14344" t="s">
        <v>38721</v>
      </c>
      <c r="F14344" t="s">
        <v>38722</v>
      </c>
      <c r="K14344" s="18">
        <f>62217693921</f>
        <v>62217693921</v>
      </c>
      <c r="N14344" s="17" t="s">
        <v>81</v>
      </c>
      <c r="U14344" s="17"/>
      <c r="V14344" s="18">
        <f>62217693921</f>
        <v>62217693921</v>
      </c>
      <c r="W14344" t="s">
        <v>38723</v>
      </c>
    </row>
    <row r="14345" ht="15" customHeight="1" spans="1:28" x14ac:dyDescent="0.25">
      <c r="A14345" s="17" t="s">
        <v>38724</v>
      </c>
      <c r="B14345" s="17" t="s">
        <v>70</v>
      </c>
      <c r="C14345" s="17" t="s">
        <v>71</v>
      </c>
      <c r="D14345" t="s">
        <v>12114</v>
      </c>
      <c r="F14345" t="s">
        <v>38725</v>
      </c>
      <c r="J14345" t="s">
        <v>115</v>
      </c>
      <c r="K14345" s="18" t="s">
        <v>38726</v>
      </c>
      <c r="N14345" s="17" t="s">
        <v>81</v>
      </c>
      <c r="O14345" t="s">
        <v>117</v>
      </c>
      <c r="V14345" s="18" t="s">
        <v>38726</v>
      </c>
      <c r="Y14345" t="s">
        <v>90</v>
      </c>
      <c r="AA14345" t="s">
        <v>118</v>
      </c>
      <c r="AB14345" t="s">
        <v>119</v>
      </c>
    </row>
    <row r="14346" ht="15" customHeight="1" spans="1:22" x14ac:dyDescent="0.25">
      <c r="A14346" s="17" t="s">
        <v>38727</v>
      </c>
      <c r="B14346" s="17" t="s">
        <v>70</v>
      </c>
      <c r="C14346" s="17" t="s">
        <v>71</v>
      </c>
      <c r="D14346" t="s">
        <v>4941</v>
      </c>
      <c r="F14346" t="s">
        <v>4941</v>
      </c>
      <c r="K14346" s="18">
        <f>628159038170</f>
        <v>628159038170</v>
      </c>
      <c r="N14346" s="17" t="s">
        <v>77</v>
      </c>
      <c r="V14346" s="18">
        <f>628159038170</f>
        <v>628159038170</v>
      </c>
    </row>
    <row r="14347" ht="15" customHeight="1" spans="1:28" x14ac:dyDescent="0.25">
      <c r="A14347" s="17" t="s">
        <v>38728</v>
      </c>
      <c r="B14347" s="17" t="s">
        <v>70</v>
      </c>
      <c r="C14347" s="17" t="s">
        <v>71</v>
      </c>
      <c r="D14347" t="s">
        <v>38729</v>
      </c>
      <c r="F14347" t="s">
        <v>4941</v>
      </c>
      <c r="J14347" s="17" t="s">
        <v>38730</v>
      </c>
      <c r="K14347" s="18" t="s">
        <v>38731</v>
      </c>
      <c r="N14347" s="17" t="s">
        <v>77</v>
      </c>
      <c r="O14347" t="s">
        <v>489</v>
      </c>
      <c r="U14347" s="17"/>
      <c r="V14347" s="18" t="s">
        <v>38731</v>
      </c>
      <c r="W14347" t="s">
        <v>38732</v>
      </c>
      <c r="Y14347" s="17" t="s">
        <v>2500</v>
      </c>
      <c r="AA14347" t="s">
        <v>115</v>
      </c>
      <c r="AB14347" t="s">
        <v>2500</v>
      </c>
    </row>
    <row r="14348" ht="15" customHeight="1" spans="1:23" x14ac:dyDescent="0.25">
      <c r="A14348" s="17" t="s">
        <v>38733</v>
      </c>
      <c r="B14348" s="17" t="s">
        <v>70</v>
      </c>
      <c r="C14348" s="17" t="s">
        <v>71</v>
      </c>
      <c r="D14348" t="s">
        <v>38734</v>
      </c>
      <c r="F14348" t="s">
        <v>23665</v>
      </c>
      <c r="K14348" s="18">
        <f>6289675066732</f>
        <v>6289675066732</v>
      </c>
      <c r="N14348" s="17" t="s">
        <v>81</v>
      </c>
      <c r="U14348" s="17"/>
      <c r="V14348" s="18">
        <f>6289675066732</f>
        <v>6289675066732</v>
      </c>
      <c r="W14348" t="s">
        <v>38735</v>
      </c>
    </row>
    <row r="14349" ht="15" customHeight="1" spans="1:23" x14ac:dyDescent="0.25">
      <c r="A14349" s="17" t="s">
        <v>38736</v>
      </c>
      <c r="B14349" s="17" t="s">
        <v>70</v>
      </c>
      <c r="C14349" s="17" t="s">
        <v>71</v>
      </c>
      <c r="D14349" t="s">
        <v>38734</v>
      </c>
      <c r="F14349" t="s">
        <v>38737</v>
      </c>
      <c r="K14349" s="18">
        <f>628158000129</f>
        <v>628158000129</v>
      </c>
      <c r="N14349" s="17" t="s">
        <v>81</v>
      </c>
      <c r="U14349" s="17"/>
      <c r="V14349" s="18">
        <f>628158000129</f>
        <v>628158000129</v>
      </c>
      <c r="W14349" t="s">
        <v>20381</v>
      </c>
    </row>
    <row r="14350" ht="15" customHeight="1" spans="1:22" x14ac:dyDescent="0.25">
      <c r="A14350" s="17" t="s">
        <v>38738</v>
      </c>
      <c r="B14350" s="17" t="s">
        <v>70</v>
      </c>
      <c r="C14350" s="17" t="s">
        <v>71</v>
      </c>
      <c r="D14350" t="s">
        <v>2203</v>
      </c>
      <c r="F14350" t="s">
        <v>2203</v>
      </c>
      <c r="K14350" s="18">
        <f>628151823126</f>
        <v>628151823126</v>
      </c>
      <c r="N14350" s="17" t="s">
        <v>77</v>
      </c>
      <c r="V14350" s="18">
        <f>628151823126</f>
        <v>628151823126</v>
      </c>
    </row>
    <row r="14351" ht="15" customHeight="1" spans="1:23" x14ac:dyDescent="0.25">
      <c r="A14351" s="17" t="s">
        <v>38739</v>
      </c>
      <c r="B14351" s="17" t="s">
        <v>70</v>
      </c>
      <c r="C14351" s="17" t="s">
        <v>71</v>
      </c>
      <c r="D14351" t="s">
        <v>38740</v>
      </c>
      <c r="F14351" t="s">
        <v>4288</v>
      </c>
      <c r="K14351" s="18">
        <f>62811862725</f>
        <v>62811862725</v>
      </c>
      <c r="N14351" s="17" t="s">
        <v>74</v>
      </c>
      <c r="U14351" s="17"/>
      <c r="V14351" s="18">
        <f>62811862725</f>
        <v>62811862725</v>
      </c>
      <c r="W14351" t="s">
        <v>38741</v>
      </c>
    </row>
    <row r="14352" ht="15" customHeight="1" spans="1:28" x14ac:dyDescent="0.25">
      <c r="A14352" s="17" t="s">
        <v>38742</v>
      </c>
      <c r="B14352" s="17" t="s">
        <v>70</v>
      </c>
      <c r="C14352" s="17" t="s">
        <v>71</v>
      </c>
      <c r="D14352" t="s">
        <v>38743</v>
      </c>
      <c r="F14352" t="s">
        <v>1169</v>
      </c>
      <c r="J14352" t="s">
        <v>38744</v>
      </c>
      <c r="K14352" s="18" t="s">
        <v>38745</v>
      </c>
      <c r="N14352" s="17" t="s">
        <v>81</v>
      </c>
      <c r="O14352" t="s">
        <v>117</v>
      </c>
      <c r="V14352" s="18" t="s">
        <v>38745</v>
      </c>
      <c r="Y14352" t="s">
        <v>90</v>
      </c>
      <c r="AA14352" t="s">
        <v>118</v>
      </c>
      <c r="AB14352" t="s">
        <v>119</v>
      </c>
    </row>
    <row r="14353" ht="15" customHeight="1" spans="1:22" x14ac:dyDescent="0.25">
      <c r="A14353" s="17" t="s">
        <v>38746</v>
      </c>
      <c r="B14353" s="17" t="s">
        <v>70</v>
      </c>
      <c r="C14353" s="17" t="s">
        <v>71</v>
      </c>
      <c r="D14353" t="s">
        <v>38747</v>
      </c>
      <c r="F14353" t="s">
        <v>1754</v>
      </c>
      <c r="K14353" s="18">
        <f>628151658888</f>
        <v>628151658888</v>
      </c>
      <c r="N14353" s="17" t="s">
        <v>74</v>
      </c>
      <c r="V14353" s="18">
        <f>628151658888</f>
        <v>628151658888</v>
      </c>
    </row>
    <row r="14354" ht="15" customHeight="1" spans="1:23" x14ac:dyDescent="0.25">
      <c r="A14354" s="17" t="s">
        <v>38748</v>
      </c>
      <c r="B14354" s="17" t="s">
        <v>70</v>
      </c>
      <c r="C14354" s="17" t="s">
        <v>71</v>
      </c>
      <c r="D14354" t="s">
        <v>38749</v>
      </c>
      <c r="F14354" t="s">
        <v>38750</v>
      </c>
      <c r="K14354" s="18">
        <f>62811810277</f>
        <v>62811810277</v>
      </c>
      <c r="N14354" s="17" t="s">
        <v>81</v>
      </c>
      <c r="U14354" s="17"/>
      <c r="V14354" s="18">
        <f>62811810277</f>
        <v>62811810277</v>
      </c>
      <c r="W14354" t="s">
        <v>38751</v>
      </c>
    </row>
    <row r="14355" ht="15" customHeight="1" spans="1:22" x14ac:dyDescent="0.25">
      <c r="A14355" s="17" t="s">
        <v>38752</v>
      </c>
      <c r="B14355" s="17" t="s">
        <v>70</v>
      </c>
      <c r="C14355" s="17" t="s">
        <v>71</v>
      </c>
      <c r="D14355" t="s">
        <v>38753</v>
      </c>
      <c r="F14355" t="s">
        <v>28695</v>
      </c>
      <c r="K14355" s="18">
        <f>62811979902</f>
        <v>62811979902</v>
      </c>
      <c r="N14355" s="17" t="s">
        <v>77</v>
      </c>
      <c r="V14355" s="18">
        <f>62811979902</f>
        <v>62811979902</v>
      </c>
    </row>
    <row r="14356" ht="15" customHeight="1" spans="1:22" x14ac:dyDescent="0.25">
      <c r="A14356" s="17" t="s">
        <v>38754</v>
      </c>
      <c r="B14356" s="17" t="s">
        <v>70</v>
      </c>
      <c r="C14356" s="17" t="s">
        <v>71</v>
      </c>
      <c r="D14356" t="s">
        <v>38755</v>
      </c>
      <c r="F14356" t="s">
        <v>38755</v>
      </c>
      <c r="K14356" s="18">
        <f>6285225028177</f>
        <v>6285225028177</v>
      </c>
      <c r="N14356" s="17" t="s">
        <v>81</v>
      </c>
      <c r="V14356" s="18">
        <f>6285225028177</f>
        <v>6285225028177</v>
      </c>
    </row>
    <row r="14357" ht="15" customHeight="1" spans="1:28" x14ac:dyDescent="0.25">
      <c r="A14357" s="17" t="s">
        <v>38756</v>
      </c>
      <c r="B14357" s="17" t="s">
        <v>70</v>
      </c>
      <c r="C14357" s="17" t="s">
        <v>71</v>
      </c>
      <c r="D14357" t="s">
        <v>38757</v>
      </c>
      <c r="F14357" t="s">
        <v>38757</v>
      </c>
      <c r="J14357" t="s">
        <v>115</v>
      </c>
      <c r="K14357" s="18" t="s">
        <v>38758</v>
      </c>
      <c r="N14357" s="17" t="s">
        <v>74</v>
      </c>
      <c r="O14357" t="s">
        <v>117</v>
      </c>
      <c r="V14357" s="18" t="s">
        <v>38758</v>
      </c>
      <c r="Y14357" t="s">
        <v>190</v>
      </c>
      <c r="AA14357" t="s">
        <v>118</v>
      </c>
      <c r="AB14357" t="s">
        <v>119</v>
      </c>
    </row>
    <row r="14358" ht="15" customHeight="1" spans="1:25" x14ac:dyDescent="0.25">
      <c r="A14358" s="17" t="s">
        <v>38759</v>
      </c>
      <c r="B14358" s="17" t="s">
        <v>70</v>
      </c>
      <c r="C14358" s="17" t="s">
        <v>71</v>
      </c>
      <c r="D14358" t="s">
        <v>38760</v>
      </c>
      <c r="F14358" t="s">
        <v>17397</v>
      </c>
      <c r="K14358" s="18">
        <f>62811112867</f>
        <v>62811112867</v>
      </c>
      <c r="N14358" s="17" t="s">
        <v>74</v>
      </c>
      <c r="U14358" s="17"/>
      <c r="V14358" s="18">
        <f>62811112867</f>
        <v>62811112867</v>
      </c>
      <c r="W14358" t="s">
        <v>38761</v>
      </c>
      <c r="Y14358" s="17" t="s">
        <v>90</v>
      </c>
    </row>
    <row r="14359" ht="15" customHeight="1" spans="1:22" x14ac:dyDescent="0.25">
      <c r="A14359" s="17" t="s">
        <v>38762</v>
      </c>
      <c r="B14359" s="17" t="s">
        <v>70</v>
      </c>
      <c r="C14359" s="17" t="s">
        <v>71</v>
      </c>
      <c r="D14359" t="s">
        <v>38763</v>
      </c>
      <c r="F14359" t="s">
        <v>38763</v>
      </c>
      <c r="K14359" s="18">
        <f>6281254461112</f>
        <v>6281254461112</v>
      </c>
      <c r="N14359" s="17" t="s">
        <v>77</v>
      </c>
      <c r="V14359" s="18">
        <f>6281254461112</f>
        <v>6281254461112</v>
      </c>
    </row>
    <row r="14360" ht="15" customHeight="1" spans="1:27" x14ac:dyDescent="0.25">
      <c r="A14360" s="17" t="s">
        <v>38764</v>
      </c>
      <c r="B14360" s="17" t="s">
        <v>70</v>
      </c>
      <c r="C14360" s="17" t="s">
        <v>71</v>
      </c>
      <c r="D14360" t="s">
        <v>38765</v>
      </c>
      <c r="F14360" t="s">
        <v>38765</v>
      </c>
      <c r="K14360" s="18">
        <f>62816922600</f>
        <v>62816922600</v>
      </c>
      <c r="N14360" s="17" t="s">
        <v>81</v>
      </c>
      <c r="U14360" s="17"/>
      <c r="V14360" s="18">
        <f>62816922600</f>
        <v>62816922600</v>
      </c>
      <c r="W14360" t="s">
        <v>38766</v>
      </c>
      <c r="Y14360" s="17" t="s">
        <v>2953</v>
      </c>
      <c r="AA14360" s="17">
        <v>13430</v>
      </c>
    </row>
    <row r="14361" ht="15" customHeight="1" spans="1:22" x14ac:dyDescent="0.25">
      <c r="A14361" s="17" t="s">
        <v>38767</v>
      </c>
      <c r="B14361" s="17" t="s">
        <v>70</v>
      </c>
      <c r="C14361" s="17" t="s">
        <v>71</v>
      </c>
      <c r="D14361" t="s">
        <v>38768</v>
      </c>
      <c r="F14361" t="s">
        <v>2320</v>
      </c>
      <c r="K14361" s="18">
        <f>628121375133</f>
        <v>628121375133</v>
      </c>
      <c r="N14361" s="17" t="s">
        <v>77</v>
      </c>
      <c r="V14361" s="18">
        <f>628121375133</f>
        <v>628121375133</v>
      </c>
    </row>
    <row r="14362" ht="15" customHeight="1" spans="1:28" x14ac:dyDescent="0.25">
      <c r="A14362" s="17" t="s">
        <v>38769</v>
      </c>
      <c r="B14362" s="17" t="s">
        <v>70</v>
      </c>
      <c r="C14362" s="17" t="s">
        <v>71</v>
      </c>
      <c r="D14362" t="s">
        <v>38770</v>
      </c>
      <c r="F14362" t="s">
        <v>38770</v>
      </c>
      <c r="J14362" t="s">
        <v>115</v>
      </c>
      <c r="K14362" s="18" t="s">
        <v>38771</v>
      </c>
      <c r="N14362" s="17" t="s">
        <v>77</v>
      </c>
      <c r="O14362" t="s">
        <v>117</v>
      </c>
      <c r="V14362" s="18" t="s">
        <v>38771</v>
      </c>
      <c r="Y14362" t="s">
        <v>90</v>
      </c>
      <c r="AA14362" t="s">
        <v>118</v>
      </c>
      <c r="AB14362" t="s">
        <v>119</v>
      </c>
    </row>
    <row r="14363" ht="15" customHeight="1" spans="1:22" x14ac:dyDescent="0.25">
      <c r="A14363" s="17" t="s">
        <v>38772</v>
      </c>
      <c r="B14363" s="17" t="s">
        <v>70</v>
      </c>
      <c r="C14363" s="17" t="s">
        <v>71</v>
      </c>
      <c r="D14363" t="s">
        <v>38773</v>
      </c>
      <c r="F14363" t="s">
        <v>6205</v>
      </c>
      <c r="K14363" s="18">
        <f>6281286221977</f>
        <v>6281286221977</v>
      </c>
      <c r="N14363" s="17" t="s">
        <v>81</v>
      </c>
      <c r="V14363" s="18">
        <f>6281286221977</f>
        <v>6281286221977</v>
      </c>
    </row>
    <row r="14364" ht="15" customHeight="1" spans="1:28" x14ac:dyDescent="0.25">
      <c r="A14364" s="17" t="s">
        <v>38774</v>
      </c>
      <c r="B14364" s="17" t="s">
        <v>70</v>
      </c>
      <c r="C14364" s="17" t="s">
        <v>71</v>
      </c>
      <c r="D14364" t="s">
        <v>38775</v>
      </c>
      <c r="F14364" t="s">
        <v>13288</v>
      </c>
      <c r="J14364" s="17" t="s">
        <v>38776</v>
      </c>
      <c r="K14364" s="18" t="s">
        <v>38777</v>
      </c>
      <c r="N14364" s="17" t="s">
        <v>77</v>
      </c>
      <c r="O14364" t="s">
        <v>199</v>
      </c>
      <c r="V14364" s="18" t="s">
        <v>38777</v>
      </c>
      <c r="Y14364" t="s">
        <v>90</v>
      </c>
      <c r="AA14364" t="s">
        <v>118</v>
      </c>
      <c r="AB14364" t="s">
        <v>119</v>
      </c>
    </row>
    <row r="14365" ht="15" customHeight="1" spans="1:28" x14ac:dyDescent="0.25">
      <c r="A14365" s="17" t="s">
        <v>38778</v>
      </c>
      <c r="B14365" s="17" t="s">
        <v>70</v>
      </c>
      <c r="C14365" s="17" t="s">
        <v>71</v>
      </c>
      <c r="D14365" t="s">
        <v>38779</v>
      </c>
      <c r="F14365" t="s">
        <v>230</v>
      </c>
      <c r="J14365" t="s">
        <v>115</v>
      </c>
      <c r="K14365" s="18" t="s">
        <v>38780</v>
      </c>
      <c r="N14365" s="17" t="s">
        <v>77</v>
      </c>
      <c r="O14365" t="s">
        <v>117</v>
      </c>
      <c r="V14365" s="18" t="s">
        <v>38780</v>
      </c>
      <c r="Y14365" t="s">
        <v>90</v>
      </c>
      <c r="AA14365" t="s">
        <v>118</v>
      </c>
      <c r="AB14365" t="s">
        <v>119</v>
      </c>
    </row>
    <row r="14366" ht="15" customHeight="1" spans="1:28" x14ac:dyDescent="0.25">
      <c r="A14366" s="17" t="s">
        <v>38781</v>
      </c>
      <c r="B14366" s="17" t="s">
        <v>70</v>
      </c>
      <c r="C14366" s="17" t="s">
        <v>71</v>
      </c>
      <c r="D14366" t="s">
        <v>38782</v>
      </c>
      <c r="F14366" t="s">
        <v>38783</v>
      </c>
      <c r="J14366" s="17" t="s">
        <v>38784</v>
      </c>
      <c r="K14366" s="18" t="s">
        <v>38785</v>
      </c>
      <c r="N14366" s="17" t="s">
        <v>77</v>
      </c>
      <c r="O14366" t="s">
        <v>145</v>
      </c>
      <c r="V14366" s="18" t="s">
        <v>38785</v>
      </c>
      <c r="Y14366" t="s">
        <v>190</v>
      </c>
      <c r="AA14366" t="s">
        <v>118</v>
      </c>
      <c r="AB14366" t="s">
        <v>119</v>
      </c>
    </row>
    <row r="14367" ht="15" customHeight="1" spans="1:28" x14ac:dyDescent="0.25">
      <c r="A14367" s="17" t="s">
        <v>38786</v>
      </c>
      <c r="B14367" s="17" t="s">
        <v>70</v>
      </c>
      <c r="C14367" s="17" t="s">
        <v>71</v>
      </c>
      <c r="D14367" t="s">
        <v>38787</v>
      </c>
      <c r="F14367" t="s">
        <v>1876</v>
      </c>
      <c r="J14367" s="17" t="s">
        <v>38788</v>
      </c>
      <c r="K14367" s="18" t="s">
        <v>38789</v>
      </c>
      <c r="N14367" s="17" t="s">
        <v>77</v>
      </c>
      <c r="O14367" t="s">
        <v>489</v>
      </c>
      <c r="V14367" s="18" t="s">
        <v>38789</v>
      </c>
      <c r="Y14367" t="s">
        <v>90</v>
      </c>
      <c r="AA14367" t="s">
        <v>118</v>
      </c>
      <c r="AB14367" t="s">
        <v>119</v>
      </c>
    </row>
    <row r="14368" ht="15" customHeight="1" spans="1:27" x14ac:dyDescent="0.25">
      <c r="A14368" s="17" t="s">
        <v>38790</v>
      </c>
      <c r="B14368" s="17" t="s">
        <v>70</v>
      </c>
      <c r="C14368" s="17" t="s">
        <v>71</v>
      </c>
      <c r="D14368" t="s">
        <v>38791</v>
      </c>
      <c r="F14368" t="s">
        <v>2159</v>
      </c>
      <c r="K14368" s="18">
        <f>6285210465222</f>
        <v>6285210465222</v>
      </c>
      <c r="N14368" s="17" t="s">
        <v>77</v>
      </c>
      <c r="U14368" s="17"/>
      <c r="V14368" s="18">
        <f>6285210465222</f>
        <v>6285210465222</v>
      </c>
      <c r="W14368" t="s">
        <v>38792</v>
      </c>
      <c r="Y14368" s="17" t="s">
        <v>1084</v>
      </c>
      <c r="AA14368" s="17" t="s">
        <v>5003</v>
      </c>
    </row>
    <row r="14369" ht="15" customHeight="1" spans="1:22" x14ac:dyDescent="0.25">
      <c r="A14369" s="17" t="s">
        <v>38793</v>
      </c>
      <c r="B14369" s="17" t="s">
        <v>70</v>
      </c>
      <c r="C14369" s="17" t="s">
        <v>71</v>
      </c>
      <c r="D14369" t="s">
        <v>38794</v>
      </c>
      <c r="F14369" t="s">
        <v>196</v>
      </c>
      <c r="K14369" s="18">
        <f>6285219300522</f>
        <v>6285219300522</v>
      </c>
      <c r="N14369" s="17" t="s">
        <v>81</v>
      </c>
      <c r="V14369" s="18">
        <f>6285219300522</f>
        <v>6285219300522</v>
      </c>
    </row>
    <row r="14370" ht="15" customHeight="1" spans="1:22" x14ac:dyDescent="0.25">
      <c r="A14370" s="17" t="s">
        <v>38795</v>
      </c>
      <c r="B14370" s="17" t="s">
        <v>70</v>
      </c>
      <c r="C14370" s="17" t="s">
        <v>71</v>
      </c>
      <c r="D14370" t="s">
        <v>38794</v>
      </c>
      <c r="F14370" t="s">
        <v>38796</v>
      </c>
      <c r="K14370" s="18">
        <f>6281339866656</f>
        <v>6281339866656</v>
      </c>
      <c r="N14370" s="17" t="s">
        <v>81</v>
      </c>
      <c r="V14370" s="18">
        <f>6281339866656</f>
        <v>6281339866656</v>
      </c>
    </row>
    <row r="14371" ht="15" customHeight="1" spans="1:28" x14ac:dyDescent="0.25">
      <c r="A14371" s="17" t="s">
        <v>38797</v>
      </c>
      <c r="B14371" s="17" t="s">
        <v>70</v>
      </c>
      <c r="C14371" s="17" t="s">
        <v>71</v>
      </c>
      <c r="D14371" t="s">
        <v>38798</v>
      </c>
      <c r="F14371" t="s">
        <v>38799</v>
      </c>
      <c r="J14371" s="17" t="s">
        <v>38800</v>
      </c>
      <c r="K14371" s="18" t="s">
        <v>38801</v>
      </c>
      <c r="N14371" s="17" t="s">
        <v>77</v>
      </c>
      <c r="O14371" t="s">
        <v>117</v>
      </c>
      <c r="U14371" s="17"/>
      <c r="V14371" s="18" t="s">
        <v>38801</v>
      </c>
      <c r="W14371" t="s">
        <v>38802</v>
      </c>
      <c r="Y14371" s="17" t="s">
        <v>90</v>
      </c>
      <c r="AA14371" s="17" t="s">
        <v>118</v>
      </c>
      <c r="AB14371" t="s">
        <v>119</v>
      </c>
    </row>
    <row r="14372" ht="15" customHeight="1" spans="1:28" x14ac:dyDescent="0.25">
      <c r="A14372" s="17" t="s">
        <v>38803</v>
      </c>
      <c r="B14372" s="17" t="s">
        <v>70</v>
      </c>
      <c r="C14372" s="17" t="s">
        <v>71</v>
      </c>
      <c r="D14372" t="s">
        <v>38804</v>
      </c>
      <c r="F14372" t="s">
        <v>744</v>
      </c>
      <c r="J14372" t="s">
        <v>115</v>
      </c>
      <c r="K14372" s="18" t="s">
        <v>38805</v>
      </c>
      <c r="N14372" s="17" t="s">
        <v>81</v>
      </c>
      <c r="O14372" t="s">
        <v>199</v>
      </c>
      <c r="V14372" s="18" t="s">
        <v>38805</v>
      </c>
      <c r="Y14372" t="s">
        <v>190</v>
      </c>
      <c r="AA14372" t="s">
        <v>118</v>
      </c>
      <c r="AB14372" t="s">
        <v>119</v>
      </c>
    </row>
    <row r="14373" ht="15" customHeight="1" spans="1:25" x14ac:dyDescent="0.25">
      <c r="A14373" s="17" t="s">
        <v>38806</v>
      </c>
      <c r="B14373" s="17" t="s">
        <v>70</v>
      </c>
      <c r="C14373" s="17" t="s">
        <v>71</v>
      </c>
      <c r="D14373" t="s">
        <v>38807</v>
      </c>
      <c r="F14373" t="s">
        <v>17190</v>
      </c>
      <c r="K14373" s="18">
        <f>6282125630016</f>
        <v>6282125630016</v>
      </c>
      <c r="N14373" s="17" t="s">
        <v>77</v>
      </c>
      <c r="U14373" s="17"/>
      <c r="V14373" s="18">
        <f>6282125630016</f>
        <v>6282125630016</v>
      </c>
      <c r="W14373" t="s">
        <v>38808</v>
      </c>
      <c r="Y14373" s="17" t="s">
        <v>626</v>
      </c>
    </row>
    <row r="14374" ht="15" customHeight="1" spans="1:28" x14ac:dyDescent="0.25">
      <c r="A14374" s="17" t="s">
        <v>38809</v>
      </c>
      <c r="B14374" s="17" t="s">
        <v>70</v>
      </c>
      <c r="C14374" s="17" t="s">
        <v>71</v>
      </c>
      <c r="D14374" t="s">
        <v>38807</v>
      </c>
      <c r="F14374" t="s">
        <v>38810</v>
      </c>
      <c r="J14374" t="s">
        <v>115</v>
      </c>
      <c r="K14374" s="18" t="s">
        <v>38811</v>
      </c>
      <c r="N14374" s="17" t="s">
        <v>77</v>
      </c>
      <c r="O14374" t="s">
        <v>489</v>
      </c>
      <c r="V14374" s="18" t="s">
        <v>38811</v>
      </c>
      <c r="Y14374" t="s">
        <v>90</v>
      </c>
      <c r="AA14374" t="s">
        <v>118</v>
      </c>
      <c r="AB14374" t="s">
        <v>119</v>
      </c>
    </row>
    <row r="14375" ht="15" customHeight="1" spans="1:23" x14ac:dyDescent="0.25">
      <c r="A14375" s="17" t="s">
        <v>38812</v>
      </c>
      <c r="B14375" s="17" t="s">
        <v>70</v>
      </c>
      <c r="C14375" s="17" t="s">
        <v>71</v>
      </c>
      <c r="D14375" t="s">
        <v>38813</v>
      </c>
      <c r="F14375" t="s">
        <v>38814</v>
      </c>
      <c r="K14375" s="18">
        <f>628123842211</f>
        <v>628123842211</v>
      </c>
      <c r="N14375" s="17" t="s">
        <v>77</v>
      </c>
      <c r="U14375" s="17"/>
      <c r="V14375" s="18">
        <f>628123842211</f>
        <v>628123842211</v>
      </c>
      <c r="W14375" t="s">
        <v>38815</v>
      </c>
    </row>
    <row r="14376" ht="15" customHeight="1" spans="1:23" x14ac:dyDescent="0.25">
      <c r="A14376" s="17" t="s">
        <v>38816</v>
      </c>
      <c r="B14376" s="17" t="s">
        <v>70</v>
      </c>
      <c r="C14376" s="17" t="s">
        <v>71</v>
      </c>
      <c r="D14376" t="s">
        <v>38817</v>
      </c>
      <c r="F14376" t="s">
        <v>38817</v>
      </c>
      <c r="J14376" s="17" t="s">
        <v>38818</v>
      </c>
      <c r="K14376" s="18">
        <f>6282299007430</f>
        <v>6282299007430</v>
      </c>
      <c r="N14376" s="17" t="s">
        <v>77</v>
      </c>
      <c r="U14376" s="17"/>
      <c r="V14376" s="18">
        <f>6282299007430</f>
        <v>6282299007430</v>
      </c>
      <c r="W14376" t="s">
        <v>38819</v>
      </c>
    </row>
    <row r="14377" ht="15" customHeight="1" spans="1:28" x14ac:dyDescent="0.25">
      <c r="A14377" s="17" t="s">
        <v>38820</v>
      </c>
      <c r="B14377" s="17" t="s">
        <v>70</v>
      </c>
      <c r="C14377" s="17" t="s">
        <v>71</v>
      </c>
      <c r="D14377" t="s">
        <v>38821</v>
      </c>
      <c r="F14377" t="s">
        <v>38821</v>
      </c>
      <c r="J14377" t="s">
        <v>115</v>
      </c>
      <c r="K14377" s="18" t="s">
        <v>38822</v>
      </c>
      <c r="N14377" s="17" t="s">
        <v>77</v>
      </c>
      <c r="O14377" t="s">
        <v>117</v>
      </c>
      <c r="V14377" s="18" t="s">
        <v>38822</v>
      </c>
      <c r="Y14377" t="s">
        <v>90</v>
      </c>
      <c r="AA14377" t="s">
        <v>118</v>
      </c>
      <c r="AB14377" t="s">
        <v>119</v>
      </c>
    </row>
    <row r="14378" ht="15" customHeight="1" spans="1:28" x14ac:dyDescent="0.25">
      <c r="A14378" s="17" t="s">
        <v>38823</v>
      </c>
      <c r="B14378" s="17" t="s">
        <v>70</v>
      </c>
      <c r="C14378" s="17" t="s">
        <v>71</v>
      </c>
      <c r="D14378" t="s">
        <v>38824</v>
      </c>
      <c r="F14378" t="s">
        <v>38825</v>
      </c>
      <c r="J14378" t="s">
        <v>115</v>
      </c>
      <c r="K14378" s="18" t="s">
        <v>38826</v>
      </c>
      <c r="N14378" s="17" t="s">
        <v>81</v>
      </c>
      <c r="O14378" t="s">
        <v>117</v>
      </c>
      <c r="V14378" s="18" t="s">
        <v>38826</v>
      </c>
      <c r="Y14378" t="s">
        <v>3028</v>
      </c>
      <c r="AA14378" t="s">
        <v>9062</v>
      </c>
      <c r="AB14378" t="s">
        <v>119</v>
      </c>
    </row>
    <row r="14379" ht="15" customHeight="1" spans="1:28" x14ac:dyDescent="0.25">
      <c r="A14379" s="17" t="s">
        <v>38827</v>
      </c>
      <c r="B14379" s="17" t="s">
        <v>70</v>
      </c>
      <c r="C14379" s="17" t="s">
        <v>71</v>
      </c>
      <c r="D14379" t="s">
        <v>38828</v>
      </c>
      <c r="F14379" t="s">
        <v>1375</v>
      </c>
      <c r="J14379" t="s">
        <v>115</v>
      </c>
      <c r="K14379" s="18" t="s">
        <v>38829</v>
      </c>
      <c r="N14379" s="17" t="s">
        <v>77</v>
      </c>
      <c r="O14379" t="s">
        <v>145</v>
      </c>
      <c r="U14379" s="17"/>
      <c r="V14379" s="18" t="s">
        <v>38829</v>
      </c>
      <c r="W14379" t="s">
        <v>38830</v>
      </c>
      <c r="Y14379" t="s">
        <v>490</v>
      </c>
      <c r="AA14379" t="s">
        <v>115</v>
      </c>
      <c r="AB14379" t="s">
        <v>119</v>
      </c>
    </row>
    <row r="14380" ht="15" customHeight="1" spans="1:23" x14ac:dyDescent="0.25">
      <c r="A14380" s="17" t="s">
        <v>38831</v>
      </c>
      <c r="B14380" s="17" t="s">
        <v>70</v>
      </c>
      <c r="C14380" s="17" t="s">
        <v>71</v>
      </c>
      <c r="D14380" t="s">
        <v>10206</v>
      </c>
      <c r="F14380" t="s">
        <v>38832</v>
      </c>
      <c r="K14380" s="18">
        <f>6282196890929</f>
        <v>6282196890929</v>
      </c>
      <c r="N14380" s="17" t="s">
        <v>81</v>
      </c>
      <c r="U14380" s="17"/>
      <c r="V14380" s="18">
        <f>6282196890929</f>
        <v>6282196890929</v>
      </c>
      <c r="W14380" t="s">
        <v>38833</v>
      </c>
    </row>
    <row r="14381" ht="15" customHeight="1" spans="1:28" x14ac:dyDescent="0.25">
      <c r="A14381" s="17" t="s">
        <v>38834</v>
      </c>
      <c r="B14381" s="17" t="s">
        <v>70</v>
      </c>
      <c r="C14381" s="17" t="s">
        <v>71</v>
      </c>
      <c r="D14381" t="s">
        <v>10206</v>
      </c>
      <c r="F14381" t="s">
        <v>2159</v>
      </c>
      <c r="J14381" t="s">
        <v>115</v>
      </c>
      <c r="K14381" s="18" t="s">
        <v>38835</v>
      </c>
      <c r="N14381" s="17" t="s">
        <v>74</v>
      </c>
      <c r="O14381" t="s">
        <v>489</v>
      </c>
      <c r="V14381" s="18" t="s">
        <v>38835</v>
      </c>
      <c r="Y14381" t="s">
        <v>90</v>
      </c>
      <c r="AA14381" t="s">
        <v>118</v>
      </c>
      <c r="AB14381" t="s">
        <v>119</v>
      </c>
    </row>
    <row r="14382" ht="15" customHeight="1" spans="1:28" x14ac:dyDescent="0.25">
      <c r="A14382" s="17" t="s">
        <v>38836</v>
      </c>
      <c r="B14382" s="17" t="s">
        <v>70</v>
      </c>
      <c r="C14382" s="17" t="s">
        <v>71</v>
      </c>
      <c r="D14382" t="s">
        <v>10206</v>
      </c>
      <c r="F14382" t="s">
        <v>38837</v>
      </c>
      <c r="J14382" t="s">
        <v>115</v>
      </c>
      <c r="K14382" s="18" t="s">
        <v>38838</v>
      </c>
      <c r="N14382" s="17" t="s">
        <v>77</v>
      </c>
      <c r="O14382" t="s">
        <v>199</v>
      </c>
      <c r="V14382" s="18" t="s">
        <v>38838</v>
      </c>
      <c r="Y14382" t="s">
        <v>190</v>
      </c>
      <c r="AA14382" t="s">
        <v>118</v>
      </c>
      <c r="AB14382" t="s">
        <v>119</v>
      </c>
    </row>
    <row r="14383" ht="15" customHeight="1" spans="1:22" x14ac:dyDescent="0.25">
      <c r="A14383" s="17" t="s">
        <v>38839</v>
      </c>
      <c r="B14383" s="17" t="s">
        <v>70</v>
      </c>
      <c r="C14383" s="17" t="s">
        <v>71</v>
      </c>
      <c r="D14383" t="s">
        <v>38840</v>
      </c>
      <c r="F14383" t="s">
        <v>38841</v>
      </c>
      <c r="K14383" s="18">
        <f>6281510303154</f>
        <v>6281510303154</v>
      </c>
      <c r="N14383" s="17" t="s">
        <v>81</v>
      </c>
      <c r="V14383" s="18">
        <f>6281510303154</f>
        <v>6281510303154</v>
      </c>
    </row>
    <row r="14384" ht="15" customHeight="1" spans="1:22" x14ac:dyDescent="0.25">
      <c r="A14384" s="17" t="s">
        <v>38842</v>
      </c>
      <c r="B14384" s="17" t="s">
        <v>70</v>
      </c>
      <c r="C14384" s="17" t="s">
        <v>71</v>
      </c>
      <c r="D14384" t="s">
        <v>38843</v>
      </c>
      <c r="F14384" t="s">
        <v>1328</v>
      </c>
      <c r="K14384" s="18">
        <f>62215742246</f>
        <v>62215742246</v>
      </c>
      <c r="N14384" s="17" t="s">
        <v>74</v>
      </c>
      <c r="V14384" s="18">
        <f>62215742246</f>
        <v>62215742246</v>
      </c>
    </row>
    <row r="14385" ht="15" customHeight="1" spans="1:25" x14ac:dyDescent="0.25">
      <c r="A14385" s="17" t="s">
        <v>38844</v>
      </c>
      <c r="B14385" s="17" t="s">
        <v>70</v>
      </c>
      <c r="C14385" s="17" t="s">
        <v>71</v>
      </c>
      <c r="D14385" t="s">
        <v>38845</v>
      </c>
      <c r="F14385" t="s">
        <v>38846</v>
      </c>
      <c r="K14385" s="18">
        <f>6281584000999</f>
        <v>6281584000999</v>
      </c>
      <c r="N14385" s="17" t="s">
        <v>77</v>
      </c>
      <c r="U14385" s="17"/>
      <c r="V14385" s="18">
        <f>6281584000999</f>
        <v>6281584000999</v>
      </c>
      <c r="W14385" t="s">
        <v>38847</v>
      </c>
      <c r="Y14385" s="17" t="s">
        <v>38848</v>
      </c>
    </row>
    <row r="14386" ht="15" customHeight="1" spans="1:22" x14ac:dyDescent="0.25">
      <c r="A14386" s="17" t="s">
        <v>38849</v>
      </c>
      <c r="B14386" s="17" t="s">
        <v>70</v>
      </c>
      <c r="C14386" s="17" t="s">
        <v>71</v>
      </c>
      <c r="D14386" t="s">
        <v>38850</v>
      </c>
      <c r="F14386" t="s">
        <v>38851</v>
      </c>
      <c r="K14386" s="18">
        <f>628129314002</f>
        <v>628129314002</v>
      </c>
      <c r="N14386" s="17" t="s">
        <v>77</v>
      </c>
      <c r="V14386" s="18">
        <f>628129314002</f>
        <v>628129314002</v>
      </c>
    </row>
    <row r="14387" ht="15" customHeight="1" spans="1:28" x14ac:dyDescent="0.25">
      <c r="A14387" s="17" t="s">
        <v>38852</v>
      </c>
      <c r="B14387" s="17" t="s">
        <v>70</v>
      </c>
      <c r="C14387" s="17" t="s">
        <v>71</v>
      </c>
      <c r="D14387" t="s">
        <v>38853</v>
      </c>
      <c r="F14387" t="s">
        <v>4372</v>
      </c>
      <c r="J14387" t="s">
        <v>38854</v>
      </c>
      <c r="K14387" s="18" t="s">
        <v>38855</v>
      </c>
      <c r="N14387" s="17" t="s">
        <v>81</v>
      </c>
      <c r="O14387" t="s">
        <v>145</v>
      </c>
      <c r="V14387" s="18" t="s">
        <v>38855</v>
      </c>
      <c r="Y14387" t="s">
        <v>90</v>
      </c>
      <c r="AA14387" t="s">
        <v>118</v>
      </c>
      <c r="AB14387" t="s">
        <v>119</v>
      </c>
    </row>
    <row r="14388" ht="15" customHeight="1" spans="1:22" x14ac:dyDescent="0.25">
      <c r="A14388" s="17" t="s">
        <v>38856</v>
      </c>
      <c r="B14388" s="17" t="s">
        <v>70</v>
      </c>
      <c r="C14388" s="17" t="s">
        <v>71</v>
      </c>
      <c r="D14388" t="s">
        <v>38857</v>
      </c>
      <c r="F14388" t="s">
        <v>2159</v>
      </c>
      <c r="K14388" s="18">
        <f>6281204647001</f>
        <v>6281204647001</v>
      </c>
      <c r="N14388" s="17" t="s">
        <v>77</v>
      </c>
      <c r="V14388" s="18">
        <f>6281204647001</f>
        <v>6281204647001</v>
      </c>
    </row>
    <row r="14389" ht="15" customHeight="1" spans="1:22" x14ac:dyDescent="0.25">
      <c r="A14389" s="17" t="s">
        <v>38858</v>
      </c>
      <c r="B14389" s="17" t="s">
        <v>70</v>
      </c>
      <c r="C14389" s="17" t="s">
        <v>71</v>
      </c>
      <c r="D14389" t="s">
        <v>38859</v>
      </c>
      <c r="F14389" t="s">
        <v>6668</v>
      </c>
      <c r="K14389" s="18">
        <f>6281510523570</f>
        <v>6281510523570</v>
      </c>
      <c r="N14389" s="17" t="s">
        <v>77</v>
      </c>
      <c r="V14389" s="18">
        <f>6281510523570</f>
        <v>6281510523570</v>
      </c>
    </row>
    <row r="14390" ht="15" customHeight="1" spans="1:22" x14ac:dyDescent="0.25">
      <c r="A14390" s="17" t="s">
        <v>38860</v>
      </c>
      <c r="B14390" s="17" t="s">
        <v>70</v>
      </c>
      <c r="C14390" s="17" t="s">
        <v>71</v>
      </c>
      <c r="D14390" t="s">
        <v>38859</v>
      </c>
      <c r="F14390" t="s">
        <v>6668</v>
      </c>
      <c r="K14390" s="18">
        <f>6281519076689</f>
        <v>6281519076689</v>
      </c>
      <c r="N14390" s="17" t="s">
        <v>74</v>
      </c>
      <c r="V14390" s="18">
        <f>6281519076689</f>
        <v>6281519076689</v>
      </c>
    </row>
    <row r="14391" ht="15" customHeight="1" spans="1:22" x14ac:dyDescent="0.25">
      <c r="A14391" s="17" t="s">
        <v>38861</v>
      </c>
      <c r="B14391" s="17" t="s">
        <v>70</v>
      </c>
      <c r="C14391" s="17" t="s">
        <v>71</v>
      </c>
      <c r="D14391" t="s">
        <v>38862</v>
      </c>
      <c r="F14391" t="s">
        <v>10875</v>
      </c>
      <c r="K14391" s="18">
        <f>6281572226822</f>
        <v>6281572226822</v>
      </c>
      <c r="N14391" s="17" t="s">
        <v>81</v>
      </c>
      <c r="V14391" s="18">
        <f>6281572226822</f>
        <v>6281572226822</v>
      </c>
    </row>
    <row r="14392" ht="15" customHeight="1" spans="1:22" x14ac:dyDescent="0.25">
      <c r="A14392" s="17" t="s">
        <v>38863</v>
      </c>
      <c r="B14392" s="17" t="s">
        <v>70</v>
      </c>
      <c r="C14392" s="17" t="s">
        <v>71</v>
      </c>
      <c r="D14392" t="s">
        <v>20353</v>
      </c>
      <c r="F14392" t="s">
        <v>20353</v>
      </c>
      <c r="K14392" s="18">
        <f>6287846682373</f>
        <v>6287846682373</v>
      </c>
      <c r="N14392" s="17" t="s">
        <v>81</v>
      </c>
      <c r="V14392" s="18">
        <f>6287846682373</f>
        <v>6287846682373</v>
      </c>
    </row>
    <row r="14393" ht="15" customHeight="1" spans="1:23" x14ac:dyDescent="0.25">
      <c r="A14393" s="17" t="s">
        <v>38864</v>
      </c>
      <c r="B14393" s="17" t="s">
        <v>70</v>
      </c>
      <c r="C14393" s="17" t="s">
        <v>71</v>
      </c>
      <c r="D14393" t="s">
        <v>20353</v>
      </c>
      <c r="F14393" t="s">
        <v>3559</v>
      </c>
      <c r="K14393" s="18">
        <f>628111993131</f>
        <v>628111993131</v>
      </c>
      <c r="N14393" s="17" t="s">
        <v>77</v>
      </c>
      <c r="U14393" s="17"/>
      <c r="V14393" s="18">
        <f>628111993131</f>
        <v>628111993131</v>
      </c>
      <c r="W14393" t="s">
        <v>38865</v>
      </c>
    </row>
    <row r="14394" ht="15" customHeight="1" spans="1:22" x14ac:dyDescent="0.25">
      <c r="A14394" s="17" t="s">
        <v>38866</v>
      </c>
      <c r="B14394" s="17" t="s">
        <v>70</v>
      </c>
      <c r="C14394" s="17" t="s">
        <v>71</v>
      </c>
      <c r="D14394" t="s">
        <v>20353</v>
      </c>
      <c r="F14394" t="s">
        <v>38867</v>
      </c>
      <c r="K14394" s="18">
        <f>62817804982</f>
        <v>62817804982</v>
      </c>
      <c r="N14394" s="17" t="s">
        <v>77</v>
      </c>
      <c r="V14394" s="18">
        <f>62817804982</f>
        <v>62817804982</v>
      </c>
    </row>
    <row r="14395" ht="15" customHeight="1" spans="1:28" x14ac:dyDescent="0.25">
      <c r="A14395" s="17" t="s">
        <v>38868</v>
      </c>
      <c r="B14395" s="17" t="s">
        <v>70</v>
      </c>
      <c r="C14395" s="17" t="s">
        <v>71</v>
      </c>
      <c r="D14395" t="s">
        <v>20353</v>
      </c>
      <c r="F14395" t="s">
        <v>38869</v>
      </c>
      <c r="J14395" t="s">
        <v>115</v>
      </c>
      <c r="K14395" s="18" t="s">
        <v>38870</v>
      </c>
      <c r="N14395" s="17" t="s">
        <v>74</v>
      </c>
      <c r="O14395" t="s">
        <v>117</v>
      </c>
      <c r="V14395" s="18" t="s">
        <v>38870</v>
      </c>
      <c r="Y14395" t="s">
        <v>115</v>
      </c>
      <c r="AA14395" t="s">
        <v>115</v>
      </c>
      <c r="AB14395" t="s">
        <v>119</v>
      </c>
    </row>
    <row r="14396" ht="15" customHeight="1" spans="1:22" x14ac:dyDescent="0.25">
      <c r="A14396" s="17" t="s">
        <v>38871</v>
      </c>
      <c r="B14396" s="17" t="s">
        <v>70</v>
      </c>
      <c r="C14396" s="17" t="s">
        <v>71</v>
      </c>
      <c r="D14396" t="s">
        <v>20353</v>
      </c>
      <c r="F14396" t="s">
        <v>38872</v>
      </c>
      <c r="K14396" s="18">
        <f>628115925301</f>
        <v>628115925301</v>
      </c>
      <c r="N14396" s="17" t="s">
        <v>77</v>
      </c>
      <c r="V14396" s="18">
        <f>628115925301</f>
        <v>628115925301</v>
      </c>
    </row>
    <row r="14397" ht="15" customHeight="1" spans="1:28" x14ac:dyDescent="0.25">
      <c r="A14397" s="17" t="s">
        <v>38873</v>
      </c>
      <c r="B14397" s="17" t="s">
        <v>70</v>
      </c>
      <c r="C14397" s="17" t="s">
        <v>71</v>
      </c>
      <c r="D14397" t="s">
        <v>20353</v>
      </c>
      <c r="F14397" t="s">
        <v>38874</v>
      </c>
      <c r="J14397" t="s">
        <v>115</v>
      </c>
      <c r="K14397" s="18" t="s">
        <v>38875</v>
      </c>
      <c r="N14397" s="17" t="s">
        <v>77</v>
      </c>
      <c r="O14397" t="s">
        <v>489</v>
      </c>
      <c r="V14397" s="18" t="s">
        <v>38875</v>
      </c>
      <c r="Y14397" t="s">
        <v>90</v>
      </c>
      <c r="AA14397" t="s">
        <v>118</v>
      </c>
      <c r="AB14397" t="s">
        <v>119</v>
      </c>
    </row>
    <row r="14398" ht="15" customHeight="1" spans="1:27" x14ac:dyDescent="0.25">
      <c r="A14398" s="17" t="s">
        <v>38876</v>
      </c>
      <c r="B14398" s="17" t="s">
        <v>70</v>
      </c>
      <c r="C14398" s="17" t="s">
        <v>71</v>
      </c>
      <c r="D14398" t="s">
        <v>20353</v>
      </c>
      <c r="F14398" t="s">
        <v>14636</v>
      </c>
      <c r="J14398" s="17" t="s">
        <v>38877</v>
      </c>
      <c r="K14398" s="18">
        <f>628128822227</f>
        <v>628128822227</v>
      </c>
      <c r="N14398" s="17" t="s">
        <v>77</v>
      </c>
      <c r="U14398" s="17"/>
      <c r="V14398" s="18">
        <f>628128822227</f>
        <v>628128822227</v>
      </c>
      <c r="W14398" t="s">
        <v>38878</v>
      </c>
      <c r="Y14398" s="17" t="s">
        <v>1084</v>
      </c>
      <c r="AA14398" s="17">
        <v>14460</v>
      </c>
    </row>
    <row r="14399" ht="15" customHeight="1" spans="1:28" x14ac:dyDescent="0.25">
      <c r="A14399" s="17" t="s">
        <v>38879</v>
      </c>
      <c r="B14399" s="17" t="s">
        <v>70</v>
      </c>
      <c r="C14399" s="17" t="s">
        <v>71</v>
      </c>
      <c r="D14399" t="s">
        <v>35971</v>
      </c>
      <c r="F14399" t="s">
        <v>618</v>
      </c>
      <c r="J14399" t="s">
        <v>115</v>
      </c>
      <c r="K14399" s="18" t="s">
        <v>38880</v>
      </c>
      <c r="N14399" s="17" t="s">
        <v>77</v>
      </c>
      <c r="O14399" t="s">
        <v>117</v>
      </c>
      <c r="U14399" s="17"/>
      <c r="V14399" s="18" t="s">
        <v>38880</v>
      </c>
      <c r="W14399" t="s">
        <v>38881</v>
      </c>
      <c r="Y14399" s="17" t="s">
        <v>90</v>
      </c>
      <c r="AA14399" s="17" t="s">
        <v>118</v>
      </c>
      <c r="AB14399" t="s">
        <v>119</v>
      </c>
    </row>
    <row r="14400" ht="15" customHeight="1" spans="1:25" x14ac:dyDescent="0.25">
      <c r="A14400" s="17" t="s">
        <v>38882</v>
      </c>
      <c r="B14400" s="17" t="s">
        <v>70</v>
      </c>
      <c r="C14400" s="17" t="s">
        <v>71</v>
      </c>
      <c r="D14400" t="s">
        <v>20353</v>
      </c>
      <c r="F14400" t="s">
        <v>618</v>
      </c>
      <c r="K14400" s="18">
        <f>62812223331881</f>
        <v>62812223331881</v>
      </c>
      <c r="N14400" s="17" t="s">
        <v>81</v>
      </c>
      <c r="U14400" s="17"/>
      <c r="V14400" s="18">
        <f>62812223331881</f>
        <v>62812223331881</v>
      </c>
      <c r="W14400" t="s">
        <v>38883</v>
      </c>
      <c r="Y14400" s="17" t="s">
        <v>96</v>
      </c>
    </row>
    <row r="14401" ht="15" customHeight="1" spans="1:22" x14ac:dyDescent="0.25">
      <c r="A14401" s="17" t="s">
        <v>38884</v>
      </c>
      <c r="B14401" s="17" t="s">
        <v>70</v>
      </c>
      <c r="C14401" s="17" t="s">
        <v>71</v>
      </c>
      <c r="D14401" t="s">
        <v>20353</v>
      </c>
      <c r="F14401" t="s">
        <v>3092</v>
      </c>
      <c r="K14401" s="18">
        <f>6281280210000</f>
        <v>6281280210000</v>
      </c>
      <c r="N14401" s="17" t="s">
        <v>77</v>
      </c>
      <c r="V14401" s="18">
        <f>6281280210000</f>
        <v>6281280210000</v>
      </c>
    </row>
    <row r="14402" ht="15" customHeight="1" spans="1:22" x14ac:dyDescent="0.25">
      <c r="A14402" s="17" t="s">
        <v>38885</v>
      </c>
      <c r="B14402" s="17" t="s">
        <v>70</v>
      </c>
      <c r="C14402" s="17" t="s">
        <v>71</v>
      </c>
      <c r="D14402" t="s">
        <v>20353</v>
      </c>
      <c r="F14402" t="s">
        <v>38886</v>
      </c>
      <c r="K14402" s="18">
        <f>6285716203911</f>
        <v>6285716203911</v>
      </c>
      <c r="N14402" s="17" t="s">
        <v>77</v>
      </c>
      <c r="V14402" s="18">
        <f>6285716203911</f>
        <v>6285716203911</v>
      </c>
    </row>
    <row r="14403" ht="15" customHeight="1" spans="1:23" x14ac:dyDescent="0.25">
      <c r="A14403" s="17" t="s">
        <v>38887</v>
      </c>
      <c r="B14403" s="17" t="s">
        <v>70</v>
      </c>
      <c r="C14403" s="17" t="s">
        <v>71</v>
      </c>
      <c r="D14403" t="s">
        <v>20353</v>
      </c>
      <c r="F14403" t="s">
        <v>629</v>
      </c>
      <c r="K14403" s="18">
        <f>628170317939</f>
        <v>628170317939</v>
      </c>
      <c r="N14403" s="17" t="s">
        <v>77</v>
      </c>
      <c r="U14403" s="17"/>
      <c r="V14403" s="18">
        <f>628170317939</f>
        <v>628170317939</v>
      </c>
      <c r="W14403" t="s">
        <v>38888</v>
      </c>
    </row>
    <row r="14404" ht="15" customHeight="1" spans="1:25" x14ac:dyDescent="0.25">
      <c r="A14404" s="17" t="s">
        <v>38889</v>
      </c>
      <c r="B14404" s="17" t="s">
        <v>70</v>
      </c>
      <c r="C14404" s="17" t="s">
        <v>71</v>
      </c>
      <c r="D14404" t="s">
        <v>20353</v>
      </c>
      <c r="F14404" t="s">
        <v>26434</v>
      </c>
      <c r="J14404" s="17" t="s">
        <v>38890</v>
      </c>
      <c r="K14404" s="18">
        <f>62811178188</f>
        <v>62811178188</v>
      </c>
      <c r="N14404" s="17" t="s">
        <v>77</v>
      </c>
      <c r="U14404" s="17"/>
      <c r="V14404" s="18">
        <f>62811178188</f>
        <v>62811178188</v>
      </c>
      <c r="W14404" t="s">
        <v>38891</v>
      </c>
      <c r="Y14404" s="17" t="s">
        <v>90</v>
      </c>
    </row>
    <row r="14405" ht="15" customHeight="1" spans="1:23" x14ac:dyDescent="0.25">
      <c r="A14405" s="17" t="s">
        <v>38892</v>
      </c>
      <c r="B14405" s="17" t="s">
        <v>70</v>
      </c>
      <c r="C14405" s="17" t="s">
        <v>71</v>
      </c>
      <c r="D14405" t="s">
        <v>20353</v>
      </c>
      <c r="F14405" t="s">
        <v>38893</v>
      </c>
      <c r="K14405" s="18">
        <f>6281514345607</f>
        <v>6281514345607</v>
      </c>
      <c r="N14405" s="17" t="s">
        <v>77</v>
      </c>
      <c r="U14405" s="17"/>
      <c r="V14405" s="18">
        <f>6281514345607</f>
        <v>6281514345607</v>
      </c>
      <c r="W14405" t="s">
        <v>38894</v>
      </c>
    </row>
    <row r="14406" ht="15" customHeight="1" spans="1:22" x14ac:dyDescent="0.25">
      <c r="A14406" s="17" t="s">
        <v>38895</v>
      </c>
      <c r="B14406" s="17" t="s">
        <v>70</v>
      </c>
      <c r="C14406" s="17" t="s">
        <v>71</v>
      </c>
      <c r="D14406" t="s">
        <v>20353</v>
      </c>
      <c r="F14406" t="s">
        <v>5545</v>
      </c>
      <c r="K14406" s="18">
        <f>62817855388</f>
        <v>62817855388</v>
      </c>
      <c r="N14406" s="17" t="s">
        <v>74</v>
      </c>
      <c r="V14406" s="18">
        <f>62817855388</f>
        <v>62817855388</v>
      </c>
    </row>
    <row r="14407" ht="15" customHeight="1" spans="1:28" x14ac:dyDescent="0.25">
      <c r="A14407" s="17" t="s">
        <v>38896</v>
      </c>
      <c r="B14407" s="17" t="s">
        <v>70</v>
      </c>
      <c r="C14407" s="17" t="s">
        <v>71</v>
      </c>
      <c r="D14407" t="s">
        <v>9581</v>
      </c>
      <c r="F14407" t="s">
        <v>282</v>
      </c>
      <c r="J14407" s="17" t="s">
        <v>38897</v>
      </c>
      <c r="K14407" s="18" t="s">
        <v>38898</v>
      </c>
      <c r="N14407" s="17" t="s">
        <v>77</v>
      </c>
      <c r="O14407" t="s">
        <v>489</v>
      </c>
      <c r="U14407" s="17"/>
      <c r="V14407" s="18" t="s">
        <v>38898</v>
      </c>
      <c r="W14407" t="s">
        <v>38899</v>
      </c>
      <c r="Y14407" s="17" t="s">
        <v>881</v>
      </c>
      <c r="AA14407" s="17" t="s">
        <v>38900</v>
      </c>
      <c r="AB14407" t="s">
        <v>119</v>
      </c>
    </row>
    <row r="14408" ht="15" customHeight="1" spans="1:28" x14ac:dyDescent="0.25">
      <c r="A14408" s="17" t="s">
        <v>38901</v>
      </c>
      <c r="B14408" s="17" t="s">
        <v>70</v>
      </c>
      <c r="C14408" s="17" t="s">
        <v>71</v>
      </c>
      <c r="D14408" t="s">
        <v>20353</v>
      </c>
      <c r="F14408" t="s">
        <v>1704</v>
      </c>
      <c r="J14408" t="s">
        <v>115</v>
      </c>
      <c r="K14408" s="18" t="s">
        <v>38902</v>
      </c>
      <c r="N14408" s="17" t="s">
        <v>77</v>
      </c>
      <c r="O14408" t="s">
        <v>261</v>
      </c>
      <c r="U14408" s="17"/>
      <c r="V14408" s="18" t="s">
        <v>38902</v>
      </c>
      <c r="W14408" t="s">
        <v>38903</v>
      </c>
      <c r="Y14408" t="s">
        <v>90</v>
      </c>
      <c r="AA14408" t="s">
        <v>118</v>
      </c>
      <c r="AB14408" t="s">
        <v>119</v>
      </c>
    </row>
    <row r="14409" ht="15" customHeight="1" spans="1:23" x14ac:dyDescent="0.25">
      <c r="A14409" s="17" t="s">
        <v>38904</v>
      </c>
      <c r="B14409" s="17" t="s">
        <v>70</v>
      </c>
      <c r="C14409" s="17" t="s">
        <v>71</v>
      </c>
      <c r="D14409" t="s">
        <v>20353</v>
      </c>
      <c r="F14409" t="s">
        <v>38905</v>
      </c>
      <c r="K14409" s="18">
        <f>628119781807</f>
        <v>628119781807</v>
      </c>
      <c r="N14409" s="17" t="s">
        <v>81</v>
      </c>
      <c r="U14409" s="17"/>
      <c r="V14409" s="18">
        <f>628119781807</f>
        <v>628119781807</v>
      </c>
      <c r="W14409" t="s">
        <v>38906</v>
      </c>
    </row>
    <row r="14410" ht="15" customHeight="1" spans="1:22" x14ac:dyDescent="0.25">
      <c r="A14410" s="17" t="s">
        <v>38907</v>
      </c>
      <c r="B14410" s="17" t="s">
        <v>70</v>
      </c>
      <c r="C14410" s="17" t="s">
        <v>71</v>
      </c>
      <c r="D14410" t="s">
        <v>20353</v>
      </c>
      <c r="F14410" t="s">
        <v>38908</v>
      </c>
      <c r="K14410" s="18">
        <f>628159120099</f>
        <v>628159120099</v>
      </c>
      <c r="N14410" s="17" t="s">
        <v>77</v>
      </c>
      <c r="V14410" s="18">
        <f>628159120099</f>
        <v>628159120099</v>
      </c>
    </row>
    <row r="14411" ht="15" customHeight="1" spans="1:25" x14ac:dyDescent="0.25">
      <c r="A14411" s="17" t="s">
        <v>38909</v>
      </c>
      <c r="B14411" s="17" t="s">
        <v>70</v>
      </c>
      <c r="C14411" s="17" t="s">
        <v>71</v>
      </c>
      <c r="D14411" t="s">
        <v>20353</v>
      </c>
      <c r="F14411" t="s">
        <v>38910</v>
      </c>
      <c r="K14411" s="18">
        <f>62818826852</f>
        <v>62818826852</v>
      </c>
      <c r="N14411" s="17" t="s">
        <v>77</v>
      </c>
      <c r="U14411" s="17"/>
      <c r="V14411" s="18">
        <f>62818826852</f>
        <v>62818826852</v>
      </c>
      <c r="W14411" t="s">
        <v>38911</v>
      </c>
      <c r="Y14411" s="17" t="s">
        <v>90</v>
      </c>
    </row>
    <row r="14412" ht="15" customHeight="1" spans="1:22" x14ac:dyDescent="0.25">
      <c r="A14412" s="17" t="s">
        <v>38912</v>
      </c>
      <c r="B14412" s="17" t="s">
        <v>70</v>
      </c>
      <c r="C14412" s="17" t="s">
        <v>71</v>
      </c>
      <c r="D14412" t="s">
        <v>38913</v>
      </c>
      <c r="F14412" t="s">
        <v>38913</v>
      </c>
      <c r="K14412" s="18">
        <f>62818810081</f>
        <v>62818810081</v>
      </c>
      <c r="N14412" s="17" t="s">
        <v>77</v>
      </c>
      <c r="V14412" s="18">
        <f>62818810081</f>
        <v>62818810081</v>
      </c>
    </row>
    <row r="14413" ht="15" customHeight="1" spans="1:22" x14ac:dyDescent="0.25">
      <c r="A14413" s="17" t="s">
        <v>38914</v>
      </c>
      <c r="B14413" s="17" t="s">
        <v>70</v>
      </c>
      <c r="C14413" s="17" t="s">
        <v>71</v>
      </c>
      <c r="D14413" t="s">
        <v>38915</v>
      </c>
      <c r="F14413" t="s">
        <v>38915</v>
      </c>
      <c r="K14413" s="18">
        <f>628119891148</f>
        <v>628119891148</v>
      </c>
      <c r="N14413" s="17" t="s">
        <v>77</v>
      </c>
      <c r="V14413" s="18">
        <f>628119891148</f>
        <v>628119891148</v>
      </c>
    </row>
    <row r="14414" ht="15" customHeight="1" spans="1:25" x14ac:dyDescent="0.25">
      <c r="A14414" s="17" t="s">
        <v>38916</v>
      </c>
      <c r="B14414" s="17" t="s">
        <v>70</v>
      </c>
      <c r="C14414" s="17" t="s">
        <v>71</v>
      </c>
      <c r="D14414" t="s">
        <v>38917</v>
      </c>
      <c r="F14414" t="s">
        <v>38918</v>
      </c>
      <c r="K14414" s="18">
        <f>62811861234</f>
        <v>62811861234</v>
      </c>
      <c r="N14414" s="17" t="s">
        <v>77</v>
      </c>
      <c r="U14414" s="17"/>
      <c r="V14414" s="18">
        <f>62811861234</f>
        <v>62811861234</v>
      </c>
      <c r="W14414" t="s">
        <v>38919</v>
      </c>
      <c r="Y14414" s="17" t="s">
        <v>96</v>
      </c>
    </row>
    <row r="14415" ht="15" customHeight="1" spans="1:22" x14ac:dyDescent="0.25">
      <c r="A14415" s="17" t="s">
        <v>38920</v>
      </c>
      <c r="B14415" s="17" t="s">
        <v>70</v>
      </c>
      <c r="C14415" s="17" t="s">
        <v>71</v>
      </c>
      <c r="D14415" t="s">
        <v>1459</v>
      </c>
      <c r="F14415" t="s">
        <v>1459</v>
      </c>
      <c r="K14415" s="18">
        <f>6281290375187</f>
        <v>6281290375187</v>
      </c>
      <c r="N14415" s="17" t="s">
        <v>77</v>
      </c>
      <c r="V14415" s="18">
        <f>6281290375187</f>
        <v>6281290375187</v>
      </c>
    </row>
    <row r="14416" ht="15" customHeight="1" spans="1:22" x14ac:dyDescent="0.25">
      <c r="A14416" s="17" t="s">
        <v>38921</v>
      </c>
      <c r="B14416" s="17" t="s">
        <v>70</v>
      </c>
      <c r="C14416" s="17" t="s">
        <v>71</v>
      </c>
      <c r="D14416" t="s">
        <v>38922</v>
      </c>
      <c r="F14416" t="s">
        <v>18851</v>
      </c>
      <c r="K14416" s="18">
        <f>6282198660999</f>
        <v>6282198660999</v>
      </c>
      <c r="N14416" s="17" t="s">
        <v>81</v>
      </c>
      <c r="V14416" s="18">
        <f>6282198660999</f>
        <v>6282198660999</v>
      </c>
    </row>
    <row r="14417" ht="15" customHeight="1" spans="1:25" x14ac:dyDescent="0.25">
      <c r="A14417" s="17" t="s">
        <v>38923</v>
      </c>
      <c r="B14417" s="17" t="s">
        <v>70</v>
      </c>
      <c r="C14417" s="17" t="s">
        <v>71</v>
      </c>
      <c r="D14417" t="s">
        <v>38924</v>
      </c>
      <c r="F14417" t="s">
        <v>38925</v>
      </c>
      <c r="K14417" s="18">
        <f>62811811200</f>
        <v>62811811200</v>
      </c>
      <c r="N14417" s="17" t="s">
        <v>77</v>
      </c>
      <c r="U14417" s="17"/>
      <c r="V14417" s="18">
        <f>62811811200</f>
        <v>62811811200</v>
      </c>
      <c r="W14417" t="s">
        <v>38926</v>
      </c>
      <c r="Y14417" s="17" t="s">
        <v>6246</v>
      </c>
    </row>
    <row r="14418" ht="15" customHeight="1" spans="1:25" x14ac:dyDescent="0.25">
      <c r="A14418" s="17" t="s">
        <v>38927</v>
      </c>
      <c r="B14418" s="17" t="s">
        <v>70</v>
      </c>
      <c r="C14418" s="17" t="s">
        <v>71</v>
      </c>
      <c r="D14418" t="s">
        <v>3605</v>
      </c>
      <c r="F14418" t="s">
        <v>2987</v>
      </c>
      <c r="K14418" s="18">
        <f>628128198038</f>
        <v>628128198038</v>
      </c>
      <c r="N14418" s="17" t="s">
        <v>77</v>
      </c>
      <c r="U14418" s="17"/>
      <c r="V14418" s="18">
        <f>628128198038</f>
        <v>628128198038</v>
      </c>
      <c r="W14418" t="s">
        <v>38928</v>
      </c>
      <c r="Y14418" s="17" t="s">
        <v>90</v>
      </c>
    </row>
    <row r="14419" ht="15" customHeight="1" spans="1:22" x14ac:dyDescent="0.25">
      <c r="A14419" s="17" t="s">
        <v>38929</v>
      </c>
      <c r="B14419" s="17" t="s">
        <v>70</v>
      </c>
      <c r="C14419" s="17" t="s">
        <v>71</v>
      </c>
      <c r="D14419" t="s">
        <v>2141</v>
      </c>
      <c r="F14419" t="s">
        <v>38930</v>
      </c>
      <c r="K14419" s="18">
        <f>628126000028</f>
        <v>628126000028</v>
      </c>
      <c r="N14419" s="17" t="s">
        <v>77</v>
      </c>
      <c r="V14419" s="18">
        <f>628126000028</f>
        <v>628126000028</v>
      </c>
    </row>
    <row r="14420" ht="15" customHeight="1" spans="1:25" x14ac:dyDescent="0.25">
      <c r="A14420" s="17" t="s">
        <v>38931</v>
      </c>
      <c r="B14420" s="17" t="s">
        <v>70</v>
      </c>
      <c r="C14420" s="17" t="s">
        <v>71</v>
      </c>
      <c r="D14420" t="s">
        <v>2141</v>
      </c>
      <c r="F14420" t="s">
        <v>38932</v>
      </c>
      <c r="K14420" s="18">
        <f>62811688747</f>
        <v>62811688747</v>
      </c>
      <c r="N14420" s="17" t="s">
        <v>77</v>
      </c>
      <c r="U14420" s="17"/>
      <c r="V14420" s="18">
        <f>62811688747</f>
        <v>62811688747</v>
      </c>
      <c r="W14420" t="s">
        <v>38933</v>
      </c>
      <c r="Y14420" s="17" t="s">
        <v>200</v>
      </c>
    </row>
    <row r="14421" ht="15" customHeight="1" spans="1:22" x14ac:dyDescent="0.25">
      <c r="A14421" s="17" t="s">
        <v>38934</v>
      </c>
      <c r="B14421" s="17" t="s">
        <v>70</v>
      </c>
      <c r="C14421" s="17" t="s">
        <v>71</v>
      </c>
      <c r="D14421" t="s">
        <v>38935</v>
      </c>
      <c r="F14421" t="s">
        <v>38935</v>
      </c>
      <c r="K14421" s="18">
        <f>62811155880</f>
        <v>62811155880</v>
      </c>
      <c r="N14421" s="17" t="s">
        <v>81</v>
      </c>
      <c r="V14421" s="18">
        <f>62811155880</f>
        <v>62811155880</v>
      </c>
    </row>
    <row r="14422" ht="15" customHeight="1" spans="1:22" x14ac:dyDescent="0.25">
      <c r="A14422" s="17" t="s">
        <v>38936</v>
      </c>
      <c r="B14422" s="17" t="s">
        <v>70</v>
      </c>
      <c r="C14422" s="17" t="s">
        <v>71</v>
      </c>
      <c r="D14422" t="s">
        <v>38937</v>
      </c>
      <c r="F14422" t="s">
        <v>38938</v>
      </c>
      <c r="K14422" s="18">
        <f>62811191528</f>
        <v>62811191528</v>
      </c>
      <c r="N14422" s="17" t="s">
        <v>81</v>
      </c>
      <c r="V14422" s="18">
        <f>62811191528</f>
        <v>62811191528</v>
      </c>
    </row>
    <row r="14423" ht="15" customHeight="1" spans="1:22" x14ac:dyDescent="0.25">
      <c r="A14423" s="17" t="s">
        <v>38939</v>
      </c>
      <c r="B14423" s="17" t="s">
        <v>70</v>
      </c>
      <c r="C14423" s="17" t="s">
        <v>71</v>
      </c>
      <c r="D14423" t="s">
        <v>38940</v>
      </c>
      <c r="F14423" t="s">
        <v>38941</v>
      </c>
      <c r="K14423" s="18">
        <f>19417302034</f>
        <v>19417302034</v>
      </c>
      <c r="N14423" s="17" t="s">
        <v>81</v>
      </c>
      <c r="V14423" s="18">
        <f>19417302034</f>
        <v>19417302034</v>
      </c>
    </row>
    <row r="14424" ht="15" customHeight="1" spans="1:28" x14ac:dyDescent="0.25">
      <c r="A14424" s="17" t="s">
        <v>38942</v>
      </c>
      <c r="B14424" s="17" t="s">
        <v>70</v>
      </c>
      <c r="C14424" s="17" t="s">
        <v>71</v>
      </c>
      <c r="D14424" t="s">
        <v>38943</v>
      </c>
      <c r="F14424" t="s">
        <v>3869</v>
      </c>
      <c r="J14424" t="s">
        <v>115</v>
      </c>
      <c r="K14424" s="18" t="s">
        <v>38944</v>
      </c>
      <c r="N14424" s="17" t="s">
        <v>77</v>
      </c>
      <c r="O14424" t="s">
        <v>145</v>
      </c>
      <c r="V14424" s="18" t="s">
        <v>38944</v>
      </c>
      <c r="Y14424" t="s">
        <v>190</v>
      </c>
      <c r="AA14424" t="s">
        <v>118</v>
      </c>
      <c r="AB14424" t="s">
        <v>119</v>
      </c>
    </row>
    <row r="14425" ht="15" customHeight="1" spans="1:22" x14ac:dyDescent="0.25">
      <c r="A14425" s="17" t="s">
        <v>38945</v>
      </c>
      <c r="B14425" s="17" t="s">
        <v>70</v>
      </c>
      <c r="C14425" s="17" t="s">
        <v>71</v>
      </c>
      <c r="D14425" t="s">
        <v>38946</v>
      </c>
      <c r="F14425" t="s">
        <v>3869</v>
      </c>
      <c r="K14425" s="18">
        <f>628161836704</f>
        <v>628161836704</v>
      </c>
      <c r="N14425" s="17" t="s">
        <v>77</v>
      </c>
      <c r="V14425" s="18">
        <f>628161836704</f>
        <v>628161836704</v>
      </c>
    </row>
    <row r="14426" ht="15" customHeight="1" spans="1:28" x14ac:dyDescent="0.25">
      <c r="A14426" s="17" t="s">
        <v>38947</v>
      </c>
      <c r="B14426" s="17" t="s">
        <v>70</v>
      </c>
      <c r="C14426" s="17" t="s">
        <v>71</v>
      </c>
      <c r="D14426" t="s">
        <v>38946</v>
      </c>
      <c r="F14426" t="s">
        <v>38948</v>
      </c>
      <c r="J14426" s="17" t="s">
        <v>38949</v>
      </c>
      <c r="K14426" s="18" t="s">
        <v>38950</v>
      </c>
      <c r="N14426" s="17" t="s">
        <v>77</v>
      </c>
      <c r="O14426" t="s">
        <v>145</v>
      </c>
      <c r="V14426" s="18" t="s">
        <v>38950</v>
      </c>
      <c r="Y14426" t="s">
        <v>3048</v>
      </c>
      <c r="AA14426" t="s">
        <v>115</v>
      </c>
      <c r="AB14426" t="s">
        <v>119</v>
      </c>
    </row>
    <row r="14427" ht="15" customHeight="1" spans="1:22" x14ac:dyDescent="0.25">
      <c r="A14427" s="17" t="s">
        <v>38951</v>
      </c>
      <c r="B14427" s="17" t="s">
        <v>70</v>
      </c>
      <c r="C14427" s="17" t="s">
        <v>71</v>
      </c>
      <c r="D14427" t="s">
        <v>38952</v>
      </c>
      <c r="F14427" t="s">
        <v>2108</v>
      </c>
      <c r="J14427" s="17" t="s">
        <v>38953</v>
      </c>
      <c r="K14427" s="18">
        <f>628119891403</f>
        <v>628119891403</v>
      </c>
      <c r="N14427" s="17" t="s">
        <v>77</v>
      </c>
      <c r="V14427" s="18">
        <f>628119891403</f>
        <v>628119891403</v>
      </c>
    </row>
    <row r="14428" ht="15" customHeight="1" spans="1:28" x14ac:dyDescent="0.25">
      <c r="A14428" s="17" t="s">
        <v>38954</v>
      </c>
      <c r="B14428" s="17" t="s">
        <v>70</v>
      </c>
      <c r="C14428" s="17" t="s">
        <v>71</v>
      </c>
      <c r="D14428" t="s">
        <v>35082</v>
      </c>
      <c r="F14428" t="s">
        <v>35835</v>
      </c>
      <c r="J14428" s="22" t="s">
        <v>38955</v>
      </c>
      <c r="K14428" s="18" t="s">
        <v>38956</v>
      </c>
      <c r="N14428" s="17" t="s">
        <v>77</v>
      </c>
      <c r="O14428" t="s">
        <v>199</v>
      </c>
      <c r="U14428" s="17"/>
      <c r="V14428" s="18" t="s">
        <v>38956</v>
      </c>
      <c r="W14428" t="s">
        <v>2500</v>
      </c>
      <c r="Y14428" t="s">
        <v>2500</v>
      </c>
      <c r="AA14428" t="s">
        <v>115</v>
      </c>
      <c r="AB14428" t="s">
        <v>2500</v>
      </c>
    </row>
    <row r="14429" ht="15" customHeight="1" spans="1:23" x14ac:dyDescent="0.25">
      <c r="A14429" s="17" t="s">
        <v>38957</v>
      </c>
      <c r="B14429" s="17" t="s">
        <v>70</v>
      </c>
      <c r="C14429" s="17" t="s">
        <v>71</v>
      </c>
      <c r="D14429" t="s">
        <v>38958</v>
      </c>
      <c r="F14429" t="s">
        <v>17445</v>
      </c>
      <c r="K14429" s="18">
        <f>6282112752194</f>
        <v>6282112752194</v>
      </c>
      <c r="N14429" s="17" t="s">
        <v>77</v>
      </c>
      <c r="U14429" s="17"/>
      <c r="V14429" s="18">
        <f>6282112752194</f>
        <v>6282112752194</v>
      </c>
      <c r="W14429" t="s">
        <v>38959</v>
      </c>
    </row>
    <row r="14430" ht="15" customHeight="1" spans="1:22" x14ac:dyDescent="0.25">
      <c r="A14430" s="17" t="s">
        <v>38960</v>
      </c>
      <c r="B14430" s="17" t="s">
        <v>70</v>
      </c>
      <c r="C14430" s="17" t="s">
        <v>71</v>
      </c>
      <c r="D14430" t="s">
        <v>38961</v>
      </c>
      <c r="F14430" t="s">
        <v>38961</v>
      </c>
      <c r="K14430" s="18">
        <f>6282112603117</f>
        <v>6282112603117</v>
      </c>
      <c r="N14430" s="17" t="s">
        <v>77</v>
      </c>
      <c r="V14430" s="18">
        <f>6282112603117</f>
        <v>6282112603117</v>
      </c>
    </row>
    <row r="14431" ht="15" customHeight="1" spans="1:22" x14ac:dyDescent="0.25">
      <c r="A14431" s="17" t="s">
        <v>38962</v>
      </c>
      <c r="B14431" s="17" t="s">
        <v>70</v>
      </c>
      <c r="C14431" s="17" t="s">
        <v>71</v>
      </c>
      <c r="D14431" t="s">
        <v>38963</v>
      </c>
      <c r="F14431" t="s">
        <v>38964</v>
      </c>
      <c r="K14431" s="18">
        <f>628119338176</f>
        <v>628119338176</v>
      </c>
      <c r="N14431" s="17" t="s">
        <v>74</v>
      </c>
      <c r="V14431" s="18">
        <f>628119338176</f>
        <v>628119338176</v>
      </c>
    </row>
    <row r="14432" ht="15" customHeight="1" spans="1:22" x14ac:dyDescent="0.25">
      <c r="A14432" s="17" t="s">
        <v>38965</v>
      </c>
      <c r="B14432" s="17" t="s">
        <v>70</v>
      </c>
      <c r="C14432" s="17" t="s">
        <v>71</v>
      </c>
      <c r="D14432" t="s">
        <v>38966</v>
      </c>
      <c r="F14432" t="s">
        <v>17363</v>
      </c>
      <c r="K14432" s="18">
        <f>62819052439561</f>
        <v>62819052439561</v>
      </c>
      <c r="N14432" s="17" t="s">
        <v>77</v>
      </c>
      <c r="V14432" s="18">
        <f>62819052439561</f>
        <v>62819052439561</v>
      </c>
    </row>
    <row r="14433" ht="15" customHeight="1" spans="1:22" x14ac:dyDescent="0.25">
      <c r="A14433" s="17" t="s">
        <v>38967</v>
      </c>
      <c r="B14433" s="17" t="s">
        <v>70</v>
      </c>
      <c r="C14433" s="17" t="s">
        <v>71</v>
      </c>
      <c r="D14433" t="s">
        <v>38968</v>
      </c>
      <c r="F14433" t="s">
        <v>38969</v>
      </c>
      <c r="K14433" s="18">
        <f>628158537407</f>
        <v>628158537407</v>
      </c>
      <c r="N14433" s="17" t="s">
        <v>77</v>
      </c>
      <c r="V14433" s="18">
        <f>628158537407</f>
        <v>628158537407</v>
      </c>
    </row>
    <row r="14434" ht="15" customHeight="1" spans="1:27" x14ac:dyDescent="0.25">
      <c r="A14434" s="17" t="s">
        <v>38970</v>
      </c>
      <c r="B14434" s="17" t="s">
        <v>70</v>
      </c>
      <c r="C14434" s="17" t="s">
        <v>71</v>
      </c>
      <c r="D14434" t="s">
        <v>38971</v>
      </c>
      <c r="F14434" t="s">
        <v>3906</v>
      </c>
      <c r="J14434" s="17" t="s">
        <v>38972</v>
      </c>
      <c r="K14434" s="18">
        <f>62317447202</f>
        <v>62317447202</v>
      </c>
      <c r="N14434" s="17" t="s">
        <v>74</v>
      </c>
      <c r="U14434" s="17"/>
      <c r="V14434" s="18">
        <f>62317447202</f>
        <v>62317447202</v>
      </c>
      <c r="W14434" t="s">
        <v>38973</v>
      </c>
      <c r="Y14434" s="17" t="s">
        <v>181</v>
      </c>
      <c r="AA14434" s="17" t="s">
        <v>38974</v>
      </c>
    </row>
    <row r="14435" ht="15" customHeight="1" spans="1:22" x14ac:dyDescent="0.25">
      <c r="A14435" s="17" t="s">
        <v>38975</v>
      </c>
      <c r="B14435" s="17" t="s">
        <v>70</v>
      </c>
      <c r="C14435" s="17" t="s">
        <v>71</v>
      </c>
      <c r="D14435" t="s">
        <v>38971</v>
      </c>
      <c r="F14435" t="s">
        <v>38976</v>
      </c>
      <c r="K14435" s="18">
        <v>91311026275</v>
      </c>
      <c r="N14435" s="17" t="s">
        <v>77</v>
      </c>
      <c r="V14435" s="18">
        <v>91311026275</v>
      </c>
    </row>
    <row r="14436" ht="15" customHeight="1" spans="1:22" x14ac:dyDescent="0.25">
      <c r="A14436" s="17" t="s">
        <v>38977</v>
      </c>
      <c r="B14436" s="17" t="s">
        <v>70</v>
      </c>
      <c r="C14436" s="17" t="s">
        <v>71</v>
      </c>
      <c r="D14436" t="s">
        <v>38978</v>
      </c>
      <c r="F14436" t="s">
        <v>38979</v>
      </c>
      <c r="K14436" s="18">
        <f>62811810159</f>
        <v>62811810159</v>
      </c>
      <c r="N14436" s="17" t="s">
        <v>81</v>
      </c>
      <c r="V14436" s="18">
        <f>62811810159</f>
        <v>62811810159</v>
      </c>
    </row>
    <row r="14437" ht="15" customHeight="1" spans="1:22" x14ac:dyDescent="0.25">
      <c r="A14437" s="17" t="s">
        <v>38980</v>
      </c>
      <c r="B14437" s="17" t="s">
        <v>70</v>
      </c>
      <c r="C14437" s="17" t="s">
        <v>71</v>
      </c>
      <c r="D14437" t="s">
        <v>38971</v>
      </c>
      <c r="F14437" t="s">
        <v>26657</v>
      </c>
      <c r="K14437" s="18">
        <v>57905100</v>
      </c>
      <c r="N14437" s="17" t="s">
        <v>81</v>
      </c>
      <c r="V14437" s="18">
        <v>57905100</v>
      </c>
    </row>
    <row r="14438" ht="15" customHeight="1" spans="1:28" x14ac:dyDescent="0.25">
      <c r="A14438" s="17" t="s">
        <v>38981</v>
      </c>
      <c r="B14438" s="17" t="s">
        <v>70</v>
      </c>
      <c r="C14438" s="17" t="s">
        <v>71</v>
      </c>
      <c r="D14438" t="s">
        <v>38982</v>
      </c>
      <c r="F14438" t="s">
        <v>38983</v>
      </c>
      <c r="J14438" s="17" t="s">
        <v>38984</v>
      </c>
      <c r="K14438" s="18" t="s">
        <v>38985</v>
      </c>
      <c r="N14438" s="17" t="s">
        <v>77</v>
      </c>
      <c r="O14438" t="s">
        <v>199</v>
      </c>
      <c r="U14438" s="17"/>
      <c r="V14438" s="18" t="s">
        <v>38985</v>
      </c>
      <c r="W14438" t="s">
        <v>38986</v>
      </c>
      <c r="Y14438" t="s">
        <v>115</v>
      </c>
      <c r="AA14438" t="s">
        <v>115</v>
      </c>
      <c r="AB14438" t="s">
        <v>2500</v>
      </c>
    </row>
    <row r="14439" ht="15" customHeight="1" spans="1:22" x14ac:dyDescent="0.25">
      <c r="A14439" s="17" t="s">
        <v>38987</v>
      </c>
      <c r="B14439" s="17" t="s">
        <v>70</v>
      </c>
      <c r="C14439" s="17" t="s">
        <v>71</v>
      </c>
      <c r="D14439" t="s">
        <v>38988</v>
      </c>
      <c r="F14439" t="s">
        <v>38968</v>
      </c>
      <c r="K14439" s="18">
        <f>628111287887</f>
        <v>628111287887</v>
      </c>
      <c r="N14439" s="17" t="s">
        <v>77</v>
      </c>
      <c r="V14439" s="18">
        <f>628111287887</f>
        <v>628111287887</v>
      </c>
    </row>
    <row r="14440" ht="15" customHeight="1" spans="1:27" x14ac:dyDescent="0.25">
      <c r="A14440" s="17" t="s">
        <v>38989</v>
      </c>
      <c r="B14440" s="17" t="s">
        <v>70</v>
      </c>
      <c r="C14440" s="17" t="s">
        <v>71</v>
      </c>
      <c r="D14440" t="s">
        <v>38990</v>
      </c>
      <c r="F14440" t="s">
        <v>38991</v>
      </c>
      <c r="K14440" s="18">
        <f>628811153046</f>
        <v>628811153046</v>
      </c>
      <c r="N14440" s="17" t="s">
        <v>81</v>
      </c>
      <c r="U14440" s="17"/>
      <c r="V14440" s="18">
        <f>628811153046</f>
        <v>628811153046</v>
      </c>
      <c r="W14440" t="s">
        <v>38992</v>
      </c>
      <c r="Y14440" s="17" t="s">
        <v>96</v>
      </c>
      <c r="AA14440" s="17">
        <v>12920</v>
      </c>
    </row>
    <row r="14441" ht="15" customHeight="1" spans="1:23" x14ac:dyDescent="0.25">
      <c r="A14441" s="17" t="s">
        <v>38993</v>
      </c>
      <c r="B14441" s="17" t="s">
        <v>70</v>
      </c>
      <c r="C14441" s="17" t="s">
        <v>71</v>
      </c>
      <c r="D14441" t="s">
        <v>38994</v>
      </c>
      <c r="F14441" t="s">
        <v>38995</v>
      </c>
      <c r="J14441" s="17" t="s">
        <v>38996</v>
      </c>
      <c r="K14441" s="18">
        <f>818094740604</f>
        <v>818094740604</v>
      </c>
      <c r="N14441" s="17" t="s">
        <v>77</v>
      </c>
      <c r="U14441" s="17"/>
      <c r="V14441" s="18">
        <f>818094740604</f>
        <v>818094740604</v>
      </c>
      <c r="W14441" t="s">
        <v>2500</v>
      </c>
    </row>
    <row r="14442" ht="15" customHeight="1" spans="1:22" x14ac:dyDescent="0.25">
      <c r="A14442" s="17" t="s">
        <v>38997</v>
      </c>
      <c r="B14442" s="17" t="s">
        <v>70</v>
      </c>
      <c r="C14442" s="17" t="s">
        <v>71</v>
      </c>
      <c r="D14442" t="s">
        <v>38998</v>
      </c>
      <c r="F14442" t="s">
        <v>38999</v>
      </c>
      <c r="K14442" s="18">
        <f>6281908222051</f>
        <v>6281908222051</v>
      </c>
      <c r="N14442" s="17" t="s">
        <v>77</v>
      </c>
      <c r="V14442" s="18">
        <f>6281908222051</f>
        <v>6281908222051</v>
      </c>
    </row>
    <row r="14443" ht="15" customHeight="1" spans="1:22" x14ac:dyDescent="0.25">
      <c r="A14443" s="17" t="s">
        <v>39000</v>
      </c>
      <c r="B14443" s="17" t="s">
        <v>70</v>
      </c>
      <c r="C14443" s="17" t="s">
        <v>71</v>
      </c>
      <c r="D14443" t="s">
        <v>39001</v>
      </c>
      <c r="F14443" t="s">
        <v>39002</v>
      </c>
      <c r="K14443" s="18">
        <f>628111220251</f>
        <v>628111220251</v>
      </c>
      <c r="N14443" s="17" t="s">
        <v>81</v>
      </c>
      <c r="V14443" s="18">
        <f>628111220251</f>
        <v>628111220251</v>
      </c>
    </row>
    <row r="14444" ht="15" customHeight="1" spans="1:23" x14ac:dyDescent="0.25">
      <c r="A14444" s="17" t="s">
        <v>39003</v>
      </c>
      <c r="B14444" s="17" t="s">
        <v>70</v>
      </c>
      <c r="C14444" s="17" t="s">
        <v>71</v>
      </c>
      <c r="D14444" t="s">
        <v>39004</v>
      </c>
      <c r="F14444" t="s">
        <v>39005</v>
      </c>
      <c r="K14444" s="18" t="s">
        <v>39006</v>
      </c>
      <c r="N14444" s="17" t="s">
        <v>77</v>
      </c>
      <c r="U14444" s="17"/>
      <c r="V14444" s="18" t="s">
        <v>39006</v>
      </c>
      <c r="W14444" t="s">
        <v>3140</v>
      </c>
    </row>
    <row r="14445" ht="15" customHeight="1" spans="1:23" x14ac:dyDescent="0.25">
      <c r="A14445" s="17" t="s">
        <v>39007</v>
      </c>
      <c r="B14445" s="17" t="s">
        <v>70</v>
      </c>
      <c r="C14445" s="17" t="s">
        <v>71</v>
      </c>
      <c r="D14445" t="s">
        <v>39008</v>
      </c>
      <c r="F14445" t="s">
        <v>39009</v>
      </c>
      <c r="K14445" s="18">
        <f>966535307459</f>
        <v>966535307459</v>
      </c>
      <c r="N14445" s="17" t="s">
        <v>77</v>
      </c>
      <c r="U14445" s="17"/>
      <c r="V14445" s="18">
        <f>966535307459</f>
        <v>966535307459</v>
      </c>
      <c r="W14445" t="s">
        <v>251</v>
      </c>
    </row>
    <row r="14446" ht="15" customHeight="1" spans="1:28" x14ac:dyDescent="0.25">
      <c r="A14446" s="17" t="s">
        <v>39010</v>
      </c>
      <c r="B14446" s="17" t="s">
        <v>70</v>
      </c>
      <c r="C14446" s="17" t="s">
        <v>71</v>
      </c>
      <c r="D14446" t="s">
        <v>39011</v>
      </c>
      <c r="F14446" t="s">
        <v>39012</v>
      </c>
      <c r="J14446" s="17" t="s">
        <v>39013</v>
      </c>
      <c r="K14446" s="18" t="s">
        <v>39014</v>
      </c>
      <c r="N14446" s="17" t="s">
        <v>77</v>
      </c>
      <c r="O14446" t="s">
        <v>261</v>
      </c>
      <c r="U14446" s="17"/>
      <c r="V14446" s="18" t="s">
        <v>39014</v>
      </c>
      <c r="W14446" t="s">
        <v>537</v>
      </c>
      <c r="Y14446" t="s">
        <v>930</v>
      </c>
      <c r="AA14446" t="s">
        <v>115</v>
      </c>
      <c r="AB14446" t="s">
        <v>930</v>
      </c>
    </row>
    <row r="14447" ht="15" customHeight="1" spans="1:22" x14ac:dyDescent="0.25">
      <c r="A14447" s="17" t="s">
        <v>39015</v>
      </c>
      <c r="B14447" s="17" t="s">
        <v>70</v>
      </c>
      <c r="C14447" s="17" t="s">
        <v>71</v>
      </c>
      <c r="D14447" t="s">
        <v>39016</v>
      </c>
      <c r="F14447" t="s">
        <v>39016</v>
      </c>
      <c r="K14447" s="18">
        <f>6281396931257</f>
        <v>6281396931257</v>
      </c>
      <c r="N14447" s="17" t="s">
        <v>77</v>
      </c>
      <c r="V14447" s="18">
        <f>6281396931257</f>
        <v>6281396931257</v>
      </c>
    </row>
    <row r="14448" ht="15" customHeight="1" spans="1:22" x14ac:dyDescent="0.25">
      <c r="A14448" s="17" t="s">
        <v>39017</v>
      </c>
      <c r="B14448" s="17" t="s">
        <v>70</v>
      </c>
      <c r="C14448" s="17" t="s">
        <v>71</v>
      </c>
      <c r="D14448" t="s">
        <v>39018</v>
      </c>
      <c r="F14448" t="s">
        <v>36295</v>
      </c>
      <c r="K14448" s="18">
        <f>62818700050</f>
        <v>62818700050</v>
      </c>
      <c r="N14448" s="17" t="s">
        <v>77</v>
      </c>
      <c r="V14448" s="18">
        <f>62818700050</f>
        <v>62818700050</v>
      </c>
    </row>
    <row r="14449" ht="15" customHeight="1" spans="1:28" x14ac:dyDescent="0.25">
      <c r="A14449" s="17" t="s">
        <v>39019</v>
      </c>
      <c r="B14449" s="17" t="s">
        <v>70</v>
      </c>
      <c r="C14449" s="17" t="s">
        <v>71</v>
      </c>
      <c r="D14449" t="s">
        <v>39020</v>
      </c>
      <c r="F14449" t="s">
        <v>38995</v>
      </c>
      <c r="J14449" s="17" t="s">
        <v>39021</v>
      </c>
      <c r="K14449" s="18" t="s">
        <v>39022</v>
      </c>
      <c r="N14449" s="17" t="s">
        <v>77</v>
      </c>
      <c r="O14449" t="s">
        <v>199</v>
      </c>
      <c r="U14449" s="17"/>
      <c r="V14449" s="18" t="s">
        <v>39022</v>
      </c>
      <c r="W14449" t="s">
        <v>38986</v>
      </c>
      <c r="Y14449" t="s">
        <v>14865</v>
      </c>
      <c r="AA14449" t="s">
        <v>115</v>
      </c>
      <c r="AB14449" t="s">
        <v>119</v>
      </c>
    </row>
    <row r="14450" ht="15" customHeight="1" spans="1:22" x14ac:dyDescent="0.25">
      <c r="A14450" s="17" t="s">
        <v>39023</v>
      </c>
      <c r="B14450" s="17" t="s">
        <v>70</v>
      </c>
      <c r="C14450" s="17" t="s">
        <v>71</v>
      </c>
      <c r="D14450" t="s">
        <v>1226</v>
      </c>
      <c r="F14450" t="s">
        <v>2620</v>
      </c>
      <c r="K14450" s="18">
        <f>6281260000021</f>
        <v>6281260000021</v>
      </c>
      <c r="N14450" s="17" t="s">
        <v>81</v>
      </c>
      <c r="V14450" s="18">
        <f>6281260000021</f>
        <v>6281260000021</v>
      </c>
    </row>
    <row r="14451" ht="15" customHeight="1" spans="1:22" x14ac:dyDescent="0.25">
      <c r="A14451" s="17" t="s">
        <v>39024</v>
      </c>
      <c r="B14451" s="17" t="s">
        <v>70</v>
      </c>
      <c r="C14451" s="17" t="s">
        <v>71</v>
      </c>
      <c r="D14451" t="s">
        <v>1226</v>
      </c>
      <c r="F14451" t="s">
        <v>15948</v>
      </c>
      <c r="J14451" s="17" t="s">
        <v>39025</v>
      </c>
      <c r="K14451" s="18">
        <f>62817802160</f>
        <v>62817802160</v>
      </c>
      <c r="N14451" s="17" t="s">
        <v>77</v>
      </c>
      <c r="V14451" s="18">
        <f>62817802160</f>
        <v>62817802160</v>
      </c>
    </row>
    <row r="14452" ht="15" customHeight="1" spans="1:22" x14ac:dyDescent="0.25">
      <c r="A14452" s="17" t="s">
        <v>39026</v>
      </c>
      <c r="B14452" s="17" t="s">
        <v>70</v>
      </c>
      <c r="C14452" s="17" t="s">
        <v>71</v>
      </c>
      <c r="D14452" t="s">
        <v>39027</v>
      </c>
      <c r="F14452" t="s">
        <v>39027</v>
      </c>
      <c r="K14452" s="18">
        <f>628129446939</f>
        <v>628129446939</v>
      </c>
      <c r="N14452" s="17" t="s">
        <v>81</v>
      </c>
      <c r="V14452" s="18">
        <f>628129446939</f>
        <v>628129446939</v>
      </c>
    </row>
    <row r="14453" ht="15" customHeight="1" spans="1:22" x14ac:dyDescent="0.25">
      <c r="A14453" s="17" t="s">
        <v>39028</v>
      </c>
      <c r="B14453" s="17" t="s">
        <v>70</v>
      </c>
      <c r="C14453" s="17" t="s">
        <v>71</v>
      </c>
      <c r="D14453" t="s">
        <v>570</v>
      </c>
      <c r="F14453" t="s">
        <v>570</v>
      </c>
      <c r="K14453" s="18">
        <f>62811100697</f>
        <v>62811100697</v>
      </c>
      <c r="N14453" s="17" t="s">
        <v>77</v>
      </c>
      <c r="V14453" s="18">
        <f>62811100697</f>
        <v>62811100697</v>
      </c>
    </row>
    <row r="14454" ht="15" customHeight="1" spans="1:22" x14ac:dyDescent="0.25">
      <c r="A14454" s="17" t="s">
        <v>39029</v>
      </c>
      <c r="B14454" s="17" t="s">
        <v>70</v>
      </c>
      <c r="C14454" s="17" t="s">
        <v>71</v>
      </c>
      <c r="D14454" t="s">
        <v>39030</v>
      </c>
      <c r="F14454" t="s">
        <v>20950</v>
      </c>
      <c r="K14454" s="18">
        <f>62818136509</f>
        <v>62818136509</v>
      </c>
      <c r="N14454" s="17" t="s">
        <v>77</v>
      </c>
      <c r="V14454" s="18">
        <f>62818136509</f>
        <v>62818136509</v>
      </c>
    </row>
    <row r="14455" ht="15" customHeight="1" spans="1:22" x14ac:dyDescent="0.25">
      <c r="A14455" s="17" t="s">
        <v>39031</v>
      </c>
      <c r="B14455" s="17" t="s">
        <v>70</v>
      </c>
      <c r="C14455" s="17" t="s">
        <v>71</v>
      </c>
      <c r="D14455" t="s">
        <v>3114</v>
      </c>
      <c r="F14455" t="s">
        <v>3114</v>
      </c>
      <c r="K14455" s="18">
        <f>62818740602</f>
        <v>62818740602</v>
      </c>
      <c r="N14455" s="17" t="s">
        <v>74</v>
      </c>
      <c r="V14455" s="18">
        <f>62818740602</f>
        <v>62818740602</v>
      </c>
    </row>
    <row r="14456" ht="15" customHeight="1" spans="1:27" x14ac:dyDescent="0.25">
      <c r="A14456" s="17" t="s">
        <v>39032</v>
      </c>
      <c r="B14456" s="17" t="s">
        <v>70</v>
      </c>
      <c r="C14456" s="17" t="s">
        <v>71</v>
      </c>
      <c r="D14456" t="s">
        <v>39033</v>
      </c>
      <c r="F14456" t="s">
        <v>39034</v>
      </c>
      <c r="K14456" s="18">
        <f>62818114310</f>
        <v>62818114310</v>
      </c>
      <c r="N14456" s="17" t="s">
        <v>74</v>
      </c>
      <c r="U14456" s="17"/>
      <c r="V14456" s="18">
        <f>62818114310</f>
        <v>62818114310</v>
      </c>
      <c r="W14456" t="s">
        <v>39035</v>
      </c>
      <c r="Y14456" s="17" t="s">
        <v>626</v>
      </c>
      <c r="AA14456" s="17" t="s">
        <v>39036</v>
      </c>
    </row>
    <row r="14457" ht="15" customHeight="1" spans="1:28" x14ac:dyDescent="0.25">
      <c r="A14457" s="17" t="s">
        <v>39037</v>
      </c>
      <c r="B14457" s="17" t="s">
        <v>70</v>
      </c>
      <c r="C14457" s="17" t="s">
        <v>71</v>
      </c>
      <c r="D14457" t="s">
        <v>39038</v>
      </c>
      <c r="F14457" t="s">
        <v>668</v>
      </c>
      <c r="J14457" t="s">
        <v>115</v>
      </c>
      <c r="K14457" s="18" t="s">
        <v>39039</v>
      </c>
      <c r="N14457" s="17" t="s">
        <v>77</v>
      </c>
      <c r="O14457" t="s">
        <v>117</v>
      </c>
      <c r="V14457" s="18" t="s">
        <v>39039</v>
      </c>
      <c r="Y14457" t="s">
        <v>1084</v>
      </c>
      <c r="AA14457" t="s">
        <v>3146</v>
      </c>
      <c r="AB14457" t="s">
        <v>119</v>
      </c>
    </row>
    <row r="14458" ht="15" customHeight="1" spans="1:28" x14ac:dyDescent="0.25">
      <c r="A14458" s="17" t="s">
        <v>39040</v>
      </c>
      <c r="B14458" s="17" t="s">
        <v>70</v>
      </c>
      <c r="C14458" s="17" t="s">
        <v>71</v>
      </c>
      <c r="D14458" t="s">
        <v>29443</v>
      </c>
      <c r="F14458" t="s">
        <v>39041</v>
      </c>
      <c r="J14458" t="s">
        <v>115</v>
      </c>
      <c r="K14458" s="18" t="s">
        <v>39042</v>
      </c>
      <c r="N14458" s="17" t="s">
        <v>74</v>
      </c>
      <c r="O14458" t="s">
        <v>489</v>
      </c>
      <c r="V14458" s="18" t="s">
        <v>39042</v>
      </c>
      <c r="Y14458" s="17" t="s">
        <v>1349</v>
      </c>
      <c r="AA14458" t="s">
        <v>115</v>
      </c>
      <c r="AB14458" t="s">
        <v>1349</v>
      </c>
    </row>
    <row r="14459" ht="15" customHeight="1" spans="1:22" x14ac:dyDescent="0.25">
      <c r="A14459" s="17" t="s">
        <v>39043</v>
      </c>
      <c r="B14459" s="17" t="s">
        <v>70</v>
      </c>
      <c r="C14459" s="17" t="s">
        <v>71</v>
      </c>
      <c r="D14459" t="s">
        <v>153</v>
      </c>
      <c r="F14459" t="s">
        <v>3564</v>
      </c>
      <c r="K14459" s="18">
        <f>628163286269</f>
        <v>628163286269</v>
      </c>
      <c r="N14459" s="17" t="s">
        <v>81</v>
      </c>
      <c r="V14459" s="18">
        <f>628163286269</f>
        <v>628163286269</v>
      </c>
    </row>
    <row r="14460" ht="15" customHeight="1" spans="1:22" x14ac:dyDescent="0.25">
      <c r="A14460" s="17" t="s">
        <v>39044</v>
      </c>
      <c r="B14460" s="17" t="s">
        <v>70</v>
      </c>
      <c r="C14460" s="17" t="s">
        <v>71</v>
      </c>
      <c r="D14460" t="s">
        <v>153</v>
      </c>
      <c r="F14460" t="s">
        <v>11889</v>
      </c>
      <c r="K14460" s="18">
        <f>6281299093217</f>
        <v>6281299093217</v>
      </c>
      <c r="N14460" s="17" t="s">
        <v>81</v>
      </c>
      <c r="V14460" s="18">
        <f>6281299093217</f>
        <v>6281299093217</v>
      </c>
    </row>
    <row r="14461" ht="15" customHeight="1" spans="1:25" x14ac:dyDescent="0.25">
      <c r="A14461" s="17" t="s">
        <v>39045</v>
      </c>
      <c r="B14461" s="17" t="s">
        <v>70</v>
      </c>
      <c r="C14461" s="17" t="s">
        <v>71</v>
      </c>
      <c r="D14461" t="s">
        <v>153</v>
      </c>
      <c r="F14461" t="s">
        <v>39046</v>
      </c>
      <c r="J14461" s="17" t="s">
        <v>39047</v>
      </c>
      <c r="K14461" s="18">
        <f>62811133840</f>
        <v>62811133840</v>
      </c>
      <c r="N14461" s="17" t="s">
        <v>77</v>
      </c>
      <c r="U14461" s="17"/>
      <c r="V14461" s="18">
        <f>62811133840</f>
        <v>62811133840</v>
      </c>
      <c r="W14461" t="s">
        <v>39048</v>
      </c>
      <c r="Y14461" s="17" t="s">
        <v>217</v>
      </c>
    </row>
    <row r="14462" ht="15" customHeight="1" spans="1:22" x14ac:dyDescent="0.25">
      <c r="A14462" s="17" t="s">
        <v>39049</v>
      </c>
      <c r="B14462" s="17" t="s">
        <v>70</v>
      </c>
      <c r="C14462" s="17" t="s">
        <v>71</v>
      </c>
      <c r="D14462" t="s">
        <v>153</v>
      </c>
      <c r="F14462" t="s">
        <v>39050</v>
      </c>
      <c r="K14462" s="18">
        <f>62818810288</f>
        <v>62818810288</v>
      </c>
      <c r="N14462" s="17" t="s">
        <v>77</v>
      </c>
      <c r="V14462" s="18">
        <f>62818810288</f>
        <v>62818810288</v>
      </c>
    </row>
    <row r="14463" ht="15" customHeight="1" spans="1:23" x14ac:dyDescent="0.25">
      <c r="A14463" s="17" t="s">
        <v>39051</v>
      </c>
      <c r="B14463" s="17" t="s">
        <v>70</v>
      </c>
      <c r="C14463" s="17" t="s">
        <v>71</v>
      </c>
      <c r="D14463" t="s">
        <v>153</v>
      </c>
      <c r="F14463" t="s">
        <v>22676</v>
      </c>
      <c r="K14463" s="18">
        <f>60125588344</f>
        <v>60125588344</v>
      </c>
      <c r="N14463" s="17" t="s">
        <v>77</v>
      </c>
      <c r="U14463" s="17"/>
      <c r="V14463" s="18">
        <f>60125588344</f>
        <v>60125588344</v>
      </c>
      <c r="W14463" t="s">
        <v>7229</v>
      </c>
    </row>
    <row r="14464" ht="15" customHeight="1" spans="1:22" x14ac:dyDescent="0.25">
      <c r="A14464" s="17" t="s">
        <v>39052</v>
      </c>
      <c r="B14464" s="17" t="s">
        <v>70</v>
      </c>
      <c r="C14464" s="17" t="s">
        <v>71</v>
      </c>
      <c r="D14464" t="s">
        <v>39053</v>
      </c>
      <c r="F14464" t="s">
        <v>39054</v>
      </c>
      <c r="K14464" s="18">
        <f>6590903881</f>
        <v>6590903881</v>
      </c>
      <c r="N14464" s="17" t="s">
        <v>81</v>
      </c>
      <c r="V14464" s="18">
        <f>6590903881</f>
        <v>6590903881</v>
      </c>
    </row>
    <row r="14465" ht="15" customHeight="1" spans="1:27" x14ac:dyDescent="0.25">
      <c r="A14465" s="17" t="s">
        <v>39055</v>
      </c>
      <c r="B14465" s="17" t="s">
        <v>70</v>
      </c>
      <c r="C14465" s="17" t="s">
        <v>71</v>
      </c>
      <c r="D14465" t="s">
        <v>153</v>
      </c>
      <c r="F14465" t="s">
        <v>39056</v>
      </c>
      <c r="K14465" s="18">
        <f>62811990767</f>
        <v>62811990767</v>
      </c>
      <c r="N14465" s="17" t="s">
        <v>81</v>
      </c>
      <c r="U14465" s="17"/>
      <c r="V14465" s="18">
        <f>62811990767</f>
        <v>62811990767</v>
      </c>
      <c r="W14465" t="s">
        <v>39057</v>
      </c>
      <c r="Y14465" s="17" t="s">
        <v>1084</v>
      </c>
      <c r="AA14465" s="17">
        <v>14450</v>
      </c>
    </row>
    <row r="14466" ht="15" customHeight="1" spans="1:28" x14ac:dyDescent="0.25">
      <c r="A14466" s="17" t="s">
        <v>39058</v>
      </c>
      <c r="B14466" s="17" t="s">
        <v>70</v>
      </c>
      <c r="C14466" s="17" t="s">
        <v>71</v>
      </c>
      <c r="D14466" t="s">
        <v>39059</v>
      </c>
      <c r="F14466" t="s">
        <v>5802</v>
      </c>
      <c r="J14466" s="17" t="s">
        <v>39060</v>
      </c>
      <c r="K14466" s="18" t="s">
        <v>39061</v>
      </c>
      <c r="N14466" s="17" t="s">
        <v>77</v>
      </c>
      <c r="O14466" t="s">
        <v>489</v>
      </c>
      <c r="U14466" s="17"/>
      <c r="V14466" s="18" t="s">
        <v>39061</v>
      </c>
      <c r="W14466" t="s">
        <v>39062</v>
      </c>
      <c r="Y14466" t="s">
        <v>115</v>
      </c>
      <c r="AA14466" t="s">
        <v>115</v>
      </c>
      <c r="AB14466" t="s">
        <v>1349</v>
      </c>
    </row>
    <row r="14467" ht="15" customHeight="1" spans="1:22" x14ac:dyDescent="0.25">
      <c r="A14467" s="17" t="s">
        <v>39063</v>
      </c>
      <c r="B14467" s="17" t="s">
        <v>70</v>
      </c>
      <c r="C14467" s="17" t="s">
        <v>71</v>
      </c>
      <c r="D14467" t="s">
        <v>153</v>
      </c>
      <c r="F14467" t="s">
        <v>39064</v>
      </c>
      <c r="K14467" s="18">
        <f>62818793888</f>
        <v>62818793888</v>
      </c>
      <c r="N14467" s="17" t="s">
        <v>74</v>
      </c>
      <c r="V14467" s="18">
        <f>62818793888</f>
        <v>62818793888</v>
      </c>
    </row>
    <row r="14468" ht="15" customHeight="1" spans="1:25" x14ac:dyDescent="0.25">
      <c r="A14468" s="17" t="s">
        <v>39065</v>
      </c>
      <c r="B14468" s="17" t="s">
        <v>70</v>
      </c>
      <c r="C14468" s="17" t="s">
        <v>71</v>
      </c>
      <c r="D14468" t="s">
        <v>153</v>
      </c>
      <c r="F14468" t="s">
        <v>5238</v>
      </c>
      <c r="K14468" s="18">
        <f>628121030915</f>
        <v>628121030915</v>
      </c>
      <c r="N14468" s="17" t="s">
        <v>81</v>
      </c>
      <c r="U14468" s="17"/>
      <c r="V14468" s="18">
        <f>628121030915</f>
        <v>628121030915</v>
      </c>
      <c r="W14468" t="s">
        <v>39066</v>
      </c>
      <c r="Y14468" s="17" t="s">
        <v>1084</v>
      </c>
    </row>
    <row r="14469" ht="15" customHeight="1" spans="1:23" x14ac:dyDescent="0.25">
      <c r="A14469" s="17" t="s">
        <v>39067</v>
      </c>
      <c r="B14469" s="17" t="s">
        <v>70</v>
      </c>
      <c r="C14469" s="17" t="s">
        <v>71</v>
      </c>
      <c r="D14469" t="s">
        <v>153</v>
      </c>
      <c r="F14469" t="s">
        <v>10220</v>
      </c>
      <c r="J14469" s="17" t="s">
        <v>39068</v>
      </c>
      <c r="K14469" s="18">
        <f>6287801305777</f>
        <v>6287801305777</v>
      </c>
      <c r="N14469" s="17" t="s">
        <v>77</v>
      </c>
      <c r="U14469" s="17"/>
      <c r="V14469" s="18">
        <f>6287801305777</f>
        <v>6287801305777</v>
      </c>
      <c r="W14469" t="s">
        <v>39069</v>
      </c>
    </row>
    <row r="14470" ht="15" customHeight="1" spans="1:23" x14ac:dyDescent="0.25">
      <c r="A14470" s="17" t="s">
        <v>39070</v>
      </c>
      <c r="B14470" s="17" t="s">
        <v>70</v>
      </c>
      <c r="C14470" s="17" t="s">
        <v>71</v>
      </c>
      <c r="D14470" t="s">
        <v>153</v>
      </c>
      <c r="F14470" t="s">
        <v>39071</v>
      </c>
      <c r="K14470" s="18">
        <f>6281246477533</f>
        <v>6281246477533</v>
      </c>
      <c r="N14470" s="17" t="s">
        <v>77</v>
      </c>
      <c r="U14470" s="17"/>
      <c r="V14470" s="18">
        <f>6281246477533</f>
        <v>6281246477533</v>
      </c>
      <c r="W14470" t="s">
        <v>39072</v>
      </c>
    </row>
    <row r="14471" ht="15" customHeight="1" spans="1:22" x14ac:dyDescent="0.25">
      <c r="A14471" s="17" t="s">
        <v>39073</v>
      </c>
      <c r="B14471" s="17" t="s">
        <v>70</v>
      </c>
      <c r="C14471" s="17" t="s">
        <v>71</v>
      </c>
      <c r="D14471" t="s">
        <v>153</v>
      </c>
      <c r="F14471" t="s">
        <v>13878</v>
      </c>
      <c r="K14471" s="18">
        <v>81806119376</v>
      </c>
      <c r="N14471" s="17" t="s">
        <v>77</v>
      </c>
      <c r="V14471" s="18">
        <v>81806119376</v>
      </c>
    </row>
    <row r="14472" ht="15" customHeight="1" spans="1:27" x14ac:dyDescent="0.25">
      <c r="A14472" s="17" t="s">
        <v>39074</v>
      </c>
      <c r="B14472" s="17" t="s">
        <v>70</v>
      </c>
      <c r="C14472" s="17" t="s">
        <v>71</v>
      </c>
      <c r="D14472" t="s">
        <v>153</v>
      </c>
      <c r="F14472" t="s">
        <v>14821</v>
      </c>
      <c r="K14472" s="18">
        <v>75900201</v>
      </c>
      <c r="N14472" s="17" t="s">
        <v>74</v>
      </c>
      <c r="U14472" s="17"/>
      <c r="V14472" s="18">
        <v>75900201</v>
      </c>
      <c r="W14472" t="s">
        <v>39075</v>
      </c>
      <c r="Y14472" s="17" t="s">
        <v>96</v>
      </c>
      <c r="AA14472" s="17" t="s">
        <v>97</v>
      </c>
    </row>
    <row r="14473" ht="15" customHeight="1" spans="1:28" x14ac:dyDescent="0.25">
      <c r="A14473" s="17" t="s">
        <v>39076</v>
      </c>
      <c r="B14473" s="17" t="s">
        <v>70</v>
      </c>
      <c r="C14473" s="17" t="s">
        <v>71</v>
      </c>
      <c r="D14473" t="s">
        <v>39077</v>
      </c>
      <c r="F14473" t="s">
        <v>153</v>
      </c>
      <c r="J14473" s="17" t="s">
        <v>39078</v>
      </c>
      <c r="K14473" s="18" t="s">
        <v>39079</v>
      </c>
      <c r="N14473" s="17" t="s">
        <v>77</v>
      </c>
      <c r="O14473" t="s">
        <v>145</v>
      </c>
      <c r="U14473" s="17"/>
      <c r="V14473" s="18" t="s">
        <v>39079</v>
      </c>
      <c r="W14473" t="s">
        <v>7229</v>
      </c>
      <c r="Y14473" t="s">
        <v>115</v>
      </c>
      <c r="AA14473" t="s">
        <v>115</v>
      </c>
      <c r="AB14473" t="s">
        <v>7229</v>
      </c>
    </row>
    <row r="14474" ht="15" customHeight="1" spans="1:22" x14ac:dyDescent="0.25">
      <c r="A14474" s="17" t="s">
        <v>39080</v>
      </c>
      <c r="B14474" s="17" t="s">
        <v>70</v>
      </c>
      <c r="C14474" s="17" t="s">
        <v>71</v>
      </c>
      <c r="D14474" t="s">
        <v>39081</v>
      </c>
      <c r="F14474" t="s">
        <v>39082</v>
      </c>
      <c r="K14474" s="18">
        <f>628161421806</f>
        <v>628161421806</v>
      </c>
      <c r="N14474" s="17" t="s">
        <v>74</v>
      </c>
      <c r="V14474" s="18">
        <f>628161421806</f>
        <v>628161421806</v>
      </c>
    </row>
    <row r="14475" ht="15" customHeight="1" spans="1:22" x14ac:dyDescent="0.25">
      <c r="A14475" s="17" t="s">
        <v>39083</v>
      </c>
      <c r="B14475" s="17" t="s">
        <v>70</v>
      </c>
      <c r="C14475" s="17" t="s">
        <v>71</v>
      </c>
      <c r="D14475" t="s">
        <v>39084</v>
      </c>
      <c r="F14475" t="s">
        <v>39085</v>
      </c>
      <c r="J14475" s="17" t="s">
        <v>39086</v>
      </c>
      <c r="K14475" s="18">
        <f>628118500686</f>
        <v>628118500686</v>
      </c>
      <c r="N14475" s="17" t="s">
        <v>77</v>
      </c>
      <c r="V14475" s="18">
        <f>628118500686</f>
        <v>628118500686</v>
      </c>
    </row>
    <row r="14476" ht="15" customHeight="1" spans="1:22" x14ac:dyDescent="0.25">
      <c r="A14476" s="17" t="s">
        <v>39087</v>
      </c>
      <c r="B14476" s="17" t="s">
        <v>70</v>
      </c>
      <c r="C14476" s="17" t="s">
        <v>71</v>
      </c>
      <c r="D14476" t="s">
        <v>16855</v>
      </c>
      <c r="F14476" t="s">
        <v>39088</v>
      </c>
      <c r="J14476" s="17" t="s">
        <v>39089</v>
      </c>
      <c r="K14476" s="18">
        <f>6281318080804</f>
        <v>6281318080804</v>
      </c>
      <c r="N14476" s="17" t="s">
        <v>77</v>
      </c>
      <c r="V14476" s="18">
        <f>6281318080804</f>
        <v>6281318080804</v>
      </c>
    </row>
    <row r="14477" ht="15" customHeight="1" spans="1:28" x14ac:dyDescent="0.25">
      <c r="A14477" s="17" t="s">
        <v>39090</v>
      </c>
      <c r="B14477" s="17" t="s">
        <v>70</v>
      </c>
      <c r="C14477" s="17" t="s">
        <v>71</v>
      </c>
      <c r="D14477" t="s">
        <v>13419</v>
      </c>
      <c r="F14477" t="s">
        <v>3866</v>
      </c>
      <c r="J14477" t="s">
        <v>115</v>
      </c>
      <c r="K14477" s="18" t="s">
        <v>39091</v>
      </c>
      <c r="N14477" s="17" t="s">
        <v>77</v>
      </c>
      <c r="O14477" t="s">
        <v>117</v>
      </c>
      <c r="U14477" s="17"/>
      <c r="V14477" s="18" t="s">
        <v>39091</v>
      </c>
      <c r="W14477" t="s">
        <v>3140</v>
      </c>
      <c r="Y14477" t="s">
        <v>8335</v>
      </c>
      <c r="AA14477" t="s">
        <v>115</v>
      </c>
      <c r="AB14477" t="s">
        <v>119</v>
      </c>
    </row>
    <row r="14478" ht="15" customHeight="1" spans="1:28" x14ac:dyDescent="0.25">
      <c r="A14478" s="17" t="s">
        <v>39092</v>
      </c>
      <c r="B14478" s="17" t="s">
        <v>70</v>
      </c>
      <c r="C14478" s="17" t="s">
        <v>71</v>
      </c>
      <c r="D14478" t="s">
        <v>15489</v>
      </c>
      <c r="F14478" t="s">
        <v>39093</v>
      </c>
      <c r="J14478" t="s">
        <v>115</v>
      </c>
      <c r="K14478" s="18" t="s">
        <v>39094</v>
      </c>
      <c r="N14478" s="17" t="s">
        <v>77</v>
      </c>
      <c r="O14478" t="s">
        <v>145</v>
      </c>
      <c r="V14478" s="18" t="s">
        <v>39094</v>
      </c>
      <c r="Y14478" t="s">
        <v>115</v>
      </c>
      <c r="AA14478" t="s">
        <v>115</v>
      </c>
      <c r="AB14478" t="s">
        <v>119</v>
      </c>
    </row>
    <row r="14479" ht="15" customHeight="1" spans="1:23" x14ac:dyDescent="0.25">
      <c r="A14479" s="17" t="s">
        <v>39095</v>
      </c>
      <c r="B14479" s="17" t="s">
        <v>70</v>
      </c>
      <c r="C14479" s="17" t="s">
        <v>71</v>
      </c>
      <c r="D14479" t="s">
        <v>15489</v>
      </c>
      <c r="F14479" t="s">
        <v>39096</v>
      </c>
      <c r="K14479" s="18">
        <f>6281333649066</f>
        <v>6281333649066</v>
      </c>
      <c r="N14479" s="17" t="s">
        <v>77</v>
      </c>
      <c r="U14479" s="17"/>
      <c r="V14479" s="18">
        <f>6281333649066</f>
        <v>6281333649066</v>
      </c>
      <c r="W14479" t="s">
        <v>39097</v>
      </c>
    </row>
    <row r="14480" ht="15" customHeight="1" spans="1:28" x14ac:dyDescent="0.25">
      <c r="A14480" s="17" t="s">
        <v>39098</v>
      </c>
      <c r="B14480" s="17" t="s">
        <v>70</v>
      </c>
      <c r="C14480" s="17" t="s">
        <v>71</v>
      </c>
      <c r="D14480" t="s">
        <v>15489</v>
      </c>
      <c r="F14480" t="s">
        <v>17672</v>
      </c>
      <c r="J14480" t="s">
        <v>115</v>
      </c>
      <c r="K14480" s="18" t="s">
        <v>39099</v>
      </c>
      <c r="N14480" s="17" t="s">
        <v>77</v>
      </c>
      <c r="O14480" t="s">
        <v>489</v>
      </c>
      <c r="V14480" s="18" t="s">
        <v>39099</v>
      </c>
      <c r="Y14480" t="s">
        <v>115</v>
      </c>
      <c r="AA14480" t="s">
        <v>115</v>
      </c>
      <c r="AB14480" t="s">
        <v>2356</v>
      </c>
    </row>
    <row r="14481" ht="15" customHeight="1" spans="1:28" x14ac:dyDescent="0.25">
      <c r="A14481" s="17" t="s">
        <v>39100</v>
      </c>
      <c r="B14481" s="17" t="s">
        <v>70</v>
      </c>
      <c r="C14481" s="17" t="s">
        <v>71</v>
      </c>
      <c r="D14481" t="s">
        <v>15489</v>
      </c>
      <c r="F14481" t="s">
        <v>39101</v>
      </c>
      <c r="J14481" t="s">
        <v>115</v>
      </c>
      <c r="K14481" s="18" t="s">
        <v>39102</v>
      </c>
      <c r="N14481" s="17" t="s">
        <v>77</v>
      </c>
      <c r="O14481" t="s">
        <v>145</v>
      </c>
      <c r="V14481" s="18" t="s">
        <v>39102</v>
      </c>
      <c r="Y14481" t="s">
        <v>190</v>
      </c>
      <c r="AA14481" t="s">
        <v>118</v>
      </c>
      <c r="AB14481" t="s">
        <v>7412</v>
      </c>
    </row>
    <row r="14482" ht="15" customHeight="1" spans="1:22" x14ac:dyDescent="0.25">
      <c r="A14482" s="17" t="s">
        <v>39103</v>
      </c>
      <c r="B14482" s="17" t="s">
        <v>70</v>
      </c>
      <c r="C14482" s="17" t="s">
        <v>71</v>
      </c>
      <c r="D14482" t="s">
        <v>15489</v>
      </c>
      <c r="F14482" t="s">
        <v>31763</v>
      </c>
      <c r="K14482" s="18">
        <f>628170075904</f>
        <v>628170075904</v>
      </c>
      <c r="N14482" s="17" t="s">
        <v>77</v>
      </c>
      <c r="V14482" s="18">
        <f>628170075904</f>
        <v>628170075904</v>
      </c>
    </row>
    <row r="14483" ht="15" customHeight="1" spans="1:28" x14ac:dyDescent="0.25">
      <c r="A14483" s="17" t="s">
        <v>39104</v>
      </c>
      <c r="B14483" s="17" t="s">
        <v>70</v>
      </c>
      <c r="C14483" s="17" t="s">
        <v>71</v>
      </c>
      <c r="D14483" t="s">
        <v>15489</v>
      </c>
      <c r="F14483" t="s">
        <v>15489</v>
      </c>
      <c r="J14483" t="s">
        <v>115</v>
      </c>
      <c r="K14483" s="18" t="s">
        <v>39105</v>
      </c>
      <c r="N14483" s="17" t="s">
        <v>81</v>
      </c>
      <c r="O14483" t="s">
        <v>117</v>
      </c>
      <c r="V14483" s="18" t="s">
        <v>39105</v>
      </c>
      <c r="Y14483" t="s">
        <v>115</v>
      </c>
      <c r="AA14483" t="s">
        <v>115</v>
      </c>
      <c r="AB14483" t="s">
        <v>3140</v>
      </c>
    </row>
    <row r="14484" ht="15" customHeight="1" spans="1:23" x14ac:dyDescent="0.25">
      <c r="A14484" s="17" t="s">
        <v>39106</v>
      </c>
      <c r="B14484" s="17" t="s">
        <v>70</v>
      </c>
      <c r="C14484" s="17" t="s">
        <v>71</v>
      </c>
      <c r="D14484" t="s">
        <v>15489</v>
      </c>
      <c r="F14484" t="s">
        <v>8400</v>
      </c>
      <c r="K14484" s="18">
        <f>85267600595</f>
        <v>85267600595</v>
      </c>
      <c r="N14484" s="17" t="s">
        <v>77</v>
      </c>
      <c r="U14484" s="17"/>
      <c r="V14484" s="18">
        <f>85267600595</f>
        <v>85267600595</v>
      </c>
      <c r="W14484" t="s">
        <v>3140</v>
      </c>
    </row>
    <row r="14485" ht="15" customHeight="1" spans="1:23" x14ac:dyDescent="0.25">
      <c r="A14485" s="17" t="s">
        <v>39107</v>
      </c>
      <c r="B14485" s="17" t="s">
        <v>70</v>
      </c>
      <c r="C14485" s="17" t="s">
        <v>71</v>
      </c>
      <c r="D14485" t="s">
        <v>39108</v>
      </c>
      <c r="F14485" t="s">
        <v>39109</v>
      </c>
      <c r="K14485" s="18">
        <f>3042023</f>
        <v>3042023</v>
      </c>
      <c r="N14485" s="17" t="s">
        <v>77</v>
      </c>
      <c r="U14485" s="17"/>
      <c r="V14485" s="18">
        <f>3042023</f>
        <v>3042023</v>
      </c>
      <c r="W14485" t="s">
        <v>39110</v>
      </c>
    </row>
    <row r="14486" ht="15" customHeight="1" spans="1:28" x14ac:dyDescent="0.25">
      <c r="A14486" s="17" t="s">
        <v>39111</v>
      </c>
      <c r="B14486" s="17" t="s">
        <v>70</v>
      </c>
      <c r="C14486" s="17" t="s">
        <v>71</v>
      </c>
      <c r="D14486" t="s">
        <v>39108</v>
      </c>
      <c r="F14486" t="s">
        <v>39112</v>
      </c>
      <c r="J14486" s="17" t="s">
        <v>39113</v>
      </c>
      <c r="K14486" s="18" t="s">
        <v>39114</v>
      </c>
      <c r="N14486" s="17" t="s">
        <v>77</v>
      </c>
      <c r="O14486" t="s">
        <v>117</v>
      </c>
      <c r="U14486" s="17"/>
      <c r="V14486" s="18" t="s">
        <v>39114</v>
      </c>
      <c r="W14486" t="s">
        <v>39115</v>
      </c>
      <c r="Y14486" s="17" t="s">
        <v>5998</v>
      </c>
      <c r="AA14486" t="s">
        <v>115</v>
      </c>
      <c r="AB14486" t="s">
        <v>3140</v>
      </c>
    </row>
    <row r="14487" ht="15" customHeight="1" spans="1:28" x14ac:dyDescent="0.25">
      <c r="A14487" s="17" t="s">
        <v>39116</v>
      </c>
      <c r="B14487" s="17" t="s">
        <v>70</v>
      </c>
      <c r="C14487" s="17" t="s">
        <v>71</v>
      </c>
      <c r="D14487" t="s">
        <v>15489</v>
      </c>
      <c r="F14487" t="s">
        <v>39117</v>
      </c>
      <c r="J14487" s="22" t="s">
        <v>115</v>
      </c>
      <c r="K14487" s="18" t="s">
        <v>39118</v>
      </c>
      <c r="N14487" s="17" t="s">
        <v>77</v>
      </c>
      <c r="O14487" t="s">
        <v>117</v>
      </c>
      <c r="U14487" s="17"/>
      <c r="V14487" s="18" t="s">
        <v>39118</v>
      </c>
      <c r="W14487" t="s">
        <v>39119</v>
      </c>
      <c r="Y14487" s="17" t="s">
        <v>39119</v>
      </c>
      <c r="AA14487" t="s">
        <v>115</v>
      </c>
      <c r="AB14487" t="s">
        <v>3140</v>
      </c>
    </row>
    <row r="14488" ht="15" customHeight="1" spans="1:28" x14ac:dyDescent="0.25">
      <c r="A14488" s="17" t="s">
        <v>39120</v>
      </c>
      <c r="B14488" s="17" t="s">
        <v>70</v>
      </c>
      <c r="C14488" s="17" t="s">
        <v>71</v>
      </c>
      <c r="D14488" t="s">
        <v>39121</v>
      </c>
      <c r="F14488" t="s">
        <v>39122</v>
      </c>
      <c r="J14488" s="17" t="s">
        <v>39123</v>
      </c>
      <c r="K14488" s="18" t="s">
        <v>39124</v>
      </c>
      <c r="N14488" s="17" t="s">
        <v>77</v>
      </c>
      <c r="O14488" t="s">
        <v>199</v>
      </c>
      <c r="V14488" s="18" t="s">
        <v>39124</v>
      </c>
      <c r="Y14488" t="s">
        <v>115</v>
      </c>
      <c r="AA14488" t="s">
        <v>115</v>
      </c>
      <c r="AB14488" t="s">
        <v>2500</v>
      </c>
    </row>
    <row r="14489" ht="15" customHeight="1" spans="1:22" x14ac:dyDescent="0.25">
      <c r="A14489" s="17" t="s">
        <v>39125</v>
      </c>
      <c r="B14489" s="17" t="s">
        <v>70</v>
      </c>
      <c r="C14489" s="17" t="s">
        <v>71</v>
      </c>
      <c r="D14489" t="s">
        <v>11765</v>
      </c>
      <c r="F14489" t="s">
        <v>11765</v>
      </c>
      <c r="K14489" s="18">
        <f>628122421812</f>
        <v>628122421812</v>
      </c>
      <c r="N14489" s="17" t="s">
        <v>77</v>
      </c>
      <c r="V14489" s="18">
        <f>628122421812</f>
        <v>628122421812</v>
      </c>
    </row>
    <row r="14490" ht="15" customHeight="1" spans="1:28" x14ac:dyDescent="0.25">
      <c r="A14490" s="17" t="s">
        <v>39126</v>
      </c>
      <c r="B14490" s="17" t="s">
        <v>70</v>
      </c>
      <c r="C14490" s="17" t="s">
        <v>71</v>
      </c>
      <c r="D14490" t="s">
        <v>11765</v>
      </c>
      <c r="F14490" t="s">
        <v>11765</v>
      </c>
      <c r="J14490" t="s">
        <v>115</v>
      </c>
      <c r="K14490" s="18" t="s">
        <v>39127</v>
      </c>
      <c r="N14490" s="17" t="s">
        <v>77</v>
      </c>
      <c r="O14490" t="s">
        <v>199</v>
      </c>
      <c r="V14490" s="18" t="s">
        <v>39127</v>
      </c>
      <c r="Y14490" t="s">
        <v>90</v>
      </c>
      <c r="AA14490" t="s">
        <v>118</v>
      </c>
      <c r="AB14490" t="s">
        <v>119</v>
      </c>
    </row>
    <row r="14491" ht="15" customHeight="1" spans="1:27" x14ac:dyDescent="0.25">
      <c r="A14491" s="17" t="s">
        <v>39128</v>
      </c>
      <c r="B14491" s="17" t="s">
        <v>70</v>
      </c>
      <c r="C14491" s="17" t="s">
        <v>71</v>
      </c>
      <c r="D14491" t="s">
        <v>11765</v>
      </c>
      <c r="F14491" t="s">
        <v>39129</v>
      </c>
      <c r="J14491" s="17" t="s">
        <v>39130</v>
      </c>
      <c r="K14491" s="18">
        <v>27505756</v>
      </c>
      <c r="N14491" s="17" t="s">
        <v>77</v>
      </c>
      <c r="U14491" s="17"/>
      <c r="V14491" s="18">
        <v>27505756</v>
      </c>
      <c r="W14491" t="s">
        <v>39131</v>
      </c>
      <c r="Y14491" s="17" t="s">
        <v>90</v>
      </c>
      <c r="AA14491" s="17">
        <v>12120</v>
      </c>
    </row>
    <row r="14492" ht="15" customHeight="1" spans="1:22" x14ac:dyDescent="0.25">
      <c r="A14492" s="17" t="s">
        <v>39132</v>
      </c>
      <c r="B14492" s="17" t="s">
        <v>70</v>
      </c>
      <c r="C14492" s="17" t="s">
        <v>71</v>
      </c>
      <c r="D14492" t="s">
        <v>11765</v>
      </c>
      <c r="F14492" t="s">
        <v>39133</v>
      </c>
      <c r="K14492" s="18">
        <f>82144494063</f>
        <v>82144494063</v>
      </c>
      <c r="N14492" s="17" t="s">
        <v>81</v>
      </c>
      <c r="V14492" s="18">
        <f>82144494063</f>
        <v>82144494063</v>
      </c>
    </row>
    <row r="14493" ht="15" customHeight="1" spans="1:22" x14ac:dyDescent="0.25">
      <c r="A14493" s="17" t="s">
        <v>39134</v>
      </c>
      <c r="B14493" s="17" t="s">
        <v>70</v>
      </c>
      <c r="C14493" s="17" t="s">
        <v>71</v>
      </c>
      <c r="D14493" t="s">
        <v>39135</v>
      </c>
      <c r="F14493" t="s">
        <v>39135</v>
      </c>
      <c r="K14493" s="18">
        <f>628119447970</f>
        <v>628119447970</v>
      </c>
      <c r="N14493" s="17" t="s">
        <v>74</v>
      </c>
      <c r="V14493" s="18">
        <f>628119447970</f>
        <v>628119447970</v>
      </c>
    </row>
    <row r="14494" ht="15" customHeight="1" spans="1:22" x14ac:dyDescent="0.25">
      <c r="A14494" s="17" t="s">
        <v>39136</v>
      </c>
      <c r="B14494" s="17" t="s">
        <v>70</v>
      </c>
      <c r="C14494" s="17" t="s">
        <v>71</v>
      </c>
      <c r="D14494" t="s">
        <v>21953</v>
      </c>
      <c r="F14494" t="s">
        <v>548</v>
      </c>
      <c r="J14494" s="17" t="s">
        <v>39137</v>
      </c>
      <c r="K14494" s="18">
        <f>6581878889</f>
        <v>6581878889</v>
      </c>
      <c r="N14494" s="17" t="s">
        <v>81</v>
      </c>
      <c r="V14494" s="18">
        <f>6581878889</f>
        <v>6581878889</v>
      </c>
    </row>
    <row r="14495" ht="15" customHeight="1" spans="1:23" x14ac:dyDescent="0.25">
      <c r="A14495" s="17" t="s">
        <v>39138</v>
      </c>
      <c r="B14495" s="17" t="s">
        <v>70</v>
      </c>
      <c r="C14495" s="17" t="s">
        <v>71</v>
      </c>
      <c r="D14495" t="s">
        <v>39139</v>
      </c>
      <c r="F14495" t="s">
        <v>167</v>
      </c>
      <c r="J14495" s="17" t="s">
        <v>39140</v>
      </c>
      <c r="K14495" s="18">
        <f>6281282993388</f>
        <v>6281282993388</v>
      </c>
      <c r="N14495" s="17" t="s">
        <v>81</v>
      </c>
      <c r="U14495" s="17"/>
      <c r="V14495" s="18">
        <f>6281282993388</f>
        <v>6281282993388</v>
      </c>
      <c r="W14495" t="s">
        <v>39141</v>
      </c>
    </row>
    <row r="14496" ht="15" customHeight="1" spans="1:22" x14ac:dyDescent="0.25">
      <c r="A14496" s="17" t="s">
        <v>39142</v>
      </c>
      <c r="B14496" s="17" t="s">
        <v>70</v>
      </c>
      <c r="C14496" s="17" t="s">
        <v>71</v>
      </c>
      <c r="D14496" t="s">
        <v>39143</v>
      </c>
      <c r="F14496" t="s">
        <v>39143</v>
      </c>
      <c r="K14496" s="18">
        <v>6597126</v>
      </c>
      <c r="N14496" s="17" t="s">
        <v>77</v>
      </c>
      <c r="V14496" s="18">
        <v>6597126</v>
      </c>
    </row>
    <row r="14497" ht="15" customHeight="1" spans="1:22" x14ac:dyDescent="0.25">
      <c r="A14497" s="17" t="s">
        <v>39144</v>
      </c>
      <c r="B14497" s="17" t="s">
        <v>70</v>
      </c>
      <c r="C14497" s="17" t="s">
        <v>71</v>
      </c>
      <c r="D14497" t="s">
        <v>39145</v>
      </c>
      <c r="F14497" t="s">
        <v>2380</v>
      </c>
      <c r="K14497" s="18">
        <f>62811951060</f>
        <v>62811951060</v>
      </c>
      <c r="N14497" s="17" t="s">
        <v>74</v>
      </c>
      <c r="V14497" s="18">
        <f>62811951060</f>
        <v>62811951060</v>
      </c>
    </row>
    <row r="14498" ht="15" customHeight="1" spans="1:22" x14ac:dyDescent="0.25">
      <c r="A14498" s="17" t="s">
        <v>39146</v>
      </c>
      <c r="B14498" s="17" t="s">
        <v>70</v>
      </c>
      <c r="C14498" s="17" t="s">
        <v>71</v>
      </c>
      <c r="D14498" t="s">
        <v>39147</v>
      </c>
      <c r="F14498" t="s">
        <v>39147</v>
      </c>
      <c r="K14498" s="18">
        <f>6281283602728</f>
        <v>6281283602728</v>
      </c>
      <c r="N14498" s="17" t="s">
        <v>81</v>
      </c>
      <c r="V14498" s="18">
        <f>6281283602728</f>
        <v>6281283602728</v>
      </c>
    </row>
    <row r="14499" ht="15" customHeight="1" spans="1:28" x14ac:dyDescent="0.25">
      <c r="A14499" s="17" t="s">
        <v>39148</v>
      </c>
      <c r="B14499" s="17" t="s">
        <v>70</v>
      </c>
      <c r="C14499" s="17" t="s">
        <v>71</v>
      </c>
      <c r="D14499" t="s">
        <v>39147</v>
      </c>
      <c r="F14499" t="s">
        <v>39149</v>
      </c>
      <c r="J14499" t="s">
        <v>115</v>
      </c>
      <c r="K14499" s="18" t="s">
        <v>39150</v>
      </c>
      <c r="N14499" s="17" t="s">
        <v>77</v>
      </c>
      <c r="O14499" t="s">
        <v>199</v>
      </c>
      <c r="U14499" s="17"/>
      <c r="V14499" s="18" t="s">
        <v>39150</v>
      </c>
      <c r="W14499" t="s">
        <v>2953</v>
      </c>
      <c r="Y14499" t="s">
        <v>90</v>
      </c>
      <c r="AA14499" t="s">
        <v>118</v>
      </c>
      <c r="AB14499" t="s">
        <v>119</v>
      </c>
    </row>
    <row r="14500" ht="15" customHeight="1" spans="1:28" x14ac:dyDescent="0.25">
      <c r="A14500" s="17" t="s">
        <v>39151</v>
      </c>
      <c r="B14500" s="17" t="s">
        <v>70</v>
      </c>
      <c r="C14500" s="17" t="s">
        <v>71</v>
      </c>
      <c r="D14500" t="s">
        <v>39147</v>
      </c>
      <c r="F14500" t="s">
        <v>39152</v>
      </c>
      <c r="J14500" t="s">
        <v>39153</v>
      </c>
      <c r="K14500" s="18" t="s">
        <v>39154</v>
      </c>
      <c r="N14500" s="17" t="s">
        <v>81</v>
      </c>
      <c r="O14500" t="s">
        <v>117</v>
      </c>
      <c r="V14500" s="18" t="s">
        <v>39154</v>
      </c>
      <c r="Y14500" t="s">
        <v>190</v>
      </c>
      <c r="AA14500" t="s">
        <v>118</v>
      </c>
      <c r="AB14500" t="s">
        <v>119</v>
      </c>
    </row>
    <row r="14501" ht="15" customHeight="1" spans="1:22" x14ac:dyDescent="0.25">
      <c r="A14501" s="17" t="s">
        <v>39155</v>
      </c>
      <c r="B14501" s="17" t="s">
        <v>70</v>
      </c>
      <c r="C14501" s="17" t="s">
        <v>71</v>
      </c>
      <c r="D14501" t="s">
        <v>39147</v>
      </c>
      <c r="F14501" t="s">
        <v>653</v>
      </c>
      <c r="K14501" s="18">
        <f>628559999999</f>
        <v>628559999999</v>
      </c>
      <c r="N14501" s="17" t="s">
        <v>77</v>
      </c>
      <c r="V14501" s="18">
        <f>628559999999</f>
        <v>628559999999</v>
      </c>
    </row>
    <row r="14502" ht="15" customHeight="1" spans="1:22" x14ac:dyDescent="0.25">
      <c r="A14502" s="17" t="s">
        <v>39156</v>
      </c>
      <c r="B14502" s="17" t="s">
        <v>70</v>
      </c>
      <c r="C14502" s="17" t="s">
        <v>71</v>
      </c>
      <c r="D14502" t="s">
        <v>39147</v>
      </c>
      <c r="F14502" t="s">
        <v>36788</v>
      </c>
      <c r="K14502" s="18">
        <f>62811832237</f>
        <v>62811832237</v>
      </c>
      <c r="N14502" s="17" t="s">
        <v>74</v>
      </c>
      <c r="V14502" s="18">
        <f>62811832237</f>
        <v>62811832237</v>
      </c>
    </row>
    <row r="14503" ht="15" customHeight="1" spans="1:22" x14ac:dyDescent="0.25">
      <c r="A14503" s="17" t="s">
        <v>39157</v>
      </c>
      <c r="B14503" s="17" t="s">
        <v>70</v>
      </c>
      <c r="C14503" s="17" t="s">
        <v>71</v>
      </c>
      <c r="D14503" t="s">
        <v>39158</v>
      </c>
      <c r="F14503" t="s">
        <v>39158</v>
      </c>
      <c r="K14503" s="18">
        <f>628151625029</f>
        <v>628151625029</v>
      </c>
      <c r="N14503" s="17" t="s">
        <v>74</v>
      </c>
      <c r="V14503" s="18">
        <f>628151625029</f>
        <v>628151625029</v>
      </c>
    </row>
    <row r="14504" ht="15" customHeight="1" spans="1:22" x14ac:dyDescent="0.25">
      <c r="A14504" s="17" t="s">
        <v>39159</v>
      </c>
      <c r="B14504" s="17" t="s">
        <v>70</v>
      </c>
      <c r="C14504" s="17" t="s">
        <v>71</v>
      </c>
      <c r="D14504" t="s">
        <v>39160</v>
      </c>
      <c r="F14504" t="s">
        <v>13790</v>
      </c>
      <c r="K14504" s="18">
        <f>62818718899</f>
        <v>62818718899</v>
      </c>
      <c r="N14504" s="17" t="s">
        <v>74</v>
      </c>
      <c r="V14504" s="18">
        <f>62818718899</f>
        <v>62818718899</v>
      </c>
    </row>
    <row r="14505" ht="15" customHeight="1" spans="1:22" x14ac:dyDescent="0.25">
      <c r="A14505" s="17" t="s">
        <v>39161</v>
      </c>
      <c r="B14505" s="17" t="s">
        <v>70</v>
      </c>
      <c r="C14505" s="17" t="s">
        <v>71</v>
      </c>
      <c r="D14505" t="s">
        <v>39162</v>
      </c>
      <c r="F14505" t="s">
        <v>509</v>
      </c>
      <c r="J14505" s="17" t="s">
        <v>39163</v>
      </c>
      <c r="K14505" s="18">
        <f>628179999970</f>
        <v>628179999970</v>
      </c>
      <c r="N14505" s="17" t="s">
        <v>77</v>
      </c>
      <c r="V14505" s="18">
        <f>628179999970</f>
        <v>628179999970</v>
      </c>
    </row>
    <row r="14506" ht="15" customHeight="1" spans="1:25" x14ac:dyDescent="0.25">
      <c r="A14506" s="17" t="s">
        <v>39164</v>
      </c>
      <c r="B14506" s="17" t="s">
        <v>70</v>
      </c>
      <c r="C14506" s="17" t="s">
        <v>71</v>
      </c>
      <c r="D14506" t="s">
        <v>39165</v>
      </c>
      <c r="F14506" t="s">
        <v>30454</v>
      </c>
      <c r="K14506" s="18">
        <f>628117809994</f>
        <v>628117809994</v>
      </c>
      <c r="N14506" s="17" t="s">
        <v>81</v>
      </c>
      <c r="U14506" s="17"/>
      <c r="V14506" s="18">
        <f>628117809994</f>
        <v>628117809994</v>
      </c>
      <c r="W14506" t="s">
        <v>39166</v>
      </c>
      <c r="Y14506" s="17" t="s">
        <v>6246</v>
      </c>
    </row>
    <row r="14507" ht="15" customHeight="1" spans="1:23" x14ac:dyDescent="0.25">
      <c r="A14507" s="17" t="s">
        <v>39167</v>
      </c>
      <c r="B14507" s="17" t="s">
        <v>70</v>
      </c>
      <c r="C14507" s="17" t="s">
        <v>71</v>
      </c>
      <c r="D14507" t="s">
        <v>39165</v>
      </c>
      <c r="F14507" t="s">
        <v>4409</v>
      </c>
      <c r="K14507" s="18">
        <f>6281357025702</f>
        <v>6281357025702</v>
      </c>
      <c r="N14507" s="17" t="s">
        <v>81</v>
      </c>
      <c r="U14507" s="17"/>
      <c r="V14507" s="18">
        <f>6281357025702</f>
        <v>6281357025702</v>
      </c>
      <c r="W14507" t="s">
        <v>39168</v>
      </c>
    </row>
    <row r="14508" ht="15" customHeight="1" spans="1:28" x14ac:dyDescent="0.25">
      <c r="A14508" s="17" t="s">
        <v>39169</v>
      </c>
      <c r="B14508" s="17" t="s">
        <v>70</v>
      </c>
      <c r="C14508" s="17" t="s">
        <v>71</v>
      </c>
      <c r="D14508" t="s">
        <v>39170</v>
      </c>
      <c r="F14508" t="s">
        <v>39170</v>
      </c>
      <c r="J14508" t="s">
        <v>115</v>
      </c>
      <c r="K14508" s="18" t="s">
        <v>39171</v>
      </c>
      <c r="N14508" s="17" t="s">
        <v>81</v>
      </c>
      <c r="O14508" t="s">
        <v>117</v>
      </c>
      <c r="V14508" s="18" t="s">
        <v>39171</v>
      </c>
      <c r="Y14508" t="s">
        <v>490</v>
      </c>
      <c r="AA14508" t="s">
        <v>115</v>
      </c>
      <c r="AB14508" t="s">
        <v>119</v>
      </c>
    </row>
    <row r="14509" ht="15" customHeight="1" spans="1:22" x14ac:dyDescent="0.25">
      <c r="A14509" s="17" t="s">
        <v>39172</v>
      </c>
      <c r="B14509" s="17" t="s">
        <v>70</v>
      </c>
      <c r="C14509" s="17" t="s">
        <v>71</v>
      </c>
      <c r="D14509" t="s">
        <v>16643</v>
      </c>
      <c r="F14509" t="s">
        <v>8419</v>
      </c>
      <c r="K14509" s="18">
        <f>6281542972039</f>
        <v>6281542972039</v>
      </c>
      <c r="N14509" s="17" t="s">
        <v>81</v>
      </c>
      <c r="V14509" s="18">
        <f>6281542972039</f>
        <v>6281542972039</v>
      </c>
    </row>
    <row r="14510" ht="15" customHeight="1" spans="1:27" x14ac:dyDescent="0.25">
      <c r="A14510" s="17" t="s">
        <v>39173</v>
      </c>
      <c r="B14510" s="17" t="s">
        <v>70</v>
      </c>
      <c r="C14510" s="17" t="s">
        <v>71</v>
      </c>
      <c r="D14510" t="s">
        <v>16643</v>
      </c>
      <c r="F14510" t="s">
        <v>39174</v>
      </c>
      <c r="J14510" s="17" t="s">
        <v>39175</v>
      </c>
      <c r="K14510" s="18">
        <v>1863150003</v>
      </c>
      <c r="N14510" s="17" t="s">
        <v>77</v>
      </c>
      <c r="U14510" s="17"/>
      <c r="V14510" s="18">
        <v>1863150003</v>
      </c>
      <c r="W14510" t="s">
        <v>39176</v>
      </c>
      <c r="Y14510" s="17" t="s">
        <v>39177</v>
      </c>
      <c r="AA14510" s="17">
        <v>63000</v>
      </c>
    </row>
    <row r="14511" ht="15" customHeight="1" spans="1:28" x14ac:dyDescent="0.25">
      <c r="A14511" s="17" t="s">
        <v>39178</v>
      </c>
      <c r="B14511" s="17" t="s">
        <v>70</v>
      </c>
      <c r="C14511" s="17" t="s">
        <v>71</v>
      </c>
      <c r="D14511" t="s">
        <v>39179</v>
      </c>
      <c r="F14511" t="s">
        <v>39179</v>
      </c>
      <c r="J14511" t="s">
        <v>115</v>
      </c>
      <c r="K14511" s="18" t="s">
        <v>39180</v>
      </c>
      <c r="N14511" s="17" t="s">
        <v>77</v>
      </c>
      <c r="O14511" t="s">
        <v>145</v>
      </c>
      <c r="V14511" s="18" t="s">
        <v>39180</v>
      </c>
      <c r="Y14511" t="s">
        <v>96</v>
      </c>
      <c r="AA14511" t="s">
        <v>693</v>
      </c>
      <c r="AB14511" t="s">
        <v>119</v>
      </c>
    </row>
    <row r="14512" ht="15" customHeight="1" spans="1:22" x14ac:dyDescent="0.25">
      <c r="A14512" s="17" t="s">
        <v>39181</v>
      </c>
      <c r="B14512" s="17" t="s">
        <v>70</v>
      </c>
      <c r="C14512" s="17" t="s">
        <v>71</v>
      </c>
      <c r="D14512" t="s">
        <v>39179</v>
      </c>
      <c r="F14512" t="s">
        <v>18201</v>
      </c>
      <c r="K14512" s="18">
        <f>628118888794</f>
        <v>628118888794</v>
      </c>
      <c r="N14512" s="17" t="s">
        <v>74</v>
      </c>
      <c r="V14512" s="18">
        <f>628118888794</f>
        <v>628118888794</v>
      </c>
    </row>
    <row r="14513" ht="15" customHeight="1" spans="1:22" x14ac:dyDescent="0.25">
      <c r="A14513" s="17" t="s">
        <v>39182</v>
      </c>
      <c r="B14513" s="17" t="s">
        <v>70</v>
      </c>
      <c r="C14513" s="17" t="s">
        <v>71</v>
      </c>
      <c r="D14513" t="s">
        <v>39179</v>
      </c>
      <c r="F14513" t="s">
        <v>18201</v>
      </c>
      <c r="K14513" s="18">
        <f>62818149775</f>
        <v>62818149775</v>
      </c>
      <c r="N14513" s="17" t="s">
        <v>74</v>
      </c>
      <c r="V14513" s="18">
        <f>62818149775</f>
        <v>62818149775</v>
      </c>
    </row>
    <row r="14514" ht="15" customHeight="1" spans="1:23" x14ac:dyDescent="0.25">
      <c r="A14514" s="17" t="s">
        <v>39183</v>
      </c>
      <c r="B14514" s="17" t="s">
        <v>70</v>
      </c>
      <c r="C14514" s="17" t="s">
        <v>71</v>
      </c>
      <c r="D14514" t="s">
        <v>39179</v>
      </c>
      <c r="F14514" t="s">
        <v>3477</v>
      </c>
      <c r="K14514" s="18">
        <f>6281293933334</f>
        <v>6281293933334</v>
      </c>
      <c r="N14514" s="17" t="s">
        <v>81</v>
      </c>
      <c r="U14514" s="17"/>
      <c r="V14514" s="18">
        <f>6281293933334</f>
        <v>6281293933334</v>
      </c>
      <c r="W14514" t="s">
        <v>39184</v>
      </c>
    </row>
    <row r="14515" ht="15" customHeight="1" spans="1:28" x14ac:dyDescent="0.25">
      <c r="A14515" s="17" t="s">
        <v>39185</v>
      </c>
      <c r="B14515" s="17" t="s">
        <v>70</v>
      </c>
      <c r="C14515" s="17" t="s">
        <v>71</v>
      </c>
      <c r="D14515" t="s">
        <v>39179</v>
      </c>
      <c r="F14515" t="s">
        <v>1208</v>
      </c>
      <c r="J14515" t="s">
        <v>115</v>
      </c>
      <c r="K14515" s="18" t="s">
        <v>39186</v>
      </c>
      <c r="N14515" s="17" t="s">
        <v>77</v>
      </c>
      <c r="O14515" t="s">
        <v>117</v>
      </c>
      <c r="U14515" s="17"/>
      <c r="V14515" s="18" t="s">
        <v>39186</v>
      </c>
      <c r="W14515" t="s">
        <v>39187</v>
      </c>
      <c r="Y14515" t="s">
        <v>190</v>
      </c>
      <c r="AA14515" s="17" t="s">
        <v>118</v>
      </c>
      <c r="AB14515" t="s">
        <v>119</v>
      </c>
    </row>
    <row r="14516" ht="15" customHeight="1" spans="1:22" x14ac:dyDescent="0.25">
      <c r="A14516" s="17" t="s">
        <v>39188</v>
      </c>
      <c r="B14516" s="17" t="s">
        <v>70</v>
      </c>
      <c r="C14516" s="17" t="s">
        <v>71</v>
      </c>
      <c r="D14516" t="s">
        <v>39179</v>
      </c>
      <c r="F14516" t="s">
        <v>39189</v>
      </c>
      <c r="K14516" s="18">
        <f>628118880414</f>
        <v>628118880414</v>
      </c>
      <c r="N14516" s="17" t="s">
        <v>77</v>
      </c>
      <c r="V14516" s="18">
        <f>628118880414</f>
        <v>628118880414</v>
      </c>
    </row>
    <row r="14517" ht="15" customHeight="1" spans="1:23" x14ac:dyDescent="0.25">
      <c r="A14517" s="17" t="s">
        <v>39190</v>
      </c>
      <c r="B14517" s="17" t="s">
        <v>70</v>
      </c>
      <c r="C14517" s="17" t="s">
        <v>71</v>
      </c>
      <c r="D14517" t="s">
        <v>39191</v>
      </c>
      <c r="F14517" t="s">
        <v>39192</v>
      </c>
      <c r="K14517" s="18">
        <v>81931869</v>
      </c>
      <c r="N14517" s="17" t="s">
        <v>77</v>
      </c>
      <c r="U14517" s="17"/>
      <c r="V14517" s="18">
        <v>81931869</v>
      </c>
      <c r="W14517" t="s">
        <v>39193</v>
      </c>
    </row>
    <row r="14518" ht="15" customHeight="1" spans="1:23" x14ac:dyDescent="0.25">
      <c r="A14518" s="17" t="s">
        <v>39194</v>
      </c>
      <c r="B14518" s="17" t="s">
        <v>70</v>
      </c>
      <c r="C14518" s="17" t="s">
        <v>71</v>
      </c>
      <c r="D14518" t="s">
        <v>39195</v>
      </c>
      <c r="F14518" t="s">
        <v>39196</v>
      </c>
      <c r="K14518" s="18">
        <f>96599731309</f>
        <v>96599731309</v>
      </c>
      <c r="N14518" s="17" t="s">
        <v>77</v>
      </c>
      <c r="U14518" s="17"/>
      <c r="V14518" s="18">
        <f>96599731309</f>
        <v>96599731309</v>
      </c>
      <c r="W14518" t="s">
        <v>39197</v>
      </c>
    </row>
    <row r="14519" ht="15" customHeight="1" spans="1:22" x14ac:dyDescent="0.25">
      <c r="A14519" s="17" t="s">
        <v>39198</v>
      </c>
      <c r="B14519" s="17" t="s">
        <v>70</v>
      </c>
      <c r="C14519" s="17" t="s">
        <v>71</v>
      </c>
      <c r="D14519" t="s">
        <v>39199</v>
      </c>
      <c r="F14519" t="s">
        <v>39199</v>
      </c>
      <c r="K14519" s="18">
        <f>6283870497853</f>
        <v>6283870497853</v>
      </c>
      <c r="N14519" s="17" t="s">
        <v>77</v>
      </c>
      <c r="V14519" s="18">
        <f>6283870497853</f>
        <v>6283870497853</v>
      </c>
    </row>
    <row r="14520" ht="15" customHeight="1" spans="1:22" x14ac:dyDescent="0.25">
      <c r="A14520" s="17" t="s">
        <v>39200</v>
      </c>
      <c r="B14520" s="17" t="s">
        <v>70</v>
      </c>
      <c r="C14520" s="17" t="s">
        <v>71</v>
      </c>
      <c r="D14520" t="s">
        <v>39199</v>
      </c>
      <c r="F14520" t="s">
        <v>39199</v>
      </c>
      <c r="K14520" s="18">
        <f>62816790606</f>
        <v>62816790606</v>
      </c>
      <c r="N14520" s="17" t="s">
        <v>77</v>
      </c>
      <c r="V14520" s="18">
        <f>62816790606</f>
        <v>62816790606</v>
      </c>
    </row>
    <row r="14521" ht="15" customHeight="1" spans="1:23" x14ac:dyDescent="0.25">
      <c r="A14521" s="17" t="s">
        <v>39201</v>
      </c>
      <c r="B14521" s="17" t="s">
        <v>70</v>
      </c>
      <c r="C14521" s="17" t="s">
        <v>71</v>
      </c>
      <c r="D14521" t="s">
        <v>39199</v>
      </c>
      <c r="F14521" t="s">
        <v>39199</v>
      </c>
      <c r="K14521" s="18">
        <f>62215913063</f>
        <v>62215913063</v>
      </c>
      <c r="N14521" s="17" t="s">
        <v>77</v>
      </c>
      <c r="U14521" s="17"/>
      <c r="V14521" s="18">
        <f>62215913063</f>
        <v>62215913063</v>
      </c>
      <c r="W14521" t="s">
        <v>39202</v>
      </c>
    </row>
    <row r="14522" ht="15" customHeight="1" spans="1:22" x14ac:dyDescent="0.25">
      <c r="A14522" s="17" t="s">
        <v>39203</v>
      </c>
      <c r="B14522" s="17" t="s">
        <v>70</v>
      </c>
      <c r="C14522" s="17" t="s">
        <v>71</v>
      </c>
      <c r="D14522" t="s">
        <v>39199</v>
      </c>
      <c r="F14522" t="s">
        <v>39199</v>
      </c>
      <c r="K14522" s="18">
        <f>628121075324</f>
        <v>628121075324</v>
      </c>
      <c r="N14522" s="17" t="s">
        <v>77</v>
      </c>
      <c r="V14522" s="18">
        <f>628121075324</f>
        <v>628121075324</v>
      </c>
    </row>
    <row r="14523" ht="15" customHeight="1" spans="1:22" x14ac:dyDescent="0.25">
      <c r="A14523" s="17" t="s">
        <v>39204</v>
      </c>
      <c r="B14523" s="17" t="s">
        <v>70</v>
      </c>
      <c r="C14523" s="17" t="s">
        <v>71</v>
      </c>
      <c r="D14523" t="s">
        <v>39199</v>
      </c>
      <c r="F14523" t="s">
        <v>39199</v>
      </c>
      <c r="K14523" s="18">
        <f>6281288792168</f>
        <v>6281288792168</v>
      </c>
      <c r="N14523" s="17" t="s">
        <v>74</v>
      </c>
      <c r="V14523" s="18">
        <f>6281288792168</f>
        <v>6281288792168</v>
      </c>
    </row>
    <row r="14524" ht="15" customHeight="1" spans="1:22" x14ac:dyDescent="0.25">
      <c r="A14524" s="17" t="s">
        <v>39205</v>
      </c>
      <c r="B14524" s="17" t="s">
        <v>70</v>
      </c>
      <c r="C14524" s="17" t="s">
        <v>71</v>
      </c>
      <c r="D14524" t="s">
        <v>39199</v>
      </c>
      <c r="F14524" t="s">
        <v>38131</v>
      </c>
      <c r="K14524" s="18">
        <f>6287877232542</f>
        <v>6287877232542</v>
      </c>
      <c r="N14524" s="17" t="s">
        <v>74</v>
      </c>
      <c r="V14524" s="18">
        <f>6287877232542</f>
        <v>6287877232542</v>
      </c>
    </row>
    <row r="14525" ht="15" customHeight="1" spans="1:22" x14ac:dyDescent="0.25">
      <c r="A14525" s="17" t="s">
        <v>39206</v>
      </c>
      <c r="B14525" s="17" t="s">
        <v>70</v>
      </c>
      <c r="C14525" s="17" t="s">
        <v>71</v>
      </c>
      <c r="D14525" t="s">
        <v>39207</v>
      </c>
      <c r="F14525" t="s">
        <v>20078</v>
      </c>
      <c r="K14525" s="18">
        <f>6281219021116</f>
        <v>6281219021116</v>
      </c>
      <c r="N14525" s="17" t="s">
        <v>77</v>
      </c>
      <c r="V14525" s="18">
        <f>6281219021116</f>
        <v>6281219021116</v>
      </c>
    </row>
    <row r="14526" ht="15" customHeight="1" spans="1:22" x14ac:dyDescent="0.25">
      <c r="A14526" s="17" t="s">
        <v>39208</v>
      </c>
      <c r="B14526" s="17" t="s">
        <v>70</v>
      </c>
      <c r="C14526" s="17" t="s">
        <v>71</v>
      </c>
      <c r="D14526" t="s">
        <v>39209</v>
      </c>
      <c r="F14526" t="s">
        <v>39209</v>
      </c>
      <c r="K14526" s="18">
        <f>62816726755</f>
        <v>62816726755</v>
      </c>
      <c r="N14526" s="17" t="s">
        <v>74</v>
      </c>
      <c r="V14526" s="18">
        <f>62816726755</f>
        <v>62816726755</v>
      </c>
    </row>
    <row r="14527" ht="15" customHeight="1" spans="1:22" x14ac:dyDescent="0.25">
      <c r="A14527" s="17" t="s">
        <v>39210</v>
      </c>
      <c r="B14527" s="17" t="s">
        <v>70</v>
      </c>
      <c r="C14527" s="17" t="s">
        <v>71</v>
      </c>
      <c r="D14527" t="s">
        <v>39211</v>
      </c>
      <c r="F14527" t="s">
        <v>20950</v>
      </c>
      <c r="K14527" s="18">
        <f>628181364509</f>
        <v>628181364509</v>
      </c>
      <c r="N14527" s="17" t="s">
        <v>81</v>
      </c>
      <c r="V14527" s="18">
        <f>628181364509</f>
        <v>628181364509</v>
      </c>
    </row>
    <row r="14528" ht="15" customHeight="1" spans="1:22" x14ac:dyDescent="0.25">
      <c r="A14528" s="17" t="s">
        <v>39212</v>
      </c>
      <c r="B14528" s="17" t="s">
        <v>70</v>
      </c>
      <c r="C14528" s="17" t="s">
        <v>71</v>
      </c>
      <c r="D14528" t="s">
        <v>39213</v>
      </c>
      <c r="F14528" t="s">
        <v>39213</v>
      </c>
      <c r="K14528" s="18">
        <f>628161141428</f>
        <v>628161141428</v>
      </c>
      <c r="N14528" s="17" t="s">
        <v>77</v>
      </c>
      <c r="V14528" s="18">
        <f>628161141428</f>
        <v>628161141428</v>
      </c>
    </row>
    <row r="14529" ht="15" customHeight="1" spans="1:22" x14ac:dyDescent="0.25">
      <c r="A14529" s="17" t="s">
        <v>39214</v>
      </c>
      <c r="B14529" s="17" t="s">
        <v>70</v>
      </c>
      <c r="C14529" s="17" t="s">
        <v>71</v>
      </c>
      <c r="D14529" t="s">
        <v>39213</v>
      </c>
      <c r="F14529" t="s">
        <v>39213</v>
      </c>
      <c r="K14529" s="18">
        <f>62818818426</f>
        <v>62818818426</v>
      </c>
      <c r="N14529" s="17" t="s">
        <v>74</v>
      </c>
      <c r="V14529" s="18">
        <f>62818818426</f>
        <v>62818818426</v>
      </c>
    </row>
    <row r="14530" ht="15" customHeight="1" spans="1:22" x14ac:dyDescent="0.25">
      <c r="A14530" s="17" t="s">
        <v>39215</v>
      </c>
      <c r="B14530" s="17" t="s">
        <v>70</v>
      </c>
      <c r="C14530" s="17" t="s">
        <v>71</v>
      </c>
      <c r="D14530" t="s">
        <v>39216</v>
      </c>
      <c r="F14530" t="s">
        <v>39216</v>
      </c>
      <c r="K14530" s="18">
        <f>62811919597</f>
        <v>62811919597</v>
      </c>
      <c r="N14530" s="17" t="s">
        <v>77</v>
      </c>
      <c r="V14530" s="18">
        <f>62811919597</f>
        <v>62811919597</v>
      </c>
    </row>
    <row r="14531" ht="15" customHeight="1" spans="1:22" x14ac:dyDescent="0.25">
      <c r="A14531" s="17" t="s">
        <v>39217</v>
      </c>
      <c r="B14531" s="17" t="s">
        <v>70</v>
      </c>
      <c r="C14531" s="17" t="s">
        <v>71</v>
      </c>
      <c r="D14531" t="s">
        <v>39218</v>
      </c>
      <c r="F14531" t="s">
        <v>39218</v>
      </c>
      <c r="K14531" s="18">
        <f>628111771354</f>
        <v>628111771354</v>
      </c>
      <c r="N14531" s="17" t="s">
        <v>77</v>
      </c>
      <c r="V14531" s="18">
        <f>628111771354</f>
        <v>628111771354</v>
      </c>
    </row>
    <row r="14532" ht="15" customHeight="1" spans="1:28" x14ac:dyDescent="0.25">
      <c r="A14532" s="17" t="s">
        <v>39219</v>
      </c>
      <c r="B14532" s="17" t="s">
        <v>70</v>
      </c>
      <c r="C14532" s="17" t="s">
        <v>71</v>
      </c>
      <c r="D14532" t="s">
        <v>39220</v>
      </c>
      <c r="F14532" t="s">
        <v>833</v>
      </c>
      <c r="J14532" t="s">
        <v>115</v>
      </c>
      <c r="K14532" s="18" t="s">
        <v>39221</v>
      </c>
      <c r="N14532" s="17" t="s">
        <v>77</v>
      </c>
      <c r="O14532" t="s">
        <v>145</v>
      </c>
      <c r="V14532" s="18" t="s">
        <v>39221</v>
      </c>
      <c r="Y14532" t="s">
        <v>190</v>
      </c>
      <c r="AA14532" t="s">
        <v>118</v>
      </c>
      <c r="AB14532" t="s">
        <v>119</v>
      </c>
    </row>
    <row r="14533" ht="15" customHeight="1" spans="1:27" x14ac:dyDescent="0.25">
      <c r="A14533" s="17" t="s">
        <v>39222</v>
      </c>
      <c r="B14533" s="17" t="s">
        <v>70</v>
      </c>
      <c r="C14533" s="17" t="s">
        <v>71</v>
      </c>
      <c r="D14533" t="s">
        <v>39220</v>
      </c>
      <c r="F14533" t="s">
        <v>18299</v>
      </c>
      <c r="J14533" s="17" t="s">
        <v>39223</v>
      </c>
      <c r="K14533" s="18">
        <f>628176630754</f>
        <v>628176630754</v>
      </c>
      <c r="N14533" s="17" t="s">
        <v>77</v>
      </c>
      <c r="U14533" s="17"/>
      <c r="V14533" s="18">
        <f>628176630754</f>
        <v>628176630754</v>
      </c>
      <c r="W14533" t="s">
        <v>39224</v>
      </c>
      <c r="Y14533" s="17" t="s">
        <v>217</v>
      </c>
      <c r="AA14533" s="17">
        <v>15225</v>
      </c>
    </row>
    <row r="14534" ht="15" customHeight="1" spans="1:22" x14ac:dyDescent="0.25">
      <c r="A14534" s="17" t="s">
        <v>39225</v>
      </c>
      <c r="B14534" s="17" t="s">
        <v>70</v>
      </c>
      <c r="C14534" s="17" t="s">
        <v>71</v>
      </c>
      <c r="D14534" t="s">
        <v>25968</v>
      </c>
      <c r="F14534" t="s">
        <v>25968</v>
      </c>
      <c r="K14534" s="18">
        <f>62816847330</f>
        <v>62816847330</v>
      </c>
      <c r="N14534" s="17" t="s">
        <v>77</v>
      </c>
      <c r="V14534" s="18">
        <f>62816847330</f>
        <v>62816847330</v>
      </c>
    </row>
    <row r="14535" ht="15" customHeight="1" spans="1:22" x14ac:dyDescent="0.25">
      <c r="A14535" s="17" t="s">
        <v>39226</v>
      </c>
      <c r="B14535" s="17" t="s">
        <v>70</v>
      </c>
      <c r="C14535" s="17" t="s">
        <v>71</v>
      </c>
      <c r="D14535" t="s">
        <v>39227</v>
      </c>
      <c r="F14535" t="s">
        <v>39227</v>
      </c>
      <c r="K14535" s="18">
        <f>628127589993</f>
        <v>628127589993</v>
      </c>
      <c r="N14535" s="17" t="s">
        <v>77</v>
      </c>
      <c r="V14535" s="18">
        <f>628127589993</f>
        <v>628127589993</v>
      </c>
    </row>
    <row r="14536" ht="15" customHeight="1" spans="1:22" x14ac:dyDescent="0.25">
      <c r="A14536" s="17" t="s">
        <v>39228</v>
      </c>
      <c r="B14536" s="17" t="s">
        <v>70</v>
      </c>
      <c r="C14536" s="17" t="s">
        <v>71</v>
      </c>
      <c r="D14536" t="s">
        <v>39227</v>
      </c>
      <c r="F14536" t="s">
        <v>39227</v>
      </c>
      <c r="K14536" s="18">
        <f>6285777726757</f>
        <v>6285777726757</v>
      </c>
      <c r="N14536" s="17" t="s">
        <v>81</v>
      </c>
      <c r="V14536" s="18">
        <f>6285777726757</f>
        <v>6285777726757</v>
      </c>
    </row>
    <row r="14537" ht="15" customHeight="1" spans="1:28" x14ac:dyDescent="0.25">
      <c r="A14537" s="17" t="s">
        <v>39229</v>
      </c>
      <c r="B14537" s="17" t="s">
        <v>70</v>
      </c>
      <c r="C14537" s="17" t="s">
        <v>71</v>
      </c>
      <c r="D14537" t="s">
        <v>39227</v>
      </c>
      <c r="F14537" t="s">
        <v>39230</v>
      </c>
      <c r="J14537" t="s">
        <v>115</v>
      </c>
      <c r="K14537" s="18" t="s">
        <v>39231</v>
      </c>
      <c r="N14537" s="17" t="s">
        <v>77</v>
      </c>
      <c r="O14537" t="s">
        <v>199</v>
      </c>
      <c r="V14537" s="18" t="s">
        <v>39231</v>
      </c>
      <c r="Y14537" t="s">
        <v>90</v>
      </c>
      <c r="AA14537" t="s">
        <v>118</v>
      </c>
      <c r="AB14537" t="s">
        <v>119</v>
      </c>
    </row>
    <row r="14538" ht="15" customHeight="1" spans="1:23" x14ac:dyDescent="0.25">
      <c r="A14538" s="17" t="s">
        <v>39232</v>
      </c>
      <c r="B14538" s="17" t="s">
        <v>70</v>
      </c>
      <c r="C14538" s="17" t="s">
        <v>71</v>
      </c>
      <c r="D14538" t="s">
        <v>39227</v>
      </c>
      <c r="F14538" t="s">
        <v>39233</v>
      </c>
      <c r="K14538" s="18">
        <f>6285195121998</f>
        <v>6285195121998</v>
      </c>
      <c r="N14538" s="17" t="s">
        <v>81</v>
      </c>
      <c r="U14538" s="17"/>
      <c r="V14538" s="18">
        <f>6285195121998</f>
        <v>6285195121998</v>
      </c>
      <c r="W14538" t="s">
        <v>39234</v>
      </c>
    </row>
    <row r="14539" ht="15" customHeight="1" spans="1:28" x14ac:dyDescent="0.25">
      <c r="A14539" s="17" t="s">
        <v>39235</v>
      </c>
      <c r="B14539" s="17" t="s">
        <v>70</v>
      </c>
      <c r="C14539" s="17" t="s">
        <v>71</v>
      </c>
      <c r="D14539" t="s">
        <v>39227</v>
      </c>
      <c r="F14539" t="s">
        <v>39236</v>
      </c>
      <c r="J14539" t="s">
        <v>115</v>
      </c>
      <c r="K14539" s="18" t="s">
        <v>39237</v>
      </c>
      <c r="N14539" s="17" t="s">
        <v>74</v>
      </c>
      <c r="O14539" t="s">
        <v>489</v>
      </c>
      <c r="U14539" s="17"/>
      <c r="V14539" s="18" t="s">
        <v>39237</v>
      </c>
      <c r="W14539" t="s">
        <v>39238</v>
      </c>
      <c r="Y14539" t="s">
        <v>190</v>
      </c>
      <c r="AA14539" t="s">
        <v>118</v>
      </c>
      <c r="AB14539" t="s">
        <v>119</v>
      </c>
    </row>
    <row r="14540" ht="15" customHeight="1" spans="1:22" x14ac:dyDescent="0.25">
      <c r="A14540" s="17" t="s">
        <v>39239</v>
      </c>
      <c r="B14540" s="17" t="s">
        <v>70</v>
      </c>
      <c r="C14540" s="17" t="s">
        <v>71</v>
      </c>
      <c r="D14540" t="s">
        <v>13102</v>
      </c>
      <c r="F14540" t="s">
        <v>13102</v>
      </c>
      <c r="K14540" s="18">
        <f>6287875963339</f>
        <v>6287875963339</v>
      </c>
      <c r="N14540" s="17" t="s">
        <v>81</v>
      </c>
      <c r="V14540" s="18">
        <f>6287875963339</f>
        <v>6287875963339</v>
      </c>
    </row>
    <row r="14541" ht="15" customHeight="1" spans="1:22" x14ac:dyDescent="0.25">
      <c r="A14541" s="17" t="s">
        <v>39240</v>
      </c>
      <c r="B14541" s="17" t="s">
        <v>70</v>
      </c>
      <c r="C14541" s="17" t="s">
        <v>71</v>
      </c>
      <c r="D14541" t="s">
        <v>13102</v>
      </c>
      <c r="F14541" t="s">
        <v>13102</v>
      </c>
      <c r="K14541" s="18">
        <f>6282113131159</f>
        <v>6282113131159</v>
      </c>
      <c r="N14541" s="17" t="s">
        <v>77</v>
      </c>
      <c r="V14541" s="18">
        <f>6282113131159</f>
        <v>6282113131159</v>
      </c>
    </row>
    <row r="14542" ht="15" customHeight="1" spans="1:28" x14ac:dyDescent="0.25">
      <c r="A14542" s="17" t="s">
        <v>39241</v>
      </c>
      <c r="B14542" s="17" t="s">
        <v>70</v>
      </c>
      <c r="C14542" s="17" t="s">
        <v>71</v>
      </c>
      <c r="D14542" t="s">
        <v>19689</v>
      </c>
      <c r="F14542" t="s">
        <v>1169</v>
      </c>
      <c r="J14542" t="s">
        <v>115</v>
      </c>
      <c r="K14542" s="18" t="s">
        <v>39242</v>
      </c>
      <c r="N14542" s="17" t="s">
        <v>77</v>
      </c>
      <c r="O14542" t="s">
        <v>145</v>
      </c>
      <c r="V14542" s="18" t="s">
        <v>39242</v>
      </c>
      <c r="Y14542" t="s">
        <v>90</v>
      </c>
      <c r="AA14542" t="s">
        <v>118</v>
      </c>
      <c r="AB14542" t="s">
        <v>119</v>
      </c>
    </row>
    <row r="14543" ht="15" customHeight="1" spans="1:22" x14ac:dyDescent="0.25">
      <c r="A14543" s="17" t="s">
        <v>39243</v>
      </c>
      <c r="B14543" s="17" t="s">
        <v>70</v>
      </c>
      <c r="C14543" s="17" t="s">
        <v>71</v>
      </c>
      <c r="D14543" t="s">
        <v>39244</v>
      </c>
      <c r="F14543" t="s">
        <v>39244</v>
      </c>
      <c r="K14543" s="18">
        <f>6282122513847</f>
        <v>6282122513847</v>
      </c>
      <c r="N14543" s="17" t="s">
        <v>77</v>
      </c>
      <c r="V14543" s="18">
        <f>6282122513847</f>
        <v>6282122513847</v>
      </c>
    </row>
    <row r="14544" ht="15" customHeight="1" spans="1:22" x14ac:dyDescent="0.25">
      <c r="A14544" s="17" t="s">
        <v>39245</v>
      </c>
      <c r="B14544" s="17" t="s">
        <v>70</v>
      </c>
      <c r="C14544" s="17" t="s">
        <v>71</v>
      </c>
      <c r="D14544" t="s">
        <v>39244</v>
      </c>
      <c r="F14544" t="s">
        <v>39244</v>
      </c>
      <c r="K14544" s="18">
        <f>6281288462526</f>
        <v>6281288462526</v>
      </c>
      <c r="N14544" s="17" t="s">
        <v>81</v>
      </c>
      <c r="V14544" s="18">
        <f>6281288462526</f>
        <v>6281288462526</v>
      </c>
    </row>
    <row r="14545" ht="15" customHeight="1" spans="1:28" x14ac:dyDescent="0.25">
      <c r="A14545" s="17" t="s">
        <v>39246</v>
      </c>
      <c r="B14545" s="17" t="s">
        <v>70</v>
      </c>
      <c r="C14545" s="17" t="s">
        <v>71</v>
      </c>
      <c r="D14545" t="s">
        <v>39244</v>
      </c>
      <c r="F14545" t="s">
        <v>39247</v>
      </c>
      <c r="J14545" t="s">
        <v>115</v>
      </c>
      <c r="K14545" s="18" t="s">
        <v>39248</v>
      </c>
      <c r="N14545" s="17" t="s">
        <v>81</v>
      </c>
      <c r="O14545" t="s">
        <v>117</v>
      </c>
      <c r="V14545" s="18" t="s">
        <v>39248</v>
      </c>
      <c r="Y14545" t="s">
        <v>115</v>
      </c>
      <c r="AA14545" t="s">
        <v>115</v>
      </c>
      <c r="AB14545" t="s">
        <v>119</v>
      </c>
    </row>
    <row r="14546" ht="15" customHeight="1" spans="1:28" x14ac:dyDescent="0.25">
      <c r="A14546" s="17" t="s">
        <v>39249</v>
      </c>
      <c r="B14546" s="17" t="s">
        <v>70</v>
      </c>
      <c r="C14546" s="17" t="s">
        <v>71</v>
      </c>
      <c r="D14546" t="s">
        <v>39244</v>
      </c>
      <c r="F14546" t="s">
        <v>230</v>
      </c>
      <c r="J14546" t="s">
        <v>115</v>
      </c>
      <c r="K14546" s="18" t="s">
        <v>39250</v>
      </c>
      <c r="N14546" s="17" t="s">
        <v>77</v>
      </c>
      <c r="O14546" t="s">
        <v>117</v>
      </c>
      <c r="U14546" s="17"/>
      <c r="V14546" s="18" t="s">
        <v>39250</v>
      </c>
      <c r="W14546" t="s">
        <v>97</v>
      </c>
      <c r="Y14546" s="17" t="s">
        <v>90</v>
      </c>
      <c r="AA14546" t="s">
        <v>118</v>
      </c>
      <c r="AB14546" t="s">
        <v>119</v>
      </c>
    </row>
    <row r="14547" ht="15" customHeight="1" spans="1:28" x14ac:dyDescent="0.25">
      <c r="A14547" s="17" t="s">
        <v>39251</v>
      </c>
      <c r="B14547" s="17" t="s">
        <v>70</v>
      </c>
      <c r="C14547" s="17" t="s">
        <v>71</v>
      </c>
      <c r="D14547" t="s">
        <v>39244</v>
      </c>
      <c r="F14547" t="s">
        <v>39252</v>
      </c>
      <c r="J14547" s="17" t="s">
        <v>39253</v>
      </c>
      <c r="K14547" s="18" t="s">
        <v>39254</v>
      </c>
      <c r="N14547" s="17" t="s">
        <v>77</v>
      </c>
      <c r="O14547" t="s">
        <v>261</v>
      </c>
      <c r="U14547" s="17"/>
      <c r="V14547" s="18" t="s">
        <v>39254</v>
      </c>
      <c r="W14547" t="s">
        <v>39255</v>
      </c>
      <c r="Y14547" t="s">
        <v>90</v>
      </c>
      <c r="AA14547" t="s">
        <v>118</v>
      </c>
      <c r="AB14547" t="s">
        <v>119</v>
      </c>
    </row>
    <row r="14548" ht="15" customHeight="1" spans="1:28" x14ac:dyDescent="0.25">
      <c r="A14548" s="17" t="s">
        <v>39256</v>
      </c>
      <c r="B14548" s="17" t="s">
        <v>70</v>
      </c>
      <c r="C14548" s="17" t="s">
        <v>71</v>
      </c>
      <c r="D14548" t="s">
        <v>39257</v>
      </c>
      <c r="F14548" t="s">
        <v>39258</v>
      </c>
      <c r="J14548" s="17" t="s">
        <v>39259</v>
      </c>
      <c r="K14548" s="18" t="s">
        <v>39260</v>
      </c>
      <c r="N14548" s="17" t="s">
        <v>77</v>
      </c>
      <c r="O14548" t="s">
        <v>145</v>
      </c>
      <c r="U14548" s="17"/>
      <c r="V14548" s="18" t="s">
        <v>39260</v>
      </c>
      <c r="W14548" t="s">
        <v>1908</v>
      </c>
      <c r="Y14548" s="17" t="s">
        <v>1908</v>
      </c>
      <c r="AA14548" t="s">
        <v>115</v>
      </c>
      <c r="AB14548" t="s">
        <v>2605</v>
      </c>
    </row>
    <row r="14549" ht="15" customHeight="1" spans="1:23" x14ac:dyDescent="0.25">
      <c r="A14549" s="17" t="s">
        <v>39261</v>
      </c>
      <c r="B14549" s="17" t="s">
        <v>70</v>
      </c>
      <c r="C14549" s="17" t="s">
        <v>71</v>
      </c>
      <c r="D14549" t="s">
        <v>39257</v>
      </c>
      <c r="F14549" t="s">
        <v>39262</v>
      </c>
      <c r="K14549" s="18">
        <f>6281238460132</f>
        <v>6281238460132</v>
      </c>
      <c r="N14549" s="17" t="s">
        <v>77</v>
      </c>
      <c r="U14549" s="17"/>
      <c r="V14549" s="18">
        <f>6281238460132</f>
        <v>6281238460132</v>
      </c>
      <c r="W14549" t="s">
        <v>39263</v>
      </c>
    </row>
    <row r="14550" ht="15" customHeight="1" spans="1:22" x14ac:dyDescent="0.25">
      <c r="A14550" s="17" t="s">
        <v>39264</v>
      </c>
      <c r="B14550" s="17" t="s">
        <v>70</v>
      </c>
      <c r="C14550" s="17" t="s">
        <v>71</v>
      </c>
      <c r="D14550" t="s">
        <v>39257</v>
      </c>
      <c r="F14550" t="s">
        <v>39265</v>
      </c>
      <c r="K14550" s="18">
        <f>79062526620</f>
        <v>79062526620</v>
      </c>
      <c r="N14550" s="17" t="s">
        <v>81</v>
      </c>
      <c r="V14550" s="18">
        <f>79062526620</f>
        <v>79062526620</v>
      </c>
    </row>
    <row r="14551" ht="15" customHeight="1" spans="1:22" x14ac:dyDescent="0.25">
      <c r="A14551" s="17" t="s">
        <v>39266</v>
      </c>
      <c r="B14551" s="17" t="s">
        <v>70</v>
      </c>
      <c r="C14551" s="17" t="s">
        <v>71</v>
      </c>
      <c r="D14551" t="s">
        <v>39267</v>
      </c>
      <c r="F14551" t="s">
        <v>3369</v>
      </c>
      <c r="K14551" s="18">
        <f>628161611302</f>
        <v>628161611302</v>
      </c>
      <c r="N14551" s="17" t="s">
        <v>77</v>
      </c>
      <c r="V14551" s="18">
        <f>628161611302</f>
        <v>628161611302</v>
      </c>
    </row>
    <row r="14552" ht="15" customHeight="1" spans="1:23" x14ac:dyDescent="0.25">
      <c r="A14552" s="17" t="s">
        <v>39268</v>
      </c>
      <c r="B14552" s="17" t="s">
        <v>70</v>
      </c>
      <c r="C14552" s="17" t="s">
        <v>71</v>
      </c>
      <c r="D14552" t="s">
        <v>39269</v>
      </c>
      <c r="F14552" t="s">
        <v>39269</v>
      </c>
      <c r="K14552" s="18">
        <f>62811188270</f>
        <v>62811188270</v>
      </c>
      <c r="N14552" s="17" t="s">
        <v>77</v>
      </c>
      <c r="U14552" s="17"/>
      <c r="V14552" s="18">
        <f>62811188270</f>
        <v>62811188270</v>
      </c>
      <c r="W14552" t="s">
        <v>39270</v>
      </c>
    </row>
    <row r="14553" ht="15" customHeight="1" spans="1:22" x14ac:dyDescent="0.25">
      <c r="A14553" s="17" t="s">
        <v>39271</v>
      </c>
      <c r="B14553" s="17" t="s">
        <v>70</v>
      </c>
      <c r="C14553" s="17" t="s">
        <v>71</v>
      </c>
      <c r="D14553" t="s">
        <v>39272</v>
      </c>
      <c r="F14553" t="s">
        <v>1525</v>
      </c>
      <c r="J14553" s="17" t="s">
        <v>39273</v>
      </c>
      <c r="K14553" s="18">
        <f>6281281048052</f>
        <v>6281281048052</v>
      </c>
      <c r="N14553" s="17" t="s">
        <v>81</v>
      </c>
      <c r="V14553" s="18">
        <f>6281281048052</f>
        <v>6281281048052</v>
      </c>
    </row>
    <row r="14554" ht="15" customHeight="1" spans="1:23" x14ac:dyDescent="0.25">
      <c r="A14554" s="17" t="s">
        <v>39274</v>
      </c>
      <c r="B14554" s="17" t="s">
        <v>70</v>
      </c>
      <c r="C14554" s="17" t="s">
        <v>71</v>
      </c>
      <c r="D14554" t="s">
        <v>39272</v>
      </c>
      <c r="F14554" t="s">
        <v>12092</v>
      </c>
      <c r="K14554" s="18">
        <f>62811971327</f>
        <v>62811971327</v>
      </c>
      <c r="N14554" s="17" t="s">
        <v>77</v>
      </c>
      <c r="U14554" s="17"/>
      <c r="V14554" s="18">
        <f>62811971327</f>
        <v>62811971327</v>
      </c>
      <c r="W14554" t="s">
        <v>39275</v>
      </c>
    </row>
    <row r="14555" ht="15" customHeight="1" spans="1:25" x14ac:dyDescent="0.25">
      <c r="A14555" s="17" t="s">
        <v>39276</v>
      </c>
      <c r="B14555" s="17" t="s">
        <v>70</v>
      </c>
      <c r="C14555" s="17" t="s">
        <v>71</v>
      </c>
      <c r="D14555" t="s">
        <v>10210</v>
      </c>
      <c r="F14555" t="s">
        <v>10210</v>
      </c>
      <c r="K14555" s="18">
        <f>622172792284</f>
        <v>622172792284</v>
      </c>
      <c r="N14555" s="17" t="s">
        <v>77</v>
      </c>
      <c r="U14555" s="17"/>
      <c r="V14555" s="18">
        <f>622172792284</f>
        <v>622172792284</v>
      </c>
      <c r="W14555" t="s">
        <v>39277</v>
      </c>
      <c r="Y14555" s="17" t="s">
        <v>39278</v>
      </c>
    </row>
    <row r="14556" ht="15" customHeight="1" spans="1:22" x14ac:dyDescent="0.25">
      <c r="A14556" s="17" t="s">
        <v>39279</v>
      </c>
      <c r="B14556" s="17" t="s">
        <v>70</v>
      </c>
      <c r="C14556" s="17" t="s">
        <v>71</v>
      </c>
      <c r="D14556" t="s">
        <v>10210</v>
      </c>
      <c r="F14556" t="s">
        <v>12092</v>
      </c>
      <c r="J14556" s="17" t="s">
        <v>39280</v>
      </c>
      <c r="K14556" s="18">
        <f>62811881846</f>
        <v>62811881846</v>
      </c>
      <c r="N14556" s="17" t="s">
        <v>77</v>
      </c>
      <c r="V14556" s="18">
        <f>62811881846</f>
        <v>62811881846</v>
      </c>
    </row>
    <row r="14557" ht="15" customHeight="1" spans="1:22" x14ac:dyDescent="0.25">
      <c r="A14557" s="17" t="s">
        <v>39281</v>
      </c>
      <c r="B14557" s="17" t="s">
        <v>70</v>
      </c>
      <c r="C14557" s="17" t="s">
        <v>71</v>
      </c>
      <c r="D14557" t="s">
        <v>10210</v>
      </c>
      <c r="F14557" t="s">
        <v>355</v>
      </c>
      <c r="K14557" s="18">
        <f>62816107178</f>
        <v>62816107178</v>
      </c>
      <c r="N14557" s="17" t="s">
        <v>77</v>
      </c>
      <c r="V14557" s="18">
        <f>62816107178</f>
        <v>62816107178</v>
      </c>
    </row>
    <row r="14558" ht="15" customHeight="1" spans="1:28" x14ac:dyDescent="0.25">
      <c r="A14558" s="17" t="s">
        <v>39282</v>
      </c>
      <c r="B14558" s="17" t="s">
        <v>70</v>
      </c>
      <c r="C14558" s="17" t="s">
        <v>71</v>
      </c>
      <c r="D14558" t="s">
        <v>10210</v>
      </c>
      <c r="F14558" t="s">
        <v>34955</v>
      </c>
      <c r="J14558" t="s">
        <v>115</v>
      </c>
      <c r="K14558" s="18" t="s">
        <v>39283</v>
      </c>
      <c r="N14558" s="17" t="s">
        <v>77</v>
      </c>
      <c r="O14558" t="s">
        <v>145</v>
      </c>
      <c r="V14558" s="18" t="s">
        <v>39283</v>
      </c>
      <c r="Y14558" t="s">
        <v>190</v>
      </c>
      <c r="AA14558" t="s">
        <v>118</v>
      </c>
      <c r="AB14558" t="s">
        <v>119</v>
      </c>
    </row>
    <row r="14559" ht="15" customHeight="1" spans="1:27" x14ac:dyDescent="0.25">
      <c r="A14559" s="17" t="s">
        <v>39284</v>
      </c>
      <c r="B14559" s="17" t="s">
        <v>70</v>
      </c>
      <c r="C14559" s="17" t="s">
        <v>71</v>
      </c>
      <c r="D14559" t="s">
        <v>10210</v>
      </c>
      <c r="F14559" t="s">
        <v>1337</v>
      </c>
      <c r="J14559" s="17" t="s">
        <v>39285</v>
      </c>
      <c r="K14559" s="18">
        <f>628111994202</f>
        <v>628111994202</v>
      </c>
      <c r="N14559" s="17" t="s">
        <v>77</v>
      </c>
      <c r="U14559" s="17"/>
      <c r="V14559" s="18">
        <f>628111994202</f>
        <v>628111994202</v>
      </c>
      <c r="W14559" t="s">
        <v>39286</v>
      </c>
      <c r="AA14559" s="17">
        <v>14460</v>
      </c>
    </row>
    <row r="14560" ht="15" customHeight="1" spans="1:28" x14ac:dyDescent="0.25">
      <c r="A14560" s="17" t="s">
        <v>39287</v>
      </c>
      <c r="B14560" s="17" t="s">
        <v>70</v>
      </c>
      <c r="C14560" s="17" t="s">
        <v>71</v>
      </c>
      <c r="D14560" t="s">
        <v>27713</v>
      </c>
      <c r="F14560" t="s">
        <v>39288</v>
      </c>
      <c r="J14560" s="17" t="s">
        <v>39289</v>
      </c>
      <c r="K14560" s="18" t="s">
        <v>39290</v>
      </c>
      <c r="N14560" s="17" t="s">
        <v>77</v>
      </c>
      <c r="O14560" t="s">
        <v>199</v>
      </c>
      <c r="U14560" s="17"/>
      <c r="V14560" s="18" t="s">
        <v>39290</v>
      </c>
      <c r="W14560" t="s">
        <v>148</v>
      </c>
      <c r="Y14560" t="s">
        <v>115</v>
      </c>
      <c r="AA14560" t="s">
        <v>115</v>
      </c>
      <c r="AB14560" t="s">
        <v>148</v>
      </c>
    </row>
    <row r="14561" ht="15" customHeight="1" spans="1:28" x14ac:dyDescent="0.25">
      <c r="A14561" s="17" t="s">
        <v>39291</v>
      </c>
      <c r="B14561" s="17" t="s">
        <v>70</v>
      </c>
      <c r="C14561" s="17" t="s">
        <v>71</v>
      </c>
      <c r="D14561" t="s">
        <v>39292</v>
      </c>
      <c r="F14561" t="s">
        <v>39293</v>
      </c>
      <c r="J14561" t="s">
        <v>115</v>
      </c>
      <c r="K14561" s="18" t="s">
        <v>39294</v>
      </c>
      <c r="N14561" s="17" t="s">
        <v>77</v>
      </c>
      <c r="O14561" t="s">
        <v>117</v>
      </c>
      <c r="V14561" s="18" t="s">
        <v>39294</v>
      </c>
      <c r="Y14561" t="s">
        <v>90</v>
      </c>
      <c r="AA14561" t="s">
        <v>118</v>
      </c>
      <c r="AB14561" t="s">
        <v>119</v>
      </c>
    </row>
    <row r="14562" ht="15" customHeight="1" spans="1:23" x14ac:dyDescent="0.25">
      <c r="A14562" s="17" t="s">
        <v>39295</v>
      </c>
      <c r="B14562" s="17" t="s">
        <v>70</v>
      </c>
      <c r="C14562" s="17" t="s">
        <v>71</v>
      </c>
      <c r="D14562" t="s">
        <v>39296</v>
      </c>
      <c r="F14562" t="s">
        <v>18199</v>
      </c>
      <c r="K14562" s="18">
        <f>622178836682</f>
        <v>622178836682</v>
      </c>
      <c r="N14562" s="17" t="s">
        <v>77</v>
      </c>
      <c r="U14562" s="17"/>
      <c r="V14562" s="18">
        <f>622178836682</f>
        <v>622178836682</v>
      </c>
      <c r="W14562" t="s">
        <v>39297</v>
      </c>
    </row>
    <row r="14563" ht="15" customHeight="1" spans="1:28" x14ac:dyDescent="0.25">
      <c r="A14563" s="17" t="s">
        <v>39298</v>
      </c>
      <c r="B14563" s="17" t="s">
        <v>70</v>
      </c>
      <c r="C14563" s="17" t="s">
        <v>71</v>
      </c>
      <c r="D14563" t="s">
        <v>20610</v>
      </c>
      <c r="F14563" t="s">
        <v>5363</v>
      </c>
      <c r="J14563" t="s">
        <v>115</v>
      </c>
      <c r="K14563" s="18" t="s">
        <v>39299</v>
      </c>
      <c r="N14563" s="17" t="s">
        <v>74</v>
      </c>
      <c r="O14563" t="s">
        <v>117</v>
      </c>
      <c r="V14563" s="18" t="s">
        <v>39299</v>
      </c>
      <c r="Y14563" t="s">
        <v>90</v>
      </c>
      <c r="AA14563" t="s">
        <v>118</v>
      </c>
      <c r="AB14563" t="s">
        <v>119</v>
      </c>
    </row>
    <row r="14564" ht="15" customHeight="1" spans="1:23" x14ac:dyDescent="0.25">
      <c r="A14564" s="17" t="s">
        <v>39300</v>
      </c>
      <c r="B14564" s="17" t="s">
        <v>70</v>
      </c>
      <c r="C14564" s="17" t="s">
        <v>71</v>
      </c>
      <c r="D14564" t="s">
        <v>20610</v>
      </c>
      <c r="F14564" t="s">
        <v>39301</v>
      </c>
      <c r="K14564" s="18">
        <f>6283890910104</f>
        <v>6283890910104</v>
      </c>
      <c r="N14564" s="17" t="s">
        <v>74</v>
      </c>
      <c r="U14564" s="17"/>
      <c r="V14564" s="18">
        <f>6283890910104</f>
        <v>6283890910104</v>
      </c>
      <c r="W14564" t="s">
        <v>39302</v>
      </c>
    </row>
    <row r="14565" ht="15" customHeight="1" spans="1:27" x14ac:dyDescent="0.25">
      <c r="A14565" s="17" t="s">
        <v>39303</v>
      </c>
      <c r="B14565" s="17" t="s">
        <v>70</v>
      </c>
      <c r="C14565" s="17" t="s">
        <v>71</v>
      </c>
      <c r="D14565" t="s">
        <v>20610</v>
      </c>
      <c r="F14565" t="s">
        <v>5361</v>
      </c>
      <c r="K14565" s="18">
        <f>628123033696</f>
        <v>628123033696</v>
      </c>
      <c r="N14565" s="17" t="s">
        <v>74</v>
      </c>
      <c r="U14565" s="17"/>
      <c r="V14565" s="18">
        <f>628123033696</f>
        <v>628123033696</v>
      </c>
      <c r="W14565" t="s">
        <v>39304</v>
      </c>
      <c r="Y14565" s="17" t="s">
        <v>96</v>
      </c>
      <c r="AA14565" s="17" t="s">
        <v>133</v>
      </c>
    </row>
    <row r="14566" ht="15" customHeight="1" spans="1:22" x14ac:dyDescent="0.25">
      <c r="A14566" s="17" t="s">
        <v>39305</v>
      </c>
      <c r="B14566" s="17" t="s">
        <v>70</v>
      </c>
      <c r="C14566" s="17" t="s">
        <v>71</v>
      </c>
      <c r="D14566" t="s">
        <v>20610</v>
      </c>
      <c r="F14566" t="s">
        <v>39306</v>
      </c>
      <c r="K14566" s="18">
        <f>628121496868</f>
        <v>628121496868</v>
      </c>
      <c r="N14566" s="17" t="s">
        <v>77</v>
      </c>
      <c r="V14566" s="18">
        <f>628121496868</f>
        <v>628121496868</v>
      </c>
    </row>
    <row r="14567" ht="15" customHeight="1" spans="1:22" x14ac:dyDescent="0.25">
      <c r="A14567" s="17" t="s">
        <v>39307</v>
      </c>
      <c r="B14567" s="17" t="s">
        <v>70</v>
      </c>
      <c r="C14567" s="17" t="s">
        <v>71</v>
      </c>
      <c r="D14567" t="s">
        <v>20610</v>
      </c>
      <c r="F14567" t="s">
        <v>1589</v>
      </c>
      <c r="K14567" s="18">
        <f>628121176666</f>
        <v>628121176666</v>
      </c>
      <c r="N14567" s="17" t="s">
        <v>74</v>
      </c>
      <c r="V14567" s="18">
        <f>628121176666</f>
        <v>628121176666</v>
      </c>
    </row>
    <row r="14568" ht="15" customHeight="1" spans="1:25" x14ac:dyDescent="0.25">
      <c r="A14568" s="17" t="s">
        <v>39308</v>
      </c>
      <c r="B14568" s="17" t="s">
        <v>70</v>
      </c>
      <c r="C14568" s="17" t="s">
        <v>71</v>
      </c>
      <c r="D14568" t="s">
        <v>20610</v>
      </c>
      <c r="F14568" t="s">
        <v>19782</v>
      </c>
      <c r="K14568" s="18">
        <f>62215732790</f>
        <v>62215732790</v>
      </c>
      <c r="N14568" s="17" t="s">
        <v>74</v>
      </c>
      <c r="U14568" s="17"/>
      <c r="V14568" s="18">
        <f>62215732790</f>
        <v>62215732790</v>
      </c>
      <c r="W14568" t="s">
        <v>19780</v>
      </c>
      <c r="Y14568" s="17" t="s">
        <v>90</v>
      </c>
    </row>
    <row r="14569" ht="15" customHeight="1" spans="1:22" x14ac:dyDescent="0.25">
      <c r="A14569" s="17" t="s">
        <v>39309</v>
      </c>
      <c r="B14569" s="17" t="s">
        <v>70</v>
      </c>
      <c r="C14569" s="17" t="s">
        <v>71</v>
      </c>
      <c r="D14569" t="s">
        <v>20610</v>
      </c>
      <c r="F14569" t="s">
        <v>669</v>
      </c>
      <c r="K14569" s="18">
        <f>6289673959669</f>
        <v>6289673959669</v>
      </c>
      <c r="N14569" s="17" t="s">
        <v>81</v>
      </c>
      <c r="V14569" s="18">
        <f>6289673959669</f>
        <v>6289673959669</v>
      </c>
    </row>
    <row r="14570" ht="15" customHeight="1" spans="1:25" x14ac:dyDescent="0.25">
      <c r="A14570" s="17" t="s">
        <v>39310</v>
      </c>
      <c r="B14570" s="17" t="s">
        <v>70</v>
      </c>
      <c r="C14570" s="17" t="s">
        <v>71</v>
      </c>
      <c r="D14570" t="s">
        <v>20610</v>
      </c>
      <c r="F14570" t="s">
        <v>3369</v>
      </c>
      <c r="J14570" s="17" t="s">
        <v>39311</v>
      </c>
      <c r="K14570" s="18">
        <f>6287808872300</f>
        <v>6287808872300</v>
      </c>
      <c r="N14570" s="17" t="s">
        <v>77</v>
      </c>
      <c r="U14570" s="17"/>
      <c r="V14570" s="18">
        <f>6287808872300</f>
        <v>6287808872300</v>
      </c>
      <c r="W14570" t="s">
        <v>39312</v>
      </c>
      <c r="Y14570" s="17" t="s">
        <v>39313</v>
      </c>
    </row>
    <row r="14571" ht="15" customHeight="1" spans="1:22" x14ac:dyDescent="0.25">
      <c r="A14571" s="17" t="s">
        <v>39314</v>
      </c>
      <c r="B14571" s="17" t="s">
        <v>70</v>
      </c>
      <c r="C14571" s="17" t="s">
        <v>71</v>
      </c>
      <c r="D14571" t="s">
        <v>20610</v>
      </c>
      <c r="F14571" t="s">
        <v>39315</v>
      </c>
      <c r="K14571" s="18">
        <f>62818966705</f>
        <v>62818966705</v>
      </c>
      <c r="N14571" s="17" t="s">
        <v>81</v>
      </c>
      <c r="V14571" s="18">
        <f>62818966705</f>
        <v>62818966705</v>
      </c>
    </row>
    <row r="14572" ht="15" customHeight="1" spans="1:27" x14ac:dyDescent="0.25">
      <c r="A14572" s="17" t="s">
        <v>39316</v>
      </c>
      <c r="B14572" s="17" t="s">
        <v>70</v>
      </c>
      <c r="C14572" s="17" t="s">
        <v>71</v>
      </c>
      <c r="D14572" t="s">
        <v>20610</v>
      </c>
      <c r="F14572" t="s">
        <v>153</v>
      </c>
      <c r="K14572" s="18">
        <f>62817832226</f>
        <v>62817832226</v>
      </c>
      <c r="N14572" s="17" t="s">
        <v>77</v>
      </c>
      <c r="U14572" s="17"/>
      <c r="V14572" s="18">
        <f>62817832226</f>
        <v>62817832226</v>
      </c>
      <c r="W14572" t="s">
        <v>39317</v>
      </c>
      <c r="Y14572" s="17" t="s">
        <v>378</v>
      </c>
      <c r="AA14572" s="17" t="s">
        <v>7565</v>
      </c>
    </row>
    <row r="14573" ht="15" customHeight="1" spans="1:22" x14ac:dyDescent="0.25">
      <c r="A14573" s="17" t="s">
        <v>39318</v>
      </c>
      <c r="B14573" s="17" t="s">
        <v>70</v>
      </c>
      <c r="C14573" s="17" t="s">
        <v>71</v>
      </c>
      <c r="D14573" t="s">
        <v>20610</v>
      </c>
      <c r="F14573" t="s">
        <v>34897</v>
      </c>
      <c r="K14573" s="18">
        <f>62811909225</f>
        <v>62811909225</v>
      </c>
      <c r="N14573" s="17" t="s">
        <v>77</v>
      </c>
      <c r="V14573" s="18">
        <f>62811909225</f>
        <v>62811909225</v>
      </c>
    </row>
    <row r="14574" ht="15" customHeight="1" spans="1:28" x14ac:dyDescent="0.25">
      <c r="A14574" s="17" t="s">
        <v>39319</v>
      </c>
      <c r="B14574" s="17" t="s">
        <v>70</v>
      </c>
      <c r="C14574" s="17" t="s">
        <v>71</v>
      </c>
      <c r="D14574" t="s">
        <v>20610</v>
      </c>
      <c r="F14574" t="s">
        <v>672</v>
      </c>
      <c r="J14574" t="s">
        <v>115</v>
      </c>
      <c r="K14574" s="18" t="s">
        <v>39320</v>
      </c>
      <c r="N14574" s="17" t="s">
        <v>81</v>
      </c>
      <c r="O14574" t="s">
        <v>261</v>
      </c>
      <c r="V14574" s="18" t="s">
        <v>39320</v>
      </c>
      <c r="Y14574" t="s">
        <v>190</v>
      </c>
      <c r="AA14574" t="s">
        <v>118</v>
      </c>
      <c r="AB14574" t="s">
        <v>119</v>
      </c>
    </row>
    <row r="14575" ht="15" customHeight="1" spans="1:27" x14ac:dyDescent="0.25">
      <c r="A14575" s="17" t="s">
        <v>39321</v>
      </c>
      <c r="B14575" s="17" t="s">
        <v>70</v>
      </c>
      <c r="C14575" s="17" t="s">
        <v>71</v>
      </c>
      <c r="D14575" t="s">
        <v>20610</v>
      </c>
      <c r="F14575" t="s">
        <v>672</v>
      </c>
      <c r="J14575" s="17" t="s">
        <v>39322</v>
      </c>
      <c r="K14575" s="18">
        <f>6287888573366</f>
        <v>6287888573366</v>
      </c>
      <c r="N14575" s="17" t="s">
        <v>74</v>
      </c>
      <c r="U14575" s="17"/>
      <c r="V14575" s="18">
        <f>6287888573366</f>
        <v>6287888573366</v>
      </c>
      <c r="W14575" t="s">
        <v>39323</v>
      </c>
      <c r="Y14575" s="17" t="s">
        <v>1084</v>
      </c>
      <c r="AA14575" s="17">
        <v>14450</v>
      </c>
    </row>
    <row r="14576" ht="15" customHeight="1" spans="1:22" x14ac:dyDescent="0.25">
      <c r="A14576" s="17" t="s">
        <v>39324</v>
      </c>
      <c r="B14576" s="17" t="s">
        <v>70</v>
      </c>
      <c r="C14576" s="17" t="s">
        <v>71</v>
      </c>
      <c r="D14576" t="s">
        <v>11408</v>
      </c>
      <c r="F14576" t="s">
        <v>11408</v>
      </c>
      <c r="K14576" s="18">
        <f>6281282228118</f>
        <v>6281282228118</v>
      </c>
      <c r="N14576" s="17" t="s">
        <v>81</v>
      </c>
      <c r="V14576" s="18">
        <f>6281282228118</f>
        <v>6281282228118</v>
      </c>
    </row>
    <row r="14577" ht="15" customHeight="1" spans="1:22" x14ac:dyDescent="0.25">
      <c r="A14577" s="17" t="s">
        <v>39325</v>
      </c>
      <c r="B14577" s="17" t="s">
        <v>70</v>
      </c>
      <c r="C14577" s="17" t="s">
        <v>71</v>
      </c>
      <c r="D14577" t="s">
        <v>11408</v>
      </c>
      <c r="F14577" t="s">
        <v>11408</v>
      </c>
      <c r="K14577" s="18">
        <f>628568117396</f>
        <v>628568117396</v>
      </c>
      <c r="N14577" s="17" t="s">
        <v>81</v>
      </c>
      <c r="V14577" s="18">
        <f>628568117396</f>
        <v>628568117396</v>
      </c>
    </row>
    <row r="14578" ht="15" customHeight="1" spans="1:28" x14ac:dyDescent="0.25">
      <c r="A14578" s="17" t="s">
        <v>39326</v>
      </c>
      <c r="B14578" s="17" t="s">
        <v>70</v>
      </c>
      <c r="C14578" s="17" t="s">
        <v>71</v>
      </c>
      <c r="D14578" t="s">
        <v>20610</v>
      </c>
      <c r="F14578" t="s">
        <v>12171</v>
      </c>
      <c r="J14578" t="s">
        <v>115</v>
      </c>
      <c r="K14578" s="18" t="s">
        <v>39327</v>
      </c>
      <c r="N14578" s="17" t="s">
        <v>77</v>
      </c>
      <c r="O14578" t="s">
        <v>117</v>
      </c>
      <c r="V14578" s="18" t="s">
        <v>39327</v>
      </c>
      <c r="Y14578" t="s">
        <v>115</v>
      </c>
      <c r="AA14578" t="s">
        <v>115</v>
      </c>
      <c r="AB14578" t="s">
        <v>119</v>
      </c>
    </row>
    <row r="14579" ht="15" customHeight="1" spans="1:22" x14ac:dyDescent="0.25">
      <c r="A14579" s="17" t="s">
        <v>39328</v>
      </c>
      <c r="B14579" s="17" t="s">
        <v>70</v>
      </c>
      <c r="C14579" s="17" t="s">
        <v>71</v>
      </c>
      <c r="D14579" t="s">
        <v>11408</v>
      </c>
      <c r="F14579" t="s">
        <v>12171</v>
      </c>
      <c r="K14579" s="18">
        <f>6285885578899</f>
        <v>6285885578899</v>
      </c>
      <c r="N14579" s="17" t="s">
        <v>77</v>
      </c>
      <c r="V14579" s="18">
        <f>6285885578899</f>
        <v>6285885578899</v>
      </c>
    </row>
    <row r="14580" ht="15" customHeight="1" spans="1:22" x14ac:dyDescent="0.25">
      <c r="A14580" s="17" t="s">
        <v>39329</v>
      </c>
      <c r="B14580" s="17" t="s">
        <v>70</v>
      </c>
      <c r="C14580" s="17" t="s">
        <v>71</v>
      </c>
      <c r="D14580" t="s">
        <v>11408</v>
      </c>
      <c r="F14580" t="s">
        <v>4401</v>
      </c>
      <c r="K14580" s="18">
        <f>62816978605</f>
        <v>62816978605</v>
      </c>
      <c r="N14580" s="17" t="s">
        <v>81</v>
      </c>
      <c r="V14580" s="18">
        <f>62816978605</f>
        <v>62816978605</v>
      </c>
    </row>
    <row r="14581" ht="15" customHeight="1" spans="1:25" x14ac:dyDescent="0.25">
      <c r="A14581" s="17" t="s">
        <v>39330</v>
      </c>
      <c r="B14581" s="17" t="s">
        <v>70</v>
      </c>
      <c r="C14581" s="17" t="s">
        <v>71</v>
      </c>
      <c r="D14581" t="s">
        <v>39331</v>
      </c>
      <c r="F14581" t="s">
        <v>39332</v>
      </c>
      <c r="K14581" s="18">
        <f>628159702767</f>
        <v>628159702767</v>
      </c>
      <c r="N14581" s="17" t="s">
        <v>77</v>
      </c>
      <c r="U14581" s="17"/>
      <c r="V14581" s="18">
        <f>628159702767</f>
        <v>628159702767</v>
      </c>
      <c r="W14581" t="s">
        <v>39333</v>
      </c>
      <c r="Y14581" s="17" t="s">
        <v>96</v>
      </c>
    </row>
    <row r="14582" ht="15" customHeight="1" spans="1:22" x14ac:dyDescent="0.25">
      <c r="A14582" s="17" t="s">
        <v>39334</v>
      </c>
      <c r="B14582" s="17" t="s">
        <v>70</v>
      </c>
      <c r="C14582" s="17" t="s">
        <v>71</v>
      </c>
      <c r="D14582" t="s">
        <v>39335</v>
      </c>
      <c r="F14582" t="s">
        <v>39335</v>
      </c>
      <c r="K14582" s="18">
        <f>6281315511079</f>
        <v>6281315511079</v>
      </c>
      <c r="N14582" s="17" t="s">
        <v>77</v>
      </c>
      <c r="V14582" s="18">
        <f>6281315511079</f>
        <v>6281315511079</v>
      </c>
    </row>
    <row r="14583" ht="15" customHeight="1" spans="1:23" x14ac:dyDescent="0.25">
      <c r="A14583" s="17" t="s">
        <v>39336</v>
      </c>
      <c r="B14583" s="17" t="s">
        <v>70</v>
      </c>
      <c r="C14583" s="17" t="s">
        <v>71</v>
      </c>
      <c r="D14583" t="s">
        <v>9835</v>
      </c>
      <c r="F14583" t="s">
        <v>9835</v>
      </c>
      <c r="K14583" s="18">
        <f>6281259684761</f>
        <v>6281259684761</v>
      </c>
      <c r="N14583" s="17" t="s">
        <v>77</v>
      </c>
      <c r="U14583" s="17"/>
      <c r="V14583" s="18">
        <f>6281259684761</f>
        <v>6281259684761</v>
      </c>
      <c r="W14583" t="s">
        <v>39337</v>
      </c>
    </row>
    <row r="14584" ht="15" customHeight="1" spans="1:22" x14ac:dyDescent="0.25">
      <c r="A14584" s="17" t="s">
        <v>39338</v>
      </c>
      <c r="B14584" s="17" t="s">
        <v>70</v>
      </c>
      <c r="C14584" s="17" t="s">
        <v>71</v>
      </c>
      <c r="D14584" t="s">
        <v>9835</v>
      </c>
      <c r="F14584" t="s">
        <v>669</v>
      </c>
      <c r="K14584" s="18">
        <f>62816867763</f>
        <v>62816867763</v>
      </c>
      <c r="N14584" s="17" t="s">
        <v>77</v>
      </c>
      <c r="V14584" s="18">
        <f>62816867763</f>
        <v>62816867763</v>
      </c>
    </row>
    <row r="14585" ht="15" customHeight="1" spans="1:23" x14ac:dyDescent="0.25">
      <c r="A14585" s="17" t="s">
        <v>39339</v>
      </c>
      <c r="B14585" s="17" t="s">
        <v>70</v>
      </c>
      <c r="C14585" s="17" t="s">
        <v>71</v>
      </c>
      <c r="D14585" t="s">
        <v>9835</v>
      </c>
      <c r="F14585" t="s">
        <v>3585</v>
      </c>
      <c r="J14585" s="17" t="s">
        <v>39340</v>
      </c>
      <c r="K14585" s="18">
        <f>6281398777088</f>
        <v>6281398777088</v>
      </c>
      <c r="N14585" s="17" t="s">
        <v>81</v>
      </c>
      <c r="U14585" s="17"/>
      <c r="V14585" s="18">
        <f>6281398777088</f>
        <v>6281398777088</v>
      </c>
      <c r="W14585" t="s">
        <v>39341</v>
      </c>
    </row>
    <row r="14586" ht="15" customHeight="1" spans="1:23" x14ac:dyDescent="0.25">
      <c r="A14586" s="17" t="s">
        <v>39342</v>
      </c>
      <c r="B14586" s="17" t="s">
        <v>70</v>
      </c>
      <c r="C14586" s="17" t="s">
        <v>71</v>
      </c>
      <c r="D14586" t="s">
        <v>39343</v>
      </c>
      <c r="F14586" t="s">
        <v>39344</v>
      </c>
      <c r="K14586" s="18">
        <f>62816827285</f>
        <v>62816827285</v>
      </c>
      <c r="N14586" s="17" t="s">
        <v>77</v>
      </c>
      <c r="U14586" s="17"/>
      <c r="V14586" s="18">
        <f>62816827285</f>
        <v>62816827285</v>
      </c>
      <c r="W14586" t="s">
        <v>39345</v>
      </c>
    </row>
    <row r="14587" ht="15" customHeight="1" spans="1:22" x14ac:dyDescent="0.25">
      <c r="A14587" s="17" t="s">
        <v>39346</v>
      </c>
      <c r="B14587" s="17" t="s">
        <v>70</v>
      </c>
      <c r="C14587" s="17" t="s">
        <v>71</v>
      </c>
      <c r="D14587" t="s">
        <v>39347</v>
      </c>
      <c r="F14587" t="s">
        <v>3605</v>
      </c>
      <c r="K14587" s="18">
        <f>6281213181969</f>
        <v>6281213181969</v>
      </c>
      <c r="N14587" s="17" t="s">
        <v>77</v>
      </c>
      <c r="V14587" s="18">
        <f>6281213181969</f>
        <v>6281213181969</v>
      </c>
    </row>
    <row r="14588" ht="15" customHeight="1" spans="1:28" x14ac:dyDescent="0.25">
      <c r="A14588" s="17" t="s">
        <v>39348</v>
      </c>
      <c r="B14588" s="17" t="s">
        <v>70</v>
      </c>
      <c r="C14588" s="17" t="s">
        <v>71</v>
      </c>
      <c r="D14588" t="s">
        <v>39349</v>
      </c>
      <c r="F14588" t="s">
        <v>24439</v>
      </c>
      <c r="J14588" t="s">
        <v>115</v>
      </c>
      <c r="K14588" s="18" t="s">
        <v>39350</v>
      </c>
      <c r="N14588" s="17" t="s">
        <v>81</v>
      </c>
      <c r="O14588" t="s">
        <v>117</v>
      </c>
      <c r="V14588" s="18" t="s">
        <v>39350</v>
      </c>
      <c r="Y14588" t="s">
        <v>190</v>
      </c>
      <c r="AA14588" t="s">
        <v>118</v>
      </c>
      <c r="AB14588" t="s">
        <v>119</v>
      </c>
    </row>
    <row r="14589" ht="15" customHeight="1" spans="1:28" x14ac:dyDescent="0.25">
      <c r="A14589" s="17" t="s">
        <v>39351</v>
      </c>
      <c r="B14589" s="17" t="s">
        <v>70</v>
      </c>
      <c r="C14589" s="17" t="s">
        <v>71</v>
      </c>
      <c r="D14589" t="s">
        <v>31889</v>
      </c>
      <c r="F14589" t="s">
        <v>20758</v>
      </c>
      <c r="J14589" t="s">
        <v>115</v>
      </c>
      <c r="K14589" s="18" t="s">
        <v>39352</v>
      </c>
      <c r="N14589" s="17" t="s">
        <v>81</v>
      </c>
      <c r="O14589" t="s">
        <v>199</v>
      </c>
      <c r="V14589" s="18" t="s">
        <v>39352</v>
      </c>
      <c r="Y14589" t="s">
        <v>115</v>
      </c>
      <c r="AA14589" t="s">
        <v>115</v>
      </c>
      <c r="AB14589" t="s">
        <v>119</v>
      </c>
    </row>
    <row r="14590" ht="15" customHeight="1" spans="1:22" x14ac:dyDescent="0.25">
      <c r="A14590" s="17" t="s">
        <v>39353</v>
      </c>
      <c r="B14590" s="17" t="s">
        <v>70</v>
      </c>
      <c r="C14590" s="17" t="s">
        <v>71</v>
      </c>
      <c r="D14590" t="s">
        <v>31889</v>
      </c>
      <c r="F14590" t="s">
        <v>39354</v>
      </c>
      <c r="K14590" s="18">
        <f>62816806695</f>
        <v>62816806695</v>
      </c>
      <c r="N14590" s="17" t="s">
        <v>81</v>
      </c>
      <c r="V14590" s="18">
        <f>62816806695</f>
        <v>62816806695</v>
      </c>
    </row>
    <row r="14591" ht="15" customHeight="1" spans="1:28" x14ac:dyDescent="0.25">
      <c r="A14591" s="17" t="s">
        <v>39355</v>
      </c>
      <c r="B14591" s="17" t="s">
        <v>70</v>
      </c>
      <c r="C14591" s="17" t="s">
        <v>71</v>
      </c>
      <c r="D14591" t="s">
        <v>31889</v>
      </c>
      <c r="F14591" t="s">
        <v>29736</v>
      </c>
      <c r="J14591" t="s">
        <v>115</v>
      </c>
      <c r="K14591" s="18" t="s">
        <v>39356</v>
      </c>
      <c r="N14591" s="17" t="s">
        <v>77</v>
      </c>
      <c r="O14591" t="s">
        <v>117</v>
      </c>
      <c r="V14591" s="18" t="s">
        <v>39356</v>
      </c>
      <c r="Y14591" t="s">
        <v>90</v>
      </c>
      <c r="AA14591" t="s">
        <v>118</v>
      </c>
      <c r="AB14591" t="s">
        <v>119</v>
      </c>
    </row>
    <row r="14592" ht="15" customHeight="1" spans="1:22" x14ac:dyDescent="0.25">
      <c r="A14592" s="17" t="s">
        <v>39357</v>
      </c>
      <c r="B14592" s="17" t="s">
        <v>70</v>
      </c>
      <c r="C14592" s="17" t="s">
        <v>71</v>
      </c>
      <c r="D14592" t="s">
        <v>31889</v>
      </c>
      <c r="F14592" t="s">
        <v>1138</v>
      </c>
      <c r="K14592" s="18">
        <f>628562693828</f>
        <v>628562693828</v>
      </c>
      <c r="N14592" s="17" t="s">
        <v>77</v>
      </c>
      <c r="V14592" s="18">
        <f>628562693828</f>
        <v>628562693828</v>
      </c>
    </row>
    <row r="14593" ht="15" customHeight="1" spans="1:28" x14ac:dyDescent="0.25">
      <c r="A14593" s="17" t="s">
        <v>39358</v>
      </c>
      <c r="B14593" s="17" t="s">
        <v>70</v>
      </c>
      <c r="C14593" s="17" t="s">
        <v>71</v>
      </c>
      <c r="D14593" t="s">
        <v>39359</v>
      </c>
      <c r="F14593" t="s">
        <v>39360</v>
      </c>
      <c r="J14593" t="s">
        <v>115</v>
      </c>
      <c r="K14593" s="18" t="s">
        <v>39361</v>
      </c>
      <c r="N14593" s="17" t="s">
        <v>74</v>
      </c>
      <c r="O14593" t="s">
        <v>117</v>
      </c>
      <c r="U14593" s="17"/>
      <c r="V14593" s="18" t="s">
        <v>39361</v>
      </c>
      <c r="W14593" t="s">
        <v>39362</v>
      </c>
      <c r="Y14593" t="s">
        <v>90</v>
      </c>
      <c r="AA14593" t="s">
        <v>118</v>
      </c>
      <c r="AB14593" t="s">
        <v>119</v>
      </c>
    </row>
    <row r="14594" ht="15" customHeight="1" spans="1:22" x14ac:dyDescent="0.25">
      <c r="A14594" s="17" t="s">
        <v>39363</v>
      </c>
      <c r="B14594" s="17" t="s">
        <v>70</v>
      </c>
      <c r="C14594" s="17" t="s">
        <v>71</v>
      </c>
      <c r="D14594" t="s">
        <v>8645</v>
      </c>
      <c r="F14594" t="s">
        <v>7124</v>
      </c>
      <c r="K14594" s="18">
        <f>62811148725</f>
        <v>62811148725</v>
      </c>
      <c r="N14594" s="17" t="s">
        <v>77</v>
      </c>
      <c r="V14594" s="18">
        <f>62811148725</f>
        <v>62811148725</v>
      </c>
    </row>
    <row r="14595" ht="15" customHeight="1" spans="1:23" x14ac:dyDescent="0.25">
      <c r="A14595" s="17" t="s">
        <v>39364</v>
      </c>
      <c r="B14595" s="17" t="s">
        <v>70</v>
      </c>
      <c r="C14595" s="17" t="s">
        <v>71</v>
      </c>
      <c r="D14595" t="s">
        <v>39365</v>
      </c>
      <c r="F14595" t="s">
        <v>31297</v>
      </c>
      <c r="J14595" s="17" t="s">
        <v>39366</v>
      </c>
      <c r="K14595" s="18">
        <f>14153365277</f>
        <v>14153365277</v>
      </c>
      <c r="N14595" s="17" t="s">
        <v>81</v>
      </c>
      <c r="U14595" s="17"/>
      <c r="V14595" s="18">
        <f>14153365277</f>
        <v>14153365277</v>
      </c>
      <c r="W14595" t="s">
        <v>1349</v>
      </c>
    </row>
    <row r="14596" ht="15" customHeight="1" spans="1:28" x14ac:dyDescent="0.25">
      <c r="A14596" s="17" t="s">
        <v>39367</v>
      </c>
      <c r="B14596" s="17" t="s">
        <v>70</v>
      </c>
      <c r="C14596" s="17" t="s">
        <v>71</v>
      </c>
      <c r="D14596" t="s">
        <v>39368</v>
      </c>
      <c r="F14596" t="s">
        <v>39369</v>
      </c>
      <c r="J14596" t="s">
        <v>115</v>
      </c>
      <c r="K14596" s="18" t="s">
        <v>39370</v>
      </c>
      <c r="N14596" s="17" t="s">
        <v>81</v>
      </c>
      <c r="O14596" t="s">
        <v>261</v>
      </c>
      <c r="U14596" s="17"/>
      <c r="V14596" s="18" t="s">
        <v>39370</v>
      </c>
      <c r="W14596" t="s">
        <v>39371</v>
      </c>
      <c r="Y14596" t="s">
        <v>190</v>
      </c>
      <c r="AA14596" t="s">
        <v>118</v>
      </c>
      <c r="AB14596" t="s">
        <v>119</v>
      </c>
    </row>
    <row r="14597" ht="15" customHeight="1" spans="1:23" x14ac:dyDescent="0.25">
      <c r="A14597" s="17" t="s">
        <v>39372</v>
      </c>
      <c r="B14597" s="17" t="s">
        <v>70</v>
      </c>
      <c r="C14597" s="17" t="s">
        <v>71</v>
      </c>
      <c r="D14597" t="s">
        <v>39373</v>
      </c>
      <c r="F14597" t="s">
        <v>209</v>
      </c>
      <c r="K14597" s="18">
        <f>12066984737</f>
        <v>12066984737</v>
      </c>
      <c r="N14597" s="17" t="s">
        <v>77</v>
      </c>
      <c r="U14597" s="17"/>
      <c r="V14597" s="18">
        <f>12066984737</f>
        <v>12066984737</v>
      </c>
      <c r="W14597" t="s">
        <v>119</v>
      </c>
    </row>
    <row r="14598" ht="15" customHeight="1" spans="1:28" x14ac:dyDescent="0.25">
      <c r="A14598" s="17" t="s">
        <v>39374</v>
      </c>
      <c r="B14598" s="17" t="s">
        <v>70</v>
      </c>
      <c r="C14598" s="17" t="s">
        <v>71</v>
      </c>
      <c r="D14598" t="s">
        <v>39375</v>
      </c>
      <c r="F14598" t="s">
        <v>39376</v>
      </c>
      <c r="J14598" s="17" t="s">
        <v>39377</v>
      </c>
      <c r="K14598" s="18" t="s">
        <v>39378</v>
      </c>
      <c r="N14598" s="17" t="s">
        <v>74</v>
      </c>
      <c r="O14598" t="s">
        <v>1188</v>
      </c>
      <c r="U14598" s="17"/>
      <c r="V14598" s="18" t="s">
        <v>39378</v>
      </c>
      <c r="W14598" t="s">
        <v>39379</v>
      </c>
      <c r="Y14598" t="s">
        <v>90</v>
      </c>
      <c r="AA14598" t="s">
        <v>118</v>
      </c>
      <c r="AB14598" t="s">
        <v>119</v>
      </c>
    </row>
    <row r="14599" ht="15" customHeight="1" spans="1:25" x14ac:dyDescent="0.25">
      <c r="A14599" s="17" t="s">
        <v>39380</v>
      </c>
      <c r="B14599" s="17" t="s">
        <v>70</v>
      </c>
      <c r="C14599" s="17" t="s">
        <v>71</v>
      </c>
      <c r="D14599" t="s">
        <v>39381</v>
      </c>
      <c r="F14599" t="s">
        <v>212</v>
      </c>
      <c r="K14599" s="18" t="s">
        <v>39382</v>
      </c>
      <c r="N14599" s="17" t="s">
        <v>77</v>
      </c>
      <c r="U14599" s="17"/>
      <c r="V14599" s="18" t="s">
        <v>39382</v>
      </c>
      <c r="W14599" t="s">
        <v>39383</v>
      </c>
      <c r="Y14599" s="17" t="s">
        <v>39384</v>
      </c>
    </row>
    <row r="14600" ht="15" customHeight="1" spans="1:22" x14ac:dyDescent="0.25">
      <c r="A14600" s="17" t="s">
        <v>39385</v>
      </c>
      <c r="B14600" s="17" t="s">
        <v>70</v>
      </c>
      <c r="C14600" s="17" t="s">
        <v>71</v>
      </c>
      <c r="D14600" t="s">
        <v>39381</v>
      </c>
      <c r="F14600" t="s">
        <v>212</v>
      </c>
      <c r="K14600" s="18">
        <f>628161612916</f>
        <v>628161612916</v>
      </c>
      <c r="N14600" s="17" t="s">
        <v>81</v>
      </c>
      <c r="V14600" s="18">
        <f>628161612916</f>
        <v>628161612916</v>
      </c>
    </row>
    <row r="14601" ht="15" customHeight="1" spans="1:28" x14ac:dyDescent="0.25">
      <c r="A14601" s="17" t="s">
        <v>39386</v>
      </c>
      <c r="B14601" s="17" t="s">
        <v>70</v>
      </c>
      <c r="C14601" s="17" t="s">
        <v>71</v>
      </c>
      <c r="D14601" t="s">
        <v>39381</v>
      </c>
      <c r="F14601" t="s">
        <v>39387</v>
      </c>
      <c r="J14601" t="s">
        <v>115</v>
      </c>
      <c r="K14601" s="18" t="s">
        <v>39388</v>
      </c>
      <c r="N14601" s="17" t="s">
        <v>77</v>
      </c>
      <c r="O14601" t="s">
        <v>489</v>
      </c>
      <c r="U14601" s="17"/>
      <c r="V14601" s="18" t="s">
        <v>39388</v>
      </c>
      <c r="W14601" t="s">
        <v>39389</v>
      </c>
      <c r="Y14601" s="17" t="s">
        <v>217</v>
      </c>
      <c r="AA14601" s="17" t="s">
        <v>218</v>
      </c>
      <c r="AB14601" t="s">
        <v>119</v>
      </c>
    </row>
    <row r="14602" ht="15" customHeight="1" spans="1:27" x14ac:dyDescent="0.25">
      <c r="A14602" s="17" t="s">
        <v>39390</v>
      </c>
      <c r="B14602" s="17" t="s">
        <v>70</v>
      </c>
      <c r="C14602" s="17" t="s">
        <v>71</v>
      </c>
      <c r="D14602" t="s">
        <v>39381</v>
      </c>
      <c r="F14602" t="s">
        <v>16068</v>
      </c>
      <c r="K14602" s="18">
        <f>628159126573</f>
        <v>628159126573</v>
      </c>
      <c r="N14602" s="17" t="s">
        <v>77</v>
      </c>
      <c r="U14602" s="17"/>
      <c r="V14602" s="18">
        <f>628159126573</f>
        <v>628159126573</v>
      </c>
      <c r="W14602" t="s">
        <v>39391</v>
      </c>
      <c r="Y14602" s="17" t="s">
        <v>90</v>
      </c>
      <c r="AA14602" s="17" t="s">
        <v>39392</v>
      </c>
    </row>
    <row r="14603" ht="15" customHeight="1" spans="1:22" x14ac:dyDescent="0.25">
      <c r="A14603" s="17" t="s">
        <v>39393</v>
      </c>
      <c r="B14603" s="17" t="s">
        <v>70</v>
      </c>
      <c r="C14603" s="17" t="s">
        <v>71</v>
      </c>
      <c r="D14603" t="s">
        <v>39394</v>
      </c>
      <c r="F14603" t="s">
        <v>39394</v>
      </c>
      <c r="K14603" s="18">
        <f>62811698821</f>
        <v>62811698821</v>
      </c>
      <c r="N14603" s="17" t="s">
        <v>77</v>
      </c>
      <c r="V14603" s="18">
        <f>62811698821</f>
        <v>62811698821</v>
      </c>
    </row>
    <row r="14604" ht="15" customHeight="1" spans="1:27" x14ac:dyDescent="0.25">
      <c r="A14604" s="17" t="s">
        <v>39395</v>
      </c>
      <c r="B14604" s="17" t="s">
        <v>70</v>
      </c>
      <c r="C14604" s="17" t="s">
        <v>71</v>
      </c>
      <c r="D14604" t="s">
        <v>39396</v>
      </c>
      <c r="F14604" t="s">
        <v>39397</v>
      </c>
      <c r="J14604" s="17" t="s">
        <v>39398</v>
      </c>
      <c r="K14604" s="18">
        <f>6281908022280</f>
        <v>6281908022280</v>
      </c>
      <c r="N14604" s="17" t="s">
        <v>77</v>
      </c>
      <c r="U14604" s="17"/>
      <c r="V14604" s="18">
        <f>6281908022280</f>
        <v>6281908022280</v>
      </c>
      <c r="W14604" t="s">
        <v>39399</v>
      </c>
      <c r="Y14604" s="17" t="s">
        <v>90</v>
      </c>
      <c r="AA14604" s="17">
        <v>14250</v>
      </c>
    </row>
    <row r="14605" ht="15" customHeight="1" spans="1:22" x14ac:dyDescent="0.25">
      <c r="A14605" s="17" t="s">
        <v>39400</v>
      </c>
      <c r="B14605" s="17" t="s">
        <v>70</v>
      </c>
      <c r="C14605" s="17" t="s">
        <v>71</v>
      </c>
      <c r="D14605" t="s">
        <v>8275</v>
      </c>
      <c r="F14605" t="s">
        <v>8275</v>
      </c>
      <c r="K14605" s="18">
        <f>6281351625634</f>
        <v>6281351625634</v>
      </c>
      <c r="N14605" s="17" t="s">
        <v>77</v>
      </c>
      <c r="V14605" s="18">
        <f>6281351625634</f>
        <v>6281351625634</v>
      </c>
    </row>
    <row r="14606" ht="15" customHeight="1" spans="1:27" x14ac:dyDescent="0.25">
      <c r="A14606" s="17" t="s">
        <v>39401</v>
      </c>
      <c r="B14606" s="17" t="s">
        <v>70</v>
      </c>
      <c r="C14606" s="17" t="s">
        <v>71</v>
      </c>
      <c r="D14606" t="s">
        <v>8275</v>
      </c>
      <c r="F14606" t="s">
        <v>4259</v>
      </c>
      <c r="J14606" s="17" t="s">
        <v>39402</v>
      </c>
      <c r="K14606" s="18">
        <f>62818168417</f>
        <v>62818168417</v>
      </c>
      <c r="N14606" s="17" t="s">
        <v>74</v>
      </c>
      <c r="U14606" s="17"/>
      <c r="V14606" s="18">
        <f>62818168417</f>
        <v>62818168417</v>
      </c>
      <c r="W14606" t="s">
        <v>39403</v>
      </c>
      <c r="Y14606" s="17" t="s">
        <v>217</v>
      </c>
      <c r="AA14606" s="17">
        <v>15229</v>
      </c>
    </row>
    <row r="14607" ht="15" customHeight="1" spans="1:22" x14ac:dyDescent="0.25">
      <c r="A14607" s="17" t="s">
        <v>39404</v>
      </c>
      <c r="B14607" s="17" t="s">
        <v>70</v>
      </c>
      <c r="C14607" s="17" t="s">
        <v>71</v>
      </c>
      <c r="D14607" t="s">
        <v>39405</v>
      </c>
      <c r="F14607" t="s">
        <v>39405</v>
      </c>
      <c r="K14607" s="18">
        <f>622123001707</f>
        <v>622123001707</v>
      </c>
      <c r="N14607" s="17" t="s">
        <v>77</v>
      </c>
      <c r="V14607" s="18">
        <f>622123001707</f>
        <v>622123001707</v>
      </c>
    </row>
    <row r="14608" ht="15" customHeight="1" spans="1:25" x14ac:dyDescent="0.25">
      <c r="A14608" s="17" t="s">
        <v>39406</v>
      </c>
      <c r="B14608" s="17" t="s">
        <v>70</v>
      </c>
      <c r="C14608" s="17" t="s">
        <v>71</v>
      </c>
      <c r="D14608" t="s">
        <v>39405</v>
      </c>
      <c r="F14608" t="s">
        <v>39407</v>
      </c>
      <c r="J14608" s="17" t="s">
        <v>39408</v>
      </c>
      <c r="K14608" s="18">
        <f>6287883391899</f>
        <v>6287883391899</v>
      </c>
      <c r="N14608" s="17" t="s">
        <v>77</v>
      </c>
      <c r="U14608" s="17"/>
      <c r="V14608" s="18">
        <f>6287883391899</f>
        <v>6287883391899</v>
      </c>
      <c r="W14608" t="s">
        <v>39409</v>
      </c>
      <c r="Y14608" s="17" t="s">
        <v>96</v>
      </c>
    </row>
    <row r="14609" ht="15" customHeight="1" spans="1:28" x14ac:dyDescent="0.25">
      <c r="A14609" s="17" t="s">
        <v>39410</v>
      </c>
      <c r="B14609" s="17" t="s">
        <v>70</v>
      </c>
      <c r="C14609" s="17" t="s">
        <v>71</v>
      </c>
      <c r="D14609" t="s">
        <v>39405</v>
      </c>
      <c r="F14609" t="s">
        <v>39411</v>
      </c>
      <c r="J14609" s="17" t="s">
        <v>39412</v>
      </c>
      <c r="K14609" s="18" t="s">
        <v>39413</v>
      </c>
      <c r="N14609" s="17" t="s">
        <v>77</v>
      </c>
      <c r="O14609" t="s">
        <v>199</v>
      </c>
      <c r="U14609" s="17"/>
      <c r="V14609" s="18" t="s">
        <v>39413</v>
      </c>
      <c r="W14609" t="s">
        <v>39414</v>
      </c>
      <c r="Y14609" s="17" t="s">
        <v>190</v>
      </c>
      <c r="AA14609" t="s">
        <v>118</v>
      </c>
      <c r="AB14609" t="s">
        <v>119</v>
      </c>
    </row>
    <row r="14610" ht="15" customHeight="1" spans="1:22" x14ac:dyDescent="0.25">
      <c r="A14610" s="17" t="s">
        <v>39415</v>
      </c>
      <c r="B14610" s="17" t="s">
        <v>70</v>
      </c>
      <c r="C14610" s="17" t="s">
        <v>71</v>
      </c>
      <c r="D14610" t="s">
        <v>39416</v>
      </c>
      <c r="F14610" t="s">
        <v>39416</v>
      </c>
      <c r="K14610" s="18">
        <f>6281320769999</f>
        <v>6281320769999</v>
      </c>
      <c r="N14610" s="17" t="s">
        <v>74</v>
      </c>
      <c r="V14610" s="18">
        <f>6281320769999</f>
        <v>6281320769999</v>
      </c>
    </row>
    <row r="14611" ht="15" customHeight="1" spans="1:22" x14ac:dyDescent="0.25">
      <c r="A14611" s="17" t="s">
        <v>39417</v>
      </c>
      <c r="B14611" s="17" t="s">
        <v>70</v>
      </c>
      <c r="C14611" s="17" t="s">
        <v>71</v>
      </c>
      <c r="D14611" t="s">
        <v>39418</v>
      </c>
      <c r="F14611" t="s">
        <v>14507</v>
      </c>
      <c r="K14611" s="18">
        <f>628129050098</f>
        <v>628129050098</v>
      </c>
      <c r="N14611" s="17" t="s">
        <v>74</v>
      </c>
      <c r="V14611" s="18">
        <f>628129050098</f>
        <v>628129050098</v>
      </c>
    </row>
    <row r="14612" ht="15" customHeight="1" spans="1:23" x14ac:dyDescent="0.25">
      <c r="A14612" s="17" t="s">
        <v>39419</v>
      </c>
      <c r="B14612" s="17" t="s">
        <v>70</v>
      </c>
      <c r="C14612" s="17" t="s">
        <v>71</v>
      </c>
      <c r="D14612" t="s">
        <v>39418</v>
      </c>
      <c r="F14612" t="s">
        <v>5819</v>
      </c>
      <c r="K14612" s="18">
        <f>62811268912</f>
        <v>62811268912</v>
      </c>
      <c r="N14612" s="17" t="s">
        <v>77</v>
      </c>
      <c r="U14612" s="17"/>
      <c r="V14612" s="18">
        <f>62811268912</f>
        <v>62811268912</v>
      </c>
      <c r="W14612" t="s">
        <v>39420</v>
      </c>
    </row>
    <row r="14613" ht="15" customHeight="1" spans="1:22" x14ac:dyDescent="0.25">
      <c r="A14613" s="17" t="s">
        <v>39421</v>
      </c>
      <c r="B14613" s="17" t="s">
        <v>70</v>
      </c>
      <c r="C14613" s="17" t="s">
        <v>71</v>
      </c>
      <c r="D14613" t="s">
        <v>39422</v>
      </c>
      <c r="F14613" t="s">
        <v>672</v>
      </c>
      <c r="K14613" s="18">
        <f>62811170922</f>
        <v>62811170922</v>
      </c>
      <c r="N14613" s="17" t="s">
        <v>77</v>
      </c>
      <c r="V14613" s="18">
        <f>62811170922</f>
        <v>62811170922</v>
      </c>
    </row>
    <row r="14614" ht="15" customHeight="1" spans="1:25" x14ac:dyDescent="0.25">
      <c r="A14614" s="17" t="s">
        <v>39423</v>
      </c>
      <c r="B14614" s="17" t="s">
        <v>70</v>
      </c>
      <c r="C14614" s="17" t="s">
        <v>71</v>
      </c>
      <c r="D14614" t="s">
        <v>39424</v>
      </c>
      <c r="F14614" t="s">
        <v>39424</v>
      </c>
      <c r="K14614" s="18">
        <f>628129171338</f>
        <v>628129171338</v>
      </c>
      <c r="N14614" s="17" t="s">
        <v>77</v>
      </c>
      <c r="U14614" s="17"/>
      <c r="V14614" s="18">
        <f>628129171338</f>
        <v>628129171338</v>
      </c>
      <c r="W14614" t="s">
        <v>39425</v>
      </c>
      <c r="Y14614" s="17" t="s">
        <v>567</v>
      </c>
    </row>
    <row r="14615" ht="15" customHeight="1" spans="1:22" x14ac:dyDescent="0.25">
      <c r="A14615" s="17" t="s">
        <v>39426</v>
      </c>
      <c r="B14615" s="17" t="s">
        <v>70</v>
      </c>
      <c r="C14615" s="17" t="s">
        <v>71</v>
      </c>
      <c r="D14615" t="s">
        <v>39424</v>
      </c>
      <c r="F14615" t="s">
        <v>39427</v>
      </c>
      <c r="K14615" s="18">
        <f>62811190667</f>
        <v>62811190667</v>
      </c>
      <c r="N14615" s="17" t="s">
        <v>77</v>
      </c>
      <c r="V14615" s="18">
        <f>62811190667</f>
        <v>62811190667</v>
      </c>
    </row>
    <row r="14616" ht="15" customHeight="1" spans="1:28" x14ac:dyDescent="0.25">
      <c r="A14616" s="17" t="s">
        <v>39428</v>
      </c>
      <c r="B14616" s="17" t="s">
        <v>70</v>
      </c>
      <c r="C14616" s="17" t="s">
        <v>71</v>
      </c>
      <c r="D14616" t="s">
        <v>39424</v>
      </c>
      <c r="F14616" t="s">
        <v>39429</v>
      </c>
      <c r="J14616" t="s">
        <v>115</v>
      </c>
      <c r="K14616" s="18" t="s">
        <v>39430</v>
      </c>
      <c r="N14616" s="17" t="s">
        <v>74</v>
      </c>
      <c r="O14616" t="s">
        <v>117</v>
      </c>
      <c r="V14616" s="18" t="s">
        <v>39430</v>
      </c>
      <c r="Y14616" t="s">
        <v>90</v>
      </c>
      <c r="AA14616" t="s">
        <v>118</v>
      </c>
      <c r="AB14616" t="s">
        <v>119</v>
      </c>
    </row>
    <row r="14617" ht="15" customHeight="1" spans="1:28" x14ac:dyDescent="0.25">
      <c r="A14617" s="17" t="s">
        <v>39431</v>
      </c>
      <c r="B14617" s="17" t="s">
        <v>70</v>
      </c>
      <c r="C14617" s="17" t="s">
        <v>71</v>
      </c>
      <c r="D14617" t="s">
        <v>39424</v>
      </c>
      <c r="F14617" t="s">
        <v>31235</v>
      </c>
      <c r="J14617" t="s">
        <v>115</v>
      </c>
      <c r="K14617" s="18" t="s">
        <v>39432</v>
      </c>
      <c r="N14617" s="17" t="s">
        <v>77</v>
      </c>
      <c r="O14617" t="s">
        <v>117</v>
      </c>
      <c r="V14617" s="18" t="s">
        <v>39432</v>
      </c>
      <c r="Y14617" t="s">
        <v>115</v>
      </c>
      <c r="AA14617" t="s">
        <v>115</v>
      </c>
      <c r="AB14617" t="s">
        <v>119</v>
      </c>
    </row>
    <row r="14618" ht="15" customHeight="1" spans="1:23" x14ac:dyDescent="0.25">
      <c r="A14618" s="17" t="s">
        <v>39433</v>
      </c>
      <c r="B14618" s="17" t="s">
        <v>70</v>
      </c>
      <c r="C14618" s="17" t="s">
        <v>71</v>
      </c>
      <c r="D14618" t="s">
        <v>39424</v>
      </c>
      <c r="F14618" t="s">
        <v>39434</v>
      </c>
      <c r="K14618" s="18">
        <f>628129997000</f>
        <v>628129997000</v>
      </c>
      <c r="N14618" s="17" t="s">
        <v>77</v>
      </c>
      <c r="U14618" s="17"/>
      <c r="V14618" s="18">
        <f>628129997000</f>
        <v>628129997000</v>
      </c>
      <c r="W14618" t="s">
        <v>39435</v>
      </c>
    </row>
    <row r="14619" ht="15" customHeight="1" spans="1:28" x14ac:dyDescent="0.25">
      <c r="A14619" s="17" t="s">
        <v>39436</v>
      </c>
      <c r="B14619" s="17" t="s">
        <v>70</v>
      </c>
      <c r="C14619" s="17" t="s">
        <v>71</v>
      </c>
      <c r="D14619" t="s">
        <v>39437</v>
      </c>
      <c r="F14619" t="s">
        <v>308</v>
      </c>
      <c r="J14619" s="17" t="s">
        <v>39438</v>
      </c>
      <c r="K14619" s="18" t="s">
        <v>39439</v>
      </c>
      <c r="N14619" s="17" t="s">
        <v>77</v>
      </c>
      <c r="O14619" t="s">
        <v>145</v>
      </c>
      <c r="U14619" s="17"/>
      <c r="V14619" s="18" t="s">
        <v>39439</v>
      </c>
      <c r="W14619" t="s">
        <v>39440</v>
      </c>
      <c r="Y14619" t="s">
        <v>190</v>
      </c>
      <c r="AA14619" t="s">
        <v>118</v>
      </c>
      <c r="AB14619" t="s">
        <v>119</v>
      </c>
    </row>
    <row r="14620" ht="15" customHeight="1" spans="1:28" x14ac:dyDescent="0.25">
      <c r="A14620" s="17" t="s">
        <v>39441</v>
      </c>
      <c r="B14620" s="17" t="s">
        <v>70</v>
      </c>
      <c r="C14620" s="17" t="s">
        <v>71</v>
      </c>
      <c r="D14620" t="s">
        <v>39424</v>
      </c>
      <c r="F14620" t="s">
        <v>39442</v>
      </c>
      <c r="J14620" t="s">
        <v>115</v>
      </c>
      <c r="K14620" s="18" t="s">
        <v>39443</v>
      </c>
      <c r="N14620" s="17" t="s">
        <v>77</v>
      </c>
      <c r="O14620" t="s">
        <v>117</v>
      </c>
      <c r="U14620" s="17"/>
      <c r="V14620" s="18" t="s">
        <v>39443</v>
      </c>
      <c r="W14620" t="s">
        <v>39444</v>
      </c>
      <c r="Y14620" s="17" t="s">
        <v>217</v>
      </c>
      <c r="AA14620" t="s">
        <v>218</v>
      </c>
      <c r="AB14620" t="s">
        <v>119</v>
      </c>
    </row>
    <row r="14621" ht="15" customHeight="1" spans="1:28" x14ac:dyDescent="0.25">
      <c r="A14621" s="17" t="s">
        <v>39445</v>
      </c>
      <c r="B14621" s="17" t="s">
        <v>70</v>
      </c>
      <c r="C14621" s="17" t="s">
        <v>71</v>
      </c>
      <c r="D14621" t="s">
        <v>39446</v>
      </c>
      <c r="F14621" t="s">
        <v>39447</v>
      </c>
      <c r="J14621" t="s">
        <v>115</v>
      </c>
      <c r="K14621" s="18" t="s">
        <v>39448</v>
      </c>
      <c r="N14621" s="17" t="s">
        <v>77</v>
      </c>
      <c r="O14621" t="s">
        <v>261</v>
      </c>
      <c r="U14621" s="17"/>
      <c r="V14621" s="18" t="s">
        <v>39448</v>
      </c>
      <c r="W14621" t="s">
        <v>39449</v>
      </c>
      <c r="Y14621" s="17" t="s">
        <v>891</v>
      </c>
      <c r="AA14621" s="17" t="s">
        <v>623</v>
      </c>
      <c r="AB14621" t="s">
        <v>119</v>
      </c>
    </row>
    <row r="14622" ht="15" customHeight="1" spans="1:22" x14ac:dyDescent="0.25">
      <c r="A14622" s="17" t="s">
        <v>39450</v>
      </c>
      <c r="B14622" s="17" t="s">
        <v>70</v>
      </c>
      <c r="C14622" s="17" t="s">
        <v>71</v>
      </c>
      <c r="D14622" t="s">
        <v>39451</v>
      </c>
      <c r="F14622" t="s">
        <v>4858</v>
      </c>
      <c r="K14622" s="18">
        <f>62218466590</f>
        <v>62218466590</v>
      </c>
      <c r="N14622" s="17" t="s">
        <v>77</v>
      </c>
      <c r="V14622" s="18">
        <f>62218466590</f>
        <v>62218466590</v>
      </c>
    </row>
    <row r="14623" ht="15" customHeight="1" spans="1:27" x14ac:dyDescent="0.25">
      <c r="A14623" s="17" t="s">
        <v>39452</v>
      </c>
      <c r="B14623" s="17" t="s">
        <v>70</v>
      </c>
      <c r="C14623" s="17" t="s">
        <v>71</v>
      </c>
      <c r="D14623" t="s">
        <v>39453</v>
      </c>
      <c r="F14623" t="s">
        <v>39454</v>
      </c>
      <c r="K14623" s="18">
        <f>6282119750154</f>
        <v>6282119750154</v>
      </c>
      <c r="N14623" s="17" t="s">
        <v>77</v>
      </c>
      <c r="U14623" s="17"/>
      <c r="V14623" s="18">
        <f>6282119750154</f>
        <v>6282119750154</v>
      </c>
      <c r="W14623" t="s">
        <v>5003</v>
      </c>
      <c r="AA14623" s="17">
        <v>14240</v>
      </c>
    </row>
    <row r="14624" ht="15" customHeight="1" spans="1:28" x14ac:dyDescent="0.25">
      <c r="A14624" s="17" t="s">
        <v>39455</v>
      </c>
      <c r="B14624" s="17" t="s">
        <v>70</v>
      </c>
      <c r="C14624" s="17" t="s">
        <v>71</v>
      </c>
      <c r="D14624" t="s">
        <v>39456</v>
      </c>
      <c r="F14624" t="s">
        <v>39033</v>
      </c>
      <c r="J14624" t="s">
        <v>115</v>
      </c>
      <c r="K14624" s="18" t="s">
        <v>39457</v>
      </c>
      <c r="N14624" s="17" t="s">
        <v>81</v>
      </c>
      <c r="O14624" t="s">
        <v>117</v>
      </c>
      <c r="U14624" s="17"/>
      <c r="V14624" s="18" t="s">
        <v>39457</v>
      </c>
      <c r="W14624" t="s">
        <v>39458</v>
      </c>
      <c r="Y14624" t="s">
        <v>90</v>
      </c>
      <c r="AA14624" s="17" t="s">
        <v>118</v>
      </c>
      <c r="AB14624" t="s">
        <v>119</v>
      </c>
    </row>
    <row r="14625" ht="15" customHeight="1" spans="1:22" x14ac:dyDescent="0.25">
      <c r="A14625" s="17" t="s">
        <v>39459</v>
      </c>
      <c r="B14625" s="17" t="s">
        <v>70</v>
      </c>
      <c r="C14625" s="17" t="s">
        <v>71</v>
      </c>
      <c r="D14625" t="s">
        <v>39460</v>
      </c>
      <c r="F14625" t="s">
        <v>19705</v>
      </c>
      <c r="K14625" s="18">
        <f>628128292900</f>
        <v>628128292900</v>
      </c>
      <c r="N14625" s="17" t="s">
        <v>81</v>
      </c>
      <c r="V14625" s="18">
        <f>628128292900</f>
        <v>628128292900</v>
      </c>
    </row>
    <row r="14626" ht="15" customHeight="1" spans="1:22" x14ac:dyDescent="0.25">
      <c r="A14626" s="17" t="s">
        <v>39461</v>
      </c>
      <c r="B14626" s="17" t="s">
        <v>70</v>
      </c>
      <c r="C14626" s="17" t="s">
        <v>71</v>
      </c>
      <c r="D14626" t="s">
        <v>3282</v>
      </c>
      <c r="F14626" t="s">
        <v>3282</v>
      </c>
      <c r="K14626" s="18">
        <f>628170004972</f>
        <v>628170004972</v>
      </c>
      <c r="N14626" s="17" t="s">
        <v>74</v>
      </c>
      <c r="V14626" s="18">
        <f>628170004972</f>
        <v>628170004972</v>
      </c>
    </row>
    <row r="14627" ht="15" customHeight="1" spans="1:22" x14ac:dyDescent="0.25">
      <c r="A14627" s="17" t="s">
        <v>39462</v>
      </c>
      <c r="B14627" s="17" t="s">
        <v>70</v>
      </c>
      <c r="C14627" s="17" t="s">
        <v>71</v>
      </c>
      <c r="D14627" t="s">
        <v>3282</v>
      </c>
      <c r="F14627" t="s">
        <v>39463</v>
      </c>
      <c r="K14627" s="18">
        <f>628128087000</f>
        <v>628128087000</v>
      </c>
      <c r="N14627" s="17" t="s">
        <v>77</v>
      </c>
      <c r="V14627" s="18">
        <f>628128087000</f>
        <v>628128087000</v>
      </c>
    </row>
    <row r="14628" ht="15" customHeight="1" spans="1:22" x14ac:dyDescent="0.25">
      <c r="A14628" s="17" t="s">
        <v>39464</v>
      </c>
      <c r="B14628" s="17" t="s">
        <v>70</v>
      </c>
      <c r="C14628" s="17" t="s">
        <v>71</v>
      </c>
      <c r="D14628" t="s">
        <v>4799</v>
      </c>
      <c r="F14628" t="s">
        <v>39465</v>
      </c>
      <c r="K14628" s="18">
        <v>618821284</v>
      </c>
      <c r="N14628" s="17" t="s">
        <v>77</v>
      </c>
      <c r="V14628" s="18">
        <v>618821284</v>
      </c>
    </row>
    <row r="14629" ht="15" customHeight="1" spans="1:28" x14ac:dyDescent="0.25">
      <c r="A14629" s="17" t="s">
        <v>39466</v>
      </c>
      <c r="B14629" s="17" t="s">
        <v>70</v>
      </c>
      <c r="C14629" s="17" t="s">
        <v>71</v>
      </c>
      <c r="D14629" t="s">
        <v>39467</v>
      </c>
      <c r="F14629" t="s">
        <v>150</v>
      </c>
      <c r="J14629" t="s">
        <v>115</v>
      </c>
      <c r="K14629" s="18" t="s">
        <v>39468</v>
      </c>
      <c r="N14629" s="17" t="s">
        <v>77</v>
      </c>
      <c r="O14629" t="s">
        <v>199</v>
      </c>
      <c r="U14629" s="17"/>
      <c r="V14629" s="18" t="s">
        <v>39468</v>
      </c>
      <c r="W14629" t="s">
        <v>39469</v>
      </c>
      <c r="Y14629" t="s">
        <v>190</v>
      </c>
      <c r="AA14629" t="s">
        <v>118</v>
      </c>
      <c r="AB14629" t="s">
        <v>119</v>
      </c>
    </row>
    <row r="14630" ht="15" customHeight="1" spans="1:25" x14ac:dyDescent="0.25">
      <c r="A14630" s="17" t="s">
        <v>39470</v>
      </c>
      <c r="B14630" s="17" t="s">
        <v>70</v>
      </c>
      <c r="C14630" s="17" t="s">
        <v>71</v>
      </c>
      <c r="D14630" t="s">
        <v>39471</v>
      </c>
      <c r="F14630" t="s">
        <v>1064</v>
      </c>
      <c r="K14630" s="18">
        <v>42800888</v>
      </c>
      <c r="N14630" s="17" t="s">
        <v>77</v>
      </c>
      <c r="U14630" s="17"/>
      <c r="V14630" s="18">
        <v>42800888</v>
      </c>
      <c r="W14630" t="s">
        <v>39472</v>
      </c>
      <c r="Y14630" s="17" t="s">
        <v>378</v>
      </c>
    </row>
    <row r="14631" ht="15" customHeight="1" spans="1:23" x14ac:dyDescent="0.25">
      <c r="A14631" s="17" t="s">
        <v>39473</v>
      </c>
      <c r="B14631" s="17" t="s">
        <v>70</v>
      </c>
      <c r="C14631" s="17" t="s">
        <v>71</v>
      </c>
      <c r="D14631" t="s">
        <v>39474</v>
      </c>
      <c r="F14631" t="s">
        <v>3086</v>
      </c>
      <c r="K14631" s="18">
        <f>628128892828</f>
        <v>628128892828</v>
      </c>
      <c r="N14631" s="17" t="s">
        <v>77</v>
      </c>
      <c r="U14631" s="17"/>
      <c r="V14631" s="18">
        <f>628128892828</f>
        <v>628128892828</v>
      </c>
      <c r="W14631" t="s">
        <v>39475</v>
      </c>
    </row>
    <row r="14632" ht="15" customHeight="1" spans="1:22" x14ac:dyDescent="0.25">
      <c r="A14632" s="17" t="s">
        <v>39476</v>
      </c>
      <c r="B14632" s="17" t="s">
        <v>70</v>
      </c>
      <c r="C14632" s="17" t="s">
        <v>71</v>
      </c>
      <c r="D14632" t="s">
        <v>2905</v>
      </c>
      <c r="F14632" t="s">
        <v>20937</v>
      </c>
      <c r="K14632" s="18">
        <f>62811413521</f>
        <v>62811413521</v>
      </c>
      <c r="N14632" s="17" t="s">
        <v>81</v>
      </c>
      <c r="V14632" s="18">
        <f>62811413521</f>
        <v>62811413521</v>
      </c>
    </row>
    <row r="14633" ht="15" customHeight="1" spans="1:22" x14ac:dyDescent="0.25">
      <c r="A14633" s="17" t="s">
        <v>39477</v>
      </c>
      <c r="B14633" s="17" t="s">
        <v>70</v>
      </c>
      <c r="C14633" s="17" t="s">
        <v>71</v>
      </c>
      <c r="D14633" t="s">
        <v>2905</v>
      </c>
      <c r="F14633" t="s">
        <v>39478</v>
      </c>
      <c r="K14633" s="18">
        <f>6281288565000</f>
        <v>6281288565000</v>
      </c>
      <c r="N14633" s="17" t="s">
        <v>81</v>
      </c>
      <c r="V14633" s="18">
        <f>6281288565000</f>
        <v>6281288565000</v>
      </c>
    </row>
    <row r="14634" ht="15" customHeight="1" spans="1:22" x14ac:dyDescent="0.25">
      <c r="A14634" s="17" t="s">
        <v>39479</v>
      </c>
      <c r="B14634" s="17" t="s">
        <v>70</v>
      </c>
      <c r="C14634" s="17" t="s">
        <v>71</v>
      </c>
      <c r="D14634" t="s">
        <v>2905</v>
      </c>
      <c r="F14634" t="s">
        <v>39480</v>
      </c>
      <c r="K14634" s="18">
        <f>6287869966988</f>
        <v>6287869966988</v>
      </c>
      <c r="N14634" s="17" t="s">
        <v>77</v>
      </c>
      <c r="V14634" s="18">
        <f>6287869966988</f>
        <v>6287869966988</v>
      </c>
    </row>
    <row r="14635" ht="15" customHeight="1" spans="1:22" x14ac:dyDescent="0.25">
      <c r="A14635" s="17" t="s">
        <v>39481</v>
      </c>
      <c r="B14635" s="17" t="s">
        <v>70</v>
      </c>
      <c r="C14635" s="17" t="s">
        <v>71</v>
      </c>
      <c r="D14635" t="s">
        <v>2905</v>
      </c>
      <c r="F14635" t="s">
        <v>20610</v>
      </c>
      <c r="K14635" s="18">
        <f>62811138628</f>
        <v>62811138628</v>
      </c>
      <c r="N14635" s="17" t="s">
        <v>81</v>
      </c>
      <c r="V14635" s="18">
        <f>62811138628</f>
        <v>62811138628</v>
      </c>
    </row>
    <row r="14636" ht="15" customHeight="1" spans="1:22" x14ac:dyDescent="0.25">
      <c r="A14636" s="17" t="s">
        <v>39482</v>
      </c>
      <c r="B14636" s="17" t="s">
        <v>70</v>
      </c>
      <c r="C14636" s="17" t="s">
        <v>71</v>
      </c>
      <c r="D14636" t="s">
        <v>2905</v>
      </c>
      <c r="F14636" t="s">
        <v>39483</v>
      </c>
      <c r="K14636" s="18">
        <f>62811138656</f>
        <v>62811138656</v>
      </c>
      <c r="N14636" s="17" t="s">
        <v>81</v>
      </c>
      <c r="V14636" s="18">
        <f>62811138656</f>
        <v>62811138656</v>
      </c>
    </row>
    <row r="14637" ht="15" customHeight="1" spans="1:22" x14ac:dyDescent="0.25">
      <c r="A14637" s="17" t="s">
        <v>39484</v>
      </c>
      <c r="B14637" s="17" t="s">
        <v>70</v>
      </c>
      <c r="C14637" s="17" t="s">
        <v>71</v>
      </c>
      <c r="D14637" t="s">
        <v>39485</v>
      </c>
      <c r="F14637" t="s">
        <v>39485</v>
      </c>
      <c r="K14637" s="18">
        <f>62816824841</f>
        <v>62816824841</v>
      </c>
      <c r="N14637" s="17" t="s">
        <v>81</v>
      </c>
      <c r="V14637" s="18">
        <f>62816824841</f>
        <v>62816824841</v>
      </c>
    </row>
    <row r="14638" ht="15" customHeight="1" spans="1:22" x14ac:dyDescent="0.25">
      <c r="A14638" s="17" t="s">
        <v>39486</v>
      </c>
      <c r="B14638" s="17" t="s">
        <v>70</v>
      </c>
      <c r="C14638" s="17" t="s">
        <v>71</v>
      </c>
      <c r="D14638" t="s">
        <v>39487</v>
      </c>
      <c r="F14638" t="s">
        <v>2344</v>
      </c>
      <c r="K14638" s="18">
        <f>628121234545</f>
        <v>628121234545</v>
      </c>
      <c r="N14638" s="17" t="s">
        <v>77</v>
      </c>
      <c r="V14638" s="18">
        <f>628121234545</f>
        <v>628121234545</v>
      </c>
    </row>
    <row r="14639" ht="15" customHeight="1" spans="1:22" x14ac:dyDescent="0.25">
      <c r="A14639" s="17" t="s">
        <v>39488</v>
      </c>
      <c r="B14639" s="17" t="s">
        <v>70</v>
      </c>
      <c r="C14639" s="17" t="s">
        <v>71</v>
      </c>
      <c r="D14639" t="s">
        <v>12313</v>
      </c>
      <c r="F14639" t="s">
        <v>39489</v>
      </c>
      <c r="K14639" s="18">
        <f>62811191335</f>
        <v>62811191335</v>
      </c>
      <c r="N14639" s="17" t="s">
        <v>81</v>
      </c>
      <c r="V14639" s="18">
        <f>62811191335</f>
        <v>62811191335</v>
      </c>
    </row>
    <row r="14640" ht="15" customHeight="1" spans="1:22" x14ac:dyDescent="0.25">
      <c r="A14640" s="17" t="s">
        <v>39490</v>
      </c>
      <c r="B14640" s="17" t="s">
        <v>70</v>
      </c>
      <c r="C14640" s="17" t="s">
        <v>71</v>
      </c>
      <c r="D14640" t="s">
        <v>39491</v>
      </c>
      <c r="F14640" t="s">
        <v>39492</v>
      </c>
      <c r="K14640" s="18">
        <f>628118163195</f>
        <v>628118163195</v>
      </c>
      <c r="N14640" s="17" t="s">
        <v>81</v>
      </c>
      <c r="V14640" s="18">
        <f>628118163195</f>
        <v>628118163195</v>
      </c>
    </row>
    <row r="14641" ht="15" customHeight="1" spans="1:28" x14ac:dyDescent="0.25">
      <c r="A14641" s="17" t="s">
        <v>39493</v>
      </c>
      <c r="B14641" s="17" t="s">
        <v>70</v>
      </c>
      <c r="C14641" s="17" t="s">
        <v>71</v>
      </c>
      <c r="D14641" t="s">
        <v>39494</v>
      </c>
      <c r="F14641" t="s">
        <v>39495</v>
      </c>
      <c r="J14641" s="17" t="s">
        <v>39496</v>
      </c>
      <c r="K14641" s="18" t="s">
        <v>39497</v>
      </c>
      <c r="N14641" s="17" t="s">
        <v>77</v>
      </c>
      <c r="O14641" t="s">
        <v>489</v>
      </c>
      <c r="V14641" s="18" t="s">
        <v>39497</v>
      </c>
      <c r="Y14641" t="s">
        <v>115</v>
      </c>
      <c r="AA14641" t="s">
        <v>115</v>
      </c>
      <c r="AB14641" t="s">
        <v>4036</v>
      </c>
    </row>
    <row r="14642" ht="15" customHeight="1" spans="1:22" x14ac:dyDescent="0.25">
      <c r="A14642" s="17" t="s">
        <v>39498</v>
      </c>
      <c r="B14642" s="17" t="s">
        <v>70</v>
      </c>
      <c r="C14642" s="17" t="s">
        <v>71</v>
      </c>
      <c r="D14642" t="s">
        <v>27917</v>
      </c>
      <c r="F14642" t="s">
        <v>2785</v>
      </c>
      <c r="K14642" s="18">
        <f>628111680114</f>
        <v>628111680114</v>
      </c>
      <c r="N14642" s="17" t="s">
        <v>81</v>
      </c>
      <c r="V14642" s="18">
        <f>628111680114</f>
        <v>628111680114</v>
      </c>
    </row>
    <row r="14643" ht="15" customHeight="1" spans="1:23" x14ac:dyDescent="0.25">
      <c r="A14643" s="17" t="s">
        <v>39499</v>
      </c>
      <c r="B14643" s="17" t="s">
        <v>70</v>
      </c>
      <c r="C14643" s="17" t="s">
        <v>71</v>
      </c>
      <c r="D14643" t="s">
        <v>18707</v>
      </c>
      <c r="F14643" t="s">
        <v>18707</v>
      </c>
      <c r="K14643" s="18">
        <f>6281880188</f>
        <v>6281880188</v>
      </c>
      <c r="N14643" s="17" t="s">
        <v>81</v>
      </c>
      <c r="U14643" s="17"/>
      <c r="V14643" s="18">
        <f>6281880188</f>
        <v>6281880188</v>
      </c>
      <c r="W14643" t="s">
        <v>90</v>
      </c>
    </row>
    <row r="14644" ht="15" customHeight="1" spans="1:22" x14ac:dyDescent="0.25">
      <c r="A14644" s="17" t="s">
        <v>39500</v>
      </c>
      <c r="B14644" s="17" t="s">
        <v>70</v>
      </c>
      <c r="C14644" s="17" t="s">
        <v>71</v>
      </c>
      <c r="D14644" t="s">
        <v>18707</v>
      </c>
      <c r="F14644" t="s">
        <v>18707</v>
      </c>
      <c r="K14644" s="18">
        <f>6282112189881</f>
        <v>6282112189881</v>
      </c>
      <c r="N14644" s="17" t="s">
        <v>77</v>
      </c>
      <c r="V14644" s="18">
        <f>6282112189881</f>
        <v>6282112189881</v>
      </c>
    </row>
    <row r="14645" ht="15" customHeight="1" spans="1:25" x14ac:dyDescent="0.25">
      <c r="A14645" s="17" t="s">
        <v>39501</v>
      </c>
      <c r="B14645" s="17" t="s">
        <v>70</v>
      </c>
      <c r="C14645" s="17" t="s">
        <v>71</v>
      </c>
      <c r="D14645" t="s">
        <v>18707</v>
      </c>
      <c r="F14645" t="s">
        <v>18707</v>
      </c>
      <c r="K14645" s="18">
        <f>6285311664559</f>
        <v>6285311664559</v>
      </c>
      <c r="N14645" s="17" t="s">
        <v>74</v>
      </c>
      <c r="U14645" s="17"/>
      <c r="V14645" s="18">
        <f>6285311664559</f>
        <v>6285311664559</v>
      </c>
      <c r="W14645" t="s">
        <v>39502</v>
      </c>
      <c r="Y14645" s="17" t="s">
        <v>3784</v>
      </c>
    </row>
    <row r="14646" ht="15" customHeight="1" spans="1:28" x14ac:dyDescent="0.25">
      <c r="A14646" s="17" t="s">
        <v>39503</v>
      </c>
      <c r="B14646" s="17" t="s">
        <v>70</v>
      </c>
      <c r="C14646" s="17" t="s">
        <v>71</v>
      </c>
      <c r="D14646" t="s">
        <v>18707</v>
      </c>
      <c r="F14646" t="s">
        <v>39504</v>
      </c>
      <c r="J14646" t="s">
        <v>115</v>
      </c>
      <c r="K14646" s="18" t="s">
        <v>39505</v>
      </c>
      <c r="N14646" s="17" t="s">
        <v>77</v>
      </c>
      <c r="O14646" t="s">
        <v>145</v>
      </c>
      <c r="V14646" s="18" t="s">
        <v>39505</v>
      </c>
      <c r="Y14646" t="s">
        <v>190</v>
      </c>
      <c r="AA14646" t="s">
        <v>118</v>
      </c>
      <c r="AB14646" t="s">
        <v>119</v>
      </c>
    </row>
    <row r="14647" ht="15" customHeight="1" spans="1:28" x14ac:dyDescent="0.25">
      <c r="A14647" s="17" t="s">
        <v>39506</v>
      </c>
      <c r="B14647" s="17" t="s">
        <v>70</v>
      </c>
      <c r="C14647" s="17" t="s">
        <v>71</v>
      </c>
      <c r="D14647" t="s">
        <v>18707</v>
      </c>
      <c r="F14647" t="s">
        <v>39507</v>
      </c>
      <c r="J14647" t="s">
        <v>115</v>
      </c>
      <c r="K14647" s="18" t="s">
        <v>39508</v>
      </c>
      <c r="N14647" s="17" t="s">
        <v>77</v>
      </c>
      <c r="O14647" t="s">
        <v>117</v>
      </c>
      <c r="V14647" s="18" t="s">
        <v>39508</v>
      </c>
      <c r="Y14647" t="s">
        <v>90</v>
      </c>
      <c r="AA14647" t="s">
        <v>118</v>
      </c>
      <c r="AB14647" t="s">
        <v>119</v>
      </c>
    </row>
    <row r="14648" ht="15" customHeight="1" spans="1:22" x14ac:dyDescent="0.25">
      <c r="A14648" s="17" t="s">
        <v>39509</v>
      </c>
      <c r="B14648" s="17" t="s">
        <v>70</v>
      </c>
      <c r="C14648" s="17" t="s">
        <v>71</v>
      </c>
      <c r="D14648" t="s">
        <v>18707</v>
      </c>
      <c r="F14648" t="s">
        <v>24881</v>
      </c>
      <c r="K14648" s="18">
        <f>628111461822</f>
        <v>628111461822</v>
      </c>
      <c r="N14648" s="17" t="s">
        <v>77</v>
      </c>
      <c r="V14648" s="18">
        <f>628111461822</f>
        <v>628111461822</v>
      </c>
    </row>
    <row r="14649" ht="15" customHeight="1" spans="1:23" x14ac:dyDescent="0.25">
      <c r="A14649" s="17" t="s">
        <v>39510</v>
      </c>
      <c r="B14649" s="17" t="s">
        <v>70</v>
      </c>
      <c r="C14649" s="17" t="s">
        <v>71</v>
      </c>
      <c r="D14649" t="s">
        <v>18707</v>
      </c>
      <c r="F14649" t="s">
        <v>10146</v>
      </c>
      <c r="K14649" s="18">
        <f>6281234565955</f>
        <v>6281234565955</v>
      </c>
      <c r="N14649" s="17" t="s">
        <v>81</v>
      </c>
      <c r="U14649" s="17"/>
      <c r="V14649" s="18">
        <f>6281234565955</f>
        <v>6281234565955</v>
      </c>
      <c r="W14649" t="s">
        <v>39511</v>
      </c>
    </row>
    <row r="14650" ht="15" customHeight="1" spans="1:27" x14ac:dyDescent="0.25">
      <c r="A14650" s="17" t="s">
        <v>39512</v>
      </c>
      <c r="B14650" s="17" t="s">
        <v>70</v>
      </c>
      <c r="C14650" s="17" t="s">
        <v>71</v>
      </c>
      <c r="D14650" t="s">
        <v>18707</v>
      </c>
      <c r="F14650" t="s">
        <v>2586</v>
      </c>
      <c r="K14650" s="18">
        <f>6281911101122</f>
        <v>6281911101122</v>
      </c>
      <c r="N14650" s="17" t="s">
        <v>77</v>
      </c>
      <c r="U14650" s="17"/>
      <c r="V14650" s="18">
        <f>6281911101122</f>
        <v>6281911101122</v>
      </c>
      <c r="W14650" t="s">
        <v>39513</v>
      </c>
      <c r="AA14650" s="17">
        <v>11610</v>
      </c>
    </row>
    <row r="14651" ht="15" customHeight="1" spans="1:22" x14ac:dyDescent="0.25">
      <c r="A14651" s="17" t="s">
        <v>39514</v>
      </c>
      <c r="B14651" s="17" t="s">
        <v>70</v>
      </c>
      <c r="C14651" s="17" t="s">
        <v>71</v>
      </c>
      <c r="D14651" t="s">
        <v>18707</v>
      </c>
      <c r="F14651" t="s">
        <v>2586</v>
      </c>
      <c r="K14651" s="18">
        <f>6281514862000</f>
        <v>6281514862000</v>
      </c>
      <c r="N14651" s="17" t="s">
        <v>81</v>
      </c>
      <c r="V14651" s="18">
        <f>6281514862000</f>
        <v>6281514862000</v>
      </c>
    </row>
    <row r="14652" ht="15" customHeight="1" spans="1:22" x14ac:dyDescent="0.25">
      <c r="A14652" s="17" t="s">
        <v>39515</v>
      </c>
      <c r="B14652" s="17" t="s">
        <v>70</v>
      </c>
      <c r="C14652" s="17" t="s">
        <v>71</v>
      </c>
      <c r="D14652" t="s">
        <v>18707</v>
      </c>
      <c r="F14652" t="s">
        <v>39516</v>
      </c>
      <c r="K14652" s="18">
        <f>6285692279835</f>
        <v>6285692279835</v>
      </c>
      <c r="N14652" s="17" t="s">
        <v>77</v>
      </c>
      <c r="V14652" s="18">
        <f>6285692279835</f>
        <v>6285692279835</v>
      </c>
    </row>
    <row r="14653" ht="15" customHeight="1" spans="1:28" x14ac:dyDescent="0.25">
      <c r="A14653" s="17" t="s">
        <v>39517</v>
      </c>
      <c r="B14653" s="17" t="s">
        <v>70</v>
      </c>
      <c r="C14653" s="17" t="s">
        <v>71</v>
      </c>
      <c r="D14653" t="s">
        <v>18707</v>
      </c>
      <c r="F14653" t="s">
        <v>4259</v>
      </c>
      <c r="J14653" t="s">
        <v>115</v>
      </c>
      <c r="K14653" s="18" t="s">
        <v>39518</v>
      </c>
      <c r="N14653" s="17" t="s">
        <v>77</v>
      </c>
      <c r="O14653" t="s">
        <v>117</v>
      </c>
      <c r="U14653" s="17"/>
      <c r="V14653" s="18" t="s">
        <v>39518</v>
      </c>
      <c r="W14653" t="s">
        <v>39519</v>
      </c>
      <c r="Y14653" t="s">
        <v>190</v>
      </c>
      <c r="AA14653" t="s">
        <v>118</v>
      </c>
      <c r="AB14653" t="s">
        <v>119</v>
      </c>
    </row>
    <row r="14654" ht="15" customHeight="1" spans="1:22" x14ac:dyDescent="0.25">
      <c r="A14654" s="17" t="s">
        <v>39520</v>
      </c>
      <c r="B14654" s="17" t="s">
        <v>70</v>
      </c>
      <c r="C14654" s="17" t="s">
        <v>71</v>
      </c>
      <c r="D14654" t="s">
        <v>18707</v>
      </c>
      <c r="F14654" t="s">
        <v>9492</v>
      </c>
      <c r="K14654" s="18">
        <f>6281213988989</f>
        <v>6281213988989</v>
      </c>
      <c r="N14654" s="17" t="s">
        <v>81</v>
      </c>
      <c r="V14654" s="18">
        <f>6281213988989</f>
        <v>6281213988989</v>
      </c>
    </row>
    <row r="14655" ht="15" customHeight="1" spans="1:23" x14ac:dyDescent="0.25">
      <c r="A14655" s="17" t="s">
        <v>39521</v>
      </c>
      <c r="B14655" s="17" t="s">
        <v>70</v>
      </c>
      <c r="C14655" s="17" t="s">
        <v>71</v>
      </c>
      <c r="D14655" t="s">
        <v>18707</v>
      </c>
      <c r="F14655" t="s">
        <v>4853</v>
      </c>
      <c r="K14655" s="18">
        <f>6281315361128</f>
        <v>6281315361128</v>
      </c>
      <c r="N14655" s="17" t="s">
        <v>77</v>
      </c>
      <c r="U14655" s="17"/>
      <c r="V14655" s="18">
        <f>6281315361128</f>
        <v>6281315361128</v>
      </c>
      <c r="W14655" t="s">
        <v>39522</v>
      </c>
    </row>
    <row r="14656" ht="15" customHeight="1" spans="1:23" x14ac:dyDescent="0.25">
      <c r="A14656" s="17" t="s">
        <v>39523</v>
      </c>
      <c r="B14656" s="17" t="s">
        <v>70</v>
      </c>
      <c r="C14656" s="17" t="s">
        <v>71</v>
      </c>
      <c r="D14656" t="s">
        <v>18707</v>
      </c>
      <c r="F14656" t="s">
        <v>17090</v>
      </c>
      <c r="J14656" s="17" t="s">
        <v>39524</v>
      </c>
      <c r="K14656" s="18">
        <f>6281310200108</f>
        <v>6281310200108</v>
      </c>
      <c r="N14656" s="17" t="s">
        <v>77</v>
      </c>
      <c r="U14656" s="17"/>
      <c r="V14656" s="18">
        <f>6281310200108</f>
        <v>6281310200108</v>
      </c>
      <c r="W14656" t="s">
        <v>39525</v>
      </c>
    </row>
    <row r="14657" ht="15" customHeight="1" spans="1:28" x14ac:dyDescent="0.25">
      <c r="A14657" s="17" t="s">
        <v>39526</v>
      </c>
      <c r="B14657" s="17" t="s">
        <v>70</v>
      </c>
      <c r="C14657" s="17" t="s">
        <v>71</v>
      </c>
      <c r="D14657" t="s">
        <v>18707</v>
      </c>
      <c r="F14657" t="s">
        <v>39527</v>
      </c>
      <c r="J14657" t="s">
        <v>115</v>
      </c>
      <c r="K14657" s="18" t="s">
        <v>39528</v>
      </c>
      <c r="N14657" s="17" t="s">
        <v>81</v>
      </c>
      <c r="O14657" t="s">
        <v>117</v>
      </c>
      <c r="V14657" s="18" t="s">
        <v>39528</v>
      </c>
      <c r="Y14657" s="17" t="s">
        <v>3214</v>
      </c>
      <c r="AA14657" t="s">
        <v>115</v>
      </c>
      <c r="AB14657" t="s">
        <v>119</v>
      </c>
    </row>
    <row r="14658" ht="15" customHeight="1" spans="1:25" x14ac:dyDescent="0.25">
      <c r="A14658" s="17" t="s">
        <v>39529</v>
      </c>
      <c r="B14658" s="17" t="s">
        <v>70</v>
      </c>
      <c r="C14658" s="17" t="s">
        <v>71</v>
      </c>
      <c r="D14658" t="s">
        <v>18707</v>
      </c>
      <c r="F14658" t="s">
        <v>4059</v>
      </c>
      <c r="K14658" s="18">
        <f>6281317734757</f>
        <v>6281317734757</v>
      </c>
      <c r="N14658" s="17" t="s">
        <v>81</v>
      </c>
      <c r="U14658" s="17"/>
      <c r="V14658" s="18">
        <f>6281317734757</f>
        <v>6281317734757</v>
      </c>
      <c r="W14658" t="s">
        <v>39530</v>
      </c>
      <c r="Y14658" s="17" t="s">
        <v>384</v>
      </c>
    </row>
    <row r="14659" ht="15" customHeight="1" spans="1:25" x14ac:dyDescent="0.25">
      <c r="A14659" s="17" t="s">
        <v>39531</v>
      </c>
      <c r="B14659" s="17" t="s">
        <v>70</v>
      </c>
      <c r="C14659" s="17" t="s">
        <v>71</v>
      </c>
      <c r="D14659" t="s">
        <v>18707</v>
      </c>
      <c r="F14659" t="s">
        <v>39532</v>
      </c>
      <c r="K14659" s="18">
        <f>6281220010581</f>
        <v>6281220010581</v>
      </c>
      <c r="N14659" s="17" t="s">
        <v>77</v>
      </c>
      <c r="U14659" s="17"/>
      <c r="V14659" s="18">
        <f>6281220010581</f>
        <v>6281220010581</v>
      </c>
      <c r="W14659" t="s">
        <v>39533</v>
      </c>
      <c r="Y14659" s="17" t="s">
        <v>500</v>
      </c>
    </row>
    <row r="14660" ht="15" customHeight="1" spans="1:28" x14ac:dyDescent="0.25">
      <c r="A14660" s="17" t="s">
        <v>39534</v>
      </c>
      <c r="B14660" s="17" t="s">
        <v>70</v>
      </c>
      <c r="C14660" s="17" t="s">
        <v>71</v>
      </c>
      <c r="D14660" t="s">
        <v>18707</v>
      </c>
      <c r="F14660" t="s">
        <v>39532</v>
      </c>
      <c r="J14660" t="s">
        <v>115</v>
      </c>
      <c r="K14660" s="18" t="s">
        <v>39535</v>
      </c>
      <c r="N14660" s="17" t="s">
        <v>77</v>
      </c>
      <c r="O14660" t="s">
        <v>489</v>
      </c>
      <c r="U14660" s="17"/>
      <c r="V14660" s="18" t="s">
        <v>39535</v>
      </c>
      <c r="W14660" t="s">
        <v>39533</v>
      </c>
      <c r="Y14660" s="17" t="s">
        <v>490</v>
      </c>
      <c r="AA14660" t="s">
        <v>115</v>
      </c>
      <c r="AB14660" t="s">
        <v>119</v>
      </c>
    </row>
    <row r="14661" ht="15" customHeight="1" spans="1:22" x14ac:dyDescent="0.25">
      <c r="A14661" s="17" t="s">
        <v>39536</v>
      </c>
      <c r="B14661" s="17" t="s">
        <v>70</v>
      </c>
      <c r="C14661" s="17" t="s">
        <v>71</v>
      </c>
      <c r="D14661" t="s">
        <v>39537</v>
      </c>
      <c r="F14661" t="s">
        <v>39537</v>
      </c>
      <c r="K14661" s="18">
        <f>628569000767</f>
        <v>628569000767</v>
      </c>
      <c r="N14661" s="17" t="s">
        <v>77</v>
      </c>
      <c r="V14661" s="18">
        <f>628569000767</f>
        <v>628569000767</v>
      </c>
    </row>
    <row r="14662" ht="15" customHeight="1" spans="1:28" x14ac:dyDescent="0.25">
      <c r="A14662" s="17" t="s">
        <v>39538</v>
      </c>
      <c r="B14662" s="17" t="s">
        <v>70</v>
      </c>
      <c r="C14662" s="17" t="s">
        <v>71</v>
      </c>
      <c r="D14662" t="s">
        <v>39539</v>
      </c>
      <c r="F14662" t="s">
        <v>39539</v>
      </c>
      <c r="J14662" s="17" t="s">
        <v>39540</v>
      </c>
      <c r="K14662" s="18" t="s">
        <v>39541</v>
      </c>
      <c r="N14662" s="17" t="s">
        <v>77</v>
      </c>
      <c r="O14662" t="s">
        <v>117</v>
      </c>
      <c r="U14662" s="17"/>
      <c r="V14662" s="18" t="s">
        <v>39541</v>
      </c>
      <c r="W14662" t="s">
        <v>39542</v>
      </c>
      <c r="Y14662" s="17" t="s">
        <v>90</v>
      </c>
      <c r="AA14662" t="s">
        <v>118</v>
      </c>
      <c r="AB14662" t="s">
        <v>119</v>
      </c>
    </row>
    <row r="14663" ht="15" customHeight="1" spans="1:28" x14ac:dyDescent="0.25">
      <c r="A14663" s="17" t="s">
        <v>39543</v>
      </c>
      <c r="B14663" s="17" t="s">
        <v>70</v>
      </c>
      <c r="C14663" s="17" t="s">
        <v>71</v>
      </c>
      <c r="D14663" t="s">
        <v>39544</v>
      </c>
      <c r="F14663" t="s">
        <v>39545</v>
      </c>
      <c r="J14663" t="s">
        <v>39546</v>
      </c>
      <c r="K14663" s="18" t="s">
        <v>39547</v>
      </c>
      <c r="N14663" s="17" t="s">
        <v>77</v>
      </c>
      <c r="O14663" t="s">
        <v>145</v>
      </c>
      <c r="V14663" s="18" t="s">
        <v>39547</v>
      </c>
      <c r="Y14663" t="s">
        <v>3048</v>
      </c>
      <c r="AA14663" t="s">
        <v>115</v>
      </c>
      <c r="AB14663" t="s">
        <v>119</v>
      </c>
    </row>
    <row r="14664" ht="15" customHeight="1" spans="1:28" x14ac:dyDescent="0.25">
      <c r="A14664" s="17" t="s">
        <v>39548</v>
      </c>
      <c r="B14664" s="17" t="s">
        <v>70</v>
      </c>
      <c r="C14664" s="17" t="s">
        <v>71</v>
      </c>
      <c r="D14664" t="s">
        <v>39549</v>
      </c>
      <c r="F14664" t="s">
        <v>39550</v>
      </c>
      <c r="J14664" s="17" t="s">
        <v>39551</v>
      </c>
      <c r="K14664" s="18" t="s">
        <v>39552</v>
      </c>
      <c r="N14664" s="17" t="s">
        <v>77</v>
      </c>
      <c r="O14664" t="s">
        <v>199</v>
      </c>
      <c r="U14664" s="17"/>
      <c r="V14664" s="18" t="s">
        <v>39552</v>
      </c>
      <c r="W14664" t="s">
        <v>1903</v>
      </c>
      <c r="Y14664" t="s">
        <v>115</v>
      </c>
      <c r="AA14664" t="s">
        <v>115</v>
      </c>
      <c r="AB14664" t="s">
        <v>1903</v>
      </c>
    </row>
    <row r="14665" ht="15" customHeight="1" spans="1:22" x14ac:dyDescent="0.25">
      <c r="A14665" s="17" t="s">
        <v>39553</v>
      </c>
      <c r="B14665" s="17" t="s">
        <v>70</v>
      </c>
      <c r="C14665" s="17" t="s">
        <v>71</v>
      </c>
      <c r="D14665" t="s">
        <v>39549</v>
      </c>
      <c r="F14665" t="s">
        <v>10727</v>
      </c>
      <c r="K14665" s="18">
        <f>62811989100</f>
        <v>62811989100</v>
      </c>
      <c r="N14665" s="17" t="s">
        <v>81</v>
      </c>
      <c r="V14665" s="18">
        <f>62811989100</f>
        <v>62811989100</v>
      </c>
    </row>
    <row r="14666" ht="15" customHeight="1" spans="1:22" x14ac:dyDescent="0.25">
      <c r="A14666" s="17" t="s">
        <v>39554</v>
      </c>
      <c r="B14666" s="17" t="s">
        <v>70</v>
      </c>
      <c r="C14666" s="17" t="s">
        <v>71</v>
      </c>
      <c r="D14666" t="s">
        <v>39555</v>
      </c>
      <c r="F14666" t="s">
        <v>39555</v>
      </c>
      <c r="K14666" s="18">
        <f>62811900096</f>
        <v>62811900096</v>
      </c>
      <c r="N14666" s="17" t="s">
        <v>77</v>
      </c>
      <c r="V14666" s="18">
        <f>62811900096</f>
        <v>62811900096</v>
      </c>
    </row>
    <row r="14667" ht="15" customHeight="1" spans="1:22" x14ac:dyDescent="0.25">
      <c r="A14667" s="17" t="s">
        <v>39556</v>
      </c>
      <c r="B14667" s="17" t="s">
        <v>70</v>
      </c>
      <c r="C14667" s="17" t="s">
        <v>71</v>
      </c>
      <c r="D14667" t="s">
        <v>39555</v>
      </c>
      <c r="F14667" t="s">
        <v>9682</v>
      </c>
      <c r="K14667" s="18">
        <f>62812080490</f>
        <v>62812080490</v>
      </c>
      <c r="N14667" s="17" t="s">
        <v>77</v>
      </c>
      <c r="V14667" s="18">
        <f>62812080490</f>
        <v>62812080490</v>
      </c>
    </row>
    <row r="14668" ht="15" customHeight="1" spans="1:22" x14ac:dyDescent="0.25">
      <c r="A14668" s="17" t="s">
        <v>39557</v>
      </c>
      <c r="B14668" s="17" t="s">
        <v>70</v>
      </c>
      <c r="C14668" s="17" t="s">
        <v>71</v>
      </c>
      <c r="D14668" t="s">
        <v>39558</v>
      </c>
      <c r="F14668" t="s">
        <v>29601</v>
      </c>
      <c r="K14668" s="18">
        <f>84907972666</f>
        <v>84907972666</v>
      </c>
      <c r="N14668" s="17" t="s">
        <v>77</v>
      </c>
      <c r="V14668" s="18">
        <f>84907972666</f>
        <v>84907972666</v>
      </c>
    </row>
    <row r="14669" ht="15" customHeight="1" spans="1:22" x14ac:dyDescent="0.25">
      <c r="A14669" s="17" t="s">
        <v>39559</v>
      </c>
      <c r="B14669" s="17" t="s">
        <v>70</v>
      </c>
      <c r="C14669" s="17" t="s">
        <v>71</v>
      </c>
      <c r="D14669" t="s">
        <v>39560</v>
      </c>
      <c r="F14669" t="s">
        <v>39561</v>
      </c>
      <c r="K14669" s="18">
        <f>6281585008878</f>
        <v>6281585008878</v>
      </c>
      <c r="N14669" s="17" t="s">
        <v>77</v>
      </c>
      <c r="V14669" s="18">
        <f>6281585008878</f>
        <v>6281585008878</v>
      </c>
    </row>
    <row r="14670" ht="15" customHeight="1" spans="1:25" x14ac:dyDescent="0.25">
      <c r="A14670" s="17" t="s">
        <v>39562</v>
      </c>
      <c r="B14670" s="17" t="s">
        <v>70</v>
      </c>
      <c r="C14670" s="17" t="s">
        <v>71</v>
      </c>
      <c r="D14670" t="s">
        <v>9530</v>
      </c>
      <c r="F14670" t="s">
        <v>26121</v>
      </c>
      <c r="J14670" s="17" t="s">
        <v>39563</v>
      </c>
      <c r="K14670" s="18">
        <f>628119693812</f>
        <v>628119693812</v>
      </c>
      <c r="N14670" s="17" t="s">
        <v>77</v>
      </c>
      <c r="U14670" s="17"/>
      <c r="V14670" s="18">
        <f>628119693812</f>
        <v>628119693812</v>
      </c>
      <c r="W14670" t="s">
        <v>39564</v>
      </c>
      <c r="Y14670" s="17" t="s">
        <v>626</v>
      </c>
    </row>
    <row r="14671" ht="15" customHeight="1" spans="1:23" x14ac:dyDescent="0.25">
      <c r="A14671" s="17" t="s">
        <v>39565</v>
      </c>
      <c r="B14671" s="17" t="s">
        <v>70</v>
      </c>
      <c r="C14671" s="17" t="s">
        <v>71</v>
      </c>
      <c r="D14671" t="s">
        <v>9530</v>
      </c>
      <c r="F14671" t="s">
        <v>1217</v>
      </c>
      <c r="J14671" s="17" t="s">
        <v>39566</v>
      </c>
      <c r="K14671" s="18">
        <f>6282190897168</f>
        <v>6282190897168</v>
      </c>
      <c r="N14671" s="17" t="s">
        <v>77</v>
      </c>
      <c r="U14671" s="17"/>
      <c r="V14671" s="18">
        <f>6282190897168</f>
        <v>6282190897168</v>
      </c>
      <c r="W14671" t="s">
        <v>39567</v>
      </c>
    </row>
    <row r="14672" ht="15" customHeight="1" spans="1:28" x14ac:dyDescent="0.25">
      <c r="A14672" s="17" t="s">
        <v>39568</v>
      </c>
      <c r="B14672" s="17" t="s">
        <v>70</v>
      </c>
      <c r="C14672" s="17" t="s">
        <v>71</v>
      </c>
      <c r="D14672" t="s">
        <v>39569</v>
      </c>
      <c r="F14672" t="s">
        <v>10063</v>
      </c>
      <c r="J14672" t="s">
        <v>39570</v>
      </c>
      <c r="K14672" s="18" t="s">
        <v>39571</v>
      </c>
      <c r="N14672" s="17" t="s">
        <v>81</v>
      </c>
      <c r="O14672" t="s">
        <v>261</v>
      </c>
      <c r="V14672" s="18" t="s">
        <v>39571</v>
      </c>
      <c r="Y14672" t="s">
        <v>90</v>
      </c>
      <c r="AA14672" t="s">
        <v>118</v>
      </c>
      <c r="AB14672" t="s">
        <v>119</v>
      </c>
    </row>
    <row r="14673" ht="15" customHeight="1" spans="1:22" x14ac:dyDescent="0.25">
      <c r="A14673" s="17" t="s">
        <v>39572</v>
      </c>
      <c r="B14673" s="17" t="s">
        <v>70</v>
      </c>
      <c r="C14673" s="17" t="s">
        <v>71</v>
      </c>
      <c r="D14673" t="s">
        <v>39573</v>
      </c>
      <c r="F14673" t="s">
        <v>9363</v>
      </c>
      <c r="K14673" s="18">
        <f>62811147802</f>
        <v>62811147802</v>
      </c>
      <c r="N14673" s="17" t="s">
        <v>77</v>
      </c>
      <c r="V14673" s="18">
        <f>62811147802</f>
        <v>62811147802</v>
      </c>
    </row>
    <row r="14674" ht="15" customHeight="1" spans="1:27" x14ac:dyDescent="0.25">
      <c r="A14674" s="17" t="s">
        <v>39574</v>
      </c>
      <c r="B14674" s="17" t="s">
        <v>70</v>
      </c>
      <c r="C14674" s="17" t="s">
        <v>71</v>
      </c>
      <c r="D14674" t="s">
        <v>39575</v>
      </c>
      <c r="F14674" t="s">
        <v>3086</v>
      </c>
      <c r="J14674" s="17" t="s">
        <v>39576</v>
      </c>
      <c r="K14674" s="18">
        <f>6281806131307</f>
        <v>6281806131307</v>
      </c>
      <c r="N14674" s="17" t="s">
        <v>77</v>
      </c>
      <c r="U14674" s="17"/>
      <c r="V14674" s="18">
        <f>6281806131307</f>
        <v>6281806131307</v>
      </c>
      <c r="W14674" t="s">
        <v>39577</v>
      </c>
      <c r="Y14674" s="17" t="s">
        <v>90</v>
      </c>
      <c r="AA14674" s="17">
        <v>10310</v>
      </c>
    </row>
    <row r="14675" ht="15" customHeight="1" spans="1:22" x14ac:dyDescent="0.25">
      <c r="A14675" s="17" t="s">
        <v>39578</v>
      </c>
      <c r="B14675" s="17" t="s">
        <v>70</v>
      </c>
      <c r="C14675" s="17" t="s">
        <v>71</v>
      </c>
      <c r="D14675" t="s">
        <v>686</v>
      </c>
      <c r="F14675" t="s">
        <v>686</v>
      </c>
      <c r="K14675" s="18">
        <f>628119622889</f>
        <v>628119622889</v>
      </c>
      <c r="N14675" s="17" t="s">
        <v>81</v>
      </c>
      <c r="V14675" s="18">
        <f>628119622889</f>
        <v>628119622889</v>
      </c>
    </row>
    <row r="14676" ht="15" customHeight="1" spans="1:27" x14ac:dyDescent="0.25">
      <c r="A14676" s="17" t="s">
        <v>39579</v>
      </c>
      <c r="B14676" s="17" t="s">
        <v>70</v>
      </c>
      <c r="C14676" s="17" t="s">
        <v>71</v>
      </c>
      <c r="D14676" t="s">
        <v>686</v>
      </c>
      <c r="F14676" t="s">
        <v>686</v>
      </c>
      <c r="K14676" s="18">
        <f>628121065456</f>
        <v>628121065456</v>
      </c>
      <c r="N14676" s="17" t="s">
        <v>77</v>
      </c>
      <c r="U14676" s="17"/>
      <c r="V14676" s="18">
        <f>628121065456</f>
        <v>628121065456</v>
      </c>
      <c r="W14676" t="s">
        <v>39580</v>
      </c>
      <c r="Y14676" s="17" t="s">
        <v>96</v>
      </c>
      <c r="AA14676" s="17" t="s">
        <v>6485</v>
      </c>
    </row>
    <row r="14677" ht="15" customHeight="1" spans="1:28" x14ac:dyDescent="0.25">
      <c r="A14677" s="17" t="s">
        <v>39581</v>
      </c>
      <c r="B14677" s="17" t="s">
        <v>70</v>
      </c>
      <c r="C14677" s="17" t="s">
        <v>71</v>
      </c>
      <c r="D14677" t="s">
        <v>39582</v>
      </c>
      <c r="F14677" t="s">
        <v>39583</v>
      </c>
      <c r="J14677" s="17" t="s">
        <v>39584</v>
      </c>
      <c r="K14677" s="18" t="s">
        <v>39585</v>
      </c>
      <c r="N14677" s="17" t="s">
        <v>77</v>
      </c>
      <c r="O14677" t="s">
        <v>199</v>
      </c>
      <c r="U14677" s="17"/>
      <c r="V14677" s="18" t="s">
        <v>39585</v>
      </c>
      <c r="W14677" t="s">
        <v>39586</v>
      </c>
      <c r="Y14677" s="17" t="s">
        <v>930</v>
      </c>
      <c r="AA14677" t="s">
        <v>115</v>
      </c>
      <c r="AB14677" t="s">
        <v>451</v>
      </c>
    </row>
    <row r="14678" ht="15" customHeight="1" spans="1:23" x14ac:dyDescent="0.25">
      <c r="A14678" s="17" t="s">
        <v>39587</v>
      </c>
      <c r="B14678" s="17" t="s">
        <v>70</v>
      </c>
      <c r="C14678" s="17" t="s">
        <v>71</v>
      </c>
      <c r="D14678" t="s">
        <v>686</v>
      </c>
      <c r="F14678" t="s">
        <v>39588</v>
      </c>
      <c r="K14678" s="18">
        <f>628551052000</f>
        <v>628551052000</v>
      </c>
      <c r="N14678" s="17" t="s">
        <v>77</v>
      </c>
      <c r="U14678" s="17"/>
      <c r="V14678" s="18">
        <f>628551052000</f>
        <v>628551052000</v>
      </c>
      <c r="W14678" t="s">
        <v>39589</v>
      </c>
    </row>
    <row r="14679" ht="15" customHeight="1" spans="1:25" x14ac:dyDescent="0.25">
      <c r="A14679" s="17" t="s">
        <v>39590</v>
      </c>
      <c r="B14679" s="17" t="s">
        <v>70</v>
      </c>
      <c r="C14679" s="17" t="s">
        <v>71</v>
      </c>
      <c r="D14679" t="s">
        <v>686</v>
      </c>
      <c r="F14679" t="s">
        <v>39591</v>
      </c>
      <c r="J14679" s="17" t="s">
        <v>39592</v>
      </c>
      <c r="K14679" s="18">
        <f>6281381381199</f>
        <v>6281381381199</v>
      </c>
      <c r="N14679" s="17" t="s">
        <v>77</v>
      </c>
      <c r="U14679" s="17"/>
      <c r="V14679" s="18">
        <f>6281381381199</f>
        <v>6281381381199</v>
      </c>
      <c r="W14679" t="s">
        <v>39593</v>
      </c>
      <c r="Y14679" s="17" t="s">
        <v>378</v>
      </c>
    </row>
    <row r="14680" ht="15" customHeight="1" spans="1:28" x14ac:dyDescent="0.25">
      <c r="A14680" s="17" t="s">
        <v>39594</v>
      </c>
      <c r="B14680" s="17" t="s">
        <v>70</v>
      </c>
      <c r="C14680" s="17" t="s">
        <v>71</v>
      </c>
      <c r="D14680" t="s">
        <v>686</v>
      </c>
      <c r="F14680" t="s">
        <v>16484</v>
      </c>
      <c r="J14680" t="s">
        <v>115</v>
      </c>
      <c r="K14680" s="18" t="s">
        <v>39595</v>
      </c>
      <c r="N14680" s="17" t="s">
        <v>77</v>
      </c>
      <c r="O14680" t="s">
        <v>199</v>
      </c>
      <c r="V14680" s="18" t="s">
        <v>39595</v>
      </c>
      <c r="Y14680" t="s">
        <v>190</v>
      </c>
      <c r="AA14680" t="s">
        <v>118</v>
      </c>
      <c r="AB14680" t="s">
        <v>119</v>
      </c>
    </row>
    <row r="14681" ht="15" customHeight="1" spans="1:28" x14ac:dyDescent="0.25">
      <c r="A14681" s="17" t="s">
        <v>39596</v>
      </c>
      <c r="B14681" s="17" t="s">
        <v>70</v>
      </c>
      <c r="C14681" s="17" t="s">
        <v>71</v>
      </c>
      <c r="D14681" t="s">
        <v>39597</v>
      </c>
      <c r="F14681" t="s">
        <v>39598</v>
      </c>
      <c r="J14681" s="17" t="s">
        <v>39599</v>
      </c>
      <c r="K14681" s="18" t="s">
        <v>39600</v>
      </c>
      <c r="N14681" s="17" t="s">
        <v>77</v>
      </c>
      <c r="O14681" t="s">
        <v>489</v>
      </c>
      <c r="U14681" s="17"/>
      <c r="V14681" s="18" t="s">
        <v>39600</v>
      </c>
      <c r="W14681" t="s">
        <v>39601</v>
      </c>
      <c r="Y14681" s="17" t="s">
        <v>451</v>
      </c>
      <c r="AA14681" t="s">
        <v>115</v>
      </c>
      <c r="AB14681" t="s">
        <v>451</v>
      </c>
    </row>
    <row r="14682" ht="15" customHeight="1" spans="1:28" x14ac:dyDescent="0.25">
      <c r="A14682" s="17" t="s">
        <v>39602</v>
      </c>
      <c r="B14682" s="17" t="s">
        <v>70</v>
      </c>
      <c r="C14682" s="17" t="s">
        <v>71</v>
      </c>
      <c r="D14682" t="s">
        <v>686</v>
      </c>
      <c r="F14682" t="s">
        <v>8871</v>
      </c>
      <c r="J14682" t="s">
        <v>115</v>
      </c>
      <c r="K14682" s="18" t="s">
        <v>39603</v>
      </c>
      <c r="N14682" s="17" t="s">
        <v>74</v>
      </c>
      <c r="O14682" t="s">
        <v>199</v>
      </c>
      <c r="V14682" s="18" t="s">
        <v>39603</v>
      </c>
      <c r="Y14682" t="s">
        <v>90</v>
      </c>
      <c r="AA14682" t="s">
        <v>118</v>
      </c>
      <c r="AB14682" t="s">
        <v>119</v>
      </c>
    </row>
    <row r="14683" ht="15" customHeight="1" spans="1:28" x14ac:dyDescent="0.25">
      <c r="A14683" s="17" t="s">
        <v>39604</v>
      </c>
      <c r="B14683" s="17" t="s">
        <v>70</v>
      </c>
      <c r="C14683" s="17" t="s">
        <v>71</v>
      </c>
      <c r="D14683" t="s">
        <v>686</v>
      </c>
      <c r="F14683" t="s">
        <v>39605</v>
      </c>
      <c r="J14683" t="s">
        <v>115</v>
      </c>
      <c r="K14683" s="18" t="s">
        <v>39606</v>
      </c>
      <c r="N14683" s="17" t="s">
        <v>77</v>
      </c>
      <c r="O14683" t="s">
        <v>117</v>
      </c>
      <c r="U14683" s="17"/>
      <c r="V14683" s="18" t="s">
        <v>39606</v>
      </c>
      <c r="W14683" t="s">
        <v>5358</v>
      </c>
      <c r="Y14683" t="s">
        <v>5358</v>
      </c>
      <c r="AA14683" t="s">
        <v>115</v>
      </c>
      <c r="AB14683" t="s">
        <v>5358</v>
      </c>
    </row>
    <row r="14684" ht="15" customHeight="1" spans="1:23" x14ac:dyDescent="0.25">
      <c r="A14684" s="17" t="s">
        <v>39607</v>
      </c>
      <c r="B14684" s="17" t="s">
        <v>70</v>
      </c>
      <c r="C14684" s="17" t="s">
        <v>71</v>
      </c>
      <c r="D14684" t="s">
        <v>39608</v>
      </c>
      <c r="F14684" t="s">
        <v>11744</v>
      </c>
      <c r="K14684" s="18">
        <f>61475212497</f>
        <v>61475212497</v>
      </c>
      <c r="N14684" s="17" t="s">
        <v>77</v>
      </c>
      <c r="U14684" s="17"/>
      <c r="V14684" s="18">
        <f>61475212497</f>
        <v>61475212497</v>
      </c>
      <c r="W14684" t="s">
        <v>1903</v>
      </c>
    </row>
    <row r="14685" ht="15" customHeight="1" spans="1:23" x14ac:dyDescent="0.25">
      <c r="A14685" s="17" t="s">
        <v>39609</v>
      </c>
      <c r="B14685" s="17" t="s">
        <v>70</v>
      </c>
      <c r="C14685" s="17" t="s">
        <v>71</v>
      </c>
      <c r="D14685" t="s">
        <v>39610</v>
      </c>
      <c r="F14685" t="s">
        <v>39610</v>
      </c>
      <c r="K14685" s="18">
        <f>62816898560</f>
        <v>62816898560</v>
      </c>
      <c r="N14685" s="17" t="s">
        <v>74</v>
      </c>
      <c r="U14685" s="17"/>
      <c r="V14685" s="18">
        <f>62816898560</f>
        <v>62816898560</v>
      </c>
      <c r="W14685" t="s">
        <v>39611</v>
      </c>
    </row>
    <row r="14686" ht="15" customHeight="1" spans="1:22" x14ac:dyDescent="0.25">
      <c r="A14686" s="17" t="s">
        <v>39612</v>
      </c>
      <c r="B14686" s="17" t="s">
        <v>70</v>
      </c>
      <c r="C14686" s="17" t="s">
        <v>71</v>
      </c>
      <c r="D14686" t="s">
        <v>39613</v>
      </c>
      <c r="F14686" t="s">
        <v>39613</v>
      </c>
      <c r="K14686" s="18">
        <f>62816912110</f>
        <v>62816912110</v>
      </c>
      <c r="N14686" s="17" t="s">
        <v>81</v>
      </c>
      <c r="V14686" s="18">
        <f>62816912110</f>
        <v>62816912110</v>
      </c>
    </row>
    <row r="14687" ht="15" customHeight="1" spans="1:22" x14ac:dyDescent="0.25">
      <c r="A14687" s="17" t="s">
        <v>39614</v>
      </c>
      <c r="B14687" s="17" t="s">
        <v>70</v>
      </c>
      <c r="C14687" s="17" t="s">
        <v>71</v>
      </c>
      <c r="D14687" t="s">
        <v>39613</v>
      </c>
      <c r="F14687" t="s">
        <v>39613</v>
      </c>
      <c r="K14687" s="18">
        <f>6281317975645</f>
        <v>6281317975645</v>
      </c>
      <c r="N14687" s="17" t="s">
        <v>77</v>
      </c>
      <c r="V14687" s="18">
        <f>6281317975645</f>
        <v>6281317975645</v>
      </c>
    </row>
    <row r="14688" ht="15" customHeight="1" spans="1:28" x14ac:dyDescent="0.25">
      <c r="A14688" s="17" t="s">
        <v>39615</v>
      </c>
      <c r="B14688" s="17" t="s">
        <v>70</v>
      </c>
      <c r="C14688" s="17" t="s">
        <v>71</v>
      </c>
      <c r="D14688" t="s">
        <v>39613</v>
      </c>
      <c r="F14688" t="s">
        <v>618</v>
      </c>
      <c r="J14688" t="s">
        <v>115</v>
      </c>
      <c r="K14688" s="18" t="s">
        <v>39616</v>
      </c>
      <c r="N14688" s="17" t="s">
        <v>74</v>
      </c>
      <c r="O14688" t="s">
        <v>117</v>
      </c>
      <c r="V14688" s="18" t="s">
        <v>39616</v>
      </c>
      <c r="Y14688" t="s">
        <v>90</v>
      </c>
      <c r="AA14688" t="s">
        <v>118</v>
      </c>
      <c r="AB14688" t="s">
        <v>119</v>
      </c>
    </row>
    <row r="14689" ht="15" customHeight="1" spans="1:28" x14ac:dyDescent="0.25">
      <c r="A14689" s="17" t="s">
        <v>39617</v>
      </c>
      <c r="B14689" s="17" t="s">
        <v>70</v>
      </c>
      <c r="C14689" s="17" t="s">
        <v>71</v>
      </c>
      <c r="D14689" t="s">
        <v>39613</v>
      </c>
      <c r="F14689" t="s">
        <v>4155</v>
      </c>
      <c r="J14689" t="s">
        <v>115</v>
      </c>
      <c r="K14689" s="18" t="s">
        <v>39618</v>
      </c>
      <c r="N14689" s="17" t="s">
        <v>81</v>
      </c>
      <c r="O14689" t="s">
        <v>199</v>
      </c>
      <c r="V14689" s="18" t="s">
        <v>39618</v>
      </c>
      <c r="Y14689" t="s">
        <v>190</v>
      </c>
      <c r="AA14689" t="s">
        <v>118</v>
      </c>
      <c r="AB14689" t="s">
        <v>119</v>
      </c>
    </row>
    <row r="14690" ht="15" customHeight="1" spans="1:22" x14ac:dyDescent="0.25">
      <c r="A14690" s="17" t="s">
        <v>39619</v>
      </c>
      <c r="B14690" s="17" t="s">
        <v>70</v>
      </c>
      <c r="C14690" s="17" t="s">
        <v>71</v>
      </c>
      <c r="D14690" t="s">
        <v>39613</v>
      </c>
      <c r="F14690" t="s">
        <v>39620</v>
      </c>
      <c r="K14690" s="18">
        <f>62811178936</f>
        <v>62811178936</v>
      </c>
      <c r="N14690" s="17" t="s">
        <v>81</v>
      </c>
      <c r="V14690" s="18">
        <f>62811178936</f>
        <v>62811178936</v>
      </c>
    </row>
    <row r="14691" ht="15" customHeight="1" spans="1:22" x14ac:dyDescent="0.25">
      <c r="A14691" s="17" t="s">
        <v>39621</v>
      </c>
      <c r="B14691" s="17" t="s">
        <v>70</v>
      </c>
      <c r="C14691" s="17" t="s">
        <v>71</v>
      </c>
      <c r="D14691" t="s">
        <v>39613</v>
      </c>
      <c r="F14691" t="s">
        <v>6671</v>
      </c>
      <c r="K14691" s="18">
        <f>62811930312</f>
        <v>62811930312</v>
      </c>
      <c r="N14691" s="17" t="s">
        <v>77</v>
      </c>
      <c r="V14691" s="18">
        <f>62811930312</f>
        <v>62811930312</v>
      </c>
    </row>
    <row r="14692" ht="15" customHeight="1" spans="1:22" x14ac:dyDescent="0.25">
      <c r="A14692" s="17" t="s">
        <v>39622</v>
      </c>
      <c r="B14692" s="17" t="s">
        <v>70</v>
      </c>
      <c r="C14692" s="17" t="s">
        <v>71</v>
      </c>
      <c r="D14692" t="s">
        <v>39613</v>
      </c>
      <c r="F14692" t="s">
        <v>39623</v>
      </c>
      <c r="K14692" s="18">
        <f>6281316117777</f>
        <v>6281316117777</v>
      </c>
      <c r="N14692" s="17" t="s">
        <v>77</v>
      </c>
      <c r="V14692" s="18">
        <f>6281316117777</f>
        <v>6281316117777</v>
      </c>
    </row>
    <row r="14693" ht="15" customHeight="1" spans="1:22" x14ac:dyDescent="0.25">
      <c r="A14693" s="17" t="s">
        <v>39624</v>
      </c>
      <c r="B14693" s="17" t="s">
        <v>70</v>
      </c>
      <c r="C14693" s="17" t="s">
        <v>71</v>
      </c>
      <c r="D14693" t="s">
        <v>39613</v>
      </c>
      <c r="F14693" t="s">
        <v>16593</v>
      </c>
      <c r="K14693" s="18">
        <f>6281234599752</f>
        <v>6281234599752</v>
      </c>
      <c r="N14693" s="17" t="s">
        <v>77</v>
      </c>
      <c r="V14693" s="18">
        <f>6281234599752</f>
        <v>6281234599752</v>
      </c>
    </row>
    <row r="14694" ht="15" customHeight="1" spans="1:22" x14ac:dyDescent="0.25">
      <c r="A14694" s="17" t="s">
        <v>39625</v>
      </c>
      <c r="B14694" s="17" t="s">
        <v>70</v>
      </c>
      <c r="C14694" s="17" t="s">
        <v>71</v>
      </c>
      <c r="D14694" t="s">
        <v>39613</v>
      </c>
      <c r="F14694" t="s">
        <v>39626</v>
      </c>
      <c r="K14694" s="18">
        <f>628154002537</f>
        <v>628154002537</v>
      </c>
      <c r="N14694" s="17" t="s">
        <v>81</v>
      </c>
      <c r="V14694" s="18">
        <f>628154002537</f>
        <v>628154002537</v>
      </c>
    </row>
    <row r="14695" ht="15" customHeight="1" spans="1:23" x14ac:dyDescent="0.25">
      <c r="A14695" s="17" t="s">
        <v>39627</v>
      </c>
      <c r="B14695" s="17" t="s">
        <v>70</v>
      </c>
      <c r="C14695" s="17" t="s">
        <v>71</v>
      </c>
      <c r="D14695" t="s">
        <v>39628</v>
      </c>
      <c r="F14695" t="s">
        <v>39629</v>
      </c>
      <c r="J14695" s="17" t="s">
        <v>39630</v>
      </c>
      <c r="K14695" s="18">
        <f>62811144466</f>
        <v>62811144466</v>
      </c>
      <c r="N14695" s="17" t="s">
        <v>77</v>
      </c>
      <c r="U14695" s="17"/>
      <c r="V14695" s="18">
        <f>62811144466</f>
        <v>62811144466</v>
      </c>
      <c r="W14695" t="s">
        <v>39631</v>
      </c>
    </row>
    <row r="14696" ht="15" customHeight="1" spans="1:22" x14ac:dyDescent="0.25">
      <c r="A14696" s="17" t="s">
        <v>39632</v>
      </c>
      <c r="B14696" s="17" t="s">
        <v>70</v>
      </c>
      <c r="C14696" s="17" t="s">
        <v>71</v>
      </c>
      <c r="D14696" t="s">
        <v>39633</v>
      </c>
      <c r="F14696" t="s">
        <v>39633</v>
      </c>
      <c r="K14696" s="18">
        <f>6281288706863</f>
        <v>6281288706863</v>
      </c>
      <c r="N14696" s="17" t="s">
        <v>81</v>
      </c>
      <c r="V14696" s="18">
        <f>6281288706863</f>
        <v>6281288706863</v>
      </c>
    </row>
    <row r="14697" ht="15" customHeight="1" spans="1:22" x14ac:dyDescent="0.25">
      <c r="A14697" s="17" t="s">
        <v>39634</v>
      </c>
      <c r="B14697" s="17" t="s">
        <v>70</v>
      </c>
      <c r="C14697" s="17" t="s">
        <v>71</v>
      </c>
      <c r="D14697" t="s">
        <v>39633</v>
      </c>
      <c r="F14697" t="s">
        <v>39633</v>
      </c>
      <c r="K14697" s="18">
        <f>6281331469999</f>
        <v>6281331469999</v>
      </c>
      <c r="N14697" s="17" t="s">
        <v>81</v>
      </c>
      <c r="V14697" s="18">
        <f>6281331469999</f>
        <v>6281331469999</v>
      </c>
    </row>
    <row r="14698" ht="15" customHeight="1" spans="1:23" x14ac:dyDescent="0.25">
      <c r="A14698" s="17" t="s">
        <v>39635</v>
      </c>
      <c r="B14698" s="17" t="s">
        <v>70</v>
      </c>
      <c r="C14698" s="17" t="s">
        <v>71</v>
      </c>
      <c r="D14698" t="s">
        <v>39633</v>
      </c>
      <c r="F14698" t="s">
        <v>39636</v>
      </c>
      <c r="K14698" s="18">
        <f>62811216400</f>
        <v>62811216400</v>
      </c>
      <c r="N14698" s="17" t="s">
        <v>81</v>
      </c>
      <c r="U14698" s="17"/>
      <c r="V14698" s="18">
        <f>62811216400</f>
        <v>62811216400</v>
      </c>
      <c r="W14698" t="s">
        <v>39637</v>
      </c>
    </row>
    <row r="14699" ht="15" customHeight="1" spans="1:27" x14ac:dyDescent="0.25">
      <c r="A14699" s="17" t="s">
        <v>39638</v>
      </c>
      <c r="B14699" s="17" t="s">
        <v>70</v>
      </c>
      <c r="C14699" s="17" t="s">
        <v>71</v>
      </c>
      <c r="D14699" t="s">
        <v>39633</v>
      </c>
      <c r="F14699" t="s">
        <v>7002</v>
      </c>
      <c r="J14699" s="17" t="s">
        <v>39639</v>
      </c>
      <c r="K14699" s="18">
        <f>8613501256230</f>
        <v>8613501256230</v>
      </c>
      <c r="N14699" s="17" t="s">
        <v>77</v>
      </c>
      <c r="U14699" s="17"/>
      <c r="V14699" s="18">
        <f>8613501256230</f>
        <v>8613501256230</v>
      </c>
      <c r="W14699" t="s">
        <v>39640</v>
      </c>
      <c r="Y14699" s="17" t="s">
        <v>5998</v>
      </c>
      <c r="AA14699" s="17">
        <v>100018</v>
      </c>
    </row>
    <row r="14700" ht="15" customHeight="1" spans="1:28" x14ac:dyDescent="0.25">
      <c r="A14700" s="17" t="s">
        <v>39641</v>
      </c>
      <c r="B14700" s="17" t="s">
        <v>70</v>
      </c>
      <c r="C14700" s="17" t="s">
        <v>71</v>
      </c>
      <c r="D14700" t="s">
        <v>39642</v>
      </c>
      <c r="F14700" t="s">
        <v>39643</v>
      </c>
      <c r="J14700" t="s">
        <v>115</v>
      </c>
      <c r="K14700" s="18" t="s">
        <v>39644</v>
      </c>
      <c r="N14700" s="17" t="s">
        <v>81</v>
      </c>
      <c r="O14700" t="s">
        <v>117</v>
      </c>
      <c r="U14700" s="17"/>
      <c r="V14700" s="18" t="s">
        <v>39644</v>
      </c>
      <c r="W14700" t="s">
        <v>39645</v>
      </c>
      <c r="Y14700" t="s">
        <v>515</v>
      </c>
      <c r="AA14700" t="s">
        <v>1614</v>
      </c>
      <c r="AB14700" t="s">
        <v>119</v>
      </c>
    </row>
    <row r="14701" ht="15" customHeight="1" spans="1:28" x14ac:dyDescent="0.25">
      <c r="A14701" s="17" t="s">
        <v>39646</v>
      </c>
      <c r="B14701" s="17" t="s">
        <v>70</v>
      </c>
      <c r="C14701" s="17" t="s">
        <v>71</v>
      </c>
      <c r="D14701" t="s">
        <v>5274</v>
      </c>
      <c r="F14701" t="s">
        <v>2788</v>
      </c>
      <c r="J14701" t="s">
        <v>115</v>
      </c>
      <c r="K14701" s="18" t="s">
        <v>39647</v>
      </c>
      <c r="N14701" s="17" t="s">
        <v>77</v>
      </c>
      <c r="O14701" t="s">
        <v>489</v>
      </c>
      <c r="V14701" s="18" t="s">
        <v>39647</v>
      </c>
      <c r="Y14701" t="s">
        <v>90</v>
      </c>
      <c r="AA14701" t="s">
        <v>118</v>
      </c>
      <c r="AB14701" t="s">
        <v>119</v>
      </c>
    </row>
    <row r="14702" ht="15" customHeight="1" spans="1:28" x14ac:dyDescent="0.25">
      <c r="A14702" s="17" t="s">
        <v>39648</v>
      </c>
      <c r="B14702" s="17" t="s">
        <v>70</v>
      </c>
      <c r="C14702" s="17" t="s">
        <v>71</v>
      </c>
      <c r="D14702" t="s">
        <v>5274</v>
      </c>
      <c r="F14702" t="s">
        <v>3767</v>
      </c>
      <c r="J14702" t="s">
        <v>115</v>
      </c>
      <c r="K14702" s="18" t="s">
        <v>39649</v>
      </c>
      <c r="N14702" s="17" t="s">
        <v>81</v>
      </c>
      <c r="O14702" t="s">
        <v>117</v>
      </c>
      <c r="V14702" s="18" t="s">
        <v>39649</v>
      </c>
      <c r="Y14702" t="s">
        <v>90</v>
      </c>
      <c r="AA14702" t="s">
        <v>118</v>
      </c>
      <c r="AB14702" t="s">
        <v>119</v>
      </c>
    </row>
    <row r="14703" ht="15" customHeight="1" spans="1:22" x14ac:dyDescent="0.25">
      <c r="A14703" s="17" t="s">
        <v>39650</v>
      </c>
      <c r="B14703" s="17" t="s">
        <v>70</v>
      </c>
      <c r="C14703" s="17" t="s">
        <v>71</v>
      </c>
      <c r="D14703" t="s">
        <v>5274</v>
      </c>
      <c r="F14703" t="s">
        <v>39651</v>
      </c>
      <c r="K14703" s="18">
        <f>62811914949</f>
        <v>62811914949</v>
      </c>
      <c r="N14703" s="17" t="s">
        <v>81</v>
      </c>
      <c r="V14703" s="18">
        <f>62811914949</f>
        <v>62811914949</v>
      </c>
    </row>
    <row r="14704" ht="15" customHeight="1" spans="1:22" x14ac:dyDescent="0.25">
      <c r="A14704" s="17" t="s">
        <v>39652</v>
      </c>
      <c r="B14704" s="17" t="s">
        <v>70</v>
      </c>
      <c r="C14704" s="17" t="s">
        <v>71</v>
      </c>
      <c r="D14704" t="s">
        <v>5274</v>
      </c>
      <c r="F14704" t="s">
        <v>8031</v>
      </c>
      <c r="K14704" s="18">
        <f>628116531010</f>
        <v>628116531010</v>
      </c>
      <c r="N14704" s="17" t="s">
        <v>81</v>
      </c>
      <c r="V14704" s="18">
        <f>628116531010</f>
        <v>628116531010</v>
      </c>
    </row>
    <row r="14705" ht="15" customHeight="1" spans="1:23" x14ac:dyDescent="0.25">
      <c r="A14705" s="17" t="s">
        <v>39653</v>
      </c>
      <c r="B14705" s="17" t="s">
        <v>70</v>
      </c>
      <c r="C14705" s="17" t="s">
        <v>71</v>
      </c>
      <c r="D14705" t="s">
        <v>5274</v>
      </c>
      <c r="F14705" t="s">
        <v>3510</v>
      </c>
      <c r="K14705" s="18">
        <f>6287884667605</f>
        <v>6287884667605</v>
      </c>
      <c r="N14705" s="17" t="s">
        <v>81</v>
      </c>
      <c r="U14705" s="17"/>
      <c r="V14705" s="18">
        <f>6287884667605</f>
        <v>6287884667605</v>
      </c>
      <c r="W14705" t="s">
        <v>39654</v>
      </c>
    </row>
    <row r="14706" ht="15" customHeight="1" spans="1:28" x14ac:dyDescent="0.25">
      <c r="A14706" s="17" t="s">
        <v>39655</v>
      </c>
      <c r="B14706" s="17" t="s">
        <v>70</v>
      </c>
      <c r="C14706" s="17" t="s">
        <v>71</v>
      </c>
      <c r="D14706" t="s">
        <v>5274</v>
      </c>
      <c r="F14706" t="s">
        <v>39656</v>
      </c>
      <c r="J14706" s="17" t="s">
        <v>39657</v>
      </c>
      <c r="K14706" s="18" t="s">
        <v>39658</v>
      </c>
      <c r="N14706" s="17" t="s">
        <v>77</v>
      </c>
      <c r="O14706" t="s">
        <v>117</v>
      </c>
      <c r="V14706" s="18" t="s">
        <v>39658</v>
      </c>
      <c r="Y14706" t="s">
        <v>190</v>
      </c>
      <c r="AA14706" t="s">
        <v>118</v>
      </c>
      <c r="AB14706" t="s">
        <v>119</v>
      </c>
    </row>
    <row r="14707" ht="15" customHeight="1" spans="1:28" x14ac:dyDescent="0.25">
      <c r="A14707" s="17" t="s">
        <v>39659</v>
      </c>
      <c r="B14707" s="17" t="s">
        <v>70</v>
      </c>
      <c r="C14707" s="17" t="s">
        <v>71</v>
      </c>
      <c r="D14707" t="s">
        <v>5274</v>
      </c>
      <c r="F14707" t="s">
        <v>864</v>
      </c>
      <c r="J14707" t="s">
        <v>115</v>
      </c>
      <c r="K14707" s="18" t="s">
        <v>39660</v>
      </c>
      <c r="N14707" s="17" t="s">
        <v>77</v>
      </c>
      <c r="O14707" t="s">
        <v>261</v>
      </c>
      <c r="V14707" s="18" t="s">
        <v>39660</v>
      </c>
      <c r="Y14707" t="s">
        <v>90</v>
      </c>
      <c r="AA14707" t="s">
        <v>118</v>
      </c>
      <c r="AB14707" t="s">
        <v>119</v>
      </c>
    </row>
    <row r="14708" ht="15" customHeight="1" spans="1:22" x14ac:dyDescent="0.25">
      <c r="A14708" s="17" t="s">
        <v>39661</v>
      </c>
      <c r="B14708" s="17" t="s">
        <v>70</v>
      </c>
      <c r="C14708" s="17" t="s">
        <v>71</v>
      </c>
      <c r="D14708" t="s">
        <v>5274</v>
      </c>
      <c r="F14708" t="s">
        <v>1891</v>
      </c>
      <c r="K14708" s="18">
        <f>6281333064848</f>
        <v>6281333064848</v>
      </c>
      <c r="N14708" s="17" t="s">
        <v>77</v>
      </c>
      <c r="V14708" s="18">
        <f>6281333064848</f>
        <v>6281333064848</v>
      </c>
    </row>
    <row r="14709" ht="15" customHeight="1" spans="1:23" x14ac:dyDescent="0.25">
      <c r="A14709" s="17" t="s">
        <v>39662</v>
      </c>
      <c r="B14709" s="17" t="s">
        <v>70</v>
      </c>
      <c r="C14709" s="17" t="s">
        <v>71</v>
      </c>
      <c r="D14709" t="s">
        <v>5274</v>
      </c>
      <c r="F14709" t="s">
        <v>39663</v>
      </c>
      <c r="K14709" s="18">
        <f>6281296170006</f>
        <v>6281296170006</v>
      </c>
      <c r="N14709" s="17" t="s">
        <v>77</v>
      </c>
      <c r="U14709" s="17"/>
      <c r="V14709" s="18">
        <f>6281296170006</f>
        <v>6281296170006</v>
      </c>
      <c r="W14709" t="s">
        <v>90</v>
      </c>
    </row>
    <row r="14710" ht="15" customHeight="1" spans="1:28" x14ac:dyDescent="0.25">
      <c r="A14710" s="17" t="s">
        <v>39664</v>
      </c>
      <c r="B14710" s="17" t="s">
        <v>70</v>
      </c>
      <c r="C14710" s="17" t="s">
        <v>71</v>
      </c>
      <c r="D14710" t="s">
        <v>5274</v>
      </c>
      <c r="F14710" t="s">
        <v>39665</v>
      </c>
      <c r="J14710" t="s">
        <v>39666</v>
      </c>
      <c r="K14710" s="18" t="s">
        <v>39667</v>
      </c>
      <c r="N14710" s="17" t="s">
        <v>77</v>
      </c>
      <c r="O14710" t="s">
        <v>489</v>
      </c>
      <c r="V14710" s="18" t="s">
        <v>39667</v>
      </c>
      <c r="Y14710" t="s">
        <v>90</v>
      </c>
      <c r="AA14710" t="s">
        <v>118</v>
      </c>
      <c r="AB14710" t="s">
        <v>119</v>
      </c>
    </row>
    <row r="14711" ht="15" customHeight="1" spans="1:25" x14ac:dyDescent="0.25">
      <c r="A14711" s="17" t="s">
        <v>39668</v>
      </c>
      <c r="B14711" s="17" t="s">
        <v>70</v>
      </c>
      <c r="C14711" s="17" t="s">
        <v>71</v>
      </c>
      <c r="D14711" t="s">
        <v>5274</v>
      </c>
      <c r="F14711" t="s">
        <v>36881</v>
      </c>
      <c r="J14711" s="17" t="s">
        <v>39669</v>
      </c>
      <c r="K14711" s="18">
        <f>6281288993286</f>
        <v>6281288993286</v>
      </c>
      <c r="N14711" s="17" t="s">
        <v>77</v>
      </c>
      <c r="U14711" s="17"/>
      <c r="V14711" s="18">
        <f>6281288993286</f>
        <v>6281288993286</v>
      </c>
      <c r="W14711" t="s">
        <v>39670</v>
      </c>
      <c r="Y14711" s="17" t="s">
        <v>96</v>
      </c>
    </row>
    <row r="14712" ht="15" customHeight="1" spans="1:23" x14ac:dyDescent="0.25">
      <c r="A14712" s="17" t="s">
        <v>39671</v>
      </c>
      <c r="B14712" s="17" t="s">
        <v>70</v>
      </c>
      <c r="C14712" s="17" t="s">
        <v>71</v>
      </c>
      <c r="D14712" t="s">
        <v>5274</v>
      </c>
      <c r="F14712" t="s">
        <v>10899</v>
      </c>
      <c r="K14712" s="18">
        <f>6281297462058</f>
        <v>6281297462058</v>
      </c>
      <c r="N14712" s="17" t="s">
        <v>77</v>
      </c>
      <c r="U14712" s="17"/>
      <c r="V14712" s="18">
        <f>6281297462058</f>
        <v>6281297462058</v>
      </c>
      <c r="W14712" t="s">
        <v>39672</v>
      </c>
    </row>
    <row r="14713" ht="15" customHeight="1" spans="1:28" x14ac:dyDescent="0.25">
      <c r="A14713" s="17" t="s">
        <v>39673</v>
      </c>
      <c r="B14713" s="17" t="s">
        <v>70</v>
      </c>
      <c r="C14713" s="17" t="s">
        <v>71</v>
      </c>
      <c r="D14713" t="s">
        <v>5274</v>
      </c>
      <c r="F14713" t="s">
        <v>39674</v>
      </c>
      <c r="J14713" s="17" t="s">
        <v>39675</v>
      </c>
      <c r="K14713" s="18" t="s">
        <v>39676</v>
      </c>
      <c r="N14713" s="17" t="s">
        <v>77</v>
      </c>
      <c r="O14713" t="s">
        <v>145</v>
      </c>
      <c r="U14713" s="17"/>
      <c r="V14713" s="18" t="s">
        <v>39676</v>
      </c>
      <c r="W14713" t="s">
        <v>39677</v>
      </c>
      <c r="Y14713" t="s">
        <v>90</v>
      </c>
      <c r="AA14713" t="s">
        <v>118</v>
      </c>
      <c r="AB14713" t="s">
        <v>119</v>
      </c>
    </row>
    <row r="14714" ht="15" customHeight="1" spans="1:22" x14ac:dyDescent="0.25">
      <c r="A14714" s="17" t="s">
        <v>39678</v>
      </c>
      <c r="B14714" s="17" t="s">
        <v>70</v>
      </c>
      <c r="C14714" s="17" t="s">
        <v>71</v>
      </c>
      <c r="D14714" t="s">
        <v>39679</v>
      </c>
      <c r="F14714" t="s">
        <v>39680</v>
      </c>
      <c r="K14714" s="18">
        <f>62811720315</f>
        <v>62811720315</v>
      </c>
      <c r="N14714" s="17" t="s">
        <v>81</v>
      </c>
      <c r="V14714" s="18">
        <f>62811720315</f>
        <v>62811720315</v>
      </c>
    </row>
    <row r="14715" ht="15" customHeight="1" spans="1:28" x14ac:dyDescent="0.25">
      <c r="A14715" s="17" t="s">
        <v>39681</v>
      </c>
      <c r="B14715" s="17" t="s">
        <v>70</v>
      </c>
      <c r="C14715" s="17" t="s">
        <v>71</v>
      </c>
      <c r="D14715" t="s">
        <v>23118</v>
      </c>
      <c r="F14715" t="s">
        <v>6671</v>
      </c>
      <c r="J14715" s="17" t="s">
        <v>39682</v>
      </c>
      <c r="K14715" s="18" t="s">
        <v>39683</v>
      </c>
      <c r="N14715" s="17" t="s">
        <v>77</v>
      </c>
      <c r="O14715" t="s">
        <v>489</v>
      </c>
      <c r="U14715" s="17"/>
      <c r="V14715" s="18" t="s">
        <v>39683</v>
      </c>
      <c r="W14715" t="s">
        <v>39684</v>
      </c>
      <c r="Y14715" s="17" t="s">
        <v>1084</v>
      </c>
      <c r="AA14715" s="17" t="s">
        <v>3146</v>
      </c>
      <c r="AB14715" t="s">
        <v>119</v>
      </c>
    </row>
    <row r="14716" ht="15" customHeight="1" spans="1:22" x14ac:dyDescent="0.25">
      <c r="A14716" s="17" t="s">
        <v>39685</v>
      </c>
      <c r="B14716" s="17" t="s">
        <v>70</v>
      </c>
      <c r="C14716" s="17" t="s">
        <v>71</v>
      </c>
      <c r="D14716" t="s">
        <v>23118</v>
      </c>
      <c r="F14716" t="s">
        <v>39686</v>
      </c>
      <c r="K14716" s="18">
        <f>628129926727</f>
        <v>628129926727</v>
      </c>
      <c r="N14716" s="17" t="s">
        <v>77</v>
      </c>
      <c r="V14716" s="18">
        <f>628129926727</f>
        <v>628129926727</v>
      </c>
    </row>
    <row r="14717" ht="15" customHeight="1" spans="1:22" x14ac:dyDescent="0.25">
      <c r="A14717" s="17" t="s">
        <v>39687</v>
      </c>
      <c r="B14717" s="17" t="s">
        <v>70</v>
      </c>
      <c r="C14717" s="17" t="s">
        <v>71</v>
      </c>
      <c r="D14717" t="s">
        <v>39688</v>
      </c>
      <c r="F14717" t="s">
        <v>39688</v>
      </c>
      <c r="J14717" s="17" t="s">
        <v>39689</v>
      </c>
      <c r="K14717" s="18">
        <f>628123037955</f>
        <v>628123037955</v>
      </c>
      <c r="N14717" s="17" t="s">
        <v>81</v>
      </c>
      <c r="V14717" s="18">
        <f>628123037955</f>
        <v>628123037955</v>
      </c>
    </row>
    <row r="14718" ht="15" customHeight="1" spans="1:22" x14ac:dyDescent="0.25">
      <c r="A14718" s="17" t="s">
        <v>39690</v>
      </c>
      <c r="B14718" s="17" t="s">
        <v>70</v>
      </c>
      <c r="C14718" s="17" t="s">
        <v>71</v>
      </c>
      <c r="D14718" t="s">
        <v>39691</v>
      </c>
      <c r="F14718" t="s">
        <v>39692</v>
      </c>
      <c r="K14718" s="18">
        <f>628119880547</f>
        <v>628119880547</v>
      </c>
      <c r="N14718" s="17" t="s">
        <v>77</v>
      </c>
      <c r="V14718" s="18">
        <f>628119880547</f>
        <v>628119880547</v>
      </c>
    </row>
    <row r="14719" ht="15" customHeight="1" spans="1:28" x14ac:dyDescent="0.25">
      <c r="A14719" s="17" t="s">
        <v>39693</v>
      </c>
      <c r="B14719" s="17" t="s">
        <v>70</v>
      </c>
      <c r="C14719" s="17" t="s">
        <v>71</v>
      </c>
      <c r="D14719" t="s">
        <v>39694</v>
      </c>
      <c r="F14719" t="s">
        <v>39695</v>
      </c>
      <c r="J14719" s="17" t="s">
        <v>39696</v>
      </c>
      <c r="K14719" s="18" t="s">
        <v>39697</v>
      </c>
      <c r="N14719" s="17" t="s">
        <v>77</v>
      </c>
      <c r="O14719" t="s">
        <v>489</v>
      </c>
      <c r="V14719" s="18" t="s">
        <v>39697</v>
      </c>
      <c r="Y14719" t="s">
        <v>190</v>
      </c>
      <c r="AA14719" t="s">
        <v>118</v>
      </c>
      <c r="AB14719" t="s">
        <v>119</v>
      </c>
    </row>
    <row r="14720" ht="15" customHeight="1" spans="1:28" x14ac:dyDescent="0.25">
      <c r="A14720" s="17" t="s">
        <v>39698</v>
      </c>
      <c r="B14720" s="17" t="s">
        <v>70</v>
      </c>
      <c r="C14720" s="17" t="s">
        <v>71</v>
      </c>
      <c r="D14720" t="s">
        <v>39397</v>
      </c>
      <c r="F14720" t="s">
        <v>4248</v>
      </c>
      <c r="J14720" s="17" t="s">
        <v>39699</v>
      </c>
      <c r="K14720" s="18" t="s">
        <v>39700</v>
      </c>
      <c r="N14720" s="17" t="s">
        <v>77</v>
      </c>
      <c r="O14720" t="s">
        <v>199</v>
      </c>
      <c r="U14720" s="17"/>
      <c r="V14720" s="18" t="s">
        <v>39700</v>
      </c>
      <c r="W14720" t="s">
        <v>39701</v>
      </c>
      <c r="Y14720" t="s">
        <v>190</v>
      </c>
      <c r="AA14720" t="s">
        <v>118</v>
      </c>
      <c r="AB14720" t="s">
        <v>119</v>
      </c>
    </row>
    <row r="14721" ht="15" customHeight="1" spans="1:22" x14ac:dyDescent="0.25">
      <c r="A14721" s="17" t="s">
        <v>39702</v>
      </c>
      <c r="B14721" s="17" t="s">
        <v>70</v>
      </c>
      <c r="C14721" s="17" t="s">
        <v>71</v>
      </c>
      <c r="D14721" t="s">
        <v>39397</v>
      </c>
      <c r="F14721" t="s">
        <v>14357</v>
      </c>
      <c r="K14721" s="18">
        <f>62817100555</f>
        <v>62817100555</v>
      </c>
      <c r="N14721" s="17" t="s">
        <v>77</v>
      </c>
      <c r="V14721" s="18">
        <f>62817100555</f>
        <v>62817100555</v>
      </c>
    </row>
    <row r="14722" ht="15" customHeight="1" spans="1:22" x14ac:dyDescent="0.25">
      <c r="A14722" s="17" t="s">
        <v>39703</v>
      </c>
      <c r="B14722" s="17" t="s">
        <v>70</v>
      </c>
      <c r="C14722" s="17" t="s">
        <v>71</v>
      </c>
      <c r="D14722" t="s">
        <v>39397</v>
      </c>
      <c r="F14722" t="s">
        <v>39704</v>
      </c>
      <c r="K14722" s="18">
        <f>6281252944888</f>
        <v>6281252944888</v>
      </c>
      <c r="N14722" s="17" t="s">
        <v>81</v>
      </c>
      <c r="V14722" s="18">
        <f>6281252944888</f>
        <v>6281252944888</v>
      </c>
    </row>
    <row r="14723" ht="15" customHeight="1" spans="1:22" x14ac:dyDescent="0.25">
      <c r="A14723" s="17" t="s">
        <v>39705</v>
      </c>
      <c r="B14723" s="17" t="s">
        <v>70</v>
      </c>
      <c r="C14723" s="17" t="s">
        <v>71</v>
      </c>
      <c r="D14723" t="s">
        <v>39397</v>
      </c>
      <c r="F14723" t="s">
        <v>19845</v>
      </c>
      <c r="K14723" s="18">
        <f>19178656907</f>
        <v>19178656907</v>
      </c>
      <c r="N14723" s="17" t="s">
        <v>77</v>
      </c>
      <c r="V14723" s="18">
        <f>19178656907</f>
        <v>19178656907</v>
      </c>
    </row>
    <row r="14724" ht="15" customHeight="1" spans="1:25" x14ac:dyDescent="0.25">
      <c r="A14724" s="17" t="s">
        <v>39706</v>
      </c>
      <c r="B14724" s="17" t="s">
        <v>70</v>
      </c>
      <c r="C14724" s="17" t="s">
        <v>71</v>
      </c>
      <c r="D14724" t="s">
        <v>39397</v>
      </c>
      <c r="F14724" t="s">
        <v>39397</v>
      </c>
      <c r="K14724" s="18">
        <f>628126082008</f>
        <v>628126082008</v>
      </c>
      <c r="N14724" s="17" t="s">
        <v>77</v>
      </c>
      <c r="U14724" s="17"/>
      <c r="V14724" s="18">
        <f>628126082008</f>
        <v>628126082008</v>
      </c>
      <c r="W14724" t="s">
        <v>39707</v>
      </c>
      <c r="Y14724" s="17" t="s">
        <v>1157</v>
      </c>
    </row>
    <row r="14725" ht="15" customHeight="1" spans="1:22" x14ac:dyDescent="0.25">
      <c r="A14725" s="17" t="s">
        <v>39708</v>
      </c>
      <c r="B14725" s="17" t="s">
        <v>70</v>
      </c>
      <c r="C14725" s="17" t="s">
        <v>71</v>
      </c>
      <c r="D14725" t="s">
        <v>39709</v>
      </c>
      <c r="F14725" t="s">
        <v>39710</v>
      </c>
      <c r="J14725" s="17" t="s">
        <v>39711</v>
      </c>
      <c r="K14725" s="18">
        <f>62811880103</f>
        <v>62811880103</v>
      </c>
      <c r="N14725" s="17" t="s">
        <v>77</v>
      </c>
      <c r="V14725" s="18">
        <f>62811880103</f>
        <v>62811880103</v>
      </c>
    </row>
    <row r="14726" ht="15" customHeight="1" spans="1:22" x14ac:dyDescent="0.25">
      <c r="A14726" s="17" t="s">
        <v>39712</v>
      </c>
      <c r="B14726" s="17" t="s">
        <v>70</v>
      </c>
      <c r="C14726" s="17" t="s">
        <v>71</v>
      </c>
      <c r="D14726" t="s">
        <v>34997</v>
      </c>
      <c r="F14726" t="s">
        <v>34997</v>
      </c>
      <c r="K14726" s="18">
        <f>6281222987987</f>
        <v>6281222987987</v>
      </c>
      <c r="N14726" s="17" t="s">
        <v>77</v>
      </c>
      <c r="V14726" s="18">
        <f>6281222987987</f>
        <v>6281222987987</v>
      </c>
    </row>
    <row r="14727" ht="15" customHeight="1" spans="1:22" x14ac:dyDescent="0.25">
      <c r="A14727" s="17" t="s">
        <v>39713</v>
      </c>
      <c r="B14727" s="17" t="s">
        <v>70</v>
      </c>
      <c r="C14727" s="17" t="s">
        <v>71</v>
      </c>
      <c r="D14727" t="s">
        <v>34997</v>
      </c>
      <c r="F14727" t="s">
        <v>34997</v>
      </c>
      <c r="K14727" s="18">
        <f>6281345444878</f>
        <v>6281345444878</v>
      </c>
      <c r="N14727" s="17" t="s">
        <v>81</v>
      </c>
      <c r="V14727" s="18">
        <f>6281345444878</f>
        <v>6281345444878</v>
      </c>
    </row>
    <row r="14728" ht="15" customHeight="1" spans="1:23" x14ac:dyDescent="0.25">
      <c r="A14728" s="17" t="s">
        <v>39714</v>
      </c>
      <c r="B14728" s="17" t="s">
        <v>70</v>
      </c>
      <c r="C14728" s="17" t="s">
        <v>71</v>
      </c>
      <c r="D14728" t="s">
        <v>34997</v>
      </c>
      <c r="F14728" t="s">
        <v>34997</v>
      </c>
      <c r="K14728" s="18">
        <f>628131110200</f>
        <v>628131110200</v>
      </c>
      <c r="N14728" s="17" t="s">
        <v>77</v>
      </c>
      <c r="U14728" s="17"/>
      <c r="V14728" s="18">
        <f>628131110200</f>
        <v>628131110200</v>
      </c>
      <c r="W14728" t="s">
        <v>39715</v>
      </c>
    </row>
    <row r="14729" ht="15" customHeight="1" spans="1:28" x14ac:dyDescent="0.25">
      <c r="A14729" s="17" t="s">
        <v>39716</v>
      </c>
      <c r="B14729" s="17" t="s">
        <v>70</v>
      </c>
      <c r="C14729" s="17" t="s">
        <v>71</v>
      </c>
      <c r="D14729" t="s">
        <v>39717</v>
      </c>
      <c r="F14729" t="s">
        <v>39718</v>
      </c>
      <c r="J14729" s="17" t="s">
        <v>39719</v>
      </c>
      <c r="K14729" s="18" t="s">
        <v>39720</v>
      </c>
      <c r="N14729" s="17" t="s">
        <v>74</v>
      </c>
      <c r="O14729" t="s">
        <v>117</v>
      </c>
      <c r="V14729" s="18" t="s">
        <v>39720</v>
      </c>
      <c r="Y14729" s="17" t="s">
        <v>90</v>
      </c>
      <c r="AA14729" t="s">
        <v>118</v>
      </c>
      <c r="AB14729" t="s">
        <v>119</v>
      </c>
    </row>
    <row r="14730" ht="15" customHeight="1" spans="1:25" x14ac:dyDescent="0.25">
      <c r="A14730" s="17" t="s">
        <v>39721</v>
      </c>
      <c r="B14730" s="17" t="s">
        <v>70</v>
      </c>
      <c r="C14730" s="17" t="s">
        <v>71</v>
      </c>
      <c r="D14730" t="s">
        <v>34997</v>
      </c>
      <c r="F14730" t="s">
        <v>39722</v>
      </c>
      <c r="K14730" s="18">
        <f>628158055517</f>
        <v>628158055517</v>
      </c>
      <c r="N14730" s="17" t="s">
        <v>77</v>
      </c>
      <c r="U14730" s="17"/>
      <c r="V14730" s="18">
        <f>628158055517</f>
        <v>628158055517</v>
      </c>
      <c r="W14730" t="s">
        <v>39723</v>
      </c>
      <c r="Y14730" s="17" t="s">
        <v>90</v>
      </c>
    </row>
    <row r="14731" ht="15" customHeight="1" spans="1:28" x14ac:dyDescent="0.25">
      <c r="A14731" s="17" t="s">
        <v>39724</v>
      </c>
      <c r="B14731" s="17" t="s">
        <v>70</v>
      </c>
      <c r="C14731" s="17" t="s">
        <v>71</v>
      </c>
      <c r="D14731" t="s">
        <v>10366</v>
      </c>
      <c r="F14731" t="s">
        <v>799</v>
      </c>
      <c r="J14731" t="s">
        <v>115</v>
      </c>
      <c r="K14731" s="18" t="s">
        <v>39725</v>
      </c>
      <c r="N14731" s="17" t="s">
        <v>77</v>
      </c>
      <c r="O14731" t="s">
        <v>117</v>
      </c>
      <c r="V14731" s="18" t="s">
        <v>39725</v>
      </c>
      <c r="Y14731" t="s">
        <v>90</v>
      </c>
      <c r="AA14731" t="s">
        <v>118</v>
      </c>
      <c r="AB14731" t="s">
        <v>119</v>
      </c>
    </row>
    <row r="14732" ht="15" customHeight="1" spans="1:25" x14ac:dyDescent="0.25">
      <c r="A14732" s="17" t="s">
        <v>39726</v>
      </c>
      <c r="B14732" s="17" t="s">
        <v>70</v>
      </c>
      <c r="C14732" s="17" t="s">
        <v>71</v>
      </c>
      <c r="D14732" t="s">
        <v>34997</v>
      </c>
      <c r="F14732" t="s">
        <v>39727</v>
      </c>
      <c r="J14732" s="17" t="s">
        <v>39728</v>
      </c>
      <c r="K14732" s="18">
        <f>6281315387530</f>
        <v>6281315387530</v>
      </c>
      <c r="N14732" s="17" t="s">
        <v>77</v>
      </c>
      <c r="U14732" s="17"/>
      <c r="V14732" s="18">
        <f>6281315387530</f>
        <v>6281315387530</v>
      </c>
      <c r="W14732" t="s">
        <v>39729</v>
      </c>
      <c r="Y14732" s="17" t="s">
        <v>1084</v>
      </c>
    </row>
    <row r="14733" ht="15" customHeight="1" spans="1:22" x14ac:dyDescent="0.25">
      <c r="A14733" s="17" t="s">
        <v>39730</v>
      </c>
      <c r="B14733" s="17" t="s">
        <v>70</v>
      </c>
      <c r="C14733" s="17" t="s">
        <v>71</v>
      </c>
      <c r="D14733" t="s">
        <v>39731</v>
      </c>
      <c r="F14733" t="s">
        <v>7944</v>
      </c>
      <c r="K14733" s="18">
        <f>6282258388267</f>
        <v>6282258388267</v>
      </c>
      <c r="N14733" s="17" t="s">
        <v>77</v>
      </c>
      <c r="V14733" s="18">
        <f>6282258388267</f>
        <v>6282258388267</v>
      </c>
    </row>
    <row r="14734" ht="15" customHeight="1" spans="1:22" x14ac:dyDescent="0.25">
      <c r="A14734" s="17" t="s">
        <v>39732</v>
      </c>
      <c r="B14734" s="17" t="s">
        <v>70</v>
      </c>
      <c r="C14734" s="17" t="s">
        <v>71</v>
      </c>
      <c r="D14734" t="s">
        <v>39733</v>
      </c>
      <c r="F14734" t="s">
        <v>3176</v>
      </c>
      <c r="K14734" s="18">
        <f>628812343456</f>
        <v>628812343456</v>
      </c>
      <c r="N14734" s="17" t="s">
        <v>74</v>
      </c>
      <c r="V14734" s="18">
        <f>628812343456</f>
        <v>628812343456</v>
      </c>
    </row>
    <row r="14735" ht="15" customHeight="1" spans="1:25" x14ac:dyDescent="0.25">
      <c r="A14735" s="17" t="s">
        <v>39734</v>
      </c>
      <c r="B14735" s="17" t="s">
        <v>70</v>
      </c>
      <c r="C14735" s="17" t="s">
        <v>71</v>
      </c>
      <c r="D14735" t="s">
        <v>39735</v>
      </c>
      <c r="F14735" t="s">
        <v>14080</v>
      </c>
      <c r="K14735" s="18">
        <f>6281213211111</f>
        <v>6281213211111</v>
      </c>
      <c r="N14735" s="17" t="s">
        <v>81</v>
      </c>
      <c r="U14735" s="17"/>
      <c r="V14735" s="18">
        <f>6281213211111</f>
        <v>6281213211111</v>
      </c>
      <c r="W14735" t="s">
        <v>39736</v>
      </c>
      <c r="Y14735" s="17" t="s">
        <v>90</v>
      </c>
    </row>
    <row r="14736" ht="15" customHeight="1" spans="1:22" x14ac:dyDescent="0.25">
      <c r="A14736" s="17" t="s">
        <v>39737</v>
      </c>
      <c r="B14736" s="17" t="s">
        <v>70</v>
      </c>
      <c r="C14736" s="17" t="s">
        <v>71</v>
      </c>
      <c r="D14736" t="s">
        <v>39738</v>
      </c>
      <c r="F14736" t="s">
        <v>27297</v>
      </c>
      <c r="K14736" s="18">
        <f>62811804268</f>
        <v>62811804268</v>
      </c>
      <c r="N14736" s="17" t="s">
        <v>77</v>
      </c>
      <c r="V14736" s="18">
        <f>62811804268</f>
        <v>62811804268</v>
      </c>
    </row>
    <row r="14737" ht="15" customHeight="1" spans="1:22" x14ac:dyDescent="0.25">
      <c r="A14737" s="17" t="s">
        <v>39739</v>
      </c>
      <c r="B14737" s="17" t="s">
        <v>70</v>
      </c>
      <c r="C14737" s="17" t="s">
        <v>71</v>
      </c>
      <c r="D14737" t="s">
        <v>39740</v>
      </c>
      <c r="F14737" t="s">
        <v>39740</v>
      </c>
      <c r="K14737" s="18">
        <f>6285693371627</f>
        <v>6285693371627</v>
      </c>
      <c r="N14737" s="17" t="s">
        <v>81</v>
      </c>
      <c r="V14737" s="18">
        <f>6285693371627</f>
        <v>6285693371627</v>
      </c>
    </row>
    <row r="14738" ht="15" customHeight="1" spans="1:22" x14ac:dyDescent="0.25">
      <c r="A14738" s="17" t="s">
        <v>39741</v>
      </c>
      <c r="B14738" s="17" t="s">
        <v>70</v>
      </c>
      <c r="C14738" s="17" t="s">
        <v>71</v>
      </c>
      <c r="D14738" t="s">
        <v>26493</v>
      </c>
      <c r="F14738" t="s">
        <v>26493</v>
      </c>
      <c r="K14738" s="18">
        <f>62811160958</f>
        <v>62811160958</v>
      </c>
      <c r="N14738" s="17" t="s">
        <v>77</v>
      </c>
      <c r="V14738" s="18">
        <f>62811160958</f>
        <v>62811160958</v>
      </c>
    </row>
    <row r="14739" ht="15" customHeight="1" spans="1:22" x14ac:dyDescent="0.25">
      <c r="A14739" s="17" t="s">
        <v>39742</v>
      </c>
      <c r="B14739" s="17" t="s">
        <v>70</v>
      </c>
      <c r="C14739" s="17" t="s">
        <v>71</v>
      </c>
      <c r="D14739" t="s">
        <v>26493</v>
      </c>
      <c r="F14739" t="s">
        <v>4107</v>
      </c>
      <c r="K14739" s="18">
        <f>6281370709600</f>
        <v>6281370709600</v>
      </c>
      <c r="N14739" s="17" t="s">
        <v>77</v>
      </c>
      <c r="V14739" s="18">
        <f>6281370709600</f>
        <v>6281370709600</v>
      </c>
    </row>
    <row r="14740" ht="15" customHeight="1" spans="1:28" x14ac:dyDescent="0.25">
      <c r="A14740" s="17" t="s">
        <v>39743</v>
      </c>
      <c r="B14740" s="17" t="s">
        <v>70</v>
      </c>
      <c r="C14740" s="17" t="s">
        <v>71</v>
      </c>
      <c r="D14740" t="s">
        <v>26493</v>
      </c>
      <c r="F14740" t="s">
        <v>4107</v>
      </c>
      <c r="J14740" t="s">
        <v>115</v>
      </c>
      <c r="K14740" s="18" t="s">
        <v>39744</v>
      </c>
      <c r="N14740" s="17" t="s">
        <v>77</v>
      </c>
      <c r="O14740" t="s">
        <v>117</v>
      </c>
      <c r="V14740" s="18" t="s">
        <v>39744</v>
      </c>
      <c r="Y14740" t="s">
        <v>190</v>
      </c>
      <c r="AA14740" t="s">
        <v>118</v>
      </c>
      <c r="AB14740" t="s">
        <v>119</v>
      </c>
    </row>
    <row r="14741" ht="15" customHeight="1" spans="1:22" x14ac:dyDescent="0.25">
      <c r="A14741" s="17" t="s">
        <v>39745</v>
      </c>
      <c r="B14741" s="17" t="s">
        <v>70</v>
      </c>
      <c r="C14741" s="17" t="s">
        <v>71</v>
      </c>
      <c r="D14741" t="s">
        <v>39483</v>
      </c>
      <c r="F14741" t="s">
        <v>39483</v>
      </c>
      <c r="K14741" s="18">
        <f>62816836333</f>
        <v>62816836333</v>
      </c>
      <c r="N14741" s="17" t="s">
        <v>77</v>
      </c>
      <c r="V14741" s="18">
        <f>62816836333</f>
        <v>62816836333</v>
      </c>
    </row>
    <row r="14742" ht="15" customHeight="1" spans="1:28" x14ac:dyDescent="0.25">
      <c r="A14742" s="17" t="s">
        <v>39746</v>
      </c>
      <c r="B14742" s="17" t="s">
        <v>70</v>
      </c>
      <c r="C14742" s="17" t="s">
        <v>71</v>
      </c>
      <c r="D14742" t="s">
        <v>39747</v>
      </c>
      <c r="F14742" t="s">
        <v>39748</v>
      </c>
      <c r="J14742" s="17" t="s">
        <v>39749</v>
      </c>
      <c r="K14742" s="18" t="s">
        <v>39750</v>
      </c>
      <c r="N14742" s="17" t="s">
        <v>77</v>
      </c>
      <c r="O14742" t="s">
        <v>117</v>
      </c>
      <c r="U14742" s="17"/>
      <c r="V14742" s="18" t="s">
        <v>39750</v>
      </c>
      <c r="W14742" t="s">
        <v>39751</v>
      </c>
      <c r="Y14742" s="17" t="s">
        <v>90</v>
      </c>
      <c r="AA14742" s="17" t="s">
        <v>39752</v>
      </c>
      <c r="AB14742" t="s">
        <v>119</v>
      </c>
    </row>
    <row r="14743" ht="15" customHeight="1" spans="1:25" x14ac:dyDescent="0.25">
      <c r="A14743" s="17" t="s">
        <v>39753</v>
      </c>
      <c r="B14743" s="17" t="s">
        <v>70</v>
      </c>
      <c r="C14743" s="17" t="s">
        <v>71</v>
      </c>
      <c r="D14743" t="s">
        <v>39754</v>
      </c>
      <c r="F14743" t="s">
        <v>39755</v>
      </c>
      <c r="K14743" s="18">
        <v>72795026</v>
      </c>
      <c r="N14743" s="17" t="s">
        <v>74</v>
      </c>
      <c r="U14743" s="17"/>
      <c r="V14743" s="18">
        <v>72795026</v>
      </c>
      <c r="W14743" t="s">
        <v>39756</v>
      </c>
      <c r="Y14743" s="17" t="s">
        <v>96</v>
      </c>
    </row>
    <row r="14744" ht="15" customHeight="1" spans="1:22" x14ac:dyDescent="0.25">
      <c r="A14744" s="17" t="s">
        <v>39757</v>
      </c>
      <c r="B14744" s="17" t="s">
        <v>70</v>
      </c>
      <c r="C14744" s="17" t="s">
        <v>71</v>
      </c>
      <c r="D14744" t="s">
        <v>963</v>
      </c>
      <c r="F14744" t="s">
        <v>963</v>
      </c>
      <c r="K14744" s="18">
        <f>6281806701234</f>
        <v>6281806701234</v>
      </c>
      <c r="N14744" s="17" t="s">
        <v>77</v>
      </c>
      <c r="V14744" s="18">
        <f>6281806701234</f>
        <v>6281806701234</v>
      </c>
    </row>
    <row r="14745" ht="15" customHeight="1" spans="1:22" x14ac:dyDescent="0.25">
      <c r="A14745" s="17" t="s">
        <v>39758</v>
      </c>
      <c r="B14745" s="17" t="s">
        <v>70</v>
      </c>
      <c r="C14745" s="17" t="s">
        <v>71</v>
      </c>
      <c r="D14745" t="s">
        <v>963</v>
      </c>
      <c r="F14745" t="s">
        <v>963</v>
      </c>
      <c r="K14745" s="18">
        <f>62818155788</f>
        <v>62818155788</v>
      </c>
      <c r="N14745" s="17" t="s">
        <v>77</v>
      </c>
      <c r="V14745" s="18">
        <f>62818155788</f>
        <v>62818155788</v>
      </c>
    </row>
    <row r="14746" ht="15" customHeight="1" spans="1:22" x14ac:dyDescent="0.25">
      <c r="A14746" s="17" t="s">
        <v>39759</v>
      </c>
      <c r="B14746" s="17" t="s">
        <v>70</v>
      </c>
      <c r="C14746" s="17" t="s">
        <v>71</v>
      </c>
      <c r="D14746" t="s">
        <v>963</v>
      </c>
      <c r="F14746" t="s">
        <v>963</v>
      </c>
      <c r="K14746" s="18">
        <f>6285946146068</f>
        <v>6285946146068</v>
      </c>
      <c r="N14746" s="17" t="s">
        <v>81</v>
      </c>
      <c r="V14746" s="18">
        <f>6285946146068</f>
        <v>6285946146068</v>
      </c>
    </row>
    <row r="14747" ht="15" customHeight="1" spans="1:28" x14ac:dyDescent="0.25">
      <c r="A14747" s="17" t="s">
        <v>39760</v>
      </c>
      <c r="B14747" s="17" t="s">
        <v>70</v>
      </c>
      <c r="C14747" s="17" t="s">
        <v>71</v>
      </c>
      <c r="D14747" t="s">
        <v>963</v>
      </c>
      <c r="F14747" t="s">
        <v>963</v>
      </c>
      <c r="J14747" t="s">
        <v>115</v>
      </c>
      <c r="K14747" s="18" t="s">
        <v>39761</v>
      </c>
      <c r="N14747" s="17" t="s">
        <v>77</v>
      </c>
      <c r="O14747" t="s">
        <v>117</v>
      </c>
      <c r="V14747" s="18" t="s">
        <v>39761</v>
      </c>
      <c r="Y14747" t="s">
        <v>90</v>
      </c>
      <c r="AA14747" t="s">
        <v>118</v>
      </c>
      <c r="AB14747" t="s">
        <v>119</v>
      </c>
    </row>
    <row r="14748" ht="15" customHeight="1" spans="1:23" x14ac:dyDescent="0.25">
      <c r="A14748" s="17" t="s">
        <v>39762</v>
      </c>
      <c r="B14748" s="17" t="s">
        <v>70</v>
      </c>
      <c r="C14748" s="17" t="s">
        <v>71</v>
      </c>
      <c r="D14748" t="s">
        <v>39763</v>
      </c>
      <c r="F14748" t="s">
        <v>39764</v>
      </c>
      <c r="K14748" s="18">
        <f>628888</f>
        <v>628888</v>
      </c>
      <c r="N14748" s="17" t="s">
        <v>77</v>
      </c>
      <c r="U14748" s="17"/>
      <c r="V14748" s="18">
        <f>628888</f>
        <v>628888</v>
      </c>
      <c r="W14748" t="s">
        <v>39765</v>
      </c>
    </row>
    <row r="14749" ht="15" customHeight="1" spans="1:25" x14ac:dyDescent="0.25">
      <c r="A14749" s="17" t="s">
        <v>39766</v>
      </c>
      <c r="B14749" s="17" t="s">
        <v>70</v>
      </c>
      <c r="C14749" s="17" t="s">
        <v>71</v>
      </c>
      <c r="D14749" t="s">
        <v>963</v>
      </c>
      <c r="F14749" t="s">
        <v>2871</v>
      </c>
      <c r="K14749" s="18">
        <f>62818678078</f>
        <v>62818678078</v>
      </c>
      <c r="N14749" s="17" t="s">
        <v>74</v>
      </c>
      <c r="U14749" s="17"/>
      <c r="V14749" s="18">
        <f>62818678078</f>
        <v>62818678078</v>
      </c>
      <c r="W14749" t="s">
        <v>39767</v>
      </c>
      <c r="Y14749" s="17" t="s">
        <v>217</v>
      </c>
    </row>
    <row r="14750" ht="15" customHeight="1" spans="1:22" x14ac:dyDescent="0.25">
      <c r="A14750" s="17" t="s">
        <v>39768</v>
      </c>
      <c r="B14750" s="17" t="s">
        <v>70</v>
      </c>
      <c r="C14750" s="17" t="s">
        <v>71</v>
      </c>
      <c r="D14750" t="s">
        <v>963</v>
      </c>
      <c r="F14750" t="s">
        <v>2381</v>
      </c>
      <c r="K14750" s="18">
        <f>6281911938000</f>
        <v>6281911938000</v>
      </c>
      <c r="N14750" s="17" t="s">
        <v>81</v>
      </c>
      <c r="V14750" s="18">
        <f>6281911938000</f>
        <v>6281911938000</v>
      </c>
    </row>
    <row r="14751" ht="15" customHeight="1" spans="1:22" x14ac:dyDescent="0.25">
      <c r="A14751" s="17" t="s">
        <v>39769</v>
      </c>
      <c r="B14751" s="17" t="s">
        <v>70</v>
      </c>
      <c r="C14751" s="17" t="s">
        <v>71</v>
      </c>
      <c r="D14751" t="s">
        <v>963</v>
      </c>
      <c r="F14751" t="s">
        <v>2381</v>
      </c>
      <c r="K14751" s="18">
        <f>62818161966</f>
        <v>62818161966</v>
      </c>
      <c r="N14751" s="17" t="s">
        <v>74</v>
      </c>
      <c r="V14751" s="18">
        <f>62818161966</f>
        <v>62818161966</v>
      </c>
    </row>
    <row r="14752" ht="15" customHeight="1" spans="1:22" x14ac:dyDescent="0.25">
      <c r="A14752" s="17" t="s">
        <v>39770</v>
      </c>
      <c r="B14752" s="17" t="s">
        <v>70</v>
      </c>
      <c r="C14752" s="17" t="s">
        <v>71</v>
      </c>
      <c r="D14752" t="s">
        <v>963</v>
      </c>
      <c r="F14752" t="s">
        <v>39771</v>
      </c>
      <c r="K14752" s="18">
        <f>62811318959</f>
        <v>62811318959</v>
      </c>
      <c r="N14752" s="17" t="s">
        <v>74</v>
      </c>
      <c r="V14752" s="18">
        <f>62811318959</f>
        <v>62811318959</v>
      </c>
    </row>
    <row r="14753" ht="15" customHeight="1" spans="1:27" x14ac:dyDescent="0.25">
      <c r="A14753" s="17" t="s">
        <v>39772</v>
      </c>
      <c r="B14753" s="17" t="s">
        <v>70</v>
      </c>
      <c r="C14753" s="17" t="s">
        <v>71</v>
      </c>
      <c r="D14753" t="s">
        <v>963</v>
      </c>
      <c r="F14753" t="s">
        <v>39773</v>
      </c>
      <c r="K14753" s="18">
        <f>628114003456</f>
        <v>628114003456</v>
      </c>
      <c r="N14753" s="17" t="s">
        <v>77</v>
      </c>
      <c r="U14753" s="17"/>
      <c r="V14753" s="18">
        <f>628114003456</f>
        <v>628114003456</v>
      </c>
      <c r="W14753" t="s">
        <v>39774</v>
      </c>
      <c r="Y14753" s="17" t="s">
        <v>378</v>
      </c>
      <c r="AA14753" s="17" t="s">
        <v>7565</v>
      </c>
    </row>
    <row r="14754" ht="15" customHeight="1" spans="1:25" x14ac:dyDescent="0.25">
      <c r="A14754" s="17" t="s">
        <v>39775</v>
      </c>
      <c r="B14754" s="17" t="s">
        <v>70</v>
      </c>
      <c r="C14754" s="17" t="s">
        <v>71</v>
      </c>
      <c r="D14754" t="s">
        <v>963</v>
      </c>
      <c r="F14754" t="s">
        <v>32323</v>
      </c>
      <c r="K14754" s="18">
        <f>62811161155</f>
        <v>62811161155</v>
      </c>
      <c r="N14754" s="17" t="s">
        <v>81</v>
      </c>
      <c r="U14754" s="17"/>
      <c r="V14754" s="18">
        <f>62811161155</f>
        <v>62811161155</v>
      </c>
      <c r="W14754" t="s">
        <v>39776</v>
      </c>
      <c r="Y14754" s="17" t="s">
        <v>5678</v>
      </c>
    </row>
    <row r="14755" ht="15" customHeight="1" spans="1:27" x14ac:dyDescent="0.25">
      <c r="A14755" s="17" t="s">
        <v>39777</v>
      </c>
      <c r="B14755" s="17" t="s">
        <v>70</v>
      </c>
      <c r="C14755" s="17" t="s">
        <v>71</v>
      </c>
      <c r="D14755" t="s">
        <v>963</v>
      </c>
      <c r="F14755" t="s">
        <v>10623</v>
      </c>
      <c r="J14755" s="17" t="s">
        <v>39778</v>
      </c>
      <c r="K14755" s="18">
        <f>6287880002026</f>
        <v>6287880002026</v>
      </c>
      <c r="N14755" s="17" t="s">
        <v>77</v>
      </c>
      <c r="U14755" s="17"/>
      <c r="V14755" s="18">
        <f>6287880002026</f>
        <v>6287880002026</v>
      </c>
      <c r="W14755" t="s">
        <v>39779</v>
      </c>
      <c r="AA14755" s="17">
        <v>11440</v>
      </c>
    </row>
    <row r="14756" ht="15" customHeight="1" spans="1:22" x14ac:dyDescent="0.25">
      <c r="A14756" s="17" t="s">
        <v>39780</v>
      </c>
      <c r="B14756" s="17" t="s">
        <v>70</v>
      </c>
      <c r="C14756" s="17" t="s">
        <v>71</v>
      </c>
      <c r="D14756" t="s">
        <v>963</v>
      </c>
      <c r="F14756" t="s">
        <v>6205</v>
      </c>
      <c r="K14756" s="18">
        <f>62816892489</f>
        <v>62816892489</v>
      </c>
      <c r="N14756" s="17" t="s">
        <v>81</v>
      </c>
      <c r="V14756" s="18">
        <f>62816892489</f>
        <v>62816892489</v>
      </c>
    </row>
    <row r="14757" ht="15" customHeight="1" spans="1:28" x14ac:dyDescent="0.25">
      <c r="A14757" s="17" t="s">
        <v>39781</v>
      </c>
      <c r="B14757" s="17" t="s">
        <v>70</v>
      </c>
      <c r="C14757" s="17" t="s">
        <v>71</v>
      </c>
      <c r="D14757" t="s">
        <v>963</v>
      </c>
      <c r="F14757" t="s">
        <v>39782</v>
      </c>
      <c r="J14757" t="s">
        <v>115</v>
      </c>
      <c r="K14757" s="18" t="s">
        <v>39783</v>
      </c>
      <c r="N14757" s="17" t="s">
        <v>77</v>
      </c>
      <c r="O14757" t="s">
        <v>117</v>
      </c>
      <c r="U14757" s="17"/>
      <c r="V14757" s="18" t="s">
        <v>39783</v>
      </c>
      <c r="W14757" t="s">
        <v>39784</v>
      </c>
      <c r="Y14757" s="17" t="s">
        <v>190</v>
      </c>
      <c r="AA14757" t="s">
        <v>118</v>
      </c>
      <c r="AB14757" t="s">
        <v>119</v>
      </c>
    </row>
    <row r="14758" ht="15" customHeight="1" spans="1:22" x14ac:dyDescent="0.25">
      <c r="A14758" s="17" t="s">
        <v>39785</v>
      </c>
      <c r="B14758" s="17" t="s">
        <v>70</v>
      </c>
      <c r="C14758" s="17" t="s">
        <v>71</v>
      </c>
      <c r="D14758" t="s">
        <v>963</v>
      </c>
      <c r="F14758" t="s">
        <v>39786</v>
      </c>
      <c r="K14758" s="18">
        <f>62811890454</f>
        <v>62811890454</v>
      </c>
      <c r="N14758" s="17" t="s">
        <v>77</v>
      </c>
      <c r="V14758" s="18">
        <f>62811890454</f>
        <v>62811890454</v>
      </c>
    </row>
    <row r="14759" ht="15" customHeight="1" spans="1:28" x14ac:dyDescent="0.25">
      <c r="A14759" s="17" t="s">
        <v>39787</v>
      </c>
      <c r="B14759" s="17" t="s">
        <v>70</v>
      </c>
      <c r="C14759" s="17" t="s">
        <v>71</v>
      </c>
      <c r="D14759" t="s">
        <v>963</v>
      </c>
      <c r="F14759" t="s">
        <v>22969</v>
      </c>
      <c r="J14759" t="s">
        <v>115</v>
      </c>
      <c r="K14759" s="18" t="s">
        <v>39788</v>
      </c>
      <c r="N14759" s="17" t="s">
        <v>77</v>
      </c>
      <c r="O14759" t="s">
        <v>145</v>
      </c>
      <c r="U14759" s="17"/>
      <c r="V14759" s="18" t="s">
        <v>39788</v>
      </c>
      <c r="W14759" t="s">
        <v>39789</v>
      </c>
      <c r="Y14759" t="s">
        <v>1707</v>
      </c>
      <c r="AA14759" t="s">
        <v>115</v>
      </c>
      <c r="AB14759" t="s">
        <v>119</v>
      </c>
    </row>
    <row r="14760" ht="15" customHeight="1" spans="1:22" x14ac:dyDescent="0.25">
      <c r="A14760" s="17" t="s">
        <v>39790</v>
      </c>
      <c r="B14760" s="17" t="s">
        <v>70</v>
      </c>
      <c r="C14760" s="17" t="s">
        <v>71</v>
      </c>
      <c r="D14760" t="s">
        <v>963</v>
      </c>
      <c r="F14760" t="s">
        <v>39791</v>
      </c>
      <c r="K14760" s="18">
        <f>628129619202</f>
        <v>628129619202</v>
      </c>
      <c r="N14760" s="17" t="s">
        <v>81</v>
      </c>
      <c r="V14760" s="18">
        <f>628129619202</f>
        <v>628129619202</v>
      </c>
    </row>
    <row r="14761" ht="15" customHeight="1" spans="1:25" x14ac:dyDescent="0.25">
      <c r="A14761" s="17" t="s">
        <v>39792</v>
      </c>
      <c r="B14761" s="17" t="s">
        <v>70</v>
      </c>
      <c r="C14761" s="17" t="s">
        <v>71</v>
      </c>
      <c r="D14761" t="s">
        <v>963</v>
      </c>
      <c r="F14761" t="s">
        <v>1892</v>
      </c>
      <c r="K14761" s="18">
        <f>62811921738</f>
        <v>62811921738</v>
      </c>
      <c r="N14761" s="17" t="s">
        <v>77</v>
      </c>
      <c r="U14761" s="17"/>
      <c r="V14761" s="18">
        <f>62811921738</f>
        <v>62811921738</v>
      </c>
      <c r="W14761" t="s">
        <v>39793</v>
      </c>
      <c r="Y14761" s="17" t="s">
        <v>704</v>
      </c>
    </row>
    <row r="14762" ht="15" customHeight="1" spans="1:28" x14ac:dyDescent="0.25">
      <c r="A14762" s="17" t="s">
        <v>39794</v>
      </c>
      <c r="B14762" s="17" t="s">
        <v>70</v>
      </c>
      <c r="C14762" s="17" t="s">
        <v>71</v>
      </c>
      <c r="D14762" t="s">
        <v>39795</v>
      </c>
      <c r="F14762" t="s">
        <v>8203</v>
      </c>
      <c r="J14762" t="s">
        <v>115</v>
      </c>
      <c r="K14762" s="18" t="s">
        <v>39796</v>
      </c>
      <c r="N14762" s="17" t="s">
        <v>81</v>
      </c>
      <c r="O14762" t="s">
        <v>117</v>
      </c>
      <c r="V14762" s="18" t="s">
        <v>39796</v>
      </c>
      <c r="Y14762" t="s">
        <v>96</v>
      </c>
      <c r="AA14762" t="s">
        <v>693</v>
      </c>
      <c r="AB14762" t="s">
        <v>119</v>
      </c>
    </row>
    <row r="14763" ht="15" customHeight="1" spans="1:22" x14ac:dyDescent="0.25">
      <c r="A14763" s="17" t="s">
        <v>39797</v>
      </c>
      <c r="B14763" s="17" t="s">
        <v>70</v>
      </c>
      <c r="C14763" s="17" t="s">
        <v>71</v>
      </c>
      <c r="D14763" t="s">
        <v>963</v>
      </c>
      <c r="F14763" t="s">
        <v>8203</v>
      </c>
      <c r="K14763" s="18">
        <f>6281344885733</f>
        <v>6281344885733</v>
      </c>
      <c r="N14763" s="17" t="s">
        <v>77</v>
      </c>
      <c r="V14763" s="18">
        <f>6281344885733</f>
        <v>6281344885733</v>
      </c>
    </row>
    <row r="14764" ht="15" customHeight="1" spans="1:28" x14ac:dyDescent="0.25">
      <c r="A14764" s="17" t="s">
        <v>39798</v>
      </c>
      <c r="B14764" s="17" t="s">
        <v>70</v>
      </c>
      <c r="C14764" s="17" t="s">
        <v>71</v>
      </c>
      <c r="D14764" t="s">
        <v>963</v>
      </c>
      <c r="F14764" t="s">
        <v>39799</v>
      </c>
      <c r="J14764" t="s">
        <v>115</v>
      </c>
      <c r="K14764" s="18" t="s">
        <v>39800</v>
      </c>
      <c r="N14764" s="17" t="s">
        <v>77</v>
      </c>
      <c r="O14764" t="s">
        <v>145</v>
      </c>
      <c r="U14764" s="17"/>
      <c r="V14764" s="18" t="s">
        <v>39800</v>
      </c>
      <c r="W14764" t="s">
        <v>39801</v>
      </c>
      <c r="Y14764" t="s">
        <v>96</v>
      </c>
      <c r="AA14764" t="s">
        <v>693</v>
      </c>
      <c r="AB14764" t="s">
        <v>119</v>
      </c>
    </row>
    <row r="14765" ht="15" customHeight="1" spans="1:25" x14ac:dyDescent="0.25">
      <c r="A14765" s="17" t="s">
        <v>39802</v>
      </c>
      <c r="B14765" s="17" t="s">
        <v>70</v>
      </c>
      <c r="C14765" s="17" t="s">
        <v>71</v>
      </c>
      <c r="D14765" t="s">
        <v>39803</v>
      </c>
      <c r="F14765" t="s">
        <v>39804</v>
      </c>
      <c r="K14765" s="18">
        <f>622175909347</f>
        <v>622175909347</v>
      </c>
      <c r="N14765" s="17" t="s">
        <v>74</v>
      </c>
      <c r="U14765" s="17"/>
      <c r="V14765" s="18">
        <f>622175909347</f>
        <v>622175909347</v>
      </c>
      <c r="W14765" t="s">
        <v>39805</v>
      </c>
      <c r="Y14765" s="17" t="s">
        <v>96</v>
      </c>
    </row>
    <row r="14766" ht="15" customHeight="1" spans="1:22" x14ac:dyDescent="0.25">
      <c r="A14766" s="17" t="s">
        <v>39806</v>
      </c>
      <c r="B14766" s="17" t="s">
        <v>70</v>
      </c>
      <c r="C14766" s="17" t="s">
        <v>71</v>
      </c>
      <c r="D14766" t="s">
        <v>39807</v>
      </c>
      <c r="F14766" t="s">
        <v>39808</v>
      </c>
      <c r="K14766" s="18">
        <f>62818818890</f>
        <v>62818818890</v>
      </c>
      <c r="N14766" s="17" t="s">
        <v>77</v>
      </c>
      <c r="V14766" s="18">
        <f>62818818890</f>
        <v>62818818890</v>
      </c>
    </row>
    <row r="14767" ht="15" customHeight="1" spans="1:22" x14ac:dyDescent="0.25">
      <c r="A14767" s="17" t="s">
        <v>39809</v>
      </c>
      <c r="B14767" s="17" t="s">
        <v>70</v>
      </c>
      <c r="C14767" s="17" t="s">
        <v>71</v>
      </c>
      <c r="D14767" t="s">
        <v>39810</v>
      </c>
      <c r="F14767" t="s">
        <v>39810</v>
      </c>
      <c r="K14767" s="18">
        <f>62816804274</f>
        <v>62816804274</v>
      </c>
      <c r="N14767" s="17" t="s">
        <v>81</v>
      </c>
      <c r="V14767" s="18">
        <f>62816804274</f>
        <v>62816804274</v>
      </c>
    </row>
    <row r="14768" ht="15" customHeight="1" spans="1:22" x14ac:dyDescent="0.25">
      <c r="A14768" s="17" t="s">
        <v>39811</v>
      </c>
      <c r="B14768" s="17" t="s">
        <v>70</v>
      </c>
      <c r="C14768" s="17" t="s">
        <v>71</v>
      </c>
      <c r="D14768" t="s">
        <v>39810</v>
      </c>
      <c r="F14768" t="s">
        <v>39812</v>
      </c>
      <c r="K14768" s="18">
        <f>62818141881</f>
        <v>62818141881</v>
      </c>
      <c r="N14768" s="17" t="s">
        <v>77</v>
      </c>
      <c r="V14768" s="18">
        <f>62818141881</f>
        <v>62818141881</v>
      </c>
    </row>
    <row r="14769" ht="15" customHeight="1" spans="1:22" x14ac:dyDescent="0.25">
      <c r="A14769" s="17" t="s">
        <v>39813</v>
      </c>
      <c r="B14769" s="17" t="s">
        <v>70</v>
      </c>
      <c r="C14769" s="17" t="s">
        <v>71</v>
      </c>
      <c r="D14769" t="s">
        <v>39814</v>
      </c>
      <c r="F14769" t="s">
        <v>39814</v>
      </c>
      <c r="K14769" s="18">
        <f>6281345005500</f>
        <v>6281345005500</v>
      </c>
      <c r="N14769" s="17" t="s">
        <v>77</v>
      </c>
      <c r="V14769" s="18">
        <f>6281345005500</f>
        <v>6281345005500</v>
      </c>
    </row>
    <row r="14770" ht="15" customHeight="1" spans="1:27" x14ac:dyDescent="0.25">
      <c r="A14770" s="17" t="s">
        <v>39815</v>
      </c>
      <c r="B14770" s="17" t="s">
        <v>70</v>
      </c>
      <c r="C14770" s="17" t="s">
        <v>71</v>
      </c>
      <c r="D14770" t="s">
        <v>39816</v>
      </c>
      <c r="F14770" t="s">
        <v>39817</v>
      </c>
      <c r="K14770" s="18">
        <f>62818800909</f>
        <v>62818800909</v>
      </c>
      <c r="N14770" s="17" t="s">
        <v>77</v>
      </c>
      <c r="U14770" s="17"/>
      <c r="V14770" s="18">
        <f>62818800909</f>
        <v>62818800909</v>
      </c>
      <c r="W14770" t="s">
        <v>39818</v>
      </c>
      <c r="Y14770" s="17" t="s">
        <v>96</v>
      </c>
      <c r="AA14770" s="17" t="s">
        <v>17360</v>
      </c>
    </row>
    <row r="14771" ht="15" customHeight="1" spans="1:22" x14ac:dyDescent="0.25">
      <c r="A14771" s="17" t="s">
        <v>39819</v>
      </c>
      <c r="B14771" s="17" t="s">
        <v>70</v>
      </c>
      <c r="C14771" s="17" t="s">
        <v>71</v>
      </c>
      <c r="D14771" t="s">
        <v>26187</v>
      </c>
      <c r="F14771" t="s">
        <v>26187</v>
      </c>
      <c r="K14771" s="18">
        <f>628161421296</f>
        <v>628161421296</v>
      </c>
      <c r="N14771" s="17" t="s">
        <v>77</v>
      </c>
      <c r="V14771" s="18">
        <f>628161421296</f>
        <v>628161421296</v>
      </c>
    </row>
    <row r="14772" ht="15" customHeight="1" spans="1:23" x14ac:dyDescent="0.25">
      <c r="A14772" s="17" t="s">
        <v>39820</v>
      </c>
      <c r="B14772" s="17" t="s">
        <v>70</v>
      </c>
      <c r="C14772" s="17" t="s">
        <v>71</v>
      </c>
      <c r="D14772" t="s">
        <v>39821</v>
      </c>
      <c r="F14772" t="s">
        <v>39822</v>
      </c>
      <c r="K14772" s="18">
        <f>62628129991609</f>
        <v>62628129991609</v>
      </c>
      <c r="N14772" s="17" t="s">
        <v>77</v>
      </c>
      <c r="U14772" s="17"/>
      <c r="V14772" s="18">
        <f>62628129991609</f>
        <v>62628129991609</v>
      </c>
      <c r="W14772" t="s">
        <v>39823</v>
      </c>
    </row>
    <row r="14773" ht="15" customHeight="1" spans="1:28" x14ac:dyDescent="0.25">
      <c r="A14773" s="17" t="s">
        <v>39824</v>
      </c>
      <c r="B14773" s="17" t="s">
        <v>70</v>
      </c>
      <c r="C14773" s="17" t="s">
        <v>71</v>
      </c>
      <c r="D14773" t="s">
        <v>39821</v>
      </c>
      <c r="F14773" t="s">
        <v>39804</v>
      </c>
      <c r="J14773" t="s">
        <v>115</v>
      </c>
      <c r="K14773" s="18" t="s">
        <v>39825</v>
      </c>
      <c r="N14773" s="17" t="s">
        <v>77</v>
      </c>
      <c r="O14773" t="s">
        <v>117</v>
      </c>
      <c r="V14773" s="18" t="s">
        <v>39825</v>
      </c>
      <c r="Y14773" t="s">
        <v>90</v>
      </c>
      <c r="AA14773" t="s">
        <v>118</v>
      </c>
      <c r="AB14773" t="s">
        <v>119</v>
      </c>
    </row>
    <row r="14774" ht="15" customHeight="1" spans="1:22" x14ac:dyDescent="0.25">
      <c r="A14774" s="17" t="s">
        <v>39826</v>
      </c>
      <c r="B14774" s="17" t="s">
        <v>70</v>
      </c>
      <c r="C14774" s="17" t="s">
        <v>71</v>
      </c>
      <c r="D14774" t="s">
        <v>39827</v>
      </c>
      <c r="F14774" t="s">
        <v>20232</v>
      </c>
      <c r="K14774" s="18">
        <f>62816987161</f>
        <v>62816987161</v>
      </c>
      <c r="N14774" s="17" t="s">
        <v>81</v>
      </c>
      <c r="V14774" s="18">
        <f>62816987161</f>
        <v>62816987161</v>
      </c>
    </row>
    <row r="14775" ht="15" customHeight="1" spans="1:22" x14ac:dyDescent="0.25">
      <c r="A14775" s="17" t="s">
        <v>39828</v>
      </c>
      <c r="B14775" s="17" t="s">
        <v>70</v>
      </c>
      <c r="C14775" s="17" t="s">
        <v>71</v>
      </c>
      <c r="D14775" t="s">
        <v>39829</v>
      </c>
      <c r="F14775" t="s">
        <v>39829</v>
      </c>
      <c r="K14775" s="18">
        <f>628133305085</f>
        <v>628133305085</v>
      </c>
      <c r="N14775" s="17" t="s">
        <v>77</v>
      </c>
      <c r="V14775" s="18">
        <f>628133305085</f>
        <v>628133305085</v>
      </c>
    </row>
    <row r="14776" ht="15" customHeight="1" spans="1:28" x14ac:dyDescent="0.25">
      <c r="A14776" s="17" t="s">
        <v>39830</v>
      </c>
      <c r="B14776" s="17" t="s">
        <v>70</v>
      </c>
      <c r="C14776" s="17" t="s">
        <v>71</v>
      </c>
      <c r="D14776" t="s">
        <v>39829</v>
      </c>
      <c r="F14776" t="s">
        <v>2527</v>
      </c>
      <c r="J14776" t="s">
        <v>39831</v>
      </c>
      <c r="K14776" s="18" t="s">
        <v>39832</v>
      </c>
      <c r="N14776" s="17" t="s">
        <v>77</v>
      </c>
      <c r="O14776" t="s">
        <v>117</v>
      </c>
      <c r="V14776" s="18" t="s">
        <v>39832</v>
      </c>
      <c r="Y14776" t="s">
        <v>190</v>
      </c>
      <c r="AA14776" t="s">
        <v>118</v>
      </c>
      <c r="AB14776" t="s">
        <v>119</v>
      </c>
    </row>
    <row r="14777" ht="15" customHeight="1" spans="1:28" x14ac:dyDescent="0.25">
      <c r="A14777" s="17" t="s">
        <v>39833</v>
      </c>
      <c r="B14777" s="17" t="s">
        <v>70</v>
      </c>
      <c r="C14777" s="17" t="s">
        <v>71</v>
      </c>
      <c r="D14777" t="s">
        <v>38180</v>
      </c>
      <c r="F14777" t="s">
        <v>39834</v>
      </c>
      <c r="J14777" t="s">
        <v>115</v>
      </c>
      <c r="K14777" s="18" t="s">
        <v>39835</v>
      </c>
      <c r="N14777" s="17" t="s">
        <v>81</v>
      </c>
      <c r="O14777" t="s">
        <v>117</v>
      </c>
      <c r="V14777" s="18" t="s">
        <v>39835</v>
      </c>
      <c r="Y14777" t="s">
        <v>90</v>
      </c>
      <c r="AA14777" t="s">
        <v>118</v>
      </c>
      <c r="AB14777" t="s">
        <v>119</v>
      </c>
    </row>
    <row r="14778" ht="15" customHeight="1" spans="1:22" x14ac:dyDescent="0.25">
      <c r="A14778" s="17" t="s">
        <v>39836</v>
      </c>
      <c r="B14778" s="17" t="s">
        <v>70</v>
      </c>
      <c r="C14778" s="17" t="s">
        <v>71</v>
      </c>
      <c r="D14778" t="s">
        <v>39837</v>
      </c>
      <c r="F14778" t="s">
        <v>32337</v>
      </c>
      <c r="K14778" s="18">
        <f>62811974046</f>
        <v>62811974046</v>
      </c>
      <c r="N14778" s="17" t="s">
        <v>81</v>
      </c>
      <c r="V14778" s="18">
        <f>62811974046</f>
        <v>62811974046</v>
      </c>
    </row>
    <row r="14779" ht="15" customHeight="1" spans="1:22" x14ac:dyDescent="0.25">
      <c r="A14779" s="17" t="s">
        <v>39838</v>
      </c>
      <c r="B14779" s="17" t="s">
        <v>70</v>
      </c>
      <c r="C14779" s="17" t="s">
        <v>71</v>
      </c>
      <c r="D14779" t="s">
        <v>39839</v>
      </c>
      <c r="F14779" t="s">
        <v>39840</v>
      </c>
      <c r="K14779" s="18">
        <f>6282169608888</f>
        <v>6282169608888</v>
      </c>
      <c r="N14779" s="17" t="s">
        <v>81</v>
      </c>
      <c r="V14779" s="18">
        <f>6282169608888</f>
        <v>6282169608888</v>
      </c>
    </row>
    <row r="14780" ht="15" customHeight="1" spans="1:22" x14ac:dyDescent="0.25">
      <c r="A14780" s="17" t="s">
        <v>39841</v>
      </c>
      <c r="B14780" s="17" t="s">
        <v>70</v>
      </c>
      <c r="C14780" s="17" t="s">
        <v>71</v>
      </c>
      <c r="D14780" t="s">
        <v>39842</v>
      </c>
      <c r="F14780" t="s">
        <v>15366</v>
      </c>
      <c r="K14780" s="18">
        <f>6287875072104</f>
        <v>6287875072104</v>
      </c>
      <c r="N14780" s="17" t="s">
        <v>77</v>
      </c>
      <c r="V14780" s="18">
        <f>6287875072104</f>
        <v>6287875072104</v>
      </c>
    </row>
    <row r="14781" ht="15" customHeight="1" spans="1:28" x14ac:dyDescent="0.25">
      <c r="A14781" s="17" t="s">
        <v>39843</v>
      </c>
      <c r="B14781" s="17" t="s">
        <v>70</v>
      </c>
      <c r="C14781" s="17" t="s">
        <v>71</v>
      </c>
      <c r="D14781" t="s">
        <v>11765</v>
      </c>
      <c r="F14781" t="s">
        <v>1385</v>
      </c>
      <c r="J14781" t="s">
        <v>115</v>
      </c>
      <c r="K14781" s="18" t="s">
        <v>39844</v>
      </c>
      <c r="N14781" s="17" t="s">
        <v>77</v>
      </c>
      <c r="O14781" t="s">
        <v>117</v>
      </c>
      <c r="V14781" s="18" t="s">
        <v>39844</v>
      </c>
      <c r="Y14781" t="s">
        <v>90</v>
      </c>
      <c r="AA14781" t="s">
        <v>118</v>
      </c>
      <c r="AB14781" t="s">
        <v>119</v>
      </c>
    </row>
    <row r="14782" ht="15" customHeight="1" spans="1:28" x14ac:dyDescent="0.25">
      <c r="A14782" s="17" t="s">
        <v>39845</v>
      </c>
      <c r="B14782" s="17" t="s">
        <v>70</v>
      </c>
      <c r="C14782" s="17" t="s">
        <v>71</v>
      </c>
      <c r="D14782" t="s">
        <v>39846</v>
      </c>
      <c r="F14782" t="s">
        <v>39846</v>
      </c>
      <c r="J14782" t="s">
        <v>115</v>
      </c>
      <c r="K14782" s="18" t="s">
        <v>39847</v>
      </c>
      <c r="N14782" s="17" t="s">
        <v>81</v>
      </c>
      <c r="O14782" t="s">
        <v>117</v>
      </c>
      <c r="V14782" s="18" t="s">
        <v>39847</v>
      </c>
      <c r="Y14782" t="s">
        <v>96</v>
      </c>
      <c r="AA14782" t="s">
        <v>693</v>
      </c>
      <c r="AB14782" t="s">
        <v>119</v>
      </c>
    </row>
    <row r="14783" ht="15" customHeight="1" spans="1:22" x14ac:dyDescent="0.25">
      <c r="A14783" s="17" t="s">
        <v>39848</v>
      </c>
      <c r="B14783" s="17" t="s">
        <v>70</v>
      </c>
      <c r="C14783" s="17" t="s">
        <v>71</v>
      </c>
      <c r="D14783" t="s">
        <v>20752</v>
      </c>
      <c r="F14783" t="s">
        <v>20752</v>
      </c>
      <c r="K14783" s="18">
        <f>6285213344428</f>
        <v>6285213344428</v>
      </c>
      <c r="N14783" s="17" t="s">
        <v>77</v>
      </c>
      <c r="V14783" s="18">
        <f>6285213344428</f>
        <v>6285213344428</v>
      </c>
    </row>
    <row r="14784" ht="15" customHeight="1" spans="1:22" x14ac:dyDescent="0.25">
      <c r="A14784" s="17" t="s">
        <v>39849</v>
      </c>
      <c r="B14784" s="17" t="s">
        <v>70</v>
      </c>
      <c r="C14784" s="17" t="s">
        <v>71</v>
      </c>
      <c r="D14784" t="s">
        <v>20752</v>
      </c>
      <c r="F14784" t="s">
        <v>20752</v>
      </c>
      <c r="K14784" s="18">
        <f>62811313878</f>
        <v>62811313878</v>
      </c>
      <c r="N14784" s="17" t="s">
        <v>77</v>
      </c>
      <c r="V14784" s="18">
        <f>62811313878</f>
        <v>62811313878</v>
      </c>
    </row>
    <row r="14785" ht="15" customHeight="1" spans="1:22" x14ac:dyDescent="0.25">
      <c r="A14785" s="17" t="s">
        <v>39850</v>
      </c>
      <c r="B14785" s="17" t="s">
        <v>70</v>
      </c>
      <c r="C14785" s="17" t="s">
        <v>71</v>
      </c>
      <c r="D14785" t="s">
        <v>39851</v>
      </c>
      <c r="F14785" t="s">
        <v>39852</v>
      </c>
      <c r="K14785" s="18">
        <f>6281231170000</f>
        <v>6281231170000</v>
      </c>
      <c r="N14785" s="17" t="s">
        <v>77</v>
      </c>
      <c r="V14785" s="18">
        <f>6281231170000</f>
        <v>6281231170000</v>
      </c>
    </row>
    <row r="14786" ht="15" customHeight="1" spans="1:22" x14ac:dyDescent="0.25">
      <c r="A14786" s="17" t="s">
        <v>39853</v>
      </c>
      <c r="B14786" s="17" t="s">
        <v>70</v>
      </c>
      <c r="C14786" s="17" t="s">
        <v>71</v>
      </c>
      <c r="D14786" t="s">
        <v>39854</v>
      </c>
      <c r="F14786" t="s">
        <v>37690</v>
      </c>
      <c r="K14786" s="18">
        <f>6285881991919</f>
        <v>6285881991919</v>
      </c>
      <c r="N14786" s="17" t="s">
        <v>77</v>
      </c>
      <c r="V14786" s="18">
        <f>6285881991919</f>
        <v>6285881991919</v>
      </c>
    </row>
    <row r="14787" ht="15" customHeight="1" spans="1:22" x14ac:dyDescent="0.25">
      <c r="A14787" s="17" t="s">
        <v>39855</v>
      </c>
      <c r="B14787" s="17" t="s">
        <v>70</v>
      </c>
      <c r="C14787" s="17" t="s">
        <v>71</v>
      </c>
      <c r="D14787" t="s">
        <v>39856</v>
      </c>
      <c r="F14787" t="s">
        <v>2279</v>
      </c>
      <c r="K14787" s="18">
        <f>628119916327</f>
        <v>628119916327</v>
      </c>
      <c r="N14787" s="17" t="s">
        <v>77</v>
      </c>
      <c r="V14787" s="18">
        <f>628119916327</f>
        <v>628119916327</v>
      </c>
    </row>
    <row r="14788" ht="15" customHeight="1" spans="1:28" x14ac:dyDescent="0.25">
      <c r="A14788" s="17" t="s">
        <v>39857</v>
      </c>
      <c r="B14788" s="17" t="s">
        <v>70</v>
      </c>
      <c r="C14788" s="17" t="s">
        <v>71</v>
      </c>
      <c r="D14788" t="s">
        <v>39858</v>
      </c>
      <c r="F14788" t="s">
        <v>2586</v>
      </c>
      <c r="J14788" t="s">
        <v>115</v>
      </c>
      <c r="K14788" s="18" t="s">
        <v>39859</v>
      </c>
      <c r="N14788" s="17" t="s">
        <v>77</v>
      </c>
      <c r="O14788" t="s">
        <v>117</v>
      </c>
      <c r="V14788" s="18" t="s">
        <v>39859</v>
      </c>
      <c r="Y14788" t="s">
        <v>90</v>
      </c>
      <c r="AA14788" t="s">
        <v>118</v>
      </c>
      <c r="AB14788" t="s">
        <v>119</v>
      </c>
    </row>
    <row r="14789" ht="15" customHeight="1" spans="1:22" x14ac:dyDescent="0.25">
      <c r="A14789" s="17" t="s">
        <v>39860</v>
      </c>
      <c r="B14789" s="17" t="s">
        <v>70</v>
      </c>
      <c r="C14789" s="17" t="s">
        <v>71</v>
      </c>
      <c r="D14789" t="s">
        <v>2060</v>
      </c>
      <c r="F14789" t="s">
        <v>2060</v>
      </c>
      <c r="K14789" s="18">
        <f>6281383399997</f>
        <v>6281383399997</v>
      </c>
      <c r="N14789" s="17" t="s">
        <v>77</v>
      </c>
      <c r="V14789" s="18">
        <f>6281383399997</f>
        <v>6281383399997</v>
      </c>
    </row>
    <row r="14790" ht="15" customHeight="1" spans="1:28" x14ac:dyDescent="0.25">
      <c r="A14790" s="17" t="s">
        <v>39861</v>
      </c>
      <c r="B14790" s="17" t="s">
        <v>70</v>
      </c>
      <c r="C14790" s="17" t="s">
        <v>71</v>
      </c>
      <c r="D14790" t="s">
        <v>2060</v>
      </c>
      <c r="F14790" t="s">
        <v>39862</v>
      </c>
      <c r="J14790" s="17" t="s">
        <v>39863</v>
      </c>
      <c r="K14790" s="18" t="s">
        <v>39864</v>
      </c>
      <c r="N14790" s="17" t="s">
        <v>81</v>
      </c>
      <c r="O14790" t="s">
        <v>489</v>
      </c>
      <c r="V14790" s="18" t="s">
        <v>39864</v>
      </c>
      <c r="Y14790" t="s">
        <v>90</v>
      </c>
      <c r="AA14790" t="s">
        <v>118</v>
      </c>
      <c r="AB14790" t="s">
        <v>119</v>
      </c>
    </row>
    <row r="14791" ht="15" customHeight="1" spans="1:22" x14ac:dyDescent="0.25">
      <c r="A14791" s="17" t="s">
        <v>39865</v>
      </c>
      <c r="B14791" s="17" t="s">
        <v>70</v>
      </c>
      <c r="C14791" s="17" t="s">
        <v>71</v>
      </c>
      <c r="D14791" t="s">
        <v>2060</v>
      </c>
      <c r="F14791" t="s">
        <v>38773</v>
      </c>
      <c r="K14791" s="18">
        <f>628114100123</f>
        <v>628114100123</v>
      </c>
      <c r="N14791" s="17" t="s">
        <v>77</v>
      </c>
      <c r="V14791" s="18">
        <f>628114100123</f>
        <v>628114100123</v>
      </c>
    </row>
    <row r="14792" ht="15" customHeight="1" spans="1:22" x14ac:dyDescent="0.25">
      <c r="A14792" s="17" t="s">
        <v>39866</v>
      </c>
      <c r="B14792" s="17" t="s">
        <v>70</v>
      </c>
      <c r="C14792" s="17" t="s">
        <v>71</v>
      </c>
      <c r="D14792" t="s">
        <v>39867</v>
      </c>
      <c r="F14792" t="s">
        <v>39867</v>
      </c>
      <c r="K14792" s="18">
        <f>6281296658500</f>
        <v>6281296658500</v>
      </c>
      <c r="N14792" s="17" t="s">
        <v>77</v>
      </c>
      <c r="V14792" s="18">
        <f>6281296658500</f>
        <v>6281296658500</v>
      </c>
    </row>
    <row r="14793" ht="15" customHeight="1" spans="1:22" x14ac:dyDescent="0.25">
      <c r="A14793" s="17" t="s">
        <v>39868</v>
      </c>
      <c r="B14793" s="17" t="s">
        <v>70</v>
      </c>
      <c r="C14793" s="17" t="s">
        <v>71</v>
      </c>
      <c r="D14793" t="s">
        <v>39867</v>
      </c>
      <c r="F14793" t="s">
        <v>39867</v>
      </c>
      <c r="K14793" s="18">
        <f>628158880380</f>
        <v>628158880380</v>
      </c>
      <c r="N14793" s="17" t="s">
        <v>77</v>
      </c>
      <c r="V14793" s="18">
        <f>628158880380</f>
        <v>628158880380</v>
      </c>
    </row>
    <row r="14794" ht="15" customHeight="1" spans="1:28" x14ac:dyDescent="0.25">
      <c r="A14794" s="17" t="s">
        <v>39869</v>
      </c>
      <c r="B14794" s="17" t="s">
        <v>70</v>
      </c>
      <c r="C14794" s="17" t="s">
        <v>71</v>
      </c>
      <c r="D14794" t="s">
        <v>39870</v>
      </c>
      <c r="F14794" t="s">
        <v>39871</v>
      </c>
      <c r="J14794" t="s">
        <v>115</v>
      </c>
      <c r="K14794" s="18" t="s">
        <v>39872</v>
      </c>
      <c r="N14794" s="17" t="s">
        <v>77</v>
      </c>
      <c r="O14794" t="s">
        <v>199</v>
      </c>
      <c r="V14794" s="18" t="s">
        <v>39872</v>
      </c>
      <c r="Y14794" t="s">
        <v>190</v>
      </c>
      <c r="AA14794" t="s">
        <v>118</v>
      </c>
      <c r="AB14794" t="s">
        <v>119</v>
      </c>
    </row>
    <row r="14795" ht="15" customHeight="1" spans="1:22" x14ac:dyDescent="0.25">
      <c r="A14795" s="17" t="s">
        <v>39873</v>
      </c>
      <c r="B14795" s="17" t="s">
        <v>70</v>
      </c>
      <c r="C14795" s="17" t="s">
        <v>71</v>
      </c>
      <c r="D14795" t="s">
        <v>39867</v>
      </c>
      <c r="F14795" t="s">
        <v>14105</v>
      </c>
      <c r="K14795" s="18">
        <f>62811100190</f>
        <v>62811100190</v>
      </c>
      <c r="N14795" s="17" t="s">
        <v>77</v>
      </c>
      <c r="V14795" s="18">
        <f>62811100190</f>
        <v>62811100190</v>
      </c>
    </row>
    <row r="14796" ht="15" customHeight="1" spans="1:22" x14ac:dyDescent="0.25">
      <c r="A14796" s="17" t="s">
        <v>39874</v>
      </c>
      <c r="B14796" s="17" t="s">
        <v>70</v>
      </c>
      <c r="C14796" s="17" t="s">
        <v>71</v>
      </c>
      <c r="D14796" t="s">
        <v>39867</v>
      </c>
      <c r="F14796" t="s">
        <v>39875</v>
      </c>
      <c r="K14796" s="18">
        <f>6281317177177</f>
        <v>6281317177177</v>
      </c>
      <c r="N14796" s="17" t="s">
        <v>74</v>
      </c>
      <c r="V14796" s="18">
        <f>6281317177177</f>
        <v>6281317177177</v>
      </c>
    </row>
    <row r="14797" ht="15" customHeight="1" spans="1:28" x14ac:dyDescent="0.25">
      <c r="A14797" s="17" t="s">
        <v>39876</v>
      </c>
      <c r="B14797" s="17" t="s">
        <v>70</v>
      </c>
      <c r="C14797" s="17" t="s">
        <v>71</v>
      </c>
      <c r="D14797" t="s">
        <v>39877</v>
      </c>
      <c r="F14797" t="s">
        <v>39878</v>
      </c>
      <c r="J14797" t="s">
        <v>115</v>
      </c>
      <c r="K14797" s="18" t="s">
        <v>39879</v>
      </c>
      <c r="N14797" s="17" t="s">
        <v>81</v>
      </c>
      <c r="O14797" t="s">
        <v>117</v>
      </c>
      <c r="U14797" s="17"/>
      <c r="V14797" s="18" t="s">
        <v>39879</v>
      </c>
      <c r="W14797" t="s">
        <v>39880</v>
      </c>
      <c r="Y14797" t="s">
        <v>96</v>
      </c>
      <c r="AA14797" t="s">
        <v>693</v>
      </c>
      <c r="AB14797" t="s">
        <v>119</v>
      </c>
    </row>
    <row r="14798" ht="15" customHeight="1" spans="1:22" x14ac:dyDescent="0.25">
      <c r="A14798" s="17" t="s">
        <v>39881</v>
      </c>
      <c r="B14798" s="17" t="s">
        <v>70</v>
      </c>
      <c r="C14798" s="17" t="s">
        <v>71</v>
      </c>
      <c r="D14798" t="s">
        <v>39867</v>
      </c>
      <c r="F14798" t="s">
        <v>33293</v>
      </c>
      <c r="K14798" s="18">
        <f>62818931080</f>
        <v>62818931080</v>
      </c>
      <c r="N14798" s="17" t="s">
        <v>74</v>
      </c>
      <c r="V14798" s="18">
        <f>62818931080</f>
        <v>62818931080</v>
      </c>
    </row>
    <row r="14799" ht="15" customHeight="1" spans="1:22" x14ac:dyDescent="0.25">
      <c r="A14799" s="17" t="s">
        <v>39882</v>
      </c>
      <c r="B14799" s="17" t="s">
        <v>70</v>
      </c>
      <c r="C14799" s="17" t="s">
        <v>71</v>
      </c>
      <c r="D14799" t="s">
        <v>39867</v>
      </c>
      <c r="F14799" t="s">
        <v>34955</v>
      </c>
      <c r="K14799" s="18">
        <f>628122040450</f>
        <v>628122040450</v>
      </c>
      <c r="N14799" s="17" t="s">
        <v>81</v>
      </c>
      <c r="V14799" s="18">
        <f>628122040450</f>
        <v>628122040450</v>
      </c>
    </row>
    <row r="14800" ht="15" customHeight="1" spans="1:27" x14ac:dyDescent="0.25">
      <c r="A14800" s="17" t="s">
        <v>39883</v>
      </c>
      <c r="B14800" s="17" t="s">
        <v>70</v>
      </c>
      <c r="C14800" s="17" t="s">
        <v>71</v>
      </c>
      <c r="D14800" t="s">
        <v>39867</v>
      </c>
      <c r="F14800" t="s">
        <v>2258</v>
      </c>
      <c r="K14800" s="18">
        <f>6287781478989</f>
        <v>6287781478989</v>
      </c>
      <c r="N14800" s="17" t="s">
        <v>81</v>
      </c>
      <c r="U14800" s="17"/>
      <c r="V14800" s="18">
        <f>6287781478989</f>
        <v>6287781478989</v>
      </c>
      <c r="W14800" t="s">
        <v>39884</v>
      </c>
      <c r="AA14800" s="17">
        <v>16960</v>
      </c>
    </row>
    <row r="14801" ht="15" customHeight="1" spans="1:23" x14ac:dyDescent="0.25">
      <c r="A14801" s="17" t="s">
        <v>39885</v>
      </c>
      <c r="B14801" s="17" t="s">
        <v>70</v>
      </c>
      <c r="C14801" s="17" t="s">
        <v>71</v>
      </c>
      <c r="D14801" t="s">
        <v>39867</v>
      </c>
      <c r="F14801" t="s">
        <v>21287</v>
      </c>
      <c r="K14801" s="18">
        <f>62218469171</f>
        <v>62218469171</v>
      </c>
      <c r="N14801" s="17" t="s">
        <v>77</v>
      </c>
      <c r="U14801" s="17"/>
      <c r="V14801" s="18">
        <f>62218469171</f>
        <v>62218469171</v>
      </c>
      <c r="W14801" t="s">
        <v>39886</v>
      </c>
    </row>
    <row r="14802" ht="15" customHeight="1" spans="1:23" x14ac:dyDescent="0.25">
      <c r="A14802" s="17" t="s">
        <v>39887</v>
      </c>
      <c r="B14802" s="17" t="s">
        <v>70</v>
      </c>
      <c r="C14802" s="17" t="s">
        <v>71</v>
      </c>
      <c r="D14802" t="s">
        <v>39867</v>
      </c>
      <c r="F14802" t="s">
        <v>10014</v>
      </c>
      <c r="K14802" s="18">
        <f>62816701961</f>
        <v>62816701961</v>
      </c>
      <c r="N14802" s="17" t="s">
        <v>77</v>
      </c>
      <c r="U14802" s="17"/>
      <c r="V14802" s="18">
        <f>62816701961</f>
        <v>62816701961</v>
      </c>
      <c r="W14802" t="s">
        <v>39888</v>
      </c>
    </row>
    <row r="14803" ht="15" customHeight="1" spans="1:22" x14ac:dyDescent="0.25">
      <c r="A14803" s="17" t="s">
        <v>39889</v>
      </c>
      <c r="B14803" s="17" t="s">
        <v>70</v>
      </c>
      <c r="C14803" s="17" t="s">
        <v>71</v>
      </c>
      <c r="D14803" t="s">
        <v>39890</v>
      </c>
      <c r="F14803" t="s">
        <v>39890</v>
      </c>
      <c r="K14803" s="18">
        <f>628196658500</f>
        <v>628196658500</v>
      </c>
      <c r="N14803" s="17" t="s">
        <v>81</v>
      </c>
      <c r="V14803" s="18">
        <f>628196658500</f>
        <v>628196658500</v>
      </c>
    </row>
    <row r="14804" ht="15" customHeight="1" spans="1:23" x14ac:dyDescent="0.25">
      <c r="A14804" s="17" t="s">
        <v>39891</v>
      </c>
      <c r="B14804" s="17" t="s">
        <v>70</v>
      </c>
      <c r="C14804" s="17" t="s">
        <v>71</v>
      </c>
      <c r="D14804" t="s">
        <v>39892</v>
      </c>
      <c r="F14804" t="s">
        <v>871</v>
      </c>
      <c r="K14804" s="18">
        <f>62811852258</f>
        <v>62811852258</v>
      </c>
      <c r="N14804" s="17" t="s">
        <v>77</v>
      </c>
      <c r="U14804" s="17"/>
      <c r="V14804" s="18">
        <f>62811852258</f>
        <v>62811852258</v>
      </c>
      <c r="W14804" t="s">
        <v>39893</v>
      </c>
    </row>
    <row r="14805" ht="15" customHeight="1" spans="1:22" x14ac:dyDescent="0.25">
      <c r="A14805" s="17" t="s">
        <v>39894</v>
      </c>
      <c r="B14805" s="17" t="s">
        <v>70</v>
      </c>
      <c r="C14805" s="17" t="s">
        <v>71</v>
      </c>
      <c r="D14805" t="s">
        <v>39895</v>
      </c>
      <c r="F14805" t="s">
        <v>39895</v>
      </c>
      <c r="K14805" s="18">
        <f>62811949085</f>
        <v>62811949085</v>
      </c>
      <c r="N14805" s="17" t="s">
        <v>77</v>
      </c>
      <c r="V14805" s="18">
        <f>62811949085</f>
        <v>62811949085</v>
      </c>
    </row>
    <row r="14806" ht="15" customHeight="1" spans="1:22" x14ac:dyDescent="0.25">
      <c r="A14806" s="17" t="s">
        <v>39896</v>
      </c>
      <c r="B14806" s="17" t="s">
        <v>70</v>
      </c>
      <c r="C14806" s="17" t="s">
        <v>71</v>
      </c>
      <c r="D14806" t="s">
        <v>39895</v>
      </c>
      <c r="F14806" t="s">
        <v>39897</v>
      </c>
      <c r="K14806" s="18">
        <f>6281174343</f>
        <v>6281174343</v>
      </c>
      <c r="N14806" s="17" t="s">
        <v>77</v>
      </c>
      <c r="V14806" s="18">
        <f>6281174343</f>
        <v>6281174343</v>
      </c>
    </row>
    <row r="14807" ht="15" customHeight="1" spans="1:22" x14ac:dyDescent="0.25">
      <c r="A14807" s="17" t="s">
        <v>39898</v>
      </c>
      <c r="B14807" s="17" t="s">
        <v>70</v>
      </c>
      <c r="C14807" s="17" t="s">
        <v>71</v>
      </c>
      <c r="D14807" t="s">
        <v>39895</v>
      </c>
      <c r="F14807" t="s">
        <v>39899</v>
      </c>
      <c r="K14807" s="18">
        <f>628213873313</f>
        <v>628213873313</v>
      </c>
      <c r="N14807" s="17" t="s">
        <v>77</v>
      </c>
      <c r="V14807" s="18">
        <f>628213873313</f>
        <v>628213873313</v>
      </c>
    </row>
    <row r="14808" ht="15" customHeight="1" spans="1:22" x14ac:dyDescent="0.25">
      <c r="A14808" s="17" t="s">
        <v>39900</v>
      </c>
      <c r="B14808" s="17" t="s">
        <v>70</v>
      </c>
      <c r="C14808" s="17" t="s">
        <v>71</v>
      </c>
      <c r="D14808" t="s">
        <v>39901</v>
      </c>
      <c r="F14808" t="s">
        <v>39901</v>
      </c>
      <c r="K14808" s="18">
        <f>6282163500076</f>
        <v>6282163500076</v>
      </c>
      <c r="N14808" s="17" t="s">
        <v>77</v>
      </c>
      <c r="V14808" s="18">
        <f>6282163500076</f>
        <v>6282163500076</v>
      </c>
    </row>
    <row r="14809" ht="15" customHeight="1" spans="1:22" x14ac:dyDescent="0.25">
      <c r="A14809" s="17" t="s">
        <v>39902</v>
      </c>
      <c r="B14809" s="17" t="s">
        <v>70</v>
      </c>
      <c r="C14809" s="17" t="s">
        <v>71</v>
      </c>
      <c r="D14809" t="s">
        <v>39901</v>
      </c>
      <c r="F14809" t="s">
        <v>39901</v>
      </c>
      <c r="J14809" s="17" t="s">
        <v>39903</v>
      </c>
      <c r="K14809" s="18">
        <f>6287884105368</f>
        <v>6287884105368</v>
      </c>
      <c r="N14809" s="17" t="s">
        <v>81</v>
      </c>
      <c r="V14809" s="18">
        <f>6287884105368</f>
        <v>6287884105368</v>
      </c>
    </row>
    <row r="14810" ht="15" customHeight="1" spans="1:25" x14ac:dyDescent="0.25">
      <c r="A14810" s="17" t="s">
        <v>39904</v>
      </c>
      <c r="B14810" s="17" t="s">
        <v>70</v>
      </c>
      <c r="C14810" s="17" t="s">
        <v>71</v>
      </c>
      <c r="D14810" t="s">
        <v>39905</v>
      </c>
      <c r="F14810" t="s">
        <v>39906</v>
      </c>
      <c r="K14810" s="18">
        <f>62811787982</f>
        <v>62811787982</v>
      </c>
      <c r="N14810" s="17" t="s">
        <v>77</v>
      </c>
      <c r="U14810" s="17"/>
      <c r="V14810" s="18">
        <f>62811787982</f>
        <v>62811787982</v>
      </c>
      <c r="W14810" t="s">
        <v>39907</v>
      </c>
      <c r="Y14810" s="17" t="s">
        <v>3028</v>
      </c>
    </row>
    <row r="14811" ht="15" customHeight="1" spans="1:28" x14ac:dyDescent="0.25">
      <c r="A14811" s="17" t="s">
        <v>39908</v>
      </c>
      <c r="B14811" s="17" t="s">
        <v>70</v>
      </c>
      <c r="C14811" s="17" t="s">
        <v>71</v>
      </c>
      <c r="D14811" t="s">
        <v>28546</v>
      </c>
      <c r="F14811" t="s">
        <v>39909</v>
      </c>
      <c r="J14811" t="s">
        <v>115</v>
      </c>
      <c r="K14811" s="18" t="s">
        <v>39910</v>
      </c>
      <c r="N14811" s="17" t="s">
        <v>77</v>
      </c>
      <c r="O14811" t="s">
        <v>261</v>
      </c>
      <c r="V14811" s="18" t="s">
        <v>39910</v>
      </c>
      <c r="Y14811" t="s">
        <v>115</v>
      </c>
      <c r="AA14811" t="s">
        <v>115</v>
      </c>
      <c r="AB14811" t="s">
        <v>119</v>
      </c>
    </row>
    <row r="14812" ht="15" customHeight="1" spans="1:28" x14ac:dyDescent="0.25">
      <c r="A14812" s="17" t="s">
        <v>39911</v>
      </c>
      <c r="B14812" s="17" t="s">
        <v>70</v>
      </c>
      <c r="C14812" s="17" t="s">
        <v>71</v>
      </c>
      <c r="D14812" t="s">
        <v>39912</v>
      </c>
      <c r="F14812" t="s">
        <v>4561</v>
      </c>
      <c r="J14812" t="s">
        <v>115</v>
      </c>
      <c r="K14812" s="18" t="s">
        <v>39913</v>
      </c>
      <c r="N14812" s="17" t="s">
        <v>77</v>
      </c>
      <c r="O14812" t="s">
        <v>145</v>
      </c>
      <c r="V14812" s="18" t="s">
        <v>39913</v>
      </c>
      <c r="Y14812" t="s">
        <v>190</v>
      </c>
      <c r="AA14812" t="s">
        <v>118</v>
      </c>
      <c r="AB14812" t="s">
        <v>2605</v>
      </c>
    </row>
    <row r="14813" ht="15" customHeight="1" spans="1:27" x14ac:dyDescent="0.25">
      <c r="A14813" s="17" t="s">
        <v>39914</v>
      </c>
      <c r="B14813" s="17" t="s">
        <v>70</v>
      </c>
      <c r="C14813" s="17" t="s">
        <v>71</v>
      </c>
      <c r="D14813" t="s">
        <v>39915</v>
      </c>
      <c r="F14813" t="s">
        <v>15884</v>
      </c>
      <c r="J14813" s="17" t="s">
        <v>39916</v>
      </c>
      <c r="K14813" s="18">
        <f>628117519025</f>
        <v>628117519025</v>
      </c>
      <c r="N14813" s="17" t="s">
        <v>77</v>
      </c>
      <c r="U14813" s="17"/>
      <c r="V14813" s="18">
        <f>628117519025</f>
        <v>628117519025</v>
      </c>
      <c r="W14813" t="s">
        <v>39917</v>
      </c>
      <c r="Y14813" s="17" t="s">
        <v>39918</v>
      </c>
      <c r="AA14813" s="17">
        <v>28884</v>
      </c>
    </row>
    <row r="14814" ht="15" customHeight="1" spans="1:22" x14ac:dyDescent="0.25">
      <c r="A14814" s="17" t="s">
        <v>39919</v>
      </c>
      <c r="B14814" s="17" t="s">
        <v>70</v>
      </c>
      <c r="C14814" s="17" t="s">
        <v>71</v>
      </c>
      <c r="D14814" t="s">
        <v>558</v>
      </c>
      <c r="F14814" t="s">
        <v>205</v>
      </c>
      <c r="K14814" s="18">
        <f>628551141921</f>
        <v>628551141921</v>
      </c>
      <c r="N14814" s="17" t="s">
        <v>81</v>
      </c>
      <c r="V14814" s="18">
        <f>628551141921</f>
        <v>628551141921</v>
      </c>
    </row>
    <row r="14815" ht="15" customHeight="1" spans="1:28" x14ac:dyDescent="0.25">
      <c r="A14815" s="17" t="s">
        <v>39920</v>
      </c>
      <c r="B14815" s="17" t="s">
        <v>70</v>
      </c>
      <c r="C14815" s="17" t="s">
        <v>71</v>
      </c>
      <c r="D14815" t="s">
        <v>8135</v>
      </c>
      <c r="F14815" t="s">
        <v>39921</v>
      </c>
      <c r="J14815" s="17" t="s">
        <v>39922</v>
      </c>
      <c r="K14815" s="18" t="s">
        <v>39923</v>
      </c>
      <c r="N14815" s="17" t="s">
        <v>81</v>
      </c>
      <c r="O14815" t="s">
        <v>261</v>
      </c>
      <c r="U14815" s="17"/>
      <c r="V14815" s="18" t="s">
        <v>39923</v>
      </c>
      <c r="W14815" t="s">
        <v>39924</v>
      </c>
      <c r="Y14815" t="s">
        <v>90</v>
      </c>
      <c r="AA14815" t="s">
        <v>118</v>
      </c>
      <c r="AB14815" t="s">
        <v>119</v>
      </c>
    </row>
    <row r="14816" ht="15" customHeight="1" spans="1:25" x14ac:dyDescent="0.25">
      <c r="A14816" s="17" t="s">
        <v>39925</v>
      </c>
      <c r="B14816" s="17" t="s">
        <v>70</v>
      </c>
      <c r="C14816" s="17" t="s">
        <v>71</v>
      </c>
      <c r="D14816" t="s">
        <v>8135</v>
      </c>
      <c r="F14816" t="s">
        <v>17416</v>
      </c>
      <c r="K14816" s="18">
        <f>62816849410</f>
        <v>62816849410</v>
      </c>
      <c r="N14816" s="17" t="s">
        <v>81</v>
      </c>
      <c r="U14816" s="17"/>
      <c r="V14816" s="18">
        <f>62816849410</f>
        <v>62816849410</v>
      </c>
      <c r="W14816" t="s">
        <v>39926</v>
      </c>
      <c r="Y14816" s="17" t="s">
        <v>90</v>
      </c>
    </row>
    <row r="14817" ht="15" customHeight="1" spans="1:25" x14ac:dyDescent="0.25">
      <c r="A14817" s="17" t="s">
        <v>39927</v>
      </c>
      <c r="B14817" s="17" t="s">
        <v>70</v>
      </c>
      <c r="C14817" s="17" t="s">
        <v>71</v>
      </c>
      <c r="D14817" t="s">
        <v>9036</v>
      </c>
      <c r="F14817" t="s">
        <v>39928</v>
      </c>
      <c r="J14817" s="17" t="s">
        <v>39929</v>
      </c>
      <c r="K14817" s="18">
        <f>628158876615</f>
        <v>628158876615</v>
      </c>
      <c r="N14817" s="17" t="s">
        <v>77</v>
      </c>
      <c r="U14817" s="17"/>
      <c r="V14817" s="18">
        <f>628158876615</f>
        <v>628158876615</v>
      </c>
      <c r="W14817" t="s">
        <v>39930</v>
      </c>
      <c r="Y14817" s="17" t="s">
        <v>96</v>
      </c>
    </row>
    <row r="14818" ht="15" customHeight="1" spans="1:22" x14ac:dyDescent="0.25">
      <c r="A14818" s="17" t="s">
        <v>39931</v>
      </c>
      <c r="B14818" s="17" t="s">
        <v>70</v>
      </c>
      <c r="C14818" s="17" t="s">
        <v>71</v>
      </c>
      <c r="D14818" t="s">
        <v>39932</v>
      </c>
      <c r="F14818" t="s">
        <v>39932</v>
      </c>
      <c r="K14818" s="18">
        <f>628121022583</f>
        <v>628121022583</v>
      </c>
      <c r="N14818" s="17" t="s">
        <v>77</v>
      </c>
      <c r="V14818" s="18">
        <f>628121022583</f>
        <v>628121022583</v>
      </c>
    </row>
    <row r="14819" ht="15" customHeight="1" spans="1:22" x14ac:dyDescent="0.25">
      <c r="A14819" s="17" t="s">
        <v>39933</v>
      </c>
      <c r="B14819" s="17" t="s">
        <v>70</v>
      </c>
      <c r="C14819" s="17" t="s">
        <v>71</v>
      </c>
      <c r="D14819" t="s">
        <v>39934</v>
      </c>
      <c r="F14819" t="s">
        <v>28472</v>
      </c>
      <c r="K14819" s="18">
        <f>62811852797</f>
        <v>62811852797</v>
      </c>
      <c r="N14819" s="17" t="s">
        <v>81</v>
      </c>
      <c r="V14819" s="18">
        <f>62811852797</f>
        <v>62811852797</v>
      </c>
    </row>
    <row r="14820" ht="15" customHeight="1" spans="1:23" x14ac:dyDescent="0.25">
      <c r="A14820" s="17" t="s">
        <v>39935</v>
      </c>
      <c r="B14820" s="17" t="s">
        <v>70</v>
      </c>
      <c r="C14820" s="17" t="s">
        <v>71</v>
      </c>
      <c r="D14820" t="s">
        <v>11216</v>
      </c>
      <c r="F14820" t="s">
        <v>3238</v>
      </c>
      <c r="K14820" s="18">
        <f>6287885160963</f>
        <v>6287885160963</v>
      </c>
      <c r="N14820" s="17" t="s">
        <v>81</v>
      </c>
      <c r="U14820" s="17"/>
      <c r="V14820" s="18">
        <f>6287885160963</f>
        <v>6287885160963</v>
      </c>
      <c r="W14820" t="s">
        <v>39936</v>
      </c>
    </row>
    <row r="14821" ht="15" customHeight="1" spans="1:28" x14ac:dyDescent="0.25">
      <c r="A14821" s="17" t="s">
        <v>39937</v>
      </c>
      <c r="B14821" s="17" t="s">
        <v>70</v>
      </c>
      <c r="C14821" s="17" t="s">
        <v>71</v>
      </c>
      <c r="D14821" t="s">
        <v>39938</v>
      </c>
      <c r="F14821" t="s">
        <v>7405</v>
      </c>
      <c r="J14821" t="s">
        <v>115</v>
      </c>
      <c r="K14821" s="18" t="s">
        <v>39939</v>
      </c>
      <c r="N14821" s="17" t="s">
        <v>81</v>
      </c>
      <c r="O14821" t="s">
        <v>117</v>
      </c>
      <c r="U14821" s="17"/>
      <c r="V14821" s="18" t="s">
        <v>39939</v>
      </c>
      <c r="W14821" t="s">
        <v>39940</v>
      </c>
      <c r="Y14821" t="s">
        <v>90</v>
      </c>
      <c r="AA14821" t="s">
        <v>118</v>
      </c>
      <c r="AB14821" t="s">
        <v>119</v>
      </c>
    </row>
    <row r="14822" ht="15" customHeight="1" spans="1:22" x14ac:dyDescent="0.25">
      <c r="A14822" s="17" t="s">
        <v>39941</v>
      </c>
      <c r="B14822" s="17" t="s">
        <v>70</v>
      </c>
      <c r="C14822" s="17" t="s">
        <v>71</v>
      </c>
      <c r="D14822" t="s">
        <v>29920</v>
      </c>
      <c r="F14822" t="s">
        <v>39942</v>
      </c>
      <c r="K14822" s="18">
        <f>628128008758</f>
        <v>628128008758</v>
      </c>
      <c r="N14822" s="17" t="s">
        <v>77</v>
      </c>
      <c r="V14822" s="18">
        <f>628128008758</f>
        <v>628128008758</v>
      </c>
    </row>
    <row r="14823" ht="15" customHeight="1" spans="1:22" x14ac:dyDescent="0.25">
      <c r="A14823" s="17" t="s">
        <v>39943</v>
      </c>
      <c r="B14823" s="17" t="s">
        <v>70</v>
      </c>
      <c r="C14823" s="17" t="s">
        <v>71</v>
      </c>
      <c r="D14823" t="s">
        <v>29920</v>
      </c>
      <c r="F14823" t="s">
        <v>23362</v>
      </c>
      <c r="K14823" s="18">
        <f>6281311149090</f>
        <v>6281311149090</v>
      </c>
      <c r="N14823" s="17" t="s">
        <v>81</v>
      </c>
      <c r="V14823" s="18">
        <f>6281311149090</f>
        <v>6281311149090</v>
      </c>
    </row>
    <row r="14824" ht="15" customHeight="1" spans="1:22" x14ac:dyDescent="0.25">
      <c r="A14824" s="17" t="s">
        <v>39944</v>
      </c>
      <c r="B14824" s="17" t="s">
        <v>70</v>
      </c>
      <c r="C14824" s="17" t="s">
        <v>71</v>
      </c>
      <c r="D14824" t="s">
        <v>29920</v>
      </c>
      <c r="F14824" t="s">
        <v>39945</v>
      </c>
      <c r="K14824" s="18">
        <f>62811636717</f>
        <v>62811636717</v>
      </c>
      <c r="N14824" s="17" t="s">
        <v>74</v>
      </c>
      <c r="V14824" s="18">
        <f>62811636717</f>
        <v>62811636717</v>
      </c>
    </row>
    <row r="14825" ht="15" customHeight="1" spans="1:22" x14ac:dyDescent="0.25">
      <c r="A14825" s="17" t="s">
        <v>39946</v>
      </c>
      <c r="B14825" s="17" t="s">
        <v>70</v>
      </c>
      <c r="C14825" s="17" t="s">
        <v>71</v>
      </c>
      <c r="D14825" t="s">
        <v>12117</v>
      </c>
      <c r="F14825" t="s">
        <v>39947</v>
      </c>
      <c r="K14825" s="18">
        <f>628151840354</f>
        <v>628151840354</v>
      </c>
      <c r="N14825" s="17" t="s">
        <v>81</v>
      </c>
      <c r="V14825" s="18">
        <f>628151840354</f>
        <v>628151840354</v>
      </c>
    </row>
    <row r="14826" ht="15" customHeight="1" spans="1:22" x14ac:dyDescent="0.25">
      <c r="A14826" s="17" t="s">
        <v>39948</v>
      </c>
      <c r="B14826" s="17" t="s">
        <v>70</v>
      </c>
      <c r="C14826" s="17" t="s">
        <v>71</v>
      </c>
      <c r="D14826" t="s">
        <v>12117</v>
      </c>
      <c r="F14826" t="s">
        <v>39949</v>
      </c>
      <c r="K14826" s="18">
        <f>62811170043</f>
        <v>62811170043</v>
      </c>
      <c r="N14826" s="17" t="s">
        <v>81</v>
      </c>
      <c r="V14826" s="18">
        <f>62811170043</f>
        <v>62811170043</v>
      </c>
    </row>
    <row r="14827" ht="15" customHeight="1" spans="1:28" x14ac:dyDescent="0.25">
      <c r="A14827" s="17" t="s">
        <v>39950</v>
      </c>
      <c r="B14827" s="17" t="s">
        <v>70</v>
      </c>
      <c r="C14827" s="17" t="s">
        <v>71</v>
      </c>
      <c r="D14827" t="s">
        <v>39951</v>
      </c>
      <c r="F14827" t="s">
        <v>39952</v>
      </c>
      <c r="J14827" s="17" t="s">
        <v>39953</v>
      </c>
      <c r="K14827" s="18" t="s">
        <v>39954</v>
      </c>
      <c r="N14827" s="17" t="s">
        <v>77</v>
      </c>
      <c r="O14827" t="s">
        <v>489</v>
      </c>
      <c r="U14827" s="17"/>
      <c r="V14827" s="18" t="s">
        <v>39954</v>
      </c>
      <c r="W14827" t="s">
        <v>39955</v>
      </c>
      <c r="Y14827" s="17" t="s">
        <v>881</v>
      </c>
      <c r="AA14827" t="s">
        <v>115</v>
      </c>
      <c r="AB14827" t="s">
        <v>119</v>
      </c>
    </row>
    <row r="14828" ht="15" customHeight="1" spans="1:28" x14ac:dyDescent="0.25">
      <c r="A14828" s="17" t="s">
        <v>39956</v>
      </c>
      <c r="B14828" s="17" t="s">
        <v>70</v>
      </c>
      <c r="C14828" s="17" t="s">
        <v>71</v>
      </c>
      <c r="D14828" t="s">
        <v>39957</v>
      </c>
      <c r="F14828" t="s">
        <v>39958</v>
      </c>
      <c r="J14828" t="s">
        <v>115</v>
      </c>
      <c r="K14828" s="18" t="s">
        <v>39959</v>
      </c>
      <c r="N14828" s="17" t="s">
        <v>77</v>
      </c>
      <c r="O14828" t="s">
        <v>117</v>
      </c>
      <c r="V14828" s="18" t="s">
        <v>39959</v>
      </c>
      <c r="Y14828" t="s">
        <v>90</v>
      </c>
      <c r="AA14828" t="s">
        <v>118</v>
      </c>
      <c r="AB14828" t="s">
        <v>119</v>
      </c>
    </row>
    <row r="14829" ht="15" customHeight="1" spans="1:25" x14ac:dyDescent="0.25">
      <c r="A14829" s="17" t="s">
        <v>39960</v>
      </c>
      <c r="B14829" s="17" t="s">
        <v>70</v>
      </c>
      <c r="C14829" s="17" t="s">
        <v>71</v>
      </c>
      <c r="D14829" t="s">
        <v>39961</v>
      </c>
      <c r="F14829" t="s">
        <v>39962</v>
      </c>
      <c r="K14829" s="18">
        <v>711310023</v>
      </c>
      <c r="N14829" s="17" t="s">
        <v>77</v>
      </c>
      <c r="U14829" s="17"/>
      <c r="V14829" s="18">
        <v>711310023</v>
      </c>
      <c r="W14829" t="s">
        <v>39963</v>
      </c>
      <c r="Y14829" s="17" t="s">
        <v>3028</v>
      </c>
    </row>
    <row r="14830" ht="15" customHeight="1" spans="1:25" x14ac:dyDescent="0.25">
      <c r="A14830" s="17" t="s">
        <v>39964</v>
      </c>
      <c r="B14830" s="17" t="s">
        <v>70</v>
      </c>
      <c r="C14830" s="17" t="s">
        <v>71</v>
      </c>
      <c r="D14830" t="s">
        <v>39965</v>
      </c>
      <c r="F14830" t="s">
        <v>1147</v>
      </c>
      <c r="J14830" s="17" t="s">
        <v>39966</v>
      </c>
      <c r="K14830" s="18">
        <f>62818755555</f>
        <v>62818755555</v>
      </c>
      <c r="N14830" s="17" t="s">
        <v>77</v>
      </c>
      <c r="U14830" s="17"/>
      <c r="V14830" s="18">
        <f>62818755555</f>
        <v>62818755555</v>
      </c>
      <c r="W14830" t="s">
        <v>39967</v>
      </c>
      <c r="Y14830" s="17" t="s">
        <v>626</v>
      </c>
    </row>
    <row r="14831" ht="15" customHeight="1" spans="1:28" x14ac:dyDescent="0.25">
      <c r="A14831" s="17" t="s">
        <v>39968</v>
      </c>
      <c r="B14831" s="17" t="s">
        <v>70</v>
      </c>
      <c r="C14831" s="17" t="s">
        <v>71</v>
      </c>
      <c r="D14831" t="s">
        <v>7997</v>
      </c>
      <c r="F14831" t="s">
        <v>7998</v>
      </c>
      <c r="J14831" t="s">
        <v>115</v>
      </c>
      <c r="K14831" s="18" t="s">
        <v>39969</v>
      </c>
      <c r="N14831" s="17" t="s">
        <v>77</v>
      </c>
      <c r="O14831" t="s">
        <v>117</v>
      </c>
      <c r="V14831" s="18" t="s">
        <v>39969</v>
      </c>
      <c r="Y14831" t="s">
        <v>90</v>
      </c>
      <c r="AA14831" t="s">
        <v>118</v>
      </c>
      <c r="AB14831" t="s">
        <v>119</v>
      </c>
    </row>
    <row r="14832" ht="15" customHeight="1" spans="1:22" x14ac:dyDescent="0.25">
      <c r="A14832" s="17" t="s">
        <v>39970</v>
      </c>
      <c r="B14832" s="17" t="s">
        <v>70</v>
      </c>
      <c r="C14832" s="17" t="s">
        <v>71</v>
      </c>
      <c r="D14832" t="s">
        <v>39949</v>
      </c>
      <c r="F14832" t="s">
        <v>39971</v>
      </c>
      <c r="K14832" s="18">
        <f>62811997898</f>
        <v>62811997898</v>
      </c>
      <c r="N14832" s="17" t="s">
        <v>74</v>
      </c>
      <c r="V14832" s="18">
        <f>62811997898</f>
        <v>62811997898</v>
      </c>
    </row>
    <row r="14833" ht="15" customHeight="1" spans="1:22" x14ac:dyDescent="0.25">
      <c r="A14833" s="17" t="s">
        <v>39972</v>
      </c>
      <c r="B14833" s="17" t="s">
        <v>70</v>
      </c>
      <c r="C14833" s="17" t="s">
        <v>71</v>
      </c>
      <c r="D14833" t="s">
        <v>39973</v>
      </c>
      <c r="F14833" t="s">
        <v>39974</v>
      </c>
      <c r="K14833" s="18">
        <f>62816825678</f>
        <v>62816825678</v>
      </c>
      <c r="N14833" s="17" t="s">
        <v>74</v>
      </c>
      <c r="V14833" s="18">
        <f>62816825678</f>
        <v>62816825678</v>
      </c>
    </row>
    <row r="14834" ht="15" customHeight="1" spans="1:22" x14ac:dyDescent="0.25">
      <c r="A14834" s="17" t="s">
        <v>39975</v>
      </c>
      <c r="B14834" s="17" t="s">
        <v>70</v>
      </c>
      <c r="C14834" s="17" t="s">
        <v>71</v>
      </c>
      <c r="D14834" t="s">
        <v>39976</v>
      </c>
      <c r="F14834" t="s">
        <v>39977</v>
      </c>
      <c r="K14834" s="18">
        <f>62811280422</f>
        <v>62811280422</v>
      </c>
      <c r="N14834" s="17" t="s">
        <v>77</v>
      </c>
      <c r="V14834" s="18">
        <f>62811280422</f>
        <v>62811280422</v>
      </c>
    </row>
    <row r="14835" ht="15" customHeight="1" spans="1:28" x14ac:dyDescent="0.25">
      <c r="A14835" s="17" t="s">
        <v>39978</v>
      </c>
      <c r="B14835" s="17" t="s">
        <v>70</v>
      </c>
      <c r="C14835" s="17" t="s">
        <v>71</v>
      </c>
      <c r="D14835" t="s">
        <v>3116</v>
      </c>
      <c r="F14835" t="s">
        <v>39979</v>
      </c>
      <c r="J14835" t="s">
        <v>115</v>
      </c>
      <c r="K14835" s="18" t="s">
        <v>39980</v>
      </c>
      <c r="N14835" s="17" t="s">
        <v>81</v>
      </c>
      <c r="O14835" t="s">
        <v>199</v>
      </c>
      <c r="V14835" s="18" t="s">
        <v>39980</v>
      </c>
      <c r="Y14835" t="s">
        <v>90</v>
      </c>
      <c r="AA14835" t="s">
        <v>118</v>
      </c>
      <c r="AB14835" t="s">
        <v>119</v>
      </c>
    </row>
    <row r="14836" ht="15" customHeight="1" spans="1:22" x14ac:dyDescent="0.25">
      <c r="A14836" s="17" t="s">
        <v>39981</v>
      </c>
      <c r="B14836" s="17" t="s">
        <v>70</v>
      </c>
      <c r="C14836" s="17" t="s">
        <v>71</v>
      </c>
      <c r="D14836" t="s">
        <v>39982</v>
      </c>
      <c r="F14836" t="s">
        <v>39983</v>
      </c>
      <c r="K14836" s="18">
        <f>6281281299863</f>
        <v>6281281299863</v>
      </c>
      <c r="N14836" s="17" t="s">
        <v>77</v>
      </c>
      <c r="V14836" s="18">
        <f>6281281299863</f>
        <v>6281281299863</v>
      </c>
    </row>
    <row r="14837" ht="15" customHeight="1" spans="1:22" x14ac:dyDescent="0.25">
      <c r="A14837" s="17" t="s">
        <v>39984</v>
      </c>
      <c r="B14837" s="17" t="s">
        <v>70</v>
      </c>
      <c r="C14837" s="17" t="s">
        <v>71</v>
      </c>
      <c r="D14837" t="s">
        <v>3701</v>
      </c>
      <c r="F14837" t="s">
        <v>39985</v>
      </c>
      <c r="K14837" s="18">
        <f>62811297716</f>
        <v>62811297716</v>
      </c>
      <c r="N14837" s="17" t="s">
        <v>81</v>
      </c>
      <c r="V14837" s="18">
        <f>62811297716</f>
        <v>62811297716</v>
      </c>
    </row>
    <row r="14838" ht="15" customHeight="1" spans="1:28" x14ac:dyDescent="0.25">
      <c r="A14838" s="17" t="s">
        <v>39986</v>
      </c>
      <c r="B14838" s="17" t="s">
        <v>70</v>
      </c>
      <c r="C14838" s="17" t="s">
        <v>71</v>
      </c>
      <c r="D14838" t="s">
        <v>9003</v>
      </c>
      <c r="F14838" t="s">
        <v>39987</v>
      </c>
      <c r="J14838" t="s">
        <v>39988</v>
      </c>
      <c r="K14838" s="18" t="s">
        <v>39989</v>
      </c>
      <c r="N14838" s="17" t="s">
        <v>77</v>
      </c>
      <c r="O14838" t="s">
        <v>145</v>
      </c>
      <c r="V14838" s="18" t="s">
        <v>39989</v>
      </c>
      <c r="Y14838" t="s">
        <v>90</v>
      </c>
      <c r="AA14838" t="s">
        <v>118</v>
      </c>
      <c r="AB14838" t="s">
        <v>119</v>
      </c>
    </row>
    <row r="14839" ht="15" customHeight="1" spans="1:23" x14ac:dyDescent="0.25">
      <c r="A14839" s="17" t="s">
        <v>39990</v>
      </c>
      <c r="B14839" s="17" t="s">
        <v>70</v>
      </c>
      <c r="C14839" s="17" t="s">
        <v>71</v>
      </c>
      <c r="D14839" t="s">
        <v>39991</v>
      </c>
      <c r="F14839" t="s">
        <v>39992</v>
      </c>
      <c r="K14839" s="18">
        <f>628111283238</f>
        <v>628111283238</v>
      </c>
      <c r="N14839" s="17" t="s">
        <v>81</v>
      </c>
      <c r="U14839" s="17"/>
      <c r="V14839" s="18">
        <f>628111283238</f>
        <v>628111283238</v>
      </c>
      <c r="W14839" t="s">
        <v>39993</v>
      </c>
    </row>
    <row r="14840" ht="15" customHeight="1" spans="1:28" x14ac:dyDescent="0.25">
      <c r="A14840" s="17" t="s">
        <v>39994</v>
      </c>
      <c r="B14840" s="17" t="s">
        <v>70</v>
      </c>
      <c r="C14840" s="17" t="s">
        <v>71</v>
      </c>
      <c r="D14840" t="s">
        <v>36415</v>
      </c>
      <c r="F14840" t="s">
        <v>1070</v>
      </c>
      <c r="J14840" t="s">
        <v>115</v>
      </c>
      <c r="K14840" s="18" t="s">
        <v>39995</v>
      </c>
      <c r="N14840" s="17" t="s">
        <v>77</v>
      </c>
      <c r="O14840" t="s">
        <v>199</v>
      </c>
      <c r="V14840" s="18" t="s">
        <v>39995</v>
      </c>
      <c r="Y14840" t="s">
        <v>190</v>
      </c>
      <c r="AA14840" t="s">
        <v>118</v>
      </c>
      <c r="AB14840" t="s">
        <v>119</v>
      </c>
    </row>
    <row r="14841" ht="15" customHeight="1" spans="1:22" x14ac:dyDescent="0.25">
      <c r="A14841" s="17" t="s">
        <v>39996</v>
      </c>
      <c r="B14841" s="17" t="s">
        <v>70</v>
      </c>
      <c r="C14841" s="17" t="s">
        <v>71</v>
      </c>
      <c r="D14841" t="s">
        <v>31760</v>
      </c>
      <c r="F14841" t="s">
        <v>39997</v>
      </c>
      <c r="K14841" s="18">
        <f>628561008625</f>
        <v>628561008625</v>
      </c>
      <c r="N14841" s="17" t="s">
        <v>77</v>
      </c>
      <c r="V14841" s="18">
        <f>628561008625</f>
        <v>628561008625</v>
      </c>
    </row>
    <row r="14842" ht="15" customHeight="1" spans="1:28" x14ac:dyDescent="0.25">
      <c r="A14842" s="17" t="s">
        <v>39998</v>
      </c>
      <c r="B14842" s="17" t="s">
        <v>70</v>
      </c>
      <c r="C14842" s="17" t="s">
        <v>71</v>
      </c>
      <c r="D14842" t="s">
        <v>39999</v>
      </c>
      <c r="F14842" t="s">
        <v>34533</v>
      </c>
      <c r="J14842" t="s">
        <v>115</v>
      </c>
      <c r="K14842" s="18" t="s">
        <v>40000</v>
      </c>
      <c r="N14842" s="17" t="s">
        <v>77</v>
      </c>
      <c r="O14842" t="s">
        <v>117</v>
      </c>
      <c r="V14842" s="18" t="s">
        <v>40000</v>
      </c>
      <c r="Y14842" t="s">
        <v>90</v>
      </c>
      <c r="AA14842" t="s">
        <v>118</v>
      </c>
      <c r="AB14842" t="s">
        <v>119</v>
      </c>
    </row>
    <row r="14843" ht="15" customHeight="1" spans="1:25" x14ac:dyDescent="0.25">
      <c r="A14843" s="17" t="s">
        <v>40001</v>
      </c>
      <c r="B14843" s="17" t="s">
        <v>70</v>
      </c>
      <c r="C14843" s="17" t="s">
        <v>71</v>
      </c>
      <c r="D14843" t="s">
        <v>9492</v>
      </c>
      <c r="F14843" t="s">
        <v>7153</v>
      </c>
      <c r="K14843" s="18">
        <f>62811937666</f>
        <v>62811937666</v>
      </c>
      <c r="N14843" s="17" t="s">
        <v>81</v>
      </c>
      <c r="U14843" s="17"/>
      <c r="V14843" s="18">
        <f>62811937666</f>
        <v>62811937666</v>
      </c>
      <c r="W14843" t="s">
        <v>40002</v>
      </c>
      <c r="Y14843" s="17" t="s">
        <v>1084</v>
      </c>
    </row>
    <row r="14844" ht="15" customHeight="1" spans="1:22" x14ac:dyDescent="0.25">
      <c r="A14844" s="17" t="s">
        <v>40003</v>
      </c>
      <c r="B14844" s="17" t="s">
        <v>70</v>
      </c>
      <c r="C14844" s="17" t="s">
        <v>71</v>
      </c>
      <c r="D14844" t="s">
        <v>40004</v>
      </c>
      <c r="F14844" t="s">
        <v>13517</v>
      </c>
      <c r="J14844" s="17" t="s">
        <v>40005</v>
      </c>
      <c r="K14844" s="18">
        <f>6281867088899</f>
        <v>6281867088899</v>
      </c>
      <c r="N14844" s="17" t="s">
        <v>77</v>
      </c>
      <c r="V14844" s="18">
        <f>6281867088899</f>
        <v>6281867088899</v>
      </c>
    </row>
    <row r="14845" ht="15" customHeight="1" spans="1:23" x14ac:dyDescent="0.25">
      <c r="A14845" s="17" t="s">
        <v>40006</v>
      </c>
      <c r="B14845" s="17" t="s">
        <v>70</v>
      </c>
      <c r="C14845" s="17" t="s">
        <v>71</v>
      </c>
      <c r="D14845" t="s">
        <v>40004</v>
      </c>
      <c r="F14845" t="s">
        <v>40007</v>
      </c>
      <c r="K14845" s="18">
        <f>6282112764833</f>
        <v>6282112764833</v>
      </c>
      <c r="N14845" s="17" t="s">
        <v>81</v>
      </c>
      <c r="U14845" s="17"/>
      <c r="V14845" s="18">
        <f>6282112764833</f>
        <v>6282112764833</v>
      </c>
      <c r="W14845" t="s">
        <v>40008</v>
      </c>
    </row>
    <row r="14846" ht="15" customHeight="1" spans="1:25" x14ac:dyDescent="0.25">
      <c r="A14846" s="17" t="s">
        <v>40009</v>
      </c>
      <c r="B14846" s="17" t="s">
        <v>70</v>
      </c>
      <c r="C14846" s="17" t="s">
        <v>71</v>
      </c>
      <c r="D14846" t="s">
        <v>40010</v>
      </c>
      <c r="F14846" t="s">
        <v>40010</v>
      </c>
      <c r="K14846" s="18">
        <f>628112214364</f>
        <v>628112214364</v>
      </c>
      <c r="N14846" s="17" t="s">
        <v>77</v>
      </c>
      <c r="U14846" s="17"/>
      <c r="V14846" s="18">
        <f>628112214364</f>
        <v>628112214364</v>
      </c>
      <c r="W14846" t="s">
        <v>40011</v>
      </c>
      <c r="Y14846" s="17" t="s">
        <v>500</v>
      </c>
    </row>
    <row r="14847" ht="15" customHeight="1" spans="1:22" x14ac:dyDescent="0.25">
      <c r="A14847" s="17" t="s">
        <v>40012</v>
      </c>
      <c r="B14847" s="17" t="s">
        <v>70</v>
      </c>
      <c r="C14847" s="17" t="s">
        <v>71</v>
      </c>
      <c r="D14847" t="s">
        <v>40013</v>
      </c>
      <c r="F14847" t="s">
        <v>40014</v>
      </c>
      <c r="K14847" s="18">
        <f>6281293930223</f>
        <v>6281293930223</v>
      </c>
      <c r="N14847" s="17" t="s">
        <v>81</v>
      </c>
      <c r="V14847" s="18">
        <f>6281293930223</f>
        <v>6281293930223</v>
      </c>
    </row>
    <row r="14848" ht="15" customHeight="1" spans="1:22" x14ac:dyDescent="0.25">
      <c r="A14848" s="17" t="s">
        <v>40015</v>
      </c>
      <c r="B14848" s="17" t="s">
        <v>70</v>
      </c>
      <c r="C14848" s="17" t="s">
        <v>71</v>
      </c>
      <c r="D14848" t="s">
        <v>40016</v>
      </c>
      <c r="F14848" t="s">
        <v>4882</v>
      </c>
      <c r="K14848" s="18">
        <f>62811127171</f>
        <v>62811127171</v>
      </c>
      <c r="N14848" s="17" t="s">
        <v>77</v>
      </c>
      <c r="V14848" s="18">
        <f>62811127171</f>
        <v>62811127171</v>
      </c>
    </row>
    <row r="14849" ht="15" customHeight="1" spans="1:22" x14ac:dyDescent="0.25">
      <c r="A14849" s="17" t="s">
        <v>40017</v>
      </c>
      <c r="B14849" s="17" t="s">
        <v>70</v>
      </c>
      <c r="C14849" s="17" t="s">
        <v>71</v>
      </c>
      <c r="D14849" t="s">
        <v>40018</v>
      </c>
      <c r="F14849" t="s">
        <v>40018</v>
      </c>
      <c r="K14849" s="18">
        <f>6281318290141</f>
        <v>6281318290141</v>
      </c>
      <c r="N14849" s="17" t="s">
        <v>77</v>
      </c>
      <c r="V14849" s="18">
        <f>6281318290141</f>
        <v>6281318290141</v>
      </c>
    </row>
    <row r="14850" ht="15" customHeight="1" spans="1:28" x14ac:dyDescent="0.25">
      <c r="A14850" s="17" t="s">
        <v>40019</v>
      </c>
      <c r="B14850" s="17" t="s">
        <v>70</v>
      </c>
      <c r="C14850" s="17" t="s">
        <v>71</v>
      </c>
      <c r="D14850" t="s">
        <v>40020</v>
      </c>
      <c r="F14850" t="s">
        <v>1169</v>
      </c>
      <c r="J14850" t="s">
        <v>115</v>
      </c>
      <c r="K14850" s="18" t="s">
        <v>40021</v>
      </c>
      <c r="N14850" s="17" t="s">
        <v>81</v>
      </c>
      <c r="O14850" t="s">
        <v>117</v>
      </c>
      <c r="V14850" s="18" t="s">
        <v>40021</v>
      </c>
      <c r="Y14850" t="s">
        <v>190</v>
      </c>
      <c r="AA14850" t="s">
        <v>118</v>
      </c>
      <c r="AB14850" t="s">
        <v>119</v>
      </c>
    </row>
    <row r="14851" ht="15" customHeight="1" spans="1:28" x14ac:dyDescent="0.25">
      <c r="A14851" s="17" t="s">
        <v>40022</v>
      </c>
      <c r="B14851" s="17" t="s">
        <v>70</v>
      </c>
      <c r="C14851" s="17" t="s">
        <v>71</v>
      </c>
      <c r="D14851" t="s">
        <v>40023</v>
      </c>
      <c r="F14851" t="s">
        <v>40024</v>
      </c>
      <c r="J14851" s="17" t="s">
        <v>40025</v>
      </c>
      <c r="K14851" s="18" t="s">
        <v>40026</v>
      </c>
      <c r="N14851" s="17" t="s">
        <v>77</v>
      </c>
      <c r="O14851" t="s">
        <v>489</v>
      </c>
      <c r="V14851" s="18" t="s">
        <v>40026</v>
      </c>
      <c r="Y14851" t="s">
        <v>115</v>
      </c>
      <c r="AA14851" t="s">
        <v>115</v>
      </c>
      <c r="AB14851" t="s">
        <v>2605</v>
      </c>
    </row>
    <row r="14852" ht="15" customHeight="1" spans="1:28" x14ac:dyDescent="0.25">
      <c r="A14852" s="17" t="s">
        <v>40027</v>
      </c>
      <c r="B14852" s="17" t="s">
        <v>70</v>
      </c>
      <c r="C14852" s="17" t="s">
        <v>71</v>
      </c>
      <c r="D14852" t="s">
        <v>40028</v>
      </c>
      <c r="F14852" t="s">
        <v>15489</v>
      </c>
      <c r="J14852" t="s">
        <v>115</v>
      </c>
      <c r="K14852" s="18" t="s">
        <v>40029</v>
      </c>
      <c r="N14852" s="17" t="s">
        <v>77</v>
      </c>
      <c r="O14852" t="s">
        <v>199</v>
      </c>
      <c r="V14852" s="18" t="s">
        <v>40029</v>
      </c>
      <c r="Y14852" t="s">
        <v>2826</v>
      </c>
      <c r="AA14852" t="s">
        <v>115</v>
      </c>
      <c r="AB14852" t="s">
        <v>119</v>
      </c>
    </row>
    <row r="14853" ht="15" customHeight="1" spans="1:22" x14ac:dyDescent="0.25">
      <c r="A14853" s="17" t="s">
        <v>40030</v>
      </c>
      <c r="B14853" s="17" t="s">
        <v>70</v>
      </c>
      <c r="C14853" s="17" t="s">
        <v>71</v>
      </c>
      <c r="D14853" t="s">
        <v>40031</v>
      </c>
      <c r="F14853" t="s">
        <v>40031</v>
      </c>
      <c r="K14853" s="18">
        <f>6281315885809</f>
        <v>6281315885809</v>
      </c>
      <c r="N14853" s="17" t="s">
        <v>77</v>
      </c>
      <c r="V14853" s="18">
        <f>6281315885809</f>
        <v>6281315885809</v>
      </c>
    </row>
    <row r="14854" ht="15" customHeight="1" spans="1:28" x14ac:dyDescent="0.25">
      <c r="A14854" s="17" t="s">
        <v>40032</v>
      </c>
      <c r="B14854" s="17" t="s">
        <v>70</v>
      </c>
      <c r="C14854" s="17" t="s">
        <v>71</v>
      </c>
      <c r="D14854" t="s">
        <v>40033</v>
      </c>
      <c r="F14854" t="s">
        <v>40034</v>
      </c>
      <c r="J14854" s="17" t="s">
        <v>40035</v>
      </c>
      <c r="K14854" s="18" t="s">
        <v>40036</v>
      </c>
      <c r="N14854" s="17" t="s">
        <v>77</v>
      </c>
      <c r="O14854" t="s">
        <v>199</v>
      </c>
      <c r="U14854" s="17"/>
      <c r="V14854" s="18" t="s">
        <v>40036</v>
      </c>
      <c r="W14854" t="s">
        <v>40037</v>
      </c>
      <c r="Y14854" t="s">
        <v>181</v>
      </c>
      <c r="AA14854" t="s">
        <v>1672</v>
      </c>
      <c r="AB14854" t="s">
        <v>119</v>
      </c>
    </row>
    <row r="14855" ht="15" customHeight="1" spans="1:22" x14ac:dyDescent="0.25">
      <c r="A14855" s="17" t="s">
        <v>40038</v>
      </c>
      <c r="B14855" s="17" t="s">
        <v>70</v>
      </c>
      <c r="C14855" s="17" t="s">
        <v>71</v>
      </c>
      <c r="D14855" t="s">
        <v>40039</v>
      </c>
      <c r="F14855" t="s">
        <v>40039</v>
      </c>
      <c r="K14855" s="18">
        <f>628159911288</f>
        <v>628159911288</v>
      </c>
      <c r="N14855" s="17" t="s">
        <v>77</v>
      </c>
      <c r="V14855" s="18">
        <f>628159911288</f>
        <v>628159911288</v>
      </c>
    </row>
    <row r="14856" ht="15" customHeight="1" spans="1:22" x14ac:dyDescent="0.25">
      <c r="A14856" s="17" t="s">
        <v>40040</v>
      </c>
      <c r="B14856" s="17" t="s">
        <v>70</v>
      </c>
      <c r="C14856" s="17" t="s">
        <v>71</v>
      </c>
      <c r="D14856" t="s">
        <v>40039</v>
      </c>
      <c r="F14856" t="s">
        <v>40039</v>
      </c>
      <c r="K14856" s="18">
        <f>6287883947223</f>
        <v>6287883947223</v>
      </c>
      <c r="N14856" s="17" t="s">
        <v>81</v>
      </c>
      <c r="V14856" s="18">
        <f>6287883947223</f>
        <v>6287883947223</v>
      </c>
    </row>
    <row r="14857" ht="15" customHeight="1" spans="1:22" x14ac:dyDescent="0.25">
      <c r="A14857" s="17" t="s">
        <v>40041</v>
      </c>
      <c r="B14857" s="17" t="s">
        <v>70</v>
      </c>
      <c r="C14857" s="17" t="s">
        <v>71</v>
      </c>
      <c r="D14857" t="s">
        <v>40039</v>
      </c>
      <c r="F14857" t="s">
        <v>40039</v>
      </c>
      <c r="K14857" s="18">
        <f>628159455777</f>
        <v>628159455777</v>
      </c>
      <c r="N14857" s="17" t="s">
        <v>74</v>
      </c>
      <c r="V14857" s="18">
        <f>628159455777</f>
        <v>628159455777</v>
      </c>
    </row>
    <row r="14858" ht="15" customHeight="1" spans="1:22" x14ac:dyDescent="0.25">
      <c r="A14858" s="17" t="s">
        <v>40042</v>
      </c>
      <c r="B14858" s="17" t="s">
        <v>70</v>
      </c>
      <c r="C14858" s="17" t="s">
        <v>71</v>
      </c>
      <c r="D14858" t="s">
        <v>40039</v>
      </c>
      <c r="F14858" t="s">
        <v>40039</v>
      </c>
      <c r="K14858" s="18">
        <f>62811413185</f>
        <v>62811413185</v>
      </c>
      <c r="N14858" s="17" t="s">
        <v>77</v>
      </c>
      <c r="V14858" s="18">
        <f>62811413185</f>
        <v>62811413185</v>
      </c>
    </row>
    <row r="14859" ht="15" customHeight="1" spans="1:28" x14ac:dyDescent="0.25">
      <c r="A14859" s="17" t="s">
        <v>40043</v>
      </c>
      <c r="B14859" s="17" t="s">
        <v>70</v>
      </c>
      <c r="C14859" s="17" t="s">
        <v>71</v>
      </c>
      <c r="D14859" t="s">
        <v>40039</v>
      </c>
      <c r="F14859" t="s">
        <v>40044</v>
      </c>
      <c r="J14859" t="s">
        <v>115</v>
      </c>
      <c r="K14859" s="18" t="s">
        <v>40045</v>
      </c>
      <c r="N14859" s="17" t="s">
        <v>77</v>
      </c>
      <c r="O14859" t="s">
        <v>199</v>
      </c>
      <c r="V14859" s="18" t="s">
        <v>40045</v>
      </c>
      <c r="Y14859" t="s">
        <v>181</v>
      </c>
      <c r="AA14859" t="s">
        <v>1672</v>
      </c>
      <c r="AB14859" t="s">
        <v>119</v>
      </c>
    </row>
    <row r="14860" ht="15" customHeight="1" spans="1:22" x14ac:dyDescent="0.25">
      <c r="A14860" s="17" t="s">
        <v>40046</v>
      </c>
      <c r="B14860" s="17" t="s">
        <v>70</v>
      </c>
      <c r="C14860" s="17" t="s">
        <v>71</v>
      </c>
      <c r="D14860" t="s">
        <v>40039</v>
      </c>
      <c r="F14860" t="s">
        <v>40047</v>
      </c>
      <c r="K14860" s="18">
        <f>628121001019</f>
        <v>628121001019</v>
      </c>
      <c r="N14860" s="17" t="s">
        <v>77</v>
      </c>
      <c r="V14860" s="18">
        <f>628121001019</f>
        <v>628121001019</v>
      </c>
    </row>
    <row r="14861" ht="15" customHeight="1" spans="1:22" x14ac:dyDescent="0.25">
      <c r="A14861" s="17" t="s">
        <v>40048</v>
      </c>
      <c r="B14861" s="17" t="s">
        <v>70</v>
      </c>
      <c r="C14861" s="17" t="s">
        <v>71</v>
      </c>
      <c r="D14861" t="s">
        <v>40039</v>
      </c>
      <c r="F14861" t="s">
        <v>212</v>
      </c>
      <c r="K14861" s="18">
        <f>628161439423</f>
        <v>628161439423</v>
      </c>
      <c r="N14861" s="17" t="s">
        <v>81</v>
      </c>
      <c r="V14861" s="18">
        <f>628161439423</f>
        <v>628161439423</v>
      </c>
    </row>
    <row r="14862" ht="15" customHeight="1" spans="1:23" x14ac:dyDescent="0.25">
      <c r="A14862" s="17" t="s">
        <v>40049</v>
      </c>
      <c r="B14862" s="17" t="s">
        <v>70</v>
      </c>
      <c r="C14862" s="17" t="s">
        <v>71</v>
      </c>
      <c r="D14862" t="s">
        <v>40039</v>
      </c>
      <c r="F14862" t="s">
        <v>9600</v>
      </c>
      <c r="K14862" s="18">
        <f>6281212340614</f>
        <v>6281212340614</v>
      </c>
      <c r="N14862" s="17" t="s">
        <v>77</v>
      </c>
      <c r="U14862" s="17"/>
      <c r="V14862" s="18">
        <f>6281212340614</f>
        <v>6281212340614</v>
      </c>
      <c r="W14862" t="s">
        <v>40050</v>
      </c>
    </row>
    <row r="14863" ht="15" customHeight="1" spans="1:28" x14ac:dyDescent="0.25">
      <c r="A14863" s="17" t="s">
        <v>40051</v>
      </c>
      <c r="B14863" s="17" t="s">
        <v>70</v>
      </c>
      <c r="C14863" s="17" t="s">
        <v>71</v>
      </c>
      <c r="D14863" t="s">
        <v>40052</v>
      </c>
      <c r="F14863" t="s">
        <v>40053</v>
      </c>
      <c r="J14863" t="s">
        <v>115</v>
      </c>
      <c r="K14863" s="18" t="s">
        <v>40054</v>
      </c>
      <c r="N14863" s="17" t="s">
        <v>77</v>
      </c>
      <c r="O14863" t="s">
        <v>145</v>
      </c>
      <c r="V14863" s="18" t="s">
        <v>40054</v>
      </c>
      <c r="Y14863" t="s">
        <v>190</v>
      </c>
      <c r="AA14863" t="s">
        <v>118</v>
      </c>
      <c r="AB14863" t="s">
        <v>119</v>
      </c>
    </row>
    <row r="14864" ht="15" customHeight="1" spans="1:22" x14ac:dyDescent="0.25">
      <c r="A14864" s="17" t="s">
        <v>40055</v>
      </c>
      <c r="B14864" s="17" t="s">
        <v>70</v>
      </c>
      <c r="C14864" s="17" t="s">
        <v>71</v>
      </c>
      <c r="D14864" t="s">
        <v>40039</v>
      </c>
      <c r="F14864" t="s">
        <v>282</v>
      </c>
      <c r="J14864" s="17" t="s">
        <v>40056</v>
      </c>
      <c r="K14864" s="18">
        <f>628170835121</f>
        <v>628170835121</v>
      </c>
      <c r="N14864" s="17" t="s">
        <v>77</v>
      </c>
      <c r="V14864" s="18">
        <f>628170835121</f>
        <v>628170835121</v>
      </c>
    </row>
    <row r="14865" ht="15" customHeight="1" spans="1:28" x14ac:dyDescent="0.25">
      <c r="A14865" s="17" t="s">
        <v>40057</v>
      </c>
      <c r="B14865" s="17" t="s">
        <v>70</v>
      </c>
      <c r="C14865" s="17" t="s">
        <v>71</v>
      </c>
      <c r="D14865" t="s">
        <v>40039</v>
      </c>
      <c r="F14865" t="s">
        <v>18358</v>
      </c>
      <c r="J14865" s="17" t="s">
        <v>40058</v>
      </c>
      <c r="K14865" s="18" t="s">
        <v>40059</v>
      </c>
      <c r="N14865" s="17" t="s">
        <v>77</v>
      </c>
      <c r="O14865" t="s">
        <v>489</v>
      </c>
      <c r="U14865" s="17"/>
      <c r="V14865" s="18" t="s">
        <v>40059</v>
      </c>
      <c r="W14865" t="s">
        <v>40060</v>
      </c>
      <c r="Y14865" t="s">
        <v>500</v>
      </c>
      <c r="AA14865" s="17" t="s">
        <v>501</v>
      </c>
      <c r="AB14865" t="s">
        <v>119</v>
      </c>
    </row>
    <row r="14866" ht="15" customHeight="1" spans="1:23" x14ac:dyDescent="0.25">
      <c r="A14866" s="17" t="s">
        <v>40061</v>
      </c>
      <c r="B14866" s="17" t="s">
        <v>70</v>
      </c>
      <c r="C14866" s="17" t="s">
        <v>71</v>
      </c>
      <c r="D14866" t="s">
        <v>40039</v>
      </c>
      <c r="F14866" t="s">
        <v>7013</v>
      </c>
      <c r="J14866" s="17" t="s">
        <v>40062</v>
      </c>
      <c r="K14866" s="18">
        <f>628129213331</f>
        <v>628129213331</v>
      </c>
      <c r="N14866" s="17" t="s">
        <v>77</v>
      </c>
      <c r="U14866" s="17"/>
      <c r="V14866" s="18">
        <f>628129213331</f>
        <v>628129213331</v>
      </c>
      <c r="W14866" t="s">
        <v>40063</v>
      </c>
    </row>
    <row r="14867" ht="15" customHeight="1" spans="1:22" x14ac:dyDescent="0.25">
      <c r="A14867" s="17" t="s">
        <v>40064</v>
      </c>
      <c r="B14867" s="17" t="s">
        <v>70</v>
      </c>
      <c r="C14867" s="17" t="s">
        <v>71</v>
      </c>
      <c r="D14867" t="s">
        <v>40039</v>
      </c>
      <c r="F14867" t="s">
        <v>5862</v>
      </c>
      <c r="K14867" s="18">
        <f>62817805181</f>
        <v>62817805181</v>
      </c>
      <c r="N14867" s="17" t="s">
        <v>77</v>
      </c>
      <c r="V14867" s="18">
        <f>62817805181</f>
        <v>62817805181</v>
      </c>
    </row>
    <row r="14868" ht="15" customHeight="1" spans="1:27" x14ac:dyDescent="0.25">
      <c r="A14868" s="17" t="s">
        <v>40065</v>
      </c>
      <c r="B14868" s="17" t="s">
        <v>70</v>
      </c>
      <c r="C14868" s="17" t="s">
        <v>71</v>
      </c>
      <c r="D14868" t="s">
        <v>40039</v>
      </c>
      <c r="F14868" t="s">
        <v>32687</v>
      </c>
      <c r="K14868" s="18">
        <f>628119914455</f>
        <v>628119914455</v>
      </c>
      <c r="N14868" s="17" t="s">
        <v>81</v>
      </c>
      <c r="U14868" s="17"/>
      <c r="V14868" s="18">
        <f>628119914455</f>
        <v>628119914455</v>
      </c>
      <c r="W14868" t="s">
        <v>40066</v>
      </c>
      <c r="AA14868" s="17">
        <v>13340</v>
      </c>
    </row>
    <row r="14869" ht="15" customHeight="1" spans="1:22" x14ac:dyDescent="0.25">
      <c r="A14869" s="17" t="s">
        <v>40067</v>
      </c>
      <c r="B14869" s="17" t="s">
        <v>70</v>
      </c>
      <c r="C14869" s="17" t="s">
        <v>71</v>
      </c>
      <c r="D14869" t="s">
        <v>40068</v>
      </c>
      <c r="F14869" t="s">
        <v>40068</v>
      </c>
      <c r="K14869" s="18">
        <f>628111057225</f>
        <v>628111057225</v>
      </c>
      <c r="N14869" s="17" t="s">
        <v>81</v>
      </c>
      <c r="V14869" s="18">
        <f>628111057225</f>
        <v>628111057225</v>
      </c>
    </row>
    <row r="14870" ht="15" customHeight="1" spans="1:22" x14ac:dyDescent="0.25">
      <c r="A14870" s="17" t="s">
        <v>40069</v>
      </c>
      <c r="B14870" s="17" t="s">
        <v>70</v>
      </c>
      <c r="C14870" s="17" t="s">
        <v>71</v>
      </c>
      <c r="D14870" t="s">
        <v>40052</v>
      </c>
      <c r="F14870" t="s">
        <v>40052</v>
      </c>
      <c r="K14870" s="18">
        <f>628562221033</f>
        <v>628562221033</v>
      </c>
      <c r="N14870" s="17" t="s">
        <v>81</v>
      </c>
      <c r="V14870" s="18">
        <f>628562221033</f>
        <v>628562221033</v>
      </c>
    </row>
    <row r="14871" ht="15" customHeight="1" spans="1:28" x14ac:dyDescent="0.25">
      <c r="A14871" s="17" t="s">
        <v>40070</v>
      </c>
      <c r="B14871" s="17" t="s">
        <v>70</v>
      </c>
      <c r="C14871" s="17" t="s">
        <v>71</v>
      </c>
      <c r="D14871" t="s">
        <v>40052</v>
      </c>
      <c r="F14871" t="s">
        <v>40071</v>
      </c>
      <c r="J14871" t="s">
        <v>115</v>
      </c>
      <c r="K14871" s="18" t="s">
        <v>40072</v>
      </c>
      <c r="N14871" s="17" t="s">
        <v>81</v>
      </c>
      <c r="O14871" t="s">
        <v>117</v>
      </c>
      <c r="V14871" s="18" t="s">
        <v>40072</v>
      </c>
      <c r="Y14871" t="s">
        <v>190</v>
      </c>
      <c r="AA14871" t="s">
        <v>118</v>
      </c>
      <c r="AB14871" t="s">
        <v>119</v>
      </c>
    </row>
    <row r="14872" ht="15" customHeight="1" spans="1:22" x14ac:dyDescent="0.25">
      <c r="A14872" s="17" t="s">
        <v>40073</v>
      </c>
      <c r="B14872" s="17" t="s">
        <v>70</v>
      </c>
      <c r="C14872" s="17" t="s">
        <v>71</v>
      </c>
      <c r="D14872" t="s">
        <v>40052</v>
      </c>
      <c r="F14872" t="s">
        <v>40074</v>
      </c>
      <c r="K14872" s="18">
        <f>628111899848</f>
        <v>628111899848</v>
      </c>
      <c r="N14872" s="17" t="s">
        <v>81</v>
      </c>
      <c r="V14872" s="18">
        <f>628111899848</f>
        <v>628111899848</v>
      </c>
    </row>
    <row r="14873" ht="15" customHeight="1" spans="1:22" x14ac:dyDescent="0.25">
      <c r="A14873" s="17" t="s">
        <v>40075</v>
      </c>
      <c r="B14873" s="17" t="s">
        <v>70</v>
      </c>
      <c r="C14873" s="17" t="s">
        <v>71</v>
      </c>
      <c r="D14873" t="s">
        <v>40052</v>
      </c>
      <c r="F14873" t="s">
        <v>18201</v>
      </c>
      <c r="K14873" s="18">
        <f>6282366656611</f>
        <v>6282366656611</v>
      </c>
      <c r="N14873" s="17" t="s">
        <v>77</v>
      </c>
      <c r="V14873" s="18">
        <f>6282366656611</f>
        <v>6282366656611</v>
      </c>
    </row>
    <row r="14874" ht="15" customHeight="1" spans="1:22" x14ac:dyDescent="0.25">
      <c r="A14874" s="17" t="s">
        <v>40076</v>
      </c>
      <c r="B14874" s="17" t="s">
        <v>70</v>
      </c>
      <c r="C14874" s="17" t="s">
        <v>71</v>
      </c>
      <c r="D14874" t="s">
        <v>40077</v>
      </c>
      <c r="F14874" t="s">
        <v>17397</v>
      </c>
      <c r="K14874" s="18">
        <f>628111996966</f>
        <v>628111996966</v>
      </c>
      <c r="N14874" s="17" t="s">
        <v>77</v>
      </c>
      <c r="V14874" s="18">
        <f>628111996966</f>
        <v>628111996966</v>
      </c>
    </row>
    <row r="14875" ht="15" customHeight="1" spans="1:28" x14ac:dyDescent="0.25">
      <c r="A14875" s="17" t="s">
        <v>40078</v>
      </c>
      <c r="B14875" s="17" t="s">
        <v>70</v>
      </c>
      <c r="C14875" s="17" t="s">
        <v>71</v>
      </c>
      <c r="D14875" t="s">
        <v>10784</v>
      </c>
      <c r="F14875" t="s">
        <v>15915</v>
      </c>
      <c r="J14875" t="s">
        <v>40079</v>
      </c>
      <c r="K14875" s="18" t="s">
        <v>40080</v>
      </c>
      <c r="N14875" s="17" t="s">
        <v>77</v>
      </c>
      <c r="O14875" t="s">
        <v>489</v>
      </c>
      <c r="V14875" s="18" t="s">
        <v>40080</v>
      </c>
      <c r="Y14875" t="s">
        <v>115</v>
      </c>
      <c r="AA14875" t="s">
        <v>115</v>
      </c>
      <c r="AB14875" t="s">
        <v>3140</v>
      </c>
    </row>
    <row r="14876" ht="15" customHeight="1" spans="1:28" x14ac:dyDescent="0.25">
      <c r="A14876" s="17" t="s">
        <v>40081</v>
      </c>
      <c r="B14876" s="17" t="s">
        <v>70</v>
      </c>
      <c r="C14876" s="17" t="s">
        <v>71</v>
      </c>
      <c r="D14876" t="s">
        <v>40082</v>
      </c>
      <c r="F14876" t="s">
        <v>40083</v>
      </c>
      <c r="J14876" s="17" t="s">
        <v>40084</v>
      </c>
      <c r="K14876" s="18" t="s">
        <v>40085</v>
      </c>
      <c r="N14876" s="17" t="s">
        <v>77</v>
      </c>
      <c r="O14876" t="s">
        <v>117</v>
      </c>
      <c r="V14876" s="18" t="s">
        <v>40085</v>
      </c>
      <c r="Y14876" t="s">
        <v>115</v>
      </c>
      <c r="AA14876" t="s">
        <v>115</v>
      </c>
      <c r="AB14876" t="s">
        <v>3140</v>
      </c>
    </row>
    <row r="14877" ht="15" customHeight="1" spans="1:22" x14ac:dyDescent="0.25">
      <c r="A14877" s="17" t="s">
        <v>40086</v>
      </c>
      <c r="B14877" s="17" t="s">
        <v>70</v>
      </c>
      <c r="C14877" s="17" t="s">
        <v>71</v>
      </c>
      <c r="D14877" t="s">
        <v>40087</v>
      </c>
      <c r="F14877" t="s">
        <v>40087</v>
      </c>
      <c r="K14877" s="18">
        <f>6287888555882</f>
        <v>6287888555882</v>
      </c>
      <c r="N14877" s="17" t="s">
        <v>77</v>
      </c>
      <c r="V14877" s="18">
        <f>6287888555882</f>
        <v>6287888555882</v>
      </c>
    </row>
    <row r="14878" ht="15" customHeight="1" spans="1:25" x14ac:dyDescent="0.25">
      <c r="A14878" s="17" t="s">
        <v>40088</v>
      </c>
      <c r="B14878" s="17" t="s">
        <v>70</v>
      </c>
      <c r="C14878" s="17" t="s">
        <v>71</v>
      </c>
      <c r="D14878" t="s">
        <v>40087</v>
      </c>
      <c r="F14878" t="s">
        <v>40087</v>
      </c>
      <c r="K14878" s="18">
        <f>6281514118888</f>
        <v>6281514118888</v>
      </c>
      <c r="N14878" s="17" t="s">
        <v>74</v>
      </c>
      <c r="U14878" s="17"/>
      <c r="V14878" s="18">
        <f>6281514118888</f>
        <v>6281514118888</v>
      </c>
      <c r="W14878" t="s">
        <v>40089</v>
      </c>
      <c r="Y14878" s="17" t="s">
        <v>622</v>
      </c>
    </row>
    <row r="14879" ht="15" customHeight="1" spans="1:28" x14ac:dyDescent="0.25">
      <c r="A14879" s="17" t="s">
        <v>40090</v>
      </c>
      <c r="B14879" s="17" t="s">
        <v>70</v>
      </c>
      <c r="C14879" s="17" t="s">
        <v>71</v>
      </c>
      <c r="D14879" t="s">
        <v>40087</v>
      </c>
      <c r="F14879" t="s">
        <v>40091</v>
      </c>
      <c r="J14879" t="s">
        <v>115</v>
      </c>
      <c r="K14879" s="18" t="s">
        <v>40092</v>
      </c>
      <c r="N14879" s="17" t="s">
        <v>74</v>
      </c>
      <c r="O14879" t="s">
        <v>199</v>
      </c>
      <c r="V14879" s="18" t="s">
        <v>40092</v>
      </c>
      <c r="Y14879" t="s">
        <v>90</v>
      </c>
      <c r="AA14879" t="s">
        <v>118</v>
      </c>
      <c r="AB14879" t="s">
        <v>119</v>
      </c>
    </row>
    <row r="14880" ht="15" customHeight="1" spans="1:22" x14ac:dyDescent="0.25">
      <c r="A14880" s="17" t="s">
        <v>40093</v>
      </c>
      <c r="B14880" s="17" t="s">
        <v>70</v>
      </c>
      <c r="C14880" s="17" t="s">
        <v>71</v>
      </c>
      <c r="D14880" t="s">
        <v>40087</v>
      </c>
      <c r="F14880" t="s">
        <v>40094</v>
      </c>
      <c r="K14880" s="18">
        <f>62811166115</f>
        <v>62811166115</v>
      </c>
      <c r="N14880" s="17" t="s">
        <v>77</v>
      </c>
      <c r="V14880" s="18">
        <f>62811166115</f>
        <v>62811166115</v>
      </c>
    </row>
    <row r="14881" ht="15" customHeight="1" spans="1:27" x14ac:dyDescent="0.25">
      <c r="A14881" s="17" t="s">
        <v>40095</v>
      </c>
      <c r="B14881" s="17" t="s">
        <v>70</v>
      </c>
      <c r="C14881" s="17" t="s">
        <v>71</v>
      </c>
      <c r="D14881" t="s">
        <v>40087</v>
      </c>
      <c r="F14881" t="s">
        <v>40096</v>
      </c>
      <c r="J14881" s="17" t="s">
        <v>40097</v>
      </c>
      <c r="K14881" s="18">
        <f>6283877779990</f>
        <v>6283877779990</v>
      </c>
      <c r="N14881" s="17" t="s">
        <v>77</v>
      </c>
      <c r="U14881" s="17"/>
      <c r="V14881" s="18">
        <f>6283877779990</f>
        <v>6283877779990</v>
      </c>
      <c r="W14881" t="s">
        <v>40098</v>
      </c>
      <c r="AA14881" s="17">
        <v>10730</v>
      </c>
    </row>
    <row r="14882" ht="15" customHeight="1" spans="1:22" x14ac:dyDescent="0.25">
      <c r="A14882" s="17" t="s">
        <v>40099</v>
      </c>
      <c r="B14882" s="17" t="s">
        <v>70</v>
      </c>
      <c r="C14882" s="17" t="s">
        <v>71</v>
      </c>
      <c r="D14882" t="s">
        <v>40087</v>
      </c>
      <c r="F14882" t="s">
        <v>2938</v>
      </c>
      <c r="K14882" s="18">
        <f>6281321904098</f>
        <v>6281321904098</v>
      </c>
      <c r="N14882" s="17" t="s">
        <v>77</v>
      </c>
      <c r="V14882" s="18">
        <f>6281321904098</f>
        <v>6281321904098</v>
      </c>
    </row>
    <row r="14883" ht="15" customHeight="1" spans="1:22" x14ac:dyDescent="0.25">
      <c r="A14883" s="17" t="s">
        <v>40100</v>
      </c>
      <c r="B14883" s="17" t="s">
        <v>70</v>
      </c>
      <c r="C14883" s="17" t="s">
        <v>71</v>
      </c>
      <c r="D14883" t="s">
        <v>40087</v>
      </c>
      <c r="F14883" t="s">
        <v>40101</v>
      </c>
      <c r="K14883" s="18">
        <f>62818141820</f>
        <v>62818141820</v>
      </c>
      <c r="N14883" s="17" t="s">
        <v>77</v>
      </c>
      <c r="V14883" s="18">
        <f>62818141820</f>
        <v>62818141820</v>
      </c>
    </row>
    <row r="14884" ht="15" customHeight="1" spans="1:22" x14ac:dyDescent="0.25">
      <c r="A14884" s="17" t="s">
        <v>40102</v>
      </c>
      <c r="B14884" s="17" t="s">
        <v>70</v>
      </c>
      <c r="C14884" s="17" t="s">
        <v>71</v>
      </c>
      <c r="D14884" t="s">
        <v>40103</v>
      </c>
      <c r="F14884" t="s">
        <v>301</v>
      </c>
      <c r="K14884" s="18">
        <f>62816107168</f>
        <v>62816107168</v>
      </c>
      <c r="N14884" s="17" t="s">
        <v>77</v>
      </c>
      <c r="V14884" s="18">
        <f>62816107168</f>
        <v>62816107168</v>
      </c>
    </row>
    <row r="14885" ht="15" customHeight="1" spans="1:22" x14ac:dyDescent="0.25">
      <c r="A14885" s="17" t="s">
        <v>40104</v>
      </c>
      <c r="B14885" s="17" t="s">
        <v>70</v>
      </c>
      <c r="C14885" s="17" t="s">
        <v>71</v>
      </c>
      <c r="D14885" t="s">
        <v>40105</v>
      </c>
      <c r="F14885" t="s">
        <v>40105</v>
      </c>
      <c r="K14885" s="18">
        <f>6281388340963</f>
        <v>6281388340963</v>
      </c>
      <c r="N14885" s="17" t="s">
        <v>77</v>
      </c>
      <c r="V14885" s="18">
        <f>6281388340963</f>
        <v>6281388340963</v>
      </c>
    </row>
    <row r="14886" ht="15" customHeight="1" spans="1:22" x14ac:dyDescent="0.25">
      <c r="A14886" s="17" t="s">
        <v>40106</v>
      </c>
      <c r="B14886" s="17" t="s">
        <v>70</v>
      </c>
      <c r="C14886" s="17" t="s">
        <v>71</v>
      </c>
      <c r="D14886" t="s">
        <v>40107</v>
      </c>
      <c r="F14886" t="s">
        <v>40107</v>
      </c>
      <c r="K14886" s="18">
        <f>6281388349063</f>
        <v>6281388349063</v>
      </c>
      <c r="N14886" s="17" t="s">
        <v>77</v>
      </c>
      <c r="V14886" s="18">
        <f>6281388349063</f>
        <v>6281388349063</v>
      </c>
    </row>
    <row r="14887" ht="15" customHeight="1" spans="1:27" x14ac:dyDescent="0.25">
      <c r="A14887" s="17" t="s">
        <v>40108</v>
      </c>
      <c r="B14887" s="17" t="s">
        <v>70</v>
      </c>
      <c r="C14887" s="17" t="s">
        <v>71</v>
      </c>
      <c r="D14887" t="s">
        <v>40105</v>
      </c>
      <c r="F14887" t="s">
        <v>10442</v>
      </c>
      <c r="K14887" s="18">
        <v>7654510</v>
      </c>
      <c r="N14887" s="17" t="s">
        <v>74</v>
      </c>
      <c r="U14887" s="17"/>
      <c r="V14887" s="18">
        <v>7654510</v>
      </c>
      <c r="W14887" t="s">
        <v>40109</v>
      </c>
      <c r="Y14887" s="17" t="s">
        <v>96</v>
      </c>
      <c r="AA14887" s="17" t="s">
        <v>97</v>
      </c>
    </row>
    <row r="14888" ht="15" customHeight="1" spans="1:22" x14ac:dyDescent="0.25">
      <c r="A14888" s="17" t="s">
        <v>40110</v>
      </c>
      <c r="B14888" s="17" t="s">
        <v>70</v>
      </c>
      <c r="C14888" s="17" t="s">
        <v>71</v>
      </c>
      <c r="D14888" t="s">
        <v>40105</v>
      </c>
      <c r="F14888" t="s">
        <v>40111</v>
      </c>
      <c r="K14888" s="18">
        <f>62811185555</f>
        <v>62811185555</v>
      </c>
      <c r="N14888" s="17" t="s">
        <v>77</v>
      </c>
      <c r="V14888" s="18">
        <f>62811185555</f>
        <v>62811185555</v>
      </c>
    </row>
    <row r="14889" ht="15" customHeight="1" spans="1:22" x14ac:dyDescent="0.25">
      <c r="A14889" s="17" t="s">
        <v>40112</v>
      </c>
      <c r="B14889" s="17" t="s">
        <v>70</v>
      </c>
      <c r="C14889" s="17" t="s">
        <v>71</v>
      </c>
      <c r="D14889" t="s">
        <v>40113</v>
      </c>
      <c r="F14889" t="s">
        <v>40113</v>
      </c>
      <c r="K14889" s="18">
        <f>6281218773566</f>
        <v>6281218773566</v>
      </c>
      <c r="N14889" s="17" t="s">
        <v>81</v>
      </c>
      <c r="V14889" s="18">
        <f>6281218773566</f>
        <v>6281218773566</v>
      </c>
    </row>
    <row r="14890" ht="15" customHeight="1" spans="1:22" x14ac:dyDescent="0.25">
      <c r="A14890" s="17" t="s">
        <v>40114</v>
      </c>
      <c r="B14890" s="17" t="s">
        <v>70</v>
      </c>
      <c r="C14890" s="17" t="s">
        <v>71</v>
      </c>
      <c r="D14890" t="s">
        <v>40113</v>
      </c>
      <c r="F14890" t="s">
        <v>40113</v>
      </c>
      <c r="K14890" s="18">
        <f>62819641125</f>
        <v>62819641125</v>
      </c>
      <c r="N14890" s="17" t="s">
        <v>77</v>
      </c>
      <c r="V14890" s="18">
        <f>62819641125</f>
        <v>62819641125</v>
      </c>
    </row>
    <row r="14891" ht="15" customHeight="1" spans="1:22" x14ac:dyDescent="0.25">
      <c r="A14891" s="17" t="s">
        <v>40115</v>
      </c>
      <c r="B14891" s="17" t="s">
        <v>70</v>
      </c>
      <c r="C14891" s="17" t="s">
        <v>71</v>
      </c>
      <c r="D14891" t="s">
        <v>40113</v>
      </c>
      <c r="F14891" t="s">
        <v>40113</v>
      </c>
      <c r="K14891" s="18">
        <f>6281288218828</f>
        <v>6281288218828</v>
      </c>
      <c r="N14891" s="17" t="s">
        <v>81</v>
      </c>
      <c r="V14891" s="18">
        <f>6281288218828</f>
        <v>6281288218828</v>
      </c>
    </row>
    <row r="14892" ht="15" customHeight="1" spans="1:23" x14ac:dyDescent="0.25">
      <c r="A14892" s="17" t="s">
        <v>40116</v>
      </c>
      <c r="B14892" s="17" t="s">
        <v>70</v>
      </c>
      <c r="C14892" s="17" t="s">
        <v>71</v>
      </c>
      <c r="D14892" t="s">
        <v>40113</v>
      </c>
      <c r="F14892" t="s">
        <v>40113</v>
      </c>
      <c r="K14892" s="18">
        <f>6281318076718</f>
        <v>6281318076718</v>
      </c>
      <c r="N14892" s="17" t="s">
        <v>77</v>
      </c>
      <c r="U14892" s="17"/>
      <c r="V14892" s="18">
        <f>6281318076718</f>
        <v>6281318076718</v>
      </c>
      <c r="W14892" t="s">
        <v>40117</v>
      </c>
    </row>
    <row r="14893" ht="15" customHeight="1" spans="1:22" x14ac:dyDescent="0.25">
      <c r="A14893" s="17" t="s">
        <v>40118</v>
      </c>
      <c r="B14893" s="17" t="s">
        <v>70</v>
      </c>
      <c r="C14893" s="17" t="s">
        <v>71</v>
      </c>
      <c r="D14893" t="s">
        <v>40113</v>
      </c>
      <c r="F14893" t="s">
        <v>40119</v>
      </c>
      <c r="K14893" s="18">
        <f>62811973331</f>
        <v>62811973331</v>
      </c>
      <c r="N14893" s="17" t="s">
        <v>77</v>
      </c>
      <c r="V14893" s="18">
        <f>62811973331</f>
        <v>62811973331</v>
      </c>
    </row>
    <row r="14894" ht="15" customHeight="1" spans="1:28" x14ac:dyDescent="0.25">
      <c r="A14894" s="17" t="s">
        <v>40120</v>
      </c>
      <c r="B14894" s="17" t="s">
        <v>70</v>
      </c>
      <c r="C14894" s="17" t="s">
        <v>71</v>
      </c>
      <c r="D14894" t="s">
        <v>40113</v>
      </c>
      <c r="F14894" t="s">
        <v>40121</v>
      </c>
      <c r="J14894" t="s">
        <v>115</v>
      </c>
      <c r="K14894" s="18" t="s">
        <v>40122</v>
      </c>
      <c r="N14894" s="17" t="s">
        <v>81</v>
      </c>
      <c r="O14894" t="s">
        <v>117</v>
      </c>
      <c r="U14894" s="17"/>
      <c r="V14894" s="18" t="s">
        <v>40122</v>
      </c>
      <c r="W14894" t="s">
        <v>40123</v>
      </c>
      <c r="Y14894" t="s">
        <v>90</v>
      </c>
      <c r="AA14894" t="s">
        <v>118</v>
      </c>
      <c r="AB14894" t="s">
        <v>119</v>
      </c>
    </row>
    <row r="14895" ht="15" customHeight="1" spans="1:28" x14ac:dyDescent="0.25">
      <c r="A14895" s="17" t="s">
        <v>40124</v>
      </c>
      <c r="B14895" s="17" t="s">
        <v>70</v>
      </c>
      <c r="C14895" s="17" t="s">
        <v>71</v>
      </c>
      <c r="D14895" t="s">
        <v>40113</v>
      </c>
      <c r="F14895" t="s">
        <v>40125</v>
      </c>
      <c r="J14895" t="s">
        <v>115</v>
      </c>
      <c r="K14895" s="18" t="s">
        <v>40126</v>
      </c>
      <c r="N14895" s="17" t="s">
        <v>81</v>
      </c>
      <c r="O14895" t="s">
        <v>117</v>
      </c>
      <c r="U14895" s="17"/>
      <c r="V14895" s="18" t="s">
        <v>40126</v>
      </c>
      <c r="W14895" t="s">
        <v>40127</v>
      </c>
      <c r="Y14895" t="s">
        <v>90</v>
      </c>
      <c r="AA14895" t="s">
        <v>118</v>
      </c>
      <c r="AB14895" t="s">
        <v>119</v>
      </c>
    </row>
    <row r="14896" ht="15" customHeight="1" spans="1:25" x14ac:dyDescent="0.25">
      <c r="A14896" s="17" t="s">
        <v>40128</v>
      </c>
      <c r="B14896" s="17" t="s">
        <v>70</v>
      </c>
      <c r="C14896" s="17" t="s">
        <v>71</v>
      </c>
      <c r="D14896" t="s">
        <v>40113</v>
      </c>
      <c r="F14896" t="s">
        <v>5476</v>
      </c>
      <c r="K14896" s="18">
        <f>62811274420</f>
        <v>62811274420</v>
      </c>
      <c r="N14896" s="17" t="s">
        <v>77</v>
      </c>
      <c r="U14896" s="17"/>
      <c r="V14896" s="18">
        <f>62811274420</f>
        <v>62811274420</v>
      </c>
      <c r="W14896" t="s">
        <v>40129</v>
      </c>
      <c r="Y14896" s="17" t="s">
        <v>410</v>
      </c>
    </row>
    <row r="14897" ht="15" customHeight="1" spans="1:22" x14ac:dyDescent="0.25">
      <c r="A14897" s="17" t="s">
        <v>40130</v>
      </c>
      <c r="B14897" s="17" t="s">
        <v>70</v>
      </c>
      <c r="C14897" s="17" t="s">
        <v>71</v>
      </c>
      <c r="D14897" t="s">
        <v>40113</v>
      </c>
      <c r="F14897" t="s">
        <v>6668</v>
      </c>
      <c r="K14897" s="18">
        <f>6281310477111</f>
        <v>6281310477111</v>
      </c>
      <c r="N14897" s="17" t="s">
        <v>81</v>
      </c>
      <c r="V14897" s="18">
        <f>6281310477111</f>
        <v>6281310477111</v>
      </c>
    </row>
    <row r="14898" ht="15" customHeight="1" spans="1:22" x14ac:dyDescent="0.25">
      <c r="A14898" s="17" t="s">
        <v>40131</v>
      </c>
      <c r="B14898" s="17" t="s">
        <v>70</v>
      </c>
      <c r="C14898" s="17" t="s">
        <v>71</v>
      </c>
      <c r="D14898" t="s">
        <v>40113</v>
      </c>
      <c r="F14898" t="s">
        <v>212</v>
      </c>
      <c r="K14898" s="18">
        <f>62811373390</f>
        <v>62811373390</v>
      </c>
      <c r="N14898" s="17" t="s">
        <v>81</v>
      </c>
      <c r="V14898" s="18">
        <f>62811373390</f>
        <v>62811373390</v>
      </c>
    </row>
    <row r="14899" ht="15" customHeight="1" spans="1:25" x14ac:dyDescent="0.25">
      <c r="A14899" s="17" t="s">
        <v>40132</v>
      </c>
      <c r="B14899" s="17" t="s">
        <v>70</v>
      </c>
      <c r="C14899" s="17" t="s">
        <v>71</v>
      </c>
      <c r="D14899" t="s">
        <v>40113</v>
      </c>
      <c r="F14899" t="s">
        <v>40133</v>
      </c>
      <c r="K14899" s="18">
        <f>6282141933977</f>
        <v>6282141933977</v>
      </c>
      <c r="N14899" s="17" t="s">
        <v>81</v>
      </c>
      <c r="U14899" s="17"/>
      <c r="V14899" s="18">
        <f>6282141933977</f>
        <v>6282141933977</v>
      </c>
      <c r="W14899" t="s">
        <v>40134</v>
      </c>
      <c r="Y14899" s="17" t="s">
        <v>704</v>
      </c>
    </row>
    <row r="14900" ht="15" customHeight="1" spans="1:22" x14ac:dyDescent="0.25">
      <c r="A14900" s="17" t="s">
        <v>40135</v>
      </c>
      <c r="B14900" s="17" t="s">
        <v>70</v>
      </c>
      <c r="C14900" s="17" t="s">
        <v>71</v>
      </c>
      <c r="D14900" t="s">
        <v>40113</v>
      </c>
      <c r="F14900" t="s">
        <v>1589</v>
      </c>
      <c r="K14900" s="18">
        <f>6281280987222</f>
        <v>6281280987222</v>
      </c>
      <c r="N14900" s="17" t="s">
        <v>77</v>
      </c>
      <c r="V14900" s="18">
        <f>6281280987222</f>
        <v>6281280987222</v>
      </c>
    </row>
    <row r="14901" ht="15" customHeight="1" spans="1:27" x14ac:dyDescent="0.25">
      <c r="A14901" s="17" t="s">
        <v>40136</v>
      </c>
      <c r="B14901" s="17" t="s">
        <v>70</v>
      </c>
      <c r="C14901" s="17" t="s">
        <v>71</v>
      </c>
      <c r="D14901" t="s">
        <v>40113</v>
      </c>
      <c r="F14901" t="s">
        <v>40137</v>
      </c>
      <c r="K14901" s="18">
        <f>62811293811</f>
        <v>62811293811</v>
      </c>
      <c r="N14901" s="17" t="s">
        <v>77</v>
      </c>
      <c r="U14901" s="17"/>
      <c r="V14901" s="18">
        <f>62811293811</f>
        <v>62811293811</v>
      </c>
      <c r="W14901" t="s">
        <v>40138</v>
      </c>
      <c r="AA14901" s="17">
        <v>55281</v>
      </c>
    </row>
    <row r="14902" ht="15" customHeight="1" spans="1:22" x14ac:dyDescent="0.25">
      <c r="A14902" s="17" t="s">
        <v>40139</v>
      </c>
      <c r="B14902" s="17" t="s">
        <v>70</v>
      </c>
      <c r="C14902" s="17" t="s">
        <v>71</v>
      </c>
      <c r="D14902" t="s">
        <v>40113</v>
      </c>
      <c r="F14902" t="s">
        <v>10204</v>
      </c>
      <c r="K14902" s="18">
        <f>628123289699</f>
        <v>628123289699</v>
      </c>
      <c r="N14902" s="17" t="s">
        <v>74</v>
      </c>
      <c r="V14902" s="18">
        <f>628123289699</f>
        <v>628123289699</v>
      </c>
    </row>
    <row r="14903" ht="15" customHeight="1" spans="1:22" x14ac:dyDescent="0.25">
      <c r="A14903" s="17" t="s">
        <v>40140</v>
      </c>
      <c r="B14903" s="17" t="s">
        <v>70</v>
      </c>
      <c r="C14903" s="17" t="s">
        <v>71</v>
      </c>
      <c r="D14903" t="s">
        <v>40113</v>
      </c>
      <c r="F14903" t="s">
        <v>23284</v>
      </c>
      <c r="K14903" s="18">
        <f>628119915117</f>
        <v>628119915117</v>
      </c>
      <c r="N14903" s="17" t="s">
        <v>77</v>
      </c>
      <c r="V14903" s="18">
        <f>628119915117</f>
        <v>628119915117</v>
      </c>
    </row>
    <row r="14904" ht="15" customHeight="1" spans="1:23" x14ac:dyDescent="0.25">
      <c r="A14904" s="17" t="s">
        <v>40141</v>
      </c>
      <c r="B14904" s="17" t="s">
        <v>70</v>
      </c>
      <c r="C14904" s="17" t="s">
        <v>71</v>
      </c>
      <c r="D14904" t="s">
        <v>40113</v>
      </c>
      <c r="F14904" t="s">
        <v>672</v>
      </c>
      <c r="K14904" s="18">
        <f>6281911111116</f>
        <v>6281911111116</v>
      </c>
      <c r="N14904" s="17" t="s">
        <v>77</v>
      </c>
      <c r="U14904" s="17"/>
      <c r="V14904" s="18">
        <f>6281911111116</f>
        <v>6281911111116</v>
      </c>
      <c r="W14904" t="s">
        <v>40142</v>
      </c>
    </row>
    <row r="14905" ht="15" customHeight="1" spans="1:27" x14ac:dyDescent="0.25">
      <c r="A14905" s="17" t="s">
        <v>40143</v>
      </c>
      <c r="B14905" s="17" t="s">
        <v>70</v>
      </c>
      <c r="C14905" s="17" t="s">
        <v>71</v>
      </c>
      <c r="D14905" t="s">
        <v>40144</v>
      </c>
      <c r="F14905" t="s">
        <v>40145</v>
      </c>
      <c r="J14905" s="17" t="s">
        <v>40146</v>
      </c>
      <c r="K14905" s="18">
        <f>628118180148</f>
        <v>628118180148</v>
      </c>
      <c r="N14905" s="17" t="s">
        <v>77</v>
      </c>
      <c r="U14905" s="17"/>
      <c r="V14905" s="18">
        <f>628118180148</f>
        <v>628118180148</v>
      </c>
      <c r="W14905" t="s">
        <v>40147</v>
      </c>
      <c r="Y14905" s="17" t="s">
        <v>96</v>
      </c>
      <c r="AA14905" s="17">
        <v>12190</v>
      </c>
    </row>
    <row r="14906" ht="15" customHeight="1" spans="1:22" x14ac:dyDescent="0.25">
      <c r="A14906" s="17" t="s">
        <v>40148</v>
      </c>
      <c r="B14906" s="17" t="s">
        <v>70</v>
      </c>
      <c r="C14906" s="17" t="s">
        <v>71</v>
      </c>
      <c r="D14906" t="s">
        <v>40149</v>
      </c>
      <c r="F14906" t="s">
        <v>40149</v>
      </c>
      <c r="K14906" s="18">
        <f>628138221288</f>
        <v>628138221288</v>
      </c>
      <c r="N14906" s="17" t="s">
        <v>81</v>
      </c>
      <c r="V14906" s="18">
        <f>628138221288</f>
        <v>628138221288</v>
      </c>
    </row>
    <row r="14907" ht="15" customHeight="1" spans="1:22" x14ac:dyDescent="0.25">
      <c r="A14907" s="17" t="s">
        <v>40150</v>
      </c>
      <c r="B14907" s="17" t="s">
        <v>70</v>
      </c>
      <c r="C14907" s="17" t="s">
        <v>71</v>
      </c>
      <c r="D14907" t="s">
        <v>40151</v>
      </c>
      <c r="F14907" t="s">
        <v>40152</v>
      </c>
      <c r="K14907" s="18">
        <f>628119595960</f>
        <v>628119595960</v>
      </c>
      <c r="N14907" s="17" t="s">
        <v>77</v>
      </c>
      <c r="V14907" s="18">
        <f>628119595960</f>
        <v>628119595960</v>
      </c>
    </row>
    <row r="14908" ht="15" customHeight="1" spans="1:22" x14ac:dyDescent="0.25">
      <c r="A14908" s="17" t="s">
        <v>40153</v>
      </c>
      <c r="B14908" s="17" t="s">
        <v>70</v>
      </c>
      <c r="C14908" s="17" t="s">
        <v>71</v>
      </c>
      <c r="D14908" t="s">
        <v>40154</v>
      </c>
      <c r="F14908" t="s">
        <v>40155</v>
      </c>
      <c r="K14908" s="18">
        <f>6281294632844</f>
        <v>6281294632844</v>
      </c>
      <c r="N14908" s="17" t="s">
        <v>77</v>
      </c>
      <c r="V14908" s="18">
        <f>6281294632844</f>
        <v>6281294632844</v>
      </c>
    </row>
    <row r="14909" ht="15" customHeight="1" spans="1:22" x14ac:dyDescent="0.25">
      <c r="A14909" s="17" t="s">
        <v>40156</v>
      </c>
      <c r="B14909" s="17" t="s">
        <v>70</v>
      </c>
      <c r="C14909" s="17" t="s">
        <v>71</v>
      </c>
      <c r="D14909" t="s">
        <v>40157</v>
      </c>
      <c r="F14909" t="s">
        <v>40157</v>
      </c>
      <c r="K14909" s="18">
        <f>628161827822</f>
        <v>628161827822</v>
      </c>
      <c r="N14909" s="17" t="s">
        <v>77</v>
      </c>
      <c r="V14909" s="18">
        <f>628161827822</f>
        <v>628161827822</v>
      </c>
    </row>
    <row r="14910" ht="15" customHeight="1" spans="1:22" x14ac:dyDescent="0.25">
      <c r="A14910" s="17" t="s">
        <v>40158</v>
      </c>
      <c r="B14910" s="17" t="s">
        <v>70</v>
      </c>
      <c r="C14910" s="17" t="s">
        <v>71</v>
      </c>
      <c r="D14910" t="s">
        <v>40157</v>
      </c>
      <c r="F14910" t="s">
        <v>4291</v>
      </c>
      <c r="K14910" s="18">
        <f>628558809989</f>
        <v>628558809989</v>
      </c>
      <c r="N14910" s="17" t="s">
        <v>74</v>
      </c>
      <c r="V14910" s="18">
        <f>628558809989</f>
        <v>628558809989</v>
      </c>
    </row>
    <row r="14911" ht="15" customHeight="1" spans="1:22" x14ac:dyDescent="0.25">
      <c r="A14911" s="17" t="s">
        <v>40159</v>
      </c>
      <c r="B14911" s="17" t="s">
        <v>70</v>
      </c>
      <c r="C14911" s="17" t="s">
        <v>71</v>
      </c>
      <c r="D14911" t="s">
        <v>40157</v>
      </c>
      <c r="F14911" t="s">
        <v>40160</v>
      </c>
      <c r="K14911" s="18">
        <f>62816800439</f>
        <v>62816800439</v>
      </c>
      <c r="N14911" s="17" t="s">
        <v>81</v>
      </c>
      <c r="V14911" s="18">
        <f>62816800439</f>
        <v>62816800439</v>
      </c>
    </row>
    <row r="14912" ht="15" customHeight="1" spans="1:27" x14ac:dyDescent="0.25">
      <c r="A14912" s="17" t="s">
        <v>40161</v>
      </c>
      <c r="B14912" s="17" t="s">
        <v>70</v>
      </c>
      <c r="C14912" s="17" t="s">
        <v>71</v>
      </c>
      <c r="D14912" t="s">
        <v>40157</v>
      </c>
      <c r="F14912" t="s">
        <v>2004</v>
      </c>
      <c r="K14912" s="18">
        <f>62816802517</f>
        <v>62816802517</v>
      </c>
      <c r="N14912" s="17" t="s">
        <v>74</v>
      </c>
      <c r="U14912" s="17"/>
      <c r="V14912" s="18">
        <f>62816802517</f>
        <v>62816802517</v>
      </c>
      <c r="W14912" t="s">
        <v>40162</v>
      </c>
      <c r="Y14912" s="17" t="s">
        <v>90</v>
      </c>
      <c r="AA14912" s="17">
        <v>12430</v>
      </c>
    </row>
    <row r="14913" ht="15" customHeight="1" spans="1:23" x14ac:dyDescent="0.25">
      <c r="A14913" s="17" t="s">
        <v>40163</v>
      </c>
      <c r="B14913" s="17" t="s">
        <v>70</v>
      </c>
      <c r="C14913" s="17" t="s">
        <v>71</v>
      </c>
      <c r="D14913" t="s">
        <v>40164</v>
      </c>
      <c r="F14913" t="s">
        <v>40165</v>
      </c>
      <c r="J14913" s="17" t="s">
        <v>40166</v>
      </c>
      <c r="K14913" s="18">
        <f>447492661722</f>
        <v>447492661722</v>
      </c>
      <c r="N14913" s="17" t="s">
        <v>77</v>
      </c>
      <c r="U14913" s="17"/>
      <c r="V14913" s="18">
        <f>447492661722</f>
        <v>447492661722</v>
      </c>
      <c r="W14913" t="s">
        <v>4888</v>
      </c>
    </row>
    <row r="14914" ht="15" customHeight="1" spans="1:22" x14ac:dyDescent="0.25">
      <c r="A14914" s="17" t="s">
        <v>40167</v>
      </c>
      <c r="B14914" s="17" t="s">
        <v>70</v>
      </c>
      <c r="C14914" s="17" t="s">
        <v>71</v>
      </c>
      <c r="D14914" t="s">
        <v>40168</v>
      </c>
      <c r="F14914" t="s">
        <v>3206</v>
      </c>
      <c r="K14914" s="18">
        <f>628121057293</f>
        <v>628121057293</v>
      </c>
      <c r="N14914" s="17" t="s">
        <v>77</v>
      </c>
      <c r="V14914" s="18">
        <f>628121057293</f>
        <v>628121057293</v>
      </c>
    </row>
    <row r="14915" ht="15" customHeight="1" spans="1:22" x14ac:dyDescent="0.25">
      <c r="A14915" s="17" t="s">
        <v>40169</v>
      </c>
      <c r="B14915" s="17" t="s">
        <v>70</v>
      </c>
      <c r="C14915" s="17" t="s">
        <v>71</v>
      </c>
      <c r="D14915" t="s">
        <v>40170</v>
      </c>
      <c r="F14915" t="s">
        <v>11260</v>
      </c>
      <c r="K14915" s="18">
        <f>62818928292</f>
        <v>62818928292</v>
      </c>
      <c r="N14915" s="17" t="s">
        <v>74</v>
      </c>
      <c r="V14915" s="18">
        <f>62818928292</f>
        <v>62818928292</v>
      </c>
    </row>
    <row r="14916" ht="15" customHeight="1" spans="1:27" x14ac:dyDescent="0.25">
      <c r="A14916" s="17" t="s">
        <v>40171</v>
      </c>
      <c r="B14916" s="17" t="s">
        <v>70</v>
      </c>
      <c r="C14916" s="17" t="s">
        <v>71</v>
      </c>
      <c r="D14916" t="s">
        <v>40172</v>
      </c>
      <c r="F14916" t="s">
        <v>40173</v>
      </c>
      <c r="K14916" s="18">
        <f>62811857697</f>
        <v>62811857697</v>
      </c>
      <c r="N14916" s="17" t="s">
        <v>77</v>
      </c>
      <c r="U14916" s="17"/>
      <c r="V14916" s="18">
        <f>62811857697</f>
        <v>62811857697</v>
      </c>
      <c r="W14916" t="s">
        <v>40174</v>
      </c>
      <c r="Y14916" s="17" t="s">
        <v>217</v>
      </c>
      <c r="AA14916" s="17" t="s">
        <v>40175</v>
      </c>
    </row>
    <row r="14917" ht="15" customHeight="1" spans="1:27" x14ac:dyDescent="0.25">
      <c r="A14917" s="17" t="s">
        <v>40176</v>
      </c>
      <c r="B14917" s="17" t="s">
        <v>70</v>
      </c>
      <c r="C14917" s="17" t="s">
        <v>71</v>
      </c>
      <c r="D14917" t="s">
        <v>12615</v>
      </c>
      <c r="F14917" t="s">
        <v>12615</v>
      </c>
      <c r="K14917" s="18">
        <v>3140866</v>
      </c>
      <c r="N14917" s="17" t="s">
        <v>74</v>
      </c>
      <c r="U14917" s="17"/>
      <c r="V14917" s="18">
        <v>3140866</v>
      </c>
      <c r="W14917" t="s">
        <v>40177</v>
      </c>
      <c r="Y14917" s="17" t="s">
        <v>378</v>
      </c>
      <c r="AA14917" s="17" t="s">
        <v>379</v>
      </c>
    </row>
    <row r="14918" ht="15" customHeight="1" spans="1:22" x14ac:dyDescent="0.25">
      <c r="A14918" s="17" t="s">
        <v>40178</v>
      </c>
      <c r="B14918" s="17" t="s">
        <v>70</v>
      </c>
      <c r="C14918" s="17" t="s">
        <v>71</v>
      </c>
      <c r="D14918" t="s">
        <v>40179</v>
      </c>
      <c r="F14918" t="s">
        <v>40180</v>
      </c>
      <c r="K14918" s="18">
        <f>6281318707778</f>
        <v>6281318707778</v>
      </c>
      <c r="N14918" s="17" t="s">
        <v>77</v>
      </c>
      <c r="V14918" s="18">
        <f>6281318707778</f>
        <v>6281318707778</v>
      </c>
    </row>
    <row r="14919" ht="15" customHeight="1" spans="1:28" x14ac:dyDescent="0.25">
      <c r="A14919" s="17" t="s">
        <v>40181</v>
      </c>
      <c r="B14919" s="17" t="s">
        <v>70</v>
      </c>
      <c r="C14919" s="17" t="s">
        <v>71</v>
      </c>
      <c r="D14919" t="s">
        <v>40179</v>
      </c>
      <c r="F14919" t="s">
        <v>40182</v>
      </c>
      <c r="J14919" t="s">
        <v>115</v>
      </c>
      <c r="K14919" s="18" t="s">
        <v>40183</v>
      </c>
      <c r="N14919" s="17" t="s">
        <v>81</v>
      </c>
      <c r="O14919" t="s">
        <v>117</v>
      </c>
      <c r="V14919" s="18" t="s">
        <v>40183</v>
      </c>
      <c r="Y14919" t="s">
        <v>190</v>
      </c>
      <c r="AA14919" t="s">
        <v>118</v>
      </c>
      <c r="AB14919" t="s">
        <v>119</v>
      </c>
    </row>
    <row r="14920" ht="15" customHeight="1" spans="1:22" x14ac:dyDescent="0.25">
      <c r="A14920" s="17" t="s">
        <v>40184</v>
      </c>
      <c r="B14920" s="17" t="s">
        <v>70</v>
      </c>
      <c r="C14920" s="17" t="s">
        <v>71</v>
      </c>
      <c r="D14920" t="s">
        <v>40185</v>
      </c>
      <c r="F14920" t="s">
        <v>4401</v>
      </c>
      <c r="K14920" s="18">
        <f>6281249471111</f>
        <v>6281249471111</v>
      </c>
      <c r="N14920" s="17" t="s">
        <v>77</v>
      </c>
      <c r="V14920" s="18">
        <f>6281249471111</f>
        <v>6281249471111</v>
      </c>
    </row>
    <row r="14921" ht="15" customHeight="1" spans="1:22" x14ac:dyDescent="0.25">
      <c r="A14921" s="17" t="s">
        <v>40186</v>
      </c>
      <c r="B14921" s="17" t="s">
        <v>70</v>
      </c>
      <c r="C14921" s="17" t="s">
        <v>71</v>
      </c>
      <c r="D14921" t="s">
        <v>40187</v>
      </c>
      <c r="F14921" t="s">
        <v>3684</v>
      </c>
      <c r="K14921" s="18">
        <f>628126063522</f>
        <v>628126063522</v>
      </c>
      <c r="N14921" s="17" t="s">
        <v>77</v>
      </c>
      <c r="V14921" s="18">
        <f>628126063522</f>
        <v>628126063522</v>
      </c>
    </row>
    <row r="14922" ht="15" customHeight="1" spans="1:25" x14ac:dyDescent="0.25">
      <c r="A14922" s="17" t="s">
        <v>40188</v>
      </c>
      <c r="B14922" s="17" t="s">
        <v>70</v>
      </c>
      <c r="C14922" s="17" t="s">
        <v>71</v>
      </c>
      <c r="D14922" t="s">
        <v>40187</v>
      </c>
      <c r="F14922" t="s">
        <v>40189</v>
      </c>
      <c r="K14922" s="18">
        <f>628113938181</f>
        <v>628113938181</v>
      </c>
      <c r="N14922" s="17" t="s">
        <v>81</v>
      </c>
      <c r="U14922" s="17"/>
      <c r="V14922" s="18">
        <f>628113938181</f>
        <v>628113938181</v>
      </c>
      <c r="W14922" t="s">
        <v>40190</v>
      </c>
      <c r="Y14922" s="17" t="s">
        <v>96</v>
      </c>
    </row>
    <row r="14923" ht="15" customHeight="1" spans="1:28" x14ac:dyDescent="0.25">
      <c r="A14923" s="17" t="s">
        <v>40191</v>
      </c>
      <c r="B14923" s="17" t="s">
        <v>70</v>
      </c>
      <c r="C14923" s="17" t="s">
        <v>71</v>
      </c>
      <c r="D14923" t="s">
        <v>40187</v>
      </c>
      <c r="F14923" t="s">
        <v>40192</v>
      </c>
      <c r="J14923" t="s">
        <v>115</v>
      </c>
      <c r="K14923" s="18" t="s">
        <v>40193</v>
      </c>
      <c r="N14923" s="17" t="s">
        <v>77</v>
      </c>
      <c r="O14923" t="s">
        <v>117</v>
      </c>
      <c r="V14923" s="18" t="s">
        <v>40193</v>
      </c>
      <c r="Y14923" t="s">
        <v>115</v>
      </c>
      <c r="AA14923" t="s">
        <v>115</v>
      </c>
      <c r="AB14923" t="s">
        <v>119</v>
      </c>
    </row>
    <row r="14924" ht="15" customHeight="1" spans="1:23" x14ac:dyDescent="0.25">
      <c r="A14924" s="17" t="s">
        <v>40194</v>
      </c>
      <c r="B14924" s="17" t="s">
        <v>70</v>
      </c>
      <c r="C14924" s="17" t="s">
        <v>71</v>
      </c>
      <c r="D14924" t="s">
        <v>40187</v>
      </c>
      <c r="F14924" t="s">
        <v>40195</v>
      </c>
      <c r="K14924" s="18">
        <f>62811111123</f>
        <v>62811111123</v>
      </c>
      <c r="N14924" s="17" t="s">
        <v>77</v>
      </c>
      <c r="U14924" s="17"/>
      <c r="V14924" s="18">
        <f>62811111123</f>
        <v>62811111123</v>
      </c>
      <c r="W14924" t="s">
        <v>40196</v>
      </c>
    </row>
    <row r="14925" ht="15" customHeight="1" spans="1:22" x14ac:dyDescent="0.25">
      <c r="A14925" s="17" t="s">
        <v>40197</v>
      </c>
      <c r="B14925" s="17" t="s">
        <v>70</v>
      </c>
      <c r="C14925" s="17" t="s">
        <v>71</v>
      </c>
      <c r="D14925" t="s">
        <v>40187</v>
      </c>
      <c r="F14925" t="s">
        <v>16352</v>
      </c>
      <c r="K14925" s="18">
        <f>628129955555</f>
        <v>628129955555</v>
      </c>
      <c r="N14925" s="17" t="s">
        <v>77</v>
      </c>
      <c r="V14925" s="18">
        <f>628129955555</f>
        <v>628129955555</v>
      </c>
    </row>
    <row r="14926" ht="15" customHeight="1" spans="1:22" x14ac:dyDescent="0.25">
      <c r="A14926" s="17" t="s">
        <v>40198</v>
      </c>
      <c r="B14926" s="17" t="s">
        <v>70</v>
      </c>
      <c r="C14926" s="17" t="s">
        <v>71</v>
      </c>
      <c r="D14926" t="s">
        <v>40187</v>
      </c>
      <c r="F14926" t="s">
        <v>40199</v>
      </c>
      <c r="K14926" s="18">
        <f>6281808889939</f>
        <v>6281808889939</v>
      </c>
      <c r="N14926" s="17" t="s">
        <v>77</v>
      </c>
      <c r="V14926" s="18">
        <f>6281808889939</f>
        <v>6281808889939</v>
      </c>
    </row>
    <row r="14927" ht="15" customHeight="1" spans="1:23" x14ac:dyDescent="0.25">
      <c r="A14927" s="17" t="s">
        <v>40200</v>
      </c>
      <c r="B14927" s="17" t="s">
        <v>70</v>
      </c>
      <c r="C14927" s="17" t="s">
        <v>71</v>
      </c>
      <c r="D14927" t="s">
        <v>40187</v>
      </c>
      <c r="F14927" t="s">
        <v>3559</v>
      </c>
      <c r="K14927" s="18">
        <f>62811265269</f>
        <v>62811265269</v>
      </c>
      <c r="N14927" s="17" t="s">
        <v>81</v>
      </c>
      <c r="U14927" s="17"/>
      <c r="V14927" s="18">
        <f>62811265269</f>
        <v>62811265269</v>
      </c>
      <c r="W14927" t="s">
        <v>40201</v>
      </c>
    </row>
    <row r="14928" ht="15" customHeight="1" spans="1:22" x14ac:dyDescent="0.25">
      <c r="A14928" s="17" t="s">
        <v>40202</v>
      </c>
      <c r="B14928" s="17" t="s">
        <v>70</v>
      </c>
      <c r="C14928" s="17" t="s">
        <v>71</v>
      </c>
      <c r="D14928" t="s">
        <v>40187</v>
      </c>
      <c r="F14928" t="s">
        <v>40203</v>
      </c>
      <c r="K14928" s="18">
        <f>6282165466394</f>
        <v>6282165466394</v>
      </c>
      <c r="N14928" s="17" t="s">
        <v>81</v>
      </c>
      <c r="V14928" s="18">
        <f>6282165466394</f>
        <v>6282165466394</v>
      </c>
    </row>
    <row r="14929" ht="15" customHeight="1" spans="1:25" x14ac:dyDescent="0.25">
      <c r="A14929" s="17" t="s">
        <v>40204</v>
      </c>
      <c r="B14929" s="17" t="s">
        <v>70</v>
      </c>
      <c r="C14929" s="17" t="s">
        <v>71</v>
      </c>
      <c r="D14929" t="s">
        <v>40187</v>
      </c>
      <c r="F14929" t="s">
        <v>28679</v>
      </c>
      <c r="K14929" s="18">
        <f>6285713006793</f>
        <v>6285713006793</v>
      </c>
      <c r="N14929" s="17" t="s">
        <v>77</v>
      </c>
      <c r="U14929" s="17"/>
      <c r="V14929" s="18">
        <f>6285713006793</f>
        <v>6285713006793</v>
      </c>
      <c r="W14929" t="s">
        <v>40205</v>
      </c>
      <c r="Y14929" s="17" t="s">
        <v>5003</v>
      </c>
    </row>
    <row r="14930" ht="15" customHeight="1" spans="1:22" x14ac:dyDescent="0.25">
      <c r="A14930" s="17" t="s">
        <v>40206</v>
      </c>
      <c r="B14930" s="17" t="s">
        <v>70</v>
      </c>
      <c r="C14930" s="17" t="s">
        <v>71</v>
      </c>
      <c r="D14930" t="s">
        <v>40187</v>
      </c>
      <c r="F14930" t="s">
        <v>4708</v>
      </c>
      <c r="K14930" s="18">
        <f>6287888952348</f>
        <v>6287888952348</v>
      </c>
      <c r="N14930" s="17" t="s">
        <v>81</v>
      </c>
      <c r="V14930" s="18">
        <f>6287888952348</f>
        <v>6287888952348</v>
      </c>
    </row>
    <row r="14931" ht="15" customHeight="1" spans="1:28" x14ac:dyDescent="0.25">
      <c r="A14931" s="17" t="s">
        <v>40207</v>
      </c>
      <c r="B14931" s="17" t="s">
        <v>70</v>
      </c>
      <c r="C14931" s="17" t="s">
        <v>71</v>
      </c>
      <c r="D14931" t="s">
        <v>40208</v>
      </c>
      <c r="F14931" t="s">
        <v>1208</v>
      </c>
      <c r="J14931" t="s">
        <v>115</v>
      </c>
      <c r="K14931" s="18" t="s">
        <v>40209</v>
      </c>
      <c r="N14931" s="17" t="s">
        <v>77</v>
      </c>
      <c r="O14931" t="s">
        <v>117</v>
      </c>
      <c r="U14931" s="17"/>
      <c r="V14931" s="18" t="s">
        <v>40209</v>
      </c>
      <c r="W14931" t="s">
        <v>40210</v>
      </c>
      <c r="Y14931" s="17" t="s">
        <v>3048</v>
      </c>
      <c r="AA14931" t="s">
        <v>115</v>
      </c>
      <c r="AB14931" t="s">
        <v>119</v>
      </c>
    </row>
    <row r="14932" ht="15" customHeight="1" spans="1:28" x14ac:dyDescent="0.25">
      <c r="A14932" s="17" t="s">
        <v>40211</v>
      </c>
      <c r="B14932" s="17" t="s">
        <v>70</v>
      </c>
      <c r="C14932" s="17" t="s">
        <v>71</v>
      </c>
      <c r="D14932" t="s">
        <v>29898</v>
      </c>
      <c r="F14932" t="s">
        <v>150</v>
      </c>
      <c r="J14932" s="17" t="s">
        <v>40212</v>
      </c>
      <c r="K14932" s="18" t="s">
        <v>40213</v>
      </c>
      <c r="N14932" s="17" t="s">
        <v>77</v>
      </c>
      <c r="O14932" t="s">
        <v>489</v>
      </c>
      <c r="V14932" s="18" t="s">
        <v>40213</v>
      </c>
      <c r="Y14932" t="s">
        <v>190</v>
      </c>
      <c r="AA14932" t="s">
        <v>118</v>
      </c>
      <c r="AB14932" t="s">
        <v>119</v>
      </c>
    </row>
    <row r="14933" ht="15" customHeight="1" spans="1:25" x14ac:dyDescent="0.25">
      <c r="A14933" s="17" t="s">
        <v>40214</v>
      </c>
      <c r="B14933" s="17" t="s">
        <v>70</v>
      </c>
      <c r="C14933" s="17" t="s">
        <v>71</v>
      </c>
      <c r="D14933" t="s">
        <v>40187</v>
      </c>
      <c r="F14933" t="s">
        <v>21482</v>
      </c>
      <c r="K14933" s="18">
        <f>62215220148</f>
        <v>62215220148</v>
      </c>
      <c r="N14933" s="17" t="s">
        <v>77</v>
      </c>
      <c r="U14933" s="17"/>
      <c r="V14933" s="18">
        <f>62215220148</f>
        <v>62215220148</v>
      </c>
      <c r="W14933" t="s">
        <v>40215</v>
      </c>
      <c r="Y14933" s="17" t="s">
        <v>96</v>
      </c>
    </row>
    <row r="14934" ht="15" customHeight="1" spans="1:22" x14ac:dyDescent="0.25">
      <c r="A14934" s="17" t="s">
        <v>40216</v>
      </c>
      <c r="B14934" s="17" t="s">
        <v>70</v>
      </c>
      <c r="C14934" s="17" t="s">
        <v>71</v>
      </c>
      <c r="D14934" t="s">
        <v>40187</v>
      </c>
      <c r="F14934" t="s">
        <v>18199</v>
      </c>
      <c r="K14934" s="18">
        <f>628119981948</f>
        <v>628119981948</v>
      </c>
      <c r="N14934" s="17" t="s">
        <v>74</v>
      </c>
      <c r="V14934" s="18">
        <f>628119981948</f>
        <v>628119981948</v>
      </c>
    </row>
    <row r="14935" ht="15" customHeight="1" spans="1:22" x14ac:dyDescent="0.25">
      <c r="A14935" s="17" t="s">
        <v>40217</v>
      </c>
      <c r="B14935" s="17" t="s">
        <v>70</v>
      </c>
      <c r="C14935" s="17" t="s">
        <v>71</v>
      </c>
      <c r="D14935" t="s">
        <v>40187</v>
      </c>
      <c r="F14935" t="s">
        <v>153</v>
      </c>
      <c r="J14935" s="17" t="s">
        <v>40218</v>
      </c>
      <c r="K14935" s="18">
        <f>62817833677</f>
        <v>62817833677</v>
      </c>
      <c r="N14935" s="17" t="s">
        <v>77</v>
      </c>
      <c r="V14935" s="18">
        <f>62817833677</f>
        <v>62817833677</v>
      </c>
    </row>
    <row r="14936" ht="15" customHeight="1" spans="1:22" x14ac:dyDescent="0.25">
      <c r="A14936" s="17" t="s">
        <v>40219</v>
      </c>
      <c r="B14936" s="17" t="s">
        <v>70</v>
      </c>
      <c r="C14936" s="17" t="s">
        <v>71</v>
      </c>
      <c r="D14936" t="s">
        <v>40187</v>
      </c>
      <c r="F14936" t="s">
        <v>38925</v>
      </c>
      <c r="K14936" s="18">
        <f>62811481822</f>
        <v>62811481822</v>
      </c>
      <c r="N14936" s="17" t="s">
        <v>77</v>
      </c>
      <c r="V14936" s="18">
        <f>62811481822</f>
        <v>62811481822</v>
      </c>
    </row>
    <row r="14937" ht="15" customHeight="1" spans="1:22" x14ac:dyDescent="0.25">
      <c r="A14937" s="17" t="s">
        <v>40220</v>
      </c>
      <c r="B14937" s="17" t="s">
        <v>70</v>
      </c>
      <c r="C14937" s="17" t="s">
        <v>71</v>
      </c>
      <c r="D14937" t="s">
        <v>40187</v>
      </c>
      <c r="F14937" t="s">
        <v>21924</v>
      </c>
      <c r="J14937" s="17" t="s">
        <v>40221</v>
      </c>
      <c r="K14937" s="18">
        <f>6281906019818</f>
        <v>6281906019818</v>
      </c>
      <c r="N14937" s="17" t="s">
        <v>77</v>
      </c>
      <c r="V14937" s="18">
        <f>6281906019818</f>
        <v>6281906019818</v>
      </c>
    </row>
    <row r="14938" ht="15" customHeight="1" spans="1:23" x14ac:dyDescent="0.25">
      <c r="A14938" s="17" t="s">
        <v>40222</v>
      </c>
      <c r="B14938" s="17" t="s">
        <v>70</v>
      </c>
      <c r="C14938" s="17" t="s">
        <v>71</v>
      </c>
      <c r="D14938" t="s">
        <v>40187</v>
      </c>
      <c r="F14938" t="s">
        <v>40223</v>
      </c>
      <c r="K14938" s="18">
        <f>628123998700</f>
        <v>628123998700</v>
      </c>
      <c r="N14938" s="17" t="s">
        <v>81</v>
      </c>
      <c r="U14938" s="17"/>
      <c r="V14938" s="18">
        <f>628123998700</f>
        <v>628123998700</v>
      </c>
      <c r="W14938" t="s">
        <v>40224</v>
      </c>
    </row>
    <row r="14939" ht="15" customHeight="1" spans="1:22" x14ac:dyDescent="0.25">
      <c r="A14939" s="17" t="s">
        <v>40225</v>
      </c>
      <c r="B14939" s="17" t="s">
        <v>70</v>
      </c>
      <c r="C14939" s="17" t="s">
        <v>71</v>
      </c>
      <c r="D14939" t="s">
        <v>40187</v>
      </c>
      <c r="F14939" t="s">
        <v>4858</v>
      </c>
      <c r="K14939" s="18">
        <f>6282175346428</f>
        <v>6282175346428</v>
      </c>
      <c r="N14939" s="17" t="s">
        <v>81</v>
      </c>
      <c r="V14939" s="18">
        <f>6282175346428</f>
        <v>6282175346428</v>
      </c>
    </row>
    <row r="14940" ht="15" customHeight="1" spans="1:27" x14ac:dyDescent="0.25">
      <c r="A14940" s="17" t="s">
        <v>40226</v>
      </c>
      <c r="B14940" s="17" t="s">
        <v>70</v>
      </c>
      <c r="C14940" s="17" t="s">
        <v>71</v>
      </c>
      <c r="D14940" t="s">
        <v>40187</v>
      </c>
      <c r="F14940" t="s">
        <v>9975</v>
      </c>
      <c r="J14940" s="17" t="s">
        <v>40227</v>
      </c>
      <c r="K14940" s="18">
        <f>6282153578684</f>
        <v>6282153578684</v>
      </c>
      <c r="N14940" s="17" t="s">
        <v>77</v>
      </c>
      <c r="U14940" s="17"/>
      <c r="V14940" s="18">
        <f>6282153578684</f>
        <v>6282153578684</v>
      </c>
      <c r="W14940" t="s">
        <v>40228</v>
      </c>
      <c r="Y14940" s="17" t="s">
        <v>40229</v>
      </c>
      <c r="AA14940" s="17">
        <v>74112</v>
      </c>
    </row>
    <row r="14941" ht="15" customHeight="1" spans="1:27" x14ac:dyDescent="0.25">
      <c r="A14941" s="17" t="s">
        <v>40230</v>
      </c>
      <c r="B14941" s="17" t="s">
        <v>70</v>
      </c>
      <c r="C14941" s="17" t="s">
        <v>71</v>
      </c>
      <c r="D14941" t="s">
        <v>40231</v>
      </c>
      <c r="F14941" t="s">
        <v>5589</v>
      </c>
      <c r="J14941" s="17" t="s">
        <v>40232</v>
      </c>
      <c r="K14941" s="18">
        <f>6281586289625</f>
        <v>6281586289625</v>
      </c>
      <c r="N14941" s="17" t="s">
        <v>77</v>
      </c>
      <c r="U14941" s="17"/>
      <c r="V14941" s="18">
        <f>6281586289625</f>
        <v>6281586289625</v>
      </c>
      <c r="W14941" t="s">
        <v>40233</v>
      </c>
      <c r="Y14941" s="17" t="s">
        <v>378</v>
      </c>
      <c r="AA14941" s="17">
        <v>12910</v>
      </c>
    </row>
    <row r="14942" ht="15" customHeight="1" spans="1:23" x14ac:dyDescent="0.25">
      <c r="A14942" s="17" t="s">
        <v>40234</v>
      </c>
      <c r="B14942" s="17" t="s">
        <v>70</v>
      </c>
      <c r="C14942" s="17" t="s">
        <v>71</v>
      </c>
      <c r="D14942" t="s">
        <v>34231</v>
      </c>
      <c r="F14942" t="s">
        <v>13788</v>
      </c>
      <c r="K14942" s="18">
        <f>628561158218</f>
        <v>628561158218</v>
      </c>
      <c r="N14942" s="17" t="s">
        <v>81</v>
      </c>
      <c r="U14942" s="17"/>
      <c r="V14942" s="18">
        <f>628561158218</f>
        <v>628561158218</v>
      </c>
      <c r="W14942" t="s">
        <v>40235</v>
      </c>
    </row>
    <row r="14943" ht="15" customHeight="1" spans="1:22" x14ac:dyDescent="0.25">
      <c r="A14943" s="17" t="s">
        <v>40236</v>
      </c>
      <c r="B14943" s="17" t="s">
        <v>70</v>
      </c>
      <c r="C14943" s="17" t="s">
        <v>71</v>
      </c>
      <c r="D14943" t="s">
        <v>34231</v>
      </c>
      <c r="F14943" t="s">
        <v>40237</v>
      </c>
      <c r="K14943" s="18">
        <f>628118841189</f>
        <v>628118841189</v>
      </c>
      <c r="N14943" s="17" t="s">
        <v>81</v>
      </c>
      <c r="V14943" s="18">
        <f>628118841189</f>
        <v>628118841189</v>
      </c>
    </row>
    <row r="14944" ht="15" customHeight="1" spans="1:22" x14ac:dyDescent="0.25">
      <c r="A14944" s="17" t="s">
        <v>40238</v>
      </c>
      <c r="B14944" s="17" t="s">
        <v>70</v>
      </c>
      <c r="C14944" s="17" t="s">
        <v>71</v>
      </c>
      <c r="D14944" t="s">
        <v>34231</v>
      </c>
      <c r="F14944" t="s">
        <v>21321</v>
      </c>
      <c r="K14944" s="18">
        <f>6282120039551</f>
        <v>6282120039551</v>
      </c>
      <c r="N14944" s="17" t="s">
        <v>81</v>
      </c>
      <c r="V14944" s="18">
        <f>6282120039551</f>
        <v>6282120039551</v>
      </c>
    </row>
    <row r="14945" ht="15" customHeight="1" spans="1:27" x14ac:dyDescent="0.25">
      <c r="A14945" s="17" t="s">
        <v>40239</v>
      </c>
      <c r="B14945" s="17" t="s">
        <v>70</v>
      </c>
      <c r="C14945" s="17" t="s">
        <v>71</v>
      </c>
      <c r="D14945" t="s">
        <v>34231</v>
      </c>
      <c r="F14945" t="s">
        <v>1208</v>
      </c>
      <c r="K14945" s="18">
        <f>6281288763570</f>
        <v>6281288763570</v>
      </c>
      <c r="N14945" s="17" t="s">
        <v>81</v>
      </c>
      <c r="U14945" s="17"/>
      <c r="V14945" s="18">
        <f>6281288763570</f>
        <v>6281288763570</v>
      </c>
      <c r="W14945" t="s">
        <v>40240</v>
      </c>
      <c r="AA14945" s="17">
        <v>951217</v>
      </c>
    </row>
    <row r="14946" ht="15" customHeight="1" spans="1:22" x14ac:dyDescent="0.25">
      <c r="A14946" s="17" t="s">
        <v>40241</v>
      </c>
      <c r="B14946" s="17" t="s">
        <v>70</v>
      </c>
      <c r="C14946" s="17" t="s">
        <v>71</v>
      </c>
      <c r="D14946" t="s">
        <v>40242</v>
      </c>
      <c r="F14946" t="s">
        <v>40242</v>
      </c>
      <c r="K14946" s="18">
        <f>62811874623</f>
        <v>62811874623</v>
      </c>
      <c r="N14946" s="17" t="s">
        <v>81</v>
      </c>
      <c r="V14946" s="18">
        <f>62811874623</f>
        <v>62811874623</v>
      </c>
    </row>
    <row r="14947" ht="15" customHeight="1" spans="1:28" x14ac:dyDescent="0.25">
      <c r="A14947" s="17" t="s">
        <v>40243</v>
      </c>
      <c r="B14947" s="17" t="s">
        <v>70</v>
      </c>
      <c r="C14947" s="17" t="s">
        <v>71</v>
      </c>
      <c r="D14947" t="s">
        <v>40244</v>
      </c>
      <c r="F14947" t="s">
        <v>40245</v>
      </c>
      <c r="J14947" s="17" t="s">
        <v>40246</v>
      </c>
      <c r="K14947" s="18" t="s">
        <v>40247</v>
      </c>
      <c r="N14947" s="17" t="s">
        <v>77</v>
      </c>
      <c r="O14947" t="s">
        <v>261</v>
      </c>
      <c r="U14947" s="17"/>
      <c r="V14947" s="18" t="s">
        <v>40247</v>
      </c>
      <c r="W14947" t="s">
        <v>40248</v>
      </c>
      <c r="Y14947" t="s">
        <v>96</v>
      </c>
      <c r="AA14947" t="s">
        <v>693</v>
      </c>
      <c r="AB14947" t="s">
        <v>119</v>
      </c>
    </row>
    <row r="14948" ht="15" customHeight="1" spans="1:22" x14ac:dyDescent="0.25">
      <c r="A14948" s="17" t="s">
        <v>40249</v>
      </c>
      <c r="B14948" s="17" t="s">
        <v>70</v>
      </c>
      <c r="C14948" s="17" t="s">
        <v>71</v>
      </c>
      <c r="D14948" t="s">
        <v>40250</v>
      </c>
      <c r="F14948" t="s">
        <v>40250</v>
      </c>
      <c r="K14948" s="18">
        <f>628127592331</f>
        <v>628127592331</v>
      </c>
      <c r="N14948" s="17" t="s">
        <v>77</v>
      </c>
      <c r="V14948" s="18">
        <f>628127592331</f>
        <v>628127592331</v>
      </c>
    </row>
    <row r="14949" ht="15" customHeight="1" spans="1:22" x14ac:dyDescent="0.25">
      <c r="A14949" s="17" t="s">
        <v>40251</v>
      </c>
      <c r="B14949" s="17" t="s">
        <v>70</v>
      </c>
      <c r="C14949" s="17" t="s">
        <v>71</v>
      </c>
      <c r="D14949" t="s">
        <v>4172</v>
      </c>
      <c r="F14949" t="s">
        <v>23396</v>
      </c>
      <c r="K14949" s="18">
        <f>6281118008888</f>
        <v>6281118008888</v>
      </c>
      <c r="N14949" s="17" t="s">
        <v>81</v>
      </c>
      <c r="V14949" s="18">
        <f>6281118008888</f>
        <v>6281118008888</v>
      </c>
    </row>
    <row r="14950" ht="15" customHeight="1" spans="1:22" x14ac:dyDescent="0.25">
      <c r="A14950" s="17" t="s">
        <v>40252</v>
      </c>
      <c r="B14950" s="17" t="s">
        <v>70</v>
      </c>
      <c r="C14950" s="17" t="s">
        <v>71</v>
      </c>
      <c r="D14950" t="s">
        <v>40253</v>
      </c>
      <c r="F14950" t="s">
        <v>40253</v>
      </c>
      <c r="K14950" s="18">
        <f>62811900420</f>
        <v>62811900420</v>
      </c>
      <c r="N14950" s="17" t="s">
        <v>77</v>
      </c>
      <c r="V14950" s="18">
        <f>62811900420</f>
        <v>62811900420</v>
      </c>
    </row>
    <row r="14951" ht="15" customHeight="1" spans="1:23" x14ac:dyDescent="0.25">
      <c r="A14951" s="17" t="s">
        <v>40254</v>
      </c>
      <c r="B14951" s="17" t="s">
        <v>70</v>
      </c>
      <c r="C14951" s="17" t="s">
        <v>71</v>
      </c>
      <c r="D14951" t="s">
        <v>40255</v>
      </c>
      <c r="F14951" t="s">
        <v>40256</v>
      </c>
      <c r="J14951" s="17" t="s">
        <v>40257</v>
      </c>
      <c r="K14951" s="18">
        <f>6281299095745</f>
        <v>6281299095745</v>
      </c>
      <c r="N14951" s="17" t="s">
        <v>81</v>
      </c>
      <c r="U14951" s="17"/>
      <c r="V14951" s="18">
        <f>6281299095745</f>
        <v>6281299095745</v>
      </c>
      <c r="W14951" t="s">
        <v>40258</v>
      </c>
    </row>
    <row r="14952" ht="15" customHeight="1" spans="1:22" x14ac:dyDescent="0.25">
      <c r="A14952" s="17" t="s">
        <v>40259</v>
      </c>
      <c r="B14952" s="17" t="s">
        <v>70</v>
      </c>
      <c r="C14952" s="17" t="s">
        <v>71</v>
      </c>
      <c r="D14952" t="s">
        <v>40260</v>
      </c>
      <c r="F14952" t="s">
        <v>40260</v>
      </c>
      <c r="K14952" s="18">
        <f>6287853371123</f>
        <v>6287853371123</v>
      </c>
      <c r="N14952" s="17" t="s">
        <v>77</v>
      </c>
      <c r="V14952" s="18">
        <f>6287853371123</f>
        <v>6287853371123</v>
      </c>
    </row>
    <row r="14953" ht="15" customHeight="1" spans="1:22" x14ac:dyDescent="0.25">
      <c r="A14953" s="17" t="s">
        <v>40261</v>
      </c>
      <c r="B14953" s="17" t="s">
        <v>70</v>
      </c>
      <c r="C14953" s="17" t="s">
        <v>71</v>
      </c>
      <c r="D14953" t="s">
        <v>40262</v>
      </c>
      <c r="F14953" t="s">
        <v>13891</v>
      </c>
      <c r="K14953" s="18">
        <f>62816998889</f>
        <v>62816998889</v>
      </c>
      <c r="N14953" s="17" t="s">
        <v>77</v>
      </c>
      <c r="V14953" s="18">
        <f>62816998889</f>
        <v>62816998889</v>
      </c>
    </row>
    <row r="14954" ht="15" customHeight="1" spans="1:23" x14ac:dyDescent="0.25">
      <c r="A14954" s="17" t="s">
        <v>40263</v>
      </c>
      <c r="B14954" s="17" t="s">
        <v>70</v>
      </c>
      <c r="C14954" s="17" t="s">
        <v>71</v>
      </c>
      <c r="D14954" t="s">
        <v>40262</v>
      </c>
      <c r="F14954" t="s">
        <v>40264</v>
      </c>
      <c r="K14954" s="18">
        <f>628112140672</f>
        <v>628112140672</v>
      </c>
      <c r="N14954" s="17" t="s">
        <v>77</v>
      </c>
      <c r="U14954" s="17"/>
      <c r="V14954" s="18">
        <f>628112140672</f>
        <v>628112140672</v>
      </c>
      <c r="W14954" t="s">
        <v>40265</v>
      </c>
    </row>
    <row r="14955" ht="15" customHeight="1" spans="1:23" x14ac:dyDescent="0.25">
      <c r="A14955" s="17" t="s">
        <v>40266</v>
      </c>
      <c r="B14955" s="17" t="s">
        <v>70</v>
      </c>
      <c r="C14955" s="17" t="s">
        <v>71</v>
      </c>
      <c r="D14955" t="s">
        <v>40267</v>
      </c>
      <c r="F14955" t="s">
        <v>40268</v>
      </c>
      <c r="K14955" s="18">
        <f>6282187312292</f>
        <v>6282187312292</v>
      </c>
      <c r="N14955" s="17" t="s">
        <v>74</v>
      </c>
      <c r="U14955" s="17"/>
      <c r="V14955" s="18">
        <f>6282187312292</f>
        <v>6282187312292</v>
      </c>
      <c r="W14955" t="s">
        <v>7143</v>
      </c>
    </row>
    <row r="14956" ht="15" customHeight="1" spans="1:22" x14ac:dyDescent="0.25">
      <c r="A14956" s="17" t="s">
        <v>40269</v>
      </c>
      <c r="B14956" s="17" t="s">
        <v>70</v>
      </c>
      <c r="C14956" s="17" t="s">
        <v>71</v>
      </c>
      <c r="D14956" t="s">
        <v>40270</v>
      </c>
      <c r="F14956" t="s">
        <v>40271</v>
      </c>
      <c r="K14956" s="18">
        <f>628121108468</f>
        <v>628121108468</v>
      </c>
      <c r="N14956" s="17" t="s">
        <v>77</v>
      </c>
      <c r="V14956" s="18">
        <f>628121108468</f>
        <v>628121108468</v>
      </c>
    </row>
    <row r="14957" ht="15" customHeight="1" spans="1:22" x14ac:dyDescent="0.25">
      <c r="A14957" s="17" t="s">
        <v>40272</v>
      </c>
      <c r="B14957" s="17" t="s">
        <v>70</v>
      </c>
      <c r="C14957" s="17" t="s">
        <v>71</v>
      </c>
      <c r="D14957" t="s">
        <v>40273</v>
      </c>
      <c r="F14957" t="s">
        <v>40273</v>
      </c>
      <c r="K14957" s="18">
        <f>62811561169</f>
        <v>62811561169</v>
      </c>
      <c r="N14957" s="17" t="s">
        <v>81</v>
      </c>
      <c r="V14957" s="18">
        <f>62811561169</f>
        <v>62811561169</v>
      </c>
    </row>
    <row r="14958" ht="15" customHeight="1" spans="1:22" x14ac:dyDescent="0.25">
      <c r="A14958" s="17" t="s">
        <v>40274</v>
      </c>
      <c r="B14958" s="17" t="s">
        <v>70</v>
      </c>
      <c r="C14958" s="17" t="s">
        <v>71</v>
      </c>
      <c r="D14958" t="s">
        <v>40273</v>
      </c>
      <c r="F14958" t="s">
        <v>2159</v>
      </c>
      <c r="K14958" s="18">
        <f>62816853403</f>
        <v>62816853403</v>
      </c>
      <c r="N14958" s="17" t="s">
        <v>81</v>
      </c>
      <c r="V14958" s="18">
        <f>62816853403</f>
        <v>62816853403</v>
      </c>
    </row>
    <row r="14959" ht="15" customHeight="1" spans="1:22" x14ac:dyDescent="0.25">
      <c r="A14959" s="17" t="s">
        <v>40275</v>
      </c>
      <c r="B14959" s="17" t="s">
        <v>70</v>
      </c>
      <c r="C14959" s="17" t="s">
        <v>71</v>
      </c>
      <c r="D14959" t="s">
        <v>40273</v>
      </c>
      <c r="F14959" t="s">
        <v>15610</v>
      </c>
      <c r="K14959" s="18">
        <f>628122404286</f>
        <v>628122404286</v>
      </c>
      <c r="N14959" s="17" t="s">
        <v>81</v>
      </c>
      <c r="V14959" s="18">
        <f>628122404286</f>
        <v>628122404286</v>
      </c>
    </row>
    <row r="14960" ht="15" customHeight="1" spans="1:28" x14ac:dyDescent="0.25">
      <c r="A14960" s="17" t="s">
        <v>40276</v>
      </c>
      <c r="B14960" s="17" t="s">
        <v>70</v>
      </c>
      <c r="C14960" s="17" t="s">
        <v>71</v>
      </c>
      <c r="D14960" t="s">
        <v>40273</v>
      </c>
      <c r="F14960" t="s">
        <v>10875</v>
      </c>
      <c r="J14960" t="s">
        <v>115</v>
      </c>
      <c r="K14960" s="18" t="s">
        <v>40277</v>
      </c>
      <c r="N14960" s="17" t="s">
        <v>74</v>
      </c>
      <c r="O14960" t="s">
        <v>489</v>
      </c>
      <c r="U14960" s="17"/>
      <c r="V14960" s="18" t="s">
        <v>40277</v>
      </c>
      <c r="W14960" t="s">
        <v>40278</v>
      </c>
      <c r="Y14960" t="s">
        <v>1702</v>
      </c>
      <c r="AA14960" s="17" t="s">
        <v>40279</v>
      </c>
      <c r="AB14960" t="s">
        <v>119</v>
      </c>
    </row>
    <row r="14961" ht="15" customHeight="1" spans="1:22" x14ac:dyDescent="0.25">
      <c r="A14961" s="17" t="s">
        <v>40280</v>
      </c>
      <c r="B14961" s="17" t="s">
        <v>70</v>
      </c>
      <c r="C14961" s="17" t="s">
        <v>71</v>
      </c>
      <c r="D14961" t="s">
        <v>8122</v>
      </c>
      <c r="F14961" t="s">
        <v>38180</v>
      </c>
      <c r="K14961" s="18">
        <f>62812100008836</f>
        <v>62812100008836</v>
      </c>
      <c r="N14961" s="17" t="s">
        <v>77</v>
      </c>
      <c r="V14961" s="18">
        <f>62812100008836</f>
        <v>62812100008836</v>
      </c>
    </row>
    <row r="14962" ht="15" customHeight="1" spans="1:23" x14ac:dyDescent="0.25">
      <c r="A14962" s="17" t="s">
        <v>40281</v>
      </c>
      <c r="B14962" s="17" t="s">
        <v>70</v>
      </c>
      <c r="C14962" s="17" t="s">
        <v>71</v>
      </c>
      <c r="D14962" t="s">
        <v>40282</v>
      </c>
      <c r="F14962" t="s">
        <v>2279</v>
      </c>
      <c r="K14962" s="18">
        <f>6281298552000</f>
        <v>6281298552000</v>
      </c>
      <c r="N14962" s="17" t="s">
        <v>77</v>
      </c>
      <c r="U14962" s="17"/>
      <c r="V14962" s="18">
        <f>6281298552000</f>
        <v>6281298552000</v>
      </c>
      <c r="W14962" t="s">
        <v>40283</v>
      </c>
    </row>
    <row r="14963" ht="15" customHeight="1" spans="1:22" x14ac:dyDescent="0.25">
      <c r="A14963" s="17" t="s">
        <v>40284</v>
      </c>
      <c r="B14963" s="17" t="s">
        <v>70</v>
      </c>
      <c r="C14963" s="17" t="s">
        <v>71</v>
      </c>
      <c r="D14963" t="s">
        <v>40285</v>
      </c>
      <c r="F14963" t="s">
        <v>40285</v>
      </c>
      <c r="K14963" s="18">
        <f>6281217171770</f>
        <v>6281217171770</v>
      </c>
      <c r="N14963" s="17" t="s">
        <v>81</v>
      </c>
      <c r="V14963" s="18">
        <f>6281217171770</f>
        <v>6281217171770</v>
      </c>
    </row>
    <row r="14964" ht="15" customHeight="1" spans="1:22" x14ac:dyDescent="0.25">
      <c r="A14964" s="17" t="s">
        <v>40286</v>
      </c>
      <c r="B14964" s="17" t="s">
        <v>70</v>
      </c>
      <c r="C14964" s="17" t="s">
        <v>71</v>
      </c>
      <c r="D14964" t="s">
        <v>40287</v>
      </c>
      <c r="F14964" t="s">
        <v>40287</v>
      </c>
      <c r="K14964" s="18">
        <f>6282118233608</f>
        <v>6282118233608</v>
      </c>
      <c r="N14964" s="17" t="s">
        <v>81</v>
      </c>
      <c r="V14964" s="18">
        <f>6282118233608</f>
        <v>6282118233608</v>
      </c>
    </row>
    <row r="14965" ht="15" customHeight="1" spans="1:22" x14ac:dyDescent="0.25">
      <c r="A14965" s="17" t="s">
        <v>40288</v>
      </c>
      <c r="B14965" s="17" t="s">
        <v>70</v>
      </c>
      <c r="C14965" s="17" t="s">
        <v>71</v>
      </c>
      <c r="D14965" t="s">
        <v>40289</v>
      </c>
      <c r="F14965" t="s">
        <v>40290</v>
      </c>
      <c r="K14965" s="18">
        <f>628129503763</f>
        <v>628129503763</v>
      </c>
      <c r="N14965" s="17" t="s">
        <v>81</v>
      </c>
      <c r="V14965" s="18">
        <f>628129503763</f>
        <v>628129503763</v>
      </c>
    </row>
    <row r="14966" ht="15" customHeight="1" spans="1:28" x14ac:dyDescent="0.25">
      <c r="A14966" s="17" t="s">
        <v>40291</v>
      </c>
      <c r="B14966" s="17" t="s">
        <v>70</v>
      </c>
      <c r="C14966" s="17" t="s">
        <v>71</v>
      </c>
      <c r="D14966" t="s">
        <v>40292</v>
      </c>
      <c r="F14966" t="s">
        <v>40292</v>
      </c>
      <c r="J14966" t="s">
        <v>115</v>
      </c>
      <c r="K14966" s="18" t="s">
        <v>40293</v>
      </c>
      <c r="N14966" s="17" t="s">
        <v>77</v>
      </c>
      <c r="O14966" t="s">
        <v>489</v>
      </c>
      <c r="V14966" s="18" t="s">
        <v>40293</v>
      </c>
      <c r="Y14966" t="s">
        <v>3028</v>
      </c>
      <c r="AA14966" t="s">
        <v>9062</v>
      </c>
      <c r="AB14966" t="s">
        <v>119</v>
      </c>
    </row>
    <row r="14967" ht="15" customHeight="1" spans="1:28" x14ac:dyDescent="0.25">
      <c r="A14967" s="17" t="s">
        <v>40294</v>
      </c>
      <c r="B14967" s="17" t="s">
        <v>70</v>
      </c>
      <c r="C14967" s="17" t="s">
        <v>71</v>
      </c>
      <c r="D14967" t="s">
        <v>40295</v>
      </c>
      <c r="F14967" t="s">
        <v>1024</v>
      </c>
      <c r="J14967" t="s">
        <v>115</v>
      </c>
      <c r="K14967" s="18" t="s">
        <v>40296</v>
      </c>
      <c r="N14967" s="17" t="s">
        <v>77</v>
      </c>
      <c r="O14967" t="s">
        <v>145</v>
      </c>
      <c r="U14967" s="17"/>
      <c r="V14967" s="18" t="s">
        <v>40296</v>
      </c>
      <c r="W14967" t="s">
        <v>40297</v>
      </c>
      <c r="Y14967" s="17" t="s">
        <v>90</v>
      </c>
      <c r="AA14967" t="s">
        <v>118</v>
      </c>
      <c r="AB14967" t="s">
        <v>119</v>
      </c>
    </row>
    <row r="14968" ht="15" customHeight="1" spans="1:27" x14ac:dyDescent="0.25">
      <c r="A14968" s="17" t="s">
        <v>40298</v>
      </c>
      <c r="B14968" s="17" t="s">
        <v>70</v>
      </c>
      <c r="C14968" s="17" t="s">
        <v>71</v>
      </c>
      <c r="D14968" t="s">
        <v>40299</v>
      </c>
      <c r="F14968" t="s">
        <v>7702</v>
      </c>
      <c r="J14968" s="17" t="s">
        <v>40300</v>
      </c>
      <c r="K14968" s="18">
        <f>6281936018231</f>
        <v>6281936018231</v>
      </c>
      <c r="N14968" s="17" t="s">
        <v>77</v>
      </c>
      <c r="U14968" s="17"/>
      <c r="V14968" s="18">
        <f>6281936018231</f>
        <v>6281936018231</v>
      </c>
      <c r="W14968" t="s">
        <v>40301</v>
      </c>
      <c r="AA14968" s="17">
        <v>8361</v>
      </c>
    </row>
    <row r="14969" ht="15" customHeight="1" spans="1:28" x14ac:dyDescent="0.25">
      <c r="A14969" s="17" t="s">
        <v>40302</v>
      </c>
      <c r="B14969" s="17" t="s">
        <v>70</v>
      </c>
      <c r="C14969" s="17" t="s">
        <v>71</v>
      </c>
      <c r="D14969" t="s">
        <v>40303</v>
      </c>
      <c r="F14969" t="s">
        <v>40304</v>
      </c>
      <c r="J14969" t="s">
        <v>40305</v>
      </c>
      <c r="K14969" s="18" t="s">
        <v>40306</v>
      </c>
      <c r="N14969" s="17" t="s">
        <v>77</v>
      </c>
      <c r="O14969" t="s">
        <v>117</v>
      </c>
      <c r="V14969" s="18" t="s">
        <v>40306</v>
      </c>
      <c r="Y14969" t="s">
        <v>90</v>
      </c>
      <c r="AA14969" t="s">
        <v>118</v>
      </c>
      <c r="AB14969" t="s">
        <v>119</v>
      </c>
    </row>
    <row r="14970" ht="15" customHeight="1" spans="1:22" x14ac:dyDescent="0.25">
      <c r="A14970" s="17" t="s">
        <v>40307</v>
      </c>
      <c r="B14970" s="17" t="s">
        <v>70</v>
      </c>
      <c r="C14970" s="17" t="s">
        <v>71</v>
      </c>
      <c r="D14970" t="s">
        <v>40308</v>
      </c>
      <c r="F14970" t="s">
        <v>40309</v>
      </c>
      <c r="K14970" s="18">
        <f>62811150504</f>
        <v>62811150504</v>
      </c>
      <c r="N14970" s="17" t="s">
        <v>74</v>
      </c>
      <c r="V14970" s="18">
        <f>62811150504</f>
        <v>62811150504</v>
      </c>
    </row>
    <row r="14971" ht="15" customHeight="1" spans="1:28" x14ac:dyDescent="0.25">
      <c r="A14971" s="17" t="s">
        <v>40310</v>
      </c>
      <c r="B14971" s="17" t="s">
        <v>70</v>
      </c>
      <c r="C14971" s="17" t="s">
        <v>71</v>
      </c>
      <c r="D14971" t="s">
        <v>4057</v>
      </c>
      <c r="F14971" t="s">
        <v>40311</v>
      </c>
      <c r="J14971" s="17" t="s">
        <v>40312</v>
      </c>
      <c r="K14971" s="18" t="s">
        <v>40313</v>
      </c>
      <c r="N14971" s="17" t="s">
        <v>77</v>
      </c>
      <c r="O14971" t="s">
        <v>117</v>
      </c>
      <c r="V14971" s="18" t="s">
        <v>40313</v>
      </c>
      <c r="Y14971" t="s">
        <v>7108</v>
      </c>
      <c r="AA14971" t="s">
        <v>115</v>
      </c>
      <c r="AB14971" t="s">
        <v>7108</v>
      </c>
    </row>
    <row r="14972" ht="15" customHeight="1" spans="1:28" x14ac:dyDescent="0.25">
      <c r="A14972" s="17" t="s">
        <v>40314</v>
      </c>
      <c r="B14972" s="17" t="s">
        <v>70</v>
      </c>
      <c r="C14972" s="17" t="s">
        <v>71</v>
      </c>
      <c r="D14972" t="s">
        <v>40315</v>
      </c>
      <c r="F14972" t="s">
        <v>40316</v>
      </c>
      <c r="J14972" s="17" t="s">
        <v>40317</v>
      </c>
      <c r="K14972" s="18" t="s">
        <v>40318</v>
      </c>
      <c r="N14972" s="17" t="s">
        <v>77</v>
      </c>
      <c r="O14972" t="s">
        <v>145</v>
      </c>
      <c r="U14972" s="17"/>
      <c r="V14972" s="18" t="s">
        <v>40318</v>
      </c>
      <c r="W14972" t="s">
        <v>40319</v>
      </c>
      <c r="Y14972" s="17" t="s">
        <v>90</v>
      </c>
      <c r="AA14972" s="17" t="s">
        <v>118</v>
      </c>
      <c r="AB14972" t="s">
        <v>119</v>
      </c>
    </row>
    <row r="14973" ht="15" customHeight="1" spans="1:28" x14ac:dyDescent="0.25">
      <c r="A14973" s="17" t="s">
        <v>40320</v>
      </c>
      <c r="B14973" s="17" t="s">
        <v>70</v>
      </c>
      <c r="C14973" s="17" t="s">
        <v>71</v>
      </c>
      <c r="D14973" t="s">
        <v>40321</v>
      </c>
      <c r="F14973" t="s">
        <v>40322</v>
      </c>
      <c r="J14973" t="s">
        <v>115</v>
      </c>
      <c r="K14973" s="18" t="s">
        <v>40323</v>
      </c>
      <c r="N14973" s="17" t="s">
        <v>77</v>
      </c>
      <c r="O14973" t="s">
        <v>145</v>
      </c>
      <c r="V14973" s="18" t="s">
        <v>40323</v>
      </c>
      <c r="Y14973" t="s">
        <v>1909</v>
      </c>
      <c r="AA14973" t="s">
        <v>115</v>
      </c>
      <c r="AB14973" t="s">
        <v>1909</v>
      </c>
    </row>
    <row r="14974" ht="15" customHeight="1" spans="1:22" x14ac:dyDescent="0.25">
      <c r="A14974" s="17" t="s">
        <v>40324</v>
      </c>
      <c r="B14974" s="17" t="s">
        <v>70</v>
      </c>
      <c r="C14974" s="17" t="s">
        <v>71</v>
      </c>
      <c r="D14974" t="s">
        <v>40325</v>
      </c>
      <c r="F14974" t="s">
        <v>18381</v>
      </c>
      <c r="K14974" s="18">
        <f>6282110798877</f>
        <v>6282110798877</v>
      </c>
      <c r="N14974" s="17" t="s">
        <v>81</v>
      </c>
      <c r="V14974" s="18">
        <f>6282110798877</f>
        <v>6282110798877</v>
      </c>
    </row>
    <row r="14975" ht="15" customHeight="1" spans="1:28" x14ac:dyDescent="0.25">
      <c r="A14975" s="17" t="s">
        <v>40326</v>
      </c>
      <c r="B14975" s="17" t="s">
        <v>70</v>
      </c>
      <c r="C14975" s="17" t="s">
        <v>71</v>
      </c>
      <c r="D14975" t="s">
        <v>40327</v>
      </c>
      <c r="F14975" t="s">
        <v>40328</v>
      </c>
      <c r="J14975" s="17" t="s">
        <v>40329</v>
      </c>
      <c r="K14975" s="18" t="s">
        <v>40330</v>
      </c>
      <c r="N14975" s="17" t="s">
        <v>77</v>
      </c>
      <c r="O14975" t="s">
        <v>489</v>
      </c>
      <c r="V14975" s="18" t="s">
        <v>40330</v>
      </c>
      <c r="Y14975" t="s">
        <v>2500</v>
      </c>
      <c r="AA14975" t="s">
        <v>115</v>
      </c>
      <c r="AB14975" t="s">
        <v>2500</v>
      </c>
    </row>
    <row r="14976" ht="15" customHeight="1" spans="1:22" x14ac:dyDescent="0.25">
      <c r="A14976" s="17" t="s">
        <v>40331</v>
      </c>
      <c r="B14976" s="17" t="s">
        <v>70</v>
      </c>
      <c r="C14976" s="17" t="s">
        <v>71</v>
      </c>
      <c r="D14976" t="s">
        <v>40332</v>
      </c>
      <c r="F14976" t="s">
        <v>40333</v>
      </c>
      <c r="K14976" s="18">
        <f>628111742280</f>
        <v>628111742280</v>
      </c>
      <c r="N14976" s="17" t="s">
        <v>81</v>
      </c>
      <c r="V14976" s="18">
        <f>628111742280</f>
        <v>628111742280</v>
      </c>
    </row>
    <row r="14977" ht="15" customHeight="1" spans="1:28" x14ac:dyDescent="0.25">
      <c r="A14977" s="17" t="s">
        <v>40334</v>
      </c>
      <c r="B14977" s="17" t="s">
        <v>70</v>
      </c>
      <c r="C14977" s="17" t="s">
        <v>71</v>
      </c>
      <c r="D14977" t="s">
        <v>40335</v>
      </c>
      <c r="F14977" t="s">
        <v>40336</v>
      </c>
      <c r="J14977" s="17" t="s">
        <v>40337</v>
      </c>
      <c r="K14977" s="18" t="s">
        <v>40338</v>
      </c>
      <c r="N14977" s="17" t="s">
        <v>77</v>
      </c>
      <c r="O14977" t="s">
        <v>145</v>
      </c>
      <c r="U14977" s="17"/>
      <c r="V14977" s="18" t="s">
        <v>40338</v>
      </c>
      <c r="W14977" t="s">
        <v>1909</v>
      </c>
      <c r="Y14977" t="s">
        <v>1909</v>
      </c>
      <c r="AA14977" t="s">
        <v>115</v>
      </c>
      <c r="AB14977" t="s">
        <v>1909</v>
      </c>
    </row>
    <row r="14978" ht="15" customHeight="1" spans="1:28" x14ac:dyDescent="0.25">
      <c r="A14978" s="17" t="s">
        <v>40339</v>
      </c>
      <c r="B14978" s="17" t="s">
        <v>70</v>
      </c>
      <c r="C14978" s="17" t="s">
        <v>71</v>
      </c>
      <c r="D14978" t="s">
        <v>40340</v>
      </c>
      <c r="F14978" t="s">
        <v>40341</v>
      </c>
      <c r="J14978" t="s">
        <v>115</v>
      </c>
      <c r="K14978" s="18" t="s">
        <v>40342</v>
      </c>
      <c r="N14978" s="17" t="s">
        <v>77</v>
      </c>
      <c r="O14978" t="s">
        <v>117</v>
      </c>
      <c r="V14978" s="18" t="s">
        <v>40342</v>
      </c>
      <c r="Y14978" t="s">
        <v>190</v>
      </c>
      <c r="AA14978" t="s">
        <v>118</v>
      </c>
      <c r="AB14978" t="s">
        <v>119</v>
      </c>
    </row>
    <row r="14979" ht="15" customHeight="1" spans="1:22" x14ac:dyDescent="0.25">
      <c r="A14979" s="17" t="s">
        <v>40343</v>
      </c>
      <c r="B14979" s="17" t="s">
        <v>70</v>
      </c>
      <c r="C14979" s="17" t="s">
        <v>71</v>
      </c>
      <c r="D14979" t="s">
        <v>40344</v>
      </c>
      <c r="F14979" t="s">
        <v>40345</v>
      </c>
      <c r="K14979" s="18">
        <f>62819096920178</f>
        <v>62819096920178</v>
      </c>
      <c r="N14979" s="17" t="s">
        <v>81</v>
      </c>
      <c r="V14979" s="18">
        <f>62819096920178</f>
        <v>62819096920178</v>
      </c>
    </row>
    <row r="14980" ht="15" customHeight="1" spans="1:22" x14ac:dyDescent="0.25">
      <c r="A14980" s="17" t="s">
        <v>40346</v>
      </c>
      <c r="B14980" s="17" t="s">
        <v>70</v>
      </c>
      <c r="C14980" s="17" t="s">
        <v>71</v>
      </c>
      <c r="D14980" t="s">
        <v>36671</v>
      </c>
      <c r="F14980" t="s">
        <v>14606</v>
      </c>
      <c r="K14980" s="18">
        <v>170623</v>
      </c>
      <c r="N14980" s="17" t="s">
        <v>81</v>
      </c>
      <c r="V14980" s="18">
        <v>170623</v>
      </c>
    </row>
    <row r="14981" ht="15" customHeight="1" spans="1:25" x14ac:dyDescent="0.25">
      <c r="A14981" s="17" t="s">
        <v>40347</v>
      </c>
      <c r="B14981" s="17" t="s">
        <v>70</v>
      </c>
      <c r="C14981" s="17" t="s">
        <v>71</v>
      </c>
      <c r="D14981" t="s">
        <v>40348</v>
      </c>
      <c r="F14981" t="s">
        <v>17397</v>
      </c>
      <c r="K14981" s="18">
        <f>62818658247</f>
        <v>62818658247</v>
      </c>
      <c r="N14981" s="17" t="s">
        <v>77</v>
      </c>
      <c r="U14981" s="17"/>
      <c r="V14981" s="18">
        <f>62818658247</f>
        <v>62818658247</v>
      </c>
      <c r="W14981" t="s">
        <v>40349</v>
      </c>
      <c r="Y14981" s="17" t="s">
        <v>6412</v>
      </c>
    </row>
    <row r="14982" ht="15" customHeight="1" spans="1:23" x14ac:dyDescent="0.25">
      <c r="A14982" s="17" t="s">
        <v>40350</v>
      </c>
      <c r="B14982" s="17" t="s">
        <v>70</v>
      </c>
      <c r="C14982" s="17" t="s">
        <v>71</v>
      </c>
      <c r="D14982" t="s">
        <v>40351</v>
      </c>
      <c r="F14982" t="s">
        <v>40352</v>
      </c>
      <c r="K14982" s="18">
        <f>380936144109</f>
        <v>380936144109</v>
      </c>
      <c r="N14982" s="17" t="s">
        <v>77</v>
      </c>
      <c r="U14982" s="17"/>
      <c r="V14982" s="18">
        <f>380936144109</f>
        <v>380936144109</v>
      </c>
      <c r="W14982" t="s">
        <v>2914</v>
      </c>
    </row>
    <row r="14983" ht="15" customHeight="1" spans="1:22" x14ac:dyDescent="0.25">
      <c r="A14983" s="17" t="s">
        <v>40353</v>
      </c>
      <c r="B14983" s="17" t="s">
        <v>70</v>
      </c>
      <c r="C14983" s="17" t="s">
        <v>71</v>
      </c>
      <c r="D14983" t="s">
        <v>40354</v>
      </c>
      <c r="F14983" t="s">
        <v>5589</v>
      </c>
      <c r="K14983" s="18">
        <f>62816821031</f>
        <v>62816821031</v>
      </c>
      <c r="N14983" s="17" t="s">
        <v>81</v>
      </c>
      <c r="V14983" s="18">
        <f>62816821031</f>
        <v>62816821031</v>
      </c>
    </row>
    <row r="14984" ht="15" customHeight="1" spans="1:22" x14ac:dyDescent="0.25">
      <c r="A14984" s="17" t="s">
        <v>40355</v>
      </c>
      <c r="B14984" s="17" t="s">
        <v>70</v>
      </c>
      <c r="C14984" s="17" t="s">
        <v>71</v>
      </c>
      <c r="D14984" t="s">
        <v>14882</v>
      </c>
      <c r="F14984" t="s">
        <v>14882</v>
      </c>
      <c r="K14984" s="18">
        <f>6287882233678</f>
        <v>6287882233678</v>
      </c>
      <c r="N14984" s="17" t="s">
        <v>81</v>
      </c>
      <c r="V14984" s="18">
        <f>6287882233678</f>
        <v>6287882233678</v>
      </c>
    </row>
    <row r="14985" ht="15" customHeight="1" spans="1:25" x14ac:dyDescent="0.25">
      <c r="A14985" s="17" t="s">
        <v>40356</v>
      </c>
      <c r="B14985" s="17" t="s">
        <v>70</v>
      </c>
      <c r="C14985" s="17" t="s">
        <v>71</v>
      </c>
      <c r="D14985" t="s">
        <v>40357</v>
      </c>
      <c r="F14985" t="s">
        <v>40357</v>
      </c>
      <c r="K14985" s="18">
        <f>6281282169129</f>
        <v>6281282169129</v>
      </c>
      <c r="N14985" s="17" t="s">
        <v>77</v>
      </c>
      <c r="U14985" s="17"/>
      <c r="V14985" s="18">
        <f>6281282169129</f>
        <v>6281282169129</v>
      </c>
      <c r="W14985" t="s">
        <v>40358</v>
      </c>
      <c r="Y14985" s="17" t="s">
        <v>515</v>
      </c>
    </row>
    <row r="14986" ht="15" customHeight="1" spans="1:22" x14ac:dyDescent="0.25">
      <c r="A14986" s="17" t="s">
        <v>40359</v>
      </c>
      <c r="B14986" s="17" t="s">
        <v>70</v>
      </c>
      <c r="C14986" s="17" t="s">
        <v>71</v>
      </c>
      <c r="D14986" t="s">
        <v>40360</v>
      </c>
      <c r="F14986" t="s">
        <v>40361</v>
      </c>
      <c r="K14986" s="18">
        <f>66818364355</f>
        <v>66818364355</v>
      </c>
      <c r="N14986" s="17" t="s">
        <v>81</v>
      </c>
      <c r="V14986" s="18">
        <f>66818364355</f>
        <v>66818364355</v>
      </c>
    </row>
    <row r="14987" ht="15" customHeight="1" spans="1:28" x14ac:dyDescent="0.25">
      <c r="A14987" s="17" t="s">
        <v>40362</v>
      </c>
      <c r="B14987" s="17" t="s">
        <v>70</v>
      </c>
      <c r="C14987" s="17" t="s">
        <v>71</v>
      </c>
      <c r="D14987" t="s">
        <v>40363</v>
      </c>
      <c r="F14987" t="s">
        <v>40364</v>
      </c>
      <c r="J14987" t="s">
        <v>115</v>
      </c>
      <c r="K14987" s="18" t="s">
        <v>40365</v>
      </c>
      <c r="N14987" s="17" t="s">
        <v>77</v>
      </c>
      <c r="O14987" t="s">
        <v>199</v>
      </c>
      <c r="V14987" s="18" t="s">
        <v>40365</v>
      </c>
      <c r="Y14987" t="s">
        <v>90</v>
      </c>
      <c r="AA14987" t="s">
        <v>118</v>
      </c>
      <c r="AB14987" t="s">
        <v>119</v>
      </c>
    </row>
    <row r="14988" ht="15" customHeight="1" spans="1:22" x14ac:dyDescent="0.25">
      <c r="A14988" s="17" t="s">
        <v>40366</v>
      </c>
      <c r="B14988" s="17" t="s">
        <v>70</v>
      </c>
      <c r="C14988" s="17" t="s">
        <v>71</v>
      </c>
      <c r="D14988" t="s">
        <v>40367</v>
      </c>
      <c r="F14988" t="s">
        <v>13623</v>
      </c>
      <c r="K14988" s="18">
        <f>6281510108000</f>
        <v>6281510108000</v>
      </c>
      <c r="N14988" s="17" t="s">
        <v>74</v>
      </c>
      <c r="V14988" s="18">
        <f>6281510108000</f>
        <v>6281510108000</v>
      </c>
    </row>
    <row r="14989" ht="15" customHeight="1" spans="1:22" x14ac:dyDescent="0.25">
      <c r="A14989" s="17" t="s">
        <v>40368</v>
      </c>
      <c r="B14989" s="17" t="s">
        <v>70</v>
      </c>
      <c r="C14989" s="17" t="s">
        <v>71</v>
      </c>
      <c r="D14989" t="s">
        <v>35586</v>
      </c>
      <c r="F14989" t="s">
        <v>40369</v>
      </c>
      <c r="K14989" s="18">
        <f>62818156008</f>
        <v>62818156008</v>
      </c>
      <c r="N14989" s="17" t="s">
        <v>74</v>
      </c>
      <c r="V14989" s="18">
        <f>62818156008</f>
        <v>62818156008</v>
      </c>
    </row>
    <row r="14990" ht="15" customHeight="1" spans="1:28" x14ac:dyDescent="0.25">
      <c r="A14990" s="17" t="s">
        <v>40370</v>
      </c>
      <c r="B14990" s="17" t="s">
        <v>70</v>
      </c>
      <c r="C14990" s="17" t="s">
        <v>71</v>
      </c>
      <c r="D14990" t="s">
        <v>40371</v>
      </c>
      <c r="F14990" t="s">
        <v>40372</v>
      </c>
      <c r="J14990" s="17" t="s">
        <v>40373</v>
      </c>
      <c r="K14990" s="18" t="s">
        <v>40374</v>
      </c>
      <c r="N14990" s="17" t="s">
        <v>77</v>
      </c>
      <c r="O14990" t="s">
        <v>145</v>
      </c>
      <c r="V14990" s="18" t="s">
        <v>40374</v>
      </c>
      <c r="Y14990" t="s">
        <v>906</v>
      </c>
      <c r="AA14990" t="s">
        <v>115</v>
      </c>
      <c r="AB14990" t="s">
        <v>119</v>
      </c>
    </row>
    <row r="14991" ht="15" customHeight="1" spans="1:22" x14ac:dyDescent="0.25">
      <c r="A14991" s="17" t="s">
        <v>40375</v>
      </c>
      <c r="B14991" s="17" t="s">
        <v>70</v>
      </c>
      <c r="C14991" s="17" t="s">
        <v>71</v>
      </c>
      <c r="D14991" t="s">
        <v>40376</v>
      </c>
      <c r="F14991" t="s">
        <v>40377</v>
      </c>
      <c r="K14991" s="18">
        <f>6281233030888</f>
        <v>6281233030888</v>
      </c>
      <c r="N14991" s="17" t="s">
        <v>74</v>
      </c>
      <c r="V14991" s="18">
        <f>6281233030888</f>
        <v>6281233030888</v>
      </c>
    </row>
    <row r="14992" ht="15" customHeight="1" spans="1:28" x14ac:dyDescent="0.25">
      <c r="A14992" s="17" t="s">
        <v>40378</v>
      </c>
      <c r="B14992" s="17" t="s">
        <v>70</v>
      </c>
      <c r="C14992" s="17" t="s">
        <v>71</v>
      </c>
      <c r="D14992" t="s">
        <v>40379</v>
      </c>
      <c r="F14992" t="s">
        <v>8871</v>
      </c>
      <c r="J14992" t="s">
        <v>115</v>
      </c>
      <c r="K14992" s="18" t="s">
        <v>40380</v>
      </c>
      <c r="N14992" s="17" t="s">
        <v>74</v>
      </c>
      <c r="O14992" t="s">
        <v>1188</v>
      </c>
      <c r="U14992" s="17"/>
      <c r="V14992" s="18" t="s">
        <v>40380</v>
      </c>
      <c r="W14992" t="s">
        <v>40381</v>
      </c>
      <c r="Y14992" t="s">
        <v>378</v>
      </c>
      <c r="AA14992" t="s">
        <v>118</v>
      </c>
      <c r="AB14992" t="s">
        <v>119</v>
      </c>
    </row>
    <row r="14993" ht="15" customHeight="1" spans="1:22" x14ac:dyDescent="0.25">
      <c r="A14993" s="17" t="s">
        <v>40382</v>
      </c>
      <c r="B14993" s="17" t="s">
        <v>70</v>
      </c>
      <c r="C14993" s="17" t="s">
        <v>71</v>
      </c>
      <c r="D14993" t="s">
        <v>12690</v>
      </c>
      <c r="F14993" t="s">
        <v>12690</v>
      </c>
      <c r="K14993" s="18">
        <f>6281510074007</f>
        <v>6281510074007</v>
      </c>
      <c r="N14993" s="17" t="s">
        <v>74</v>
      </c>
      <c r="V14993" s="18">
        <f>6281510074007</f>
        <v>6281510074007</v>
      </c>
    </row>
    <row r="14994" ht="15" customHeight="1" spans="1:22" x14ac:dyDescent="0.25">
      <c r="A14994" s="17" t="s">
        <v>40383</v>
      </c>
      <c r="B14994" s="17" t="s">
        <v>70</v>
      </c>
      <c r="C14994" s="17" t="s">
        <v>71</v>
      </c>
      <c r="D14994" t="s">
        <v>12690</v>
      </c>
      <c r="F14994" t="s">
        <v>1690</v>
      </c>
      <c r="K14994" s="18">
        <f>6287875506956</f>
        <v>6287875506956</v>
      </c>
      <c r="N14994" s="17" t="s">
        <v>81</v>
      </c>
      <c r="V14994" s="18">
        <f>6287875506956</f>
        <v>6287875506956</v>
      </c>
    </row>
    <row r="14995" ht="15" customHeight="1" spans="1:22" x14ac:dyDescent="0.25">
      <c r="A14995" s="17" t="s">
        <v>40384</v>
      </c>
      <c r="B14995" s="17" t="s">
        <v>70</v>
      </c>
      <c r="C14995" s="17" t="s">
        <v>71</v>
      </c>
      <c r="D14995" t="s">
        <v>12690</v>
      </c>
      <c r="F14995" t="s">
        <v>1690</v>
      </c>
      <c r="K14995" s="18">
        <f>628785506956</f>
        <v>628785506956</v>
      </c>
      <c r="N14995" s="17" t="s">
        <v>74</v>
      </c>
      <c r="V14995" s="18">
        <f>628785506956</f>
        <v>628785506956</v>
      </c>
    </row>
    <row r="14996" ht="15" customHeight="1" spans="1:27" x14ac:dyDescent="0.25">
      <c r="A14996" s="17" t="s">
        <v>40385</v>
      </c>
      <c r="B14996" s="17" t="s">
        <v>70</v>
      </c>
      <c r="C14996" s="17" t="s">
        <v>71</v>
      </c>
      <c r="D14996" t="s">
        <v>12690</v>
      </c>
      <c r="F14996" t="s">
        <v>31822</v>
      </c>
      <c r="K14996" s="18">
        <f>62816829718</f>
        <v>62816829718</v>
      </c>
      <c r="N14996" s="17" t="s">
        <v>74</v>
      </c>
      <c r="U14996" s="17"/>
      <c r="V14996" s="18">
        <f>62816829718</f>
        <v>62816829718</v>
      </c>
      <c r="W14996" t="s">
        <v>40386</v>
      </c>
      <c r="Y14996" s="17" t="s">
        <v>96</v>
      </c>
      <c r="AA14996" s="17" t="s">
        <v>6485</v>
      </c>
    </row>
    <row r="14997" ht="15" customHeight="1" spans="1:28" x14ac:dyDescent="0.25">
      <c r="A14997" s="17" t="s">
        <v>40387</v>
      </c>
      <c r="B14997" s="17" t="s">
        <v>70</v>
      </c>
      <c r="C14997" s="17" t="s">
        <v>71</v>
      </c>
      <c r="D14997" t="s">
        <v>35745</v>
      </c>
      <c r="F14997" t="s">
        <v>4866</v>
      </c>
      <c r="J14997" t="s">
        <v>115</v>
      </c>
      <c r="K14997" s="18" t="s">
        <v>40388</v>
      </c>
      <c r="N14997" s="17" t="s">
        <v>77</v>
      </c>
      <c r="O14997" t="s">
        <v>117</v>
      </c>
      <c r="U14997" s="17"/>
      <c r="V14997" s="18" t="s">
        <v>40388</v>
      </c>
      <c r="W14997" t="s">
        <v>40389</v>
      </c>
      <c r="Y14997" s="17" t="s">
        <v>190</v>
      </c>
      <c r="AA14997" s="17" t="s">
        <v>118</v>
      </c>
      <c r="AB14997" t="s">
        <v>119</v>
      </c>
    </row>
    <row r="14998" ht="15" customHeight="1" spans="1:22" x14ac:dyDescent="0.25">
      <c r="A14998" s="17" t="s">
        <v>40390</v>
      </c>
      <c r="B14998" s="17" t="s">
        <v>70</v>
      </c>
      <c r="C14998" s="17" t="s">
        <v>71</v>
      </c>
      <c r="D14998" t="s">
        <v>12690</v>
      </c>
      <c r="F14998" t="s">
        <v>14695</v>
      </c>
      <c r="K14998" s="18">
        <f>62818156565</f>
        <v>62818156565</v>
      </c>
      <c r="N14998" s="17" t="s">
        <v>77</v>
      </c>
      <c r="V14998" s="18">
        <f>62818156565</f>
        <v>62818156565</v>
      </c>
    </row>
    <row r="14999" ht="15" customHeight="1" spans="1:28" x14ac:dyDescent="0.25">
      <c r="A14999" s="17" t="s">
        <v>40391</v>
      </c>
      <c r="B14999" s="17" t="s">
        <v>70</v>
      </c>
      <c r="C14999" s="17" t="s">
        <v>71</v>
      </c>
      <c r="D14999" t="s">
        <v>12690</v>
      </c>
      <c r="F14999" t="s">
        <v>2418</v>
      </c>
      <c r="J14999" t="s">
        <v>115</v>
      </c>
      <c r="K14999" s="18" t="s">
        <v>40392</v>
      </c>
      <c r="N14999" s="17" t="s">
        <v>81</v>
      </c>
      <c r="O14999" t="s">
        <v>489</v>
      </c>
      <c r="U14999" s="17"/>
      <c r="V14999" s="18" t="s">
        <v>40392</v>
      </c>
      <c r="W14999" t="s">
        <v>40393</v>
      </c>
      <c r="Y14999" t="s">
        <v>90</v>
      </c>
      <c r="AA14999" t="s">
        <v>118</v>
      </c>
      <c r="AB14999" t="s">
        <v>119</v>
      </c>
    </row>
    <row r="15000" ht="15" customHeight="1" spans="1:25" x14ac:dyDescent="0.25">
      <c r="A15000" s="17" t="s">
        <v>40394</v>
      </c>
      <c r="B15000" s="17" t="s">
        <v>70</v>
      </c>
      <c r="C15000" s="17" t="s">
        <v>71</v>
      </c>
      <c r="D15000" t="s">
        <v>12690</v>
      </c>
      <c r="F15000" t="s">
        <v>40395</v>
      </c>
      <c r="J15000" s="17" t="s">
        <v>40396</v>
      </c>
      <c r="K15000" s="18">
        <f>6281821790</f>
        <v>6281821790</v>
      </c>
      <c r="N15000" s="17" t="s">
        <v>74</v>
      </c>
      <c r="U15000" s="17"/>
      <c r="V15000" s="18">
        <f>6281821790</f>
        <v>6281821790</v>
      </c>
      <c r="W15000" t="s">
        <v>40397</v>
      </c>
      <c r="Y15000" s="17" t="s">
        <v>500</v>
      </c>
    </row>
    <row r="15001" ht="15" customHeight="1" spans="1:28" x14ac:dyDescent="0.25">
      <c r="A15001" s="17" t="s">
        <v>40398</v>
      </c>
      <c r="B15001" s="17" t="s">
        <v>70</v>
      </c>
      <c r="C15001" s="17" t="s">
        <v>71</v>
      </c>
      <c r="D15001" t="s">
        <v>12690</v>
      </c>
      <c r="F15001" t="s">
        <v>2541</v>
      </c>
      <c r="J15001" t="s">
        <v>115</v>
      </c>
      <c r="K15001" s="18" t="s">
        <v>40399</v>
      </c>
      <c r="N15001" s="17" t="s">
        <v>77</v>
      </c>
      <c r="O15001" t="s">
        <v>117</v>
      </c>
      <c r="U15001" s="17"/>
      <c r="V15001" s="18" t="s">
        <v>40399</v>
      </c>
      <c r="W15001" t="s">
        <v>40400</v>
      </c>
      <c r="Y15001" t="s">
        <v>96</v>
      </c>
      <c r="AA15001" t="s">
        <v>693</v>
      </c>
      <c r="AB15001" t="s">
        <v>119</v>
      </c>
    </row>
    <row r="15002" ht="15" customHeight="1" spans="1:25" x14ac:dyDescent="0.25">
      <c r="A15002" s="17" t="s">
        <v>40401</v>
      </c>
      <c r="B15002" s="17" t="s">
        <v>70</v>
      </c>
      <c r="C15002" s="17" t="s">
        <v>71</v>
      </c>
      <c r="D15002" t="s">
        <v>40402</v>
      </c>
      <c r="F15002" t="s">
        <v>40403</v>
      </c>
      <c r="K15002" s="18">
        <f>628121051336</f>
        <v>628121051336</v>
      </c>
      <c r="N15002" s="17" t="s">
        <v>77</v>
      </c>
      <c r="U15002" s="17"/>
      <c r="V15002" s="18">
        <f>628121051336</f>
        <v>628121051336</v>
      </c>
      <c r="W15002" t="s">
        <v>40404</v>
      </c>
      <c r="Y15002" s="17" t="s">
        <v>96</v>
      </c>
    </row>
    <row r="15003" ht="15" customHeight="1" spans="1:23" x14ac:dyDescent="0.25">
      <c r="A15003" s="17" t="s">
        <v>40405</v>
      </c>
      <c r="B15003" s="17" t="s">
        <v>70</v>
      </c>
      <c r="C15003" s="17" t="s">
        <v>71</v>
      </c>
      <c r="D15003" t="s">
        <v>40406</v>
      </c>
      <c r="F15003" t="s">
        <v>40407</v>
      </c>
      <c r="J15003" s="17" t="s">
        <v>40408</v>
      </c>
      <c r="K15003" s="18">
        <f>62811929927</f>
        <v>62811929927</v>
      </c>
      <c r="N15003" s="17" t="s">
        <v>77</v>
      </c>
      <c r="U15003" s="17"/>
      <c r="V15003" s="18">
        <f>62811929927</f>
        <v>62811929927</v>
      </c>
      <c r="W15003" t="s">
        <v>40409</v>
      </c>
    </row>
    <row r="15004" ht="15" customHeight="1" spans="1:28" x14ac:dyDescent="0.25">
      <c r="A15004" s="17" t="s">
        <v>40410</v>
      </c>
      <c r="B15004" s="17" t="s">
        <v>70</v>
      </c>
      <c r="C15004" s="17" t="s">
        <v>71</v>
      </c>
      <c r="D15004" t="s">
        <v>40411</v>
      </c>
      <c r="F15004" t="s">
        <v>14265</v>
      </c>
      <c r="J15004" s="17" t="s">
        <v>40412</v>
      </c>
      <c r="K15004" s="18" t="s">
        <v>40413</v>
      </c>
      <c r="N15004" s="17" t="s">
        <v>81</v>
      </c>
      <c r="O15004" t="s">
        <v>145</v>
      </c>
      <c r="U15004" s="17"/>
      <c r="V15004" s="18" t="s">
        <v>40413</v>
      </c>
      <c r="W15004" t="s">
        <v>40414</v>
      </c>
      <c r="Y15004" s="17" t="s">
        <v>190</v>
      </c>
      <c r="AA15004" s="17" t="s">
        <v>118</v>
      </c>
      <c r="AB15004" t="s">
        <v>119</v>
      </c>
    </row>
    <row r="15005" ht="15" customHeight="1" spans="1:27" x14ac:dyDescent="0.25">
      <c r="A15005" s="17" t="s">
        <v>40415</v>
      </c>
      <c r="B15005" s="17" t="s">
        <v>70</v>
      </c>
      <c r="C15005" s="17" t="s">
        <v>71</v>
      </c>
      <c r="D15005" t="s">
        <v>40411</v>
      </c>
      <c r="F15005" t="s">
        <v>40416</v>
      </c>
      <c r="K15005" s="18">
        <v>7694346</v>
      </c>
      <c r="N15005" s="17" t="s">
        <v>77</v>
      </c>
      <c r="U15005" s="17"/>
      <c r="V15005" s="18">
        <v>7694346</v>
      </c>
      <c r="W15005" t="s">
        <v>40417</v>
      </c>
      <c r="Y15005" s="17" t="s">
        <v>96</v>
      </c>
      <c r="AA15005" s="17" t="s">
        <v>40418</v>
      </c>
    </row>
    <row r="15006" ht="15" customHeight="1" spans="1:22" x14ac:dyDescent="0.25">
      <c r="A15006" s="17" t="s">
        <v>40419</v>
      </c>
      <c r="B15006" s="17" t="s">
        <v>70</v>
      </c>
      <c r="C15006" s="17" t="s">
        <v>71</v>
      </c>
      <c r="D15006" t="s">
        <v>40420</v>
      </c>
      <c r="F15006" t="s">
        <v>10033</v>
      </c>
      <c r="K15006" s="18">
        <f>62811210262</f>
        <v>62811210262</v>
      </c>
      <c r="N15006" s="17" t="s">
        <v>77</v>
      </c>
      <c r="V15006" s="18">
        <f>62811210262</f>
        <v>62811210262</v>
      </c>
    </row>
    <row r="15007" ht="15" customHeight="1" spans="1:22" x14ac:dyDescent="0.25">
      <c r="A15007" s="17" t="s">
        <v>40421</v>
      </c>
      <c r="B15007" s="17" t="s">
        <v>70</v>
      </c>
      <c r="C15007" s="17" t="s">
        <v>71</v>
      </c>
      <c r="D15007" t="s">
        <v>40422</v>
      </c>
      <c r="F15007" t="s">
        <v>40422</v>
      </c>
      <c r="K15007" s="18">
        <f>6281510005905</f>
        <v>6281510005905</v>
      </c>
      <c r="N15007" s="17" t="s">
        <v>77</v>
      </c>
      <c r="V15007" s="18">
        <f>6281510005905</f>
        <v>6281510005905</v>
      </c>
    </row>
    <row r="15008" ht="15" customHeight="1" spans="1:25" x14ac:dyDescent="0.25">
      <c r="A15008" s="17" t="s">
        <v>40423</v>
      </c>
      <c r="B15008" s="17" t="s">
        <v>70</v>
      </c>
      <c r="C15008" s="17" t="s">
        <v>71</v>
      </c>
      <c r="D15008" t="s">
        <v>22019</v>
      </c>
      <c r="F15008" t="s">
        <v>22019</v>
      </c>
      <c r="K15008" s="18">
        <f>6281213889701</f>
        <v>6281213889701</v>
      </c>
      <c r="N15008" s="17" t="s">
        <v>74</v>
      </c>
      <c r="V15008" s="18">
        <f>6281213889701</f>
        <v>6281213889701</v>
      </c>
      <c r="Y15008" s="17" t="s">
        <v>90</v>
      </c>
    </row>
    <row r="15009" ht="15" customHeight="1" spans="1:22" x14ac:dyDescent="0.25">
      <c r="A15009" s="17" t="s">
        <v>40424</v>
      </c>
      <c r="B15009" s="17" t="s">
        <v>70</v>
      </c>
      <c r="C15009" s="17" t="s">
        <v>71</v>
      </c>
      <c r="D15009" t="s">
        <v>22019</v>
      </c>
      <c r="F15009" t="s">
        <v>22019</v>
      </c>
      <c r="K15009" s="18">
        <f>6282113433550</f>
        <v>6282113433550</v>
      </c>
      <c r="N15009" s="17" t="s">
        <v>81</v>
      </c>
      <c r="V15009" s="18">
        <f>6282113433550</f>
        <v>6282113433550</v>
      </c>
    </row>
    <row r="15010" ht="15" customHeight="1" spans="1:28" x14ac:dyDescent="0.25">
      <c r="A15010" s="17" t="s">
        <v>40425</v>
      </c>
      <c r="B15010" s="17" t="s">
        <v>70</v>
      </c>
      <c r="C15010" s="17" t="s">
        <v>71</v>
      </c>
      <c r="D15010" t="s">
        <v>22019</v>
      </c>
      <c r="F15010" t="s">
        <v>22019</v>
      </c>
      <c r="J15010" t="s">
        <v>115</v>
      </c>
      <c r="K15010" s="18" t="s">
        <v>40426</v>
      </c>
      <c r="N15010" s="17" t="s">
        <v>81</v>
      </c>
      <c r="O15010" t="s">
        <v>117</v>
      </c>
      <c r="V15010" s="18" t="s">
        <v>40426</v>
      </c>
      <c r="Y15010" t="s">
        <v>90</v>
      </c>
      <c r="AA15010" t="s">
        <v>118</v>
      </c>
      <c r="AB15010" t="s">
        <v>119</v>
      </c>
    </row>
    <row r="15011" ht="15" customHeight="1" spans="1:25" x14ac:dyDescent="0.25">
      <c r="A15011" s="17" t="s">
        <v>40427</v>
      </c>
      <c r="B15011" s="17" t="s">
        <v>70</v>
      </c>
      <c r="C15011" s="17" t="s">
        <v>71</v>
      </c>
      <c r="D15011" t="s">
        <v>22019</v>
      </c>
      <c r="F15011" t="s">
        <v>40428</v>
      </c>
      <c r="K15011" s="18">
        <v>84591392</v>
      </c>
      <c r="N15011" s="17" t="s">
        <v>77</v>
      </c>
      <c r="U15011" s="17"/>
      <c r="V15011" s="18">
        <v>84591392</v>
      </c>
      <c r="W15011" t="s">
        <v>40429</v>
      </c>
      <c r="Y15011" s="17" t="s">
        <v>1119</v>
      </c>
    </row>
    <row r="15012" ht="15" customHeight="1" spans="1:22" x14ac:dyDescent="0.25">
      <c r="A15012" s="17" t="s">
        <v>40430</v>
      </c>
      <c r="B15012" s="17" t="s">
        <v>70</v>
      </c>
      <c r="C15012" s="17" t="s">
        <v>71</v>
      </c>
      <c r="D15012" t="s">
        <v>22019</v>
      </c>
      <c r="F15012" t="s">
        <v>40428</v>
      </c>
      <c r="K15012" s="18">
        <f>6287884271987</f>
        <v>6287884271987</v>
      </c>
      <c r="N15012" s="17" t="s">
        <v>81</v>
      </c>
      <c r="V15012" s="18">
        <f>6287884271987</f>
        <v>6287884271987</v>
      </c>
    </row>
    <row r="15013" ht="15" customHeight="1" spans="1:22" x14ac:dyDescent="0.25">
      <c r="A15013" s="17" t="s">
        <v>40431</v>
      </c>
      <c r="B15013" s="17" t="s">
        <v>70</v>
      </c>
      <c r="C15013" s="17" t="s">
        <v>71</v>
      </c>
      <c r="D15013" t="s">
        <v>22019</v>
      </c>
      <c r="F15013" t="s">
        <v>40432</v>
      </c>
      <c r="K15013" s="18">
        <f>628129654511</f>
        <v>628129654511</v>
      </c>
      <c r="N15013" s="17" t="s">
        <v>74</v>
      </c>
      <c r="V15013" s="18">
        <f>628129654511</f>
        <v>628129654511</v>
      </c>
    </row>
    <row r="15014" ht="15" customHeight="1" spans="1:22" x14ac:dyDescent="0.25">
      <c r="A15014" s="17" t="s">
        <v>40433</v>
      </c>
      <c r="B15014" s="17" t="s">
        <v>70</v>
      </c>
      <c r="C15014" s="17" t="s">
        <v>71</v>
      </c>
      <c r="D15014" t="s">
        <v>40434</v>
      </c>
      <c r="F15014" t="s">
        <v>629</v>
      </c>
      <c r="K15014" s="18">
        <f>6281213212186</f>
        <v>6281213212186</v>
      </c>
      <c r="N15014" s="17" t="s">
        <v>81</v>
      </c>
      <c r="V15014" s="18">
        <f>6281213212186</f>
        <v>6281213212186</v>
      </c>
    </row>
    <row r="15015" ht="15" customHeight="1" spans="1:28" x14ac:dyDescent="0.25">
      <c r="A15015" s="17" t="s">
        <v>40435</v>
      </c>
      <c r="B15015" s="17" t="s">
        <v>70</v>
      </c>
      <c r="C15015" s="17" t="s">
        <v>71</v>
      </c>
      <c r="D15015" t="s">
        <v>3176</v>
      </c>
      <c r="F15015" t="s">
        <v>40436</v>
      </c>
      <c r="J15015" s="17" t="s">
        <v>40437</v>
      </c>
      <c r="K15015" s="18" t="s">
        <v>40438</v>
      </c>
      <c r="N15015" s="17" t="s">
        <v>77</v>
      </c>
      <c r="O15015" t="s">
        <v>199</v>
      </c>
      <c r="V15015" s="18" t="s">
        <v>40438</v>
      </c>
      <c r="Y15015" t="s">
        <v>250</v>
      </c>
      <c r="AA15015" t="s">
        <v>115</v>
      </c>
      <c r="AB15015" t="s">
        <v>119</v>
      </c>
    </row>
    <row r="15016" ht="15" customHeight="1" spans="1:25" x14ac:dyDescent="0.25">
      <c r="A15016" s="17" t="s">
        <v>40439</v>
      </c>
      <c r="B15016" s="17" t="s">
        <v>70</v>
      </c>
      <c r="C15016" s="17" t="s">
        <v>71</v>
      </c>
      <c r="D15016" t="s">
        <v>40440</v>
      </c>
      <c r="F15016" t="s">
        <v>40441</v>
      </c>
      <c r="K15016" s="18">
        <f>6281310747445</f>
        <v>6281310747445</v>
      </c>
      <c r="N15016" s="17" t="s">
        <v>77</v>
      </c>
      <c r="U15016" s="17"/>
      <c r="V15016" s="18">
        <f>6281310747445</f>
        <v>6281310747445</v>
      </c>
      <c r="W15016" t="s">
        <v>40442</v>
      </c>
      <c r="Y15016" s="17" t="s">
        <v>90</v>
      </c>
    </row>
    <row r="15017" ht="15" customHeight="1" spans="1:28" x14ac:dyDescent="0.25">
      <c r="A15017" s="17" t="s">
        <v>40443</v>
      </c>
      <c r="B15017" s="17" t="s">
        <v>70</v>
      </c>
      <c r="C15017" s="17" t="s">
        <v>71</v>
      </c>
      <c r="D15017" t="s">
        <v>40444</v>
      </c>
      <c r="F15017" t="s">
        <v>38245</v>
      </c>
      <c r="J15017" s="17" t="s">
        <v>40445</v>
      </c>
      <c r="K15017" s="18" t="s">
        <v>40446</v>
      </c>
      <c r="N15017" s="17" t="s">
        <v>77</v>
      </c>
      <c r="O15017" t="s">
        <v>145</v>
      </c>
      <c r="U15017" s="17"/>
      <c r="V15017" s="18" t="s">
        <v>40446</v>
      </c>
      <c r="W15017" t="s">
        <v>26022</v>
      </c>
      <c r="Y15017" t="s">
        <v>1903</v>
      </c>
      <c r="AA15017" t="s">
        <v>115</v>
      </c>
      <c r="AB15017" t="s">
        <v>1903</v>
      </c>
    </row>
    <row r="15018" ht="15" customHeight="1" spans="1:22" x14ac:dyDescent="0.25">
      <c r="A15018" s="17" t="s">
        <v>40447</v>
      </c>
      <c r="B15018" s="17" t="s">
        <v>70</v>
      </c>
      <c r="C15018" s="17" t="s">
        <v>71</v>
      </c>
      <c r="D15018" t="s">
        <v>40448</v>
      </c>
      <c r="F15018" t="s">
        <v>17633</v>
      </c>
      <c r="K15018" s="18">
        <f>886931122800</f>
        <v>886931122800</v>
      </c>
      <c r="N15018" s="17" t="s">
        <v>81</v>
      </c>
      <c r="V15018" s="18">
        <f>886931122800</f>
        <v>886931122800</v>
      </c>
    </row>
    <row r="15019" ht="15" customHeight="1" spans="1:23" x14ac:dyDescent="0.25">
      <c r="A15019" s="17" t="s">
        <v>40449</v>
      </c>
      <c r="B15019" s="17" t="s">
        <v>70</v>
      </c>
      <c r="C15019" s="17" t="s">
        <v>71</v>
      </c>
      <c r="D15019" t="s">
        <v>40450</v>
      </c>
      <c r="F15019" t="s">
        <v>40451</v>
      </c>
      <c r="K15019" s="18">
        <f>886916287588</f>
        <v>886916287588</v>
      </c>
      <c r="N15019" s="17" t="s">
        <v>77</v>
      </c>
      <c r="U15019" s="17"/>
      <c r="V15019" s="18">
        <f>886916287588</f>
        <v>886916287588</v>
      </c>
      <c r="W15019" t="s">
        <v>3140</v>
      </c>
    </row>
    <row r="15020" ht="15" customHeight="1" spans="1:28" x14ac:dyDescent="0.25">
      <c r="A15020" s="17" t="s">
        <v>40452</v>
      </c>
      <c r="B15020" s="17" t="s">
        <v>70</v>
      </c>
      <c r="C15020" s="17" t="s">
        <v>71</v>
      </c>
      <c r="D15020" t="s">
        <v>40453</v>
      </c>
      <c r="F15020" t="s">
        <v>40454</v>
      </c>
      <c r="J15020" s="17" t="s">
        <v>40455</v>
      </c>
      <c r="K15020" s="18" t="s">
        <v>40456</v>
      </c>
      <c r="N15020" s="17" t="s">
        <v>77</v>
      </c>
      <c r="O15020" t="s">
        <v>145</v>
      </c>
      <c r="V15020" s="18" t="s">
        <v>40456</v>
      </c>
      <c r="Y15020" t="s">
        <v>115</v>
      </c>
      <c r="AA15020" t="s">
        <v>115</v>
      </c>
      <c r="AB15020" t="s">
        <v>5358</v>
      </c>
    </row>
    <row r="15021" ht="15" customHeight="1" spans="1:23" x14ac:dyDescent="0.25">
      <c r="A15021" s="17" t="s">
        <v>40457</v>
      </c>
      <c r="B15021" s="17" t="s">
        <v>70</v>
      </c>
      <c r="C15021" s="17" t="s">
        <v>71</v>
      </c>
      <c r="D15021" t="s">
        <v>40458</v>
      </c>
      <c r="F15021" t="s">
        <v>18969</v>
      </c>
      <c r="K15021" s="18">
        <f>628111634094</f>
        <v>628111634094</v>
      </c>
      <c r="N15021" s="17" t="s">
        <v>77</v>
      </c>
      <c r="U15021" s="17"/>
      <c r="V15021" s="18">
        <f>628111634094</f>
        <v>628111634094</v>
      </c>
      <c r="W15021" t="s">
        <v>40459</v>
      </c>
    </row>
    <row r="15022" ht="15" customHeight="1" spans="1:23" x14ac:dyDescent="0.25">
      <c r="A15022" s="17" t="s">
        <v>40460</v>
      </c>
      <c r="B15022" s="17" t="s">
        <v>70</v>
      </c>
      <c r="C15022" s="17" t="s">
        <v>71</v>
      </c>
      <c r="D15022" t="s">
        <v>40461</v>
      </c>
      <c r="F15022" t="s">
        <v>40462</v>
      </c>
      <c r="K15022" s="18">
        <f>62895337365475</f>
        <v>62895337365475</v>
      </c>
      <c r="N15022" s="17" t="s">
        <v>77</v>
      </c>
      <c r="U15022" s="17"/>
      <c r="V15022" s="18">
        <f>62895337365475</f>
        <v>62895337365475</v>
      </c>
      <c r="W15022" t="s">
        <v>40463</v>
      </c>
    </row>
    <row r="15023" ht="15" customHeight="1" spans="1:28" x14ac:dyDescent="0.25">
      <c r="A15023" s="17" t="s">
        <v>40464</v>
      </c>
      <c r="B15023" s="17" t="s">
        <v>70</v>
      </c>
      <c r="C15023" s="17" t="s">
        <v>71</v>
      </c>
      <c r="D15023" t="s">
        <v>28983</v>
      </c>
      <c r="F15023" t="s">
        <v>28990</v>
      </c>
      <c r="J15023" t="s">
        <v>115</v>
      </c>
      <c r="K15023" s="18" t="s">
        <v>40465</v>
      </c>
      <c r="N15023" s="17" t="s">
        <v>77</v>
      </c>
      <c r="O15023" t="s">
        <v>117</v>
      </c>
      <c r="V15023" s="18" t="s">
        <v>40465</v>
      </c>
      <c r="Y15023" t="s">
        <v>190</v>
      </c>
      <c r="AA15023" t="s">
        <v>118</v>
      </c>
      <c r="AB15023" t="s">
        <v>119</v>
      </c>
    </row>
    <row r="15024" ht="15" customHeight="1" spans="1:22" x14ac:dyDescent="0.25">
      <c r="A15024" s="17" t="s">
        <v>40466</v>
      </c>
      <c r="B15024" s="17" t="s">
        <v>70</v>
      </c>
      <c r="C15024" s="17" t="s">
        <v>71</v>
      </c>
      <c r="D15024" t="s">
        <v>40467</v>
      </c>
      <c r="F15024" t="s">
        <v>8055</v>
      </c>
      <c r="K15024" s="18">
        <f>6285211153888</f>
        <v>6285211153888</v>
      </c>
      <c r="N15024" s="17" t="s">
        <v>81</v>
      </c>
      <c r="V15024" s="18">
        <f>6285211153888</f>
        <v>6285211153888</v>
      </c>
    </row>
    <row r="15025" ht="15" customHeight="1" spans="1:22" x14ac:dyDescent="0.25">
      <c r="A15025" s="17" t="s">
        <v>40468</v>
      </c>
      <c r="B15025" s="17" t="s">
        <v>70</v>
      </c>
      <c r="C15025" s="17" t="s">
        <v>71</v>
      </c>
      <c r="D15025" t="s">
        <v>40469</v>
      </c>
      <c r="F15025" t="s">
        <v>34123</v>
      </c>
      <c r="K15025" s="18">
        <f>6281514007054</f>
        <v>6281514007054</v>
      </c>
      <c r="N15025" s="17" t="s">
        <v>74</v>
      </c>
      <c r="V15025" s="18">
        <f>6281514007054</f>
        <v>6281514007054</v>
      </c>
    </row>
    <row r="15026" ht="15" customHeight="1" spans="1:22" x14ac:dyDescent="0.25">
      <c r="A15026" s="17" t="s">
        <v>40470</v>
      </c>
      <c r="B15026" s="17" t="s">
        <v>70</v>
      </c>
      <c r="C15026" s="17" t="s">
        <v>71</v>
      </c>
      <c r="D15026" t="s">
        <v>40469</v>
      </c>
      <c r="F15026" t="s">
        <v>34123</v>
      </c>
      <c r="K15026" s="18">
        <f>628187848388</f>
        <v>628187848388</v>
      </c>
      <c r="N15026" s="17" t="s">
        <v>81</v>
      </c>
      <c r="V15026" s="18">
        <f>628187848388</f>
        <v>628187848388</v>
      </c>
    </row>
    <row r="15027" ht="15" customHeight="1" spans="1:28" x14ac:dyDescent="0.25">
      <c r="A15027" s="17" t="s">
        <v>40471</v>
      </c>
      <c r="B15027" s="17" t="s">
        <v>70</v>
      </c>
      <c r="C15027" s="17" t="s">
        <v>71</v>
      </c>
      <c r="D15027" t="s">
        <v>40472</v>
      </c>
      <c r="F15027" t="s">
        <v>1608</v>
      </c>
      <c r="J15027" t="s">
        <v>115</v>
      </c>
      <c r="K15027" s="18" t="s">
        <v>40473</v>
      </c>
      <c r="N15027" s="17" t="s">
        <v>77</v>
      </c>
      <c r="O15027" t="s">
        <v>117</v>
      </c>
      <c r="V15027" s="18" t="s">
        <v>40473</v>
      </c>
      <c r="Y15027" t="s">
        <v>96</v>
      </c>
      <c r="AA15027" t="s">
        <v>693</v>
      </c>
      <c r="AB15027" t="s">
        <v>119</v>
      </c>
    </row>
    <row r="15028" ht="15" customHeight="1" spans="1:27" x14ac:dyDescent="0.25">
      <c r="A15028" s="17" t="s">
        <v>40474</v>
      </c>
      <c r="B15028" s="17" t="s">
        <v>70</v>
      </c>
      <c r="C15028" s="17" t="s">
        <v>71</v>
      </c>
      <c r="D15028" t="s">
        <v>40475</v>
      </c>
      <c r="F15028" t="s">
        <v>17384</v>
      </c>
      <c r="K15028" s="18">
        <v>7665334</v>
      </c>
      <c r="N15028" s="17" t="s">
        <v>74</v>
      </c>
      <c r="U15028" s="17"/>
      <c r="V15028" s="18">
        <v>7665334</v>
      </c>
      <c r="W15028" t="s">
        <v>40476</v>
      </c>
      <c r="Y15028" s="17" t="s">
        <v>378</v>
      </c>
      <c r="AA15028" s="17" t="s">
        <v>40477</v>
      </c>
    </row>
    <row r="15029" ht="15" customHeight="1" spans="1:22" x14ac:dyDescent="0.25">
      <c r="A15029" s="17" t="s">
        <v>40478</v>
      </c>
      <c r="B15029" s="17" t="s">
        <v>70</v>
      </c>
      <c r="C15029" s="17" t="s">
        <v>71</v>
      </c>
      <c r="D15029" t="s">
        <v>40479</v>
      </c>
      <c r="F15029" t="s">
        <v>40480</v>
      </c>
      <c r="K15029" s="18">
        <f>628123899764</f>
        <v>628123899764</v>
      </c>
      <c r="N15029" s="17" t="s">
        <v>77</v>
      </c>
      <c r="V15029" s="18">
        <f>628123899764</f>
        <v>628123899764</v>
      </c>
    </row>
    <row r="15030" ht="15" customHeight="1" spans="1:22" x14ac:dyDescent="0.25">
      <c r="A15030" s="17" t="s">
        <v>40481</v>
      </c>
      <c r="B15030" s="17" t="s">
        <v>70</v>
      </c>
      <c r="C15030" s="17" t="s">
        <v>71</v>
      </c>
      <c r="D15030" t="s">
        <v>40482</v>
      </c>
      <c r="F15030" t="s">
        <v>40482</v>
      </c>
      <c r="K15030" s="18">
        <f>628111098445</f>
        <v>628111098445</v>
      </c>
      <c r="N15030" s="17" t="s">
        <v>81</v>
      </c>
      <c r="V15030" s="18">
        <f>628111098445</f>
        <v>628111098445</v>
      </c>
    </row>
    <row r="15031" ht="15" customHeight="1" spans="1:23" x14ac:dyDescent="0.25">
      <c r="A15031" s="17" t="s">
        <v>40483</v>
      </c>
      <c r="B15031" s="17" t="s">
        <v>70</v>
      </c>
      <c r="C15031" s="17" t="s">
        <v>71</v>
      </c>
      <c r="D15031" t="s">
        <v>40484</v>
      </c>
      <c r="F15031" t="s">
        <v>40485</v>
      </c>
      <c r="K15031" s="18">
        <f>6281294110490</f>
        <v>6281294110490</v>
      </c>
      <c r="N15031" s="17" t="s">
        <v>74</v>
      </c>
      <c r="U15031" s="17"/>
      <c r="V15031" s="18">
        <f>6281294110490</f>
        <v>6281294110490</v>
      </c>
      <c r="W15031" t="s">
        <v>40486</v>
      </c>
    </row>
    <row r="15032" ht="15" customHeight="1" spans="1:25" x14ac:dyDescent="0.25">
      <c r="A15032" s="17" t="s">
        <v>40487</v>
      </c>
      <c r="B15032" s="17" t="s">
        <v>70</v>
      </c>
      <c r="C15032" s="17" t="s">
        <v>71</v>
      </c>
      <c r="D15032" t="s">
        <v>40488</v>
      </c>
      <c r="F15032" t="s">
        <v>3099</v>
      </c>
      <c r="K15032" s="18">
        <f>6281361177733</f>
        <v>6281361177733</v>
      </c>
      <c r="N15032" s="17" t="s">
        <v>77</v>
      </c>
      <c r="U15032" s="17"/>
      <c r="V15032" s="18">
        <f>6281361177733</f>
        <v>6281361177733</v>
      </c>
      <c r="W15032" t="s">
        <v>40489</v>
      </c>
      <c r="Y15032" s="17" t="s">
        <v>1157</v>
      </c>
    </row>
    <row r="15033" ht="15" customHeight="1" spans="1:22" x14ac:dyDescent="0.25">
      <c r="A15033" s="17" t="s">
        <v>40490</v>
      </c>
      <c r="B15033" s="17" t="s">
        <v>70</v>
      </c>
      <c r="C15033" s="17" t="s">
        <v>71</v>
      </c>
      <c r="D15033" t="s">
        <v>40491</v>
      </c>
      <c r="F15033" t="s">
        <v>40491</v>
      </c>
      <c r="K15033" s="18">
        <f>6281213145337</f>
        <v>6281213145337</v>
      </c>
      <c r="N15033" s="17" t="s">
        <v>81</v>
      </c>
      <c r="V15033" s="18">
        <f>6281213145337</f>
        <v>6281213145337</v>
      </c>
    </row>
    <row r="15034" ht="15" customHeight="1" spans="1:22" x14ac:dyDescent="0.25">
      <c r="A15034" s="17" t="s">
        <v>40492</v>
      </c>
      <c r="B15034" s="17" t="s">
        <v>70</v>
      </c>
      <c r="C15034" s="17" t="s">
        <v>71</v>
      </c>
      <c r="D15034" t="s">
        <v>33691</v>
      </c>
      <c r="F15034" t="s">
        <v>33691</v>
      </c>
      <c r="K15034" s="18">
        <f>6285879152927</f>
        <v>6285879152927</v>
      </c>
      <c r="N15034" s="17" t="s">
        <v>81</v>
      </c>
      <c r="V15034" s="18">
        <f>6285879152927</f>
        <v>6285879152927</v>
      </c>
    </row>
    <row r="15035" ht="15" customHeight="1" spans="1:22" x14ac:dyDescent="0.25">
      <c r="A15035" s="17" t="s">
        <v>40493</v>
      </c>
      <c r="B15035" s="17" t="s">
        <v>70</v>
      </c>
      <c r="C15035" s="17" t="s">
        <v>71</v>
      </c>
      <c r="D15035" t="s">
        <v>13245</v>
      </c>
      <c r="F15035" t="s">
        <v>2983</v>
      </c>
      <c r="K15035" s="18">
        <f>628111000521</f>
        <v>628111000521</v>
      </c>
      <c r="N15035" s="17" t="s">
        <v>77</v>
      </c>
      <c r="V15035" s="18">
        <f>628111000521</f>
        <v>628111000521</v>
      </c>
    </row>
    <row r="15036" ht="15" customHeight="1" spans="1:28" x14ac:dyDescent="0.25">
      <c r="A15036" s="17" t="s">
        <v>40494</v>
      </c>
      <c r="B15036" s="17" t="s">
        <v>70</v>
      </c>
      <c r="C15036" s="17" t="s">
        <v>71</v>
      </c>
      <c r="D15036" t="s">
        <v>13245</v>
      </c>
      <c r="F15036" t="s">
        <v>40495</v>
      </c>
      <c r="J15036" t="s">
        <v>115</v>
      </c>
      <c r="K15036" s="18" t="s">
        <v>40496</v>
      </c>
      <c r="N15036" s="17" t="s">
        <v>77</v>
      </c>
      <c r="O15036" t="s">
        <v>199</v>
      </c>
      <c r="V15036" s="18" t="s">
        <v>40496</v>
      </c>
      <c r="Y15036" t="s">
        <v>90</v>
      </c>
      <c r="AA15036" t="s">
        <v>118</v>
      </c>
      <c r="AB15036" t="s">
        <v>119</v>
      </c>
    </row>
    <row r="15037" ht="15" customHeight="1" spans="1:25" x14ac:dyDescent="0.25">
      <c r="A15037" s="17" t="s">
        <v>40497</v>
      </c>
      <c r="B15037" s="17" t="s">
        <v>70</v>
      </c>
      <c r="C15037" s="17" t="s">
        <v>71</v>
      </c>
      <c r="D15037" t="s">
        <v>13245</v>
      </c>
      <c r="F15037" t="s">
        <v>16487</v>
      </c>
      <c r="J15037" s="17" t="s">
        <v>40498</v>
      </c>
      <c r="K15037" s="18">
        <f>6282118670570</f>
        <v>6282118670570</v>
      </c>
      <c r="N15037" s="17" t="s">
        <v>77</v>
      </c>
      <c r="V15037" s="18">
        <f>6282118670570</f>
        <v>6282118670570</v>
      </c>
      <c r="Y15037" s="17" t="s">
        <v>6306</v>
      </c>
    </row>
    <row r="15038" ht="15" customHeight="1" spans="1:22" x14ac:dyDescent="0.25">
      <c r="A15038" s="17" t="s">
        <v>40499</v>
      </c>
      <c r="B15038" s="17" t="s">
        <v>70</v>
      </c>
      <c r="C15038" s="17" t="s">
        <v>71</v>
      </c>
      <c r="D15038" t="s">
        <v>13245</v>
      </c>
      <c r="F15038" t="s">
        <v>629</v>
      </c>
      <c r="K15038" s="18">
        <f>6287802112022</f>
        <v>6287802112022</v>
      </c>
      <c r="N15038" s="17" t="s">
        <v>77</v>
      </c>
      <c r="V15038" s="18">
        <f>6287802112022</f>
        <v>6287802112022</v>
      </c>
    </row>
    <row r="15039" ht="15" customHeight="1" spans="1:22" x14ac:dyDescent="0.25">
      <c r="A15039" s="17" t="s">
        <v>40500</v>
      </c>
      <c r="B15039" s="17" t="s">
        <v>70</v>
      </c>
      <c r="C15039" s="17" t="s">
        <v>71</v>
      </c>
      <c r="D15039" t="s">
        <v>40501</v>
      </c>
      <c r="F15039" t="s">
        <v>40502</v>
      </c>
      <c r="K15039" s="18">
        <v>333419968</v>
      </c>
      <c r="N15039" s="17" t="s">
        <v>77</v>
      </c>
      <c r="V15039" s="18">
        <v>333419968</v>
      </c>
    </row>
    <row r="15040" ht="15" customHeight="1" spans="1:25" x14ac:dyDescent="0.25">
      <c r="A15040" s="17" t="s">
        <v>40503</v>
      </c>
      <c r="B15040" s="17" t="s">
        <v>70</v>
      </c>
      <c r="C15040" s="17" t="s">
        <v>71</v>
      </c>
      <c r="D15040" t="s">
        <v>40504</v>
      </c>
      <c r="F15040" t="s">
        <v>6205</v>
      </c>
      <c r="K15040" s="18">
        <f>628121182709</f>
        <v>628121182709</v>
      </c>
      <c r="N15040" s="17" t="s">
        <v>77</v>
      </c>
      <c r="U15040" s="17"/>
      <c r="V15040" s="18">
        <f>628121182709</f>
        <v>628121182709</v>
      </c>
      <c r="W15040" t="s">
        <v>40505</v>
      </c>
      <c r="Y15040" s="17" t="s">
        <v>96</v>
      </c>
    </row>
    <row r="15041" ht="15" customHeight="1" spans="1:28" x14ac:dyDescent="0.25">
      <c r="A15041" s="17" t="s">
        <v>40506</v>
      </c>
      <c r="B15041" s="17" t="s">
        <v>70</v>
      </c>
      <c r="C15041" s="17" t="s">
        <v>71</v>
      </c>
      <c r="D15041" t="s">
        <v>40507</v>
      </c>
      <c r="F15041" t="s">
        <v>40507</v>
      </c>
      <c r="J15041" t="s">
        <v>115</v>
      </c>
      <c r="K15041" s="18" t="s">
        <v>40508</v>
      </c>
      <c r="N15041" s="17" t="s">
        <v>77</v>
      </c>
      <c r="O15041" t="s">
        <v>199</v>
      </c>
      <c r="U15041" s="17"/>
      <c r="V15041" s="18" t="s">
        <v>40508</v>
      </c>
      <c r="W15041" t="s">
        <v>40509</v>
      </c>
      <c r="Y15041" s="17" t="s">
        <v>190</v>
      </c>
      <c r="AA15041" t="s">
        <v>118</v>
      </c>
      <c r="AB15041" t="s">
        <v>119</v>
      </c>
    </row>
    <row r="15042" ht="15" customHeight="1" spans="1:28" x14ac:dyDescent="0.25">
      <c r="A15042" s="17" t="s">
        <v>40510</v>
      </c>
      <c r="B15042" s="17" t="s">
        <v>70</v>
      </c>
      <c r="C15042" s="17" t="s">
        <v>71</v>
      </c>
      <c r="D15042" t="s">
        <v>40511</v>
      </c>
      <c r="F15042" t="s">
        <v>40512</v>
      </c>
      <c r="J15042" s="17" t="s">
        <v>40513</v>
      </c>
      <c r="K15042" s="18" t="s">
        <v>40514</v>
      </c>
      <c r="N15042" s="17" t="s">
        <v>77</v>
      </c>
      <c r="O15042" t="s">
        <v>145</v>
      </c>
      <c r="U15042" s="17"/>
      <c r="V15042" s="18" t="s">
        <v>40514</v>
      </c>
      <c r="W15042" t="s">
        <v>930</v>
      </c>
      <c r="Y15042" t="s">
        <v>930</v>
      </c>
      <c r="AA15042" t="s">
        <v>115</v>
      </c>
      <c r="AB15042" t="s">
        <v>930</v>
      </c>
    </row>
    <row r="15043" ht="15" customHeight="1" spans="1:23" x14ac:dyDescent="0.25">
      <c r="A15043" s="17" t="s">
        <v>40515</v>
      </c>
      <c r="B15043" s="17" t="s">
        <v>70</v>
      </c>
      <c r="C15043" s="17" t="s">
        <v>71</v>
      </c>
      <c r="D15043" t="s">
        <v>40516</v>
      </c>
      <c r="F15043" t="s">
        <v>23107</v>
      </c>
      <c r="K15043" s="18">
        <f>62811854302</f>
        <v>62811854302</v>
      </c>
      <c r="N15043" s="17" t="s">
        <v>77</v>
      </c>
      <c r="U15043" s="17"/>
      <c r="V15043" s="18">
        <f>62811854302</f>
        <v>62811854302</v>
      </c>
      <c r="W15043" t="s">
        <v>40517</v>
      </c>
    </row>
    <row r="15044" ht="15" customHeight="1" spans="1:22" x14ac:dyDescent="0.25">
      <c r="A15044" s="17" t="s">
        <v>40518</v>
      </c>
      <c r="B15044" s="17" t="s">
        <v>70</v>
      </c>
      <c r="C15044" s="17" t="s">
        <v>71</v>
      </c>
      <c r="D15044" t="s">
        <v>40519</v>
      </c>
      <c r="F15044" t="s">
        <v>40519</v>
      </c>
      <c r="K15044" s="18">
        <f>6281344238123</f>
        <v>6281344238123</v>
      </c>
      <c r="N15044" s="17" t="s">
        <v>81</v>
      </c>
      <c r="V15044" s="18">
        <f>6281344238123</f>
        <v>6281344238123</v>
      </c>
    </row>
    <row r="15045" ht="15" customHeight="1" spans="1:22" x14ac:dyDescent="0.25">
      <c r="A15045" s="17" t="s">
        <v>40520</v>
      </c>
      <c r="B15045" s="17" t="s">
        <v>70</v>
      </c>
      <c r="C15045" s="17" t="s">
        <v>71</v>
      </c>
      <c r="D15045" t="s">
        <v>40521</v>
      </c>
      <c r="F15045" t="s">
        <v>40521</v>
      </c>
      <c r="K15045" s="18">
        <f>62811472256</f>
        <v>62811472256</v>
      </c>
      <c r="N15045" s="17" t="s">
        <v>81</v>
      </c>
      <c r="V15045" s="18">
        <f>62811472256</f>
        <v>62811472256</v>
      </c>
    </row>
    <row r="15046" ht="15" customHeight="1" spans="1:23" x14ac:dyDescent="0.25">
      <c r="A15046" s="17" t="s">
        <v>40522</v>
      </c>
      <c r="B15046" s="17" t="s">
        <v>70</v>
      </c>
      <c r="C15046" s="17" t="s">
        <v>71</v>
      </c>
      <c r="D15046" t="s">
        <v>40523</v>
      </c>
      <c r="F15046" t="s">
        <v>40523</v>
      </c>
      <c r="K15046" s="18">
        <f>6282123116983</f>
        <v>6282123116983</v>
      </c>
      <c r="N15046" s="17" t="s">
        <v>77</v>
      </c>
      <c r="U15046" s="17"/>
      <c r="V15046" s="18">
        <f>6282123116983</f>
        <v>6282123116983</v>
      </c>
      <c r="W15046" t="s">
        <v>40524</v>
      </c>
    </row>
    <row r="15047" ht="15" customHeight="1" spans="1:25" x14ac:dyDescent="0.25">
      <c r="A15047" s="17" t="s">
        <v>40525</v>
      </c>
      <c r="B15047" s="17" t="s">
        <v>70</v>
      </c>
      <c r="C15047" s="17" t="s">
        <v>71</v>
      </c>
      <c r="D15047" t="s">
        <v>40526</v>
      </c>
      <c r="F15047" t="s">
        <v>21953</v>
      </c>
      <c r="K15047" s="18">
        <f>62811138991</f>
        <v>62811138991</v>
      </c>
      <c r="N15047" s="17" t="s">
        <v>77</v>
      </c>
      <c r="U15047" s="17"/>
      <c r="V15047" s="18">
        <f>62811138991</f>
        <v>62811138991</v>
      </c>
      <c r="W15047" t="s">
        <v>40527</v>
      </c>
      <c r="Y15047" s="17" t="s">
        <v>90</v>
      </c>
    </row>
    <row r="15048" ht="15" customHeight="1" spans="1:22" x14ac:dyDescent="0.25">
      <c r="A15048" s="17" t="s">
        <v>40528</v>
      </c>
      <c r="B15048" s="17" t="s">
        <v>70</v>
      </c>
      <c r="C15048" s="17" t="s">
        <v>71</v>
      </c>
      <c r="D15048" t="s">
        <v>40526</v>
      </c>
      <c r="F15048" t="s">
        <v>40529</v>
      </c>
      <c r="K15048" s="18">
        <f>6281398990088</f>
        <v>6281398990088</v>
      </c>
      <c r="N15048" s="17" t="s">
        <v>77</v>
      </c>
      <c r="V15048" s="18">
        <f>6281398990088</f>
        <v>6281398990088</v>
      </c>
    </row>
    <row r="15049" ht="15" customHeight="1" spans="1:28" x14ac:dyDescent="0.25">
      <c r="A15049" s="17" t="s">
        <v>40530</v>
      </c>
      <c r="B15049" s="17" t="s">
        <v>70</v>
      </c>
      <c r="C15049" s="17" t="s">
        <v>71</v>
      </c>
      <c r="D15049" t="s">
        <v>40531</v>
      </c>
      <c r="F15049" t="s">
        <v>40532</v>
      </c>
      <c r="J15049" s="17" t="s">
        <v>40533</v>
      </c>
      <c r="K15049" s="18" t="s">
        <v>40534</v>
      </c>
      <c r="N15049" s="17" t="s">
        <v>74</v>
      </c>
      <c r="O15049" t="s">
        <v>261</v>
      </c>
      <c r="U15049" s="17"/>
      <c r="V15049" s="18" t="s">
        <v>40534</v>
      </c>
      <c r="W15049" t="s">
        <v>40535</v>
      </c>
      <c r="Y15049" t="s">
        <v>622</v>
      </c>
      <c r="AA15049" s="17" t="s">
        <v>623</v>
      </c>
      <c r="AB15049" t="s">
        <v>119</v>
      </c>
    </row>
    <row r="15050" ht="15" customHeight="1" spans="1:23" x14ac:dyDescent="0.25">
      <c r="A15050" s="17" t="s">
        <v>40536</v>
      </c>
      <c r="B15050" s="17" t="s">
        <v>70</v>
      </c>
      <c r="C15050" s="17" t="s">
        <v>71</v>
      </c>
      <c r="D15050" t="s">
        <v>40537</v>
      </c>
      <c r="F15050" t="s">
        <v>40538</v>
      </c>
      <c r="K15050" s="18">
        <f>628119660888</f>
        <v>628119660888</v>
      </c>
      <c r="N15050" s="17" t="s">
        <v>77</v>
      </c>
      <c r="U15050" s="17"/>
      <c r="V15050" s="18">
        <f>628119660888</f>
        <v>628119660888</v>
      </c>
      <c r="W15050" t="s">
        <v>40539</v>
      </c>
    </row>
    <row r="15051" ht="15" customHeight="1" spans="1:22" x14ac:dyDescent="0.25">
      <c r="A15051" s="17" t="s">
        <v>40540</v>
      </c>
      <c r="B15051" s="17" t="s">
        <v>70</v>
      </c>
      <c r="C15051" s="17" t="s">
        <v>71</v>
      </c>
      <c r="D15051" t="s">
        <v>40541</v>
      </c>
      <c r="F15051" t="s">
        <v>40542</v>
      </c>
      <c r="K15051" s="18">
        <f>6285691759531</f>
        <v>6285691759531</v>
      </c>
      <c r="N15051" s="17" t="s">
        <v>77</v>
      </c>
      <c r="V15051" s="18">
        <f>6285691759531</f>
        <v>6285691759531</v>
      </c>
    </row>
    <row r="15052" ht="15" customHeight="1" spans="1:22" x14ac:dyDescent="0.25">
      <c r="A15052" s="17" t="s">
        <v>40543</v>
      </c>
      <c r="B15052" s="17" t="s">
        <v>70</v>
      </c>
      <c r="C15052" s="17" t="s">
        <v>71</v>
      </c>
      <c r="D15052" t="s">
        <v>40544</v>
      </c>
      <c r="F15052" t="s">
        <v>40544</v>
      </c>
      <c r="K15052" s="18">
        <f>6281219012375</f>
        <v>6281219012375</v>
      </c>
      <c r="N15052" s="17" t="s">
        <v>77</v>
      </c>
      <c r="V15052" s="18">
        <f>6281219012375</f>
        <v>6281219012375</v>
      </c>
    </row>
    <row r="15053" ht="15" customHeight="1" spans="1:28" x14ac:dyDescent="0.25">
      <c r="A15053" s="17" t="s">
        <v>40545</v>
      </c>
      <c r="B15053" s="17" t="s">
        <v>70</v>
      </c>
      <c r="C15053" s="17" t="s">
        <v>71</v>
      </c>
      <c r="D15053" t="s">
        <v>40544</v>
      </c>
      <c r="F15053" t="s">
        <v>40546</v>
      </c>
      <c r="J15053" s="17" t="s">
        <v>40547</v>
      </c>
      <c r="K15053" s="18" t="s">
        <v>40548</v>
      </c>
      <c r="N15053" s="17" t="s">
        <v>77</v>
      </c>
      <c r="O15053" t="s">
        <v>199</v>
      </c>
      <c r="V15053" s="18" t="s">
        <v>40548</v>
      </c>
      <c r="Y15053" t="s">
        <v>90</v>
      </c>
      <c r="AA15053" t="s">
        <v>118</v>
      </c>
      <c r="AB15053" t="s">
        <v>119</v>
      </c>
    </row>
    <row r="15054" ht="15" customHeight="1" spans="1:23" x14ac:dyDescent="0.25">
      <c r="A15054" s="17" t="s">
        <v>40549</v>
      </c>
      <c r="B15054" s="17" t="s">
        <v>70</v>
      </c>
      <c r="C15054" s="17" t="s">
        <v>71</v>
      </c>
      <c r="D15054" t="s">
        <v>40550</v>
      </c>
      <c r="F15054" t="s">
        <v>20778</v>
      </c>
      <c r="K15054" s="18">
        <f>614160538805</f>
        <v>614160538805</v>
      </c>
      <c r="N15054" s="17" t="s">
        <v>77</v>
      </c>
      <c r="U15054" s="17"/>
      <c r="V15054" s="18">
        <f>614160538805</f>
        <v>614160538805</v>
      </c>
      <c r="W15054" t="s">
        <v>1903</v>
      </c>
    </row>
    <row r="15055" ht="15" customHeight="1" spans="1:23" x14ac:dyDescent="0.25">
      <c r="A15055" s="17" t="s">
        <v>40551</v>
      </c>
      <c r="B15055" s="17" t="s">
        <v>70</v>
      </c>
      <c r="C15055" s="17" t="s">
        <v>71</v>
      </c>
      <c r="D15055" t="s">
        <v>19072</v>
      </c>
      <c r="F15055" t="s">
        <v>40552</v>
      </c>
      <c r="J15055" s="17" t="s">
        <v>40553</v>
      </c>
      <c r="K15055" s="18">
        <f>6281311020288</f>
        <v>6281311020288</v>
      </c>
      <c r="N15055" s="17" t="s">
        <v>74</v>
      </c>
      <c r="U15055" s="17"/>
      <c r="V15055" s="18">
        <f>6281311020288</f>
        <v>6281311020288</v>
      </c>
      <c r="W15055" t="s">
        <v>40554</v>
      </c>
    </row>
    <row r="15056" ht="15" customHeight="1" spans="1:22" x14ac:dyDescent="0.25">
      <c r="A15056" s="17" t="s">
        <v>40555</v>
      </c>
      <c r="B15056" s="17" t="s">
        <v>70</v>
      </c>
      <c r="C15056" s="17" t="s">
        <v>71</v>
      </c>
      <c r="D15056" t="s">
        <v>40556</v>
      </c>
      <c r="F15056" t="s">
        <v>40556</v>
      </c>
      <c r="K15056" s="18">
        <f>6281272777665</f>
        <v>6281272777665</v>
      </c>
      <c r="N15056" s="17" t="s">
        <v>81</v>
      </c>
      <c r="V15056" s="18">
        <f>6281272777665</f>
        <v>6281272777665</v>
      </c>
    </row>
    <row r="15057" ht="15" customHeight="1" spans="1:22" x14ac:dyDescent="0.25">
      <c r="A15057" s="17" t="s">
        <v>40557</v>
      </c>
      <c r="B15057" s="17" t="s">
        <v>70</v>
      </c>
      <c r="C15057" s="17" t="s">
        <v>71</v>
      </c>
      <c r="D15057" t="s">
        <v>40558</v>
      </c>
      <c r="F15057" t="s">
        <v>40559</v>
      </c>
      <c r="K15057" s="18">
        <f>41799291625</f>
        <v>41799291625</v>
      </c>
      <c r="N15057" s="17" t="s">
        <v>81</v>
      </c>
      <c r="V15057" s="18">
        <f>41799291625</f>
        <v>41799291625</v>
      </c>
    </row>
    <row r="15058" ht="15" customHeight="1" spans="1:22" x14ac:dyDescent="0.25">
      <c r="A15058" s="17" t="s">
        <v>40560</v>
      </c>
      <c r="B15058" s="17" t="s">
        <v>70</v>
      </c>
      <c r="C15058" s="17" t="s">
        <v>71</v>
      </c>
      <c r="D15058" t="s">
        <v>40561</v>
      </c>
      <c r="F15058" t="s">
        <v>27687</v>
      </c>
      <c r="K15058" s="18">
        <f>628111293787</f>
        <v>628111293787</v>
      </c>
      <c r="N15058" s="17" t="s">
        <v>77</v>
      </c>
      <c r="V15058" s="18">
        <f>628111293787</f>
        <v>628111293787</v>
      </c>
    </row>
    <row r="15059" ht="15" customHeight="1" spans="1:27" x14ac:dyDescent="0.25">
      <c r="A15059" s="17" t="s">
        <v>40562</v>
      </c>
      <c r="B15059" s="17" t="s">
        <v>70</v>
      </c>
      <c r="C15059" s="17" t="s">
        <v>71</v>
      </c>
      <c r="D15059" t="s">
        <v>40563</v>
      </c>
      <c r="F15059" t="s">
        <v>40564</v>
      </c>
      <c r="J15059" s="17" t="s">
        <v>40565</v>
      </c>
      <c r="K15059" s="18">
        <f>919008066097</f>
        <v>919008066097</v>
      </c>
      <c r="N15059" s="17" t="s">
        <v>81</v>
      </c>
      <c r="U15059" s="17"/>
      <c r="V15059" s="18">
        <f>919008066097</f>
        <v>919008066097</v>
      </c>
      <c r="W15059" t="s">
        <v>40566</v>
      </c>
      <c r="Y15059" s="17" t="s">
        <v>40567</v>
      </c>
      <c r="AA15059" s="17">
        <v>560080</v>
      </c>
    </row>
    <row r="15060" ht="15" customHeight="1" spans="1:22" x14ac:dyDescent="0.25">
      <c r="A15060" s="17" t="s">
        <v>40568</v>
      </c>
      <c r="B15060" s="17" t="s">
        <v>70</v>
      </c>
      <c r="C15060" s="17" t="s">
        <v>71</v>
      </c>
      <c r="D15060" t="s">
        <v>40569</v>
      </c>
      <c r="F15060" t="s">
        <v>40569</v>
      </c>
      <c r="K15060" s="18">
        <f>6285881575106</f>
        <v>6285881575106</v>
      </c>
      <c r="N15060" s="17" t="s">
        <v>77</v>
      </c>
      <c r="V15060" s="18">
        <f>6285881575106</f>
        <v>6285881575106</v>
      </c>
    </row>
    <row r="15061" ht="15" customHeight="1" spans="1:25" x14ac:dyDescent="0.25">
      <c r="A15061" s="17" t="s">
        <v>40570</v>
      </c>
      <c r="B15061" s="17" t="s">
        <v>70</v>
      </c>
      <c r="C15061" s="17" t="s">
        <v>71</v>
      </c>
      <c r="D15061" t="s">
        <v>15855</v>
      </c>
      <c r="F15061" t="s">
        <v>15855</v>
      </c>
      <c r="J15061" s="17" t="s">
        <v>40571</v>
      </c>
      <c r="K15061" s="18">
        <f>628118813999</f>
        <v>628118813999</v>
      </c>
      <c r="N15061" s="17" t="s">
        <v>77</v>
      </c>
      <c r="U15061" s="17"/>
      <c r="V15061" s="18">
        <f>628118813999</f>
        <v>628118813999</v>
      </c>
      <c r="W15061" t="s">
        <v>40572</v>
      </c>
      <c r="Y15061" s="17" t="s">
        <v>9790</v>
      </c>
    </row>
    <row r="15062" ht="15" customHeight="1" spans="1:22" x14ac:dyDescent="0.25">
      <c r="A15062" s="17" t="s">
        <v>40573</v>
      </c>
      <c r="B15062" s="17" t="s">
        <v>70</v>
      </c>
      <c r="C15062" s="17" t="s">
        <v>71</v>
      </c>
      <c r="D15062" t="s">
        <v>15855</v>
      </c>
      <c r="F15062" t="s">
        <v>35374</v>
      </c>
      <c r="K15062" s="18">
        <f>62811618787</f>
        <v>62811618787</v>
      </c>
      <c r="N15062" s="17" t="s">
        <v>77</v>
      </c>
      <c r="V15062" s="18">
        <f>62811618787</f>
        <v>62811618787</v>
      </c>
    </row>
    <row r="15063" ht="15" customHeight="1" spans="1:22" x14ac:dyDescent="0.25">
      <c r="A15063" s="17" t="s">
        <v>40574</v>
      </c>
      <c r="B15063" s="17" t="s">
        <v>70</v>
      </c>
      <c r="C15063" s="17" t="s">
        <v>71</v>
      </c>
      <c r="D15063" t="s">
        <v>15855</v>
      </c>
      <c r="F15063" t="s">
        <v>40575</v>
      </c>
      <c r="K15063" s="18">
        <f>6287808080376</f>
        <v>6287808080376</v>
      </c>
      <c r="N15063" s="17" t="s">
        <v>77</v>
      </c>
      <c r="V15063" s="18">
        <f>6287808080376</f>
        <v>6287808080376</v>
      </c>
    </row>
    <row r="15064" ht="15" customHeight="1" spans="1:22" x14ac:dyDescent="0.25">
      <c r="A15064" s="17" t="s">
        <v>40576</v>
      </c>
      <c r="B15064" s="17" t="s">
        <v>70</v>
      </c>
      <c r="C15064" s="17" t="s">
        <v>71</v>
      </c>
      <c r="D15064" t="s">
        <v>40577</v>
      </c>
      <c r="F15064" t="s">
        <v>40577</v>
      </c>
      <c r="K15064" s="18">
        <f>628119949008</f>
        <v>628119949008</v>
      </c>
      <c r="N15064" s="17" t="s">
        <v>81</v>
      </c>
      <c r="V15064" s="18">
        <f>628119949008</f>
        <v>628119949008</v>
      </c>
    </row>
    <row r="15065" ht="15" customHeight="1" spans="1:22" x14ac:dyDescent="0.25">
      <c r="A15065" s="17" t="s">
        <v>40578</v>
      </c>
      <c r="B15065" s="17" t="s">
        <v>70</v>
      </c>
      <c r="C15065" s="17" t="s">
        <v>71</v>
      </c>
      <c r="D15065" t="s">
        <v>40577</v>
      </c>
      <c r="F15065" t="s">
        <v>40579</v>
      </c>
      <c r="K15065" s="18">
        <f>628119502668</f>
        <v>628119502668</v>
      </c>
      <c r="N15065" s="17" t="s">
        <v>81</v>
      </c>
      <c r="V15065" s="18">
        <f>628119502668</f>
        <v>628119502668</v>
      </c>
    </row>
    <row r="15066" ht="15" customHeight="1" spans="1:22" x14ac:dyDescent="0.25">
      <c r="A15066" s="17" t="s">
        <v>40580</v>
      </c>
      <c r="B15066" s="17" t="s">
        <v>70</v>
      </c>
      <c r="C15066" s="17" t="s">
        <v>71</v>
      </c>
      <c r="D15066" t="s">
        <v>40581</v>
      </c>
      <c r="F15066" t="s">
        <v>40581</v>
      </c>
      <c r="K15066" s="18">
        <f>62811639831</f>
        <v>62811639831</v>
      </c>
      <c r="N15066" s="17" t="s">
        <v>74</v>
      </c>
      <c r="V15066" s="18">
        <f>62811639831</f>
        <v>62811639831</v>
      </c>
    </row>
    <row r="15067" ht="15" customHeight="1" spans="1:28" x14ac:dyDescent="0.25">
      <c r="A15067" s="17" t="s">
        <v>40582</v>
      </c>
      <c r="B15067" s="17" t="s">
        <v>70</v>
      </c>
      <c r="C15067" s="17" t="s">
        <v>71</v>
      </c>
      <c r="D15067" t="s">
        <v>40583</v>
      </c>
      <c r="F15067" t="s">
        <v>10768</v>
      </c>
      <c r="J15067" t="s">
        <v>40584</v>
      </c>
      <c r="K15067" s="18" t="s">
        <v>40585</v>
      </c>
      <c r="N15067" s="17" t="s">
        <v>77</v>
      </c>
      <c r="O15067" t="s">
        <v>145</v>
      </c>
      <c r="U15067" s="17"/>
      <c r="V15067" s="18" t="s">
        <v>40585</v>
      </c>
      <c r="W15067" t="s">
        <v>40586</v>
      </c>
      <c r="Y15067" t="s">
        <v>1707</v>
      </c>
      <c r="AA15067" t="s">
        <v>115</v>
      </c>
      <c r="AB15067" t="s">
        <v>119</v>
      </c>
    </row>
    <row r="15068" ht="15" customHeight="1" spans="1:23" x14ac:dyDescent="0.25">
      <c r="A15068" s="17" t="s">
        <v>40587</v>
      </c>
      <c r="B15068" s="17" t="s">
        <v>70</v>
      </c>
      <c r="C15068" s="17" t="s">
        <v>71</v>
      </c>
      <c r="D15068" t="s">
        <v>2586</v>
      </c>
      <c r="F15068" t="s">
        <v>2586</v>
      </c>
      <c r="K15068" s="18">
        <f>62811529502</f>
        <v>62811529502</v>
      </c>
      <c r="N15068" s="17" t="s">
        <v>81</v>
      </c>
      <c r="U15068" s="17"/>
      <c r="V15068" s="18">
        <f>62811529502</f>
        <v>62811529502</v>
      </c>
      <c r="W15068" t="s">
        <v>40588</v>
      </c>
    </row>
    <row r="15069" ht="15" customHeight="1" spans="1:27" x14ac:dyDescent="0.25">
      <c r="A15069" s="17" t="s">
        <v>40589</v>
      </c>
      <c r="B15069" s="17" t="s">
        <v>70</v>
      </c>
      <c r="C15069" s="17" t="s">
        <v>71</v>
      </c>
      <c r="D15069" t="s">
        <v>2586</v>
      </c>
      <c r="F15069" t="s">
        <v>9553</v>
      </c>
      <c r="J15069" s="17" t="s">
        <v>40590</v>
      </c>
      <c r="K15069" s="18">
        <f>628161338934</f>
        <v>628161338934</v>
      </c>
      <c r="N15069" s="17" t="s">
        <v>77</v>
      </c>
      <c r="U15069" s="17"/>
      <c r="V15069" s="18">
        <f>628161338934</f>
        <v>628161338934</v>
      </c>
      <c r="W15069" t="s">
        <v>40591</v>
      </c>
      <c r="Y15069" s="17" t="s">
        <v>90</v>
      </c>
      <c r="AA15069" s="17">
        <v>13430</v>
      </c>
    </row>
    <row r="15070" ht="15" customHeight="1" spans="1:22" x14ac:dyDescent="0.25">
      <c r="A15070" s="17" t="s">
        <v>40592</v>
      </c>
      <c r="B15070" s="17" t="s">
        <v>70</v>
      </c>
      <c r="C15070" s="17" t="s">
        <v>71</v>
      </c>
      <c r="D15070" t="s">
        <v>2586</v>
      </c>
      <c r="F15070" t="s">
        <v>1053</v>
      </c>
      <c r="K15070" s="18">
        <f>62818677760</f>
        <v>62818677760</v>
      </c>
      <c r="N15070" s="17" t="s">
        <v>77</v>
      </c>
      <c r="V15070" s="18">
        <f>62818677760</f>
        <v>62818677760</v>
      </c>
    </row>
    <row r="15071" ht="15" customHeight="1" spans="1:22" x14ac:dyDescent="0.25">
      <c r="A15071" s="17" t="s">
        <v>40593</v>
      </c>
      <c r="B15071" s="17" t="s">
        <v>70</v>
      </c>
      <c r="C15071" s="17" t="s">
        <v>71</v>
      </c>
      <c r="D15071" t="s">
        <v>9973</v>
      </c>
      <c r="F15071" t="s">
        <v>31680</v>
      </c>
      <c r="K15071" s="18">
        <f>6281226906392</f>
        <v>6281226906392</v>
      </c>
      <c r="N15071" s="17" t="s">
        <v>77</v>
      </c>
      <c r="V15071" s="18">
        <f>6281226906392</f>
        <v>6281226906392</v>
      </c>
    </row>
    <row r="15072" ht="15" customHeight="1" spans="1:22" x14ac:dyDescent="0.25">
      <c r="A15072" s="17" t="s">
        <v>40594</v>
      </c>
      <c r="B15072" s="17" t="s">
        <v>70</v>
      </c>
      <c r="C15072" s="17" t="s">
        <v>71</v>
      </c>
      <c r="D15072" t="s">
        <v>40595</v>
      </c>
      <c r="F15072" t="s">
        <v>40595</v>
      </c>
      <c r="K15072" s="18">
        <f>62816790897</f>
        <v>62816790897</v>
      </c>
      <c r="N15072" s="17" t="s">
        <v>81</v>
      </c>
      <c r="V15072" s="18">
        <f>62816790897</f>
        <v>62816790897</v>
      </c>
    </row>
    <row r="15073" ht="15" customHeight="1" spans="1:22" x14ac:dyDescent="0.25">
      <c r="A15073" s="17" t="s">
        <v>40596</v>
      </c>
      <c r="B15073" s="17" t="s">
        <v>70</v>
      </c>
      <c r="C15073" s="17" t="s">
        <v>71</v>
      </c>
      <c r="D15073" t="s">
        <v>40597</v>
      </c>
      <c r="F15073" t="s">
        <v>8600</v>
      </c>
      <c r="K15073" s="18">
        <f>6281806316966</f>
        <v>6281806316966</v>
      </c>
      <c r="N15073" s="17" t="s">
        <v>77</v>
      </c>
      <c r="V15073" s="18">
        <f>6281806316966</f>
        <v>6281806316966</v>
      </c>
    </row>
    <row r="15074" ht="15" customHeight="1" spans="1:22" x14ac:dyDescent="0.25">
      <c r="A15074" s="17" t="s">
        <v>40598</v>
      </c>
      <c r="B15074" s="17" t="s">
        <v>70</v>
      </c>
      <c r="C15074" s="17" t="s">
        <v>71</v>
      </c>
      <c r="D15074" t="s">
        <v>40599</v>
      </c>
      <c r="F15074" t="s">
        <v>40599</v>
      </c>
      <c r="K15074" s="18">
        <f>6285716662794</f>
        <v>6285716662794</v>
      </c>
      <c r="N15074" s="17" t="s">
        <v>81</v>
      </c>
      <c r="V15074" s="18">
        <f>6285716662794</f>
        <v>6285716662794</v>
      </c>
    </row>
    <row r="15075" ht="15" customHeight="1" spans="1:23" x14ac:dyDescent="0.25">
      <c r="A15075" s="17" t="s">
        <v>40600</v>
      </c>
      <c r="B15075" s="17" t="s">
        <v>70</v>
      </c>
      <c r="C15075" s="17" t="s">
        <v>71</v>
      </c>
      <c r="D15075" t="s">
        <v>40601</v>
      </c>
      <c r="F15075" t="s">
        <v>40601</v>
      </c>
      <c r="J15075" s="17" t="s">
        <v>40602</v>
      </c>
      <c r="K15075" s="18">
        <f>6281221047123</f>
        <v>6281221047123</v>
      </c>
      <c r="N15075" s="17" t="s">
        <v>77</v>
      </c>
      <c r="U15075" s="17"/>
      <c r="V15075" s="18">
        <f>6281221047123</f>
        <v>6281221047123</v>
      </c>
      <c r="W15075" t="s">
        <v>40603</v>
      </c>
    </row>
    <row r="15076" ht="15" customHeight="1" spans="1:23" x14ac:dyDescent="0.25">
      <c r="A15076" s="17" t="s">
        <v>40604</v>
      </c>
      <c r="B15076" s="17" t="s">
        <v>70</v>
      </c>
      <c r="C15076" s="17" t="s">
        <v>71</v>
      </c>
      <c r="D15076" t="s">
        <v>40605</v>
      </c>
      <c r="F15076" t="s">
        <v>4179</v>
      </c>
      <c r="K15076" s="18">
        <f>6287728888280</f>
        <v>6287728888280</v>
      </c>
      <c r="N15076" s="17" t="s">
        <v>81</v>
      </c>
      <c r="U15076" s="17"/>
      <c r="V15076" s="18">
        <f>6287728888280</f>
        <v>6287728888280</v>
      </c>
      <c r="W15076" t="s">
        <v>40606</v>
      </c>
    </row>
    <row r="15077" ht="15" customHeight="1" spans="1:22" x14ac:dyDescent="0.25">
      <c r="A15077" s="17" t="s">
        <v>40607</v>
      </c>
      <c r="B15077" s="17" t="s">
        <v>70</v>
      </c>
      <c r="C15077" s="17" t="s">
        <v>71</v>
      </c>
      <c r="D15077" t="s">
        <v>40608</v>
      </c>
      <c r="F15077" t="s">
        <v>26024</v>
      </c>
      <c r="K15077" s="18">
        <f>628118811390</f>
        <v>628118811390</v>
      </c>
      <c r="N15077" s="17" t="s">
        <v>81</v>
      </c>
      <c r="V15077" s="18">
        <f>628118811390</f>
        <v>628118811390</v>
      </c>
    </row>
    <row r="15078" ht="15" customHeight="1" spans="1:28" x14ac:dyDescent="0.25">
      <c r="A15078" s="17" t="s">
        <v>40609</v>
      </c>
      <c r="B15078" s="17" t="s">
        <v>70</v>
      </c>
      <c r="C15078" s="17" t="s">
        <v>71</v>
      </c>
      <c r="D15078" t="s">
        <v>40610</v>
      </c>
      <c r="F15078" t="s">
        <v>40611</v>
      </c>
      <c r="J15078" s="17" t="s">
        <v>40612</v>
      </c>
      <c r="K15078" s="18" t="s">
        <v>40613</v>
      </c>
      <c r="N15078" s="17" t="s">
        <v>77</v>
      </c>
      <c r="O15078" t="s">
        <v>199</v>
      </c>
      <c r="U15078" s="17"/>
      <c r="V15078" s="18" t="s">
        <v>40613</v>
      </c>
      <c r="W15078" t="s">
        <v>1908</v>
      </c>
      <c r="Y15078" s="17" t="s">
        <v>251</v>
      </c>
      <c r="AA15078" t="s">
        <v>115</v>
      </c>
      <c r="AB15078" t="s">
        <v>251</v>
      </c>
    </row>
    <row r="15079" ht="15" customHeight="1" spans="1:23" x14ac:dyDescent="0.25">
      <c r="A15079" s="17" t="s">
        <v>40614</v>
      </c>
      <c r="B15079" s="17" t="s">
        <v>70</v>
      </c>
      <c r="C15079" s="17" t="s">
        <v>71</v>
      </c>
      <c r="D15079" t="s">
        <v>15314</v>
      </c>
      <c r="F15079" t="s">
        <v>40615</v>
      </c>
      <c r="K15079" s="18">
        <f>6282224080000</f>
        <v>6282224080000</v>
      </c>
      <c r="N15079" s="17" t="s">
        <v>81</v>
      </c>
      <c r="U15079" s="17"/>
      <c r="V15079" s="18">
        <f>6282224080000</f>
        <v>6282224080000</v>
      </c>
      <c r="W15079" t="s">
        <v>40616</v>
      </c>
    </row>
    <row r="15080" ht="15" customHeight="1" spans="1:28" x14ac:dyDescent="0.25">
      <c r="A15080" s="17" t="s">
        <v>40617</v>
      </c>
      <c r="B15080" s="17" t="s">
        <v>70</v>
      </c>
      <c r="C15080" s="17" t="s">
        <v>71</v>
      </c>
      <c r="D15080" t="s">
        <v>7495</v>
      </c>
      <c r="F15080" t="s">
        <v>19788</v>
      </c>
      <c r="J15080" s="17" t="s">
        <v>40618</v>
      </c>
      <c r="K15080" s="18" t="s">
        <v>40619</v>
      </c>
      <c r="N15080" s="17" t="s">
        <v>77</v>
      </c>
      <c r="O15080" t="s">
        <v>117</v>
      </c>
      <c r="U15080" s="17"/>
      <c r="V15080" s="18" t="s">
        <v>40619</v>
      </c>
      <c r="W15080" t="s">
        <v>40620</v>
      </c>
      <c r="Y15080" t="s">
        <v>1084</v>
      </c>
      <c r="AA15080" t="s">
        <v>3146</v>
      </c>
      <c r="AB15080" t="s">
        <v>119</v>
      </c>
    </row>
    <row r="15081" ht="15" customHeight="1" spans="1:23" x14ac:dyDescent="0.25">
      <c r="A15081" s="17" t="s">
        <v>40621</v>
      </c>
      <c r="B15081" s="17" t="s">
        <v>70</v>
      </c>
      <c r="C15081" s="17" t="s">
        <v>71</v>
      </c>
      <c r="D15081" t="s">
        <v>14900</v>
      </c>
      <c r="F15081" t="s">
        <v>2833</v>
      </c>
      <c r="K15081" s="18">
        <f>6287888005126</f>
        <v>6287888005126</v>
      </c>
      <c r="N15081" s="17" t="s">
        <v>81</v>
      </c>
      <c r="U15081" s="17"/>
      <c r="V15081" s="18">
        <f>6287888005126</f>
        <v>6287888005126</v>
      </c>
      <c r="W15081" t="s">
        <v>40622</v>
      </c>
    </row>
    <row r="15082" ht="15" customHeight="1" spans="1:23" x14ac:dyDescent="0.25">
      <c r="A15082" s="17" t="s">
        <v>40623</v>
      </c>
      <c r="B15082" s="17" t="s">
        <v>70</v>
      </c>
      <c r="C15082" s="17" t="s">
        <v>71</v>
      </c>
      <c r="D15082" t="s">
        <v>14900</v>
      </c>
      <c r="F15082" t="s">
        <v>153</v>
      </c>
      <c r="K15082" s="18">
        <f>6281223023024</f>
        <v>6281223023024</v>
      </c>
      <c r="N15082" s="17" t="s">
        <v>77</v>
      </c>
      <c r="U15082" s="17"/>
      <c r="V15082" s="18">
        <f>6281223023024</f>
        <v>6281223023024</v>
      </c>
      <c r="W15082" t="s">
        <v>40624</v>
      </c>
    </row>
    <row r="15083" ht="15" customHeight="1" spans="1:25" x14ac:dyDescent="0.25">
      <c r="A15083" s="17" t="s">
        <v>40625</v>
      </c>
      <c r="B15083" s="17" t="s">
        <v>70</v>
      </c>
      <c r="C15083" s="17" t="s">
        <v>71</v>
      </c>
      <c r="D15083" t="s">
        <v>40626</v>
      </c>
      <c r="F15083" t="s">
        <v>9014</v>
      </c>
      <c r="K15083" s="18">
        <f>61411721139</f>
        <v>61411721139</v>
      </c>
      <c r="N15083" s="17" t="s">
        <v>77</v>
      </c>
      <c r="V15083" s="18">
        <f>61411721139</f>
        <v>61411721139</v>
      </c>
      <c r="Y15083" s="17" t="s">
        <v>1903</v>
      </c>
    </row>
    <row r="15084" ht="15" customHeight="1" spans="1:28" x14ac:dyDescent="0.25">
      <c r="A15084" s="17" t="s">
        <v>40627</v>
      </c>
      <c r="B15084" s="17" t="s">
        <v>70</v>
      </c>
      <c r="C15084" s="17" t="s">
        <v>71</v>
      </c>
      <c r="D15084" t="s">
        <v>40628</v>
      </c>
      <c r="F15084" t="s">
        <v>40629</v>
      </c>
      <c r="J15084" s="17" t="s">
        <v>40630</v>
      </c>
      <c r="K15084" s="18" t="s">
        <v>40631</v>
      </c>
      <c r="N15084" s="17" t="s">
        <v>77</v>
      </c>
      <c r="O15084" t="s">
        <v>489</v>
      </c>
      <c r="U15084" s="17"/>
      <c r="V15084" s="18" t="s">
        <v>40631</v>
      </c>
      <c r="W15084" t="s">
        <v>40632</v>
      </c>
      <c r="Y15084" s="17" t="s">
        <v>190</v>
      </c>
      <c r="AA15084" t="s">
        <v>118</v>
      </c>
      <c r="AB15084" t="s">
        <v>119</v>
      </c>
    </row>
    <row r="15085" ht="15" customHeight="1" spans="1:22" x14ac:dyDescent="0.25">
      <c r="A15085" s="17" t="s">
        <v>40633</v>
      </c>
      <c r="B15085" s="17" t="s">
        <v>70</v>
      </c>
      <c r="C15085" s="17" t="s">
        <v>71</v>
      </c>
      <c r="D15085" t="s">
        <v>40634</v>
      </c>
      <c r="F15085" t="s">
        <v>686</v>
      </c>
      <c r="K15085" s="18">
        <f>447378548024</f>
        <v>447378548024</v>
      </c>
      <c r="N15085" s="17" t="s">
        <v>81</v>
      </c>
      <c r="V15085" s="18">
        <f>447378548024</f>
        <v>447378548024</v>
      </c>
    </row>
    <row r="15086" ht="15" customHeight="1" spans="1:28" x14ac:dyDescent="0.25">
      <c r="A15086" s="17" t="s">
        <v>40635</v>
      </c>
      <c r="B15086" s="17" t="s">
        <v>70</v>
      </c>
      <c r="C15086" s="17" t="s">
        <v>71</v>
      </c>
      <c r="D15086" t="s">
        <v>40636</v>
      </c>
      <c r="F15086" t="s">
        <v>40637</v>
      </c>
      <c r="J15086" t="s">
        <v>115</v>
      </c>
      <c r="K15086" s="18" t="s">
        <v>40638</v>
      </c>
      <c r="N15086" s="17" t="s">
        <v>77</v>
      </c>
      <c r="O15086" t="s">
        <v>145</v>
      </c>
      <c r="U15086" s="17"/>
      <c r="V15086" s="18" t="s">
        <v>40638</v>
      </c>
      <c r="W15086" t="s">
        <v>40639</v>
      </c>
      <c r="Y15086" t="s">
        <v>181</v>
      </c>
      <c r="AA15086" t="s">
        <v>1672</v>
      </c>
      <c r="AB15086" t="s">
        <v>119</v>
      </c>
    </row>
    <row r="15087" ht="15" customHeight="1" spans="1:22" x14ac:dyDescent="0.25">
      <c r="A15087" s="17" t="s">
        <v>40640</v>
      </c>
      <c r="B15087" s="17" t="s">
        <v>70</v>
      </c>
      <c r="C15087" s="17" t="s">
        <v>71</v>
      </c>
      <c r="D15087" t="s">
        <v>40641</v>
      </c>
      <c r="F15087" t="s">
        <v>3836</v>
      </c>
      <c r="K15087" s="18">
        <f>6281285881166</f>
        <v>6281285881166</v>
      </c>
      <c r="N15087" s="17" t="s">
        <v>77</v>
      </c>
      <c r="V15087" s="18">
        <f>6281285881166</f>
        <v>6281285881166</v>
      </c>
    </row>
    <row r="15088" ht="15" customHeight="1" spans="1:25" x14ac:dyDescent="0.25">
      <c r="A15088" s="17" t="s">
        <v>40642</v>
      </c>
      <c r="B15088" s="17" t="s">
        <v>70</v>
      </c>
      <c r="C15088" s="17" t="s">
        <v>71</v>
      </c>
      <c r="D15088" t="s">
        <v>40643</v>
      </c>
      <c r="F15088" t="s">
        <v>14579</v>
      </c>
      <c r="K15088" s="18">
        <f>31615344161</f>
        <v>31615344161</v>
      </c>
      <c r="N15088" s="17" t="s">
        <v>77</v>
      </c>
      <c r="U15088" s="17"/>
      <c r="V15088" s="18">
        <f>31615344161</f>
        <v>31615344161</v>
      </c>
      <c r="W15088" t="s">
        <v>40644</v>
      </c>
      <c r="Y15088" s="17" t="s">
        <v>40645</v>
      </c>
    </row>
    <row r="15089" ht="15" customHeight="1" spans="1:22" x14ac:dyDescent="0.25">
      <c r="A15089" s="17" t="s">
        <v>40646</v>
      </c>
      <c r="B15089" s="17" t="s">
        <v>70</v>
      </c>
      <c r="C15089" s="17" t="s">
        <v>71</v>
      </c>
      <c r="D15089" t="s">
        <v>40647</v>
      </c>
      <c r="F15089" t="s">
        <v>40648</v>
      </c>
      <c r="K15089" s="18">
        <f>6281519111916</f>
        <v>6281519111916</v>
      </c>
      <c r="N15089" s="17" t="s">
        <v>77</v>
      </c>
      <c r="V15089" s="18">
        <f>6281519111916</f>
        <v>6281519111916</v>
      </c>
    </row>
    <row r="15090" ht="15" customHeight="1" spans="1:23" x14ac:dyDescent="0.25">
      <c r="A15090" s="17" t="s">
        <v>40649</v>
      </c>
      <c r="B15090" s="17" t="s">
        <v>70</v>
      </c>
      <c r="C15090" s="17" t="s">
        <v>71</v>
      </c>
      <c r="D15090" t="s">
        <v>40650</v>
      </c>
      <c r="F15090" t="s">
        <v>40650</v>
      </c>
      <c r="K15090" s="18">
        <v>7652130</v>
      </c>
      <c r="N15090" s="17" t="s">
        <v>77</v>
      </c>
      <c r="U15090" s="17"/>
      <c r="V15090" s="18">
        <v>7652130</v>
      </c>
      <c r="W15090" t="s">
        <v>40651</v>
      </c>
    </row>
    <row r="15091" ht="15" customHeight="1" spans="1:23" x14ac:dyDescent="0.25">
      <c r="A15091" s="17" t="s">
        <v>40652</v>
      </c>
      <c r="B15091" s="17" t="s">
        <v>70</v>
      </c>
      <c r="C15091" s="17" t="s">
        <v>71</v>
      </c>
      <c r="D15091" t="s">
        <v>40650</v>
      </c>
      <c r="F15091" t="s">
        <v>40653</v>
      </c>
      <c r="K15091" s="18">
        <f>62811847517</f>
        <v>62811847517</v>
      </c>
      <c r="N15091" s="17" t="s">
        <v>77</v>
      </c>
      <c r="U15091" s="17"/>
      <c r="V15091" s="18">
        <f>62811847517</f>
        <v>62811847517</v>
      </c>
      <c r="W15091" t="s">
        <v>97</v>
      </c>
    </row>
    <row r="15092" ht="15" customHeight="1" spans="1:28" x14ac:dyDescent="0.25">
      <c r="A15092" s="17" t="s">
        <v>40654</v>
      </c>
      <c r="B15092" s="17" t="s">
        <v>70</v>
      </c>
      <c r="C15092" s="17" t="s">
        <v>71</v>
      </c>
      <c r="D15092" t="s">
        <v>40655</v>
      </c>
      <c r="F15092" t="s">
        <v>40656</v>
      </c>
      <c r="J15092" t="s">
        <v>115</v>
      </c>
      <c r="K15092" s="18" t="s">
        <v>40657</v>
      </c>
      <c r="N15092" s="17" t="s">
        <v>77</v>
      </c>
      <c r="O15092" t="s">
        <v>145</v>
      </c>
      <c r="U15092" s="17"/>
      <c r="V15092" s="18" t="s">
        <v>40657</v>
      </c>
      <c r="W15092" t="s">
        <v>13379</v>
      </c>
      <c r="Y15092" t="s">
        <v>13379</v>
      </c>
      <c r="AA15092" t="s">
        <v>115</v>
      </c>
      <c r="AB15092" t="s">
        <v>119</v>
      </c>
    </row>
    <row r="15093" ht="15" customHeight="1" spans="1:28" x14ac:dyDescent="0.25">
      <c r="A15093" s="17" t="s">
        <v>40658</v>
      </c>
      <c r="B15093" s="17" t="s">
        <v>70</v>
      </c>
      <c r="C15093" s="17" t="s">
        <v>71</v>
      </c>
      <c r="D15093" t="s">
        <v>40659</v>
      </c>
      <c r="F15093" t="s">
        <v>39129</v>
      </c>
      <c r="J15093" s="17" t="s">
        <v>40660</v>
      </c>
      <c r="K15093" s="18" t="s">
        <v>40661</v>
      </c>
      <c r="N15093" s="17" t="s">
        <v>81</v>
      </c>
      <c r="O15093" t="s">
        <v>199</v>
      </c>
      <c r="V15093" s="18" t="s">
        <v>40661</v>
      </c>
      <c r="Y15093" t="s">
        <v>190</v>
      </c>
      <c r="AA15093" t="s">
        <v>118</v>
      </c>
      <c r="AB15093" t="s">
        <v>119</v>
      </c>
    </row>
    <row r="15094" ht="15" customHeight="1" spans="1:22" x14ac:dyDescent="0.25">
      <c r="A15094" s="17" t="s">
        <v>40662</v>
      </c>
      <c r="B15094" s="17" t="s">
        <v>70</v>
      </c>
      <c r="C15094" s="17" t="s">
        <v>71</v>
      </c>
      <c r="D15094" t="s">
        <v>40659</v>
      </c>
      <c r="F15094" t="s">
        <v>40663</v>
      </c>
      <c r="K15094" s="18">
        <f>6285811354500</f>
        <v>6285811354500</v>
      </c>
      <c r="N15094" s="17" t="s">
        <v>81</v>
      </c>
      <c r="V15094" s="18">
        <f>6285811354500</f>
        <v>6285811354500</v>
      </c>
    </row>
    <row r="15095" ht="15" customHeight="1" spans="1:22" x14ac:dyDescent="0.25">
      <c r="A15095" s="17" t="s">
        <v>40664</v>
      </c>
      <c r="B15095" s="17" t="s">
        <v>70</v>
      </c>
      <c r="C15095" s="17" t="s">
        <v>71</v>
      </c>
      <c r="D15095" t="s">
        <v>40665</v>
      </c>
      <c r="F15095" t="s">
        <v>40665</v>
      </c>
      <c r="J15095" s="17" t="s">
        <v>40666</v>
      </c>
      <c r="K15095" s="18">
        <f>62381222222988</f>
        <v>62381222222988</v>
      </c>
      <c r="N15095" s="17" t="s">
        <v>77</v>
      </c>
      <c r="V15095" s="18">
        <f>62381222222988</f>
        <v>62381222222988</v>
      </c>
    </row>
    <row r="15096" ht="15" customHeight="1" spans="1:28" x14ac:dyDescent="0.25">
      <c r="A15096" s="17" t="s">
        <v>40667</v>
      </c>
      <c r="B15096" s="17" t="s">
        <v>70</v>
      </c>
      <c r="C15096" s="17" t="s">
        <v>71</v>
      </c>
      <c r="D15096" t="s">
        <v>40665</v>
      </c>
      <c r="F15096" t="s">
        <v>40668</v>
      </c>
      <c r="J15096" t="s">
        <v>40669</v>
      </c>
      <c r="K15096" s="18" t="s">
        <v>40670</v>
      </c>
      <c r="N15096" s="17" t="s">
        <v>77</v>
      </c>
      <c r="O15096" t="s">
        <v>489</v>
      </c>
      <c r="U15096" s="17"/>
      <c r="V15096" s="18" t="s">
        <v>40670</v>
      </c>
      <c r="W15096" t="s">
        <v>40671</v>
      </c>
      <c r="Y15096" s="17" t="s">
        <v>90</v>
      </c>
      <c r="AA15096" s="17" t="s">
        <v>118</v>
      </c>
      <c r="AB15096" t="s">
        <v>119</v>
      </c>
    </row>
    <row r="15097" ht="15" customHeight="1" spans="1:22" x14ac:dyDescent="0.25">
      <c r="A15097" s="17" t="s">
        <v>40672</v>
      </c>
      <c r="B15097" s="17" t="s">
        <v>70</v>
      </c>
      <c r="C15097" s="17" t="s">
        <v>71</v>
      </c>
      <c r="D15097" t="s">
        <v>36475</v>
      </c>
      <c r="F15097" t="s">
        <v>36475</v>
      </c>
      <c r="K15097" s="18">
        <f>6281933220170</f>
        <v>6281933220170</v>
      </c>
      <c r="N15097" s="17" t="s">
        <v>77</v>
      </c>
      <c r="V15097" s="18">
        <f>6281933220170</f>
        <v>6281933220170</v>
      </c>
    </row>
    <row r="15098" ht="15" customHeight="1" spans="1:22" x14ac:dyDescent="0.25">
      <c r="A15098" s="17" t="s">
        <v>40673</v>
      </c>
      <c r="B15098" s="17" t="s">
        <v>70</v>
      </c>
      <c r="C15098" s="17" t="s">
        <v>71</v>
      </c>
      <c r="D15098" t="s">
        <v>36475</v>
      </c>
      <c r="F15098" t="s">
        <v>36475</v>
      </c>
      <c r="K15098" s="18">
        <f>62818142006</f>
        <v>62818142006</v>
      </c>
      <c r="N15098" s="17" t="s">
        <v>81</v>
      </c>
      <c r="V15098" s="18">
        <f>62818142006</f>
        <v>62818142006</v>
      </c>
    </row>
    <row r="15099" ht="15" customHeight="1" spans="1:27" x14ac:dyDescent="0.25">
      <c r="A15099" s="17" t="s">
        <v>40674</v>
      </c>
      <c r="B15099" s="17" t="s">
        <v>70</v>
      </c>
      <c r="C15099" s="17" t="s">
        <v>71</v>
      </c>
      <c r="D15099" t="s">
        <v>36475</v>
      </c>
      <c r="F15099" t="s">
        <v>36475</v>
      </c>
      <c r="K15099" s="18">
        <f>628121063103</f>
        <v>628121063103</v>
      </c>
      <c r="N15099" s="17" t="s">
        <v>77</v>
      </c>
      <c r="U15099" s="17"/>
      <c r="V15099" s="18">
        <f>628121063103</f>
        <v>628121063103</v>
      </c>
      <c r="W15099" t="s">
        <v>40675</v>
      </c>
      <c r="Y15099" s="17" t="s">
        <v>626</v>
      </c>
      <c r="AA15099" s="17" t="s">
        <v>40676</v>
      </c>
    </row>
    <row r="15100" ht="15" customHeight="1" spans="1:28" x14ac:dyDescent="0.25">
      <c r="A15100" s="17" t="s">
        <v>40677</v>
      </c>
      <c r="B15100" s="17" t="s">
        <v>70</v>
      </c>
      <c r="C15100" s="17" t="s">
        <v>71</v>
      </c>
      <c r="D15100" t="s">
        <v>40678</v>
      </c>
      <c r="F15100" t="s">
        <v>40679</v>
      </c>
      <c r="J15100" s="17" t="s">
        <v>40680</v>
      </c>
      <c r="K15100" s="18" t="s">
        <v>40681</v>
      </c>
      <c r="N15100" s="17" t="s">
        <v>77</v>
      </c>
      <c r="O15100" t="s">
        <v>145</v>
      </c>
      <c r="U15100" s="17"/>
      <c r="V15100" s="18" t="s">
        <v>40681</v>
      </c>
      <c r="W15100" t="s">
        <v>40682</v>
      </c>
      <c r="Y15100" s="17" t="s">
        <v>622</v>
      </c>
      <c r="AA15100" t="s">
        <v>623</v>
      </c>
      <c r="AB15100" t="s">
        <v>119</v>
      </c>
    </row>
    <row r="15101" ht="15" customHeight="1" spans="1:27" x14ac:dyDescent="0.25">
      <c r="A15101" s="17" t="s">
        <v>40683</v>
      </c>
      <c r="B15101" s="17" t="s">
        <v>70</v>
      </c>
      <c r="C15101" s="17" t="s">
        <v>71</v>
      </c>
      <c r="D15101" t="s">
        <v>36475</v>
      </c>
      <c r="F15101" t="s">
        <v>14643</v>
      </c>
      <c r="J15101" s="17" t="s">
        <v>40684</v>
      </c>
      <c r="K15101" s="18">
        <f>628116401997</f>
        <v>628116401997</v>
      </c>
      <c r="N15101" s="17" t="s">
        <v>81</v>
      </c>
      <c r="U15101" s="17"/>
      <c r="V15101" s="18">
        <f>628116401997</f>
        <v>628116401997</v>
      </c>
      <c r="W15101" t="s">
        <v>40685</v>
      </c>
      <c r="AA15101" s="17">
        <v>14460</v>
      </c>
    </row>
    <row r="15102" ht="15" customHeight="1" spans="1:28" x14ac:dyDescent="0.25">
      <c r="A15102" s="17" t="s">
        <v>40686</v>
      </c>
      <c r="B15102" s="17" t="s">
        <v>70</v>
      </c>
      <c r="C15102" s="17" t="s">
        <v>71</v>
      </c>
      <c r="D15102" t="s">
        <v>36475</v>
      </c>
      <c r="F15102" t="s">
        <v>22614</v>
      </c>
      <c r="J15102" t="s">
        <v>115</v>
      </c>
      <c r="K15102" s="18" t="s">
        <v>40687</v>
      </c>
      <c r="N15102" s="17" t="s">
        <v>81</v>
      </c>
      <c r="O15102" t="s">
        <v>117</v>
      </c>
      <c r="V15102" s="18" t="s">
        <v>40687</v>
      </c>
      <c r="Y15102" t="s">
        <v>217</v>
      </c>
      <c r="AA15102" t="s">
        <v>218</v>
      </c>
      <c r="AB15102" t="s">
        <v>119</v>
      </c>
    </row>
    <row r="15103" ht="15" customHeight="1" spans="1:22" x14ac:dyDescent="0.25">
      <c r="A15103" s="17" t="s">
        <v>40688</v>
      </c>
      <c r="B15103" s="17" t="s">
        <v>70</v>
      </c>
      <c r="C15103" s="17" t="s">
        <v>71</v>
      </c>
      <c r="D15103" t="s">
        <v>36475</v>
      </c>
      <c r="F15103" t="s">
        <v>40689</v>
      </c>
      <c r="K15103" s="18">
        <f>6287853175317</f>
        <v>6287853175317</v>
      </c>
      <c r="N15103" s="17" t="s">
        <v>81</v>
      </c>
      <c r="V15103" s="18">
        <f>6287853175317</f>
        <v>6287853175317</v>
      </c>
    </row>
    <row r="15104" ht="15" customHeight="1" spans="1:22" x14ac:dyDescent="0.25">
      <c r="A15104" s="17" t="s">
        <v>40690</v>
      </c>
      <c r="B15104" s="17" t="s">
        <v>70</v>
      </c>
      <c r="C15104" s="17" t="s">
        <v>71</v>
      </c>
      <c r="D15104" t="s">
        <v>36475</v>
      </c>
      <c r="F15104" t="s">
        <v>40691</v>
      </c>
      <c r="K15104" s="18">
        <f>62818863279</f>
        <v>62818863279</v>
      </c>
      <c r="N15104" s="17" t="s">
        <v>77</v>
      </c>
      <c r="V15104" s="18">
        <f>62818863279</f>
        <v>62818863279</v>
      </c>
    </row>
    <row r="15105" ht="15" customHeight="1" spans="1:22" x14ac:dyDescent="0.25">
      <c r="A15105" s="17" t="s">
        <v>40692</v>
      </c>
      <c r="B15105" s="17" t="s">
        <v>70</v>
      </c>
      <c r="C15105" s="17" t="s">
        <v>71</v>
      </c>
      <c r="D15105" t="s">
        <v>36475</v>
      </c>
      <c r="F15105" t="s">
        <v>4291</v>
      </c>
      <c r="K15105" s="18">
        <f>62816851534</f>
        <v>62816851534</v>
      </c>
      <c r="N15105" s="17" t="s">
        <v>77</v>
      </c>
      <c r="V15105" s="18">
        <f>62816851534</f>
        <v>62816851534</v>
      </c>
    </row>
    <row r="15106" ht="15" customHeight="1" spans="1:28" x14ac:dyDescent="0.25">
      <c r="A15106" s="17" t="s">
        <v>40693</v>
      </c>
      <c r="B15106" s="17" t="s">
        <v>70</v>
      </c>
      <c r="C15106" s="17" t="s">
        <v>71</v>
      </c>
      <c r="D15106" t="s">
        <v>40694</v>
      </c>
      <c r="F15106" t="s">
        <v>40694</v>
      </c>
      <c r="J15106" t="s">
        <v>115</v>
      </c>
      <c r="K15106" s="18" t="s">
        <v>40695</v>
      </c>
      <c r="N15106" s="17" t="s">
        <v>77</v>
      </c>
      <c r="O15106" t="s">
        <v>117</v>
      </c>
      <c r="U15106" s="17"/>
      <c r="V15106" s="18" t="s">
        <v>40695</v>
      </c>
      <c r="W15106" t="s">
        <v>4993</v>
      </c>
      <c r="Y15106" t="s">
        <v>4993</v>
      </c>
      <c r="AA15106" t="s">
        <v>115</v>
      </c>
      <c r="AB15106" t="s">
        <v>119</v>
      </c>
    </row>
    <row r="15107" ht="15" customHeight="1" spans="1:22" x14ac:dyDescent="0.25">
      <c r="A15107" s="17" t="s">
        <v>40696</v>
      </c>
      <c r="B15107" s="17" t="s">
        <v>70</v>
      </c>
      <c r="C15107" s="17" t="s">
        <v>71</v>
      </c>
      <c r="D15107" t="s">
        <v>40697</v>
      </c>
      <c r="F15107" t="s">
        <v>38787</v>
      </c>
      <c r="K15107" s="18">
        <f>6282213213474</f>
        <v>6282213213474</v>
      </c>
      <c r="N15107" s="17" t="s">
        <v>81</v>
      </c>
      <c r="V15107" s="18">
        <f>6282213213474</f>
        <v>6282213213474</v>
      </c>
    </row>
    <row r="15108" ht="15" customHeight="1" spans="1:28" x14ac:dyDescent="0.25">
      <c r="A15108" s="17" t="s">
        <v>40698</v>
      </c>
      <c r="B15108" s="17" t="s">
        <v>70</v>
      </c>
      <c r="C15108" s="17" t="s">
        <v>71</v>
      </c>
      <c r="D15108" t="s">
        <v>2171</v>
      </c>
      <c r="F15108" t="s">
        <v>8213</v>
      </c>
      <c r="J15108" t="s">
        <v>115</v>
      </c>
      <c r="K15108" s="18" t="s">
        <v>40699</v>
      </c>
      <c r="N15108" s="17" t="s">
        <v>81</v>
      </c>
      <c r="O15108" t="s">
        <v>261</v>
      </c>
      <c r="V15108" s="18" t="s">
        <v>40699</v>
      </c>
      <c r="Y15108" t="s">
        <v>90</v>
      </c>
      <c r="AA15108" t="s">
        <v>118</v>
      </c>
      <c r="AB15108" t="s">
        <v>119</v>
      </c>
    </row>
    <row r="15109" ht="15" customHeight="1" spans="1:22" x14ac:dyDescent="0.25">
      <c r="A15109" s="17" t="s">
        <v>40700</v>
      </c>
      <c r="B15109" s="17" t="s">
        <v>70</v>
      </c>
      <c r="C15109" s="17" t="s">
        <v>71</v>
      </c>
      <c r="D15109" t="s">
        <v>2171</v>
      </c>
      <c r="F15109" t="s">
        <v>40701</v>
      </c>
      <c r="K15109" s="18">
        <f>62811871258</f>
        <v>62811871258</v>
      </c>
      <c r="N15109" s="17" t="s">
        <v>77</v>
      </c>
      <c r="V15109" s="18">
        <f>62811871258</f>
        <v>62811871258</v>
      </c>
    </row>
    <row r="15110" ht="15" customHeight="1" spans="1:22" x14ac:dyDescent="0.25">
      <c r="A15110" s="17" t="s">
        <v>40702</v>
      </c>
      <c r="B15110" s="17" t="s">
        <v>70</v>
      </c>
      <c r="C15110" s="17" t="s">
        <v>71</v>
      </c>
      <c r="D15110" t="s">
        <v>2171</v>
      </c>
      <c r="F15110" t="s">
        <v>5564</v>
      </c>
      <c r="K15110" s="18">
        <f>6287884819999</f>
        <v>6287884819999</v>
      </c>
      <c r="N15110" s="17" t="s">
        <v>77</v>
      </c>
      <c r="V15110" s="18">
        <f>6287884819999</f>
        <v>6287884819999</v>
      </c>
    </row>
    <row r="15111" ht="15" customHeight="1" spans="1:22" x14ac:dyDescent="0.25">
      <c r="A15111" s="17" t="s">
        <v>40703</v>
      </c>
      <c r="B15111" s="17" t="s">
        <v>70</v>
      </c>
      <c r="C15111" s="17" t="s">
        <v>71</v>
      </c>
      <c r="D15111" t="s">
        <v>40704</v>
      </c>
      <c r="F15111" t="s">
        <v>40705</v>
      </c>
      <c r="K15111" s="18">
        <f>6281218396339</f>
        <v>6281218396339</v>
      </c>
      <c r="N15111" s="17" t="s">
        <v>81</v>
      </c>
      <c r="V15111" s="18">
        <f>6281218396339</f>
        <v>6281218396339</v>
      </c>
    </row>
    <row r="15112" ht="15" customHeight="1" spans="1:22" x14ac:dyDescent="0.25">
      <c r="A15112" s="17" t="s">
        <v>40706</v>
      </c>
      <c r="B15112" s="17" t="s">
        <v>70</v>
      </c>
      <c r="C15112" s="17" t="s">
        <v>71</v>
      </c>
      <c r="D15112" t="s">
        <v>40707</v>
      </c>
      <c r="F15112" t="s">
        <v>5078</v>
      </c>
      <c r="K15112" s="18">
        <f>6281223259610</f>
        <v>6281223259610</v>
      </c>
      <c r="N15112" s="17" t="s">
        <v>81</v>
      </c>
      <c r="V15112" s="18">
        <f>6281223259610</f>
        <v>6281223259610</v>
      </c>
    </row>
    <row r="15113" ht="15" customHeight="1" spans="1:28" x14ac:dyDescent="0.25">
      <c r="A15113" s="17" t="s">
        <v>40708</v>
      </c>
      <c r="B15113" s="17" t="s">
        <v>70</v>
      </c>
      <c r="C15113" s="17" t="s">
        <v>71</v>
      </c>
      <c r="D15113" t="s">
        <v>40709</v>
      </c>
      <c r="F15113" t="s">
        <v>40710</v>
      </c>
      <c r="J15113" s="17" t="s">
        <v>40711</v>
      </c>
      <c r="K15113" s="18" t="s">
        <v>40712</v>
      </c>
      <c r="N15113" s="17" t="s">
        <v>77</v>
      </c>
      <c r="O15113" t="s">
        <v>199</v>
      </c>
      <c r="U15113" s="17"/>
      <c r="V15113" s="18" t="s">
        <v>40712</v>
      </c>
      <c r="W15113" t="s">
        <v>40713</v>
      </c>
      <c r="Y15113" t="s">
        <v>190</v>
      </c>
      <c r="AA15113" t="s">
        <v>118</v>
      </c>
      <c r="AB15113" t="s">
        <v>119</v>
      </c>
    </row>
    <row r="15114" ht="15" customHeight="1" spans="1:23" x14ac:dyDescent="0.25">
      <c r="A15114" s="17" t="s">
        <v>40714</v>
      </c>
      <c r="B15114" s="17" t="s">
        <v>70</v>
      </c>
      <c r="C15114" s="17" t="s">
        <v>71</v>
      </c>
      <c r="D15114" t="s">
        <v>40715</v>
      </c>
      <c r="F15114" t="s">
        <v>546</v>
      </c>
      <c r="K15114" s="18">
        <f>6281286661723</f>
        <v>6281286661723</v>
      </c>
      <c r="N15114" s="17" t="s">
        <v>77</v>
      </c>
      <c r="U15114" s="17"/>
      <c r="V15114" s="18">
        <f>6281286661723</f>
        <v>6281286661723</v>
      </c>
      <c r="W15114" t="s">
        <v>40716</v>
      </c>
    </row>
    <row r="15115" ht="15" customHeight="1" spans="1:25" x14ac:dyDescent="0.25">
      <c r="A15115" s="17" t="s">
        <v>40717</v>
      </c>
      <c r="B15115" s="17" t="s">
        <v>70</v>
      </c>
      <c r="C15115" s="17" t="s">
        <v>71</v>
      </c>
      <c r="D15115" t="s">
        <v>40718</v>
      </c>
      <c r="F15115" t="s">
        <v>40719</v>
      </c>
      <c r="K15115" s="18">
        <f>6281513444446</f>
        <v>6281513444446</v>
      </c>
      <c r="N15115" s="17" t="s">
        <v>81</v>
      </c>
      <c r="U15115" s="17"/>
      <c r="V15115" s="18">
        <f>6281513444446</f>
        <v>6281513444446</v>
      </c>
      <c r="W15115" t="s">
        <v>40720</v>
      </c>
      <c r="Y15115" s="17" t="s">
        <v>96</v>
      </c>
    </row>
    <row r="15116" ht="15" customHeight="1" spans="1:22" x14ac:dyDescent="0.25">
      <c r="A15116" s="17" t="s">
        <v>40721</v>
      </c>
      <c r="B15116" s="17" t="s">
        <v>70</v>
      </c>
      <c r="C15116" s="17" t="s">
        <v>71</v>
      </c>
      <c r="D15116" t="s">
        <v>40722</v>
      </c>
      <c r="F15116" t="s">
        <v>40722</v>
      </c>
      <c r="K15116" s="18">
        <f>6282110499499</f>
        <v>6282110499499</v>
      </c>
      <c r="N15116" s="17" t="s">
        <v>77</v>
      </c>
      <c r="V15116" s="18">
        <f>6282110499499</f>
        <v>6282110499499</v>
      </c>
    </row>
    <row r="15117" ht="15" customHeight="1" spans="1:23" x14ac:dyDescent="0.25">
      <c r="A15117" s="17" t="s">
        <v>40723</v>
      </c>
      <c r="B15117" s="17" t="s">
        <v>70</v>
      </c>
      <c r="C15117" s="17" t="s">
        <v>71</v>
      </c>
      <c r="D15117" t="s">
        <v>40724</v>
      </c>
      <c r="F15117" t="s">
        <v>5266</v>
      </c>
      <c r="K15117" s="18">
        <f>6281224577777</f>
        <v>6281224577777</v>
      </c>
      <c r="N15117" s="17" t="s">
        <v>81</v>
      </c>
      <c r="U15117" s="17"/>
      <c r="V15117" s="18">
        <f>6281224577777</f>
        <v>6281224577777</v>
      </c>
      <c r="W15117" t="s">
        <v>40725</v>
      </c>
    </row>
    <row r="15118" ht="15" customHeight="1" spans="1:25" x14ac:dyDescent="0.25">
      <c r="A15118" s="17" t="s">
        <v>40726</v>
      </c>
      <c r="B15118" s="17" t="s">
        <v>70</v>
      </c>
      <c r="C15118" s="17" t="s">
        <v>71</v>
      </c>
      <c r="D15118" t="s">
        <v>40727</v>
      </c>
      <c r="F15118" t="s">
        <v>40728</v>
      </c>
      <c r="K15118" s="18">
        <f>628118889401</f>
        <v>628118889401</v>
      </c>
      <c r="N15118" s="17" t="s">
        <v>77</v>
      </c>
      <c r="U15118" s="17"/>
      <c r="V15118" s="18">
        <f>628118889401</f>
        <v>628118889401</v>
      </c>
      <c r="W15118" t="s">
        <v>40729</v>
      </c>
      <c r="Y15118" s="17" t="s">
        <v>96</v>
      </c>
    </row>
    <row r="15119" ht="15" customHeight="1" spans="1:23" x14ac:dyDescent="0.25">
      <c r="A15119" s="17" t="s">
        <v>40730</v>
      </c>
      <c r="B15119" s="17" t="s">
        <v>70</v>
      </c>
      <c r="C15119" s="17" t="s">
        <v>71</v>
      </c>
      <c r="D15119" t="s">
        <v>40731</v>
      </c>
      <c r="F15119" t="s">
        <v>40732</v>
      </c>
      <c r="K15119" s="18">
        <f>37496566614</f>
        <v>37496566614</v>
      </c>
      <c r="N15119" s="17" t="s">
        <v>77</v>
      </c>
      <c r="U15119" s="17"/>
      <c r="V15119" s="18">
        <f>37496566614</f>
        <v>37496566614</v>
      </c>
      <c r="W15119" t="s">
        <v>28188</v>
      </c>
    </row>
    <row r="15120" ht="15" customHeight="1" spans="1:28" x14ac:dyDescent="0.25">
      <c r="A15120" s="17" t="s">
        <v>40733</v>
      </c>
      <c r="B15120" s="17" t="s">
        <v>70</v>
      </c>
      <c r="C15120" s="17" t="s">
        <v>71</v>
      </c>
      <c r="D15120" t="s">
        <v>40734</v>
      </c>
      <c r="F15120" t="s">
        <v>40735</v>
      </c>
      <c r="J15120" t="s">
        <v>115</v>
      </c>
      <c r="K15120" s="18" t="s">
        <v>40736</v>
      </c>
      <c r="N15120" s="17" t="s">
        <v>77</v>
      </c>
      <c r="O15120" t="s">
        <v>199</v>
      </c>
      <c r="V15120" s="18" t="s">
        <v>40736</v>
      </c>
      <c r="Y15120" t="s">
        <v>115</v>
      </c>
      <c r="AA15120" t="s">
        <v>115</v>
      </c>
      <c r="AB15120" t="s">
        <v>119</v>
      </c>
    </row>
    <row r="15121" ht="15" customHeight="1" spans="1:28" x14ac:dyDescent="0.25">
      <c r="A15121" s="17" t="s">
        <v>40737</v>
      </c>
      <c r="B15121" s="17" t="s">
        <v>70</v>
      </c>
      <c r="C15121" s="17" t="s">
        <v>71</v>
      </c>
      <c r="D15121" t="s">
        <v>40738</v>
      </c>
      <c r="F15121" t="s">
        <v>2607</v>
      </c>
      <c r="J15121" s="17" t="s">
        <v>40739</v>
      </c>
      <c r="K15121" s="18" t="s">
        <v>40740</v>
      </c>
      <c r="N15121" s="17" t="s">
        <v>77</v>
      </c>
      <c r="O15121" t="s">
        <v>199</v>
      </c>
      <c r="U15121" s="17"/>
      <c r="V15121" s="18" t="s">
        <v>40740</v>
      </c>
      <c r="W15121" t="s">
        <v>40741</v>
      </c>
      <c r="Y15121" t="s">
        <v>40741</v>
      </c>
      <c r="AA15121" t="s">
        <v>115</v>
      </c>
      <c r="AB15121" t="s">
        <v>119</v>
      </c>
    </row>
    <row r="15122" ht="15" customHeight="1" spans="1:22" x14ac:dyDescent="0.25">
      <c r="A15122" s="17" t="s">
        <v>40742</v>
      </c>
      <c r="B15122" s="17" t="s">
        <v>70</v>
      </c>
      <c r="C15122" s="17" t="s">
        <v>71</v>
      </c>
      <c r="D15122" t="s">
        <v>36299</v>
      </c>
      <c r="F15122" t="s">
        <v>36299</v>
      </c>
      <c r="K15122" s="18">
        <f>62818888233</f>
        <v>62818888233</v>
      </c>
      <c r="N15122" s="17" t="s">
        <v>81</v>
      </c>
      <c r="V15122" s="18">
        <f>62818888233</f>
        <v>62818888233</v>
      </c>
    </row>
    <row r="15123" ht="15" customHeight="1" spans="1:28" x14ac:dyDescent="0.25">
      <c r="A15123" s="17" t="s">
        <v>40743</v>
      </c>
      <c r="B15123" s="17" t="s">
        <v>70</v>
      </c>
      <c r="C15123" s="17" t="s">
        <v>71</v>
      </c>
      <c r="D15123" t="s">
        <v>40744</v>
      </c>
      <c r="F15123" t="s">
        <v>1676</v>
      </c>
      <c r="J15123" t="s">
        <v>115</v>
      </c>
      <c r="K15123" s="18" t="s">
        <v>40745</v>
      </c>
      <c r="N15123" s="17" t="s">
        <v>77</v>
      </c>
      <c r="O15123" t="s">
        <v>117</v>
      </c>
      <c r="V15123" s="18" t="s">
        <v>40745</v>
      </c>
      <c r="Y15123" t="s">
        <v>190</v>
      </c>
      <c r="AA15123" t="s">
        <v>118</v>
      </c>
      <c r="AB15123" t="s">
        <v>119</v>
      </c>
    </row>
    <row r="15124" ht="15" customHeight="1" spans="1:22" x14ac:dyDescent="0.25">
      <c r="A15124" s="17" t="s">
        <v>40746</v>
      </c>
      <c r="B15124" s="17" t="s">
        <v>70</v>
      </c>
      <c r="C15124" s="17" t="s">
        <v>71</v>
      </c>
      <c r="D15124" t="s">
        <v>40747</v>
      </c>
      <c r="F15124" t="s">
        <v>31297</v>
      </c>
      <c r="K15124" s="18">
        <f>6281113904216</f>
        <v>6281113904216</v>
      </c>
      <c r="N15124" s="17" t="s">
        <v>81</v>
      </c>
      <c r="V15124" s="18">
        <f>6281113904216</f>
        <v>6281113904216</v>
      </c>
    </row>
    <row r="15125" ht="15" customHeight="1" spans="1:22" x14ac:dyDescent="0.25">
      <c r="A15125" s="17" t="s">
        <v>40748</v>
      </c>
      <c r="B15125" s="17" t="s">
        <v>70</v>
      </c>
      <c r="C15125" s="17" t="s">
        <v>71</v>
      </c>
      <c r="D15125" t="s">
        <v>40749</v>
      </c>
      <c r="F15125" t="s">
        <v>106</v>
      </c>
      <c r="K15125" s="18">
        <f>62812946476</f>
        <v>62812946476</v>
      </c>
      <c r="N15125" s="17" t="s">
        <v>81</v>
      </c>
      <c r="V15125" s="18">
        <f>62812946476</f>
        <v>62812946476</v>
      </c>
    </row>
    <row r="15126" ht="15" customHeight="1" spans="1:22" x14ac:dyDescent="0.25">
      <c r="A15126" s="17" t="s">
        <v>40750</v>
      </c>
      <c r="B15126" s="17" t="s">
        <v>70</v>
      </c>
      <c r="C15126" s="17" t="s">
        <v>71</v>
      </c>
      <c r="D15126" t="s">
        <v>40751</v>
      </c>
      <c r="F15126" t="s">
        <v>40752</v>
      </c>
      <c r="J15126" s="17" t="s">
        <v>40753</v>
      </c>
      <c r="K15126" s="18">
        <f>6281212125052</f>
        <v>6281212125052</v>
      </c>
      <c r="N15126" s="17" t="s">
        <v>77</v>
      </c>
      <c r="V15126" s="18">
        <f>6281212125052</f>
        <v>6281212125052</v>
      </c>
    </row>
    <row r="15127" ht="15" customHeight="1" spans="1:25" x14ac:dyDescent="0.25">
      <c r="A15127" s="17" t="s">
        <v>40754</v>
      </c>
      <c r="B15127" s="17" t="s">
        <v>70</v>
      </c>
      <c r="C15127" s="17" t="s">
        <v>71</v>
      </c>
      <c r="D15127" t="s">
        <v>40755</v>
      </c>
      <c r="F15127" t="s">
        <v>40756</v>
      </c>
      <c r="K15127" s="18">
        <f>6288297007098</f>
        <v>6288297007098</v>
      </c>
      <c r="N15127" s="17" t="s">
        <v>77</v>
      </c>
      <c r="U15127" s="17"/>
      <c r="V15127" s="18">
        <f>6288297007098</f>
        <v>6288297007098</v>
      </c>
      <c r="W15127" t="s">
        <v>40757</v>
      </c>
      <c r="Y15127" s="17" t="s">
        <v>596</v>
      </c>
    </row>
    <row r="15128" ht="15" customHeight="1" spans="1:22" x14ac:dyDescent="0.25">
      <c r="A15128" s="17" t="s">
        <v>40758</v>
      </c>
      <c r="B15128" s="17" t="s">
        <v>70</v>
      </c>
      <c r="C15128" s="17" t="s">
        <v>71</v>
      </c>
      <c r="D15128" t="s">
        <v>33065</v>
      </c>
      <c r="F15128" t="s">
        <v>33065</v>
      </c>
      <c r="K15128" s="18">
        <f>6281806880008</f>
        <v>6281806880008</v>
      </c>
      <c r="N15128" s="17" t="s">
        <v>74</v>
      </c>
      <c r="V15128" s="18">
        <f>6281806880008</f>
        <v>6281806880008</v>
      </c>
    </row>
    <row r="15129" ht="15" customHeight="1" spans="1:25" x14ac:dyDescent="0.25">
      <c r="A15129" s="17" t="s">
        <v>40759</v>
      </c>
      <c r="B15129" s="17" t="s">
        <v>70</v>
      </c>
      <c r="C15129" s="17" t="s">
        <v>71</v>
      </c>
      <c r="D15129" t="s">
        <v>32583</v>
      </c>
      <c r="F15129" t="s">
        <v>40760</v>
      </c>
      <c r="K15129" s="18">
        <f>6281806017733</f>
        <v>6281806017733</v>
      </c>
      <c r="N15129" s="17" t="s">
        <v>77</v>
      </c>
      <c r="U15129" s="17"/>
      <c r="V15129" s="18">
        <f>6281806017733</f>
        <v>6281806017733</v>
      </c>
      <c r="W15129" t="s">
        <v>40761</v>
      </c>
      <c r="Y15129" s="17" t="s">
        <v>40762</v>
      </c>
    </row>
    <row r="15130" ht="15" customHeight="1" spans="1:23" x14ac:dyDescent="0.25">
      <c r="A15130" s="17" t="s">
        <v>40763</v>
      </c>
      <c r="B15130" s="17" t="s">
        <v>70</v>
      </c>
      <c r="C15130" s="17" t="s">
        <v>71</v>
      </c>
      <c r="D15130" t="s">
        <v>32583</v>
      </c>
      <c r="F15130" t="s">
        <v>5324</v>
      </c>
      <c r="K15130" s="18">
        <f>6281213198484</f>
        <v>6281213198484</v>
      </c>
      <c r="N15130" s="17" t="s">
        <v>81</v>
      </c>
      <c r="U15130" s="17"/>
      <c r="V15130" s="18">
        <f>6281213198484</f>
        <v>6281213198484</v>
      </c>
      <c r="W15130" t="s">
        <v>40764</v>
      </c>
    </row>
    <row r="15131" ht="15" customHeight="1" spans="1:23" x14ac:dyDescent="0.25">
      <c r="A15131" s="17" t="s">
        <v>40765</v>
      </c>
      <c r="B15131" s="17" t="s">
        <v>70</v>
      </c>
      <c r="C15131" s="17" t="s">
        <v>71</v>
      </c>
      <c r="D15131" t="s">
        <v>40766</v>
      </c>
      <c r="F15131" t="s">
        <v>40767</v>
      </c>
      <c r="K15131" s="18">
        <f>19293859370</f>
        <v>19293859370</v>
      </c>
      <c r="N15131" s="17" t="s">
        <v>77</v>
      </c>
      <c r="U15131" s="17"/>
      <c r="V15131" s="18">
        <f>19293859370</f>
        <v>19293859370</v>
      </c>
      <c r="W15131" t="s">
        <v>920</v>
      </c>
    </row>
    <row r="15132" ht="15" customHeight="1" spans="1:23" x14ac:dyDescent="0.25">
      <c r="A15132" s="17" t="s">
        <v>40768</v>
      </c>
      <c r="B15132" s="17" t="s">
        <v>70</v>
      </c>
      <c r="C15132" s="17" t="s">
        <v>71</v>
      </c>
      <c r="D15132" t="s">
        <v>40769</v>
      </c>
      <c r="F15132" t="s">
        <v>40769</v>
      </c>
      <c r="J15132" s="17" t="s">
        <v>40770</v>
      </c>
      <c r="K15132" s="18">
        <f>6285947737887</f>
        <v>6285947737887</v>
      </c>
      <c r="N15132" s="17" t="s">
        <v>77</v>
      </c>
      <c r="U15132" s="17"/>
      <c r="V15132" s="18">
        <f>6285947737887</f>
        <v>6285947737887</v>
      </c>
      <c r="W15132" t="s">
        <v>40771</v>
      </c>
    </row>
    <row r="15133" ht="15" customHeight="1" spans="1:22" x14ac:dyDescent="0.25">
      <c r="A15133" s="17" t="s">
        <v>40772</v>
      </c>
      <c r="B15133" s="17" t="s">
        <v>70</v>
      </c>
      <c r="C15133" s="17" t="s">
        <v>71</v>
      </c>
      <c r="D15133" t="s">
        <v>40773</v>
      </c>
      <c r="F15133" t="s">
        <v>40773</v>
      </c>
      <c r="K15133" s="18">
        <f>6281511655757</f>
        <v>6281511655757</v>
      </c>
      <c r="N15133" s="17" t="s">
        <v>77</v>
      </c>
      <c r="V15133" s="18">
        <f>6281511655757</f>
        <v>6281511655757</v>
      </c>
    </row>
    <row r="15134" ht="15" customHeight="1" spans="1:25" x14ac:dyDescent="0.25">
      <c r="A15134" s="17" t="s">
        <v>40774</v>
      </c>
      <c r="B15134" s="17" t="s">
        <v>70</v>
      </c>
      <c r="C15134" s="17" t="s">
        <v>71</v>
      </c>
      <c r="D15134" t="s">
        <v>40775</v>
      </c>
      <c r="F15134" t="s">
        <v>40775</v>
      </c>
      <c r="K15134" s="18">
        <f>6287883939199</f>
        <v>6287883939199</v>
      </c>
      <c r="N15134" s="17" t="s">
        <v>77</v>
      </c>
      <c r="V15134" s="18">
        <f>6287883939199</f>
        <v>6287883939199</v>
      </c>
      <c r="Y15134" s="17" t="s">
        <v>90</v>
      </c>
    </row>
    <row r="15135" ht="15" customHeight="1" spans="1:28" x14ac:dyDescent="0.25">
      <c r="A15135" s="17" t="s">
        <v>40776</v>
      </c>
      <c r="B15135" s="17" t="s">
        <v>70</v>
      </c>
      <c r="C15135" s="17" t="s">
        <v>71</v>
      </c>
      <c r="D15135" t="s">
        <v>40777</v>
      </c>
      <c r="F15135" t="s">
        <v>40777</v>
      </c>
      <c r="J15135" s="17" t="s">
        <v>40778</v>
      </c>
      <c r="K15135" s="18" t="s">
        <v>40779</v>
      </c>
      <c r="N15135" s="17" t="s">
        <v>74</v>
      </c>
      <c r="O15135" t="s">
        <v>145</v>
      </c>
      <c r="U15135" s="17"/>
      <c r="V15135" s="18" t="s">
        <v>40779</v>
      </c>
      <c r="W15135" t="s">
        <v>40780</v>
      </c>
      <c r="Y15135" t="s">
        <v>515</v>
      </c>
      <c r="AA15135" t="s">
        <v>1614</v>
      </c>
      <c r="AB15135" t="s">
        <v>119</v>
      </c>
    </row>
    <row r="15136" ht="15" customHeight="1" spans="1:28" x14ac:dyDescent="0.25">
      <c r="A15136" s="17" t="s">
        <v>40781</v>
      </c>
      <c r="B15136" s="17" t="s">
        <v>70</v>
      </c>
      <c r="C15136" s="17" t="s">
        <v>71</v>
      </c>
      <c r="D15136" t="s">
        <v>40782</v>
      </c>
      <c r="F15136" t="s">
        <v>2288</v>
      </c>
      <c r="J15136" t="s">
        <v>40783</v>
      </c>
      <c r="K15136" s="18" t="s">
        <v>40784</v>
      </c>
      <c r="N15136" s="17" t="s">
        <v>77</v>
      </c>
      <c r="O15136" t="s">
        <v>117</v>
      </c>
      <c r="V15136" s="18" t="s">
        <v>40784</v>
      </c>
      <c r="Y15136" t="s">
        <v>90</v>
      </c>
      <c r="AA15136" t="s">
        <v>118</v>
      </c>
      <c r="AB15136" t="s">
        <v>119</v>
      </c>
    </row>
    <row r="15137" ht="15" customHeight="1" spans="1:28" x14ac:dyDescent="0.25">
      <c r="A15137" s="17" t="s">
        <v>40785</v>
      </c>
      <c r="B15137" s="17" t="s">
        <v>70</v>
      </c>
      <c r="C15137" s="17" t="s">
        <v>71</v>
      </c>
      <c r="D15137" t="s">
        <v>40786</v>
      </c>
      <c r="F15137" t="s">
        <v>40786</v>
      </c>
      <c r="J15137" t="s">
        <v>115</v>
      </c>
      <c r="K15137" s="18" t="s">
        <v>40787</v>
      </c>
      <c r="N15137" s="17" t="s">
        <v>77</v>
      </c>
      <c r="O15137" t="s">
        <v>199</v>
      </c>
      <c r="U15137" s="17"/>
      <c r="V15137" s="18" t="s">
        <v>40787</v>
      </c>
      <c r="W15137" t="s">
        <v>40788</v>
      </c>
      <c r="Y15137" t="s">
        <v>90</v>
      </c>
      <c r="AA15137" t="s">
        <v>118</v>
      </c>
      <c r="AB15137" t="s">
        <v>119</v>
      </c>
    </row>
    <row r="15138" ht="15" customHeight="1" spans="1:22" x14ac:dyDescent="0.25">
      <c r="A15138" s="17" t="s">
        <v>40789</v>
      </c>
      <c r="B15138" s="17" t="s">
        <v>70</v>
      </c>
      <c r="C15138" s="17" t="s">
        <v>71</v>
      </c>
      <c r="D15138" t="s">
        <v>40790</v>
      </c>
      <c r="F15138" t="s">
        <v>4980</v>
      </c>
      <c r="K15138" s="18">
        <f>628161615999</f>
        <v>628161615999</v>
      </c>
      <c r="N15138" s="17" t="s">
        <v>77</v>
      </c>
      <c r="V15138" s="18">
        <f>628161615999</f>
        <v>628161615999</v>
      </c>
    </row>
    <row r="15139" ht="15" customHeight="1" spans="1:22" x14ac:dyDescent="0.25">
      <c r="A15139" s="17" t="s">
        <v>40791</v>
      </c>
      <c r="B15139" s="17" t="s">
        <v>70</v>
      </c>
      <c r="C15139" s="17" t="s">
        <v>71</v>
      </c>
      <c r="D15139" t="s">
        <v>40792</v>
      </c>
      <c r="F15139" t="s">
        <v>40793</v>
      </c>
      <c r="K15139" s="18">
        <f>62811832571</f>
        <v>62811832571</v>
      </c>
      <c r="N15139" s="17" t="s">
        <v>77</v>
      </c>
      <c r="V15139" s="18">
        <f>62811832571</f>
        <v>62811832571</v>
      </c>
    </row>
    <row r="15140" ht="15" customHeight="1" spans="1:22" x14ac:dyDescent="0.25">
      <c r="A15140" s="17" t="s">
        <v>40794</v>
      </c>
      <c r="B15140" s="17" t="s">
        <v>70</v>
      </c>
      <c r="C15140" s="17" t="s">
        <v>71</v>
      </c>
      <c r="D15140" t="s">
        <v>40795</v>
      </c>
      <c r="F15140" t="s">
        <v>40796</v>
      </c>
      <c r="K15140" s="18">
        <f>622139858144</f>
        <v>622139858144</v>
      </c>
      <c r="N15140" s="17" t="s">
        <v>77</v>
      </c>
      <c r="V15140" s="18">
        <f>622139858144</f>
        <v>622139858144</v>
      </c>
    </row>
    <row r="15141" ht="15" customHeight="1" spans="1:22" x14ac:dyDescent="0.25">
      <c r="A15141" s="17" t="s">
        <v>40797</v>
      </c>
      <c r="B15141" s="17" t="s">
        <v>70</v>
      </c>
      <c r="C15141" s="17" t="s">
        <v>71</v>
      </c>
      <c r="D15141" t="s">
        <v>40798</v>
      </c>
      <c r="F15141" t="s">
        <v>40798</v>
      </c>
      <c r="K15141" s="18">
        <f>628123601573</f>
        <v>628123601573</v>
      </c>
      <c r="N15141" s="17" t="s">
        <v>77</v>
      </c>
      <c r="V15141" s="18">
        <f>628123601573</f>
        <v>628123601573</v>
      </c>
    </row>
    <row r="15142" ht="15" customHeight="1" spans="1:28" x14ac:dyDescent="0.25">
      <c r="A15142" s="17" t="s">
        <v>40799</v>
      </c>
      <c r="B15142" s="17" t="s">
        <v>70</v>
      </c>
      <c r="C15142" s="17" t="s">
        <v>71</v>
      </c>
      <c r="D15142" t="s">
        <v>40800</v>
      </c>
      <c r="F15142" t="s">
        <v>1208</v>
      </c>
      <c r="J15142" t="s">
        <v>115</v>
      </c>
      <c r="K15142" s="18" t="s">
        <v>40801</v>
      </c>
      <c r="N15142" s="17" t="s">
        <v>77</v>
      </c>
      <c r="O15142" t="s">
        <v>261</v>
      </c>
      <c r="U15142" s="17"/>
      <c r="V15142" s="18" t="s">
        <v>40801</v>
      </c>
      <c r="W15142" t="s">
        <v>40802</v>
      </c>
      <c r="Y15142" s="17" t="s">
        <v>217</v>
      </c>
      <c r="AA15142" t="s">
        <v>218</v>
      </c>
      <c r="AB15142" t="s">
        <v>119</v>
      </c>
    </row>
    <row r="15143" ht="15" customHeight="1" spans="1:23" x14ac:dyDescent="0.25">
      <c r="A15143" s="17" t="s">
        <v>40803</v>
      </c>
      <c r="B15143" s="17" t="s">
        <v>70</v>
      </c>
      <c r="C15143" s="17" t="s">
        <v>71</v>
      </c>
      <c r="D15143" t="s">
        <v>40804</v>
      </c>
      <c r="F15143" t="s">
        <v>40805</v>
      </c>
      <c r="K15143" s="18">
        <f>628113883889</f>
        <v>628113883889</v>
      </c>
      <c r="N15143" s="17" t="s">
        <v>77</v>
      </c>
      <c r="U15143" s="17"/>
      <c r="V15143" s="18">
        <f>628113883889</f>
        <v>628113883889</v>
      </c>
      <c r="W15143" t="s">
        <v>40806</v>
      </c>
    </row>
    <row r="15144" ht="15" customHeight="1" spans="1:23" x14ac:dyDescent="0.25">
      <c r="A15144" s="17" t="s">
        <v>40807</v>
      </c>
      <c r="B15144" s="17" t="s">
        <v>70</v>
      </c>
      <c r="C15144" s="17" t="s">
        <v>71</v>
      </c>
      <c r="D15144" t="s">
        <v>40808</v>
      </c>
      <c r="F15144" t="s">
        <v>32687</v>
      </c>
      <c r="K15144" s="18">
        <f>6282161820810</f>
        <v>6282161820810</v>
      </c>
      <c r="N15144" s="17" t="s">
        <v>77</v>
      </c>
      <c r="U15144" s="17"/>
      <c r="V15144" s="18">
        <f>6282161820810</f>
        <v>6282161820810</v>
      </c>
      <c r="W15144" t="s">
        <v>40809</v>
      </c>
    </row>
    <row r="15145" ht="15" customHeight="1" spans="1:22" x14ac:dyDescent="0.25">
      <c r="A15145" s="17" t="s">
        <v>40810</v>
      </c>
      <c r="B15145" s="17" t="s">
        <v>70</v>
      </c>
      <c r="C15145" s="17" t="s">
        <v>71</v>
      </c>
      <c r="D15145" t="s">
        <v>40811</v>
      </c>
      <c r="F15145" t="s">
        <v>4259</v>
      </c>
      <c r="K15145" s="18">
        <f>6281288959269</f>
        <v>6281288959269</v>
      </c>
      <c r="N15145" s="17" t="s">
        <v>77</v>
      </c>
      <c r="V15145" s="18">
        <f>6281288959269</f>
        <v>6281288959269</v>
      </c>
    </row>
    <row r="15146" ht="15" customHeight="1" spans="1:28" x14ac:dyDescent="0.25">
      <c r="A15146" s="17" t="s">
        <v>40812</v>
      </c>
      <c r="B15146" s="17" t="s">
        <v>70</v>
      </c>
      <c r="C15146" s="17" t="s">
        <v>71</v>
      </c>
      <c r="D15146" t="s">
        <v>40813</v>
      </c>
      <c r="F15146" t="s">
        <v>1208</v>
      </c>
      <c r="J15146" t="s">
        <v>115</v>
      </c>
      <c r="K15146" s="18" t="s">
        <v>40814</v>
      </c>
      <c r="N15146" s="17" t="s">
        <v>77</v>
      </c>
      <c r="O15146" t="s">
        <v>1188</v>
      </c>
      <c r="V15146" s="18" t="s">
        <v>40814</v>
      </c>
      <c r="Y15146" t="s">
        <v>2877</v>
      </c>
      <c r="AA15146" t="s">
        <v>115</v>
      </c>
      <c r="AB15146" t="s">
        <v>119</v>
      </c>
    </row>
    <row r="15147" ht="15" customHeight="1" spans="1:28" x14ac:dyDescent="0.25">
      <c r="A15147" s="17" t="s">
        <v>40815</v>
      </c>
      <c r="B15147" s="17" t="s">
        <v>70</v>
      </c>
      <c r="C15147" s="17" t="s">
        <v>71</v>
      </c>
      <c r="D15147" t="s">
        <v>40816</v>
      </c>
      <c r="F15147" t="s">
        <v>40817</v>
      </c>
      <c r="J15147" s="17" t="s">
        <v>40818</v>
      </c>
      <c r="K15147" s="18" t="s">
        <v>40819</v>
      </c>
      <c r="N15147" s="17" t="s">
        <v>77</v>
      </c>
      <c r="O15147" t="s">
        <v>117</v>
      </c>
      <c r="U15147" s="17"/>
      <c r="V15147" s="18" t="s">
        <v>40819</v>
      </c>
      <c r="W15147" t="s">
        <v>40820</v>
      </c>
      <c r="Y15147" s="17" t="s">
        <v>190</v>
      </c>
      <c r="AA15147" t="s">
        <v>118</v>
      </c>
      <c r="AB15147" t="s">
        <v>119</v>
      </c>
    </row>
    <row r="15148" ht="15" customHeight="1" spans="1:28" x14ac:dyDescent="0.25">
      <c r="A15148" s="17" t="s">
        <v>40821</v>
      </c>
      <c r="B15148" s="17" t="s">
        <v>70</v>
      </c>
      <c r="C15148" s="17" t="s">
        <v>71</v>
      </c>
      <c r="D15148" t="s">
        <v>40822</v>
      </c>
      <c r="F15148" t="s">
        <v>2087</v>
      </c>
      <c r="J15148" t="s">
        <v>40823</v>
      </c>
      <c r="K15148" s="18" t="s">
        <v>40824</v>
      </c>
      <c r="N15148" s="17" t="s">
        <v>77</v>
      </c>
      <c r="O15148" t="s">
        <v>489</v>
      </c>
      <c r="V15148" s="18" t="s">
        <v>40824</v>
      </c>
      <c r="Y15148" t="s">
        <v>90</v>
      </c>
      <c r="AA15148" t="s">
        <v>118</v>
      </c>
      <c r="AB15148" t="s">
        <v>119</v>
      </c>
    </row>
    <row r="15149" ht="15" customHeight="1" spans="1:28" x14ac:dyDescent="0.25">
      <c r="A15149" s="17" t="s">
        <v>40825</v>
      </c>
      <c r="B15149" s="17" t="s">
        <v>70</v>
      </c>
      <c r="C15149" s="17" t="s">
        <v>71</v>
      </c>
      <c r="D15149" t="s">
        <v>40826</v>
      </c>
      <c r="F15149" t="s">
        <v>40827</v>
      </c>
      <c r="J15149" t="s">
        <v>115</v>
      </c>
      <c r="K15149" s="18" t="s">
        <v>40828</v>
      </c>
      <c r="N15149" s="17" t="s">
        <v>77</v>
      </c>
      <c r="O15149" t="s">
        <v>117</v>
      </c>
      <c r="V15149" s="18" t="s">
        <v>40828</v>
      </c>
      <c r="Y15149" t="s">
        <v>378</v>
      </c>
      <c r="AA15149" t="s">
        <v>118</v>
      </c>
      <c r="AB15149" t="s">
        <v>119</v>
      </c>
    </row>
    <row r="15150" ht="15" customHeight="1" spans="1:27" x14ac:dyDescent="0.25">
      <c r="A15150" s="17" t="s">
        <v>40829</v>
      </c>
      <c r="B15150" s="17" t="s">
        <v>70</v>
      </c>
      <c r="C15150" s="17" t="s">
        <v>71</v>
      </c>
      <c r="D15150" t="s">
        <v>40826</v>
      </c>
      <c r="F15150" t="s">
        <v>6549</v>
      </c>
      <c r="J15150" s="17" t="s">
        <v>40830</v>
      </c>
      <c r="K15150" s="18">
        <f>628112126612</f>
        <v>628112126612</v>
      </c>
      <c r="N15150" s="17" t="s">
        <v>77</v>
      </c>
      <c r="U15150" s="17"/>
      <c r="V15150" s="18">
        <f>628112126612</f>
        <v>628112126612</v>
      </c>
      <c r="W15150" t="s">
        <v>40831</v>
      </c>
      <c r="Y15150" s="17" t="s">
        <v>1794</v>
      </c>
      <c r="AA15150" s="17">
        <v>46211</v>
      </c>
    </row>
    <row r="15151" ht="15" customHeight="1" spans="1:22" x14ac:dyDescent="0.25">
      <c r="A15151" s="17" t="s">
        <v>40832</v>
      </c>
      <c r="B15151" s="17" t="s">
        <v>70</v>
      </c>
      <c r="C15151" s="17" t="s">
        <v>71</v>
      </c>
      <c r="D15151" t="s">
        <v>40826</v>
      </c>
      <c r="F15151" t="s">
        <v>23275</v>
      </c>
      <c r="K15151" s="18">
        <f>62818977379</f>
        <v>62818977379</v>
      </c>
      <c r="N15151" s="17" t="s">
        <v>81</v>
      </c>
      <c r="V15151" s="18">
        <f>62818977379</f>
        <v>62818977379</v>
      </c>
    </row>
    <row r="15152" ht="15" customHeight="1" spans="1:28" x14ac:dyDescent="0.25">
      <c r="A15152" s="17" t="s">
        <v>40833</v>
      </c>
      <c r="B15152" s="17" t="s">
        <v>70</v>
      </c>
      <c r="C15152" s="17" t="s">
        <v>71</v>
      </c>
      <c r="D15152" t="s">
        <v>9334</v>
      </c>
      <c r="F15152" t="s">
        <v>3976</v>
      </c>
      <c r="J15152" t="s">
        <v>40834</v>
      </c>
      <c r="K15152" s="18" t="s">
        <v>40835</v>
      </c>
      <c r="N15152" s="17" t="s">
        <v>77</v>
      </c>
      <c r="O15152" t="s">
        <v>117</v>
      </c>
      <c r="U15152" s="17"/>
      <c r="V15152" s="18" t="s">
        <v>40835</v>
      </c>
      <c r="W15152" t="s">
        <v>40836</v>
      </c>
      <c r="Y15152" t="s">
        <v>90</v>
      </c>
      <c r="AA15152" t="s">
        <v>118</v>
      </c>
      <c r="AB15152" t="s">
        <v>119</v>
      </c>
    </row>
    <row r="15153" ht="15" customHeight="1" spans="1:22" x14ac:dyDescent="0.25">
      <c r="A15153" s="17" t="s">
        <v>40837</v>
      </c>
      <c r="B15153" s="17" t="s">
        <v>70</v>
      </c>
      <c r="C15153" s="17" t="s">
        <v>71</v>
      </c>
      <c r="D15153" t="s">
        <v>40826</v>
      </c>
      <c r="F15153" t="s">
        <v>17090</v>
      </c>
      <c r="K15153" s="18">
        <f>628121800961</f>
        <v>628121800961</v>
      </c>
      <c r="N15153" s="17" t="s">
        <v>77</v>
      </c>
      <c r="V15153" s="18">
        <f>628121800961</f>
        <v>628121800961</v>
      </c>
    </row>
    <row r="15154" ht="15" customHeight="1" spans="1:28" x14ac:dyDescent="0.25">
      <c r="A15154" s="17" t="s">
        <v>40838</v>
      </c>
      <c r="B15154" s="17" t="s">
        <v>70</v>
      </c>
      <c r="C15154" s="17" t="s">
        <v>71</v>
      </c>
      <c r="D15154" t="s">
        <v>40839</v>
      </c>
      <c r="F15154" t="s">
        <v>40840</v>
      </c>
      <c r="J15154" t="s">
        <v>115</v>
      </c>
      <c r="K15154" s="18" t="s">
        <v>40841</v>
      </c>
      <c r="N15154" s="17" t="s">
        <v>77</v>
      </c>
      <c r="O15154" t="s">
        <v>117</v>
      </c>
      <c r="V15154" s="18" t="s">
        <v>40841</v>
      </c>
      <c r="Y15154" t="s">
        <v>90</v>
      </c>
      <c r="AA15154" t="s">
        <v>118</v>
      </c>
      <c r="AB15154" t="s">
        <v>119</v>
      </c>
    </row>
    <row r="15155" ht="15" customHeight="1" spans="1:25" x14ac:dyDescent="0.25">
      <c r="A15155" s="17" t="s">
        <v>40842</v>
      </c>
      <c r="B15155" s="17" t="s">
        <v>70</v>
      </c>
      <c r="C15155" s="17" t="s">
        <v>71</v>
      </c>
      <c r="D15155" t="s">
        <v>40843</v>
      </c>
      <c r="F15155" t="s">
        <v>25751</v>
      </c>
      <c r="K15155" s="18">
        <f>62816807586</f>
        <v>62816807586</v>
      </c>
      <c r="N15155" s="17" t="s">
        <v>77</v>
      </c>
      <c r="U15155" s="17"/>
      <c r="V15155" s="18">
        <f>62816807586</f>
        <v>62816807586</v>
      </c>
      <c r="W15155" t="s">
        <v>40844</v>
      </c>
      <c r="Y15155" s="17" t="s">
        <v>1084</v>
      </c>
    </row>
    <row r="15156" ht="15" customHeight="1" spans="1:22" x14ac:dyDescent="0.25">
      <c r="A15156" s="17" t="s">
        <v>40845</v>
      </c>
      <c r="B15156" s="17" t="s">
        <v>70</v>
      </c>
      <c r="C15156" s="17" t="s">
        <v>71</v>
      </c>
      <c r="D15156" t="s">
        <v>40846</v>
      </c>
      <c r="F15156" t="s">
        <v>672</v>
      </c>
      <c r="K15156" s="18">
        <f>6281290739888</f>
        <v>6281290739888</v>
      </c>
      <c r="N15156" s="17" t="s">
        <v>74</v>
      </c>
      <c r="V15156" s="18">
        <f>6281290739888</f>
        <v>6281290739888</v>
      </c>
    </row>
    <row r="15157" ht="15" customHeight="1" spans="1:23" x14ac:dyDescent="0.25">
      <c r="A15157" s="17" t="s">
        <v>40847</v>
      </c>
      <c r="B15157" s="17" t="s">
        <v>70</v>
      </c>
      <c r="C15157" s="17" t="s">
        <v>71</v>
      </c>
      <c r="D15157" t="s">
        <v>40848</v>
      </c>
      <c r="F15157" t="s">
        <v>31760</v>
      </c>
      <c r="K15157" s="18">
        <f>6281297970098</f>
        <v>6281297970098</v>
      </c>
      <c r="N15157" s="17" t="s">
        <v>81</v>
      </c>
      <c r="U15157" s="17"/>
      <c r="V15157" s="18">
        <f>6281297970098</f>
        <v>6281297970098</v>
      </c>
      <c r="W15157" t="s">
        <v>40849</v>
      </c>
    </row>
    <row r="15158" ht="15" customHeight="1" spans="1:22" x14ac:dyDescent="0.25">
      <c r="A15158" s="17" t="s">
        <v>40850</v>
      </c>
      <c r="B15158" s="17" t="s">
        <v>70</v>
      </c>
      <c r="C15158" s="17" t="s">
        <v>71</v>
      </c>
      <c r="D15158" t="s">
        <v>26685</v>
      </c>
      <c r="F15158" t="s">
        <v>26685</v>
      </c>
      <c r="K15158" s="18">
        <f>6282152577150</f>
        <v>6282152577150</v>
      </c>
      <c r="N15158" s="17" t="s">
        <v>81</v>
      </c>
      <c r="V15158" s="18">
        <f>6282152577150</f>
        <v>6282152577150</v>
      </c>
    </row>
    <row r="15159" ht="15" customHeight="1" spans="1:28" x14ac:dyDescent="0.25">
      <c r="A15159" s="17" t="s">
        <v>40851</v>
      </c>
      <c r="B15159" s="17" t="s">
        <v>70</v>
      </c>
      <c r="C15159" s="17" t="s">
        <v>71</v>
      </c>
      <c r="D15159" t="s">
        <v>26685</v>
      </c>
      <c r="F15159" t="s">
        <v>26685</v>
      </c>
      <c r="J15159" t="s">
        <v>40852</v>
      </c>
      <c r="K15159" s="18" t="s">
        <v>40853</v>
      </c>
      <c r="N15159" s="17" t="s">
        <v>77</v>
      </c>
      <c r="O15159" t="s">
        <v>117</v>
      </c>
      <c r="U15159" s="17"/>
      <c r="V15159" s="18" t="s">
        <v>40853</v>
      </c>
      <c r="W15159" t="s">
        <v>40854</v>
      </c>
      <c r="Y15159" t="s">
        <v>190</v>
      </c>
      <c r="AA15159" t="s">
        <v>118</v>
      </c>
      <c r="AB15159" t="s">
        <v>119</v>
      </c>
    </row>
    <row r="15160" ht="15" customHeight="1" spans="1:22" x14ac:dyDescent="0.25">
      <c r="A15160" s="17" t="s">
        <v>40855</v>
      </c>
      <c r="B15160" s="17" t="s">
        <v>70</v>
      </c>
      <c r="C15160" s="17" t="s">
        <v>71</v>
      </c>
      <c r="D15160" t="s">
        <v>26685</v>
      </c>
      <c r="F15160" t="s">
        <v>1738</v>
      </c>
      <c r="K15160" s="18">
        <v>81319233888</v>
      </c>
      <c r="N15160" s="17" t="s">
        <v>81</v>
      </c>
      <c r="V15160" s="18">
        <v>81319233888</v>
      </c>
    </row>
    <row r="15161" ht="15" customHeight="1" spans="1:28" x14ac:dyDescent="0.25">
      <c r="A15161" s="17" t="s">
        <v>40856</v>
      </c>
      <c r="B15161" s="17" t="s">
        <v>70</v>
      </c>
      <c r="C15161" s="17" t="s">
        <v>71</v>
      </c>
      <c r="D15161" t="s">
        <v>40857</v>
      </c>
      <c r="F15161" t="s">
        <v>40858</v>
      </c>
      <c r="J15161" t="s">
        <v>115</v>
      </c>
      <c r="K15161" s="18" t="s">
        <v>40859</v>
      </c>
      <c r="N15161" s="17" t="s">
        <v>77</v>
      </c>
      <c r="O15161" t="s">
        <v>117</v>
      </c>
      <c r="V15161" s="18" t="s">
        <v>40859</v>
      </c>
      <c r="Y15161" t="s">
        <v>190</v>
      </c>
      <c r="AA15161" t="s">
        <v>118</v>
      </c>
      <c r="AB15161" t="s">
        <v>119</v>
      </c>
    </row>
    <row r="15162" ht="15" customHeight="1" spans="1:27" x14ac:dyDescent="0.25">
      <c r="A15162" s="17" t="s">
        <v>40860</v>
      </c>
      <c r="B15162" s="17" t="s">
        <v>70</v>
      </c>
      <c r="C15162" s="17" t="s">
        <v>71</v>
      </c>
      <c r="D15162" t="s">
        <v>26685</v>
      </c>
      <c r="F15162" t="s">
        <v>629</v>
      </c>
      <c r="K15162" s="18">
        <f>62811886566</f>
        <v>62811886566</v>
      </c>
      <c r="N15162" s="17" t="s">
        <v>77</v>
      </c>
      <c r="U15162" s="17"/>
      <c r="V15162" s="18">
        <f>62811886566</f>
        <v>62811886566</v>
      </c>
      <c r="W15162" t="s">
        <v>40861</v>
      </c>
      <c r="Y15162" s="17" t="s">
        <v>90</v>
      </c>
      <c r="AA15162" s="17">
        <v>12110</v>
      </c>
    </row>
    <row r="15163" ht="15" customHeight="1" spans="1:22" x14ac:dyDescent="0.25">
      <c r="A15163" s="17" t="s">
        <v>40862</v>
      </c>
      <c r="B15163" s="17" t="s">
        <v>70</v>
      </c>
      <c r="C15163" s="17" t="s">
        <v>71</v>
      </c>
      <c r="D15163" t="s">
        <v>26685</v>
      </c>
      <c r="F15163" t="s">
        <v>40863</v>
      </c>
      <c r="K15163" s="18">
        <f>628176456789</f>
        <v>628176456789</v>
      </c>
      <c r="N15163" s="17" t="s">
        <v>77</v>
      </c>
      <c r="V15163" s="18">
        <f>628176456789</f>
        <v>628176456789</v>
      </c>
    </row>
    <row r="15164" ht="15" customHeight="1" spans="1:28" x14ac:dyDescent="0.25">
      <c r="A15164" s="17" t="s">
        <v>40864</v>
      </c>
      <c r="B15164" s="17" t="s">
        <v>70</v>
      </c>
      <c r="C15164" s="17" t="s">
        <v>71</v>
      </c>
      <c r="D15164" t="s">
        <v>26685</v>
      </c>
      <c r="F15164" t="s">
        <v>4882</v>
      </c>
      <c r="J15164" s="17" t="s">
        <v>40865</v>
      </c>
      <c r="K15164" s="18" t="s">
        <v>40866</v>
      </c>
      <c r="N15164" s="17" t="s">
        <v>81</v>
      </c>
      <c r="O15164" t="s">
        <v>117</v>
      </c>
      <c r="V15164" s="18" t="s">
        <v>40866</v>
      </c>
      <c r="Y15164" t="s">
        <v>190</v>
      </c>
      <c r="AA15164" t="s">
        <v>118</v>
      </c>
      <c r="AB15164" t="s">
        <v>119</v>
      </c>
    </row>
    <row r="15165" ht="15" customHeight="1" spans="1:23" x14ac:dyDescent="0.25">
      <c r="A15165" s="17" t="s">
        <v>40867</v>
      </c>
      <c r="B15165" s="17" t="s">
        <v>70</v>
      </c>
      <c r="C15165" s="17" t="s">
        <v>71</v>
      </c>
      <c r="D15165" t="s">
        <v>26685</v>
      </c>
      <c r="F15165" t="s">
        <v>18353</v>
      </c>
      <c r="K15165" s="18">
        <f>62811803633</f>
        <v>62811803633</v>
      </c>
      <c r="N15165" s="17" t="s">
        <v>74</v>
      </c>
      <c r="U15165" s="17"/>
      <c r="V15165" s="18">
        <f>62811803633</f>
        <v>62811803633</v>
      </c>
      <c r="W15165" t="s">
        <v>40868</v>
      </c>
    </row>
    <row r="15166" ht="15" customHeight="1" spans="1:28" x14ac:dyDescent="0.25">
      <c r="A15166" s="17" t="s">
        <v>40869</v>
      </c>
      <c r="B15166" s="17" t="s">
        <v>70</v>
      </c>
      <c r="C15166" s="17" t="s">
        <v>71</v>
      </c>
      <c r="D15166" t="s">
        <v>40870</v>
      </c>
      <c r="F15166" t="s">
        <v>40871</v>
      </c>
      <c r="J15166" t="s">
        <v>40872</v>
      </c>
      <c r="K15166" s="18" t="s">
        <v>40873</v>
      </c>
      <c r="N15166" s="17" t="s">
        <v>77</v>
      </c>
      <c r="O15166" t="s">
        <v>489</v>
      </c>
      <c r="U15166" s="17"/>
      <c r="V15166" s="18" t="s">
        <v>40873</v>
      </c>
      <c r="W15166" t="s">
        <v>40874</v>
      </c>
      <c r="Y15166" t="s">
        <v>190</v>
      </c>
      <c r="AA15166" t="s">
        <v>118</v>
      </c>
      <c r="AB15166" t="s">
        <v>119</v>
      </c>
    </row>
    <row r="15167" ht="15" customHeight="1" spans="1:25" x14ac:dyDescent="0.25">
      <c r="A15167" s="17" t="s">
        <v>40875</v>
      </c>
      <c r="B15167" s="17" t="s">
        <v>70</v>
      </c>
      <c r="C15167" s="17" t="s">
        <v>71</v>
      </c>
      <c r="D15167" t="s">
        <v>26685</v>
      </c>
      <c r="F15167" t="s">
        <v>40876</v>
      </c>
      <c r="J15167" s="17" t="s">
        <v>40877</v>
      </c>
      <c r="K15167" s="18">
        <f>6281282479580</f>
        <v>6281282479580</v>
      </c>
      <c r="N15167" s="17" t="s">
        <v>74</v>
      </c>
      <c r="U15167" s="17"/>
      <c r="V15167" s="18">
        <f>6281282479580</f>
        <v>6281282479580</v>
      </c>
      <c r="W15167" t="s">
        <v>40878</v>
      </c>
      <c r="Y15167" s="17" t="s">
        <v>1084</v>
      </c>
    </row>
    <row r="15168" ht="15" customHeight="1" spans="1:22" x14ac:dyDescent="0.25">
      <c r="A15168" s="17" t="s">
        <v>40879</v>
      </c>
      <c r="B15168" s="17" t="s">
        <v>70</v>
      </c>
      <c r="C15168" s="17" t="s">
        <v>71</v>
      </c>
      <c r="D15168" t="s">
        <v>40880</v>
      </c>
      <c r="F15168" t="s">
        <v>40881</v>
      </c>
      <c r="K15168" s="18">
        <f>6281254908482</f>
        <v>6281254908482</v>
      </c>
      <c r="N15168" s="17" t="s">
        <v>81</v>
      </c>
      <c r="V15168" s="18">
        <f>6281254908482</f>
        <v>6281254908482</v>
      </c>
    </row>
    <row r="15169" ht="15" customHeight="1" spans="1:28" x14ac:dyDescent="0.25">
      <c r="A15169" s="17" t="s">
        <v>40882</v>
      </c>
      <c r="B15169" s="17" t="s">
        <v>70</v>
      </c>
      <c r="C15169" s="17" t="s">
        <v>71</v>
      </c>
      <c r="D15169" t="s">
        <v>40883</v>
      </c>
      <c r="F15169" t="s">
        <v>40883</v>
      </c>
      <c r="J15169" t="s">
        <v>115</v>
      </c>
      <c r="K15169" s="18" t="s">
        <v>40884</v>
      </c>
      <c r="N15169" s="17" t="s">
        <v>77</v>
      </c>
      <c r="O15169" t="s">
        <v>145</v>
      </c>
      <c r="U15169" s="17"/>
      <c r="V15169" s="18" t="s">
        <v>40884</v>
      </c>
      <c r="W15169" t="s">
        <v>40885</v>
      </c>
      <c r="Y15169" s="17" t="s">
        <v>1157</v>
      </c>
      <c r="AA15169" t="s">
        <v>5957</v>
      </c>
      <c r="AB15169" t="s">
        <v>119</v>
      </c>
    </row>
    <row r="15170" ht="15" customHeight="1" spans="1:22" x14ac:dyDescent="0.25">
      <c r="A15170" s="17" t="s">
        <v>40886</v>
      </c>
      <c r="B15170" s="17" t="s">
        <v>70</v>
      </c>
      <c r="C15170" s="17" t="s">
        <v>71</v>
      </c>
      <c r="D15170" t="s">
        <v>40887</v>
      </c>
      <c r="F15170" t="s">
        <v>40887</v>
      </c>
      <c r="K15170" s="18">
        <f>628121319986</f>
        <v>628121319986</v>
      </c>
      <c r="N15170" s="17" t="s">
        <v>77</v>
      </c>
      <c r="V15170" s="18">
        <f>628121319986</f>
        <v>628121319986</v>
      </c>
    </row>
    <row r="15171" ht="15" customHeight="1" spans="1:22" x14ac:dyDescent="0.25">
      <c r="A15171" s="17" t="s">
        <v>40888</v>
      </c>
      <c r="B15171" s="17" t="s">
        <v>70</v>
      </c>
      <c r="C15171" s="17" t="s">
        <v>71</v>
      </c>
      <c r="D15171" t="s">
        <v>40887</v>
      </c>
      <c r="F15171" t="s">
        <v>40887</v>
      </c>
      <c r="K15171" s="18">
        <f>62628121319986</f>
        <v>62628121319986</v>
      </c>
      <c r="N15171" s="17" t="s">
        <v>77</v>
      </c>
      <c r="V15171" s="18">
        <f>62628121319986</f>
        <v>62628121319986</v>
      </c>
    </row>
    <row r="15172" ht="15" customHeight="1" spans="1:22" x14ac:dyDescent="0.25">
      <c r="A15172" s="17" t="s">
        <v>40889</v>
      </c>
      <c r="B15172" s="17" t="s">
        <v>70</v>
      </c>
      <c r="C15172" s="17" t="s">
        <v>71</v>
      </c>
      <c r="D15172" t="s">
        <v>40890</v>
      </c>
      <c r="F15172" t="s">
        <v>40890</v>
      </c>
      <c r="K15172" s="18">
        <f>6282114797766</f>
        <v>6282114797766</v>
      </c>
      <c r="N15172" s="17" t="s">
        <v>77</v>
      </c>
      <c r="V15172" s="18">
        <f>6282114797766</f>
        <v>6282114797766</v>
      </c>
    </row>
    <row r="15173" ht="15" customHeight="1" spans="1:22" x14ac:dyDescent="0.25">
      <c r="A15173" s="17" t="s">
        <v>40891</v>
      </c>
      <c r="B15173" s="17" t="s">
        <v>70</v>
      </c>
      <c r="C15173" s="17" t="s">
        <v>71</v>
      </c>
      <c r="D15173" t="s">
        <v>40890</v>
      </c>
      <c r="F15173" t="s">
        <v>40890</v>
      </c>
      <c r="K15173" s="18">
        <f>6287731336457</f>
        <v>6287731336457</v>
      </c>
      <c r="N15173" s="17" t="s">
        <v>77</v>
      </c>
      <c r="V15173" s="18">
        <f>6287731336457</f>
        <v>6287731336457</v>
      </c>
    </row>
    <row r="15174" ht="15" customHeight="1" spans="1:28" x14ac:dyDescent="0.25">
      <c r="A15174" s="17" t="s">
        <v>40892</v>
      </c>
      <c r="B15174" s="17" t="s">
        <v>70</v>
      </c>
      <c r="C15174" s="17" t="s">
        <v>71</v>
      </c>
      <c r="D15174" t="s">
        <v>40890</v>
      </c>
      <c r="F15174" t="s">
        <v>3954</v>
      </c>
      <c r="J15174" t="s">
        <v>115</v>
      </c>
      <c r="K15174" s="18" t="s">
        <v>40893</v>
      </c>
      <c r="N15174" s="17" t="s">
        <v>77</v>
      </c>
      <c r="O15174" t="s">
        <v>199</v>
      </c>
      <c r="U15174" s="17"/>
      <c r="V15174" s="18" t="s">
        <v>40893</v>
      </c>
      <c r="W15174" t="s">
        <v>40894</v>
      </c>
      <c r="Y15174" t="s">
        <v>1968</v>
      </c>
      <c r="AA15174" t="s">
        <v>1969</v>
      </c>
      <c r="AB15174" t="s">
        <v>119</v>
      </c>
    </row>
    <row r="15175" ht="15" customHeight="1" spans="1:22" x14ac:dyDescent="0.25">
      <c r="A15175" s="17" t="s">
        <v>40895</v>
      </c>
      <c r="B15175" s="17" t="s">
        <v>70</v>
      </c>
      <c r="C15175" s="17" t="s">
        <v>71</v>
      </c>
      <c r="D15175" t="s">
        <v>40896</v>
      </c>
      <c r="F15175" t="s">
        <v>40897</v>
      </c>
      <c r="K15175" s="18">
        <f>6282211112013</f>
        <v>6282211112013</v>
      </c>
      <c r="N15175" s="17" t="s">
        <v>81</v>
      </c>
      <c r="V15175" s="18">
        <f>6282211112013</f>
        <v>6282211112013</v>
      </c>
    </row>
    <row r="15176" ht="15" customHeight="1" spans="1:28" x14ac:dyDescent="0.25">
      <c r="A15176" s="17" t="s">
        <v>40898</v>
      </c>
      <c r="B15176" s="17" t="s">
        <v>70</v>
      </c>
      <c r="C15176" s="17" t="s">
        <v>71</v>
      </c>
      <c r="D15176" t="s">
        <v>40899</v>
      </c>
      <c r="F15176" t="s">
        <v>38597</v>
      </c>
      <c r="J15176" t="s">
        <v>115</v>
      </c>
      <c r="K15176" s="18" t="s">
        <v>40900</v>
      </c>
      <c r="N15176" s="17" t="s">
        <v>81</v>
      </c>
      <c r="O15176" t="s">
        <v>261</v>
      </c>
      <c r="V15176" s="18" t="s">
        <v>40900</v>
      </c>
      <c r="Y15176" t="s">
        <v>90</v>
      </c>
      <c r="AA15176" t="s">
        <v>118</v>
      </c>
      <c r="AB15176" t="s">
        <v>119</v>
      </c>
    </row>
    <row r="15177" ht="15" customHeight="1" spans="1:28" x14ac:dyDescent="0.25">
      <c r="A15177" s="17" t="s">
        <v>40901</v>
      </c>
      <c r="B15177" s="17" t="s">
        <v>70</v>
      </c>
      <c r="C15177" s="17" t="s">
        <v>71</v>
      </c>
      <c r="D15177" t="s">
        <v>40902</v>
      </c>
      <c r="F15177" t="s">
        <v>19877</v>
      </c>
      <c r="J15177" s="17" t="s">
        <v>40903</v>
      </c>
      <c r="K15177" s="18" t="s">
        <v>40904</v>
      </c>
      <c r="N15177" s="17" t="s">
        <v>77</v>
      </c>
      <c r="O15177" t="s">
        <v>145</v>
      </c>
      <c r="U15177" s="17"/>
      <c r="V15177" s="18" t="s">
        <v>40904</v>
      </c>
      <c r="W15177" t="s">
        <v>40905</v>
      </c>
      <c r="Y15177" s="17" t="s">
        <v>1707</v>
      </c>
      <c r="AA15177" s="17" t="s">
        <v>40906</v>
      </c>
      <c r="AB15177" t="s">
        <v>119</v>
      </c>
    </row>
    <row r="15178" ht="15" customHeight="1" spans="1:22" x14ac:dyDescent="0.25">
      <c r="A15178" s="17" t="s">
        <v>40907</v>
      </c>
      <c r="B15178" s="17" t="s">
        <v>70</v>
      </c>
      <c r="C15178" s="17" t="s">
        <v>71</v>
      </c>
      <c r="D15178" t="s">
        <v>40908</v>
      </c>
      <c r="F15178" t="s">
        <v>40909</v>
      </c>
      <c r="J15178" s="17" t="s">
        <v>40910</v>
      </c>
      <c r="K15178" s="18">
        <f>6281399393933</f>
        <v>6281399393933</v>
      </c>
      <c r="N15178" s="17" t="s">
        <v>77</v>
      </c>
      <c r="V15178" s="18">
        <f>6281399393933</f>
        <v>6281399393933</v>
      </c>
    </row>
    <row r="15179" ht="15" customHeight="1" spans="1:28" x14ac:dyDescent="0.25">
      <c r="A15179" s="17" t="s">
        <v>40911</v>
      </c>
      <c r="B15179" s="17" t="s">
        <v>70</v>
      </c>
      <c r="C15179" s="17" t="s">
        <v>71</v>
      </c>
      <c r="D15179" t="s">
        <v>40912</v>
      </c>
      <c r="F15179" t="s">
        <v>40912</v>
      </c>
      <c r="J15179" t="s">
        <v>115</v>
      </c>
      <c r="K15179" s="18" t="s">
        <v>40913</v>
      </c>
      <c r="N15179" s="17" t="s">
        <v>77</v>
      </c>
      <c r="O15179" t="s">
        <v>117</v>
      </c>
      <c r="V15179" s="18" t="s">
        <v>40913</v>
      </c>
      <c r="Y15179" t="s">
        <v>90</v>
      </c>
      <c r="AA15179" t="s">
        <v>118</v>
      </c>
      <c r="AB15179" t="s">
        <v>119</v>
      </c>
    </row>
    <row r="15180" ht="15" customHeight="1" spans="1:28" x14ac:dyDescent="0.25">
      <c r="A15180" s="17" t="s">
        <v>40914</v>
      </c>
      <c r="B15180" s="17" t="s">
        <v>70</v>
      </c>
      <c r="C15180" s="17" t="s">
        <v>71</v>
      </c>
      <c r="D15180" t="s">
        <v>40915</v>
      </c>
      <c r="F15180" t="s">
        <v>212</v>
      </c>
      <c r="J15180" t="s">
        <v>40916</v>
      </c>
      <c r="K15180" s="18" t="s">
        <v>40917</v>
      </c>
      <c r="N15180" s="17" t="s">
        <v>77</v>
      </c>
      <c r="O15180" t="s">
        <v>199</v>
      </c>
      <c r="V15180" s="18" t="s">
        <v>40917</v>
      </c>
      <c r="Y15180" t="s">
        <v>190</v>
      </c>
      <c r="AA15180" t="s">
        <v>118</v>
      </c>
      <c r="AB15180" t="s">
        <v>119</v>
      </c>
    </row>
    <row r="15181" ht="15" customHeight="1" spans="1:22" x14ac:dyDescent="0.25">
      <c r="A15181" s="17" t="s">
        <v>40918</v>
      </c>
      <c r="B15181" s="17" t="s">
        <v>70</v>
      </c>
      <c r="C15181" s="17" t="s">
        <v>71</v>
      </c>
      <c r="D15181" t="s">
        <v>40919</v>
      </c>
      <c r="F15181" t="s">
        <v>669</v>
      </c>
      <c r="K15181" s="18">
        <f>628119811050</f>
        <v>628119811050</v>
      </c>
      <c r="N15181" s="17" t="s">
        <v>81</v>
      </c>
      <c r="V15181" s="18">
        <f>628119811050</f>
        <v>628119811050</v>
      </c>
    </row>
    <row r="15182" ht="15" customHeight="1" spans="1:27" x14ac:dyDescent="0.25">
      <c r="A15182" s="17" t="s">
        <v>40920</v>
      </c>
      <c r="B15182" s="17" t="s">
        <v>70</v>
      </c>
      <c r="C15182" s="17" t="s">
        <v>71</v>
      </c>
      <c r="D15182" t="s">
        <v>28058</v>
      </c>
      <c r="F15182" t="s">
        <v>28058</v>
      </c>
      <c r="J15182" s="17" t="s">
        <v>40921</v>
      </c>
      <c r="K15182" s="18">
        <f>628127588833</f>
        <v>628127588833</v>
      </c>
      <c r="N15182" s="17" t="s">
        <v>74</v>
      </c>
      <c r="U15182" s="17"/>
      <c r="V15182" s="18">
        <f>628127588833</f>
        <v>628127588833</v>
      </c>
      <c r="W15182" t="s">
        <v>40922</v>
      </c>
      <c r="AA15182" s="17">
        <v>28292</v>
      </c>
    </row>
    <row r="15183" ht="15" customHeight="1" spans="1:27" x14ac:dyDescent="0.25">
      <c r="A15183" s="17" t="s">
        <v>40923</v>
      </c>
      <c r="B15183" s="17" t="s">
        <v>70</v>
      </c>
      <c r="C15183" s="17" t="s">
        <v>71</v>
      </c>
      <c r="D15183" t="s">
        <v>28058</v>
      </c>
      <c r="F15183" t="s">
        <v>28058</v>
      </c>
      <c r="K15183" s="18">
        <f>628115702525</f>
        <v>628115702525</v>
      </c>
      <c r="N15183" s="17" t="s">
        <v>77</v>
      </c>
      <c r="U15183" s="17"/>
      <c r="V15183" s="18">
        <f>628115702525</f>
        <v>628115702525</v>
      </c>
      <c r="W15183" t="s">
        <v>40924</v>
      </c>
      <c r="Y15183" s="17" t="s">
        <v>1151</v>
      </c>
      <c r="AA15183" s="17">
        <v>78117</v>
      </c>
    </row>
    <row r="15184" ht="15" customHeight="1" spans="1:22" x14ac:dyDescent="0.25">
      <c r="A15184" s="17" t="s">
        <v>40925</v>
      </c>
      <c r="B15184" s="17" t="s">
        <v>70</v>
      </c>
      <c r="C15184" s="17" t="s">
        <v>71</v>
      </c>
      <c r="D15184" t="s">
        <v>28058</v>
      </c>
      <c r="F15184" t="s">
        <v>2073</v>
      </c>
      <c r="J15184" s="17" t="s">
        <v>40926</v>
      </c>
      <c r="K15184" s="18">
        <f>6282283800028</f>
        <v>6282283800028</v>
      </c>
      <c r="N15184" s="17" t="s">
        <v>77</v>
      </c>
      <c r="V15184" s="18">
        <f>6282283800028</f>
        <v>6282283800028</v>
      </c>
    </row>
    <row r="15185" ht="15" customHeight="1" spans="1:27" x14ac:dyDescent="0.25">
      <c r="A15185" s="17" t="s">
        <v>40927</v>
      </c>
      <c r="B15185" s="17" t="s">
        <v>70</v>
      </c>
      <c r="C15185" s="17" t="s">
        <v>71</v>
      </c>
      <c r="D15185" t="s">
        <v>28058</v>
      </c>
      <c r="F15185" t="s">
        <v>851</v>
      </c>
      <c r="K15185" s="18">
        <f>628581639579</f>
        <v>628581639579</v>
      </c>
      <c r="N15185" s="17" t="s">
        <v>81</v>
      </c>
      <c r="U15185" s="17"/>
      <c r="V15185" s="18">
        <f>628581639579</f>
        <v>628581639579</v>
      </c>
      <c r="W15185" t="s">
        <v>40928</v>
      </c>
      <c r="AA15185" s="17">
        <v>319582</v>
      </c>
    </row>
    <row r="15186" ht="15" customHeight="1" spans="1:25" x14ac:dyDescent="0.25">
      <c r="A15186" s="17" t="s">
        <v>40929</v>
      </c>
      <c r="B15186" s="17" t="s">
        <v>70</v>
      </c>
      <c r="C15186" s="17" t="s">
        <v>71</v>
      </c>
      <c r="D15186" t="s">
        <v>28058</v>
      </c>
      <c r="F15186" t="s">
        <v>40930</v>
      </c>
      <c r="K15186" s="18">
        <f>62811137584</f>
        <v>62811137584</v>
      </c>
      <c r="N15186" s="17" t="s">
        <v>77</v>
      </c>
      <c r="U15186" s="17"/>
      <c r="V15186" s="18">
        <f>62811137584</f>
        <v>62811137584</v>
      </c>
      <c r="W15186" t="s">
        <v>40931</v>
      </c>
      <c r="Y15186" s="17" t="s">
        <v>1084</v>
      </c>
    </row>
    <row r="15187" ht="15" customHeight="1" spans="1:25" x14ac:dyDescent="0.25">
      <c r="A15187" s="17" t="s">
        <v>40932</v>
      </c>
      <c r="B15187" s="17" t="s">
        <v>70</v>
      </c>
      <c r="C15187" s="17" t="s">
        <v>71</v>
      </c>
      <c r="D15187" t="s">
        <v>28058</v>
      </c>
      <c r="F15187" t="s">
        <v>40933</v>
      </c>
      <c r="K15187" s="18">
        <f>6281703082323</f>
        <v>6281703082323</v>
      </c>
      <c r="N15187" s="17" t="s">
        <v>77</v>
      </c>
      <c r="U15187" s="17"/>
      <c r="V15187" s="18">
        <f>6281703082323</f>
        <v>6281703082323</v>
      </c>
      <c r="W15187" t="s">
        <v>40934</v>
      </c>
      <c r="Y15187" s="17" t="s">
        <v>704</v>
      </c>
    </row>
    <row r="15188" ht="15" customHeight="1" spans="1:28" x14ac:dyDescent="0.25">
      <c r="A15188" s="17" t="s">
        <v>40935</v>
      </c>
      <c r="B15188" s="17" t="s">
        <v>70</v>
      </c>
      <c r="C15188" s="17" t="s">
        <v>71</v>
      </c>
      <c r="D15188" t="s">
        <v>28058</v>
      </c>
      <c r="F15188" t="s">
        <v>19004</v>
      </c>
      <c r="J15188" t="s">
        <v>115</v>
      </c>
      <c r="K15188" s="18" t="s">
        <v>40936</v>
      </c>
      <c r="N15188" s="17" t="s">
        <v>81</v>
      </c>
      <c r="O15188" t="s">
        <v>117</v>
      </c>
      <c r="V15188" s="18" t="s">
        <v>40936</v>
      </c>
      <c r="Y15188" t="s">
        <v>90</v>
      </c>
      <c r="AA15188" t="s">
        <v>118</v>
      </c>
      <c r="AB15188" t="s">
        <v>119</v>
      </c>
    </row>
    <row r="15189" ht="15" customHeight="1" spans="1:23" x14ac:dyDescent="0.25">
      <c r="A15189" s="17" t="s">
        <v>40937</v>
      </c>
      <c r="B15189" s="17" t="s">
        <v>70</v>
      </c>
      <c r="C15189" s="17" t="s">
        <v>71</v>
      </c>
      <c r="D15189" t="s">
        <v>28058</v>
      </c>
      <c r="F15189" t="s">
        <v>25904</v>
      </c>
      <c r="J15189" s="17" t="s">
        <v>40938</v>
      </c>
      <c r="K15189" s="18">
        <f>6281310227270</f>
        <v>6281310227270</v>
      </c>
      <c r="N15189" s="17" t="s">
        <v>77</v>
      </c>
      <c r="U15189" s="17"/>
      <c r="V15189" s="18">
        <f>6281310227270</f>
        <v>6281310227270</v>
      </c>
      <c r="W15189" t="s">
        <v>40939</v>
      </c>
    </row>
    <row r="15190" ht="15" customHeight="1" spans="1:28" x14ac:dyDescent="0.25">
      <c r="A15190" s="17" t="s">
        <v>40940</v>
      </c>
      <c r="B15190" s="17" t="s">
        <v>70</v>
      </c>
      <c r="C15190" s="17" t="s">
        <v>71</v>
      </c>
      <c r="D15190" t="s">
        <v>28058</v>
      </c>
      <c r="F15190" t="s">
        <v>1208</v>
      </c>
      <c r="J15190" s="17" t="s">
        <v>40941</v>
      </c>
      <c r="K15190" s="18" t="s">
        <v>40942</v>
      </c>
      <c r="N15190" s="17" t="s">
        <v>77</v>
      </c>
      <c r="O15190" t="s">
        <v>117</v>
      </c>
      <c r="U15190" s="17"/>
      <c r="V15190" s="18" t="s">
        <v>40942</v>
      </c>
      <c r="W15190" t="s">
        <v>40943</v>
      </c>
      <c r="Y15190" s="17" t="s">
        <v>90</v>
      </c>
      <c r="AA15190" t="s">
        <v>118</v>
      </c>
      <c r="AB15190" t="s">
        <v>119</v>
      </c>
    </row>
    <row r="15191" ht="15" customHeight="1" spans="1:23" x14ac:dyDescent="0.25">
      <c r="A15191" s="17" t="s">
        <v>40944</v>
      </c>
      <c r="B15191" s="17" t="s">
        <v>70</v>
      </c>
      <c r="C15191" s="17" t="s">
        <v>71</v>
      </c>
      <c r="D15191" t="s">
        <v>28058</v>
      </c>
      <c r="F15191" t="s">
        <v>40945</v>
      </c>
      <c r="K15191" s="18">
        <f>6281311158143</f>
        <v>6281311158143</v>
      </c>
      <c r="N15191" s="17" t="s">
        <v>81</v>
      </c>
      <c r="U15191" s="17"/>
      <c r="V15191" s="18">
        <f>6281311158143</f>
        <v>6281311158143</v>
      </c>
      <c r="W15191" t="s">
        <v>40946</v>
      </c>
    </row>
    <row r="15192" ht="15" customHeight="1" spans="1:22" x14ac:dyDescent="0.25">
      <c r="A15192" s="17" t="s">
        <v>40947</v>
      </c>
      <c r="B15192" s="17" t="s">
        <v>70</v>
      </c>
      <c r="C15192" s="17" t="s">
        <v>71</v>
      </c>
      <c r="D15192" t="s">
        <v>28058</v>
      </c>
      <c r="F15192" t="s">
        <v>40948</v>
      </c>
      <c r="K15192" s="18">
        <f>6282218527795</f>
        <v>6282218527795</v>
      </c>
      <c r="N15192" s="17" t="s">
        <v>81</v>
      </c>
      <c r="V15192" s="18">
        <f>6282218527795</f>
        <v>6282218527795</v>
      </c>
    </row>
    <row r="15193" ht="15" customHeight="1" spans="1:28" x14ac:dyDescent="0.25">
      <c r="A15193" s="17" t="s">
        <v>40949</v>
      </c>
      <c r="B15193" s="17" t="s">
        <v>70</v>
      </c>
      <c r="C15193" s="17" t="s">
        <v>71</v>
      </c>
      <c r="D15193" t="s">
        <v>28058</v>
      </c>
      <c r="F15193" t="s">
        <v>153</v>
      </c>
      <c r="J15193" t="s">
        <v>115</v>
      </c>
      <c r="K15193" s="18" t="s">
        <v>40950</v>
      </c>
      <c r="N15193" s="17" t="s">
        <v>77</v>
      </c>
      <c r="O15193" t="s">
        <v>1188</v>
      </c>
      <c r="U15193" s="17"/>
      <c r="V15193" s="18" t="s">
        <v>40950</v>
      </c>
      <c r="W15193" t="s">
        <v>40951</v>
      </c>
      <c r="Y15193" s="17" t="s">
        <v>1084</v>
      </c>
      <c r="AA15193" s="17" t="s">
        <v>3146</v>
      </c>
      <c r="AB15193" t="s">
        <v>119</v>
      </c>
    </row>
    <row r="15194" ht="15" customHeight="1" spans="1:28" x14ac:dyDescent="0.25">
      <c r="A15194" s="17" t="s">
        <v>40952</v>
      </c>
      <c r="B15194" s="17" t="s">
        <v>70</v>
      </c>
      <c r="C15194" s="17" t="s">
        <v>71</v>
      </c>
      <c r="D15194" t="s">
        <v>28058</v>
      </c>
      <c r="F15194" t="s">
        <v>15209</v>
      </c>
      <c r="J15194" t="s">
        <v>40953</v>
      </c>
      <c r="K15194" s="18" t="s">
        <v>40954</v>
      </c>
      <c r="N15194" s="17" t="s">
        <v>77</v>
      </c>
      <c r="O15194" t="s">
        <v>145</v>
      </c>
      <c r="V15194" s="18" t="s">
        <v>40954</v>
      </c>
      <c r="Y15194" t="s">
        <v>190</v>
      </c>
      <c r="AA15194" t="s">
        <v>118</v>
      </c>
      <c r="AB15194" t="s">
        <v>119</v>
      </c>
    </row>
    <row r="15195" ht="15" customHeight="1" spans="1:28" x14ac:dyDescent="0.25">
      <c r="A15195" s="17" t="s">
        <v>40955</v>
      </c>
      <c r="B15195" s="17" t="s">
        <v>70</v>
      </c>
      <c r="C15195" s="17" t="s">
        <v>71</v>
      </c>
      <c r="D15195" t="s">
        <v>28058</v>
      </c>
      <c r="F15195" t="s">
        <v>19621</v>
      </c>
      <c r="J15195" t="s">
        <v>115</v>
      </c>
      <c r="K15195" s="18" t="s">
        <v>40956</v>
      </c>
      <c r="N15195" s="17" t="s">
        <v>77</v>
      </c>
      <c r="O15195" t="s">
        <v>199</v>
      </c>
      <c r="V15195" s="18" t="s">
        <v>40956</v>
      </c>
      <c r="Y15195" t="s">
        <v>90</v>
      </c>
      <c r="AA15195" t="s">
        <v>118</v>
      </c>
      <c r="AB15195" t="s">
        <v>119</v>
      </c>
    </row>
    <row r="15196" ht="15" customHeight="1" spans="1:27" x14ac:dyDescent="0.25">
      <c r="A15196" s="17" t="s">
        <v>40957</v>
      </c>
      <c r="B15196" s="17" t="s">
        <v>70</v>
      </c>
      <c r="C15196" s="17" t="s">
        <v>71</v>
      </c>
      <c r="D15196" t="s">
        <v>28058</v>
      </c>
      <c r="F15196" t="s">
        <v>20934</v>
      </c>
      <c r="J15196" s="17" t="s">
        <v>40958</v>
      </c>
      <c r="K15196" s="18">
        <f>628121922777</f>
        <v>628121922777</v>
      </c>
      <c r="N15196" s="17" t="s">
        <v>77</v>
      </c>
      <c r="U15196" s="17"/>
      <c r="V15196" s="18">
        <f>628121922777</f>
        <v>628121922777</v>
      </c>
      <c r="W15196" t="s">
        <v>40959</v>
      </c>
      <c r="Y15196" s="17" t="s">
        <v>90</v>
      </c>
      <c r="AA15196" s="17">
        <v>12210</v>
      </c>
    </row>
    <row r="15197" ht="15" customHeight="1" spans="1:23" x14ac:dyDescent="0.25">
      <c r="A15197" s="17" t="s">
        <v>40960</v>
      </c>
      <c r="B15197" s="17" t="s">
        <v>70</v>
      </c>
      <c r="C15197" s="17" t="s">
        <v>71</v>
      </c>
      <c r="D15197" t="s">
        <v>10978</v>
      </c>
      <c r="F15197" t="s">
        <v>26549</v>
      </c>
      <c r="K15197" s="18">
        <f>6281232631200</f>
        <v>6281232631200</v>
      </c>
      <c r="N15197" s="17" t="s">
        <v>81</v>
      </c>
      <c r="U15197" s="17"/>
      <c r="V15197" s="18">
        <f>6281232631200</f>
        <v>6281232631200</v>
      </c>
      <c r="W15197" t="s">
        <v>40961</v>
      </c>
    </row>
    <row r="15198" ht="15" customHeight="1" spans="1:22" x14ac:dyDescent="0.25">
      <c r="A15198" s="17" t="s">
        <v>40962</v>
      </c>
      <c r="B15198" s="17" t="s">
        <v>70</v>
      </c>
      <c r="C15198" s="17" t="s">
        <v>71</v>
      </c>
      <c r="D15198" t="s">
        <v>10978</v>
      </c>
      <c r="F15198" t="s">
        <v>9581</v>
      </c>
      <c r="J15198" s="17" t="s">
        <v>40963</v>
      </c>
      <c r="K15198" s="18">
        <f>628111463910</f>
        <v>628111463910</v>
      </c>
      <c r="N15198" s="17" t="s">
        <v>81</v>
      </c>
      <c r="V15198" s="18">
        <f>628111463910</f>
        <v>628111463910</v>
      </c>
    </row>
    <row r="15199" ht="15" customHeight="1" spans="1:28" x14ac:dyDescent="0.25">
      <c r="A15199" s="17" t="s">
        <v>40964</v>
      </c>
      <c r="B15199" s="17" t="s">
        <v>70</v>
      </c>
      <c r="C15199" s="17" t="s">
        <v>71</v>
      </c>
      <c r="D15199" t="s">
        <v>10978</v>
      </c>
      <c r="F15199" t="s">
        <v>40965</v>
      </c>
      <c r="J15199" s="17" t="s">
        <v>40966</v>
      </c>
      <c r="K15199" s="18" t="s">
        <v>40967</v>
      </c>
      <c r="N15199" s="17" t="s">
        <v>77</v>
      </c>
      <c r="O15199" t="s">
        <v>489</v>
      </c>
      <c r="U15199" s="17"/>
      <c r="V15199" s="18" t="s">
        <v>40967</v>
      </c>
      <c r="W15199" t="s">
        <v>40968</v>
      </c>
      <c r="Y15199" t="s">
        <v>1091</v>
      </c>
      <c r="AA15199" s="17" t="s">
        <v>40969</v>
      </c>
      <c r="AB15199" t="s">
        <v>119</v>
      </c>
    </row>
    <row r="15200" ht="15" customHeight="1" spans="1:27" x14ac:dyDescent="0.25">
      <c r="A15200" s="17" t="s">
        <v>40970</v>
      </c>
      <c r="B15200" s="17" t="s">
        <v>70</v>
      </c>
      <c r="C15200" s="17" t="s">
        <v>71</v>
      </c>
      <c r="D15200" t="s">
        <v>40971</v>
      </c>
      <c r="F15200" t="s">
        <v>40971</v>
      </c>
      <c r="K15200" s="18">
        <v>7541143</v>
      </c>
      <c r="N15200" s="17" t="s">
        <v>77</v>
      </c>
      <c r="U15200" s="17"/>
      <c r="V15200" s="18">
        <v>7541143</v>
      </c>
      <c r="W15200" t="s">
        <v>40972</v>
      </c>
      <c r="Y15200" s="17" t="s">
        <v>96</v>
      </c>
      <c r="AA15200" s="17" t="s">
        <v>29977</v>
      </c>
    </row>
    <row r="15201" ht="15" customHeight="1" spans="1:22" x14ac:dyDescent="0.25">
      <c r="A15201" s="17" t="s">
        <v>40973</v>
      </c>
      <c r="B15201" s="17" t="s">
        <v>70</v>
      </c>
      <c r="C15201" s="17" t="s">
        <v>71</v>
      </c>
      <c r="D15201" t="s">
        <v>40974</v>
      </c>
      <c r="F15201" t="s">
        <v>40975</v>
      </c>
      <c r="K15201" s="18">
        <f>628119402234</f>
        <v>628119402234</v>
      </c>
      <c r="N15201" s="17" t="s">
        <v>77</v>
      </c>
      <c r="V15201" s="18">
        <f>628119402234</f>
        <v>628119402234</v>
      </c>
    </row>
    <row r="15202" ht="15" customHeight="1" spans="1:28" x14ac:dyDescent="0.25">
      <c r="A15202" s="17" t="s">
        <v>40976</v>
      </c>
      <c r="B15202" s="17" t="s">
        <v>70</v>
      </c>
      <c r="C15202" s="17" t="s">
        <v>71</v>
      </c>
      <c r="D15202" t="s">
        <v>40977</v>
      </c>
      <c r="F15202" t="s">
        <v>40978</v>
      </c>
      <c r="J15202" t="s">
        <v>115</v>
      </c>
      <c r="K15202" s="18" t="s">
        <v>40979</v>
      </c>
      <c r="N15202" s="17" t="s">
        <v>77</v>
      </c>
      <c r="O15202" t="s">
        <v>489</v>
      </c>
      <c r="V15202" s="18" t="s">
        <v>40979</v>
      </c>
      <c r="Y15202" t="s">
        <v>90</v>
      </c>
      <c r="AA15202" t="s">
        <v>118</v>
      </c>
      <c r="AB15202" t="s">
        <v>119</v>
      </c>
    </row>
    <row r="15203" ht="15" customHeight="1" spans="1:28" x14ac:dyDescent="0.25">
      <c r="A15203" s="17" t="s">
        <v>40980</v>
      </c>
      <c r="B15203" s="17" t="s">
        <v>70</v>
      </c>
      <c r="C15203" s="17" t="s">
        <v>71</v>
      </c>
      <c r="D15203" t="s">
        <v>40981</v>
      </c>
      <c r="F15203" t="s">
        <v>40982</v>
      </c>
      <c r="J15203" t="s">
        <v>115</v>
      </c>
      <c r="K15203" s="18" t="s">
        <v>40983</v>
      </c>
      <c r="N15203" s="17" t="s">
        <v>77</v>
      </c>
      <c r="O15203" t="s">
        <v>261</v>
      </c>
      <c r="U15203" s="17"/>
      <c r="V15203" s="18" t="s">
        <v>40983</v>
      </c>
      <c r="W15203" t="s">
        <v>6190</v>
      </c>
      <c r="Y15203" t="s">
        <v>181</v>
      </c>
      <c r="AA15203" t="s">
        <v>1672</v>
      </c>
      <c r="AB15203" t="s">
        <v>119</v>
      </c>
    </row>
    <row r="15204" ht="15" customHeight="1" spans="1:22" x14ac:dyDescent="0.25">
      <c r="A15204" s="17" t="s">
        <v>40984</v>
      </c>
      <c r="B15204" s="17" t="s">
        <v>70</v>
      </c>
      <c r="C15204" s="17" t="s">
        <v>71</v>
      </c>
      <c r="D15204" t="s">
        <v>40985</v>
      </c>
      <c r="F15204" t="s">
        <v>883</v>
      </c>
      <c r="K15204" s="18">
        <f>62818910218</f>
        <v>62818910218</v>
      </c>
      <c r="N15204" s="17" t="s">
        <v>74</v>
      </c>
      <c r="V15204" s="18">
        <f>62818910218</f>
        <v>62818910218</v>
      </c>
    </row>
    <row r="15205" ht="15" customHeight="1" spans="1:25" x14ac:dyDescent="0.25">
      <c r="A15205" s="17" t="s">
        <v>40986</v>
      </c>
      <c r="B15205" s="17" t="s">
        <v>70</v>
      </c>
      <c r="C15205" s="17" t="s">
        <v>71</v>
      </c>
      <c r="D15205" t="s">
        <v>40987</v>
      </c>
      <c r="F15205" t="s">
        <v>40988</v>
      </c>
      <c r="K15205" s="18">
        <f>6281510956644</f>
        <v>6281510956644</v>
      </c>
      <c r="N15205" s="17" t="s">
        <v>77</v>
      </c>
      <c r="U15205" s="17"/>
      <c r="V15205" s="18">
        <f>6281510956644</f>
        <v>6281510956644</v>
      </c>
      <c r="W15205" t="s">
        <v>40989</v>
      </c>
      <c r="Y15205" s="17" t="s">
        <v>90</v>
      </c>
    </row>
    <row r="15206" ht="15" customHeight="1" spans="1:28" x14ac:dyDescent="0.25">
      <c r="A15206" s="17" t="s">
        <v>40990</v>
      </c>
      <c r="B15206" s="17" t="s">
        <v>70</v>
      </c>
      <c r="C15206" s="17" t="s">
        <v>71</v>
      </c>
      <c r="D15206" t="s">
        <v>5788</v>
      </c>
      <c r="F15206" t="s">
        <v>2153</v>
      </c>
      <c r="J15206" s="17" t="s">
        <v>40991</v>
      </c>
      <c r="K15206" s="18" t="s">
        <v>40992</v>
      </c>
      <c r="N15206" s="17" t="s">
        <v>77</v>
      </c>
      <c r="O15206" t="s">
        <v>145</v>
      </c>
      <c r="U15206" s="17"/>
      <c r="V15206" s="18" t="s">
        <v>40992</v>
      </c>
      <c r="W15206" t="s">
        <v>40993</v>
      </c>
      <c r="Y15206" t="s">
        <v>90</v>
      </c>
      <c r="AA15206" t="s">
        <v>118</v>
      </c>
      <c r="AB15206" t="s">
        <v>119</v>
      </c>
    </row>
    <row r="15207" ht="15" customHeight="1" spans="1:25" x14ac:dyDescent="0.25">
      <c r="A15207" s="17" t="s">
        <v>40994</v>
      </c>
      <c r="B15207" s="17" t="s">
        <v>70</v>
      </c>
      <c r="C15207" s="17" t="s">
        <v>71</v>
      </c>
      <c r="D15207" t="s">
        <v>5788</v>
      </c>
      <c r="F15207" t="s">
        <v>40995</v>
      </c>
      <c r="J15207" s="17" t="s">
        <v>40996</v>
      </c>
      <c r="K15207" s="18">
        <f>628111553095</f>
        <v>628111553095</v>
      </c>
      <c r="N15207" s="17" t="s">
        <v>77</v>
      </c>
      <c r="U15207" s="17"/>
      <c r="V15207" s="18">
        <f>628111553095</f>
        <v>628111553095</v>
      </c>
      <c r="W15207" t="s">
        <v>40997</v>
      </c>
      <c r="Y15207" s="17" t="s">
        <v>626</v>
      </c>
    </row>
    <row r="15208" ht="15" customHeight="1" spans="1:28" x14ac:dyDescent="0.25">
      <c r="A15208" s="17" t="s">
        <v>40998</v>
      </c>
      <c r="B15208" s="17" t="s">
        <v>70</v>
      </c>
      <c r="C15208" s="17" t="s">
        <v>71</v>
      </c>
      <c r="D15208" t="s">
        <v>5788</v>
      </c>
      <c r="F15208" t="s">
        <v>40999</v>
      </c>
      <c r="J15208" s="17" t="s">
        <v>41000</v>
      </c>
      <c r="K15208" s="18" t="s">
        <v>41001</v>
      </c>
      <c r="N15208" s="17" t="s">
        <v>77</v>
      </c>
      <c r="O15208" t="s">
        <v>145</v>
      </c>
      <c r="V15208" s="18" t="s">
        <v>41001</v>
      </c>
      <c r="Y15208" t="s">
        <v>90</v>
      </c>
      <c r="AA15208" t="s">
        <v>118</v>
      </c>
      <c r="AB15208" t="s">
        <v>119</v>
      </c>
    </row>
    <row r="15209" ht="15" customHeight="1" spans="1:22" x14ac:dyDescent="0.25">
      <c r="A15209" s="17" t="s">
        <v>41002</v>
      </c>
      <c r="B15209" s="17" t="s">
        <v>70</v>
      </c>
      <c r="C15209" s="17" t="s">
        <v>71</v>
      </c>
      <c r="D15209" t="s">
        <v>41003</v>
      </c>
      <c r="F15209" t="s">
        <v>20469</v>
      </c>
      <c r="K15209" s="18">
        <f>6281908888521</f>
        <v>6281908888521</v>
      </c>
      <c r="N15209" s="17" t="s">
        <v>81</v>
      </c>
      <c r="V15209" s="18">
        <f>6281908888521</f>
        <v>6281908888521</v>
      </c>
    </row>
    <row r="15210" ht="15" customHeight="1" spans="1:22" x14ac:dyDescent="0.25">
      <c r="A15210" s="17" t="s">
        <v>41004</v>
      </c>
      <c r="B15210" s="17" t="s">
        <v>70</v>
      </c>
      <c r="C15210" s="17" t="s">
        <v>71</v>
      </c>
      <c r="D15210" t="s">
        <v>41005</v>
      </c>
      <c r="F15210" t="s">
        <v>41005</v>
      </c>
      <c r="K15210" s="18">
        <f>6281322957858</f>
        <v>6281322957858</v>
      </c>
      <c r="N15210" s="17" t="s">
        <v>81</v>
      </c>
      <c r="V15210" s="18">
        <f>6281322957858</f>
        <v>6281322957858</v>
      </c>
    </row>
    <row r="15211" ht="15" customHeight="1" spans="1:23" x14ac:dyDescent="0.25">
      <c r="A15211" s="17" t="s">
        <v>41006</v>
      </c>
      <c r="B15211" s="17" t="s">
        <v>70</v>
      </c>
      <c r="C15211" s="17" t="s">
        <v>71</v>
      </c>
      <c r="D15211" t="s">
        <v>41007</v>
      </c>
      <c r="F15211" t="s">
        <v>41008</v>
      </c>
      <c r="K15211" s="18">
        <f>6281315151898</f>
        <v>6281315151898</v>
      </c>
      <c r="N15211" s="17" t="s">
        <v>81</v>
      </c>
      <c r="U15211" s="17"/>
      <c r="V15211" s="18">
        <f>6281315151898</f>
        <v>6281315151898</v>
      </c>
      <c r="W15211" t="s">
        <v>41009</v>
      </c>
    </row>
    <row r="15212" ht="15" customHeight="1" spans="1:28" x14ac:dyDescent="0.25">
      <c r="A15212" s="17" t="s">
        <v>41010</v>
      </c>
      <c r="B15212" s="17" t="s">
        <v>70</v>
      </c>
      <c r="C15212" s="17" t="s">
        <v>71</v>
      </c>
      <c r="D15212" t="s">
        <v>41011</v>
      </c>
      <c r="F15212" t="s">
        <v>41012</v>
      </c>
      <c r="J15212" s="17" t="s">
        <v>41013</v>
      </c>
      <c r="K15212" s="18" t="s">
        <v>41014</v>
      </c>
      <c r="N15212" s="17" t="s">
        <v>77</v>
      </c>
      <c r="O15212" t="s">
        <v>489</v>
      </c>
      <c r="V15212" s="18" t="s">
        <v>41014</v>
      </c>
      <c r="Y15212" t="s">
        <v>930</v>
      </c>
      <c r="AA15212" t="s">
        <v>115</v>
      </c>
      <c r="AB15212" t="s">
        <v>930</v>
      </c>
    </row>
    <row r="15213" ht="15" customHeight="1" spans="1:22" x14ac:dyDescent="0.25">
      <c r="A15213" s="17" t="s">
        <v>41015</v>
      </c>
      <c r="B15213" s="17" t="s">
        <v>70</v>
      </c>
      <c r="C15213" s="17" t="s">
        <v>71</v>
      </c>
      <c r="D15213" t="s">
        <v>41016</v>
      </c>
      <c r="F15213" t="s">
        <v>41017</v>
      </c>
      <c r="J15213" s="17" t="s">
        <v>41018</v>
      </c>
      <c r="K15213" s="18">
        <f>6281806243888</f>
        <v>6281806243888</v>
      </c>
      <c r="N15213" s="17" t="s">
        <v>81</v>
      </c>
      <c r="V15213" s="18">
        <f>6281806243888</f>
        <v>6281806243888</v>
      </c>
    </row>
    <row r="15214" ht="15" customHeight="1" spans="1:22" x14ac:dyDescent="0.25">
      <c r="A15214" s="17" t="s">
        <v>41019</v>
      </c>
      <c r="B15214" s="17" t="s">
        <v>70</v>
      </c>
      <c r="C15214" s="17" t="s">
        <v>71</v>
      </c>
      <c r="D15214" t="s">
        <v>41020</v>
      </c>
      <c r="F15214" t="s">
        <v>41020</v>
      </c>
      <c r="K15214" s="18">
        <f>628118811169</f>
        <v>628118811169</v>
      </c>
      <c r="N15214" s="17" t="s">
        <v>81</v>
      </c>
      <c r="V15214" s="18">
        <f>628118811169</f>
        <v>628118811169</v>
      </c>
    </row>
    <row r="15215" ht="15" customHeight="1" spans="1:22" x14ac:dyDescent="0.25">
      <c r="A15215" s="17" t="s">
        <v>41021</v>
      </c>
      <c r="B15215" s="17" t="s">
        <v>70</v>
      </c>
      <c r="C15215" s="17" t="s">
        <v>71</v>
      </c>
      <c r="D15215" t="s">
        <v>27896</v>
      </c>
      <c r="F15215" t="s">
        <v>27896</v>
      </c>
      <c r="K15215" s="18">
        <f>6285231566666</f>
        <v>6285231566666</v>
      </c>
      <c r="N15215" s="17" t="s">
        <v>77</v>
      </c>
      <c r="V15215" s="18">
        <f>6285231566666</f>
        <v>6285231566666</v>
      </c>
    </row>
    <row r="15216" ht="15" customHeight="1" spans="1:22" x14ac:dyDescent="0.25">
      <c r="A15216" s="17" t="s">
        <v>41022</v>
      </c>
      <c r="B15216" s="17" t="s">
        <v>70</v>
      </c>
      <c r="C15216" s="17" t="s">
        <v>71</v>
      </c>
      <c r="D15216" t="s">
        <v>27896</v>
      </c>
      <c r="F15216" t="s">
        <v>27896</v>
      </c>
      <c r="K15216" s="18">
        <f>628553035577</f>
        <v>628553035577</v>
      </c>
      <c r="N15216" s="17" t="s">
        <v>81</v>
      </c>
      <c r="V15216" s="18">
        <f>628553035577</f>
        <v>628553035577</v>
      </c>
    </row>
    <row r="15217" ht="15" customHeight="1" spans="1:28" x14ac:dyDescent="0.25">
      <c r="A15217" s="17" t="s">
        <v>41023</v>
      </c>
      <c r="B15217" s="17" t="s">
        <v>70</v>
      </c>
      <c r="C15217" s="17" t="s">
        <v>71</v>
      </c>
      <c r="D15217" t="s">
        <v>27896</v>
      </c>
      <c r="F15217" t="s">
        <v>41024</v>
      </c>
      <c r="J15217" t="s">
        <v>115</v>
      </c>
      <c r="K15217" s="18" t="s">
        <v>41025</v>
      </c>
      <c r="N15217" s="17" t="s">
        <v>77</v>
      </c>
      <c r="O15217" t="s">
        <v>145</v>
      </c>
      <c r="V15217" s="18" t="s">
        <v>41025</v>
      </c>
      <c r="Y15217" t="s">
        <v>96</v>
      </c>
      <c r="AA15217" t="s">
        <v>693</v>
      </c>
      <c r="AB15217" t="s">
        <v>119</v>
      </c>
    </row>
    <row r="15218" ht="15" customHeight="1" spans="1:28" x14ac:dyDescent="0.25">
      <c r="A15218" s="17" t="s">
        <v>41026</v>
      </c>
      <c r="B15218" s="17" t="s">
        <v>70</v>
      </c>
      <c r="C15218" s="17" t="s">
        <v>71</v>
      </c>
      <c r="D15218" t="s">
        <v>27896</v>
      </c>
      <c r="F15218" t="s">
        <v>618</v>
      </c>
      <c r="J15218" t="s">
        <v>41027</v>
      </c>
      <c r="K15218" s="18" t="s">
        <v>41028</v>
      </c>
      <c r="N15218" s="17" t="s">
        <v>77</v>
      </c>
      <c r="O15218" t="s">
        <v>145</v>
      </c>
      <c r="U15218" s="17"/>
      <c r="V15218" s="18" t="s">
        <v>41028</v>
      </c>
      <c r="W15218" t="s">
        <v>41029</v>
      </c>
      <c r="Y15218" s="17" t="s">
        <v>96</v>
      </c>
      <c r="AA15218" s="17" t="s">
        <v>693</v>
      </c>
      <c r="AB15218" t="s">
        <v>119</v>
      </c>
    </row>
    <row r="15219" ht="15" customHeight="1" spans="1:22" x14ac:dyDescent="0.25">
      <c r="A15219" s="17" t="s">
        <v>41030</v>
      </c>
      <c r="B15219" s="17" t="s">
        <v>70</v>
      </c>
      <c r="C15219" s="17" t="s">
        <v>71</v>
      </c>
      <c r="D15219" t="s">
        <v>27896</v>
      </c>
      <c r="F15219" t="s">
        <v>13277</v>
      </c>
      <c r="K15219" s="18">
        <f>62816893737</f>
        <v>62816893737</v>
      </c>
      <c r="N15219" s="17" t="s">
        <v>77</v>
      </c>
      <c r="V15219" s="18">
        <f>62816893737</f>
        <v>62816893737</v>
      </c>
    </row>
    <row r="15220" ht="15" customHeight="1" spans="1:23" x14ac:dyDescent="0.25">
      <c r="A15220" s="17" t="s">
        <v>41031</v>
      </c>
      <c r="B15220" s="17" t="s">
        <v>70</v>
      </c>
      <c r="C15220" s="17" t="s">
        <v>71</v>
      </c>
      <c r="D15220" t="s">
        <v>27896</v>
      </c>
      <c r="F15220" t="s">
        <v>41032</v>
      </c>
      <c r="K15220" s="18">
        <f>628125111138</f>
        <v>628125111138</v>
      </c>
      <c r="N15220" s="17" t="s">
        <v>81</v>
      </c>
      <c r="U15220" s="17"/>
      <c r="V15220" s="18">
        <f>628125111138</f>
        <v>628125111138</v>
      </c>
      <c r="W15220" t="s">
        <v>41033</v>
      </c>
    </row>
    <row r="15221" ht="15" customHeight="1" spans="1:22" x14ac:dyDescent="0.25">
      <c r="A15221" s="17" t="s">
        <v>41034</v>
      </c>
      <c r="B15221" s="17" t="s">
        <v>70</v>
      </c>
      <c r="C15221" s="17" t="s">
        <v>71</v>
      </c>
      <c r="D15221" t="s">
        <v>15423</v>
      </c>
      <c r="F15221" t="s">
        <v>15423</v>
      </c>
      <c r="K15221" s="18">
        <f>6282111333289</f>
        <v>6282111333289</v>
      </c>
      <c r="N15221" s="17" t="s">
        <v>77</v>
      </c>
      <c r="V15221" s="18">
        <f>6282111333289</f>
        <v>6282111333289</v>
      </c>
    </row>
    <row r="15222" ht="15" customHeight="1" spans="1:22" x14ac:dyDescent="0.25">
      <c r="A15222" s="17" t="s">
        <v>41035</v>
      </c>
      <c r="B15222" s="17" t="s">
        <v>70</v>
      </c>
      <c r="C15222" s="17" t="s">
        <v>71</v>
      </c>
      <c r="D15222" t="s">
        <v>15423</v>
      </c>
      <c r="F15222" t="s">
        <v>15423</v>
      </c>
      <c r="K15222" s="18">
        <f>6285219899873</f>
        <v>6285219899873</v>
      </c>
      <c r="N15222" s="17" t="s">
        <v>77</v>
      </c>
      <c r="V15222" s="18">
        <f>6285219899873</f>
        <v>6285219899873</v>
      </c>
    </row>
    <row r="15223" ht="15" customHeight="1" spans="1:25" x14ac:dyDescent="0.25">
      <c r="A15223" s="17" t="s">
        <v>41036</v>
      </c>
      <c r="B15223" s="17" t="s">
        <v>70</v>
      </c>
      <c r="C15223" s="17" t="s">
        <v>71</v>
      </c>
      <c r="D15223" t="s">
        <v>15423</v>
      </c>
      <c r="F15223" t="s">
        <v>12162</v>
      </c>
      <c r="K15223" s="18">
        <f>6281510334088</f>
        <v>6281510334088</v>
      </c>
      <c r="N15223" s="17" t="s">
        <v>77</v>
      </c>
      <c r="U15223" s="17"/>
      <c r="V15223" s="18">
        <f>6281510334088</f>
        <v>6281510334088</v>
      </c>
      <c r="W15223" t="s">
        <v>41037</v>
      </c>
      <c r="Y15223" s="17" t="s">
        <v>217</v>
      </c>
    </row>
    <row r="15224" ht="15" customHeight="1" spans="1:28" x14ac:dyDescent="0.25">
      <c r="A15224" s="17" t="s">
        <v>41038</v>
      </c>
      <c r="B15224" s="17" t="s">
        <v>70</v>
      </c>
      <c r="C15224" s="17" t="s">
        <v>71</v>
      </c>
      <c r="D15224" t="s">
        <v>15423</v>
      </c>
      <c r="F15224" t="s">
        <v>13419</v>
      </c>
      <c r="J15224" t="s">
        <v>41039</v>
      </c>
      <c r="K15224" s="18" t="s">
        <v>41040</v>
      </c>
      <c r="N15224" s="17" t="s">
        <v>77</v>
      </c>
      <c r="O15224" t="s">
        <v>199</v>
      </c>
      <c r="V15224" s="18" t="s">
        <v>41040</v>
      </c>
      <c r="Y15224" t="s">
        <v>190</v>
      </c>
      <c r="AA15224" t="s">
        <v>118</v>
      </c>
      <c r="AB15224" t="s">
        <v>119</v>
      </c>
    </row>
    <row r="15225" ht="15" customHeight="1" spans="1:28" x14ac:dyDescent="0.25">
      <c r="A15225" s="17" t="s">
        <v>41041</v>
      </c>
      <c r="B15225" s="17" t="s">
        <v>70</v>
      </c>
      <c r="C15225" s="17" t="s">
        <v>71</v>
      </c>
      <c r="D15225" t="s">
        <v>6521</v>
      </c>
      <c r="F15225" t="s">
        <v>618</v>
      </c>
      <c r="J15225" t="s">
        <v>115</v>
      </c>
      <c r="K15225" s="18" t="s">
        <v>41042</v>
      </c>
      <c r="N15225" s="17" t="s">
        <v>77</v>
      </c>
      <c r="O15225" t="s">
        <v>117</v>
      </c>
      <c r="U15225" s="17"/>
      <c r="V15225" s="18" t="s">
        <v>41042</v>
      </c>
      <c r="W15225" t="s">
        <v>41043</v>
      </c>
      <c r="Y15225" t="s">
        <v>1084</v>
      </c>
      <c r="AA15225" t="s">
        <v>3146</v>
      </c>
      <c r="AB15225" t="s">
        <v>119</v>
      </c>
    </row>
    <row r="15226" ht="15" customHeight="1" spans="1:25" x14ac:dyDescent="0.25">
      <c r="A15226" s="17" t="s">
        <v>41044</v>
      </c>
      <c r="B15226" s="17" t="s">
        <v>70</v>
      </c>
      <c r="C15226" s="17" t="s">
        <v>71</v>
      </c>
      <c r="D15226" t="s">
        <v>15423</v>
      </c>
      <c r="F15226" t="s">
        <v>4458</v>
      </c>
      <c r="K15226" s="18">
        <f>628159383168</f>
        <v>628159383168</v>
      </c>
      <c r="N15226" s="17" t="s">
        <v>77</v>
      </c>
      <c r="U15226" s="17"/>
      <c r="V15226" s="18">
        <f>628159383168</f>
        <v>628159383168</v>
      </c>
      <c r="W15226" t="s">
        <v>41045</v>
      </c>
      <c r="Y15226" s="17" t="s">
        <v>41046</v>
      </c>
    </row>
    <row r="15227" ht="15" customHeight="1" spans="1:27" x14ac:dyDescent="0.25">
      <c r="A15227" s="17" t="s">
        <v>41047</v>
      </c>
      <c r="B15227" s="17" t="s">
        <v>70</v>
      </c>
      <c r="C15227" s="17" t="s">
        <v>71</v>
      </c>
      <c r="D15227" t="s">
        <v>15423</v>
      </c>
      <c r="F15227" t="s">
        <v>41048</v>
      </c>
      <c r="J15227" s="17" t="s">
        <v>41049</v>
      </c>
      <c r="K15227" s="18">
        <f>62811338865</f>
        <v>62811338865</v>
      </c>
      <c r="N15227" s="17" t="s">
        <v>77</v>
      </c>
      <c r="U15227" s="17"/>
      <c r="V15227" s="18">
        <f>62811338865</f>
        <v>62811338865</v>
      </c>
      <c r="W15227" t="s">
        <v>41050</v>
      </c>
      <c r="Y15227" s="17" t="s">
        <v>96</v>
      </c>
      <c r="AA15227" s="17">
        <v>12240</v>
      </c>
    </row>
    <row r="15228" ht="15" customHeight="1" spans="1:22" x14ac:dyDescent="0.25">
      <c r="A15228" s="17" t="s">
        <v>41051</v>
      </c>
      <c r="B15228" s="17" t="s">
        <v>70</v>
      </c>
      <c r="C15228" s="17" t="s">
        <v>71</v>
      </c>
      <c r="D15228" t="s">
        <v>15423</v>
      </c>
      <c r="F15228" t="s">
        <v>29554</v>
      </c>
      <c r="K15228" s="18">
        <f>6281806823602</f>
        <v>6281806823602</v>
      </c>
      <c r="N15228" s="17" t="s">
        <v>81</v>
      </c>
      <c r="V15228" s="18">
        <f>6281806823602</f>
        <v>6281806823602</v>
      </c>
    </row>
    <row r="15229" ht="15" customHeight="1" spans="1:22" x14ac:dyDescent="0.25">
      <c r="A15229" s="17" t="s">
        <v>41052</v>
      </c>
      <c r="B15229" s="17" t="s">
        <v>70</v>
      </c>
      <c r="C15229" s="17" t="s">
        <v>71</v>
      </c>
      <c r="D15229" t="s">
        <v>15423</v>
      </c>
      <c r="F15229" t="s">
        <v>41053</v>
      </c>
      <c r="J15229" s="17" t="s">
        <v>41054</v>
      </c>
      <c r="K15229" s="18">
        <f>6287780011467</f>
        <v>6287780011467</v>
      </c>
      <c r="N15229" s="17" t="s">
        <v>77</v>
      </c>
      <c r="V15229" s="18">
        <f>6287780011467</f>
        <v>6287780011467</v>
      </c>
    </row>
    <row r="15230" ht="15" customHeight="1" spans="1:22" x14ac:dyDescent="0.25">
      <c r="A15230" s="17" t="s">
        <v>41055</v>
      </c>
      <c r="B15230" s="17" t="s">
        <v>70</v>
      </c>
      <c r="C15230" s="17" t="s">
        <v>71</v>
      </c>
      <c r="D15230" t="s">
        <v>15423</v>
      </c>
      <c r="F15230" t="s">
        <v>34579</v>
      </c>
      <c r="K15230" s="18">
        <f>628124301234</f>
        <v>628124301234</v>
      </c>
      <c r="N15230" s="17" t="s">
        <v>74</v>
      </c>
      <c r="V15230" s="18">
        <f>628124301234</f>
        <v>628124301234</v>
      </c>
    </row>
    <row r="15231" ht="15" customHeight="1" spans="1:28" x14ac:dyDescent="0.25">
      <c r="A15231" s="17" t="s">
        <v>41056</v>
      </c>
      <c r="B15231" s="17" t="s">
        <v>70</v>
      </c>
      <c r="C15231" s="17" t="s">
        <v>71</v>
      </c>
      <c r="D15231" t="s">
        <v>15423</v>
      </c>
      <c r="F15231" t="s">
        <v>1572</v>
      </c>
      <c r="J15231" t="s">
        <v>115</v>
      </c>
      <c r="K15231" s="18" t="s">
        <v>41057</v>
      </c>
      <c r="N15231" s="17" t="s">
        <v>77</v>
      </c>
      <c r="O15231" t="s">
        <v>261</v>
      </c>
      <c r="V15231" s="18" t="s">
        <v>41057</v>
      </c>
      <c r="Y15231" t="s">
        <v>90</v>
      </c>
      <c r="AA15231" t="s">
        <v>118</v>
      </c>
      <c r="AB15231" t="s">
        <v>119</v>
      </c>
    </row>
    <row r="15232" ht="15" customHeight="1" spans="1:27" x14ac:dyDescent="0.25">
      <c r="A15232" s="17" t="s">
        <v>41058</v>
      </c>
      <c r="B15232" s="17" t="s">
        <v>70</v>
      </c>
      <c r="C15232" s="17" t="s">
        <v>71</v>
      </c>
      <c r="D15232" t="s">
        <v>15423</v>
      </c>
      <c r="F15232" t="s">
        <v>41059</v>
      </c>
      <c r="J15232" s="17" t="s">
        <v>41060</v>
      </c>
      <c r="K15232" s="18">
        <f>6281318283848</f>
        <v>6281318283848</v>
      </c>
      <c r="N15232" s="17" t="s">
        <v>81</v>
      </c>
      <c r="U15232" s="17"/>
      <c r="V15232" s="18">
        <f>6281318283848</f>
        <v>6281318283848</v>
      </c>
      <c r="W15232" t="s">
        <v>41061</v>
      </c>
      <c r="Y15232" s="17" t="s">
        <v>41062</v>
      </c>
      <c r="AA15232" s="17">
        <v>16114</v>
      </c>
    </row>
    <row r="15233" ht="15" customHeight="1" spans="1:28" x14ac:dyDescent="0.25">
      <c r="A15233" s="17" t="s">
        <v>41063</v>
      </c>
      <c r="B15233" s="17" t="s">
        <v>70</v>
      </c>
      <c r="C15233" s="17" t="s">
        <v>71</v>
      </c>
      <c r="D15233" t="s">
        <v>6521</v>
      </c>
      <c r="F15233" t="s">
        <v>41064</v>
      </c>
      <c r="J15233" s="17" t="s">
        <v>41065</v>
      </c>
      <c r="K15233" s="18" t="s">
        <v>41066</v>
      </c>
      <c r="N15233" s="17" t="s">
        <v>77</v>
      </c>
      <c r="O15233" t="s">
        <v>145</v>
      </c>
      <c r="V15233" s="18" t="s">
        <v>41066</v>
      </c>
      <c r="Y15233" t="s">
        <v>115</v>
      </c>
      <c r="AA15233" t="s">
        <v>115</v>
      </c>
      <c r="AB15233" t="s">
        <v>2605</v>
      </c>
    </row>
    <row r="15234" ht="15" customHeight="1" spans="1:23" x14ac:dyDescent="0.25">
      <c r="A15234" s="17" t="s">
        <v>41067</v>
      </c>
      <c r="B15234" s="17" t="s">
        <v>70</v>
      </c>
      <c r="C15234" s="17" t="s">
        <v>71</v>
      </c>
      <c r="D15234" t="s">
        <v>6521</v>
      </c>
      <c r="F15234" t="s">
        <v>41068</v>
      </c>
      <c r="K15234" s="18">
        <f>79852725898</f>
        <v>79852725898</v>
      </c>
      <c r="N15234" s="17" t="s">
        <v>77</v>
      </c>
      <c r="U15234" s="17"/>
      <c r="V15234" s="18">
        <f>79852725898</f>
        <v>79852725898</v>
      </c>
      <c r="W15234" t="s">
        <v>41069</v>
      </c>
    </row>
    <row r="15235" ht="15" customHeight="1" spans="1:28" x14ac:dyDescent="0.25">
      <c r="A15235" s="17" t="s">
        <v>41070</v>
      </c>
      <c r="B15235" s="17" t="s">
        <v>70</v>
      </c>
      <c r="C15235" s="17" t="s">
        <v>71</v>
      </c>
      <c r="D15235" t="s">
        <v>6521</v>
      </c>
      <c r="F15235" t="s">
        <v>301</v>
      </c>
      <c r="J15235" t="s">
        <v>115</v>
      </c>
      <c r="K15235" s="18" t="s">
        <v>41071</v>
      </c>
      <c r="N15235" s="17" t="s">
        <v>81</v>
      </c>
      <c r="O15235" t="s">
        <v>117</v>
      </c>
      <c r="V15235" s="18" t="s">
        <v>41071</v>
      </c>
      <c r="Y15235" t="s">
        <v>90</v>
      </c>
      <c r="AA15235" t="s">
        <v>118</v>
      </c>
      <c r="AB15235" t="s">
        <v>119</v>
      </c>
    </row>
    <row r="15236" ht="15" customHeight="1" spans="1:22" x14ac:dyDescent="0.25">
      <c r="A15236" s="17" t="s">
        <v>41072</v>
      </c>
      <c r="B15236" s="17" t="s">
        <v>70</v>
      </c>
      <c r="C15236" s="17" t="s">
        <v>71</v>
      </c>
      <c r="D15236" t="s">
        <v>6521</v>
      </c>
      <c r="F15236" t="s">
        <v>41073</v>
      </c>
      <c r="K15236" s="18">
        <f>601968979791</f>
        <v>601968979791</v>
      </c>
      <c r="N15236" s="17" t="s">
        <v>77</v>
      </c>
      <c r="V15236" s="18">
        <f>601968979791</f>
        <v>601968979791</v>
      </c>
    </row>
    <row r="15237" ht="15" customHeight="1" spans="1:22" x14ac:dyDescent="0.25">
      <c r="A15237" s="17" t="s">
        <v>41074</v>
      </c>
      <c r="B15237" s="17" t="s">
        <v>70</v>
      </c>
      <c r="C15237" s="17" t="s">
        <v>71</v>
      </c>
      <c r="D15237" t="s">
        <v>41075</v>
      </c>
      <c r="F15237" t="s">
        <v>6082</v>
      </c>
      <c r="K15237" s="18">
        <f>6281398887278</f>
        <v>6281398887278</v>
      </c>
      <c r="N15237" s="17" t="s">
        <v>81</v>
      </c>
      <c r="V15237" s="18">
        <f>6281398887278</f>
        <v>6281398887278</v>
      </c>
    </row>
    <row r="15238" ht="15" customHeight="1" spans="1:22" x14ac:dyDescent="0.25">
      <c r="A15238" s="17" t="s">
        <v>41076</v>
      </c>
      <c r="B15238" s="17" t="s">
        <v>70</v>
      </c>
      <c r="C15238" s="17" t="s">
        <v>71</v>
      </c>
      <c r="D15238" t="s">
        <v>41077</v>
      </c>
      <c r="F15238" t="s">
        <v>41078</v>
      </c>
      <c r="K15238" s="18">
        <f>6282125121338</f>
        <v>6282125121338</v>
      </c>
      <c r="N15238" s="17" t="s">
        <v>81</v>
      </c>
      <c r="V15238" s="18">
        <f>6282125121338</f>
        <v>6282125121338</v>
      </c>
    </row>
    <row r="15239" ht="15" customHeight="1" spans="1:28" x14ac:dyDescent="0.25">
      <c r="A15239" s="17" t="s">
        <v>41079</v>
      </c>
      <c r="B15239" s="17" t="s">
        <v>70</v>
      </c>
      <c r="C15239" s="17" t="s">
        <v>71</v>
      </c>
      <c r="D15239" t="s">
        <v>41080</v>
      </c>
      <c r="F15239" t="s">
        <v>41081</v>
      </c>
      <c r="J15239" s="17" t="s">
        <v>41082</v>
      </c>
      <c r="K15239" s="18" t="s">
        <v>41083</v>
      </c>
      <c r="N15239" s="17" t="s">
        <v>77</v>
      </c>
      <c r="O15239" t="s">
        <v>261</v>
      </c>
      <c r="V15239" s="18" t="s">
        <v>41083</v>
      </c>
      <c r="Y15239" t="s">
        <v>90</v>
      </c>
      <c r="AA15239" t="s">
        <v>118</v>
      </c>
      <c r="AB15239" t="s">
        <v>119</v>
      </c>
    </row>
    <row r="15240" ht="15" customHeight="1" spans="1:28" x14ac:dyDescent="0.25">
      <c r="A15240" s="17" t="s">
        <v>41084</v>
      </c>
      <c r="B15240" s="17" t="s">
        <v>70</v>
      </c>
      <c r="C15240" s="17" t="s">
        <v>71</v>
      </c>
      <c r="D15240" t="s">
        <v>12537</v>
      </c>
      <c r="F15240" t="s">
        <v>24196</v>
      </c>
      <c r="J15240" s="17" t="s">
        <v>41085</v>
      </c>
      <c r="K15240" s="18" t="s">
        <v>41086</v>
      </c>
      <c r="N15240" s="17" t="s">
        <v>74</v>
      </c>
      <c r="O15240" t="s">
        <v>117</v>
      </c>
      <c r="U15240" s="17"/>
      <c r="V15240" s="18" t="s">
        <v>41086</v>
      </c>
      <c r="W15240" t="s">
        <v>41087</v>
      </c>
      <c r="Y15240" t="s">
        <v>90</v>
      </c>
      <c r="AA15240" t="s">
        <v>118</v>
      </c>
      <c r="AB15240" t="s">
        <v>119</v>
      </c>
    </row>
    <row r="15241" ht="15" customHeight="1" spans="1:22" x14ac:dyDescent="0.25">
      <c r="A15241" s="17" t="s">
        <v>41088</v>
      </c>
      <c r="B15241" s="17" t="s">
        <v>70</v>
      </c>
      <c r="C15241" s="17" t="s">
        <v>71</v>
      </c>
      <c r="D15241" t="s">
        <v>41089</v>
      </c>
      <c r="F15241" t="s">
        <v>24870</v>
      </c>
      <c r="K15241" s="18">
        <f>628151882163</f>
        <v>628151882163</v>
      </c>
      <c r="N15241" s="17" t="s">
        <v>77</v>
      </c>
      <c r="V15241" s="18">
        <f>628151882163</f>
        <v>628151882163</v>
      </c>
    </row>
    <row r="15242" ht="15" customHeight="1" spans="1:25" x14ac:dyDescent="0.25">
      <c r="A15242" s="17" t="s">
        <v>41090</v>
      </c>
      <c r="B15242" s="17" t="s">
        <v>70</v>
      </c>
      <c r="C15242" s="17" t="s">
        <v>71</v>
      </c>
      <c r="D15242" t="s">
        <v>41091</v>
      </c>
      <c r="F15242" t="s">
        <v>802</v>
      </c>
      <c r="K15242" s="18">
        <f>628121270676</f>
        <v>628121270676</v>
      </c>
      <c r="N15242" s="17" t="s">
        <v>77</v>
      </c>
      <c r="U15242" s="17"/>
      <c r="V15242" s="18">
        <f>628121270676</f>
        <v>628121270676</v>
      </c>
      <c r="W15242" t="s">
        <v>41092</v>
      </c>
      <c r="Y15242" s="17" t="s">
        <v>90</v>
      </c>
    </row>
    <row r="15243" ht="15" customHeight="1" spans="1:28" x14ac:dyDescent="0.25">
      <c r="A15243" s="17" t="s">
        <v>41093</v>
      </c>
      <c r="B15243" s="17" t="s">
        <v>70</v>
      </c>
      <c r="C15243" s="17" t="s">
        <v>71</v>
      </c>
      <c r="D15243" t="s">
        <v>41094</v>
      </c>
      <c r="F15243" t="s">
        <v>32124</v>
      </c>
      <c r="J15243" t="s">
        <v>115</v>
      </c>
      <c r="K15243" s="18" t="s">
        <v>41095</v>
      </c>
      <c r="N15243" s="17" t="s">
        <v>81</v>
      </c>
      <c r="O15243" t="s">
        <v>117</v>
      </c>
      <c r="U15243" s="17"/>
      <c r="V15243" s="18" t="s">
        <v>41095</v>
      </c>
      <c r="W15243" t="s">
        <v>41096</v>
      </c>
      <c r="Y15243" t="s">
        <v>90</v>
      </c>
      <c r="AA15243" t="s">
        <v>118</v>
      </c>
      <c r="AB15243" t="s">
        <v>119</v>
      </c>
    </row>
    <row r="15244" ht="15" customHeight="1" spans="1:28" x14ac:dyDescent="0.25">
      <c r="A15244" s="17" t="s">
        <v>41097</v>
      </c>
      <c r="B15244" s="17" t="s">
        <v>70</v>
      </c>
      <c r="C15244" s="17" t="s">
        <v>71</v>
      </c>
      <c r="D15244" t="s">
        <v>41094</v>
      </c>
      <c r="F15244" t="s">
        <v>19176</v>
      </c>
      <c r="J15244" t="s">
        <v>41098</v>
      </c>
      <c r="K15244" s="18" t="s">
        <v>41099</v>
      </c>
      <c r="N15244" s="17" t="s">
        <v>77</v>
      </c>
      <c r="O15244" t="s">
        <v>199</v>
      </c>
      <c r="U15244" s="17"/>
      <c r="V15244" s="18" t="s">
        <v>41099</v>
      </c>
      <c r="W15244" t="s">
        <v>41100</v>
      </c>
      <c r="Y15244" t="s">
        <v>96</v>
      </c>
      <c r="AA15244" t="s">
        <v>693</v>
      </c>
      <c r="AB15244" t="s">
        <v>119</v>
      </c>
    </row>
    <row r="15245" ht="15" customHeight="1" spans="1:28" x14ac:dyDescent="0.25">
      <c r="A15245" s="17" t="s">
        <v>41101</v>
      </c>
      <c r="B15245" s="17" t="s">
        <v>70</v>
      </c>
      <c r="C15245" s="17" t="s">
        <v>71</v>
      </c>
      <c r="D15245" t="s">
        <v>41094</v>
      </c>
      <c r="F15245" t="s">
        <v>40665</v>
      </c>
      <c r="J15245" s="17" t="s">
        <v>40666</v>
      </c>
      <c r="K15245" s="18" t="s">
        <v>41102</v>
      </c>
      <c r="N15245" s="17" t="s">
        <v>77</v>
      </c>
      <c r="O15245" t="s">
        <v>489</v>
      </c>
      <c r="U15245" s="17"/>
      <c r="V15245" s="18" t="s">
        <v>41102</v>
      </c>
      <c r="W15245" t="s">
        <v>41103</v>
      </c>
      <c r="Y15245" s="17" t="s">
        <v>490</v>
      </c>
      <c r="AA15245" t="s">
        <v>115</v>
      </c>
      <c r="AB15245" t="s">
        <v>119</v>
      </c>
    </row>
    <row r="15246" ht="15" customHeight="1" spans="1:22" x14ac:dyDescent="0.25">
      <c r="A15246" s="17" t="s">
        <v>41104</v>
      </c>
      <c r="B15246" s="17" t="s">
        <v>70</v>
      </c>
      <c r="C15246" s="17" t="s">
        <v>71</v>
      </c>
      <c r="D15246" t="s">
        <v>41105</v>
      </c>
      <c r="F15246" t="s">
        <v>41106</v>
      </c>
      <c r="K15246" s="18">
        <f>6285255802008</f>
        <v>6285255802008</v>
      </c>
      <c r="N15246" s="17" t="s">
        <v>77</v>
      </c>
      <c r="V15246" s="18">
        <f>6285255802008</f>
        <v>6285255802008</v>
      </c>
    </row>
    <row r="15247" ht="15" customHeight="1" spans="1:22" x14ac:dyDescent="0.25">
      <c r="A15247" s="17" t="s">
        <v>41107</v>
      </c>
      <c r="B15247" s="17" t="s">
        <v>70</v>
      </c>
      <c r="C15247" s="17" t="s">
        <v>71</v>
      </c>
      <c r="D15247" t="s">
        <v>41108</v>
      </c>
      <c r="F15247" t="s">
        <v>41108</v>
      </c>
      <c r="K15247" s="18">
        <f>6281280995599</f>
        <v>6281280995599</v>
      </c>
      <c r="N15247" s="17" t="s">
        <v>77</v>
      </c>
      <c r="V15247" s="18">
        <f>6281280995599</f>
        <v>6281280995599</v>
      </c>
    </row>
    <row r="15248" ht="15" customHeight="1" spans="1:27" x14ac:dyDescent="0.25">
      <c r="A15248" s="17" t="s">
        <v>41109</v>
      </c>
      <c r="B15248" s="17" t="s">
        <v>70</v>
      </c>
      <c r="C15248" s="17" t="s">
        <v>71</v>
      </c>
      <c r="D15248" t="s">
        <v>41110</v>
      </c>
      <c r="F15248" t="s">
        <v>41111</v>
      </c>
      <c r="K15248" s="18">
        <f>6281514406356</f>
        <v>6281514406356</v>
      </c>
      <c r="N15248" s="17" t="s">
        <v>81</v>
      </c>
      <c r="U15248" s="17"/>
      <c r="V15248" s="18">
        <f>6281514406356</f>
        <v>6281514406356</v>
      </c>
      <c r="W15248" t="s">
        <v>41112</v>
      </c>
      <c r="AA15248" s="17">
        <v>11610</v>
      </c>
    </row>
    <row r="15249" ht="15" customHeight="1" spans="1:28" x14ac:dyDescent="0.25">
      <c r="A15249" s="17" t="s">
        <v>41113</v>
      </c>
      <c r="B15249" s="17" t="s">
        <v>70</v>
      </c>
      <c r="C15249" s="17" t="s">
        <v>71</v>
      </c>
      <c r="D15249" t="s">
        <v>41114</v>
      </c>
      <c r="F15249" t="s">
        <v>1960</v>
      </c>
      <c r="J15249" s="17" t="s">
        <v>41115</v>
      </c>
      <c r="K15249" s="18" t="s">
        <v>41116</v>
      </c>
      <c r="N15249" s="17" t="s">
        <v>77</v>
      </c>
      <c r="O15249" t="s">
        <v>489</v>
      </c>
      <c r="V15249" s="18" t="s">
        <v>41116</v>
      </c>
      <c r="Y15249" t="s">
        <v>115</v>
      </c>
      <c r="AA15249" t="s">
        <v>115</v>
      </c>
      <c r="AB15249" t="s">
        <v>2605</v>
      </c>
    </row>
    <row r="15250" ht="15" customHeight="1" spans="1:27" x14ac:dyDescent="0.25">
      <c r="A15250" s="17" t="s">
        <v>41117</v>
      </c>
      <c r="B15250" s="17" t="s">
        <v>70</v>
      </c>
      <c r="C15250" s="17" t="s">
        <v>71</v>
      </c>
      <c r="D15250" t="s">
        <v>41118</v>
      </c>
      <c r="F15250" t="s">
        <v>41119</v>
      </c>
      <c r="K15250" s="18">
        <f>628111772777</f>
        <v>628111772777</v>
      </c>
      <c r="N15250" s="17" t="s">
        <v>77</v>
      </c>
      <c r="U15250" s="17"/>
      <c r="V15250" s="18">
        <f>628111772777</f>
        <v>628111772777</v>
      </c>
      <c r="W15250" t="s">
        <v>41120</v>
      </c>
      <c r="Y15250" s="17" t="s">
        <v>96</v>
      </c>
      <c r="AA15250" s="17">
        <v>12310</v>
      </c>
    </row>
    <row r="15251" ht="15" customHeight="1" spans="1:22" x14ac:dyDescent="0.25">
      <c r="A15251" s="17" t="s">
        <v>41121</v>
      </c>
      <c r="B15251" s="17" t="s">
        <v>70</v>
      </c>
      <c r="C15251" s="17" t="s">
        <v>71</v>
      </c>
      <c r="D15251" t="s">
        <v>41122</v>
      </c>
      <c r="F15251" t="s">
        <v>41123</v>
      </c>
      <c r="K15251" s="18">
        <f>62811788928</f>
        <v>62811788928</v>
      </c>
      <c r="N15251" s="17" t="s">
        <v>81</v>
      </c>
      <c r="V15251" s="18">
        <f>62811788928</f>
        <v>62811788928</v>
      </c>
    </row>
    <row r="15252" ht="15" customHeight="1" spans="1:22" x14ac:dyDescent="0.25">
      <c r="A15252" s="17" t="s">
        <v>41124</v>
      </c>
      <c r="B15252" s="17" t="s">
        <v>70</v>
      </c>
      <c r="C15252" s="17" t="s">
        <v>71</v>
      </c>
      <c r="D15252" t="s">
        <v>41122</v>
      </c>
      <c r="F15252" t="s">
        <v>4121</v>
      </c>
      <c r="K15252" s="18">
        <f>628158830330</f>
        <v>628158830330</v>
      </c>
      <c r="N15252" s="17" t="s">
        <v>77</v>
      </c>
      <c r="V15252" s="18">
        <f>628158830330</f>
        <v>628158830330</v>
      </c>
    </row>
    <row r="15253" ht="15" customHeight="1" spans="1:22" x14ac:dyDescent="0.25">
      <c r="A15253" s="17" t="s">
        <v>41125</v>
      </c>
      <c r="B15253" s="17" t="s">
        <v>70</v>
      </c>
      <c r="C15253" s="17" t="s">
        <v>71</v>
      </c>
      <c r="D15253" t="s">
        <v>9165</v>
      </c>
      <c r="F15253" t="s">
        <v>9165</v>
      </c>
      <c r="K15253" s="18">
        <f>6287886268399</f>
        <v>6287886268399</v>
      </c>
      <c r="N15253" s="17" t="s">
        <v>81</v>
      </c>
      <c r="V15253" s="18">
        <f>6287886268399</f>
        <v>6287886268399</v>
      </c>
    </row>
    <row r="15254" ht="15" customHeight="1" spans="1:28" x14ac:dyDescent="0.25">
      <c r="A15254" s="17" t="s">
        <v>41126</v>
      </c>
      <c r="B15254" s="17" t="s">
        <v>70</v>
      </c>
      <c r="C15254" s="17" t="s">
        <v>71</v>
      </c>
      <c r="D15254" t="s">
        <v>9165</v>
      </c>
      <c r="F15254" t="s">
        <v>9165</v>
      </c>
      <c r="J15254" t="s">
        <v>115</v>
      </c>
      <c r="K15254" s="18" t="s">
        <v>41127</v>
      </c>
      <c r="N15254" s="17" t="s">
        <v>77</v>
      </c>
      <c r="O15254" t="s">
        <v>117</v>
      </c>
      <c r="V15254" s="18" t="s">
        <v>41127</v>
      </c>
      <c r="Y15254" t="s">
        <v>78</v>
      </c>
      <c r="AA15254" t="s">
        <v>115</v>
      </c>
      <c r="AB15254" t="s">
        <v>119</v>
      </c>
    </row>
    <row r="15255" ht="15" customHeight="1" spans="1:28" x14ac:dyDescent="0.25">
      <c r="A15255" s="17" t="s">
        <v>41128</v>
      </c>
      <c r="B15255" s="17" t="s">
        <v>70</v>
      </c>
      <c r="C15255" s="17" t="s">
        <v>71</v>
      </c>
      <c r="D15255" t="s">
        <v>9165</v>
      </c>
      <c r="F15255" t="s">
        <v>41129</v>
      </c>
      <c r="J15255" t="s">
        <v>115</v>
      </c>
      <c r="K15255" s="18" t="s">
        <v>41130</v>
      </c>
      <c r="N15255" s="17" t="s">
        <v>77</v>
      </c>
      <c r="O15255" t="s">
        <v>117</v>
      </c>
      <c r="V15255" s="18" t="s">
        <v>41130</v>
      </c>
      <c r="Y15255" t="s">
        <v>90</v>
      </c>
      <c r="AA15255" t="s">
        <v>118</v>
      </c>
      <c r="AB15255" t="s">
        <v>119</v>
      </c>
    </row>
    <row r="15256" ht="15" customHeight="1" spans="1:27" x14ac:dyDescent="0.25">
      <c r="A15256" s="17" t="s">
        <v>41131</v>
      </c>
      <c r="B15256" s="17" t="s">
        <v>70</v>
      </c>
      <c r="C15256" s="17" t="s">
        <v>71</v>
      </c>
      <c r="D15256" t="s">
        <v>9165</v>
      </c>
      <c r="F15256" t="s">
        <v>7831</v>
      </c>
      <c r="K15256" s="18">
        <f>6281558013179</f>
        <v>6281558013179</v>
      </c>
      <c r="N15256" s="17" t="s">
        <v>77</v>
      </c>
      <c r="U15256" s="17"/>
      <c r="V15256" s="18">
        <f>6281558013179</f>
        <v>6281558013179</v>
      </c>
      <c r="W15256" t="s">
        <v>7832</v>
      </c>
      <c r="Y15256" s="17" t="s">
        <v>1084</v>
      </c>
      <c r="AA15256" s="17" t="s">
        <v>5566</v>
      </c>
    </row>
    <row r="15257" ht="15" customHeight="1" spans="1:28" x14ac:dyDescent="0.25">
      <c r="A15257" s="17" t="s">
        <v>41132</v>
      </c>
      <c r="B15257" s="17" t="s">
        <v>70</v>
      </c>
      <c r="C15257" s="17" t="s">
        <v>71</v>
      </c>
      <c r="D15257" t="s">
        <v>9165</v>
      </c>
      <c r="F15257" t="s">
        <v>2262</v>
      </c>
      <c r="J15257" s="17" t="s">
        <v>41133</v>
      </c>
      <c r="K15257" s="18" t="s">
        <v>41134</v>
      </c>
      <c r="N15257" s="17" t="s">
        <v>81</v>
      </c>
      <c r="O15257" t="s">
        <v>145</v>
      </c>
      <c r="U15257" s="17"/>
      <c r="V15257" s="18" t="s">
        <v>41134</v>
      </c>
      <c r="W15257" t="s">
        <v>41135</v>
      </c>
      <c r="Y15257" s="17" t="s">
        <v>1084</v>
      </c>
      <c r="AA15257" t="s">
        <v>3146</v>
      </c>
      <c r="AB15257" t="s">
        <v>119</v>
      </c>
    </row>
    <row r="15258" ht="15" customHeight="1" spans="1:28" x14ac:dyDescent="0.25">
      <c r="A15258" s="17" t="s">
        <v>41136</v>
      </c>
      <c r="B15258" s="17" t="s">
        <v>70</v>
      </c>
      <c r="C15258" s="17" t="s">
        <v>71</v>
      </c>
      <c r="D15258" t="s">
        <v>9165</v>
      </c>
      <c r="F15258" t="s">
        <v>41137</v>
      </c>
      <c r="J15258" t="s">
        <v>115</v>
      </c>
      <c r="K15258" s="18" t="s">
        <v>41138</v>
      </c>
      <c r="N15258" s="17" t="s">
        <v>77</v>
      </c>
      <c r="O15258" t="s">
        <v>145</v>
      </c>
      <c r="U15258" s="17"/>
      <c r="V15258" s="18" t="s">
        <v>41138</v>
      </c>
      <c r="W15258" t="s">
        <v>41139</v>
      </c>
      <c r="Y15258" t="s">
        <v>90</v>
      </c>
      <c r="AA15258" t="s">
        <v>118</v>
      </c>
      <c r="AB15258" t="s">
        <v>119</v>
      </c>
    </row>
    <row r="15259" ht="15" customHeight="1" spans="1:23" x14ac:dyDescent="0.25">
      <c r="A15259" s="17" t="s">
        <v>41140</v>
      </c>
      <c r="B15259" s="17" t="s">
        <v>70</v>
      </c>
      <c r="C15259" s="17" t="s">
        <v>71</v>
      </c>
      <c r="D15259" t="s">
        <v>9165</v>
      </c>
      <c r="F15259" t="s">
        <v>28058</v>
      </c>
      <c r="J15259" s="17" t="s">
        <v>41141</v>
      </c>
      <c r="K15259" s="18">
        <f>6282113053111</f>
        <v>6282113053111</v>
      </c>
      <c r="N15259" s="17" t="s">
        <v>77</v>
      </c>
      <c r="U15259" s="17"/>
      <c r="V15259" s="18">
        <f>6282113053111</f>
        <v>6282113053111</v>
      </c>
      <c r="W15259" t="s">
        <v>41142</v>
      </c>
    </row>
    <row r="15260" ht="15" customHeight="1" spans="1:28" x14ac:dyDescent="0.25">
      <c r="A15260" s="17" t="s">
        <v>41143</v>
      </c>
      <c r="B15260" s="17" t="s">
        <v>70</v>
      </c>
      <c r="C15260" s="17" t="s">
        <v>71</v>
      </c>
      <c r="D15260" t="s">
        <v>9165</v>
      </c>
      <c r="F15260" t="s">
        <v>30008</v>
      </c>
      <c r="J15260" t="s">
        <v>115</v>
      </c>
      <c r="K15260" s="18" t="s">
        <v>41144</v>
      </c>
      <c r="N15260" s="17" t="s">
        <v>77</v>
      </c>
      <c r="O15260" t="s">
        <v>199</v>
      </c>
      <c r="V15260" s="18" t="s">
        <v>41144</v>
      </c>
      <c r="Y15260" t="s">
        <v>90</v>
      </c>
      <c r="AA15260" t="s">
        <v>118</v>
      </c>
      <c r="AB15260" t="s">
        <v>119</v>
      </c>
    </row>
    <row r="15261" ht="15" customHeight="1" spans="1:22" x14ac:dyDescent="0.25">
      <c r="A15261" s="17" t="s">
        <v>41145</v>
      </c>
      <c r="B15261" s="17" t="s">
        <v>70</v>
      </c>
      <c r="C15261" s="17" t="s">
        <v>71</v>
      </c>
      <c r="D15261" t="s">
        <v>9165</v>
      </c>
      <c r="F15261" t="s">
        <v>30008</v>
      </c>
      <c r="K15261" s="18">
        <f>628151075555</f>
        <v>628151075555</v>
      </c>
      <c r="N15261" s="17" t="s">
        <v>77</v>
      </c>
      <c r="V15261" s="18">
        <f>628151075555</f>
        <v>628151075555</v>
      </c>
    </row>
    <row r="15262" ht="15" customHeight="1" spans="1:22" x14ac:dyDescent="0.25">
      <c r="A15262" s="17" t="s">
        <v>41146</v>
      </c>
      <c r="B15262" s="17" t="s">
        <v>70</v>
      </c>
      <c r="C15262" s="17" t="s">
        <v>71</v>
      </c>
      <c r="D15262" t="s">
        <v>9165</v>
      </c>
      <c r="F15262" t="s">
        <v>30008</v>
      </c>
      <c r="K15262" s="18">
        <f>628111017162</f>
        <v>628111017162</v>
      </c>
      <c r="N15262" s="17" t="s">
        <v>77</v>
      </c>
      <c r="V15262" s="18">
        <f>628111017162</f>
        <v>628111017162</v>
      </c>
    </row>
    <row r="15263" ht="15" customHeight="1" spans="1:22" x14ac:dyDescent="0.25">
      <c r="A15263" s="17" t="s">
        <v>41147</v>
      </c>
      <c r="B15263" s="17" t="s">
        <v>70</v>
      </c>
      <c r="C15263" s="17" t="s">
        <v>71</v>
      </c>
      <c r="D15263" t="s">
        <v>41148</v>
      </c>
      <c r="F15263" t="s">
        <v>18110</v>
      </c>
      <c r="K15263" s="18">
        <f>628113549497</f>
        <v>628113549497</v>
      </c>
      <c r="N15263" s="17" t="s">
        <v>77</v>
      </c>
      <c r="V15263" s="18">
        <f>628113549497</f>
        <v>628113549497</v>
      </c>
    </row>
    <row r="15264" ht="15" customHeight="1" spans="1:28" x14ac:dyDescent="0.25">
      <c r="A15264" s="17" t="s">
        <v>41149</v>
      </c>
      <c r="B15264" s="17" t="s">
        <v>70</v>
      </c>
      <c r="C15264" s="17" t="s">
        <v>71</v>
      </c>
      <c r="D15264" t="s">
        <v>41150</v>
      </c>
      <c r="F15264" t="s">
        <v>615</v>
      </c>
      <c r="J15264" t="s">
        <v>41151</v>
      </c>
      <c r="K15264" s="18" t="s">
        <v>41152</v>
      </c>
      <c r="N15264" s="17" t="s">
        <v>77</v>
      </c>
      <c r="O15264" t="s">
        <v>145</v>
      </c>
      <c r="U15264" s="17"/>
      <c r="V15264" s="18" t="s">
        <v>41152</v>
      </c>
      <c r="W15264" t="s">
        <v>41153</v>
      </c>
      <c r="Y15264" t="s">
        <v>90</v>
      </c>
      <c r="AA15264" s="17" t="s">
        <v>118</v>
      </c>
      <c r="AB15264" t="s">
        <v>119</v>
      </c>
    </row>
    <row r="15265" ht="15" customHeight="1" spans="1:22" x14ac:dyDescent="0.25">
      <c r="A15265" s="17" t="s">
        <v>41154</v>
      </c>
      <c r="B15265" s="17" t="s">
        <v>70</v>
      </c>
      <c r="C15265" s="17" t="s">
        <v>71</v>
      </c>
      <c r="D15265" t="s">
        <v>41150</v>
      </c>
      <c r="F15265" t="s">
        <v>22454</v>
      </c>
      <c r="K15265" s="18">
        <f>628121133777</f>
        <v>628121133777</v>
      </c>
      <c r="N15265" s="17" t="s">
        <v>77</v>
      </c>
      <c r="V15265" s="18">
        <f>628121133777</f>
        <v>628121133777</v>
      </c>
    </row>
    <row r="15266" ht="15" customHeight="1" spans="1:22" x14ac:dyDescent="0.25">
      <c r="A15266" s="17" t="s">
        <v>41155</v>
      </c>
      <c r="B15266" s="17" t="s">
        <v>70</v>
      </c>
      <c r="C15266" s="17" t="s">
        <v>71</v>
      </c>
      <c r="D15266" t="s">
        <v>41150</v>
      </c>
      <c r="F15266" t="s">
        <v>2730</v>
      </c>
      <c r="K15266" s="18">
        <f>6287810000389</f>
        <v>6287810000389</v>
      </c>
      <c r="N15266" s="17" t="s">
        <v>81</v>
      </c>
      <c r="V15266" s="18">
        <f>6287810000389</f>
        <v>6287810000389</v>
      </c>
    </row>
    <row r="15267" ht="15" customHeight="1" spans="1:25" x14ac:dyDescent="0.25">
      <c r="A15267" s="17" t="s">
        <v>41156</v>
      </c>
      <c r="B15267" s="17" t="s">
        <v>70</v>
      </c>
      <c r="C15267" s="17" t="s">
        <v>71</v>
      </c>
      <c r="D15267" t="s">
        <v>41150</v>
      </c>
      <c r="F15267" t="s">
        <v>153</v>
      </c>
      <c r="K15267" s="18">
        <f>628562827777</f>
        <v>628562827777</v>
      </c>
      <c r="N15267" s="17" t="s">
        <v>81</v>
      </c>
      <c r="U15267" s="17"/>
      <c r="V15267" s="18">
        <f>628562827777</f>
        <v>628562827777</v>
      </c>
      <c r="W15267" t="s">
        <v>41157</v>
      </c>
      <c r="Y15267" s="17" t="s">
        <v>1042</v>
      </c>
    </row>
    <row r="15268" ht="15" customHeight="1" spans="1:23" x14ac:dyDescent="0.25">
      <c r="A15268" s="17" t="s">
        <v>41158</v>
      </c>
      <c r="B15268" s="17" t="s">
        <v>70</v>
      </c>
      <c r="C15268" s="17" t="s">
        <v>71</v>
      </c>
      <c r="D15268" t="s">
        <v>41150</v>
      </c>
      <c r="F15268" t="s">
        <v>9835</v>
      </c>
      <c r="K15268" s="18">
        <f>6287782075913</f>
        <v>6287782075913</v>
      </c>
      <c r="N15268" s="17" t="s">
        <v>81</v>
      </c>
      <c r="U15268" s="17"/>
      <c r="V15268" s="18">
        <f>6287782075913</f>
        <v>6287782075913</v>
      </c>
      <c r="W15268" t="s">
        <v>41159</v>
      </c>
    </row>
    <row r="15269" ht="15" customHeight="1" spans="1:22" x14ac:dyDescent="0.25">
      <c r="A15269" s="17" t="s">
        <v>41160</v>
      </c>
      <c r="B15269" s="17" t="s">
        <v>70</v>
      </c>
      <c r="C15269" s="17" t="s">
        <v>71</v>
      </c>
      <c r="D15269" t="s">
        <v>41150</v>
      </c>
      <c r="F15269" t="s">
        <v>41161</v>
      </c>
      <c r="K15269" s="18">
        <f>6282211341134</f>
        <v>6282211341134</v>
      </c>
      <c r="N15269" s="17" t="s">
        <v>77</v>
      </c>
      <c r="V15269" s="18">
        <f>6282211341134</f>
        <v>6282211341134</v>
      </c>
    </row>
    <row r="15270" ht="15" customHeight="1" spans="1:27" x14ac:dyDescent="0.25">
      <c r="A15270" s="17" t="s">
        <v>41162</v>
      </c>
      <c r="B15270" s="17" t="s">
        <v>70</v>
      </c>
      <c r="C15270" s="17" t="s">
        <v>71</v>
      </c>
      <c r="D15270" t="s">
        <v>27417</v>
      </c>
      <c r="F15270" t="s">
        <v>7043</v>
      </c>
      <c r="K15270" s="18">
        <v>30061365</v>
      </c>
      <c r="N15270" s="17" t="s">
        <v>77</v>
      </c>
      <c r="U15270" s="17"/>
      <c r="V15270" s="18">
        <v>30061365</v>
      </c>
      <c r="W15270" t="s">
        <v>41163</v>
      </c>
      <c r="Y15270" s="17" t="s">
        <v>378</v>
      </c>
      <c r="AA15270" s="17" t="s">
        <v>9772</v>
      </c>
    </row>
    <row r="15271" ht="15" customHeight="1" spans="1:22" x14ac:dyDescent="0.25">
      <c r="A15271" s="17" t="s">
        <v>41164</v>
      </c>
      <c r="B15271" s="17" t="s">
        <v>70</v>
      </c>
      <c r="C15271" s="17" t="s">
        <v>71</v>
      </c>
      <c r="D15271" t="s">
        <v>41165</v>
      </c>
      <c r="F15271" t="s">
        <v>41165</v>
      </c>
      <c r="K15271" s="18">
        <f>62818888373</f>
        <v>62818888373</v>
      </c>
      <c r="N15271" s="17" t="s">
        <v>81</v>
      </c>
      <c r="V15271" s="18">
        <f>62818888373</f>
        <v>62818888373</v>
      </c>
    </row>
    <row r="15272" ht="15" customHeight="1" spans="1:22" x14ac:dyDescent="0.25">
      <c r="A15272" s="17" t="s">
        <v>41166</v>
      </c>
      <c r="B15272" s="17" t="s">
        <v>70</v>
      </c>
      <c r="C15272" s="17" t="s">
        <v>71</v>
      </c>
      <c r="D15272" t="s">
        <v>41167</v>
      </c>
      <c r="F15272" t="s">
        <v>41167</v>
      </c>
      <c r="K15272" s="18">
        <f>6285780537581</f>
        <v>6285780537581</v>
      </c>
      <c r="N15272" s="17" t="s">
        <v>77</v>
      </c>
      <c r="V15272" s="18">
        <f>6285780537581</f>
        <v>6285780537581</v>
      </c>
    </row>
    <row r="15273" ht="15" customHeight="1" spans="1:28" x14ac:dyDescent="0.25">
      <c r="A15273" s="17" t="s">
        <v>41168</v>
      </c>
      <c r="B15273" s="17" t="s">
        <v>70</v>
      </c>
      <c r="C15273" s="17" t="s">
        <v>71</v>
      </c>
      <c r="D15273" t="s">
        <v>41169</v>
      </c>
      <c r="F15273" t="s">
        <v>2445</v>
      </c>
      <c r="J15273" s="17" t="s">
        <v>41170</v>
      </c>
      <c r="K15273" s="18" t="s">
        <v>41171</v>
      </c>
      <c r="N15273" s="17" t="s">
        <v>81</v>
      </c>
      <c r="O15273" t="s">
        <v>261</v>
      </c>
      <c r="U15273" s="17"/>
      <c r="V15273" s="18" t="s">
        <v>41171</v>
      </c>
      <c r="W15273" t="s">
        <v>41172</v>
      </c>
      <c r="Y15273" t="s">
        <v>90</v>
      </c>
      <c r="AA15273" s="17" t="s">
        <v>118</v>
      </c>
      <c r="AB15273" t="s">
        <v>119</v>
      </c>
    </row>
    <row r="15274" ht="15" customHeight="1" spans="1:28" x14ac:dyDescent="0.25">
      <c r="A15274" s="17" t="s">
        <v>41173</v>
      </c>
      <c r="B15274" s="17" t="s">
        <v>70</v>
      </c>
      <c r="C15274" s="17" t="s">
        <v>71</v>
      </c>
      <c r="D15274" t="s">
        <v>41174</v>
      </c>
      <c r="F15274" t="s">
        <v>30948</v>
      </c>
      <c r="J15274" t="s">
        <v>41175</v>
      </c>
      <c r="K15274" s="18" t="s">
        <v>41176</v>
      </c>
      <c r="N15274" s="17" t="s">
        <v>77</v>
      </c>
      <c r="O15274" t="s">
        <v>117</v>
      </c>
      <c r="V15274" s="18" t="s">
        <v>41176</v>
      </c>
      <c r="Y15274" t="s">
        <v>190</v>
      </c>
      <c r="AA15274" t="s">
        <v>118</v>
      </c>
      <c r="AB15274" t="s">
        <v>119</v>
      </c>
    </row>
    <row r="15275" ht="15" customHeight="1" spans="1:28" x14ac:dyDescent="0.25">
      <c r="A15275" s="17" t="s">
        <v>41177</v>
      </c>
      <c r="B15275" s="17" t="s">
        <v>70</v>
      </c>
      <c r="C15275" s="17" t="s">
        <v>71</v>
      </c>
      <c r="D15275" t="s">
        <v>41178</v>
      </c>
      <c r="F15275" t="s">
        <v>41179</v>
      </c>
      <c r="J15275" s="17" t="s">
        <v>41180</v>
      </c>
      <c r="K15275" s="18" t="s">
        <v>41181</v>
      </c>
      <c r="N15275" s="17" t="s">
        <v>77</v>
      </c>
      <c r="O15275" t="s">
        <v>199</v>
      </c>
      <c r="V15275" s="18" t="s">
        <v>41181</v>
      </c>
      <c r="Y15275" t="s">
        <v>115</v>
      </c>
      <c r="AA15275" t="s">
        <v>115</v>
      </c>
      <c r="AB15275" t="s">
        <v>920</v>
      </c>
    </row>
    <row r="15276" ht="15" customHeight="1" spans="1:23" x14ac:dyDescent="0.25">
      <c r="A15276" s="17" t="s">
        <v>41182</v>
      </c>
      <c r="B15276" s="17" t="s">
        <v>70</v>
      </c>
      <c r="C15276" s="17" t="s">
        <v>71</v>
      </c>
      <c r="D15276" t="s">
        <v>41183</v>
      </c>
      <c r="F15276" t="s">
        <v>13629</v>
      </c>
      <c r="K15276" s="18">
        <f>6285217010184</f>
        <v>6285217010184</v>
      </c>
      <c r="N15276" s="17" t="s">
        <v>77</v>
      </c>
      <c r="U15276" s="17"/>
      <c r="V15276" s="18">
        <f>6285217010184</f>
        <v>6285217010184</v>
      </c>
      <c r="W15276" t="s">
        <v>41184</v>
      </c>
    </row>
    <row r="15277" ht="15" customHeight="1" spans="1:22" x14ac:dyDescent="0.25">
      <c r="A15277" s="17" t="s">
        <v>41185</v>
      </c>
      <c r="B15277" s="17" t="s">
        <v>70</v>
      </c>
      <c r="C15277" s="17" t="s">
        <v>71</v>
      </c>
      <c r="D15277" t="s">
        <v>41186</v>
      </c>
      <c r="F15277" t="s">
        <v>41186</v>
      </c>
      <c r="K15277" s="18">
        <f>6281295000395</f>
        <v>6281295000395</v>
      </c>
      <c r="N15277" s="17" t="s">
        <v>77</v>
      </c>
      <c r="V15277" s="18">
        <f>6281295000395</f>
        <v>6281295000395</v>
      </c>
    </row>
    <row r="15278" ht="15" customHeight="1" spans="1:22" x14ac:dyDescent="0.25">
      <c r="A15278" s="17" t="s">
        <v>41187</v>
      </c>
      <c r="B15278" s="17" t="s">
        <v>70</v>
      </c>
      <c r="C15278" s="17" t="s">
        <v>71</v>
      </c>
      <c r="D15278" t="s">
        <v>41188</v>
      </c>
      <c r="F15278" t="s">
        <v>167</v>
      </c>
      <c r="J15278" s="17" t="s">
        <v>41189</v>
      </c>
      <c r="K15278" s="18">
        <f>6282168686876</f>
        <v>6282168686876</v>
      </c>
      <c r="N15278" s="17" t="s">
        <v>81</v>
      </c>
      <c r="V15278" s="18">
        <f>6282168686876</f>
        <v>6282168686876</v>
      </c>
    </row>
    <row r="15279" ht="15" customHeight="1" spans="1:22" x14ac:dyDescent="0.25">
      <c r="A15279" s="17" t="s">
        <v>41190</v>
      </c>
      <c r="B15279" s="17" t="s">
        <v>70</v>
      </c>
      <c r="C15279" s="17" t="s">
        <v>71</v>
      </c>
      <c r="D15279" t="s">
        <v>41188</v>
      </c>
      <c r="F15279" t="s">
        <v>14643</v>
      </c>
      <c r="K15279" s="18">
        <f>62821686686826</f>
        <v>62821686686826</v>
      </c>
      <c r="N15279" s="17" t="s">
        <v>81</v>
      </c>
      <c r="V15279" s="18">
        <f>62821686686826</f>
        <v>62821686686826</v>
      </c>
    </row>
    <row r="15280" ht="15" customHeight="1" spans="1:25" x14ac:dyDescent="0.25">
      <c r="A15280" s="17" t="s">
        <v>41191</v>
      </c>
      <c r="B15280" s="17" t="s">
        <v>70</v>
      </c>
      <c r="C15280" s="17" t="s">
        <v>71</v>
      </c>
      <c r="D15280" t="s">
        <v>41188</v>
      </c>
      <c r="F15280" t="s">
        <v>2511</v>
      </c>
      <c r="J15280" s="17" t="s">
        <v>41192</v>
      </c>
      <c r="K15280" s="18">
        <f>6281320000222</f>
        <v>6281320000222</v>
      </c>
      <c r="N15280" s="17" t="s">
        <v>74</v>
      </c>
      <c r="U15280" s="17"/>
      <c r="V15280" s="18">
        <f>6281320000222</f>
        <v>6281320000222</v>
      </c>
      <c r="W15280" t="s">
        <v>41193</v>
      </c>
      <c r="Y15280" s="17" t="s">
        <v>96</v>
      </c>
    </row>
    <row r="15281" ht="15" customHeight="1" spans="1:22" x14ac:dyDescent="0.25">
      <c r="A15281" s="17" t="s">
        <v>41194</v>
      </c>
      <c r="B15281" s="17" t="s">
        <v>70</v>
      </c>
      <c r="C15281" s="17" t="s">
        <v>71</v>
      </c>
      <c r="D15281" t="s">
        <v>41195</v>
      </c>
      <c r="F15281" t="s">
        <v>41196</v>
      </c>
      <c r="K15281" s="18">
        <f>6285711234056</f>
        <v>6285711234056</v>
      </c>
      <c r="N15281" s="17" t="s">
        <v>77</v>
      </c>
      <c r="V15281" s="18">
        <f>6285711234056</f>
        <v>6285711234056</v>
      </c>
    </row>
    <row r="15282" ht="15" customHeight="1" spans="1:22" x14ac:dyDescent="0.25">
      <c r="A15282" s="17" t="s">
        <v>41197</v>
      </c>
      <c r="B15282" s="17" t="s">
        <v>70</v>
      </c>
      <c r="C15282" s="17" t="s">
        <v>71</v>
      </c>
      <c r="D15282" t="s">
        <v>41198</v>
      </c>
      <c r="F15282" t="s">
        <v>41198</v>
      </c>
      <c r="K15282" s="18">
        <f>6281297261007</f>
        <v>6281297261007</v>
      </c>
      <c r="N15282" s="17" t="s">
        <v>77</v>
      </c>
      <c r="V15282" s="18">
        <f>6281297261007</f>
        <v>6281297261007</v>
      </c>
    </row>
    <row r="15283" ht="15" customHeight="1" spans="1:27" x14ac:dyDescent="0.25">
      <c r="A15283" s="17" t="s">
        <v>41199</v>
      </c>
      <c r="B15283" s="17" t="s">
        <v>70</v>
      </c>
      <c r="C15283" s="17" t="s">
        <v>71</v>
      </c>
      <c r="D15283" t="s">
        <v>41200</v>
      </c>
      <c r="F15283" t="s">
        <v>1208</v>
      </c>
      <c r="J15283" s="17" t="s">
        <v>41201</v>
      </c>
      <c r="K15283" s="18">
        <f>6282298888277</f>
        <v>6282298888277</v>
      </c>
      <c r="N15283" s="17" t="s">
        <v>81</v>
      </c>
      <c r="U15283" s="17"/>
      <c r="V15283" s="18">
        <f>6282298888277</f>
        <v>6282298888277</v>
      </c>
      <c r="W15283" t="s">
        <v>41202</v>
      </c>
      <c r="AA15283" s="17">
        <v>10350</v>
      </c>
    </row>
    <row r="15284" ht="15" customHeight="1" spans="1:27" x14ac:dyDescent="0.25">
      <c r="A15284" s="17" t="s">
        <v>41203</v>
      </c>
      <c r="B15284" s="17" t="s">
        <v>70</v>
      </c>
      <c r="C15284" s="17" t="s">
        <v>71</v>
      </c>
      <c r="D15284" t="s">
        <v>41204</v>
      </c>
      <c r="F15284" t="s">
        <v>26485</v>
      </c>
      <c r="J15284" s="17" t="s">
        <v>41205</v>
      </c>
      <c r="K15284" s="18">
        <f>6281287373730</f>
        <v>6281287373730</v>
      </c>
      <c r="N15284" s="17" t="s">
        <v>77</v>
      </c>
      <c r="U15284" s="17"/>
      <c r="V15284" s="18">
        <f>6281287373730</f>
        <v>6281287373730</v>
      </c>
      <c r="W15284" t="s">
        <v>41206</v>
      </c>
      <c r="Y15284" s="17" t="s">
        <v>96</v>
      </c>
      <c r="AA15284" s="17">
        <v>12870</v>
      </c>
    </row>
    <row r="15285" ht="15" customHeight="1" spans="1:22" x14ac:dyDescent="0.25">
      <c r="A15285" s="17" t="s">
        <v>41207</v>
      </c>
      <c r="B15285" s="17" t="s">
        <v>70</v>
      </c>
      <c r="C15285" s="17" t="s">
        <v>71</v>
      </c>
      <c r="D15285" t="s">
        <v>41204</v>
      </c>
      <c r="F15285" t="s">
        <v>41208</v>
      </c>
      <c r="K15285" s="18">
        <f>62823298888277</f>
        <v>62823298888277</v>
      </c>
      <c r="N15285" s="17" t="s">
        <v>77</v>
      </c>
      <c r="V15285" s="18">
        <f>62823298888277</f>
        <v>62823298888277</v>
      </c>
    </row>
    <row r="15286" ht="15" customHeight="1" spans="1:28" x14ac:dyDescent="0.25">
      <c r="A15286" s="17" t="s">
        <v>41209</v>
      </c>
      <c r="B15286" s="17" t="s">
        <v>70</v>
      </c>
      <c r="C15286" s="17" t="s">
        <v>71</v>
      </c>
      <c r="D15286" t="s">
        <v>41204</v>
      </c>
      <c r="F15286" t="s">
        <v>2258</v>
      </c>
      <c r="J15286" t="s">
        <v>115</v>
      </c>
      <c r="K15286" s="18" t="s">
        <v>41210</v>
      </c>
      <c r="N15286" s="17" t="s">
        <v>77</v>
      </c>
      <c r="O15286" t="s">
        <v>489</v>
      </c>
      <c r="U15286" s="17"/>
      <c r="V15286" s="18" t="s">
        <v>41210</v>
      </c>
      <c r="W15286" t="s">
        <v>41211</v>
      </c>
      <c r="Y15286" s="17" t="s">
        <v>25931</v>
      </c>
      <c r="AA15286" t="s">
        <v>115</v>
      </c>
      <c r="AB15286" t="s">
        <v>119</v>
      </c>
    </row>
    <row r="15287" ht="15" customHeight="1" spans="1:22" x14ac:dyDescent="0.25">
      <c r="A15287" s="17" t="s">
        <v>41212</v>
      </c>
      <c r="B15287" s="17" t="s">
        <v>70</v>
      </c>
      <c r="C15287" s="17" t="s">
        <v>71</v>
      </c>
      <c r="D15287" t="s">
        <v>10323</v>
      </c>
      <c r="F15287" t="s">
        <v>10323</v>
      </c>
      <c r="K15287" s="18">
        <f>6282211819999</f>
        <v>6282211819999</v>
      </c>
      <c r="N15287" s="17" t="s">
        <v>77</v>
      </c>
      <c r="V15287" s="18">
        <f>6282211819999</f>
        <v>6282211819999</v>
      </c>
    </row>
    <row r="15288" ht="15" customHeight="1" spans="1:22" x14ac:dyDescent="0.25">
      <c r="A15288" s="17" t="s">
        <v>41213</v>
      </c>
      <c r="B15288" s="17" t="s">
        <v>70</v>
      </c>
      <c r="C15288" s="17" t="s">
        <v>71</v>
      </c>
      <c r="D15288" t="s">
        <v>41214</v>
      </c>
      <c r="F15288" t="s">
        <v>153</v>
      </c>
      <c r="K15288" s="18">
        <f>62816811608</f>
        <v>62816811608</v>
      </c>
      <c r="N15288" s="17" t="s">
        <v>74</v>
      </c>
      <c r="V15288" s="18">
        <f>62816811608</f>
        <v>62816811608</v>
      </c>
    </row>
    <row r="15289" ht="15" customHeight="1" spans="1:23" x14ac:dyDescent="0.25">
      <c r="A15289" s="17" t="s">
        <v>41215</v>
      </c>
      <c r="B15289" s="17" t="s">
        <v>70</v>
      </c>
      <c r="C15289" s="17" t="s">
        <v>71</v>
      </c>
      <c r="D15289" t="s">
        <v>41216</v>
      </c>
      <c r="F15289" t="s">
        <v>41216</v>
      </c>
      <c r="K15289" s="18">
        <f>62811922792</f>
        <v>62811922792</v>
      </c>
      <c r="N15289" s="17" t="s">
        <v>77</v>
      </c>
      <c r="U15289" s="17"/>
      <c r="V15289" s="18">
        <f>62811922792</f>
        <v>62811922792</v>
      </c>
      <c r="W15289" t="s">
        <v>41217</v>
      </c>
    </row>
    <row r="15290" ht="15" customHeight="1" spans="1:25" x14ac:dyDescent="0.25">
      <c r="A15290" s="17" t="s">
        <v>41218</v>
      </c>
      <c r="B15290" s="17" t="s">
        <v>70</v>
      </c>
      <c r="C15290" s="17" t="s">
        <v>71</v>
      </c>
      <c r="D15290" t="s">
        <v>41216</v>
      </c>
      <c r="F15290" t="s">
        <v>19725</v>
      </c>
      <c r="J15290" s="17" t="s">
        <v>41219</v>
      </c>
      <c r="K15290" s="18">
        <f>62818315311</f>
        <v>62818315311</v>
      </c>
      <c r="N15290" s="17" t="s">
        <v>77</v>
      </c>
      <c r="U15290" s="17"/>
      <c r="V15290" s="18">
        <f>62818315311</f>
        <v>62818315311</v>
      </c>
      <c r="W15290" t="s">
        <v>41220</v>
      </c>
      <c r="Y15290" s="17" t="s">
        <v>96</v>
      </c>
    </row>
    <row r="15291" ht="15" customHeight="1" spans="1:22" x14ac:dyDescent="0.25">
      <c r="A15291" s="17" t="s">
        <v>41221</v>
      </c>
      <c r="B15291" s="17" t="s">
        <v>70</v>
      </c>
      <c r="C15291" s="17" t="s">
        <v>71</v>
      </c>
      <c r="D15291" t="s">
        <v>41216</v>
      </c>
      <c r="F15291" t="s">
        <v>41222</v>
      </c>
      <c r="K15291" s="18">
        <f>628119953393</f>
        <v>628119953393</v>
      </c>
      <c r="N15291" s="17" t="s">
        <v>77</v>
      </c>
      <c r="V15291" s="18">
        <f>628119953393</f>
        <v>628119953393</v>
      </c>
    </row>
    <row r="15292" ht="15" customHeight="1" spans="1:22" x14ac:dyDescent="0.25">
      <c r="A15292" s="17" t="s">
        <v>41223</v>
      </c>
      <c r="B15292" s="17" t="s">
        <v>70</v>
      </c>
      <c r="C15292" s="17" t="s">
        <v>71</v>
      </c>
      <c r="D15292" t="s">
        <v>41216</v>
      </c>
      <c r="F15292" t="s">
        <v>41224</v>
      </c>
      <c r="J15292" s="17" t="s">
        <v>41225</v>
      </c>
      <c r="K15292" s="18">
        <f>62817811811</f>
        <v>62817811811</v>
      </c>
      <c r="N15292" s="17" t="s">
        <v>74</v>
      </c>
      <c r="V15292" s="18">
        <f>62817811811</f>
        <v>62817811811</v>
      </c>
    </row>
    <row r="15293" ht="15" customHeight="1" spans="1:22" x14ac:dyDescent="0.25">
      <c r="A15293" s="17" t="s">
        <v>41226</v>
      </c>
      <c r="B15293" s="17" t="s">
        <v>70</v>
      </c>
      <c r="C15293" s="17" t="s">
        <v>71</v>
      </c>
      <c r="D15293" t="s">
        <v>41216</v>
      </c>
      <c r="F15293" t="s">
        <v>37512</v>
      </c>
      <c r="K15293" s="18">
        <f>628174845874</f>
        <v>628174845874</v>
      </c>
      <c r="N15293" s="17" t="s">
        <v>77</v>
      </c>
      <c r="V15293" s="18">
        <f>628174845874</f>
        <v>628174845874</v>
      </c>
    </row>
    <row r="15294" ht="15" customHeight="1" spans="1:27" x14ac:dyDescent="0.25">
      <c r="A15294" s="17" t="s">
        <v>41227</v>
      </c>
      <c r="B15294" s="17" t="s">
        <v>70</v>
      </c>
      <c r="C15294" s="17" t="s">
        <v>71</v>
      </c>
      <c r="D15294" t="s">
        <v>41228</v>
      </c>
      <c r="F15294" t="s">
        <v>41229</v>
      </c>
      <c r="J15294" s="17" t="s">
        <v>41230</v>
      </c>
      <c r="K15294" s="18">
        <f>62811100602</f>
        <v>62811100602</v>
      </c>
      <c r="N15294" s="17" t="s">
        <v>81</v>
      </c>
      <c r="U15294" s="17"/>
      <c r="V15294" s="18">
        <f>62811100602</f>
        <v>62811100602</v>
      </c>
      <c r="W15294" t="s">
        <v>41231</v>
      </c>
      <c r="Y15294" s="17" t="s">
        <v>515</v>
      </c>
      <c r="AA15294" s="17">
        <v>13820</v>
      </c>
    </row>
    <row r="15295" ht="15" customHeight="1" spans="1:25" x14ac:dyDescent="0.25">
      <c r="A15295" s="17" t="s">
        <v>41232</v>
      </c>
      <c r="B15295" s="17" t="s">
        <v>70</v>
      </c>
      <c r="C15295" s="17" t="s">
        <v>71</v>
      </c>
      <c r="D15295" t="s">
        <v>41233</v>
      </c>
      <c r="F15295" t="s">
        <v>4194</v>
      </c>
      <c r="J15295" s="17" t="s">
        <v>41234</v>
      </c>
      <c r="K15295" s="18">
        <f>628121050693</f>
        <v>628121050693</v>
      </c>
      <c r="N15295" s="17" t="s">
        <v>77</v>
      </c>
      <c r="U15295" s="17"/>
      <c r="V15295" s="18">
        <f>628121050693</f>
        <v>628121050693</v>
      </c>
      <c r="W15295" t="s">
        <v>41235</v>
      </c>
      <c r="Y15295" s="17" t="s">
        <v>217</v>
      </c>
    </row>
    <row r="15296" ht="15" customHeight="1" spans="1:22" x14ac:dyDescent="0.25">
      <c r="A15296" s="17" t="s">
        <v>41236</v>
      </c>
      <c r="B15296" s="17" t="s">
        <v>70</v>
      </c>
      <c r="C15296" s="17" t="s">
        <v>71</v>
      </c>
      <c r="D15296" t="s">
        <v>41237</v>
      </c>
      <c r="F15296" t="s">
        <v>734</v>
      </c>
      <c r="K15296" s="18">
        <f>6282122151166</f>
        <v>6282122151166</v>
      </c>
      <c r="N15296" s="17" t="s">
        <v>81</v>
      </c>
      <c r="V15296" s="18">
        <f>6282122151166</f>
        <v>6282122151166</v>
      </c>
    </row>
    <row r="15297" ht="15" customHeight="1" spans="1:23" x14ac:dyDescent="0.25">
      <c r="A15297" s="17" t="s">
        <v>41238</v>
      </c>
      <c r="B15297" s="17" t="s">
        <v>70</v>
      </c>
      <c r="C15297" s="17" t="s">
        <v>71</v>
      </c>
      <c r="D15297" t="s">
        <v>41239</v>
      </c>
      <c r="F15297" t="s">
        <v>4424</v>
      </c>
      <c r="J15297" s="17" t="s">
        <v>41240</v>
      </c>
      <c r="K15297" s="18">
        <f>628128239955</f>
        <v>628128239955</v>
      </c>
      <c r="N15297" s="17" t="s">
        <v>77</v>
      </c>
      <c r="U15297" s="17"/>
      <c r="V15297" s="18">
        <f>628128239955</f>
        <v>628128239955</v>
      </c>
      <c r="W15297" t="s">
        <v>19040</v>
      </c>
    </row>
    <row r="15298" ht="15" customHeight="1" spans="1:23" x14ac:dyDescent="0.25">
      <c r="A15298" s="17" t="s">
        <v>41241</v>
      </c>
      <c r="B15298" s="17" t="s">
        <v>70</v>
      </c>
      <c r="C15298" s="17" t="s">
        <v>71</v>
      </c>
      <c r="D15298" t="s">
        <v>41242</v>
      </c>
      <c r="F15298" t="s">
        <v>41243</v>
      </c>
      <c r="K15298" s="18">
        <f>628159057282</f>
        <v>628159057282</v>
      </c>
      <c r="N15298" s="17" t="s">
        <v>77</v>
      </c>
      <c r="U15298" s="17"/>
      <c r="V15298" s="18">
        <f>628159057282</f>
        <v>628159057282</v>
      </c>
      <c r="W15298" t="s">
        <v>41244</v>
      </c>
    </row>
    <row r="15299" ht="15" customHeight="1" spans="1:22" x14ac:dyDescent="0.25">
      <c r="A15299" s="17" t="s">
        <v>41245</v>
      </c>
      <c r="B15299" s="17" t="s">
        <v>70</v>
      </c>
      <c r="C15299" s="17" t="s">
        <v>71</v>
      </c>
      <c r="D15299" t="s">
        <v>17052</v>
      </c>
      <c r="F15299" t="s">
        <v>17052</v>
      </c>
      <c r="K15299" s="18">
        <f>6285888159210</f>
        <v>6285888159210</v>
      </c>
      <c r="N15299" s="17" t="s">
        <v>77</v>
      </c>
      <c r="V15299" s="18">
        <f>6285888159210</f>
        <v>6285888159210</v>
      </c>
    </row>
    <row r="15300" ht="15" customHeight="1" spans="1:25" x14ac:dyDescent="0.25">
      <c r="A15300" s="17" t="s">
        <v>41246</v>
      </c>
      <c r="B15300" s="17" t="s">
        <v>70</v>
      </c>
      <c r="C15300" s="17" t="s">
        <v>71</v>
      </c>
      <c r="D15300" t="s">
        <v>17052</v>
      </c>
      <c r="F15300" t="s">
        <v>41247</v>
      </c>
      <c r="K15300" s="18">
        <f>62821908876943</f>
        <v>62821908876943</v>
      </c>
      <c r="N15300" s="17" t="s">
        <v>77</v>
      </c>
      <c r="U15300" s="17"/>
      <c r="V15300" s="18">
        <f>62821908876943</f>
        <v>62821908876943</v>
      </c>
      <c r="W15300" t="s">
        <v>41248</v>
      </c>
      <c r="Y15300" s="17" t="s">
        <v>90</v>
      </c>
    </row>
    <row r="15301" ht="15" customHeight="1" spans="1:22" x14ac:dyDescent="0.25">
      <c r="A15301" s="17" t="s">
        <v>41249</v>
      </c>
      <c r="B15301" s="17" t="s">
        <v>70</v>
      </c>
      <c r="C15301" s="17" t="s">
        <v>71</v>
      </c>
      <c r="D15301" t="s">
        <v>17052</v>
      </c>
      <c r="F15301" t="s">
        <v>1750</v>
      </c>
      <c r="K15301" s="18">
        <f>62811821629</f>
        <v>62811821629</v>
      </c>
      <c r="N15301" s="17" t="s">
        <v>77</v>
      </c>
      <c r="V15301" s="18">
        <f>62811821629</f>
        <v>62811821629</v>
      </c>
    </row>
    <row r="15302" ht="15" customHeight="1" spans="1:22" x14ac:dyDescent="0.25">
      <c r="A15302" s="17" t="s">
        <v>41250</v>
      </c>
      <c r="B15302" s="17" t="s">
        <v>70</v>
      </c>
      <c r="C15302" s="17" t="s">
        <v>71</v>
      </c>
      <c r="D15302" t="s">
        <v>17052</v>
      </c>
      <c r="F15302" t="s">
        <v>1750</v>
      </c>
      <c r="K15302" s="18">
        <f>62811821829</f>
        <v>62811821829</v>
      </c>
      <c r="N15302" s="17" t="s">
        <v>77</v>
      </c>
      <c r="V15302" s="18">
        <f>62811821829</f>
        <v>62811821829</v>
      </c>
    </row>
    <row r="15303" ht="15" customHeight="1" spans="1:22" x14ac:dyDescent="0.25">
      <c r="A15303" s="17" t="s">
        <v>41251</v>
      </c>
      <c r="B15303" s="17" t="s">
        <v>70</v>
      </c>
      <c r="C15303" s="17" t="s">
        <v>71</v>
      </c>
      <c r="D15303" t="s">
        <v>17052</v>
      </c>
      <c r="F15303" t="s">
        <v>1147</v>
      </c>
      <c r="K15303" s="18">
        <f>6281288590159</f>
        <v>6281288590159</v>
      </c>
      <c r="N15303" s="17" t="s">
        <v>81</v>
      </c>
      <c r="V15303" s="18">
        <f>6281288590159</f>
        <v>6281288590159</v>
      </c>
    </row>
    <row r="15304" ht="15" customHeight="1" spans="1:22" x14ac:dyDescent="0.25">
      <c r="A15304" s="17" t="s">
        <v>41252</v>
      </c>
      <c r="B15304" s="17" t="s">
        <v>70</v>
      </c>
      <c r="C15304" s="17" t="s">
        <v>71</v>
      </c>
      <c r="D15304" t="s">
        <v>17052</v>
      </c>
      <c r="F15304" t="s">
        <v>39016</v>
      </c>
      <c r="K15304" s="18">
        <f>6281381003355</f>
        <v>6281381003355</v>
      </c>
      <c r="N15304" s="17" t="s">
        <v>77</v>
      </c>
      <c r="V15304" s="18">
        <f>6281381003355</f>
        <v>6281381003355</v>
      </c>
    </row>
    <row r="15305" ht="15" customHeight="1" spans="1:22" x14ac:dyDescent="0.25">
      <c r="A15305" s="17" t="s">
        <v>41253</v>
      </c>
      <c r="B15305" s="17" t="s">
        <v>70</v>
      </c>
      <c r="C15305" s="17" t="s">
        <v>71</v>
      </c>
      <c r="D15305" t="s">
        <v>41254</v>
      </c>
      <c r="F15305" t="s">
        <v>7900</v>
      </c>
      <c r="K15305" s="18">
        <f>62811891956</f>
        <v>62811891956</v>
      </c>
      <c r="N15305" s="17" t="s">
        <v>77</v>
      </c>
      <c r="V15305" s="18">
        <f>62811891956</f>
        <v>62811891956</v>
      </c>
    </row>
    <row r="15306" ht="15" customHeight="1" spans="1:28" x14ac:dyDescent="0.25">
      <c r="A15306" s="17" t="s">
        <v>41255</v>
      </c>
      <c r="B15306" s="17" t="s">
        <v>70</v>
      </c>
      <c r="C15306" s="17" t="s">
        <v>71</v>
      </c>
      <c r="D15306" t="s">
        <v>41256</v>
      </c>
      <c r="F15306" t="s">
        <v>4194</v>
      </c>
      <c r="J15306" t="s">
        <v>115</v>
      </c>
      <c r="K15306" s="18" t="s">
        <v>41257</v>
      </c>
      <c r="N15306" s="17" t="s">
        <v>77</v>
      </c>
      <c r="O15306" t="s">
        <v>117</v>
      </c>
      <c r="V15306" s="18" t="s">
        <v>41257</v>
      </c>
      <c r="Y15306" t="s">
        <v>90</v>
      </c>
      <c r="AA15306" t="s">
        <v>118</v>
      </c>
      <c r="AB15306" t="s">
        <v>119</v>
      </c>
    </row>
    <row r="15307" ht="15" customHeight="1" spans="1:28" x14ac:dyDescent="0.25">
      <c r="A15307" s="17" t="s">
        <v>41258</v>
      </c>
      <c r="B15307" s="17" t="s">
        <v>70</v>
      </c>
      <c r="C15307" s="17" t="s">
        <v>71</v>
      </c>
      <c r="D15307" t="s">
        <v>31214</v>
      </c>
      <c r="F15307" t="s">
        <v>41259</v>
      </c>
      <c r="J15307" t="s">
        <v>41260</v>
      </c>
      <c r="K15307" s="18" t="s">
        <v>41261</v>
      </c>
      <c r="N15307" s="17" t="s">
        <v>77</v>
      </c>
      <c r="O15307" t="s">
        <v>261</v>
      </c>
      <c r="U15307" s="17"/>
      <c r="V15307" s="18" t="s">
        <v>41261</v>
      </c>
      <c r="W15307" t="s">
        <v>41262</v>
      </c>
      <c r="Y15307" s="17" t="s">
        <v>90</v>
      </c>
      <c r="AA15307" s="17" t="s">
        <v>118</v>
      </c>
      <c r="AB15307" t="s">
        <v>119</v>
      </c>
    </row>
    <row r="15308" ht="15" customHeight="1" spans="1:28" x14ac:dyDescent="0.25">
      <c r="A15308" s="17" t="s">
        <v>41263</v>
      </c>
      <c r="B15308" s="17" t="s">
        <v>70</v>
      </c>
      <c r="C15308" s="17" t="s">
        <v>71</v>
      </c>
      <c r="D15308" t="s">
        <v>41264</v>
      </c>
      <c r="F15308" t="s">
        <v>41265</v>
      </c>
      <c r="J15308" s="17" t="s">
        <v>41266</v>
      </c>
      <c r="K15308" s="18" t="s">
        <v>41267</v>
      </c>
      <c r="N15308" s="17" t="s">
        <v>77</v>
      </c>
      <c r="O15308" t="s">
        <v>199</v>
      </c>
      <c r="V15308" s="18" t="s">
        <v>41267</v>
      </c>
      <c r="Y15308" s="17" t="s">
        <v>920</v>
      </c>
      <c r="AA15308" t="s">
        <v>115</v>
      </c>
      <c r="AB15308" t="s">
        <v>920</v>
      </c>
    </row>
    <row r="15309" ht="15" customHeight="1" spans="1:22" x14ac:dyDescent="0.25">
      <c r="A15309" s="17" t="s">
        <v>41268</v>
      </c>
      <c r="B15309" s="17" t="s">
        <v>70</v>
      </c>
      <c r="C15309" s="17" t="s">
        <v>71</v>
      </c>
      <c r="D15309" t="s">
        <v>41269</v>
      </c>
      <c r="F15309" t="s">
        <v>41269</v>
      </c>
      <c r="K15309" s="18">
        <f>628161438887</f>
        <v>628161438887</v>
      </c>
      <c r="N15309" s="17" t="s">
        <v>81</v>
      </c>
      <c r="V15309" s="18">
        <f>628161438887</f>
        <v>628161438887</v>
      </c>
    </row>
    <row r="15310" ht="15" customHeight="1" spans="1:22" x14ac:dyDescent="0.25">
      <c r="A15310" s="17" t="s">
        <v>41270</v>
      </c>
      <c r="B15310" s="17" t="s">
        <v>70</v>
      </c>
      <c r="C15310" s="17" t="s">
        <v>71</v>
      </c>
      <c r="D15310" t="s">
        <v>10899</v>
      </c>
      <c r="F15310" t="s">
        <v>10899</v>
      </c>
      <c r="K15310" s="18">
        <f>6281311337706</f>
        <v>6281311337706</v>
      </c>
      <c r="N15310" s="17" t="s">
        <v>81</v>
      </c>
      <c r="V15310" s="18">
        <f>6281311337706</f>
        <v>6281311337706</v>
      </c>
    </row>
    <row r="15311" ht="15" customHeight="1" spans="1:22" x14ac:dyDescent="0.25">
      <c r="A15311" s="17" t="s">
        <v>41271</v>
      </c>
      <c r="B15311" s="17" t="s">
        <v>70</v>
      </c>
      <c r="C15311" s="17" t="s">
        <v>71</v>
      </c>
      <c r="D15311" t="s">
        <v>10899</v>
      </c>
      <c r="F15311" t="s">
        <v>10899</v>
      </c>
      <c r="K15311" s="18">
        <f>628151618877</f>
        <v>628151618877</v>
      </c>
      <c r="N15311" s="17" t="s">
        <v>74</v>
      </c>
      <c r="V15311" s="18">
        <f>628151618877</f>
        <v>628151618877</v>
      </c>
    </row>
    <row r="15312" ht="15" customHeight="1" spans="1:23" x14ac:dyDescent="0.25">
      <c r="A15312" s="17" t="s">
        <v>41272</v>
      </c>
      <c r="B15312" s="17" t="s">
        <v>70</v>
      </c>
      <c r="C15312" s="17" t="s">
        <v>71</v>
      </c>
      <c r="D15312" t="s">
        <v>41273</v>
      </c>
      <c r="F15312" t="s">
        <v>41274</v>
      </c>
      <c r="K15312" s="18">
        <f>62811865272</f>
        <v>62811865272</v>
      </c>
      <c r="N15312" s="17" t="s">
        <v>77</v>
      </c>
      <c r="U15312" s="17"/>
      <c r="V15312" s="18">
        <f>62811865272</f>
        <v>62811865272</v>
      </c>
      <c r="W15312" t="s">
        <v>41275</v>
      </c>
    </row>
    <row r="15313" ht="15" customHeight="1" spans="1:28" x14ac:dyDescent="0.25">
      <c r="A15313" s="17" t="s">
        <v>41276</v>
      </c>
      <c r="B15313" s="17" t="s">
        <v>70</v>
      </c>
      <c r="C15313" s="17" t="s">
        <v>71</v>
      </c>
      <c r="D15313" t="s">
        <v>10899</v>
      </c>
      <c r="F15313" t="s">
        <v>41277</v>
      </c>
      <c r="J15313" t="s">
        <v>115</v>
      </c>
      <c r="K15313" s="18" t="s">
        <v>41278</v>
      </c>
      <c r="N15313" s="17" t="s">
        <v>77</v>
      </c>
      <c r="O15313" t="s">
        <v>117</v>
      </c>
      <c r="V15313" s="18" t="s">
        <v>41278</v>
      </c>
      <c r="Y15313" t="s">
        <v>515</v>
      </c>
      <c r="AA15313" t="s">
        <v>1614</v>
      </c>
      <c r="AB15313" t="s">
        <v>119</v>
      </c>
    </row>
    <row r="15314" ht="15" customHeight="1" spans="1:22" x14ac:dyDescent="0.25">
      <c r="A15314" s="17" t="s">
        <v>41279</v>
      </c>
      <c r="B15314" s="17" t="s">
        <v>70</v>
      </c>
      <c r="C15314" s="17" t="s">
        <v>71</v>
      </c>
      <c r="D15314" t="s">
        <v>10899</v>
      </c>
      <c r="F15314" t="s">
        <v>10079</v>
      </c>
      <c r="K15314" s="18">
        <f>6282274999099</f>
        <v>6282274999099</v>
      </c>
      <c r="N15314" s="17" t="s">
        <v>77</v>
      </c>
      <c r="V15314" s="18">
        <f>6282274999099</f>
        <v>6282274999099</v>
      </c>
    </row>
    <row r="15315" ht="15" customHeight="1" spans="1:28" x14ac:dyDescent="0.25">
      <c r="A15315" s="17" t="s">
        <v>41280</v>
      </c>
      <c r="B15315" s="17" t="s">
        <v>70</v>
      </c>
      <c r="C15315" s="17" t="s">
        <v>71</v>
      </c>
      <c r="D15315" t="s">
        <v>10899</v>
      </c>
      <c r="F15315" t="s">
        <v>41281</v>
      </c>
      <c r="J15315" t="s">
        <v>115</v>
      </c>
      <c r="K15315" s="18" t="s">
        <v>41282</v>
      </c>
      <c r="N15315" s="17" t="s">
        <v>77</v>
      </c>
      <c r="O15315" t="s">
        <v>199</v>
      </c>
      <c r="V15315" s="18" t="s">
        <v>41282</v>
      </c>
      <c r="Y15315" t="s">
        <v>115</v>
      </c>
      <c r="AA15315" t="s">
        <v>115</v>
      </c>
      <c r="AB15315" t="s">
        <v>119</v>
      </c>
    </row>
    <row r="15316" ht="15" customHeight="1" spans="1:22" x14ac:dyDescent="0.25">
      <c r="A15316" s="17" t="s">
        <v>41283</v>
      </c>
      <c r="B15316" s="17" t="s">
        <v>70</v>
      </c>
      <c r="C15316" s="17" t="s">
        <v>71</v>
      </c>
      <c r="D15316" t="s">
        <v>41284</v>
      </c>
      <c r="F15316" t="s">
        <v>41285</v>
      </c>
      <c r="K15316" s="18">
        <f>628111752275</f>
        <v>628111752275</v>
      </c>
      <c r="N15316" s="17" t="s">
        <v>77</v>
      </c>
      <c r="V15316" s="18">
        <f>628111752275</f>
        <v>628111752275</v>
      </c>
    </row>
    <row r="15317" ht="15" customHeight="1" spans="1:22" x14ac:dyDescent="0.25">
      <c r="A15317" s="17" t="s">
        <v>41286</v>
      </c>
      <c r="B15317" s="17" t="s">
        <v>70</v>
      </c>
      <c r="C15317" s="17" t="s">
        <v>71</v>
      </c>
      <c r="D15317" t="s">
        <v>41287</v>
      </c>
      <c r="F15317" t="s">
        <v>41288</v>
      </c>
      <c r="K15317" s="18">
        <f>610403599992</f>
        <v>610403599992</v>
      </c>
      <c r="N15317" s="17" t="s">
        <v>81</v>
      </c>
      <c r="V15317" s="18">
        <f>610403599992</f>
        <v>610403599992</v>
      </c>
    </row>
    <row r="15318" ht="15" customHeight="1" spans="1:22" x14ac:dyDescent="0.25">
      <c r="A15318" s="17" t="s">
        <v>41289</v>
      </c>
      <c r="B15318" s="17" t="s">
        <v>70</v>
      </c>
      <c r="C15318" s="17" t="s">
        <v>71</v>
      </c>
      <c r="D15318" t="s">
        <v>41290</v>
      </c>
      <c r="F15318" t="s">
        <v>14441</v>
      </c>
      <c r="K15318" s="18">
        <f>6282242010855</f>
        <v>6282242010855</v>
      </c>
      <c r="N15318" s="17" t="s">
        <v>77</v>
      </c>
      <c r="V15318" s="18">
        <f>6282242010855</f>
        <v>6282242010855</v>
      </c>
    </row>
    <row r="15319" ht="15" customHeight="1" spans="1:22" x14ac:dyDescent="0.25">
      <c r="A15319" s="17" t="s">
        <v>41291</v>
      </c>
      <c r="B15319" s="17" t="s">
        <v>70</v>
      </c>
      <c r="C15319" s="17" t="s">
        <v>71</v>
      </c>
      <c r="D15319" t="s">
        <v>41292</v>
      </c>
      <c r="F15319" t="s">
        <v>41292</v>
      </c>
      <c r="K15319" s="18">
        <f>628164844824</f>
        <v>628164844824</v>
      </c>
      <c r="N15319" s="17" t="s">
        <v>81</v>
      </c>
      <c r="V15319" s="18">
        <f>628164844824</f>
        <v>628164844824</v>
      </c>
    </row>
    <row r="15320" ht="15" customHeight="1" spans="1:22" x14ac:dyDescent="0.25">
      <c r="A15320" s="17" t="s">
        <v>41293</v>
      </c>
      <c r="B15320" s="17" t="s">
        <v>70</v>
      </c>
      <c r="C15320" s="17" t="s">
        <v>71</v>
      </c>
      <c r="D15320" t="s">
        <v>41294</v>
      </c>
      <c r="F15320" t="s">
        <v>8534</v>
      </c>
      <c r="K15320" s="18">
        <f>62811199894</f>
        <v>62811199894</v>
      </c>
      <c r="N15320" s="17" t="s">
        <v>81</v>
      </c>
      <c r="V15320" s="18">
        <f>62811199894</f>
        <v>62811199894</v>
      </c>
    </row>
    <row r="15321" ht="15" customHeight="1" spans="1:22" x14ac:dyDescent="0.25">
      <c r="A15321" s="17" t="s">
        <v>41295</v>
      </c>
      <c r="B15321" s="17" t="s">
        <v>70</v>
      </c>
      <c r="C15321" s="17" t="s">
        <v>71</v>
      </c>
      <c r="D15321" t="s">
        <v>41296</v>
      </c>
      <c r="F15321" t="s">
        <v>41296</v>
      </c>
      <c r="K15321" s="18">
        <f>62811876899</f>
        <v>62811876899</v>
      </c>
      <c r="N15321" s="17" t="s">
        <v>77</v>
      </c>
      <c r="V15321" s="18">
        <f>62811876899</f>
        <v>62811876899</v>
      </c>
    </row>
    <row r="15322" ht="15" customHeight="1" spans="1:22" x14ac:dyDescent="0.25">
      <c r="A15322" s="17" t="s">
        <v>41297</v>
      </c>
      <c r="B15322" s="17" t="s">
        <v>70</v>
      </c>
      <c r="C15322" s="17" t="s">
        <v>71</v>
      </c>
      <c r="D15322" t="s">
        <v>41298</v>
      </c>
      <c r="F15322" t="s">
        <v>41298</v>
      </c>
      <c r="K15322" s="18">
        <f>6281110665632</f>
        <v>6281110665632</v>
      </c>
      <c r="N15322" s="17" t="s">
        <v>81</v>
      </c>
      <c r="V15322" s="18">
        <f>6281110665632</f>
        <v>6281110665632</v>
      </c>
    </row>
    <row r="15323" ht="15" customHeight="1" spans="1:22" x14ac:dyDescent="0.25">
      <c r="A15323" s="17" t="s">
        <v>41299</v>
      </c>
      <c r="B15323" s="17" t="s">
        <v>70</v>
      </c>
      <c r="C15323" s="17" t="s">
        <v>71</v>
      </c>
      <c r="D15323" t="s">
        <v>41300</v>
      </c>
      <c r="F15323" t="s">
        <v>41300</v>
      </c>
      <c r="K15323" s="18">
        <f>628111843709</f>
        <v>628111843709</v>
      </c>
      <c r="N15323" s="17" t="s">
        <v>81</v>
      </c>
      <c r="V15323" s="18">
        <f>628111843709</f>
        <v>628111843709</v>
      </c>
    </row>
    <row r="15324" ht="15" customHeight="1" spans="1:22" x14ac:dyDescent="0.25">
      <c r="A15324" s="17" t="s">
        <v>41301</v>
      </c>
      <c r="B15324" s="17" t="s">
        <v>70</v>
      </c>
      <c r="C15324" s="17" t="s">
        <v>71</v>
      </c>
      <c r="D15324" t="s">
        <v>41302</v>
      </c>
      <c r="F15324" t="s">
        <v>41302</v>
      </c>
      <c r="K15324" s="18">
        <v>52907209</v>
      </c>
      <c r="N15324" s="17" t="s">
        <v>77</v>
      </c>
      <c r="V15324" s="18">
        <v>52907209</v>
      </c>
    </row>
    <row r="15325" ht="15" customHeight="1" spans="1:22" x14ac:dyDescent="0.25">
      <c r="A15325" s="17" t="s">
        <v>41303</v>
      </c>
      <c r="B15325" s="17" t="s">
        <v>70</v>
      </c>
      <c r="C15325" s="17" t="s">
        <v>71</v>
      </c>
      <c r="D15325" t="s">
        <v>41302</v>
      </c>
      <c r="F15325" t="s">
        <v>41302</v>
      </c>
      <c r="K15325" s="18">
        <f>6281903338788</f>
        <v>6281903338788</v>
      </c>
      <c r="N15325" s="17" t="s">
        <v>77</v>
      </c>
      <c r="V15325" s="18">
        <f>6281903338788</f>
        <v>6281903338788</v>
      </c>
    </row>
    <row r="15326" ht="15" customHeight="1" spans="1:28" x14ac:dyDescent="0.25">
      <c r="A15326" s="17" t="s">
        <v>41304</v>
      </c>
      <c r="B15326" s="17" t="s">
        <v>70</v>
      </c>
      <c r="C15326" s="17" t="s">
        <v>71</v>
      </c>
      <c r="D15326" t="s">
        <v>41302</v>
      </c>
      <c r="F15326" t="s">
        <v>3236</v>
      </c>
      <c r="J15326" t="s">
        <v>115</v>
      </c>
      <c r="K15326" s="18" t="s">
        <v>41305</v>
      </c>
      <c r="N15326" s="17" t="s">
        <v>81</v>
      </c>
      <c r="O15326" t="s">
        <v>117</v>
      </c>
      <c r="V15326" s="18" t="s">
        <v>41305</v>
      </c>
      <c r="Y15326" t="s">
        <v>90</v>
      </c>
      <c r="AA15326" t="s">
        <v>118</v>
      </c>
      <c r="AB15326" t="s">
        <v>119</v>
      </c>
    </row>
    <row r="15327" ht="15" customHeight="1" spans="1:22" x14ac:dyDescent="0.25">
      <c r="A15327" s="17" t="s">
        <v>41306</v>
      </c>
      <c r="B15327" s="17" t="s">
        <v>70</v>
      </c>
      <c r="C15327" s="17" t="s">
        <v>71</v>
      </c>
      <c r="D15327" t="s">
        <v>41302</v>
      </c>
      <c r="F15327" t="s">
        <v>41307</v>
      </c>
      <c r="K15327" s="18">
        <f>62817170999</f>
        <v>62817170999</v>
      </c>
      <c r="N15327" s="17" t="s">
        <v>77</v>
      </c>
      <c r="V15327" s="18">
        <f>62817170999</f>
        <v>62817170999</v>
      </c>
    </row>
    <row r="15328" ht="15" customHeight="1" spans="1:28" x14ac:dyDescent="0.25">
      <c r="A15328" s="17" t="s">
        <v>41308</v>
      </c>
      <c r="B15328" s="17" t="s">
        <v>70</v>
      </c>
      <c r="C15328" s="17" t="s">
        <v>71</v>
      </c>
      <c r="D15328" t="s">
        <v>41302</v>
      </c>
      <c r="F15328" t="s">
        <v>11663</v>
      </c>
      <c r="J15328" t="s">
        <v>115</v>
      </c>
      <c r="K15328" s="18" t="s">
        <v>41309</v>
      </c>
      <c r="N15328" s="17" t="s">
        <v>81</v>
      </c>
      <c r="O15328" t="s">
        <v>199</v>
      </c>
      <c r="U15328" s="17"/>
      <c r="V15328" s="18" t="s">
        <v>41309</v>
      </c>
      <c r="W15328" t="s">
        <v>41310</v>
      </c>
      <c r="Y15328" t="s">
        <v>190</v>
      </c>
      <c r="AA15328" t="s">
        <v>118</v>
      </c>
      <c r="AB15328" t="s">
        <v>119</v>
      </c>
    </row>
    <row r="15329" ht="15" customHeight="1" spans="1:22" x14ac:dyDescent="0.25">
      <c r="A15329" s="17" t="s">
        <v>41311</v>
      </c>
      <c r="B15329" s="17" t="s">
        <v>70</v>
      </c>
      <c r="C15329" s="17" t="s">
        <v>71</v>
      </c>
      <c r="D15329" t="s">
        <v>41302</v>
      </c>
      <c r="F15329" t="s">
        <v>12056</v>
      </c>
      <c r="K15329" s="18">
        <f>6281213181989</f>
        <v>6281213181989</v>
      </c>
      <c r="N15329" s="17" t="s">
        <v>77</v>
      </c>
      <c r="V15329" s="18">
        <f>6281213181989</f>
        <v>6281213181989</v>
      </c>
    </row>
    <row r="15330" ht="15" customHeight="1" spans="1:23" x14ac:dyDescent="0.25">
      <c r="A15330" s="17" t="s">
        <v>41312</v>
      </c>
      <c r="B15330" s="17" t="s">
        <v>70</v>
      </c>
      <c r="C15330" s="17" t="s">
        <v>71</v>
      </c>
      <c r="D15330" t="s">
        <v>41302</v>
      </c>
      <c r="F15330" t="s">
        <v>41313</v>
      </c>
      <c r="K15330" s="18">
        <f>62817363573</f>
        <v>62817363573</v>
      </c>
      <c r="N15330" s="17" t="s">
        <v>77</v>
      </c>
      <c r="U15330" s="17"/>
      <c r="V15330" s="18">
        <f>62817363573</f>
        <v>62817363573</v>
      </c>
      <c r="W15330" t="s">
        <v>41314</v>
      </c>
    </row>
    <row r="15331" ht="15" customHeight="1" spans="1:27" x14ac:dyDescent="0.25">
      <c r="A15331" s="17" t="s">
        <v>41315</v>
      </c>
      <c r="B15331" s="17" t="s">
        <v>70</v>
      </c>
      <c r="C15331" s="17" t="s">
        <v>71</v>
      </c>
      <c r="D15331" t="s">
        <v>41302</v>
      </c>
      <c r="F15331" t="s">
        <v>9028</v>
      </c>
      <c r="J15331" s="17" t="s">
        <v>41316</v>
      </c>
      <c r="K15331" s="18">
        <f>628126028778</f>
        <v>628126028778</v>
      </c>
      <c r="N15331" s="17" t="s">
        <v>77</v>
      </c>
      <c r="U15331" s="17"/>
      <c r="V15331" s="18">
        <f>628126028778</f>
        <v>628126028778</v>
      </c>
      <c r="W15331" t="s">
        <v>41317</v>
      </c>
      <c r="AA15331" s="17">
        <v>20114</v>
      </c>
    </row>
    <row r="15332" ht="15" customHeight="1" spans="1:28" x14ac:dyDescent="0.25">
      <c r="A15332" s="17" t="s">
        <v>41318</v>
      </c>
      <c r="B15332" s="17" t="s">
        <v>70</v>
      </c>
      <c r="C15332" s="17" t="s">
        <v>71</v>
      </c>
      <c r="D15332" t="s">
        <v>41302</v>
      </c>
      <c r="F15332" t="s">
        <v>150</v>
      </c>
      <c r="J15332" s="17" t="s">
        <v>41319</v>
      </c>
      <c r="K15332" s="18" t="s">
        <v>41320</v>
      </c>
      <c r="N15332" s="17" t="s">
        <v>74</v>
      </c>
      <c r="O15332" t="s">
        <v>145</v>
      </c>
      <c r="U15332" s="17"/>
      <c r="V15332" s="18" t="s">
        <v>41320</v>
      </c>
      <c r="W15332" t="s">
        <v>41321</v>
      </c>
      <c r="Y15332" s="17" t="s">
        <v>1084</v>
      </c>
      <c r="AA15332" s="17" t="s">
        <v>3146</v>
      </c>
      <c r="AB15332" t="s">
        <v>119</v>
      </c>
    </row>
    <row r="15333" ht="15" customHeight="1" spans="1:28" x14ac:dyDescent="0.25">
      <c r="A15333" s="17" t="s">
        <v>41322</v>
      </c>
      <c r="B15333" s="17" t="s">
        <v>70</v>
      </c>
      <c r="C15333" s="17" t="s">
        <v>71</v>
      </c>
      <c r="D15333" t="s">
        <v>41302</v>
      </c>
      <c r="F15333" t="s">
        <v>41323</v>
      </c>
      <c r="J15333" s="17" t="s">
        <v>41324</v>
      </c>
      <c r="K15333" s="18" t="s">
        <v>41325</v>
      </c>
      <c r="N15333" s="17" t="s">
        <v>77</v>
      </c>
      <c r="O15333" t="s">
        <v>145</v>
      </c>
      <c r="U15333" s="17"/>
      <c r="V15333" s="18" t="s">
        <v>41325</v>
      </c>
      <c r="W15333" t="s">
        <v>41326</v>
      </c>
      <c r="Y15333" t="s">
        <v>1084</v>
      </c>
      <c r="AA15333" t="s">
        <v>3146</v>
      </c>
      <c r="AB15333" t="s">
        <v>119</v>
      </c>
    </row>
    <row r="15334" ht="15" customHeight="1" spans="1:28" x14ac:dyDescent="0.25">
      <c r="A15334" s="17" t="s">
        <v>41327</v>
      </c>
      <c r="B15334" s="17" t="s">
        <v>70</v>
      </c>
      <c r="C15334" s="17" t="s">
        <v>71</v>
      </c>
      <c r="D15334" t="s">
        <v>41302</v>
      </c>
      <c r="F15334" t="s">
        <v>41328</v>
      </c>
      <c r="J15334" t="s">
        <v>115</v>
      </c>
      <c r="K15334" s="18" t="s">
        <v>41329</v>
      </c>
      <c r="N15334" s="17" t="s">
        <v>77</v>
      </c>
      <c r="O15334" t="s">
        <v>145</v>
      </c>
      <c r="V15334" s="18" t="s">
        <v>41329</v>
      </c>
      <c r="Y15334" t="s">
        <v>1702</v>
      </c>
      <c r="AA15334" t="s">
        <v>115</v>
      </c>
      <c r="AB15334" t="s">
        <v>119</v>
      </c>
    </row>
    <row r="15335" ht="15" customHeight="1" spans="1:28" x14ac:dyDescent="0.25">
      <c r="A15335" s="17" t="s">
        <v>41330</v>
      </c>
      <c r="B15335" s="17" t="s">
        <v>70</v>
      </c>
      <c r="C15335" s="17" t="s">
        <v>71</v>
      </c>
      <c r="D15335" t="s">
        <v>41302</v>
      </c>
      <c r="F15335" t="s">
        <v>15486</v>
      </c>
      <c r="J15335" s="17" t="s">
        <v>41331</v>
      </c>
      <c r="K15335" s="18" t="s">
        <v>41332</v>
      </c>
      <c r="N15335" s="17" t="s">
        <v>77</v>
      </c>
      <c r="O15335" t="s">
        <v>199</v>
      </c>
      <c r="V15335" s="18" t="s">
        <v>41332</v>
      </c>
      <c r="Y15335" t="s">
        <v>90</v>
      </c>
      <c r="AA15335" t="s">
        <v>118</v>
      </c>
      <c r="AB15335" t="s">
        <v>119</v>
      </c>
    </row>
    <row r="15336" ht="15" customHeight="1" spans="1:22" x14ac:dyDescent="0.25">
      <c r="A15336" s="17" t="s">
        <v>41333</v>
      </c>
      <c r="B15336" s="17" t="s">
        <v>70</v>
      </c>
      <c r="C15336" s="17" t="s">
        <v>71</v>
      </c>
      <c r="D15336" t="s">
        <v>41302</v>
      </c>
      <c r="F15336" t="s">
        <v>8968</v>
      </c>
      <c r="K15336" s="18">
        <f>62811123232</f>
        <v>62811123232</v>
      </c>
      <c r="N15336" s="17" t="s">
        <v>77</v>
      </c>
      <c r="V15336" s="18">
        <f>62811123232</f>
        <v>62811123232</v>
      </c>
    </row>
    <row r="15337" ht="15" customHeight="1" spans="1:22" x14ac:dyDescent="0.25">
      <c r="A15337" s="17" t="s">
        <v>41334</v>
      </c>
      <c r="B15337" s="17" t="s">
        <v>70</v>
      </c>
      <c r="C15337" s="17" t="s">
        <v>71</v>
      </c>
      <c r="D15337" t="s">
        <v>41302</v>
      </c>
      <c r="F15337" t="s">
        <v>4394</v>
      </c>
      <c r="K15337" s="18">
        <f>62818150055</f>
        <v>62818150055</v>
      </c>
      <c r="N15337" s="17" t="s">
        <v>77</v>
      </c>
      <c r="V15337" s="18">
        <f>62818150055</f>
        <v>62818150055</v>
      </c>
    </row>
    <row r="15338" ht="15" customHeight="1" spans="1:22" x14ac:dyDescent="0.25">
      <c r="A15338" s="17" t="s">
        <v>41335</v>
      </c>
      <c r="B15338" s="17" t="s">
        <v>70</v>
      </c>
      <c r="C15338" s="17" t="s">
        <v>71</v>
      </c>
      <c r="D15338" t="s">
        <v>41302</v>
      </c>
      <c r="F15338" t="s">
        <v>12784</v>
      </c>
      <c r="K15338" s="18">
        <f>62816833617</f>
        <v>62816833617</v>
      </c>
      <c r="N15338" s="17" t="s">
        <v>77</v>
      </c>
      <c r="V15338" s="18">
        <f>62816833617</f>
        <v>62816833617</v>
      </c>
    </row>
    <row r="15339" ht="15" customHeight="1" spans="1:28" x14ac:dyDescent="0.25">
      <c r="A15339" s="17" t="s">
        <v>41336</v>
      </c>
      <c r="B15339" s="17" t="s">
        <v>70</v>
      </c>
      <c r="C15339" s="17" t="s">
        <v>71</v>
      </c>
      <c r="D15339" t="s">
        <v>41302</v>
      </c>
      <c r="F15339" t="s">
        <v>3181</v>
      </c>
      <c r="J15339" t="s">
        <v>115</v>
      </c>
      <c r="K15339" s="18" t="s">
        <v>41337</v>
      </c>
      <c r="N15339" s="17" t="s">
        <v>81</v>
      </c>
      <c r="O15339" t="s">
        <v>117</v>
      </c>
      <c r="V15339" s="18" t="s">
        <v>41337</v>
      </c>
      <c r="Y15339" t="s">
        <v>90</v>
      </c>
      <c r="AA15339" t="s">
        <v>118</v>
      </c>
      <c r="AB15339" t="s">
        <v>119</v>
      </c>
    </row>
    <row r="15340" ht="15" customHeight="1" spans="1:28" x14ac:dyDescent="0.25">
      <c r="A15340" s="17" t="s">
        <v>41338</v>
      </c>
      <c r="B15340" s="17" t="s">
        <v>70</v>
      </c>
      <c r="C15340" s="17" t="s">
        <v>71</v>
      </c>
      <c r="D15340" t="s">
        <v>41302</v>
      </c>
      <c r="F15340" t="s">
        <v>41339</v>
      </c>
      <c r="J15340" t="s">
        <v>115</v>
      </c>
      <c r="K15340" s="18" t="s">
        <v>41340</v>
      </c>
      <c r="N15340" s="17" t="s">
        <v>77</v>
      </c>
      <c r="O15340" t="s">
        <v>261</v>
      </c>
      <c r="U15340" s="17"/>
      <c r="V15340" s="18" t="s">
        <v>41340</v>
      </c>
      <c r="W15340" t="s">
        <v>41341</v>
      </c>
      <c r="Y15340" t="s">
        <v>90</v>
      </c>
      <c r="AA15340" t="s">
        <v>118</v>
      </c>
      <c r="AB15340" t="s">
        <v>119</v>
      </c>
    </row>
    <row r="15341" ht="15" customHeight="1" spans="1:25" x14ac:dyDescent="0.25">
      <c r="A15341" s="17" t="s">
        <v>41342</v>
      </c>
      <c r="B15341" s="17" t="s">
        <v>70</v>
      </c>
      <c r="C15341" s="17" t="s">
        <v>71</v>
      </c>
      <c r="D15341" t="s">
        <v>41302</v>
      </c>
      <c r="F15341" t="s">
        <v>28058</v>
      </c>
      <c r="K15341" s="18">
        <f>6281288240907</f>
        <v>6281288240907</v>
      </c>
      <c r="N15341" s="17" t="s">
        <v>81</v>
      </c>
      <c r="U15341" s="17"/>
      <c r="V15341" s="18">
        <f>6281288240907</f>
        <v>6281288240907</v>
      </c>
      <c r="W15341" t="s">
        <v>41343</v>
      </c>
      <c r="Y15341" s="17" t="s">
        <v>384</v>
      </c>
    </row>
    <row r="15342" ht="15" customHeight="1" spans="1:25" x14ac:dyDescent="0.25">
      <c r="A15342" s="17" t="s">
        <v>41344</v>
      </c>
      <c r="B15342" s="17" t="s">
        <v>70</v>
      </c>
      <c r="C15342" s="17" t="s">
        <v>71</v>
      </c>
      <c r="D15342" t="s">
        <v>41302</v>
      </c>
      <c r="F15342" t="s">
        <v>41345</v>
      </c>
      <c r="K15342" s="18">
        <f>628129615045</f>
        <v>628129615045</v>
      </c>
      <c r="N15342" s="17" t="s">
        <v>77</v>
      </c>
      <c r="U15342" s="17"/>
      <c r="V15342" s="18">
        <f>628129615045</f>
        <v>628129615045</v>
      </c>
      <c r="W15342" t="s">
        <v>41346</v>
      </c>
      <c r="Y15342" s="17" t="s">
        <v>96</v>
      </c>
    </row>
    <row r="15343" ht="15" customHeight="1" spans="1:22" x14ac:dyDescent="0.25">
      <c r="A15343" s="17" t="s">
        <v>41347</v>
      </c>
      <c r="B15343" s="17" t="s">
        <v>70</v>
      </c>
      <c r="C15343" s="17" t="s">
        <v>71</v>
      </c>
      <c r="D15343" t="s">
        <v>41302</v>
      </c>
      <c r="F15343" t="s">
        <v>19231</v>
      </c>
      <c r="K15343" s="18">
        <f>6281382168999</f>
        <v>6281382168999</v>
      </c>
      <c r="N15343" s="17" t="s">
        <v>74</v>
      </c>
      <c r="V15343" s="18">
        <f>6281382168999</f>
        <v>6281382168999</v>
      </c>
    </row>
    <row r="15344" ht="15" customHeight="1" spans="1:25" x14ac:dyDescent="0.25">
      <c r="A15344" s="17" t="s">
        <v>41348</v>
      </c>
      <c r="B15344" s="17" t="s">
        <v>70</v>
      </c>
      <c r="C15344" s="17" t="s">
        <v>71</v>
      </c>
      <c r="D15344" t="s">
        <v>41349</v>
      </c>
      <c r="F15344" t="s">
        <v>669</v>
      </c>
      <c r="J15344" s="17" t="s">
        <v>41350</v>
      </c>
      <c r="K15344" s="18">
        <f>6281224821918</f>
        <v>6281224821918</v>
      </c>
      <c r="N15344" s="17" t="s">
        <v>81</v>
      </c>
      <c r="U15344" s="17"/>
      <c r="V15344" s="18">
        <f>6281224821918</f>
        <v>6281224821918</v>
      </c>
      <c r="W15344" t="s">
        <v>41351</v>
      </c>
      <c r="Y15344" s="17" t="s">
        <v>500</v>
      </c>
    </row>
    <row r="15345" ht="15" customHeight="1" spans="1:23" x14ac:dyDescent="0.25">
      <c r="A15345" s="17" t="s">
        <v>41352</v>
      </c>
      <c r="B15345" s="17" t="s">
        <v>70</v>
      </c>
      <c r="C15345" s="17" t="s">
        <v>71</v>
      </c>
      <c r="D15345" t="s">
        <v>41349</v>
      </c>
      <c r="F15345" t="s">
        <v>153</v>
      </c>
      <c r="J15345" s="17" t="s">
        <v>41353</v>
      </c>
      <c r="K15345" s="18">
        <f>62811920395</f>
        <v>62811920395</v>
      </c>
      <c r="N15345" s="17" t="s">
        <v>81</v>
      </c>
      <c r="U15345" s="17"/>
      <c r="V15345" s="18">
        <f>62811920395</f>
        <v>62811920395</v>
      </c>
      <c r="W15345" t="s">
        <v>41354</v>
      </c>
    </row>
    <row r="15346" ht="15" customHeight="1" spans="1:22" x14ac:dyDescent="0.25">
      <c r="A15346" s="17" t="s">
        <v>41355</v>
      </c>
      <c r="B15346" s="17" t="s">
        <v>70</v>
      </c>
      <c r="C15346" s="17" t="s">
        <v>71</v>
      </c>
      <c r="D15346" t="s">
        <v>41356</v>
      </c>
      <c r="F15346" t="s">
        <v>41356</v>
      </c>
      <c r="K15346" s="18">
        <f>6281367104789</f>
        <v>6281367104789</v>
      </c>
      <c r="N15346" s="17" t="s">
        <v>77</v>
      </c>
      <c r="V15346" s="18">
        <f>6281367104789</f>
        <v>6281367104789</v>
      </c>
    </row>
    <row r="15347" ht="15" customHeight="1" spans="1:22" x14ac:dyDescent="0.25">
      <c r="A15347" s="17" t="s">
        <v>41357</v>
      </c>
      <c r="B15347" s="17" t="s">
        <v>70</v>
      </c>
      <c r="C15347" s="17" t="s">
        <v>71</v>
      </c>
      <c r="D15347" t="s">
        <v>41356</v>
      </c>
      <c r="F15347" t="s">
        <v>41356</v>
      </c>
      <c r="K15347" s="18">
        <f>6281905463402</f>
        <v>6281905463402</v>
      </c>
      <c r="N15347" s="17" t="s">
        <v>81</v>
      </c>
      <c r="V15347" s="18">
        <f>6281905463402</f>
        <v>6281905463402</v>
      </c>
    </row>
    <row r="15348" ht="15" customHeight="1" spans="1:22" x14ac:dyDescent="0.25">
      <c r="A15348" s="17" t="s">
        <v>41358</v>
      </c>
      <c r="B15348" s="17" t="s">
        <v>70</v>
      </c>
      <c r="C15348" s="17" t="s">
        <v>71</v>
      </c>
      <c r="D15348" t="s">
        <v>41356</v>
      </c>
      <c r="F15348" t="s">
        <v>41356</v>
      </c>
      <c r="K15348" s="18">
        <f>6281510231113</f>
        <v>6281510231113</v>
      </c>
      <c r="N15348" s="17" t="s">
        <v>77</v>
      </c>
      <c r="V15348" s="18">
        <f>6281510231113</f>
        <v>6281510231113</v>
      </c>
    </row>
    <row r="15349" ht="15" customHeight="1" spans="1:25" x14ac:dyDescent="0.25">
      <c r="A15349" s="17" t="s">
        <v>41359</v>
      </c>
      <c r="B15349" s="17" t="s">
        <v>70</v>
      </c>
      <c r="C15349" s="17" t="s">
        <v>71</v>
      </c>
      <c r="D15349" t="s">
        <v>41356</v>
      </c>
      <c r="F15349" t="s">
        <v>6198</v>
      </c>
      <c r="J15349" s="17" t="s">
        <v>41360</v>
      </c>
      <c r="K15349" s="18">
        <f>6281514020808</f>
        <v>6281514020808</v>
      </c>
      <c r="N15349" s="17" t="s">
        <v>77</v>
      </c>
      <c r="U15349" s="17"/>
      <c r="V15349" s="18">
        <f>6281514020808</f>
        <v>6281514020808</v>
      </c>
      <c r="W15349" t="s">
        <v>41361</v>
      </c>
      <c r="Y15349" s="17" t="s">
        <v>41362</v>
      </c>
    </row>
    <row r="15350" ht="15" customHeight="1" spans="1:28" x14ac:dyDescent="0.25">
      <c r="A15350" s="17" t="s">
        <v>41363</v>
      </c>
      <c r="B15350" s="17" t="s">
        <v>70</v>
      </c>
      <c r="C15350" s="17" t="s">
        <v>71</v>
      </c>
      <c r="D15350" t="s">
        <v>41356</v>
      </c>
      <c r="F15350" t="s">
        <v>31273</v>
      </c>
      <c r="J15350" t="s">
        <v>115</v>
      </c>
      <c r="K15350" s="18" t="s">
        <v>41364</v>
      </c>
      <c r="N15350" s="17" t="s">
        <v>81</v>
      </c>
      <c r="O15350" t="s">
        <v>261</v>
      </c>
      <c r="V15350" s="18" t="s">
        <v>41364</v>
      </c>
      <c r="Y15350" t="s">
        <v>90</v>
      </c>
      <c r="AA15350" t="s">
        <v>118</v>
      </c>
      <c r="AB15350" t="s">
        <v>119</v>
      </c>
    </row>
    <row r="15351" ht="15" customHeight="1" spans="1:25" x14ac:dyDescent="0.25">
      <c r="A15351" s="17" t="s">
        <v>41365</v>
      </c>
      <c r="B15351" s="17" t="s">
        <v>70</v>
      </c>
      <c r="C15351" s="17" t="s">
        <v>71</v>
      </c>
      <c r="D15351" t="s">
        <v>41356</v>
      </c>
      <c r="F15351" t="s">
        <v>29554</v>
      </c>
      <c r="J15351" s="17" t="s">
        <v>41366</v>
      </c>
      <c r="K15351" s="18">
        <f>628196080272</f>
        <v>628196080272</v>
      </c>
      <c r="N15351" s="17" t="s">
        <v>77</v>
      </c>
      <c r="U15351" s="17"/>
      <c r="V15351" s="18">
        <f>628196080272</f>
        <v>628196080272</v>
      </c>
      <c r="W15351" t="s">
        <v>41367</v>
      </c>
      <c r="Y15351" s="17" t="s">
        <v>1157</v>
      </c>
    </row>
    <row r="15352" ht="15" customHeight="1" spans="1:23" x14ac:dyDescent="0.25">
      <c r="A15352" s="17" t="s">
        <v>41368</v>
      </c>
      <c r="B15352" s="17" t="s">
        <v>70</v>
      </c>
      <c r="C15352" s="17" t="s">
        <v>71</v>
      </c>
      <c r="D15352" t="s">
        <v>41356</v>
      </c>
      <c r="F15352" t="s">
        <v>1130</v>
      </c>
      <c r="K15352" s="18">
        <f>62811916168</f>
        <v>62811916168</v>
      </c>
      <c r="N15352" s="17" t="s">
        <v>77</v>
      </c>
      <c r="U15352" s="17"/>
      <c r="V15352" s="18">
        <f>62811916168</f>
        <v>62811916168</v>
      </c>
      <c r="W15352" t="s">
        <v>41369</v>
      </c>
    </row>
    <row r="15353" ht="15" customHeight="1" spans="1:28" x14ac:dyDescent="0.25">
      <c r="A15353" s="17" t="s">
        <v>41370</v>
      </c>
      <c r="B15353" s="17" t="s">
        <v>70</v>
      </c>
      <c r="C15353" s="17" t="s">
        <v>71</v>
      </c>
      <c r="D15353" t="s">
        <v>41356</v>
      </c>
      <c r="F15353" t="s">
        <v>41371</v>
      </c>
      <c r="J15353" s="17" t="s">
        <v>41372</v>
      </c>
      <c r="K15353" s="18" t="s">
        <v>41373</v>
      </c>
      <c r="N15353" s="17" t="s">
        <v>77</v>
      </c>
      <c r="O15353" t="s">
        <v>145</v>
      </c>
      <c r="U15353" s="17"/>
      <c r="V15353" s="18" t="s">
        <v>41373</v>
      </c>
      <c r="W15353" t="s">
        <v>41374</v>
      </c>
      <c r="Y15353" t="s">
        <v>217</v>
      </c>
      <c r="AA15353" t="s">
        <v>218</v>
      </c>
      <c r="AB15353" t="s">
        <v>119</v>
      </c>
    </row>
    <row r="15354" ht="15" customHeight="1" spans="1:22" x14ac:dyDescent="0.25">
      <c r="A15354" s="17" t="s">
        <v>41375</v>
      </c>
      <c r="B15354" s="17" t="s">
        <v>70</v>
      </c>
      <c r="C15354" s="17" t="s">
        <v>71</v>
      </c>
      <c r="D15354" t="s">
        <v>41376</v>
      </c>
      <c r="F15354" t="s">
        <v>41377</v>
      </c>
      <c r="K15354" s="18">
        <f>628161868210</f>
        <v>628161868210</v>
      </c>
      <c r="N15354" s="17" t="s">
        <v>81</v>
      </c>
      <c r="V15354" s="18">
        <f>628161868210</f>
        <v>628161868210</v>
      </c>
    </row>
    <row r="15355" ht="15" customHeight="1" spans="1:23" x14ac:dyDescent="0.25">
      <c r="A15355" s="17" t="s">
        <v>41378</v>
      </c>
      <c r="B15355" s="17" t="s">
        <v>70</v>
      </c>
      <c r="C15355" s="17" t="s">
        <v>71</v>
      </c>
      <c r="D15355" t="s">
        <v>41379</v>
      </c>
      <c r="F15355" t="s">
        <v>41379</v>
      </c>
      <c r="K15355" s="18">
        <f>6281932076780</f>
        <v>6281932076780</v>
      </c>
      <c r="N15355" s="17" t="s">
        <v>77</v>
      </c>
      <c r="U15355" s="17"/>
      <c r="V15355" s="18">
        <f>6281932076780</f>
        <v>6281932076780</v>
      </c>
      <c r="W15355" t="s">
        <v>41380</v>
      </c>
    </row>
    <row r="15356" ht="15" customHeight="1" spans="1:25" x14ac:dyDescent="0.25">
      <c r="A15356" s="17" t="s">
        <v>41381</v>
      </c>
      <c r="B15356" s="17" t="s">
        <v>70</v>
      </c>
      <c r="C15356" s="17" t="s">
        <v>71</v>
      </c>
      <c r="D15356" t="s">
        <v>41379</v>
      </c>
      <c r="F15356" t="s">
        <v>864</v>
      </c>
      <c r="K15356" s="18">
        <f>628116126799</f>
        <v>628116126799</v>
      </c>
      <c r="N15356" s="17" t="s">
        <v>77</v>
      </c>
      <c r="U15356" s="17"/>
      <c r="V15356" s="18">
        <f>628116126799</f>
        <v>628116126799</v>
      </c>
      <c r="W15356" t="s">
        <v>41382</v>
      </c>
      <c r="Y15356" s="17" t="s">
        <v>96</v>
      </c>
    </row>
    <row r="15357" ht="15" customHeight="1" spans="1:23" x14ac:dyDescent="0.25">
      <c r="A15357" s="17" t="s">
        <v>41383</v>
      </c>
      <c r="B15357" s="17" t="s">
        <v>70</v>
      </c>
      <c r="C15357" s="17" t="s">
        <v>71</v>
      </c>
      <c r="D15357" t="s">
        <v>41379</v>
      </c>
      <c r="F15357" t="s">
        <v>3181</v>
      </c>
      <c r="J15357" s="17" t="s">
        <v>41384</v>
      </c>
      <c r="K15357" s="18">
        <f>6281275939393</f>
        <v>6281275939393</v>
      </c>
      <c r="N15357" s="17" t="s">
        <v>81</v>
      </c>
      <c r="U15357" s="17"/>
      <c r="V15357" s="18">
        <f>6281275939393</f>
        <v>6281275939393</v>
      </c>
      <c r="W15357" t="s">
        <v>41385</v>
      </c>
    </row>
    <row r="15358" ht="15" customHeight="1" spans="1:22" x14ac:dyDescent="0.25">
      <c r="A15358" s="17" t="s">
        <v>41386</v>
      </c>
      <c r="B15358" s="17" t="s">
        <v>70</v>
      </c>
      <c r="C15358" s="17" t="s">
        <v>71</v>
      </c>
      <c r="D15358" t="s">
        <v>41387</v>
      </c>
      <c r="F15358" t="s">
        <v>41387</v>
      </c>
      <c r="K15358" s="18">
        <f>62816888709</f>
        <v>62816888709</v>
      </c>
      <c r="N15358" s="17" t="s">
        <v>81</v>
      </c>
      <c r="V15358" s="18">
        <f>62816888709</f>
        <v>62816888709</v>
      </c>
    </row>
    <row r="15359" ht="15" customHeight="1" spans="1:28" x14ac:dyDescent="0.25">
      <c r="A15359" s="17" t="s">
        <v>41388</v>
      </c>
      <c r="B15359" s="17" t="s">
        <v>70</v>
      </c>
      <c r="C15359" s="17" t="s">
        <v>71</v>
      </c>
      <c r="D15359" t="s">
        <v>41387</v>
      </c>
      <c r="F15359" t="s">
        <v>41389</v>
      </c>
      <c r="J15359" s="17" t="s">
        <v>41390</v>
      </c>
      <c r="K15359" s="18" t="s">
        <v>41391</v>
      </c>
      <c r="N15359" s="17" t="s">
        <v>77</v>
      </c>
      <c r="O15359" t="s">
        <v>145</v>
      </c>
      <c r="U15359" s="17"/>
      <c r="V15359" s="18" t="s">
        <v>41391</v>
      </c>
      <c r="W15359" t="s">
        <v>41392</v>
      </c>
      <c r="Y15359" t="s">
        <v>1091</v>
      </c>
      <c r="AA15359" t="s">
        <v>115</v>
      </c>
      <c r="AB15359" t="s">
        <v>119</v>
      </c>
    </row>
    <row r="15360" ht="15" customHeight="1" spans="1:22" x14ac:dyDescent="0.25">
      <c r="A15360" s="17" t="s">
        <v>41393</v>
      </c>
      <c r="B15360" s="17" t="s">
        <v>70</v>
      </c>
      <c r="C15360" s="17" t="s">
        <v>71</v>
      </c>
      <c r="D15360" t="s">
        <v>41387</v>
      </c>
      <c r="F15360" t="s">
        <v>41394</v>
      </c>
      <c r="K15360" s="18">
        <f>62816800338</f>
        <v>62816800338</v>
      </c>
      <c r="N15360" s="17" t="s">
        <v>77</v>
      </c>
      <c r="V15360" s="18">
        <f>62816800338</f>
        <v>62816800338</v>
      </c>
    </row>
    <row r="15361" ht="15" customHeight="1" spans="1:25" x14ac:dyDescent="0.25">
      <c r="A15361" s="17" t="s">
        <v>41395</v>
      </c>
      <c r="B15361" s="17" t="s">
        <v>70</v>
      </c>
      <c r="C15361" s="17" t="s">
        <v>71</v>
      </c>
      <c r="D15361" t="s">
        <v>41396</v>
      </c>
      <c r="F15361" t="s">
        <v>27194</v>
      </c>
      <c r="K15361" s="18">
        <f>6282110151617</f>
        <v>6282110151617</v>
      </c>
      <c r="N15361" s="17" t="s">
        <v>77</v>
      </c>
      <c r="U15361" s="17"/>
      <c r="V15361" s="18">
        <f>6282110151617</f>
        <v>6282110151617</v>
      </c>
      <c r="W15361" t="s">
        <v>41397</v>
      </c>
      <c r="Y15361" s="17" t="s">
        <v>90</v>
      </c>
    </row>
    <row r="15362" ht="15" customHeight="1" spans="1:27" x14ac:dyDescent="0.25">
      <c r="A15362" s="17" t="s">
        <v>41398</v>
      </c>
      <c r="B15362" s="17" t="s">
        <v>70</v>
      </c>
      <c r="C15362" s="17" t="s">
        <v>71</v>
      </c>
      <c r="D15362" t="s">
        <v>41399</v>
      </c>
      <c r="F15362" t="s">
        <v>9218</v>
      </c>
      <c r="J15362" s="17" t="s">
        <v>41400</v>
      </c>
      <c r="K15362" s="18">
        <f>62811959818</f>
        <v>62811959818</v>
      </c>
      <c r="N15362" s="17" t="s">
        <v>77</v>
      </c>
      <c r="U15362" s="17"/>
      <c r="V15362" s="18">
        <f>62811959818</f>
        <v>62811959818</v>
      </c>
      <c r="W15362" t="s">
        <v>41401</v>
      </c>
      <c r="Y15362" s="17" t="s">
        <v>96</v>
      </c>
      <c r="AA15362" s="17">
        <v>12540</v>
      </c>
    </row>
    <row r="15363" ht="15" customHeight="1" spans="1:22" x14ac:dyDescent="0.25">
      <c r="A15363" s="17" t="s">
        <v>41402</v>
      </c>
      <c r="B15363" s="17" t="s">
        <v>70</v>
      </c>
      <c r="C15363" s="17" t="s">
        <v>71</v>
      </c>
      <c r="D15363" t="s">
        <v>41403</v>
      </c>
      <c r="F15363" t="s">
        <v>9486</v>
      </c>
      <c r="K15363" s="18">
        <f>628127413182</f>
        <v>628127413182</v>
      </c>
      <c r="N15363" s="17" t="s">
        <v>77</v>
      </c>
      <c r="V15363" s="18">
        <f>628127413182</f>
        <v>628127413182</v>
      </c>
    </row>
    <row r="15364" ht="15" customHeight="1" spans="1:25" x14ac:dyDescent="0.25">
      <c r="A15364" s="17" t="s">
        <v>41404</v>
      </c>
      <c r="B15364" s="17" t="s">
        <v>70</v>
      </c>
      <c r="C15364" s="17" t="s">
        <v>71</v>
      </c>
      <c r="D15364" t="s">
        <v>41405</v>
      </c>
      <c r="F15364" t="s">
        <v>41406</v>
      </c>
      <c r="J15364" s="17" t="s">
        <v>41407</v>
      </c>
      <c r="K15364" s="18">
        <f>971567779606</f>
        <v>971567779606</v>
      </c>
      <c r="N15364" s="17" t="s">
        <v>77</v>
      </c>
      <c r="U15364" s="17"/>
      <c r="V15364" s="18">
        <f>971567779606</f>
        <v>971567779606</v>
      </c>
      <c r="W15364" t="s">
        <v>41408</v>
      </c>
      <c r="Y15364" s="17" t="s">
        <v>41409</v>
      </c>
    </row>
    <row r="15365" ht="15" customHeight="1" spans="1:23" x14ac:dyDescent="0.25">
      <c r="A15365" s="17" t="s">
        <v>41410</v>
      </c>
      <c r="B15365" s="17" t="s">
        <v>70</v>
      </c>
      <c r="C15365" s="17" t="s">
        <v>71</v>
      </c>
      <c r="D15365" t="s">
        <v>41411</v>
      </c>
      <c r="F15365" t="s">
        <v>41411</v>
      </c>
      <c r="K15365" s="18">
        <f>79295378999</f>
        <v>79295378999</v>
      </c>
      <c r="N15365" s="17" t="s">
        <v>77</v>
      </c>
      <c r="U15365" s="17"/>
      <c r="V15365" s="18">
        <f>79295378999</f>
        <v>79295378999</v>
      </c>
      <c r="W15365" t="s">
        <v>41412</v>
      </c>
    </row>
    <row r="15366" ht="15" customHeight="1" spans="1:28" x14ac:dyDescent="0.25">
      <c r="A15366" s="17" t="s">
        <v>41413</v>
      </c>
      <c r="B15366" s="17" t="s">
        <v>70</v>
      </c>
      <c r="C15366" s="17" t="s">
        <v>71</v>
      </c>
      <c r="D15366" t="s">
        <v>41414</v>
      </c>
      <c r="F15366" t="s">
        <v>41415</v>
      </c>
      <c r="J15366" s="17" t="s">
        <v>41416</v>
      </c>
      <c r="K15366" s="18" t="s">
        <v>41417</v>
      </c>
      <c r="N15366" s="17" t="s">
        <v>74</v>
      </c>
      <c r="O15366" t="s">
        <v>489</v>
      </c>
      <c r="U15366" s="17"/>
      <c r="V15366" s="18" t="s">
        <v>41417</v>
      </c>
      <c r="W15366" t="s">
        <v>41418</v>
      </c>
      <c r="Y15366" s="17" t="s">
        <v>397</v>
      </c>
      <c r="AA15366" t="s">
        <v>1199</v>
      </c>
      <c r="AB15366" t="s">
        <v>119</v>
      </c>
    </row>
    <row r="15367" ht="15" customHeight="1" spans="1:25" x14ac:dyDescent="0.25">
      <c r="A15367" s="17" t="s">
        <v>41419</v>
      </c>
      <c r="B15367" s="17" t="s">
        <v>70</v>
      </c>
      <c r="C15367" s="17" t="s">
        <v>71</v>
      </c>
      <c r="D15367" t="s">
        <v>41420</v>
      </c>
      <c r="F15367" t="s">
        <v>41421</v>
      </c>
      <c r="J15367" s="17" t="s">
        <v>41422</v>
      </c>
      <c r="K15367" s="18">
        <f>6281212129506</f>
        <v>6281212129506</v>
      </c>
      <c r="N15367" s="17" t="s">
        <v>81</v>
      </c>
      <c r="U15367" s="17"/>
      <c r="V15367" s="18">
        <f>6281212129506</f>
        <v>6281212129506</v>
      </c>
      <c r="W15367" t="s">
        <v>41423</v>
      </c>
      <c r="Y15367" s="17" t="s">
        <v>1084</v>
      </c>
    </row>
    <row r="15368" ht="15" customHeight="1" spans="1:23" x14ac:dyDescent="0.25">
      <c r="A15368" s="17" t="s">
        <v>41424</v>
      </c>
      <c r="B15368" s="17" t="s">
        <v>70</v>
      </c>
      <c r="C15368" s="17" t="s">
        <v>71</v>
      </c>
      <c r="D15368" t="s">
        <v>41425</v>
      </c>
      <c r="F15368" t="s">
        <v>11651</v>
      </c>
      <c r="K15368" s="18">
        <f>791472020803</f>
        <v>791472020803</v>
      </c>
      <c r="N15368" s="17" t="s">
        <v>77</v>
      </c>
      <c r="U15368" s="17"/>
      <c r="V15368" s="18">
        <f>791472020803</f>
        <v>791472020803</v>
      </c>
      <c r="W15368" t="s">
        <v>1908</v>
      </c>
    </row>
    <row r="15369" ht="15" customHeight="1" spans="1:23" x14ac:dyDescent="0.25">
      <c r="A15369" s="17" t="s">
        <v>41426</v>
      </c>
      <c r="B15369" s="17" t="s">
        <v>70</v>
      </c>
      <c r="C15369" s="17" t="s">
        <v>71</v>
      </c>
      <c r="D15369" t="s">
        <v>41427</v>
      </c>
      <c r="F15369" t="s">
        <v>1711</v>
      </c>
      <c r="K15369" s="18">
        <f>79264369993</f>
        <v>79264369993</v>
      </c>
      <c r="N15369" s="17" t="s">
        <v>77</v>
      </c>
      <c r="U15369" s="17"/>
      <c r="V15369" s="18" t="s">
        <v>41428</v>
      </c>
      <c r="W15369" t="s">
        <v>1908</v>
      </c>
    </row>
    <row r="15370" ht="15" customHeight="1" spans="1:25" x14ac:dyDescent="0.25">
      <c r="A15370" s="17" t="s">
        <v>41429</v>
      </c>
      <c r="B15370" s="17" t="s">
        <v>70</v>
      </c>
      <c r="C15370" s="17" t="s">
        <v>71</v>
      </c>
      <c r="D15370" t="s">
        <v>41430</v>
      </c>
      <c r="F15370" t="s">
        <v>41431</v>
      </c>
      <c r="K15370" s="18">
        <f>628111271177</f>
        <v>628111271177</v>
      </c>
      <c r="N15370" s="17" t="s">
        <v>77</v>
      </c>
      <c r="U15370" s="17"/>
      <c r="V15370" s="18">
        <f>628111271177</f>
        <v>628111271177</v>
      </c>
      <c r="W15370" t="s">
        <v>41432</v>
      </c>
      <c r="Y15370" s="17" t="s">
        <v>1084</v>
      </c>
    </row>
    <row r="15371" ht="15" customHeight="1" spans="1:23" x14ac:dyDescent="0.25">
      <c r="A15371" s="17" t="s">
        <v>41433</v>
      </c>
      <c r="B15371" s="17" t="s">
        <v>70</v>
      </c>
      <c r="C15371" s="17" t="s">
        <v>71</v>
      </c>
      <c r="D15371" t="s">
        <v>41434</v>
      </c>
      <c r="F15371" t="s">
        <v>29542</v>
      </c>
      <c r="K15371" s="18">
        <f>6281228282800</f>
        <v>6281228282800</v>
      </c>
      <c r="N15371" s="17" t="s">
        <v>77</v>
      </c>
      <c r="U15371" s="17"/>
      <c r="V15371" s="18">
        <f>6281228282800</f>
        <v>6281228282800</v>
      </c>
      <c r="W15371" t="s">
        <v>41435</v>
      </c>
    </row>
    <row r="15372" ht="15" customHeight="1" spans="1:22" x14ac:dyDescent="0.25">
      <c r="A15372" s="17" t="s">
        <v>41436</v>
      </c>
      <c r="B15372" s="17" t="s">
        <v>70</v>
      </c>
      <c r="C15372" s="17" t="s">
        <v>71</v>
      </c>
      <c r="D15372" t="s">
        <v>41437</v>
      </c>
      <c r="F15372" t="s">
        <v>41437</v>
      </c>
      <c r="K15372" s="18">
        <f>6281318820019</f>
        <v>6281318820019</v>
      </c>
      <c r="N15372" s="17" t="s">
        <v>77</v>
      </c>
      <c r="V15372" s="18">
        <f>6281318820019</f>
        <v>6281318820019</v>
      </c>
    </row>
    <row r="15373" ht="15" customHeight="1" spans="1:28" x14ac:dyDescent="0.25">
      <c r="A15373" s="17" t="s">
        <v>41438</v>
      </c>
      <c r="B15373" s="17" t="s">
        <v>70</v>
      </c>
      <c r="C15373" s="17" t="s">
        <v>71</v>
      </c>
      <c r="D15373" t="s">
        <v>41437</v>
      </c>
      <c r="F15373" t="s">
        <v>2159</v>
      </c>
      <c r="J15373" s="17" t="s">
        <v>41439</v>
      </c>
      <c r="K15373" s="18" t="s">
        <v>41440</v>
      </c>
      <c r="N15373" s="17" t="s">
        <v>77</v>
      </c>
      <c r="O15373" t="s">
        <v>199</v>
      </c>
      <c r="U15373" s="17"/>
      <c r="V15373" s="18" t="s">
        <v>41440</v>
      </c>
      <c r="W15373" t="s">
        <v>41441</v>
      </c>
      <c r="Y15373" t="s">
        <v>90</v>
      </c>
      <c r="AA15373" t="s">
        <v>118</v>
      </c>
      <c r="AB15373" t="s">
        <v>119</v>
      </c>
    </row>
    <row r="15374" ht="15" customHeight="1" spans="1:23" x14ac:dyDescent="0.25">
      <c r="A15374" s="17" t="s">
        <v>41442</v>
      </c>
      <c r="B15374" s="17" t="s">
        <v>70</v>
      </c>
      <c r="C15374" s="17" t="s">
        <v>71</v>
      </c>
      <c r="D15374" t="s">
        <v>41437</v>
      </c>
      <c r="F15374" t="s">
        <v>37644</v>
      </c>
      <c r="K15374" s="18">
        <f>62817176336</f>
        <v>62817176336</v>
      </c>
      <c r="N15374" s="17" t="s">
        <v>81</v>
      </c>
      <c r="U15374" s="17"/>
      <c r="V15374" s="18">
        <f>62817176336</f>
        <v>62817176336</v>
      </c>
      <c r="W15374" t="s">
        <v>41443</v>
      </c>
    </row>
    <row r="15375" ht="15" customHeight="1" spans="1:27" x14ac:dyDescent="0.25">
      <c r="A15375" s="17" t="s">
        <v>41444</v>
      </c>
      <c r="B15375" s="17" t="s">
        <v>70</v>
      </c>
      <c r="C15375" s="17" t="s">
        <v>71</v>
      </c>
      <c r="D15375" t="s">
        <v>41437</v>
      </c>
      <c r="F15375" t="s">
        <v>41445</v>
      </c>
      <c r="K15375" s="18">
        <f>6281282352363</f>
        <v>6281282352363</v>
      </c>
      <c r="N15375" s="17" t="s">
        <v>74</v>
      </c>
      <c r="U15375" s="17"/>
      <c r="V15375" s="18">
        <f>6281282352363</f>
        <v>6281282352363</v>
      </c>
      <c r="W15375" t="s">
        <v>41446</v>
      </c>
      <c r="AA15375" s="17">
        <v>11520</v>
      </c>
    </row>
    <row r="15376" ht="15" customHeight="1" spans="1:22" x14ac:dyDescent="0.25">
      <c r="A15376" s="17" t="s">
        <v>41447</v>
      </c>
      <c r="B15376" s="17" t="s">
        <v>70</v>
      </c>
      <c r="C15376" s="17" t="s">
        <v>71</v>
      </c>
      <c r="D15376" t="s">
        <v>41437</v>
      </c>
      <c r="F15376" t="s">
        <v>41448</v>
      </c>
      <c r="K15376" s="18">
        <f>62818868191</f>
        <v>62818868191</v>
      </c>
      <c r="N15376" s="17" t="s">
        <v>77</v>
      </c>
      <c r="V15376" s="18">
        <f>62818868191</f>
        <v>62818868191</v>
      </c>
    </row>
    <row r="15377" ht="15" customHeight="1" spans="1:22" x14ac:dyDescent="0.25">
      <c r="A15377" s="17" t="s">
        <v>41449</v>
      </c>
      <c r="B15377" s="17" t="s">
        <v>70</v>
      </c>
      <c r="C15377" s="17" t="s">
        <v>71</v>
      </c>
      <c r="D15377" t="s">
        <v>41437</v>
      </c>
      <c r="F15377" t="s">
        <v>1608</v>
      </c>
      <c r="K15377" s="18">
        <f>62817853585</f>
        <v>62817853585</v>
      </c>
      <c r="N15377" s="17" t="s">
        <v>77</v>
      </c>
      <c r="V15377" s="18">
        <f>62817853585</f>
        <v>62817853585</v>
      </c>
    </row>
    <row r="15378" ht="15" customHeight="1" spans="1:22" x14ac:dyDescent="0.25">
      <c r="A15378" s="17" t="s">
        <v>41450</v>
      </c>
      <c r="B15378" s="17" t="s">
        <v>70</v>
      </c>
      <c r="C15378" s="17" t="s">
        <v>71</v>
      </c>
      <c r="D15378" t="s">
        <v>41437</v>
      </c>
      <c r="F15378" t="s">
        <v>1608</v>
      </c>
      <c r="K15378" s="18">
        <f>6287800095959</f>
        <v>6287800095959</v>
      </c>
      <c r="N15378" s="17" t="s">
        <v>81</v>
      </c>
      <c r="V15378" s="18">
        <f>6287800095959</f>
        <v>6287800095959</v>
      </c>
    </row>
    <row r="15379" ht="15" customHeight="1" spans="1:22" x14ac:dyDescent="0.25">
      <c r="A15379" s="17" t="s">
        <v>41451</v>
      </c>
      <c r="B15379" s="17" t="s">
        <v>70</v>
      </c>
      <c r="C15379" s="17" t="s">
        <v>71</v>
      </c>
      <c r="D15379" t="s">
        <v>41437</v>
      </c>
      <c r="F15379" t="s">
        <v>41452</v>
      </c>
      <c r="K15379" s="18">
        <f>6281280122888</f>
        <v>6281280122888</v>
      </c>
      <c r="N15379" s="17" t="s">
        <v>74</v>
      </c>
      <c r="V15379" s="18">
        <f>6281280122888</f>
        <v>6281280122888</v>
      </c>
    </row>
    <row r="15380" ht="15" customHeight="1" spans="1:23" x14ac:dyDescent="0.25">
      <c r="A15380" s="17" t="s">
        <v>41453</v>
      </c>
      <c r="B15380" s="17" t="s">
        <v>70</v>
      </c>
      <c r="C15380" s="17" t="s">
        <v>71</v>
      </c>
      <c r="D15380" t="s">
        <v>41437</v>
      </c>
      <c r="F15380" t="s">
        <v>41454</v>
      </c>
      <c r="K15380" s="18">
        <f>62818331881</f>
        <v>62818331881</v>
      </c>
      <c r="N15380" s="17" t="s">
        <v>74</v>
      </c>
      <c r="U15380" s="17"/>
      <c r="V15380" s="18">
        <f>62818331881</f>
        <v>62818331881</v>
      </c>
      <c r="W15380" t="s">
        <v>41455</v>
      </c>
    </row>
    <row r="15381" ht="15" customHeight="1" spans="1:22" x14ac:dyDescent="0.25">
      <c r="A15381" s="17" t="s">
        <v>41456</v>
      </c>
      <c r="B15381" s="17" t="s">
        <v>70</v>
      </c>
      <c r="C15381" s="17" t="s">
        <v>71</v>
      </c>
      <c r="D15381" t="s">
        <v>41437</v>
      </c>
      <c r="F15381" t="s">
        <v>20610</v>
      </c>
      <c r="K15381" s="18">
        <f>6281219467618</f>
        <v>6281219467618</v>
      </c>
      <c r="N15381" s="17" t="s">
        <v>81</v>
      </c>
      <c r="V15381" s="18">
        <f>6281219467618</f>
        <v>6281219467618</v>
      </c>
    </row>
    <row r="15382" ht="15" customHeight="1" spans="1:22" x14ac:dyDescent="0.25">
      <c r="A15382" s="17" t="s">
        <v>41457</v>
      </c>
      <c r="B15382" s="17" t="s">
        <v>70</v>
      </c>
      <c r="C15382" s="17" t="s">
        <v>71</v>
      </c>
      <c r="D15382" t="s">
        <v>41458</v>
      </c>
      <c r="F15382" t="s">
        <v>41459</v>
      </c>
      <c r="K15382" s="18">
        <f>6285342434038</f>
        <v>6285342434038</v>
      </c>
      <c r="N15382" s="17" t="s">
        <v>74</v>
      </c>
      <c r="V15382" s="18">
        <f>6285342434038</f>
        <v>6285342434038</v>
      </c>
    </row>
    <row r="15383" ht="15" customHeight="1" spans="1:22" x14ac:dyDescent="0.25">
      <c r="A15383" s="17" t="s">
        <v>41460</v>
      </c>
      <c r="B15383" s="17" t="s">
        <v>70</v>
      </c>
      <c r="C15383" s="17" t="s">
        <v>71</v>
      </c>
      <c r="D15383" t="s">
        <v>41461</v>
      </c>
      <c r="F15383" t="s">
        <v>41461</v>
      </c>
      <c r="K15383" s="18">
        <f>628118804524</f>
        <v>628118804524</v>
      </c>
      <c r="N15383" s="17" t="s">
        <v>77</v>
      </c>
      <c r="V15383" s="18">
        <f>628118804524</f>
        <v>628118804524</v>
      </c>
    </row>
    <row r="15384" ht="15" customHeight="1" spans="1:28" x14ac:dyDescent="0.25">
      <c r="A15384" s="17" t="s">
        <v>41462</v>
      </c>
      <c r="B15384" s="17" t="s">
        <v>70</v>
      </c>
      <c r="C15384" s="17" t="s">
        <v>71</v>
      </c>
      <c r="D15384" t="s">
        <v>41463</v>
      </c>
      <c r="F15384" t="s">
        <v>15038</v>
      </c>
      <c r="J15384" t="s">
        <v>115</v>
      </c>
      <c r="K15384" s="18" t="s">
        <v>41464</v>
      </c>
      <c r="N15384" s="17" t="s">
        <v>77</v>
      </c>
      <c r="O15384" t="s">
        <v>261</v>
      </c>
      <c r="U15384" s="17"/>
      <c r="V15384" s="18" t="s">
        <v>41464</v>
      </c>
      <c r="W15384" t="s">
        <v>14935</v>
      </c>
      <c r="Y15384" t="s">
        <v>14935</v>
      </c>
      <c r="AA15384" t="s">
        <v>115</v>
      </c>
      <c r="AB15384" t="s">
        <v>119</v>
      </c>
    </row>
    <row r="15385" ht="15" customHeight="1" spans="1:22" x14ac:dyDescent="0.25">
      <c r="A15385" s="17" t="s">
        <v>41465</v>
      </c>
      <c r="B15385" s="17" t="s">
        <v>70</v>
      </c>
      <c r="C15385" s="17" t="s">
        <v>71</v>
      </c>
      <c r="D15385" t="s">
        <v>41466</v>
      </c>
      <c r="F15385" t="s">
        <v>25039</v>
      </c>
      <c r="K15385" s="18">
        <f>6281340599999</f>
        <v>6281340599999</v>
      </c>
      <c r="N15385" s="17" t="s">
        <v>77</v>
      </c>
      <c r="V15385" s="18">
        <f>6281340599999</f>
        <v>6281340599999</v>
      </c>
    </row>
    <row r="15386" ht="15" customHeight="1" spans="1:28" x14ac:dyDescent="0.25">
      <c r="A15386" s="17" t="s">
        <v>41467</v>
      </c>
      <c r="B15386" s="17" t="s">
        <v>70</v>
      </c>
      <c r="C15386" s="17" t="s">
        <v>71</v>
      </c>
      <c r="D15386" t="s">
        <v>10860</v>
      </c>
      <c r="F15386" t="s">
        <v>41468</v>
      </c>
      <c r="J15386" s="17" t="s">
        <v>41469</v>
      </c>
      <c r="K15386" s="18" t="s">
        <v>41470</v>
      </c>
      <c r="N15386" s="17" t="s">
        <v>77</v>
      </c>
      <c r="O15386" t="s">
        <v>261</v>
      </c>
      <c r="U15386" s="17"/>
      <c r="V15386" s="18" t="s">
        <v>41470</v>
      </c>
      <c r="W15386" t="s">
        <v>37170</v>
      </c>
      <c r="Y15386" t="s">
        <v>37170</v>
      </c>
      <c r="AA15386" t="s">
        <v>115</v>
      </c>
      <c r="AB15386" t="s">
        <v>119</v>
      </c>
    </row>
    <row r="15387" ht="15" customHeight="1" spans="1:23" x14ac:dyDescent="0.25">
      <c r="A15387" s="17" t="s">
        <v>41471</v>
      </c>
      <c r="B15387" s="17" t="s">
        <v>70</v>
      </c>
      <c r="C15387" s="17" t="s">
        <v>71</v>
      </c>
      <c r="D15387" t="s">
        <v>41472</v>
      </c>
      <c r="F15387" t="s">
        <v>41473</v>
      </c>
      <c r="K15387" s="18">
        <f>6281298814292</f>
        <v>6281298814292</v>
      </c>
      <c r="N15387" s="17" t="s">
        <v>81</v>
      </c>
      <c r="U15387" s="17"/>
      <c r="V15387" s="18">
        <f>6281298814292</f>
        <v>6281298814292</v>
      </c>
      <c r="W15387" t="s">
        <v>41474</v>
      </c>
    </row>
    <row r="15388" ht="15" customHeight="1" spans="1:22" x14ac:dyDescent="0.25">
      <c r="A15388" s="17" t="s">
        <v>41475</v>
      </c>
      <c r="B15388" s="17" t="s">
        <v>70</v>
      </c>
      <c r="C15388" s="17" t="s">
        <v>71</v>
      </c>
      <c r="D15388" t="s">
        <v>2004</v>
      </c>
      <c r="F15388" t="s">
        <v>41476</v>
      </c>
      <c r="K15388" s="18">
        <f>628112575475</f>
        <v>628112575475</v>
      </c>
      <c r="N15388" s="17" t="s">
        <v>81</v>
      </c>
      <c r="V15388" s="18">
        <f>628112575475</f>
        <v>628112575475</v>
      </c>
    </row>
    <row r="15389" ht="15" customHeight="1" spans="1:25" x14ac:dyDescent="0.25">
      <c r="A15389" s="17" t="s">
        <v>41477</v>
      </c>
      <c r="B15389" s="17" t="s">
        <v>70</v>
      </c>
      <c r="C15389" s="17" t="s">
        <v>71</v>
      </c>
      <c r="D15389" t="s">
        <v>41478</v>
      </c>
      <c r="F15389" t="s">
        <v>16759</v>
      </c>
      <c r="K15389" s="18">
        <f>622184590991</f>
        <v>622184590991</v>
      </c>
      <c r="N15389" s="17" t="s">
        <v>77</v>
      </c>
      <c r="U15389" s="17"/>
      <c r="V15389" s="18">
        <f>622184590991</f>
        <v>622184590991</v>
      </c>
      <c r="W15389" t="s">
        <v>41479</v>
      </c>
      <c r="Y15389" s="17" t="s">
        <v>397</v>
      </c>
    </row>
    <row r="15390" ht="15" customHeight="1" spans="1:22" x14ac:dyDescent="0.25">
      <c r="A15390" s="17" t="s">
        <v>41480</v>
      </c>
      <c r="B15390" s="17" t="s">
        <v>70</v>
      </c>
      <c r="C15390" s="17" t="s">
        <v>71</v>
      </c>
      <c r="D15390" t="s">
        <v>41481</v>
      </c>
      <c r="F15390" t="s">
        <v>41481</v>
      </c>
      <c r="K15390" s="18">
        <f>628158885445</f>
        <v>628158885445</v>
      </c>
      <c r="N15390" s="17" t="s">
        <v>77</v>
      </c>
      <c r="V15390" s="18">
        <f>628158885445</f>
        <v>628158885445</v>
      </c>
    </row>
    <row r="15391" ht="15" customHeight="1" spans="1:22" x14ac:dyDescent="0.25">
      <c r="A15391" s="17" t="s">
        <v>41482</v>
      </c>
      <c r="B15391" s="17" t="s">
        <v>70</v>
      </c>
      <c r="C15391" s="17" t="s">
        <v>71</v>
      </c>
      <c r="D15391" t="s">
        <v>41483</v>
      </c>
      <c r="F15391" t="s">
        <v>41483</v>
      </c>
      <c r="K15391" s="18">
        <f>628123016231</f>
        <v>628123016231</v>
      </c>
      <c r="N15391" s="17" t="s">
        <v>81</v>
      </c>
      <c r="V15391" s="18">
        <f>628123016231</f>
        <v>628123016231</v>
      </c>
    </row>
    <row r="15392" ht="15" customHeight="1" spans="1:22" x14ac:dyDescent="0.25">
      <c r="A15392" s="17" t="s">
        <v>41484</v>
      </c>
      <c r="B15392" s="17" t="s">
        <v>70</v>
      </c>
      <c r="C15392" s="17" t="s">
        <v>71</v>
      </c>
      <c r="D15392" t="s">
        <v>41485</v>
      </c>
      <c r="F15392" t="s">
        <v>41485</v>
      </c>
      <c r="K15392" s="18">
        <f>62811939488</f>
        <v>62811939488</v>
      </c>
      <c r="N15392" s="17" t="s">
        <v>77</v>
      </c>
      <c r="V15392" s="18">
        <f>62811939488</f>
        <v>62811939488</v>
      </c>
    </row>
    <row r="15393" ht="15" customHeight="1" spans="1:28" x14ac:dyDescent="0.25">
      <c r="A15393" s="17" t="s">
        <v>41486</v>
      </c>
      <c r="B15393" s="17" t="s">
        <v>70</v>
      </c>
      <c r="C15393" s="17" t="s">
        <v>71</v>
      </c>
      <c r="D15393" t="s">
        <v>41487</v>
      </c>
      <c r="F15393" t="s">
        <v>41488</v>
      </c>
      <c r="J15393" t="s">
        <v>115</v>
      </c>
      <c r="K15393" s="18" t="s">
        <v>41489</v>
      </c>
      <c r="N15393" s="17" t="s">
        <v>74</v>
      </c>
      <c r="O15393" t="s">
        <v>261</v>
      </c>
      <c r="U15393" s="17"/>
      <c r="V15393" s="18" t="s">
        <v>41489</v>
      </c>
      <c r="W15393" t="s">
        <v>41490</v>
      </c>
      <c r="Y15393" t="s">
        <v>90</v>
      </c>
      <c r="AA15393" t="s">
        <v>118</v>
      </c>
      <c r="AB15393" t="s">
        <v>119</v>
      </c>
    </row>
    <row r="15394" ht="15" customHeight="1" spans="1:22" x14ac:dyDescent="0.25">
      <c r="A15394" s="17" t="s">
        <v>41491</v>
      </c>
      <c r="B15394" s="17" t="s">
        <v>70</v>
      </c>
      <c r="C15394" s="17" t="s">
        <v>71</v>
      </c>
      <c r="D15394" t="s">
        <v>41492</v>
      </c>
      <c r="F15394" t="s">
        <v>41492</v>
      </c>
      <c r="K15394" s="18">
        <f>6281383783860</f>
        <v>6281383783860</v>
      </c>
      <c r="N15394" s="17" t="s">
        <v>77</v>
      </c>
      <c r="V15394" s="18">
        <f>6281383783860</f>
        <v>6281383783860</v>
      </c>
    </row>
    <row r="15395" ht="15" customHeight="1" spans="1:28" x14ac:dyDescent="0.25">
      <c r="A15395" s="17" t="s">
        <v>41493</v>
      </c>
      <c r="B15395" s="17" t="s">
        <v>70</v>
      </c>
      <c r="C15395" s="17" t="s">
        <v>71</v>
      </c>
      <c r="D15395" t="s">
        <v>41494</v>
      </c>
      <c r="F15395" t="s">
        <v>41492</v>
      </c>
      <c r="J15395" s="17" t="s">
        <v>41495</v>
      </c>
      <c r="K15395" s="18" t="s">
        <v>41496</v>
      </c>
      <c r="N15395" s="17" t="s">
        <v>77</v>
      </c>
      <c r="O15395" t="s">
        <v>145</v>
      </c>
      <c r="U15395" s="17"/>
      <c r="V15395" s="18" t="s">
        <v>41496</v>
      </c>
      <c r="W15395" t="s">
        <v>41497</v>
      </c>
      <c r="Y15395" s="17" t="s">
        <v>148</v>
      </c>
      <c r="AA15395" t="s">
        <v>115</v>
      </c>
      <c r="AB15395" t="s">
        <v>1298</v>
      </c>
    </row>
    <row r="15396" ht="15" customHeight="1" spans="1:22" x14ac:dyDescent="0.25">
      <c r="A15396" s="17" t="s">
        <v>41498</v>
      </c>
      <c r="B15396" s="17" t="s">
        <v>70</v>
      </c>
      <c r="C15396" s="17" t="s">
        <v>71</v>
      </c>
      <c r="D15396" t="s">
        <v>41499</v>
      </c>
      <c r="F15396" t="s">
        <v>2004</v>
      </c>
      <c r="K15396" s="18">
        <f>628115208999</f>
        <v>628115208999</v>
      </c>
      <c r="N15396" s="17" t="s">
        <v>77</v>
      </c>
      <c r="V15396" s="18">
        <f>628115208999</f>
        <v>628115208999</v>
      </c>
    </row>
    <row r="15397" ht="15" customHeight="1" spans="1:22" x14ac:dyDescent="0.25">
      <c r="A15397" s="17" t="s">
        <v>41500</v>
      </c>
      <c r="B15397" s="17" t="s">
        <v>70</v>
      </c>
      <c r="C15397" s="17" t="s">
        <v>71</v>
      </c>
      <c r="D15397" t="s">
        <v>39710</v>
      </c>
      <c r="F15397" t="s">
        <v>39710</v>
      </c>
      <c r="K15397" s="18">
        <f>6281310626626</f>
        <v>6281310626626</v>
      </c>
      <c r="N15397" s="17" t="s">
        <v>74</v>
      </c>
      <c r="V15397" s="18">
        <f>6281310626626</f>
        <v>6281310626626</v>
      </c>
    </row>
    <row r="15398" ht="15" customHeight="1" spans="1:28" x14ac:dyDescent="0.25">
      <c r="A15398" s="17" t="s">
        <v>41501</v>
      </c>
      <c r="B15398" s="17" t="s">
        <v>70</v>
      </c>
      <c r="C15398" s="17" t="s">
        <v>71</v>
      </c>
      <c r="D15398" t="s">
        <v>513</v>
      </c>
      <c r="F15398" t="s">
        <v>41502</v>
      </c>
      <c r="J15398" t="s">
        <v>115</v>
      </c>
      <c r="K15398" s="18" t="s">
        <v>41503</v>
      </c>
      <c r="N15398" s="17" t="s">
        <v>77</v>
      </c>
      <c r="O15398" t="s">
        <v>199</v>
      </c>
      <c r="V15398" s="18" t="s">
        <v>41503</v>
      </c>
      <c r="Y15398" t="s">
        <v>90</v>
      </c>
      <c r="AA15398" t="s">
        <v>118</v>
      </c>
      <c r="AB15398" t="s">
        <v>119</v>
      </c>
    </row>
    <row r="15399" ht="15" customHeight="1" spans="1:23" x14ac:dyDescent="0.25">
      <c r="A15399" s="17" t="s">
        <v>41504</v>
      </c>
      <c r="B15399" s="17" t="s">
        <v>70</v>
      </c>
      <c r="C15399" s="17" t="s">
        <v>71</v>
      </c>
      <c r="D15399" t="s">
        <v>513</v>
      </c>
      <c r="F15399" t="s">
        <v>41505</v>
      </c>
      <c r="K15399" s="18">
        <f>62818586533</f>
        <v>62818586533</v>
      </c>
      <c r="N15399" s="17" t="s">
        <v>81</v>
      </c>
      <c r="U15399" s="17"/>
      <c r="V15399" s="18">
        <f>62818586533</f>
        <v>62818586533</v>
      </c>
      <c r="W15399" t="s">
        <v>41506</v>
      </c>
    </row>
    <row r="15400" ht="15" customHeight="1" spans="1:22" x14ac:dyDescent="0.25">
      <c r="A15400" s="17" t="s">
        <v>41507</v>
      </c>
      <c r="B15400" s="17" t="s">
        <v>70</v>
      </c>
      <c r="C15400" s="17" t="s">
        <v>71</v>
      </c>
      <c r="D15400" t="s">
        <v>513</v>
      </c>
      <c r="F15400" t="s">
        <v>1070</v>
      </c>
      <c r="K15400" s="18">
        <f>62816803290</f>
        <v>62816803290</v>
      </c>
      <c r="N15400" s="17" t="s">
        <v>81</v>
      </c>
      <c r="V15400" s="18">
        <f>62816803290</f>
        <v>62816803290</v>
      </c>
    </row>
    <row r="15401" ht="15" customHeight="1" spans="1:28" x14ac:dyDescent="0.25">
      <c r="A15401" s="17" t="s">
        <v>41508</v>
      </c>
      <c r="B15401" s="17" t="s">
        <v>70</v>
      </c>
      <c r="C15401" s="17" t="s">
        <v>71</v>
      </c>
      <c r="D15401" t="s">
        <v>513</v>
      </c>
      <c r="F15401" t="s">
        <v>1589</v>
      </c>
      <c r="J15401" t="s">
        <v>115</v>
      </c>
      <c r="K15401" s="18" t="s">
        <v>41509</v>
      </c>
      <c r="N15401" s="17" t="s">
        <v>77</v>
      </c>
      <c r="O15401" t="s">
        <v>199</v>
      </c>
      <c r="V15401" s="18" t="s">
        <v>41509</v>
      </c>
      <c r="Y15401" t="s">
        <v>181</v>
      </c>
      <c r="AA15401" t="s">
        <v>1672</v>
      </c>
      <c r="AB15401" t="s">
        <v>119</v>
      </c>
    </row>
    <row r="15402" ht="15" customHeight="1" spans="1:22" x14ac:dyDescent="0.25">
      <c r="A15402" s="17" t="s">
        <v>41510</v>
      </c>
      <c r="B15402" s="17" t="s">
        <v>70</v>
      </c>
      <c r="C15402" s="17" t="s">
        <v>71</v>
      </c>
      <c r="D15402" t="s">
        <v>513</v>
      </c>
      <c r="F15402" t="s">
        <v>7860</v>
      </c>
      <c r="K15402" s="18">
        <f>62811101889</f>
        <v>62811101889</v>
      </c>
      <c r="N15402" s="17" t="s">
        <v>77</v>
      </c>
      <c r="V15402" s="18">
        <f>62811101889</f>
        <v>62811101889</v>
      </c>
    </row>
    <row r="15403" ht="15" customHeight="1" spans="1:22" x14ac:dyDescent="0.25">
      <c r="A15403" s="17" t="s">
        <v>41511</v>
      </c>
      <c r="B15403" s="17" t="s">
        <v>70</v>
      </c>
      <c r="C15403" s="17" t="s">
        <v>71</v>
      </c>
      <c r="D15403" t="s">
        <v>513</v>
      </c>
      <c r="F15403" t="s">
        <v>25123</v>
      </c>
      <c r="K15403" s="18">
        <f>62811542228</f>
        <v>62811542228</v>
      </c>
      <c r="N15403" s="17" t="s">
        <v>77</v>
      </c>
      <c r="V15403" s="18">
        <f>62811542228</f>
        <v>62811542228</v>
      </c>
    </row>
    <row r="15404" ht="15" customHeight="1" spans="1:22" x14ac:dyDescent="0.25">
      <c r="A15404" s="17" t="s">
        <v>41512</v>
      </c>
      <c r="B15404" s="17" t="s">
        <v>70</v>
      </c>
      <c r="C15404" s="17" t="s">
        <v>71</v>
      </c>
      <c r="D15404" t="s">
        <v>4213</v>
      </c>
      <c r="F15404" t="s">
        <v>4213</v>
      </c>
      <c r="K15404" s="18">
        <f>6281296996400</f>
        <v>6281296996400</v>
      </c>
      <c r="N15404" s="17" t="s">
        <v>81</v>
      </c>
      <c r="V15404" s="18">
        <f>6281296996400</f>
        <v>6281296996400</v>
      </c>
    </row>
    <row r="15405" ht="15" customHeight="1" spans="1:28" x14ac:dyDescent="0.25">
      <c r="A15405" s="17" t="s">
        <v>41513</v>
      </c>
      <c r="B15405" s="17" t="s">
        <v>70</v>
      </c>
      <c r="C15405" s="17" t="s">
        <v>71</v>
      </c>
      <c r="D15405" t="s">
        <v>4213</v>
      </c>
      <c r="F15405" t="s">
        <v>4213</v>
      </c>
      <c r="J15405" s="17" t="s">
        <v>11832</v>
      </c>
      <c r="K15405" s="18" t="s">
        <v>41514</v>
      </c>
      <c r="N15405" s="17" t="s">
        <v>77</v>
      </c>
      <c r="O15405" t="s">
        <v>117</v>
      </c>
      <c r="U15405" s="17"/>
      <c r="V15405" s="18" t="s">
        <v>41514</v>
      </c>
      <c r="W15405" t="s">
        <v>11834</v>
      </c>
      <c r="Y15405" s="17" t="s">
        <v>90</v>
      </c>
      <c r="AA15405" t="s">
        <v>118</v>
      </c>
      <c r="AB15405" t="s">
        <v>119</v>
      </c>
    </row>
    <row r="15406" ht="15" customHeight="1" spans="1:27" x14ac:dyDescent="0.25">
      <c r="A15406" s="17" t="s">
        <v>41515</v>
      </c>
      <c r="B15406" s="17" t="s">
        <v>70</v>
      </c>
      <c r="C15406" s="17" t="s">
        <v>71</v>
      </c>
      <c r="D15406" t="s">
        <v>4213</v>
      </c>
      <c r="F15406" t="s">
        <v>2668</v>
      </c>
      <c r="J15406" s="17" t="s">
        <v>41516</v>
      </c>
      <c r="K15406" s="18">
        <f>6281390882225</f>
        <v>6281390882225</v>
      </c>
      <c r="N15406" s="17" t="s">
        <v>81</v>
      </c>
      <c r="U15406" s="17"/>
      <c r="V15406" s="18">
        <f>6281390882225</f>
        <v>6281390882225</v>
      </c>
      <c r="W15406" t="s">
        <v>41517</v>
      </c>
      <c r="Y15406" s="17" t="s">
        <v>41518</v>
      </c>
      <c r="AA15406" s="17">
        <v>55581</v>
      </c>
    </row>
    <row r="15407" ht="15" customHeight="1" spans="1:28" x14ac:dyDescent="0.25">
      <c r="A15407" s="17" t="s">
        <v>41519</v>
      </c>
      <c r="B15407" s="17" t="s">
        <v>70</v>
      </c>
      <c r="C15407" s="17" t="s">
        <v>71</v>
      </c>
      <c r="D15407" t="s">
        <v>41520</v>
      </c>
      <c r="F15407" t="s">
        <v>41520</v>
      </c>
      <c r="J15407" t="s">
        <v>115</v>
      </c>
      <c r="K15407" s="18" t="s">
        <v>41521</v>
      </c>
      <c r="N15407" s="17" t="s">
        <v>77</v>
      </c>
      <c r="O15407" t="s">
        <v>145</v>
      </c>
      <c r="V15407" s="18" t="s">
        <v>41521</v>
      </c>
      <c r="Y15407" t="s">
        <v>1707</v>
      </c>
      <c r="AA15407" t="s">
        <v>115</v>
      </c>
      <c r="AB15407" t="s">
        <v>119</v>
      </c>
    </row>
    <row r="15408" ht="15" customHeight="1" spans="1:22" x14ac:dyDescent="0.25">
      <c r="A15408" s="17" t="s">
        <v>41522</v>
      </c>
      <c r="B15408" s="17" t="s">
        <v>70</v>
      </c>
      <c r="C15408" s="17" t="s">
        <v>71</v>
      </c>
      <c r="D15408" t="s">
        <v>41523</v>
      </c>
      <c r="F15408" t="s">
        <v>41523</v>
      </c>
      <c r="K15408" s="18">
        <f>6282237453400</f>
        <v>6282237453400</v>
      </c>
      <c r="N15408" s="17" t="s">
        <v>81</v>
      </c>
      <c r="V15408" s="18">
        <f>6282237453400</f>
        <v>6282237453400</v>
      </c>
    </row>
    <row r="15409" ht="15" customHeight="1" spans="1:25" x14ac:dyDescent="0.25">
      <c r="A15409" s="17" t="s">
        <v>41524</v>
      </c>
      <c r="B15409" s="17" t="s">
        <v>70</v>
      </c>
      <c r="C15409" s="17" t="s">
        <v>71</v>
      </c>
      <c r="D15409" t="s">
        <v>41525</v>
      </c>
      <c r="F15409" t="s">
        <v>41526</v>
      </c>
      <c r="K15409" s="18">
        <f>966505671158</f>
        <v>966505671158</v>
      </c>
      <c r="N15409" s="17" t="s">
        <v>77</v>
      </c>
      <c r="V15409" s="18">
        <f>966505671158</f>
        <v>966505671158</v>
      </c>
      <c r="Y15409" s="17" t="s">
        <v>22392</v>
      </c>
    </row>
    <row r="15410" ht="15" customHeight="1" spans="1:23" x14ac:dyDescent="0.25">
      <c r="A15410" s="17" t="s">
        <v>41527</v>
      </c>
      <c r="B15410" s="17" t="s">
        <v>70</v>
      </c>
      <c r="C15410" s="17" t="s">
        <v>71</v>
      </c>
      <c r="D15410" t="s">
        <v>41528</v>
      </c>
      <c r="F15410" t="s">
        <v>41529</v>
      </c>
      <c r="K15410" s="18">
        <f>9821096345050</f>
        <v>9821096345050</v>
      </c>
      <c r="N15410" s="17" t="s">
        <v>77</v>
      </c>
      <c r="U15410" s="17"/>
      <c r="V15410" s="18">
        <f>9821096345050</f>
        <v>9821096345050</v>
      </c>
      <c r="W15410" t="s">
        <v>930</v>
      </c>
    </row>
    <row r="15411" ht="15" customHeight="1" spans="1:22" x14ac:dyDescent="0.25">
      <c r="A15411" s="17" t="s">
        <v>41530</v>
      </c>
      <c r="B15411" s="17" t="s">
        <v>70</v>
      </c>
      <c r="C15411" s="17" t="s">
        <v>71</v>
      </c>
      <c r="D15411" t="s">
        <v>27353</v>
      </c>
      <c r="F15411" t="s">
        <v>225</v>
      </c>
      <c r="K15411" s="18">
        <f>6738711976</f>
        <v>6738711976</v>
      </c>
      <c r="N15411" s="17" t="s">
        <v>77</v>
      </c>
      <c r="V15411" s="18">
        <f>6738711976</f>
        <v>6738711976</v>
      </c>
    </row>
    <row r="15412" ht="15" customHeight="1" spans="1:28" x14ac:dyDescent="0.25">
      <c r="A15412" s="17" t="s">
        <v>41531</v>
      </c>
      <c r="B15412" s="17" t="s">
        <v>70</v>
      </c>
      <c r="C15412" s="17" t="s">
        <v>71</v>
      </c>
      <c r="D15412" t="s">
        <v>27353</v>
      </c>
      <c r="F15412" t="s">
        <v>41532</v>
      </c>
      <c r="J15412" t="s">
        <v>115</v>
      </c>
      <c r="K15412" s="18" t="s">
        <v>41533</v>
      </c>
      <c r="N15412" s="17" t="s">
        <v>77</v>
      </c>
      <c r="O15412" t="s">
        <v>145</v>
      </c>
      <c r="V15412" s="18" t="s">
        <v>41533</v>
      </c>
      <c r="Y15412" t="s">
        <v>3140</v>
      </c>
      <c r="AA15412" t="s">
        <v>115</v>
      </c>
      <c r="AB15412" t="s">
        <v>3140</v>
      </c>
    </row>
    <row r="15413" ht="15" customHeight="1" spans="1:23" x14ac:dyDescent="0.25">
      <c r="A15413" s="17" t="s">
        <v>41534</v>
      </c>
      <c r="B15413" s="17" t="s">
        <v>70</v>
      </c>
      <c r="C15413" s="17" t="s">
        <v>71</v>
      </c>
      <c r="D15413" t="s">
        <v>27353</v>
      </c>
      <c r="F15413" t="s">
        <v>5807</v>
      </c>
      <c r="K15413" s="18">
        <f>16472731208</f>
        <v>16472731208</v>
      </c>
      <c r="N15413" s="17" t="s">
        <v>77</v>
      </c>
      <c r="U15413" s="17"/>
      <c r="V15413" s="18">
        <f>16472731208</f>
        <v>16472731208</v>
      </c>
      <c r="W15413" t="s">
        <v>5542</v>
      </c>
    </row>
    <row r="15414" ht="15" customHeight="1" spans="1:22" x14ac:dyDescent="0.25">
      <c r="A15414" s="17" t="s">
        <v>41535</v>
      </c>
      <c r="B15414" s="17" t="s">
        <v>70</v>
      </c>
      <c r="C15414" s="17" t="s">
        <v>71</v>
      </c>
      <c r="D15414" t="s">
        <v>27353</v>
      </c>
      <c r="F15414" t="s">
        <v>23117</v>
      </c>
      <c r="K15414" s="18">
        <f>6281546212121</f>
        <v>6281546212121</v>
      </c>
      <c r="N15414" s="17" t="s">
        <v>81</v>
      </c>
      <c r="V15414" s="18">
        <f>6281546212121</f>
        <v>6281546212121</v>
      </c>
    </row>
    <row r="15415" ht="15" customHeight="1" spans="1:22" x14ac:dyDescent="0.25">
      <c r="A15415" s="17" t="s">
        <v>41536</v>
      </c>
      <c r="B15415" s="17" t="s">
        <v>70</v>
      </c>
      <c r="C15415" s="17" t="s">
        <v>71</v>
      </c>
      <c r="D15415" t="s">
        <v>41537</v>
      </c>
      <c r="F15415" t="s">
        <v>41538</v>
      </c>
      <c r="K15415" s="18">
        <f>8615243665655</f>
        <v>8615243665655</v>
      </c>
      <c r="N15415" s="17" t="s">
        <v>81</v>
      </c>
      <c r="V15415" s="18">
        <f>8615243665655</f>
        <v>8615243665655</v>
      </c>
    </row>
    <row r="15416" ht="15" customHeight="1" spans="1:28" x14ac:dyDescent="0.25">
      <c r="A15416" s="17" t="s">
        <v>41539</v>
      </c>
      <c r="B15416" s="17" t="s">
        <v>70</v>
      </c>
      <c r="C15416" s="17" t="s">
        <v>71</v>
      </c>
      <c r="D15416" t="s">
        <v>41540</v>
      </c>
      <c r="F15416" t="s">
        <v>23840</v>
      </c>
      <c r="J15416" s="17" t="s">
        <v>41541</v>
      </c>
      <c r="K15416" s="18" t="s">
        <v>41542</v>
      </c>
      <c r="N15416" s="17" t="s">
        <v>77</v>
      </c>
      <c r="O15416" t="s">
        <v>117</v>
      </c>
      <c r="V15416" s="18" t="s">
        <v>41542</v>
      </c>
      <c r="Y15416" t="s">
        <v>115</v>
      </c>
      <c r="AA15416" t="s">
        <v>115</v>
      </c>
      <c r="AB15416" t="s">
        <v>3140</v>
      </c>
    </row>
    <row r="15417" ht="15" customHeight="1" spans="1:27" x14ac:dyDescent="0.25">
      <c r="A15417" s="17" t="s">
        <v>41543</v>
      </c>
      <c r="B15417" s="17" t="s">
        <v>70</v>
      </c>
      <c r="C15417" s="17" t="s">
        <v>71</v>
      </c>
      <c r="D15417" t="s">
        <v>4862</v>
      </c>
      <c r="F15417" t="s">
        <v>337</v>
      </c>
      <c r="K15417" s="18">
        <f>62215321474</f>
        <v>62215321474</v>
      </c>
      <c r="N15417" s="17" t="s">
        <v>77</v>
      </c>
      <c r="U15417" s="17"/>
      <c r="V15417" s="18">
        <f>62215321474</f>
        <v>62215321474</v>
      </c>
      <c r="W15417" t="s">
        <v>41544</v>
      </c>
      <c r="Y15417" s="17" t="s">
        <v>626</v>
      </c>
      <c r="AA15417" s="17">
        <v>11530</v>
      </c>
    </row>
    <row r="15418" ht="15" customHeight="1" spans="1:28" x14ac:dyDescent="0.25">
      <c r="A15418" s="17" t="s">
        <v>41545</v>
      </c>
      <c r="B15418" s="17" t="s">
        <v>70</v>
      </c>
      <c r="C15418" s="17" t="s">
        <v>71</v>
      </c>
      <c r="D15418" t="s">
        <v>4862</v>
      </c>
      <c r="F15418" t="s">
        <v>41546</v>
      </c>
      <c r="J15418" t="s">
        <v>115</v>
      </c>
      <c r="K15418" s="18" t="s">
        <v>41547</v>
      </c>
      <c r="N15418" s="17" t="s">
        <v>77</v>
      </c>
      <c r="O15418" t="s">
        <v>489</v>
      </c>
      <c r="V15418" s="18" t="s">
        <v>41547</v>
      </c>
      <c r="Y15418" t="s">
        <v>217</v>
      </c>
      <c r="AA15418" t="s">
        <v>218</v>
      </c>
      <c r="AB15418" t="s">
        <v>119</v>
      </c>
    </row>
    <row r="15419" ht="15" customHeight="1" spans="1:27" x14ac:dyDescent="0.25">
      <c r="A15419" s="17" t="s">
        <v>41548</v>
      </c>
      <c r="B15419" s="17" t="s">
        <v>70</v>
      </c>
      <c r="C15419" s="17" t="s">
        <v>71</v>
      </c>
      <c r="D15419" t="s">
        <v>4862</v>
      </c>
      <c r="F15419" t="s">
        <v>41549</v>
      </c>
      <c r="J15419" s="17" t="s">
        <v>41550</v>
      </c>
      <c r="K15419" s="18">
        <f>62817622288</f>
        <v>62817622288</v>
      </c>
      <c r="N15419" s="17" t="s">
        <v>77</v>
      </c>
      <c r="U15419" s="17"/>
      <c r="V15419" s="18">
        <f>62817622288</f>
        <v>62817622288</v>
      </c>
      <c r="W15419" t="s">
        <v>41551</v>
      </c>
      <c r="Y15419" s="17" t="s">
        <v>41552</v>
      </c>
      <c r="AA15419" s="17">
        <v>11470</v>
      </c>
    </row>
    <row r="15420" ht="15" customHeight="1" spans="1:28" x14ac:dyDescent="0.25">
      <c r="A15420" s="17" t="s">
        <v>41553</v>
      </c>
      <c r="B15420" s="17" t="s">
        <v>70</v>
      </c>
      <c r="C15420" s="17" t="s">
        <v>71</v>
      </c>
      <c r="D15420" t="s">
        <v>4862</v>
      </c>
      <c r="F15420" t="s">
        <v>36133</v>
      </c>
      <c r="J15420" t="s">
        <v>115</v>
      </c>
      <c r="K15420" s="18" t="s">
        <v>41554</v>
      </c>
      <c r="N15420" s="17" t="s">
        <v>77</v>
      </c>
      <c r="O15420" t="s">
        <v>117</v>
      </c>
      <c r="U15420" s="17"/>
      <c r="V15420" s="18" t="s">
        <v>41554</v>
      </c>
      <c r="W15420" t="s">
        <v>41555</v>
      </c>
      <c r="Y15420" s="17" t="s">
        <v>6155</v>
      </c>
      <c r="AA15420" s="17" t="s">
        <v>41556</v>
      </c>
      <c r="AB15420" t="s">
        <v>119</v>
      </c>
    </row>
    <row r="15421" ht="15" customHeight="1" spans="1:22" x14ac:dyDescent="0.25">
      <c r="A15421" s="17" t="s">
        <v>41557</v>
      </c>
      <c r="B15421" s="17" t="s">
        <v>70</v>
      </c>
      <c r="C15421" s="17" t="s">
        <v>71</v>
      </c>
      <c r="D15421" t="s">
        <v>4862</v>
      </c>
      <c r="F15421" t="s">
        <v>41558</v>
      </c>
      <c r="K15421" s="18">
        <f>62816793573</f>
        <v>62816793573</v>
      </c>
      <c r="N15421" s="17" t="s">
        <v>77</v>
      </c>
      <c r="V15421" s="18">
        <f>62816793573</f>
        <v>62816793573</v>
      </c>
    </row>
    <row r="15422" ht="15" customHeight="1" spans="1:28" x14ac:dyDescent="0.25">
      <c r="A15422" s="17" t="s">
        <v>41559</v>
      </c>
      <c r="B15422" s="17" t="s">
        <v>70</v>
      </c>
      <c r="C15422" s="17" t="s">
        <v>71</v>
      </c>
      <c r="D15422" t="s">
        <v>41560</v>
      </c>
      <c r="F15422" t="s">
        <v>24011</v>
      </c>
      <c r="J15422" t="s">
        <v>115</v>
      </c>
      <c r="K15422" s="18" t="s">
        <v>41561</v>
      </c>
      <c r="N15422" s="17" t="s">
        <v>77</v>
      </c>
      <c r="O15422" t="s">
        <v>117</v>
      </c>
      <c r="V15422" s="18" t="s">
        <v>41561</v>
      </c>
      <c r="Y15422" t="s">
        <v>3028</v>
      </c>
      <c r="AA15422" t="s">
        <v>9062</v>
      </c>
      <c r="AB15422" t="s">
        <v>119</v>
      </c>
    </row>
    <row r="15423" ht="15" customHeight="1" spans="1:22" x14ac:dyDescent="0.25">
      <c r="A15423" s="17" t="s">
        <v>41562</v>
      </c>
      <c r="B15423" s="17" t="s">
        <v>70</v>
      </c>
      <c r="C15423" s="17" t="s">
        <v>71</v>
      </c>
      <c r="D15423" t="s">
        <v>41563</v>
      </c>
      <c r="F15423" t="s">
        <v>41564</v>
      </c>
      <c r="K15423" s="18">
        <f>6281216221305</f>
        <v>6281216221305</v>
      </c>
      <c r="N15423" s="17" t="s">
        <v>77</v>
      </c>
      <c r="V15423" s="18">
        <f>6281216221305</f>
        <v>6281216221305</v>
      </c>
    </row>
    <row r="15424" ht="15" customHeight="1" spans="1:28" x14ac:dyDescent="0.25">
      <c r="A15424" s="17" t="s">
        <v>41565</v>
      </c>
      <c r="B15424" s="17" t="s">
        <v>70</v>
      </c>
      <c r="C15424" s="17" t="s">
        <v>71</v>
      </c>
      <c r="D15424" t="s">
        <v>41563</v>
      </c>
      <c r="F15424" t="s">
        <v>41564</v>
      </c>
      <c r="J15424" t="s">
        <v>115</v>
      </c>
      <c r="K15424" s="18" t="s">
        <v>41566</v>
      </c>
      <c r="N15424" s="17" t="s">
        <v>77</v>
      </c>
      <c r="O15424" t="s">
        <v>117</v>
      </c>
      <c r="V15424" s="18" t="s">
        <v>41566</v>
      </c>
      <c r="Y15424" t="s">
        <v>90</v>
      </c>
      <c r="AA15424" t="s">
        <v>118</v>
      </c>
      <c r="AB15424" t="s">
        <v>119</v>
      </c>
    </row>
    <row r="15425" ht="15" customHeight="1" spans="1:22" x14ac:dyDescent="0.25">
      <c r="A15425" s="17" t="s">
        <v>41567</v>
      </c>
      <c r="B15425" s="17" t="s">
        <v>70</v>
      </c>
      <c r="C15425" s="17" t="s">
        <v>71</v>
      </c>
      <c r="D15425" t="s">
        <v>20547</v>
      </c>
      <c r="F15425" t="s">
        <v>41568</v>
      </c>
      <c r="J15425" s="17" t="s">
        <v>41569</v>
      </c>
      <c r="K15425" s="18">
        <f>61403500503</f>
        <v>61403500503</v>
      </c>
      <c r="N15425" s="17" t="s">
        <v>81</v>
      </c>
      <c r="V15425" s="18">
        <f>61403500503</f>
        <v>61403500503</v>
      </c>
    </row>
    <row r="15426" ht="15" customHeight="1" spans="1:28" x14ac:dyDescent="0.25">
      <c r="A15426" s="17" t="s">
        <v>41570</v>
      </c>
      <c r="B15426" s="17" t="s">
        <v>70</v>
      </c>
      <c r="C15426" s="17" t="s">
        <v>71</v>
      </c>
      <c r="D15426" t="s">
        <v>7846</v>
      </c>
      <c r="F15426" t="s">
        <v>41571</v>
      </c>
      <c r="J15426" s="17" t="s">
        <v>41572</v>
      </c>
      <c r="K15426" s="18" t="s">
        <v>41573</v>
      </c>
      <c r="N15426" s="17" t="s">
        <v>77</v>
      </c>
      <c r="O15426" t="s">
        <v>489</v>
      </c>
      <c r="U15426" s="17"/>
      <c r="V15426" s="18" t="s">
        <v>41573</v>
      </c>
      <c r="W15426" t="s">
        <v>3140</v>
      </c>
      <c r="Y15426" t="s">
        <v>14865</v>
      </c>
      <c r="AA15426" t="s">
        <v>115</v>
      </c>
      <c r="AB15426" t="s">
        <v>119</v>
      </c>
    </row>
    <row r="15427" ht="15" customHeight="1" spans="1:22" x14ac:dyDescent="0.25">
      <c r="A15427" s="17" t="s">
        <v>41574</v>
      </c>
      <c r="B15427" s="17" t="s">
        <v>70</v>
      </c>
      <c r="C15427" s="17" t="s">
        <v>71</v>
      </c>
      <c r="D15427" t="s">
        <v>7846</v>
      </c>
      <c r="F15427" t="s">
        <v>41575</v>
      </c>
      <c r="K15427" s="18">
        <v>13072023</v>
      </c>
      <c r="N15427" s="17" t="s">
        <v>81</v>
      </c>
      <c r="V15427" s="18">
        <v>13072023</v>
      </c>
    </row>
    <row r="15428" ht="15" customHeight="1" spans="1:22" x14ac:dyDescent="0.25">
      <c r="A15428" s="17" t="s">
        <v>41576</v>
      </c>
      <c r="B15428" s="17" t="s">
        <v>70</v>
      </c>
      <c r="C15428" s="17" t="s">
        <v>71</v>
      </c>
      <c r="D15428" t="s">
        <v>7846</v>
      </c>
      <c r="F15428" t="s">
        <v>7289</v>
      </c>
      <c r="K15428" s="18">
        <v>18359809222</v>
      </c>
      <c r="N15428" s="17" t="s">
        <v>74</v>
      </c>
      <c r="V15428" s="18">
        <v>18359809222</v>
      </c>
    </row>
    <row r="15429" ht="15" customHeight="1" spans="1:23" x14ac:dyDescent="0.25">
      <c r="A15429" s="17" t="s">
        <v>41577</v>
      </c>
      <c r="B15429" s="17" t="s">
        <v>70</v>
      </c>
      <c r="C15429" s="17" t="s">
        <v>71</v>
      </c>
      <c r="D15429" t="s">
        <v>7846</v>
      </c>
      <c r="F15429" t="s">
        <v>41578</v>
      </c>
      <c r="K15429" s="18">
        <f>8618514752836</f>
        <v>8618514752836</v>
      </c>
      <c r="N15429" s="17" t="s">
        <v>77</v>
      </c>
      <c r="U15429" s="17"/>
      <c r="V15429" s="18" t="s">
        <v>41579</v>
      </c>
      <c r="W15429" t="s">
        <v>3140</v>
      </c>
    </row>
    <row r="15430" ht="15" customHeight="1" spans="1:23" x14ac:dyDescent="0.25">
      <c r="A15430" s="17" t="s">
        <v>41580</v>
      </c>
      <c r="B15430" s="17" t="s">
        <v>70</v>
      </c>
      <c r="C15430" s="17" t="s">
        <v>71</v>
      </c>
      <c r="D15430" t="s">
        <v>7846</v>
      </c>
      <c r="F15430" t="s">
        <v>41581</v>
      </c>
      <c r="K15430" s="18">
        <f>2406022</f>
        <v>2406022</v>
      </c>
      <c r="N15430" s="17" t="s">
        <v>81</v>
      </c>
      <c r="U15430" s="17"/>
      <c r="V15430" s="18">
        <f>2406022</f>
        <v>2406022</v>
      </c>
      <c r="W15430" t="s">
        <v>41582</v>
      </c>
    </row>
    <row r="15431" ht="15" customHeight="1" spans="1:22" x14ac:dyDescent="0.25">
      <c r="A15431" s="17" t="s">
        <v>41583</v>
      </c>
      <c r="B15431" s="17" t="s">
        <v>70</v>
      </c>
      <c r="C15431" s="17" t="s">
        <v>71</v>
      </c>
      <c r="D15431" t="s">
        <v>7846</v>
      </c>
      <c r="F15431" t="s">
        <v>41584</v>
      </c>
      <c r="K15431" s="18">
        <f>6281289694116</f>
        <v>6281289694116</v>
      </c>
      <c r="N15431" s="17" t="s">
        <v>81</v>
      </c>
      <c r="V15431" s="18">
        <f>6281289694116</f>
        <v>6281289694116</v>
      </c>
    </row>
    <row r="15432" ht="15" customHeight="1" spans="1:28" x14ac:dyDescent="0.25">
      <c r="A15432" s="17" t="s">
        <v>41585</v>
      </c>
      <c r="B15432" s="17" t="s">
        <v>70</v>
      </c>
      <c r="C15432" s="17" t="s">
        <v>71</v>
      </c>
      <c r="D15432" t="s">
        <v>7846</v>
      </c>
      <c r="F15432" t="s">
        <v>41586</v>
      </c>
      <c r="J15432" s="17" t="s">
        <v>41587</v>
      </c>
      <c r="K15432" s="18" t="s">
        <v>41588</v>
      </c>
      <c r="N15432" s="17" t="s">
        <v>77</v>
      </c>
      <c r="O15432" t="s">
        <v>145</v>
      </c>
      <c r="V15432" s="18" t="s">
        <v>41588</v>
      </c>
      <c r="Y15432" t="s">
        <v>930</v>
      </c>
      <c r="AA15432" t="s">
        <v>115</v>
      </c>
      <c r="AB15432" t="s">
        <v>930</v>
      </c>
    </row>
    <row r="15433" ht="15" customHeight="1" spans="1:28" x14ac:dyDescent="0.25">
      <c r="A15433" s="17" t="s">
        <v>41589</v>
      </c>
      <c r="B15433" s="17" t="s">
        <v>70</v>
      </c>
      <c r="C15433" s="17" t="s">
        <v>71</v>
      </c>
      <c r="D15433" t="s">
        <v>41590</v>
      </c>
      <c r="F15433" t="s">
        <v>22728</v>
      </c>
      <c r="J15433" t="s">
        <v>115</v>
      </c>
      <c r="K15433" s="18" t="s">
        <v>41591</v>
      </c>
      <c r="N15433" s="17" t="s">
        <v>77</v>
      </c>
      <c r="O15433" t="s">
        <v>117</v>
      </c>
      <c r="V15433" s="18" t="s">
        <v>41591</v>
      </c>
      <c r="Y15433" t="s">
        <v>3140</v>
      </c>
      <c r="AA15433" t="s">
        <v>115</v>
      </c>
      <c r="AB15433" t="s">
        <v>3140</v>
      </c>
    </row>
    <row r="15434" ht="15" customHeight="1" spans="1:23" x14ac:dyDescent="0.25">
      <c r="A15434" s="17" t="s">
        <v>41592</v>
      </c>
      <c r="B15434" s="17" t="s">
        <v>70</v>
      </c>
      <c r="C15434" s="17" t="s">
        <v>71</v>
      </c>
      <c r="D15434" t="s">
        <v>7846</v>
      </c>
      <c r="F15434" t="s">
        <v>41593</v>
      </c>
      <c r="J15434" s="22" t="s">
        <v>41594</v>
      </c>
      <c r="K15434" s="18">
        <v>18911841377</v>
      </c>
      <c r="N15434" s="17" t="s">
        <v>77</v>
      </c>
      <c r="U15434" s="17"/>
      <c r="V15434" s="18">
        <v>18911841377</v>
      </c>
      <c r="W15434" t="s">
        <v>41595</v>
      </c>
    </row>
    <row r="15435" ht="15" customHeight="1" spans="1:22" x14ac:dyDescent="0.25">
      <c r="A15435" s="17" t="s">
        <v>41596</v>
      </c>
      <c r="B15435" s="17" t="s">
        <v>70</v>
      </c>
      <c r="C15435" s="17" t="s">
        <v>71</v>
      </c>
      <c r="D15435" t="s">
        <v>7846</v>
      </c>
      <c r="F15435" t="s">
        <v>8419</v>
      </c>
      <c r="K15435" s="18">
        <f>6281281208859</f>
        <v>6281281208859</v>
      </c>
      <c r="N15435" s="17" t="s">
        <v>77</v>
      </c>
      <c r="V15435" s="18">
        <f>6281281208859</f>
        <v>6281281208859</v>
      </c>
    </row>
    <row r="15436" ht="15" customHeight="1" spans="1:28" x14ac:dyDescent="0.25">
      <c r="A15436" s="17" t="s">
        <v>41597</v>
      </c>
      <c r="B15436" s="17" t="s">
        <v>70</v>
      </c>
      <c r="C15436" s="17" t="s">
        <v>71</v>
      </c>
      <c r="D15436" t="s">
        <v>7846</v>
      </c>
      <c r="F15436" t="s">
        <v>24341</v>
      </c>
      <c r="J15436" t="s">
        <v>115</v>
      </c>
      <c r="K15436" s="18" t="s">
        <v>41598</v>
      </c>
      <c r="N15436" s="17" t="s">
        <v>77</v>
      </c>
      <c r="O15436" t="s">
        <v>145</v>
      </c>
      <c r="V15436" s="18" t="s">
        <v>41598</v>
      </c>
      <c r="Y15436" s="17" t="s">
        <v>90</v>
      </c>
      <c r="AA15436" t="s">
        <v>115</v>
      </c>
      <c r="AB15436" t="s">
        <v>3140</v>
      </c>
    </row>
    <row r="15437" ht="15" customHeight="1" spans="1:22" x14ac:dyDescent="0.25">
      <c r="A15437" s="17" t="s">
        <v>41599</v>
      </c>
      <c r="B15437" s="17" t="s">
        <v>70</v>
      </c>
      <c r="C15437" s="17" t="s">
        <v>71</v>
      </c>
      <c r="D15437" t="s">
        <v>7846</v>
      </c>
      <c r="F15437" t="s">
        <v>17672</v>
      </c>
      <c r="K15437" s="18">
        <f>8615568870777</f>
        <v>8615568870777</v>
      </c>
      <c r="N15437" s="17" t="s">
        <v>77</v>
      </c>
      <c r="V15437" s="18">
        <f>8615568870777</f>
        <v>8615568870777</v>
      </c>
    </row>
    <row r="15438" ht="15" customHeight="1" spans="1:28" x14ac:dyDescent="0.25">
      <c r="A15438" s="17" t="s">
        <v>41600</v>
      </c>
      <c r="B15438" s="17" t="s">
        <v>70</v>
      </c>
      <c r="C15438" s="17" t="s">
        <v>71</v>
      </c>
      <c r="D15438" t="s">
        <v>7846</v>
      </c>
      <c r="F15438" t="s">
        <v>36670</v>
      </c>
      <c r="J15438" t="s">
        <v>41601</v>
      </c>
      <c r="K15438" s="18" t="s">
        <v>41602</v>
      </c>
      <c r="N15438" s="17" t="s">
        <v>77</v>
      </c>
      <c r="O15438" t="s">
        <v>145</v>
      </c>
      <c r="V15438" s="18" t="s">
        <v>41602</v>
      </c>
      <c r="Y15438" t="s">
        <v>6100</v>
      </c>
      <c r="AA15438" t="s">
        <v>115</v>
      </c>
      <c r="AB15438" t="s">
        <v>119</v>
      </c>
    </row>
    <row r="15439" ht="15" customHeight="1" spans="1:23" x14ac:dyDescent="0.25">
      <c r="A15439" s="17" t="s">
        <v>41603</v>
      </c>
      <c r="B15439" s="17" t="s">
        <v>70</v>
      </c>
      <c r="C15439" s="17" t="s">
        <v>71</v>
      </c>
      <c r="D15439" t="s">
        <v>7846</v>
      </c>
      <c r="F15439" t="s">
        <v>41604</v>
      </c>
      <c r="K15439" s="18">
        <f>6582397789</f>
        <v>6582397789</v>
      </c>
      <c r="N15439" s="17" t="s">
        <v>77</v>
      </c>
      <c r="U15439" s="17"/>
      <c r="V15439" s="18">
        <f>6582397789</f>
        <v>6582397789</v>
      </c>
      <c r="W15439" t="s">
        <v>3140</v>
      </c>
    </row>
    <row r="15440" ht="15" customHeight="1" spans="1:28" x14ac:dyDescent="0.25">
      <c r="A15440" s="17" t="s">
        <v>41605</v>
      </c>
      <c r="B15440" s="17" t="s">
        <v>70</v>
      </c>
      <c r="C15440" s="17" t="s">
        <v>71</v>
      </c>
      <c r="D15440" t="s">
        <v>24728</v>
      </c>
      <c r="F15440" t="s">
        <v>11804</v>
      </c>
      <c r="J15440" t="s">
        <v>115</v>
      </c>
      <c r="K15440" s="18" t="s">
        <v>41606</v>
      </c>
      <c r="N15440" s="17" t="s">
        <v>4266</v>
      </c>
      <c r="O15440" t="s">
        <v>117</v>
      </c>
      <c r="V15440" s="18" t="s">
        <v>41606</v>
      </c>
      <c r="Y15440" t="s">
        <v>190</v>
      </c>
      <c r="AA15440" t="s">
        <v>118</v>
      </c>
      <c r="AB15440" t="s">
        <v>119</v>
      </c>
    </row>
    <row r="15441" ht="15" customHeight="1" spans="1:22" x14ac:dyDescent="0.25">
      <c r="A15441" s="17" t="s">
        <v>41607</v>
      </c>
      <c r="B15441" s="17" t="s">
        <v>70</v>
      </c>
      <c r="C15441" s="17" t="s">
        <v>71</v>
      </c>
      <c r="D15441" t="s">
        <v>7846</v>
      </c>
      <c r="F15441" t="s">
        <v>40082</v>
      </c>
      <c r="K15441" s="18">
        <f>62818121929</f>
        <v>62818121929</v>
      </c>
      <c r="N15441" s="17" t="s">
        <v>81</v>
      </c>
      <c r="V15441" s="18">
        <f>62818121929</f>
        <v>62818121929</v>
      </c>
    </row>
    <row r="15442" ht="15" customHeight="1" spans="1:25" x14ac:dyDescent="0.25">
      <c r="A15442" s="17" t="s">
        <v>41608</v>
      </c>
      <c r="B15442" s="17" t="s">
        <v>70</v>
      </c>
      <c r="C15442" s="17" t="s">
        <v>71</v>
      </c>
      <c r="D15442" t="s">
        <v>7846</v>
      </c>
      <c r="F15442" t="s">
        <v>2178</v>
      </c>
      <c r="K15442" s="18">
        <f>622170999485</f>
        <v>622170999485</v>
      </c>
      <c r="N15442" s="17" t="s">
        <v>77</v>
      </c>
      <c r="U15442" s="17"/>
      <c r="V15442" s="18">
        <f>622170999485</f>
        <v>622170999485</v>
      </c>
      <c r="W15442" t="s">
        <v>41609</v>
      </c>
      <c r="Y15442" s="17" t="s">
        <v>626</v>
      </c>
    </row>
    <row r="15443" ht="15" customHeight="1" spans="1:28" x14ac:dyDescent="0.25">
      <c r="A15443" s="17" t="s">
        <v>41610</v>
      </c>
      <c r="B15443" s="17" t="s">
        <v>70</v>
      </c>
      <c r="C15443" s="17" t="s">
        <v>71</v>
      </c>
      <c r="D15443" t="s">
        <v>7846</v>
      </c>
      <c r="F15443" t="s">
        <v>23878</v>
      </c>
      <c r="J15443" t="s">
        <v>115</v>
      </c>
      <c r="K15443" s="18" t="s">
        <v>41611</v>
      </c>
      <c r="N15443" s="17" t="s">
        <v>77</v>
      </c>
      <c r="O15443" t="s">
        <v>145</v>
      </c>
      <c r="V15443" s="18" t="s">
        <v>41611</v>
      </c>
      <c r="Y15443" t="s">
        <v>115</v>
      </c>
      <c r="AA15443" t="s">
        <v>115</v>
      </c>
      <c r="AB15443" t="s">
        <v>3140</v>
      </c>
    </row>
    <row r="15444" ht="15" customHeight="1" spans="1:28" x14ac:dyDescent="0.25">
      <c r="A15444" s="17" t="s">
        <v>41612</v>
      </c>
      <c r="B15444" s="17" t="s">
        <v>70</v>
      </c>
      <c r="C15444" s="17" t="s">
        <v>71</v>
      </c>
      <c r="D15444" t="s">
        <v>17612</v>
      </c>
      <c r="F15444" t="s">
        <v>41613</v>
      </c>
      <c r="J15444" t="s">
        <v>41614</v>
      </c>
      <c r="K15444" s="18" t="s">
        <v>41615</v>
      </c>
      <c r="N15444" s="17" t="s">
        <v>77</v>
      </c>
      <c r="O15444" t="s">
        <v>145</v>
      </c>
      <c r="U15444" s="17"/>
      <c r="V15444" s="18" t="s">
        <v>41615</v>
      </c>
      <c r="W15444" t="s">
        <v>6666</v>
      </c>
      <c r="Y15444" t="s">
        <v>190</v>
      </c>
      <c r="AA15444" t="s">
        <v>118</v>
      </c>
      <c r="AB15444" t="s">
        <v>3140</v>
      </c>
    </row>
    <row r="15445" ht="15" customHeight="1" spans="1:22" x14ac:dyDescent="0.25">
      <c r="A15445" s="17" t="s">
        <v>41616</v>
      </c>
      <c r="B15445" s="17" t="s">
        <v>70</v>
      </c>
      <c r="C15445" s="17" t="s">
        <v>71</v>
      </c>
      <c r="D15445" t="s">
        <v>7846</v>
      </c>
      <c r="F15445" t="s">
        <v>7289</v>
      </c>
      <c r="K15445" s="18">
        <f>6281337576668</f>
        <v>6281337576668</v>
      </c>
      <c r="N15445" s="17" t="s">
        <v>77</v>
      </c>
      <c r="V15445" s="18">
        <f>6281337576668</f>
        <v>6281337576668</v>
      </c>
    </row>
    <row r="15446" ht="15" customHeight="1" spans="1:22" x14ac:dyDescent="0.25">
      <c r="A15446" s="17" t="s">
        <v>41617</v>
      </c>
      <c r="B15446" s="17" t="s">
        <v>70</v>
      </c>
      <c r="C15446" s="17" t="s">
        <v>71</v>
      </c>
      <c r="D15446" t="s">
        <v>7846</v>
      </c>
      <c r="F15446" t="s">
        <v>7315</v>
      </c>
      <c r="J15446" s="17" t="s">
        <v>41618</v>
      </c>
      <c r="K15446" s="18">
        <f>6285714378888</f>
        <v>6285714378888</v>
      </c>
      <c r="N15446" s="17" t="s">
        <v>77</v>
      </c>
      <c r="V15446" s="18">
        <f>6285714378888</f>
        <v>6285714378888</v>
      </c>
    </row>
    <row r="15447" ht="15" customHeight="1" spans="1:22" x14ac:dyDescent="0.25">
      <c r="A15447" s="17" t="s">
        <v>41619</v>
      </c>
      <c r="B15447" s="17" t="s">
        <v>70</v>
      </c>
      <c r="C15447" s="17" t="s">
        <v>71</v>
      </c>
      <c r="D15447" t="s">
        <v>7846</v>
      </c>
      <c r="F15447" t="s">
        <v>41620</v>
      </c>
      <c r="K15447" s="18">
        <f>8613736923222</f>
        <v>8613736923222</v>
      </c>
      <c r="N15447" s="17" t="s">
        <v>81</v>
      </c>
      <c r="V15447" s="18">
        <f>8613736923222</f>
        <v>8613736923222</v>
      </c>
    </row>
    <row r="15448" ht="15" customHeight="1" spans="1:22" x14ac:dyDescent="0.25">
      <c r="A15448" s="17" t="s">
        <v>41621</v>
      </c>
      <c r="B15448" s="17" t="s">
        <v>70</v>
      </c>
      <c r="C15448" s="17" t="s">
        <v>71</v>
      </c>
      <c r="D15448" t="s">
        <v>7846</v>
      </c>
      <c r="F15448" t="s">
        <v>6693</v>
      </c>
      <c r="K15448" s="18">
        <f>15851190202</f>
        <v>15851190202</v>
      </c>
      <c r="N15448" s="17" t="s">
        <v>77</v>
      </c>
      <c r="V15448" s="18">
        <f>15851190202</f>
        <v>15851190202</v>
      </c>
    </row>
    <row r="15449" ht="15" customHeight="1" spans="1:22" x14ac:dyDescent="0.25">
      <c r="A15449" s="17" t="s">
        <v>41622</v>
      </c>
      <c r="B15449" s="17" t="s">
        <v>70</v>
      </c>
      <c r="C15449" s="17" t="s">
        <v>71</v>
      </c>
      <c r="D15449" t="s">
        <v>7846</v>
      </c>
      <c r="F15449" t="s">
        <v>41623</v>
      </c>
      <c r="K15449" s="18">
        <f>62812864656</f>
        <v>62812864656</v>
      </c>
      <c r="N15449" s="17" t="s">
        <v>77</v>
      </c>
      <c r="V15449" s="18">
        <f>62812864656</f>
        <v>62812864656</v>
      </c>
    </row>
    <row r="15450" ht="15" customHeight="1" spans="1:28" x14ac:dyDescent="0.25">
      <c r="A15450" s="17" t="s">
        <v>41624</v>
      </c>
      <c r="B15450" s="17" t="s">
        <v>70</v>
      </c>
      <c r="C15450" s="17" t="s">
        <v>71</v>
      </c>
      <c r="D15450" t="s">
        <v>7846</v>
      </c>
      <c r="F15450" t="s">
        <v>41625</v>
      </c>
      <c r="J15450" s="17" t="s">
        <v>41626</v>
      </c>
      <c r="K15450" s="18" t="s">
        <v>41627</v>
      </c>
      <c r="N15450" s="17" t="s">
        <v>77</v>
      </c>
      <c r="O15450" t="s">
        <v>117</v>
      </c>
      <c r="U15450" s="17"/>
      <c r="V15450" s="18" t="s">
        <v>41627</v>
      </c>
      <c r="W15450" t="s">
        <v>3140</v>
      </c>
      <c r="Y15450" t="s">
        <v>7108</v>
      </c>
      <c r="AA15450" t="s">
        <v>115</v>
      </c>
      <c r="AB15450" t="s">
        <v>7108</v>
      </c>
    </row>
    <row r="15451" ht="15" customHeight="1" spans="1:28" x14ac:dyDescent="0.25">
      <c r="A15451" s="17" t="s">
        <v>41628</v>
      </c>
      <c r="B15451" s="17" t="s">
        <v>70</v>
      </c>
      <c r="C15451" s="17" t="s">
        <v>71</v>
      </c>
      <c r="D15451" t="s">
        <v>7846</v>
      </c>
      <c r="F15451" t="s">
        <v>41629</v>
      </c>
      <c r="J15451" s="17" t="s">
        <v>41630</v>
      </c>
      <c r="K15451" s="18" t="s">
        <v>41631</v>
      </c>
      <c r="N15451" s="17" t="s">
        <v>77</v>
      </c>
      <c r="O15451" t="s">
        <v>117</v>
      </c>
      <c r="V15451" s="18" t="s">
        <v>41631</v>
      </c>
      <c r="Y15451" t="s">
        <v>115</v>
      </c>
      <c r="AA15451" t="s">
        <v>115</v>
      </c>
      <c r="AB15451" t="s">
        <v>3140</v>
      </c>
    </row>
    <row r="15452" ht="15" customHeight="1" spans="1:23" x14ac:dyDescent="0.25">
      <c r="A15452" s="17" t="s">
        <v>41632</v>
      </c>
      <c r="B15452" s="17" t="s">
        <v>70</v>
      </c>
      <c r="C15452" s="17" t="s">
        <v>71</v>
      </c>
      <c r="D15452" t="s">
        <v>41633</v>
      </c>
      <c r="F15452" t="s">
        <v>1303</v>
      </c>
      <c r="J15452" s="17" t="s">
        <v>41634</v>
      </c>
      <c r="K15452" s="18">
        <f>861735857893</f>
        <v>861735857893</v>
      </c>
      <c r="N15452" s="17" t="s">
        <v>77</v>
      </c>
      <c r="U15452" s="17"/>
      <c r="V15452" s="18">
        <f>861735857893</f>
        <v>861735857893</v>
      </c>
      <c r="W15452" t="s">
        <v>3140</v>
      </c>
    </row>
    <row r="15453" ht="15" customHeight="1" spans="1:28" x14ac:dyDescent="0.25">
      <c r="A15453" s="17" t="s">
        <v>41635</v>
      </c>
      <c r="B15453" s="17" t="s">
        <v>70</v>
      </c>
      <c r="C15453" s="17" t="s">
        <v>71</v>
      </c>
      <c r="D15453" t="s">
        <v>7846</v>
      </c>
      <c r="F15453" t="s">
        <v>1303</v>
      </c>
      <c r="J15453" t="s">
        <v>115</v>
      </c>
      <c r="K15453" s="18" t="s">
        <v>41636</v>
      </c>
      <c r="N15453" s="17" t="s">
        <v>77</v>
      </c>
      <c r="O15453" t="s">
        <v>117</v>
      </c>
      <c r="U15453" s="17"/>
      <c r="V15453" s="18" t="s">
        <v>41636</v>
      </c>
      <c r="W15453" t="s">
        <v>3140</v>
      </c>
      <c r="Y15453" t="s">
        <v>3140</v>
      </c>
      <c r="AA15453" t="s">
        <v>115</v>
      </c>
      <c r="AB15453" t="s">
        <v>3140</v>
      </c>
    </row>
    <row r="15454" ht="15" customHeight="1" spans="1:28" x14ac:dyDescent="0.25">
      <c r="A15454" s="17" t="s">
        <v>41637</v>
      </c>
      <c r="B15454" s="17" t="s">
        <v>70</v>
      </c>
      <c r="C15454" s="17" t="s">
        <v>71</v>
      </c>
      <c r="D15454" t="s">
        <v>41633</v>
      </c>
      <c r="F15454" t="s">
        <v>20480</v>
      </c>
      <c r="J15454" t="s">
        <v>41638</v>
      </c>
      <c r="K15454" s="18" t="s">
        <v>41639</v>
      </c>
      <c r="N15454" s="17" t="s">
        <v>77</v>
      </c>
      <c r="O15454" t="s">
        <v>117</v>
      </c>
      <c r="U15454" s="17"/>
      <c r="V15454" s="18" t="s">
        <v>41639</v>
      </c>
      <c r="W15454" t="s">
        <v>41640</v>
      </c>
      <c r="Y15454" t="s">
        <v>3140</v>
      </c>
      <c r="AA15454" t="s">
        <v>115</v>
      </c>
      <c r="AB15454" t="s">
        <v>3140</v>
      </c>
    </row>
    <row r="15455" ht="15" customHeight="1" spans="1:28" x14ac:dyDescent="0.25">
      <c r="A15455" s="17" t="s">
        <v>41641</v>
      </c>
      <c r="B15455" s="17" t="s">
        <v>70</v>
      </c>
      <c r="C15455" s="17" t="s">
        <v>71</v>
      </c>
      <c r="D15455" t="s">
        <v>41633</v>
      </c>
      <c r="F15455" t="s">
        <v>20532</v>
      </c>
      <c r="J15455" s="17" t="s">
        <v>41642</v>
      </c>
      <c r="K15455" s="18" t="s">
        <v>41643</v>
      </c>
      <c r="N15455" s="17" t="s">
        <v>77</v>
      </c>
      <c r="O15455" t="s">
        <v>117</v>
      </c>
      <c r="U15455" s="17"/>
      <c r="V15455" s="18" t="s">
        <v>41643</v>
      </c>
      <c r="W15455" t="s">
        <v>3140</v>
      </c>
      <c r="Y15455" t="s">
        <v>3140</v>
      </c>
      <c r="AA15455" t="s">
        <v>115</v>
      </c>
      <c r="AB15455" t="s">
        <v>3140</v>
      </c>
    </row>
    <row r="15456" ht="15" customHeight="1" spans="1:28" x14ac:dyDescent="0.25">
      <c r="A15456" s="17" t="s">
        <v>41644</v>
      </c>
      <c r="B15456" s="17" t="s">
        <v>70</v>
      </c>
      <c r="C15456" s="17" t="s">
        <v>71</v>
      </c>
      <c r="D15456" t="s">
        <v>7846</v>
      </c>
      <c r="F15456" t="s">
        <v>7293</v>
      </c>
      <c r="J15456" t="s">
        <v>115</v>
      </c>
      <c r="K15456" s="18" t="s">
        <v>41645</v>
      </c>
      <c r="N15456" s="17" t="s">
        <v>77</v>
      </c>
      <c r="O15456" t="s">
        <v>117</v>
      </c>
      <c r="U15456" s="17"/>
      <c r="V15456" s="18" t="s">
        <v>41645</v>
      </c>
      <c r="W15456" t="s">
        <v>5998</v>
      </c>
      <c r="Y15456" s="17" t="s">
        <v>3140</v>
      </c>
      <c r="AA15456" t="s">
        <v>115</v>
      </c>
      <c r="AB15456" t="s">
        <v>3140</v>
      </c>
    </row>
    <row r="15457" ht="15" customHeight="1" spans="1:28" x14ac:dyDescent="0.25">
      <c r="A15457" s="17" t="s">
        <v>41646</v>
      </c>
      <c r="B15457" s="17" t="s">
        <v>70</v>
      </c>
      <c r="C15457" s="17" t="s">
        <v>71</v>
      </c>
      <c r="D15457" t="s">
        <v>7846</v>
      </c>
      <c r="F15457" t="s">
        <v>7944</v>
      </c>
      <c r="J15457" s="17" t="s">
        <v>41647</v>
      </c>
      <c r="K15457" s="18" t="s">
        <v>41648</v>
      </c>
      <c r="N15457" s="17" t="s">
        <v>77</v>
      </c>
      <c r="O15457" t="s">
        <v>117</v>
      </c>
      <c r="V15457" s="18" t="s">
        <v>41648</v>
      </c>
      <c r="Y15457" t="s">
        <v>3140</v>
      </c>
      <c r="AA15457" t="s">
        <v>115</v>
      </c>
      <c r="AB15457" t="s">
        <v>3140</v>
      </c>
    </row>
    <row r="15458" ht="15" customHeight="1" spans="1:28" x14ac:dyDescent="0.25">
      <c r="A15458" s="17" t="s">
        <v>41649</v>
      </c>
      <c r="B15458" s="17" t="s">
        <v>70</v>
      </c>
      <c r="C15458" s="17" t="s">
        <v>71</v>
      </c>
      <c r="D15458" t="s">
        <v>41633</v>
      </c>
      <c r="F15458" t="s">
        <v>41650</v>
      </c>
      <c r="J15458" s="17" t="s">
        <v>41651</v>
      </c>
      <c r="K15458" s="18" t="s">
        <v>41652</v>
      </c>
      <c r="N15458" s="17" t="s">
        <v>77</v>
      </c>
      <c r="O15458" t="s">
        <v>117</v>
      </c>
      <c r="U15458" s="17"/>
      <c r="V15458" s="18" t="s">
        <v>41652</v>
      </c>
      <c r="W15458" t="s">
        <v>3140</v>
      </c>
      <c r="Y15458" t="s">
        <v>3140</v>
      </c>
      <c r="AA15458" t="s">
        <v>115</v>
      </c>
      <c r="AB15458" t="s">
        <v>3140</v>
      </c>
    </row>
    <row r="15459" ht="15" customHeight="1" spans="1:23" x14ac:dyDescent="0.25">
      <c r="A15459" s="17" t="s">
        <v>41653</v>
      </c>
      <c r="B15459" s="17" t="s">
        <v>70</v>
      </c>
      <c r="C15459" s="17" t="s">
        <v>71</v>
      </c>
      <c r="D15459" t="s">
        <v>41633</v>
      </c>
      <c r="F15459" t="s">
        <v>34841</v>
      </c>
      <c r="J15459" s="17" t="s">
        <v>41654</v>
      </c>
      <c r="K15459" s="18">
        <f>8618611752820</f>
        <v>8618611752820</v>
      </c>
      <c r="N15459" s="17" t="s">
        <v>77</v>
      </c>
      <c r="U15459" s="17"/>
      <c r="V15459" s="18">
        <f>8618611752820</f>
        <v>8618611752820</v>
      </c>
      <c r="W15459" t="s">
        <v>41595</v>
      </c>
    </row>
    <row r="15460" ht="15" customHeight="1" spans="1:23" x14ac:dyDescent="0.25">
      <c r="A15460" s="17" t="s">
        <v>41655</v>
      </c>
      <c r="B15460" s="17" t="s">
        <v>70</v>
      </c>
      <c r="C15460" s="17" t="s">
        <v>71</v>
      </c>
      <c r="D15460" t="s">
        <v>41633</v>
      </c>
      <c r="F15460" t="s">
        <v>21814</v>
      </c>
      <c r="J15460" s="17" t="s">
        <v>41656</v>
      </c>
      <c r="K15460" s="18">
        <f>861366662233</f>
        <v>861366662233</v>
      </c>
      <c r="N15460" s="17" t="s">
        <v>77</v>
      </c>
      <c r="U15460" s="17"/>
      <c r="V15460" s="18">
        <f>861366662233</f>
        <v>861366662233</v>
      </c>
      <c r="W15460" t="s">
        <v>3140</v>
      </c>
    </row>
    <row r="15461" ht="15" customHeight="1" spans="1:23" x14ac:dyDescent="0.25">
      <c r="A15461" s="17" t="s">
        <v>41657</v>
      </c>
      <c r="B15461" s="17" t="s">
        <v>70</v>
      </c>
      <c r="C15461" s="17" t="s">
        <v>71</v>
      </c>
      <c r="D15461" t="s">
        <v>41633</v>
      </c>
      <c r="F15461" t="s">
        <v>13426</v>
      </c>
      <c r="K15461" s="18">
        <f>8613101627406</f>
        <v>8613101627406</v>
      </c>
      <c r="N15461" s="17" t="s">
        <v>77</v>
      </c>
      <c r="U15461" s="17"/>
      <c r="V15461" s="18">
        <f>8613101627406</f>
        <v>8613101627406</v>
      </c>
      <c r="W15461" t="s">
        <v>3140</v>
      </c>
    </row>
    <row r="15462" ht="15" customHeight="1" spans="1:28" x14ac:dyDescent="0.25">
      <c r="A15462" s="17" t="s">
        <v>41658</v>
      </c>
      <c r="B15462" s="17" t="s">
        <v>70</v>
      </c>
      <c r="C15462" s="17" t="s">
        <v>71</v>
      </c>
      <c r="D15462" t="s">
        <v>7846</v>
      </c>
      <c r="F15462" t="s">
        <v>41659</v>
      </c>
      <c r="J15462" s="17" t="s">
        <v>41660</v>
      </c>
      <c r="K15462" s="18" t="s">
        <v>41661</v>
      </c>
      <c r="N15462" s="17" t="s">
        <v>77</v>
      </c>
      <c r="O15462" t="s">
        <v>117</v>
      </c>
      <c r="V15462" s="18" t="s">
        <v>41661</v>
      </c>
      <c r="Y15462" s="17" t="s">
        <v>3140</v>
      </c>
      <c r="AA15462" t="s">
        <v>115</v>
      </c>
      <c r="AB15462" t="s">
        <v>3140</v>
      </c>
    </row>
    <row r="15463" ht="15" customHeight="1" spans="1:28" x14ac:dyDescent="0.25">
      <c r="A15463" s="17" t="s">
        <v>41662</v>
      </c>
      <c r="B15463" s="17" t="s">
        <v>70</v>
      </c>
      <c r="C15463" s="17" t="s">
        <v>71</v>
      </c>
      <c r="D15463" t="s">
        <v>7846</v>
      </c>
      <c r="F15463" t="s">
        <v>20853</v>
      </c>
      <c r="J15463" s="17" t="s">
        <v>41663</v>
      </c>
      <c r="K15463" s="18" t="s">
        <v>41664</v>
      </c>
      <c r="N15463" s="17" t="s">
        <v>77</v>
      </c>
      <c r="O15463" t="s">
        <v>117</v>
      </c>
      <c r="U15463" s="17"/>
      <c r="V15463" s="18" t="s">
        <v>41664</v>
      </c>
      <c r="W15463" t="s">
        <v>3140</v>
      </c>
      <c r="Y15463" t="s">
        <v>115</v>
      </c>
      <c r="AA15463" t="s">
        <v>115</v>
      </c>
      <c r="AB15463" t="s">
        <v>3140</v>
      </c>
    </row>
    <row r="15464" ht="15" customHeight="1" spans="1:28" x14ac:dyDescent="0.25">
      <c r="A15464" s="17" t="s">
        <v>41665</v>
      </c>
      <c r="B15464" s="17" t="s">
        <v>70</v>
      </c>
      <c r="C15464" s="17" t="s">
        <v>71</v>
      </c>
      <c r="D15464" t="s">
        <v>7846</v>
      </c>
      <c r="F15464" t="s">
        <v>7405</v>
      </c>
      <c r="J15464" s="17" t="s">
        <v>41666</v>
      </c>
      <c r="K15464" s="18" t="s">
        <v>41667</v>
      </c>
      <c r="N15464" s="17" t="s">
        <v>77</v>
      </c>
      <c r="O15464" t="s">
        <v>117</v>
      </c>
      <c r="U15464" s="17"/>
      <c r="V15464" s="18" t="s">
        <v>41667</v>
      </c>
      <c r="W15464" t="s">
        <v>2356</v>
      </c>
      <c r="Y15464" s="17" t="s">
        <v>6937</v>
      </c>
      <c r="AA15464" t="s">
        <v>115</v>
      </c>
      <c r="AB15464" t="s">
        <v>6937</v>
      </c>
    </row>
    <row r="15465" ht="15" customHeight="1" spans="1:28" x14ac:dyDescent="0.25">
      <c r="A15465" s="17" t="s">
        <v>41668</v>
      </c>
      <c r="B15465" s="17" t="s">
        <v>70</v>
      </c>
      <c r="C15465" s="17" t="s">
        <v>71</v>
      </c>
      <c r="D15465" t="s">
        <v>7846</v>
      </c>
      <c r="F15465" t="s">
        <v>41669</v>
      </c>
      <c r="J15465" s="17" t="s">
        <v>41670</v>
      </c>
      <c r="K15465" s="18" t="s">
        <v>41671</v>
      </c>
      <c r="N15465" s="17" t="s">
        <v>77</v>
      </c>
      <c r="O15465" t="s">
        <v>117</v>
      </c>
      <c r="U15465" s="17"/>
      <c r="V15465" s="18" t="s">
        <v>41671</v>
      </c>
      <c r="W15465" t="s">
        <v>6980</v>
      </c>
      <c r="Y15465" t="s">
        <v>3140</v>
      </c>
      <c r="AA15465" t="s">
        <v>115</v>
      </c>
      <c r="AB15465" t="s">
        <v>3140</v>
      </c>
    </row>
    <row r="15466" ht="15" customHeight="1" spans="1:28" x14ac:dyDescent="0.25">
      <c r="A15466" s="17" t="s">
        <v>41672</v>
      </c>
      <c r="B15466" s="17" t="s">
        <v>70</v>
      </c>
      <c r="C15466" s="17" t="s">
        <v>71</v>
      </c>
      <c r="D15466" t="s">
        <v>41633</v>
      </c>
      <c r="F15466" t="s">
        <v>8400</v>
      </c>
      <c r="J15466" s="17" t="s">
        <v>41673</v>
      </c>
      <c r="K15466" s="18" t="s">
        <v>41674</v>
      </c>
      <c r="N15466" s="17" t="s">
        <v>77</v>
      </c>
      <c r="O15466" t="s">
        <v>117</v>
      </c>
      <c r="U15466" s="17"/>
      <c r="V15466" s="18" t="s">
        <v>41674</v>
      </c>
      <c r="W15466" t="s">
        <v>3140</v>
      </c>
      <c r="Y15466" t="s">
        <v>115</v>
      </c>
      <c r="AA15466" t="s">
        <v>115</v>
      </c>
      <c r="AB15466" t="s">
        <v>119</v>
      </c>
    </row>
    <row r="15467" ht="15" customHeight="1" spans="1:28" x14ac:dyDescent="0.25">
      <c r="A15467" s="17" t="s">
        <v>41675</v>
      </c>
      <c r="B15467" s="17" t="s">
        <v>70</v>
      </c>
      <c r="C15467" s="17" t="s">
        <v>71</v>
      </c>
      <c r="D15467" t="s">
        <v>7846</v>
      </c>
      <c r="F15467" t="s">
        <v>41676</v>
      </c>
      <c r="J15467" s="17" t="s">
        <v>41677</v>
      </c>
      <c r="K15467" s="18" t="s">
        <v>41678</v>
      </c>
      <c r="N15467" s="17" t="s">
        <v>77</v>
      </c>
      <c r="O15467" t="s">
        <v>117</v>
      </c>
      <c r="U15467" s="17"/>
      <c r="V15467" s="18" t="s">
        <v>41678</v>
      </c>
      <c r="W15467" t="s">
        <v>3140</v>
      </c>
      <c r="Y15467" t="s">
        <v>3140</v>
      </c>
      <c r="AA15467" t="s">
        <v>115</v>
      </c>
      <c r="AB15467" t="s">
        <v>3140</v>
      </c>
    </row>
    <row r="15468" ht="15" customHeight="1" spans="1:28" x14ac:dyDescent="0.25">
      <c r="A15468" s="17" t="s">
        <v>41679</v>
      </c>
      <c r="B15468" s="17" t="s">
        <v>70</v>
      </c>
      <c r="C15468" s="17" t="s">
        <v>71</v>
      </c>
      <c r="D15468" t="s">
        <v>7846</v>
      </c>
      <c r="F15468" t="s">
        <v>41680</v>
      </c>
      <c r="J15468" s="17" t="s">
        <v>41681</v>
      </c>
      <c r="K15468" s="18" t="s">
        <v>41682</v>
      </c>
      <c r="N15468" s="17" t="s">
        <v>77</v>
      </c>
      <c r="O15468" t="s">
        <v>117</v>
      </c>
      <c r="V15468" s="18" t="s">
        <v>41682</v>
      </c>
      <c r="Y15468" s="17" t="s">
        <v>3140</v>
      </c>
      <c r="AA15468" t="s">
        <v>115</v>
      </c>
      <c r="AB15468" t="s">
        <v>3140</v>
      </c>
    </row>
    <row r="15469" ht="15" customHeight="1" spans="1:23" x14ac:dyDescent="0.25">
      <c r="A15469" s="17" t="s">
        <v>41683</v>
      </c>
      <c r="B15469" s="17" t="s">
        <v>70</v>
      </c>
      <c r="C15469" s="17" t="s">
        <v>71</v>
      </c>
      <c r="D15469" t="s">
        <v>41633</v>
      </c>
      <c r="F15469" t="s">
        <v>24416</v>
      </c>
      <c r="J15469" s="17" t="s">
        <v>41684</v>
      </c>
      <c r="K15469" s="18">
        <f>8615267345520</f>
        <v>8615267345520</v>
      </c>
      <c r="N15469" s="17" t="s">
        <v>77</v>
      </c>
      <c r="U15469" s="17"/>
      <c r="V15469" s="18">
        <f>8615267345520</f>
        <v>8615267345520</v>
      </c>
      <c r="W15469" t="s">
        <v>3140</v>
      </c>
    </row>
    <row r="15470" ht="15" customHeight="1" spans="1:28" x14ac:dyDescent="0.25">
      <c r="A15470" s="17" t="s">
        <v>41685</v>
      </c>
      <c r="B15470" s="17" t="s">
        <v>70</v>
      </c>
      <c r="C15470" s="17" t="s">
        <v>71</v>
      </c>
      <c r="D15470" t="s">
        <v>7846</v>
      </c>
      <c r="F15470" t="s">
        <v>41686</v>
      </c>
      <c r="J15470" s="17" t="s">
        <v>41687</v>
      </c>
      <c r="K15470" s="18" t="s">
        <v>41688</v>
      </c>
      <c r="N15470" s="17" t="s">
        <v>77</v>
      </c>
      <c r="O15470" t="s">
        <v>117</v>
      </c>
      <c r="U15470" s="17"/>
      <c r="V15470" s="18" t="s">
        <v>41688</v>
      </c>
      <c r="W15470" t="s">
        <v>3140</v>
      </c>
      <c r="Y15470" t="s">
        <v>3140</v>
      </c>
      <c r="AA15470" t="s">
        <v>115</v>
      </c>
      <c r="AB15470" t="s">
        <v>3140</v>
      </c>
    </row>
    <row r="15471" ht="15" customHeight="1" spans="1:23" x14ac:dyDescent="0.25">
      <c r="A15471" s="17" t="s">
        <v>41689</v>
      </c>
      <c r="B15471" s="17" t="s">
        <v>70</v>
      </c>
      <c r="C15471" s="17" t="s">
        <v>71</v>
      </c>
      <c r="D15471" t="s">
        <v>41633</v>
      </c>
      <c r="F15471" t="s">
        <v>41690</v>
      </c>
      <c r="J15471" s="17" t="s">
        <v>41691</v>
      </c>
      <c r="K15471" s="18">
        <f>16473895857</f>
        <v>16473895857</v>
      </c>
      <c r="N15471" s="17" t="s">
        <v>77</v>
      </c>
      <c r="U15471" s="17"/>
      <c r="V15471" s="18">
        <f>16473895857</f>
        <v>16473895857</v>
      </c>
      <c r="W15471" t="s">
        <v>3140</v>
      </c>
    </row>
    <row r="15472" ht="15" customHeight="1" spans="1:28" x14ac:dyDescent="0.25">
      <c r="A15472" s="17" t="s">
        <v>41692</v>
      </c>
      <c r="B15472" s="17" t="s">
        <v>70</v>
      </c>
      <c r="C15472" s="17" t="s">
        <v>71</v>
      </c>
      <c r="D15472" t="s">
        <v>7846</v>
      </c>
      <c r="F15472" t="s">
        <v>41693</v>
      </c>
      <c r="J15472" s="17" t="s">
        <v>41694</v>
      </c>
      <c r="K15472" s="18" t="s">
        <v>41695</v>
      </c>
      <c r="N15472" s="17" t="s">
        <v>77</v>
      </c>
      <c r="O15472" t="s">
        <v>117</v>
      </c>
      <c r="U15472" s="17"/>
      <c r="V15472" s="18" t="s">
        <v>41695</v>
      </c>
      <c r="W15472" t="s">
        <v>3140</v>
      </c>
      <c r="Y15472" t="s">
        <v>115</v>
      </c>
      <c r="AA15472" t="s">
        <v>115</v>
      </c>
      <c r="AB15472" t="s">
        <v>3140</v>
      </c>
    </row>
    <row r="15473" ht="15" customHeight="1" spans="1:22" x14ac:dyDescent="0.25">
      <c r="A15473" s="17" t="s">
        <v>41696</v>
      </c>
      <c r="B15473" s="17" t="s">
        <v>70</v>
      </c>
      <c r="C15473" s="17" t="s">
        <v>71</v>
      </c>
      <c r="D15473" t="s">
        <v>41697</v>
      </c>
      <c r="F15473" t="s">
        <v>41697</v>
      </c>
      <c r="K15473" s="18">
        <f>62811833263</f>
        <v>62811833263</v>
      </c>
      <c r="N15473" s="17" t="s">
        <v>77</v>
      </c>
      <c r="V15473" s="18">
        <f>62811833263</f>
        <v>62811833263</v>
      </c>
    </row>
    <row r="15474" ht="15" customHeight="1" spans="1:22" x14ac:dyDescent="0.25">
      <c r="A15474" s="17" t="s">
        <v>41698</v>
      </c>
      <c r="B15474" s="17" t="s">
        <v>70</v>
      </c>
      <c r="C15474" s="17" t="s">
        <v>71</v>
      </c>
      <c r="D15474" t="s">
        <v>41697</v>
      </c>
      <c r="F15474" t="s">
        <v>1704</v>
      </c>
      <c r="K15474" s="18">
        <f>6281517511981</f>
        <v>6281517511981</v>
      </c>
      <c r="N15474" s="17" t="s">
        <v>77</v>
      </c>
      <c r="V15474" s="18">
        <f>6281517511981</f>
        <v>6281517511981</v>
      </c>
    </row>
    <row r="15475" ht="15" customHeight="1" spans="1:22" x14ac:dyDescent="0.25">
      <c r="A15475" s="17" t="s">
        <v>41699</v>
      </c>
      <c r="B15475" s="17" t="s">
        <v>70</v>
      </c>
      <c r="C15475" s="17" t="s">
        <v>71</v>
      </c>
      <c r="D15475" t="s">
        <v>41700</v>
      </c>
      <c r="F15475" t="s">
        <v>41700</v>
      </c>
      <c r="K15475" s="18">
        <f>6281311137347</f>
        <v>6281311137347</v>
      </c>
      <c r="N15475" s="17" t="s">
        <v>77</v>
      </c>
      <c r="V15475" s="18">
        <f>6281311137347</f>
        <v>6281311137347</v>
      </c>
    </row>
    <row r="15476" ht="15" customHeight="1" spans="1:27" x14ac:dyDescent="0.25">
      <c r="A15476" s="17" t="s">
        <v>41701</v>
      </c>
      <c r="B15476" s="17" t="s">
        <v>70</v>
      </c>
      <c r="C15476" s="17" t="s">
        <v>71</v>
      </c>
      <c r="D15476" t="s">
        <v>41702</v>
      </c>
      <c r="F15476" t="s">
        <v>41702</v>
      </c>
      <c r="K15476" s="18">
        <f>628121031075</f>
        <v>628121031075</v>
      </c>
      <c r="N15476" s="17" t="s">
        <v>77</v>
      </c>
      <c r="U15476" s="17"/>
      <c r="V15476" s="18">
        <f>628121031075</f>
        <v>628121031075</v>
      </c>
      <c r="W15476" t="s">
        <v>41703</v>
      </c>
      <c r="Y15476" s="17" t="s">
        <v>1084</v>
      </c>
      <c r="AA15476" s="17" t="s">
        <v>41704</v>
      </c>
    </row>
    <row r="15477" ht="15" customHeight="1" spans="1:22" x14ac:dyDescent="0.25">
      <c r="A15477" s="17" t="s">
        <v>41705</v>
      </c>
      <c r="B15477" s="17" t="s">
        <v>70</v>
      </c>
      <c r="C15477" s="17" t="s">
        <v>71</v>
      </c>
      <c r="D15477" t="s">
        <v>41702</v>
      </c>
      <c r="F15477" t="s">
        <v>41702</v>
      </c>
      <c r="K15477" s="18">
        <f>628111990595</f>
        <v>628111990595</v>
      </c>
      <c r="N15477" s="17" t="s">
        <v>77</v>
      </c>
      <c r="V15477" s="18">
        <f>628111990595</f>
        <v>628111990595</v>
      </c>
    </row>
    <row r="15478" ht="15" customHeight="1" spans="1:28" x14ac:dyDescent="0.25">
      <c r="A15478" s="17" t="s">
        <v>41706</v>
      </c>
      <c r="B15478" s="17" t="s">
        <v>70</v>
      </c>
      <c r="C15478" s="17" t="s">
        <v>71</v>
      </c>
      <c r="D15478" t="s">
        <v>41707</v>
      </c>
      <c r="F15478" t="s">
        <v>41708</v>
      </c>
      <c r="J15478" t="s">
        <v>115</v>
      </c>
      <c r="K15478" s="18" t="s">
        <v>41709</v>
      </c>
      <c r="N15478" s="17" t="s">
        <v>77</v>
      </c>
      <c r="O15478" t="s">
        <v>117</v>
      </c>
      <c r="V15478" s="18" t="s">
        <v>41709</v>
      </c>
      <c r="Y15478" t="s">
        <v>90</v>
      </c>
      <c r="AA15478" t="s">
        <v>118</v>
      </c>
      <c r="AB15478" t="s">
        <v>119</v>
      </c>
    </row>
    <row r="15479" ht="15" customHeight="1" spans="1:22" x14ac:dyDescent="0.25">
      <c r="A15479" s="17" t="s">
        <v>41710</v>
      </c>
      <c r="B15479" s="17" t="s">
        <v>70</v>
      </c>
      <c r="C15479" s="17" t="s">
        <v>71</v>
      </c>
      <c r="D15479" t="s">
        <v>41711</v>
      </c>
      <c r="F15479" t="s">
        <v>41711</v>
      </c>
      <c r="K15479" s="18">
        <f>628111169991</f>
        <v>628111169991</v>
      </c>
      <c r="N15479" s="17" t="s">
        <v>81</v>
      </c>
      <c r="V15479" s="18">
        <f>628111169991</f>
        <v>628111169991</v>
      </c>
    </row>
    <row r="15480" ht="15" customHeight="1" spans="1:22" x14ac:dyDescent="0.25">
      <c r="A15480" s="17" t="s">
        <v>41712</v>
      </c>
      <c r="B15480" s="17" t="s">
        <v>70</v>
      </c>
      <c r="C15480" s="17" t="s">
        <v>71</v>
      </c>
      <c r="D15480" t="s">
        <v>41713</v>
      </c>
      <c r="F15480" t="s">
        <v>997</v>
      </c>
      <c r="K15480" s="18">
        <f>6281290001033</f>
        <v>6281290001033</v>
      </c>
      <c r="N15480" s="17" t="s">
        <v>77</v>
      </c>
      <c r="V15480" s="18">
        <f>6281290001033</f>
        <v>6281290001033</v>
      </c>
    </row>
    <row r="15481" ht="15" customHeight="1" spans="1:28" x14ac:dyDescent="0.25">
      <c r="A15481" s="17" t="s">
        <v>41714</v>
      </c>
      <c r="B15481" s="17" t="s">
        <v>70</v>
      </c>
      <c r="C15481" s="17" t="s">
        <v>71</v>
      </c>
      <c r="D15481" t="s">
        <v>41715</v>
      </c>
      <c r="F15481" t="s">
        <v>41716</v>
      </c>
      <c r="J15481" t="s">
        <v>115</v>
      </c>
      <c r="K15481" s="18" t="s">
        <v>41717</v>
      </c>
      <c r="N15481" s="17" t="s">
        <v>74</v>
      </c>
      <c r="O15481" t="s">
        <v>117</v>
      </c>
      <c r="V15481" s="18" t="s">
        <v>41717</v>
      </c>
      <c r="Y15481" t="s">
        <v>190</v>
      </c>
      <c r="AA15481" t="s">
        <v>118</v>
      </c>
      <c r="AB15481" t="s">
        <v>119</v>
      </c>
    </row>
    <row r="15482" ht="15" customHeight="1" spans="1:22" x14ac:dyDescent="0.25">
      <c r="A15482" s="17" t="s">
        <v>41718</v>
      </c>
      <c r="B15482" s="17" t="s">
        <v>70</v>
      </c>
      <c r="C15482" s="17" t="s">
        <v>71</v>
      </c>
      <c r="D15482" t="s">
        <v>41719</v>
      </c>
      <c r="F15482" t="s">
        <v>41719</v>
      </c>
      <c r="K15482" s="18">
        <f>6287878159997</f>
        <v>6287878159997</v>
      </c>
      <c r="N15482" s="17" t="s">
        <v>81</v>
      </c>
      <c r="V15482" s="18">
        <f>6287878159997</f>
        <v>6287878159997</v>
      </c>
    </row>
    <row r="15483" ht="15" customHeight="1" spans="1:28" x14ac:dyDescent="0.25">
      <c r="A15483" s="17" t="s">
        <v>41720</v>
      </c>
      <c r="B15483" s="17" t="s">
        <v>70</v>
      </c>
      <c r="C15483" s="17" t="s">
        <v>71</v>
      </c>
      <c r="D15483" t="s">
        <v>4940</v>
      </c>
      <c r="F15483" t="s">
        <v>17445</v>
      </c>
      <c r="J15483" s="17" t="s">
        <v>41721</v>
      </c>
      <c r="K15483" s="18" t="s">
        <v>41722</v>
      </c>
      <c r="N15483" s="17" t="s">
        <v>77</v>
      </c>
      <c r="O15483" t="s">
        <v>199</v>
      </c>
      <c r="U15483" s="17"/>
      <c r="V15483" s="18" t="s">
        <v>41722</v>
      </c>
      <c r="W15483" t="s">
        <v>2500</v>
      </c>
      <c r="Y15483" t="s">
        <v>115</v>
      </c>
      <c r="AA15483" t="s">
        <v>115</v>
      </c>
      <c r="AB15483" t="s">
        <v>2500</v>
      </c>
    </row>
    <row r="15484" ht="15" customHeight="1" spans="1:25" x14ac:dyDescent="0.25">
      <c r="A15484" s="17" t="s">
        <v>41723</v>
      </c>
      <c r="B15484" s="17" t="s">
        <v>70</v>
      </c>
      <c r="C15484" s="17" t="s">
        <v>71</v>
      </c>
      <c r="D15484" t="s">
        <v>17445</v>
      </c>
      <c r="F15484" t="s">
        <v>22109</v>
      </c>
      <c r="K15484" s="18">
        <f>62811977477</f>
        <v>62811977477</v>
      </c>
      <c r="N15484" s="17" t="s">
        <v>74</v>
      </c>
      <c r="U15484" s="17"/>
      <c r="V15484" s="18">
        <f>62811977477</f>
        <v>62811977477</v>
      </c>
      <c r="W15484" t="s">
        <v>32309</v>
      </c>
      <c r="Y15484" s="17" t="s">
        <v>16413</v>
      </c>
    </row>
    <row r="15485" ht="15" customHeight="1" spans="1:22" x14ac:dyDescent="0.25">
      <c r="A15485" s="17" t="s">
        <v>41724</v>
      </c>
      <c r="B15485" s="17" t="s">
        <v>70</v>
      </c>
      <c r="C15485" s="17" t="s">
        <v>71</v>
      </c>
      <c r="D15485" t="s">
        <v>12610</v>
      </c>
      <c r="F15485" t="s">
        <v>12610</v>
      </c>
      <c r="K15485" s="18">
        <f>628128590988</f>
        <v>628128590988</v>
      </c>
      <c r="N15485" s="17" t="s">
        <v>81</v>
      </c>
      <c r="V15485" s="18">
        <f>628128590988</f>
        <v>628128590988</v>
      </c>
    </row>
    <row r="15486" ht="15" customHeight="1" spans="1:28" x14ac:dyDescent="0.25">
      <c r="A15486" s="17" t="s">
        <v>41725</v>
      </c>
      <c r="B15486" s="17" t="s">
        <v>70</v>
      </c>
      <c r="C15486" s="17" t="s">
        <v>71</v>
      </c>
      <c r="D15486" t="s">
        <v>12610</v>
      </c>
      <c r="F15486" t="s">
        <v>12610</v>
      </c>
      <c r="J15486" t="s">
        <v>115</v>
      </c>
      <c r="K15486" s="18" t="s">
        <v>41726</v>
      </c>
      <c r="N15486" s="17" t="s">
        <v>77</v>
      </c>
      <c r="O15486" t="s">
        <v>117</v>
      </c>
      <c r="V15486" s="18" t="s">
        <v>41726</v>
      </c>
      <c r="Y15486" t="s">
        <v>90</v>
      </c>
      <c r="AA15486" t="s">
        <v>118</v>
      </c>
      <c r="AB15486" t="s">
        <v>119</v>
      </c>
    </row>
    <row r="15487" ht="15" customHeight="1" spans="1:28" x14ac:dyDescent="0.25">
      <c r="A15487" s="17" t="s">
        <v>41727</v>
      </c>
      <c r="B15487" s="17" t="s">
        <v>70</v>
      </c>
      <c r="C15487" s="17" t="s">
        <v>71</v>
      </c>
      <c r="D15487" t="s">
        <v>41728</v>
      </c>
      <c r="F15487" t="s">
        <v>41728</v>
      </c>
      <c r="J15487" t="s">
        <v>115</v>
      </c>
      <c r="K15487" s="18" t="s">
        <v>41729</v>
      </c>
      <c r="N15487" s="17" t="s">
        <v>77</v>
      </c>
      <c r="O15487" t="s">
        <v>117</v>
      </c>
      <c r="V15487" s="18" t="s">
        <v>41729</v>
      </c>
      <c r="Y15487" t="s">
        <v>115</v>
      </c>
      <c r="AA15487" t="s">
        <v>115</v>
      </c>
      <c r="AB15487" t="s">
        <v>119</v>
      </c>
    </row>
    <row r="15488" ht="15" customHeight="1" spans="1:22" x14ac:dyDescent="0.25">
      <c r="A15488" s="17" t="s">
        <v>41730</v>
      </c>
      <c r="B15488" s="17" t="s">
        <v>70</v>
      </c>
      <c r="C15488" s="17" t="s">
        <v>71</v>
      </c>
      <c r="D15488" t="s">
        <v>12610</v>
      </c>
      <c r="F15488" t="s">
        <v>41731</v>
      </c>
      <c r="K15488" s="18">
        <f>6282190420814</f>
        <v>6282190420814</v>
      </c>
      <c r="N15488" s="17" t="s">
        <v>74</v>
      </c>
      <c r="V15488" s="18">
        <f>6282190420814</f>
        <v>6282190420814</v>
      </c>
    </row>
    <row r="15489" ht="15" customHeight="1" spans="1:23" x14ac:dyDescent="0.25">
      <c r="A15489" s="17" t="s">
        <v>41732</v>
      </c>
      <c r="B15489" s="17" t="s">
        <v>70</v>
      </c>
      <c r="C15489" s="17" t="s">
        <v>71</v>
      </c>
      <c r="D15489" t="s">
        <v>41733</v>
      </c>
      <c r="F15489" t="s">
        <v>3618</v>
      </c>
      <c r="K15489" s="18">
        <v>22011965</v>
      </c>
      <c r="N15489" s="17" t="s">
        <v>77</v>
      </c>
      <c r="U15489" s="17"/>
      <c r="V15489" s="18">
        <v>22011965</v>
      </c>
      <c r="W15489" t="s">
        <v>21942</v>
      </c>
    </row>
    <row r="15490" ht="15" customHeight="1" spans="1:28" x14ac:dyDescent="0.25">
      <c r="A15490" s="17" t="s">
        <v>41734</v>
      </c>
      <c r="B15490" s="17" t="s">
        <v>70</v>
      </c>
      <c r="C15490" s="17" t="s">
        <v>71</v>
      </c>
      <c r="D15490" t="s">
        <v>13121</v>
      </c>
      <c r="F15490" t="s">
        <v>41735</v>
      </c>
      <c r="J15490" s="17" t="s">
        <v>41736</v>
      </c>
      <c r="K15490" s="18" t="s">
        <v>41737</v>
      </c>
      <c r="N15490" s="17" t="s">
        <v>77</v>
      </c>
      <c r="O15490" t="s">
        <v>145</v>
      </c>
      <c r="U15490" s="17"/>
      <c r="V15490" s="18" t="s">
        <v>41737</v>
      </c>
      <c r="W15490" t="s">
        <v>21942</v>
      </c>
      <c r="Y15490" t="s">
        <v>930</v>
      </c>
      <c r="AA15490" t="s">
        <v>115</v>
      </c>
      <c r="AB15490" t="s">
        <v>930</v>
      </c>
    </row>
    <row r="15491" ht="15" customHeight="1" spans="1:28" x14ac:dyDescent="0.25">
      <c r="A15491" s="17" t="s">
        <v>41738</v>
      </c>
      <c r="B15491" s="17" t="s">
        <v>70</v>
      </c>
      <c r="C15491" s="17" t="s">
        <v>71</v>
      </c>
      <c r="D15491" t="s">
        <v>15390</v>
      </c>
      <c r="F15491" t="s">
        <v>41739</v>
      </c>
      <c r="J15491" t="s">
        <v>115</v>
      </c>
      <c r="K15491" s="18" t="s">
        <v>41740</v>
      </c>
      <c r="N15491" s="17" t="s">
        <v>77</v>
      </c>
      <c r="O15491" t="s">
        <v>117</v>
      </c>
      <c r="V15491" s="18" t="s">
        <v>41740</v>
      </c>
      <c r="Y15491" t="s">
        <v>90</v>
      </c>
      <c r="AA15491" t="s">
        <v>118</v>
      </c>
      <c r="AB15491" t="s">
        <v>119</v>
      </c>
    </row>
    <row r="15492" ht="15" customHeight="1" spans="1:22" x14ac:dyDescent="0.25">
      <c r="A15492" s="17" t="s">
        <v>41741</v>
      </c>
      <c r="B15492" s="17" t="s">
        <v>70</v>
      </c>
      <c r="C15492" s="17" t="s">
        <v>71</v>
      </c>
      <c r="D15492" t="s">
        <v>41742</v>
      </c>
      <c r="F15492" t="s">
        <v>41742</v>
      </c>
      <c r="K15492" s="18">
        <f>62811907511</f>
        <v>62811907511</v>
      </c>
      <c r="N15492" s="17" t="s">
        <v>81</v>
      </c>
      <c r="V15492" s="18">
        <f>62811907511</f>
        <v>62811907511</v>
      </c>
    </row>
    <row r="15493" ht="15" customHeight="1" spans="1:28" x14ac:dyDescent="0.25">
      <c r="A15493" s="17" t="s">
        <v>41743</v>
      </c>
      <c r="B15493" s="17" t="s">
        <v>70</v>
      </c>
      <c r="C15493" s="17" t="s">
        <v>71</v>
      </c>
      <c r="D15493" t="s">
        <v>41744</v>
      </c>
      <c r="F15493" t="s">
        <v>41744</v>
      </c>
      <c r="J15493" t="s">
        <v>115</v>
      </c>
      <c r="K15493" s="18" t="s">
        <v>41745</v>
      </c>
      <c r="N15493" s="17" t="s">
        <v>77</v>
      </c>
      <c r="O15493" t="s">
        <v>199</v>
      </c>
      <c r="V15493" s="18" t="s">
        <v>41745</v>
      </c>
      <c r="Y15493" t="s">
        <v>90</v>
      </c>
      <c r="AA15493" t="s">
        <v>118</v>
      </c>
      <c r="AB15493" t="s">
        <v>119</v>
      </c>
    </row>
    <row r="15494" ht="15" customHeight="1" spans="1:22" x14ac:dyDescent="0.25">
      <c r="A15494" s="17" t="s">
        <v>41746</v>
      </c>
      <c r="B15494" s="17" t="s">
        <v>70</v>
      </c>
      <c r="C15494" s="17" t="s">
        <v>71</v>
      </c>
      <c r="D15494" t="s">
        <v>41747</v>
      </c>
      <c r="F15494" t="s">
        <v>41747</v>
      </c>
      <c r="K15494" s="18">
        <f>6281286564384</f>
        <v>6281286564384</v>
      </c>
      <c r="N15494" s="17" t="s">
        <v>77</v>
      </c>
      <c r="V15494" s="18">
        <f>6281286564384</f>
        <v>6281286564384</v>
      </c>
    </row>
    <row r="15495" ht="15" customHeight="1" spans="1:22" x14ac:dyDescent="0.25">
      <c r="A15495" s="17" t="s">
        <v>41748</v>
      </c>
      <c r="B15495" s="17" t="s">
        <v>70</v>
      </c>
      <c r="C15495" s="17" t="s">
        <v>71</v>
      </c>
      <c r="D15495" t="s">
        <v>41747</v>
      </c>
      <c r="F15495" t="s">
        <v>41747</v>
      </c>
      <c r="K15495" s="18">
        <f>6281238818827</f>
        <v>6281238818827</v>
      </c>
      <c r="N15495" s="17" t="s">
        <v>77</v>
      </c>
      <c r="V15495" s="18">
        <f>6281238818827</f>
        <v>6281238818827</v>
      </c>
    </row>
    <row r="15496" ht="15" customHeight="1" spans="1:22" x14ac:dyDescent="0.25">
      <c r="A15496" s="17" t="s">
        <v>41749</v>
      </c>
      <c r="B15496" s="17" t="s">
        <v>70</v>
      </c>
      <c r="C15496" s="17" t="s">
        <v>71</v>
      </c>
      <c r="D15496" t="s">
        <v>41747</v>
      </c>
      <c r="F15496" t="s">
        <v>41747</v>
      </c>
      <c r="K15496" s="18">
        <f>628161951326</f>
        <v>628161951326</v>
      </c>
      <c r="N15496" s="17" t="s">
        <v>77</v>
      </c>
      <c r="V15496" s="18">
        <f>628161951326</f>
        <v>628161951326</v>
      </c>
    </row>
    <row r="15497" ht="15" customHeight="1" spans="1:23" x14ac:dyDescent="0.25">
      <c r="A15497" s="17" t="s">
        <v>41750</v>
      </c>
      <c r="B15497" s="17" t="s">
        <v>70</v>
      </c>
      <c r="C15497" s="17" t="s">
        <v>71</v>
      </c>
      <c r="D15497" t="s">
        <v>41747</v>
      </c>
      <c r="F15497" t="s">
        <v>41751</v>
      </c>
      <c r="J15497" s="17" t="s">
        <v>41752</v>
      </c>
      <c r="K15497" s="18">
        <f>6281519828888</f>
        <v>6281519828888</v>
      </c>
      <c r="N15497" s="17" t="s">
        <v>77</v>
      </c>
      <c r="U15497" s="17"/>
      <c r="V15497" s="18">
        <f>6281519828888</f>
        <v>6281519828888</v>
      </c>
      <c r="W15497" t="s">
        <v>41753</v>
      </c>
    </row>
    <row r="15498" ht="15" customHeight="1" spans="1:22" x14ac:dyDescent="0.25">
      <c r="A15498" s="17" t="s">
        <v>41754</v>
      </c>
      <c r="B15498" s="17" t="s">
        <v>70</v>
      </c>
      <c r="C15498" s="17" t="s">
        <v>71</v>
      </c>
      <c r="D15498" t="s">
        <v>41747</v>
      </c>
      <c r="F15498" t="s">
        <v>669</v>
      </c>
      <c r="K15498" s="18">
        <f>628567851740</f>
        <v>628567851740</v>
      </c>
      <c r="N15498" s="17" t="s">
        <v>77</v>
      </c>
      <c r="V15498" s="18">
        <f>628567851740</f>
        <v>628567851740</v>
      </c>
    </row>
    <row r="15499" ht="15" customHeight="1" spans="1:22" x14ac:dyDescent="0.25">
      <c r="A15499" s="17" t="s">
        <v>41755</v>
      </c>
      <c r="B15499" s="17" t="s">
        <v>70</v>
      </c>
      <c r="C15499" s="17" t="s">
        <v>71</v>
      </c>
      <c r="D15499" t="s">
        <v>41756</v>
      </c>
      <c r="F15499" t="s">
        <v>41756</v>
      </c>
      <c r="K15499" s="18">
        <f>62811389445</f>
        <v>62811389445</v>
      </c>
      <c r="N15499" s="17" t="s">
        <v>77</v>
      </c>
      <c r="V15499" s="18">
        <f>62811389445</f>
        <v>62811389445</v>
      </c>
    </row>
    <row r="15500" ht="15" customHeight="1" spans="1:27" x14ac:dyDescent="0.25">
      <c r="A15500" s="17" t="s">
        <v>41757</v>
      </c>
      <c r="B15500" s="17" t="s">
        <v>70</v>
      </c>
      <c r="C15500" s="17" t="s">
        <v>71</v>
      </c>
      <c r="D15500" t="s">
        <v>41756</v>
      </c>
      <c r="F15500" t="s">
        <v>39162</v>
      </c>
      <c r="K15500" s="18">
        <f>6281125670</f>
        <v>6281125670</v>
      </c>
      <c r="N15500" s="17" t="s">
        <v>74</v>
      </c>
      <c r="U15500" s="17"/>
      <c r="V15500" s="18">
        <f>6281125670</f>
        <v>6281125670</v>
      </c>
      <c r="W15500" t="s">
        <v>41758</v>
      </c>
      <c r="Y15500" s="17" t="s">
        <v>704</v>
      </c>
      <c r="AA15500" s="17" t="s">
        <v>41759</v>
      </c>
    </row>
    <row r="15501" ht="15" customHeight="1" spans="1:27" x14ac:dyDescent="0.25">
      <c r="A15501" s="17" t="s">
        <v>41760</v>
      </c>
      <c r="B15501" s="17" t="s">
        <v>70</v>
      </c>
      <c r="C15501" s="17" t="s">
        <v>71</v>
      </c>
      <c r="D15501" t="s">
        <v>41756</v>
      </c>
      <c r="F15501" t="s">
        <v>2517</v>
      </c>
      <c r="K15501" s="18">
        <f>62811913339</f>
        <v>62811913339</v>
      </c>
      <c r="N15501" s="17" t="s">
        <v>77</v>
      </c>
      <c r="U15501" s="17"/>
      <c r="V15501" s="18">
        <f>62811913339</f>
        <v>62811913339</v>
      </c>
      <c r="W15501" t="s">
        <v>41761</v>
      </c>
      <c r="Y15501" s="17" t="s">
        <v>90</v>
      </c>
      <c r="AA15501" s="17">
        <v>12270</v>
      </c>
    </row>
    <row r="15502" ht="15" customHeight="1" spans="1:23" x14ac:dyDescent="0.25">
      <c r="A15502" s="17" t="s">
        <v>41762</v>
      </c>
      <c r="B15502" s="17" t="s">
        <v>70</v>
      </c>
      <c r="C15502" s="17" t="s">
        <v>71</v>
      </c>
      <c r="D15502" t="s">
        <v>41756</v>
      </c>
      <c r="F15502" t="s">
        <v>2517</v>
      </c>
      <c r="K15502" s="18">
        <f>62811870685</f>
        <v>62811870685</v>
      </c>
      <c r="N15502" s="17" t="s">
        <v>74</v>
      </c>
      <c r="U15502" s="17"/>
      <c r="V15502" s="18">
        <f>62811870685</f>
        <v>62811870685</v>
      </c>
      <c r="W15502" t="s">
        <v>90</v>
      </c>
    </row>
    <row r="15503" ht="15" customHeight="1" spans="1:22" x14ac:dyDescent="0.25">
      <c r="A15503" s="17" t="s">
        <v>41763</v>
      </c>
      <c r="B15503" s="17" t="s">
        <v>70</v>
      </c>
      <c r="C15503" s="17" t="s">
        <v>71</v>
      </c>
      <c r="D15503" t="s">
        <v>41756</v>
      </c>
      <c r="F15503" t="s">
        <v>41764</v>
      </c>
      <c r="J15503" s="17" t="s">
        <v>41765</v>
      </c>
      <c r="K15503" s="18">
        <f>628111886100</f>
        <v>628111886100</v>
      </c>
      <c r="N15503" s="17" t="s">
        <v>81</v>
      </c>
      <c r="V15503" s="18">
        <f>628111886100</f>
        <v>628111886100</v>
      </c>
    </row>
    <row r="15504" ht="15" customHeight="1" spans="1:22" x14ac:dyDescent="0.25">
      <c r="A15504" s="17" t="s">
        <v>41766</v>
      </c>
      <c r="B15504" s="17" t="s">
        <v>70</v>
      </c>
      <c r="C15504" s="17" t="s">
        <v>71</v>
      </c>
      <c r="D15504" t="s">
        <v>41756</v>
      </c>
      <c r="F15504" t="s">
        <v>41767</v>
      </c>
      <c r="K15504" s="18">
        <f>6281239195165</f>
        <v>6281239195165</v>
      </c>
      <c r="N15504" s="17" t="s">
        <v>81</v>
      </c>
      <c r="V15504" s="18">
        <f>6281239195165</f>
        <v>6281239195165</v>
      </c>
    </row>
    <row r="15505" ht="15" customHeight="1" spans="1:22" x14ac:dyDescent="0.25">
      <c r="A15505" s="17" t="s">
        <v>41768</v>
      </c>
      <c r="B15505" s="17" t="s">
        <v>70</v>
      </c>
      <c r="C15505" s="17" t="s">
        <v>71</v>
      </c>
      <c r="D15505" t="s">
        <v>41756</v>
      </c>
      <c r="F15505" t="s">
        <v>39162</v>
      </c>
      <c r="K15505" s="18">
        <f>62811341334</f>
        <v>62811341334</v>
      </c>
      <c r="N15505" s="17" t="s">
        <v>77</v>
      </c>
      <c r="V15505" s="18">
        <f>62811341334</f>
        <v>62811341334</v>
      </c>
    </row>
    <row r="15506" ht="15" customHeight="1" spans="1:25" x14ac:dyDescent="0.25">
      <c r="A15506" s="17" t="s">
        <v>41769</v>
      </c>
      <c r="B15506" s="17" t="s">
        <v>70</v>
      </c>
      <c r="C15506" s="17" t="s">
        <v>71</v>
      </c>
      <c r="D15506" t="s">
        <v>41770</v>
      </c>
      <c r="F15506" t="s">
        <v>41771</v>
      </c>
      <c r="K15506" s="18">
        <f>6281688447</f>
        <v>6281688447</v>
      </c>
      <c r="N15506" s="17" t="s">
        <v>77</v>
      </c>
      <c r="U15506" s="17"/>
      <c r="V15506" s="18">
        <f>6281688447</f>
        <v>6281688447</v>
      </c>
      <c r="W15506" t="s">
        <v>41772</v>
      </c>
      <c r="Y15506" s="17" t="s">
        <v>41773</v>
      </c>
    </row>
    <row r="15507" ht="15" customHeight="1" spans="1:22" x14ac:dyDescent="0.25">
      <c r="A15507" s="17" t="s">
        <v>41774</v>
      </c>
      <c r="B15507" s="17" t="s">
        <v>70</v>
      </c>
      <c r="C15507" s="17" t="s">
        <v>71</v>
      </c>
      <c r="D15507" t="s">
        <v>41775</v>
      </c>
      <c r="F15507" t="s">
        <v>41775</v>
      </c>
      <c r="K15507" s="18">
        <f>62811222120</f>
        <v>62811222120</v>
      </c>
      <c r="N15507" s="17" t="s">
        <v>77</v>
      </c>
      <c r="V15507" s="18">
        <f>62811222120</f>
        <v>62811222120</v>
      </c>
    </row>
    <row r="15508" ht="15" customHeight="1" spans="1:23" x14ac:dyDescent="0.25">
      <c r="A15508" s="17" t="s">
        <v>41776</v>
      </c>
      <c r="B15508" s="17" t="s">
        <v>70</v>
      </c>
      <c r="C15508" s="17" t="s">
        <v>71</v>
      </c>
      <c r="D15508" t="s">
        <v>41777</v>
      </c>
      <c r="F15508" t="s">
        <v>8765</v>
      </c>
      <c r="K15508" s="18">
        <f>447970884168</f>
        <v>447970884168</v>
      </c>
      <c r="N15508" s="17" t="s">
        <v>77</v>
      </c>
      <c r="U15508" s="17"/>
      <c r="V15508" s="18">
        <f>447970884168</f>
        <v>447970884168</v>
      </c>
      <c r="W15508" t="s">
        <v>41778</v>
      </c>
    </row>
    <row r="15509" ht="15" customHeight="1" spans="1:27" x14ac:dyDescent="0.25">
      <c r="A15509" s="17" t="s">
        <v>41779</v>
      </c>
      <c r="B15509" s="17" t="s">
        <v>70</v>
      </c>
      <c r="C15509" s="17" t="s">
        <v>71</v>
      </c>
      <c r="D15509" t="s">
        <v>5802</v>
      </c>
      <c r="F15509" t="s">
        <v>29554</v>
      </c>
      <c r="K15509" s="18">
        <f>628111662742</f>
        <v>628111662742</v>
      </c>
      <c r="N15509" s="17" t="s">
        <v>74</v>
      </c>
      <c r="U15509" s="17"/>
      <c r="V15509" s="18">
        <f>628111662742</f>
        <v>628111662742</v>
      </c>
      <c r="W15509" t="s">
        <v>41780</v>
      </c>
      <c r="AA15509" s="17">
        <v>11610</v>
      </c>
    </row>
    <row r="15510" ht="15" customHeight="1" spans="1:23" x14ac:dyDescent="0.25">
      <c r="A15510" s="17" t="s">
        <v>41781</v>
      </c>
      <c r="B15510" s="17" t="s">
        <v>70</v>
      </c>
      <c r="C15510" s="17" t="s">
        <v>71</v>
      </c>
      <c r="D15510" t="s">
        <v>41782</v>
      </c>
      <c r="F15510" t="s">
        <v>25509</v>
      </c>
      <c r="J15510" s="17" t="s">
        <v>41783</v>
      </c>
      <c r="K15510" s="18">
        <f>6281316087791</f>
        <v>6281316087791</v>
      </c>
      <c r="N15510" s="17" t="s">
        <v>77</v>
      </c>
      <c r="U15510" s="17"/>
      <c r="V15510" s="18">
        <f>6281316087791</f>
        <v>6281316087791</v>
      </c>
      <c r="W15510" t="s">
        <v>41784</v>
      </c>
    </row>
    <row r="15511" ht="15" customHeight="1" spans="1:23" x14ac:dyDescent="0.25">
      <c r="A15511" s="17" t="s">
        <v>41785</v>
      </c>
      <c r="B15511" s="17" t="s">
        <v>70</v>
      </c>
      <c r="C15511" s="17" t="s">
        <v>71</v>
      </c>
      <c r="D15511" t="s">
        <v>7405</v>
      </c>
      <c r="F15511" t="s">
        <v>25118</v>
      </c>
      <c r="K15511" s="18">
        <f>6598457996</f>
        <v>6598457996</v>
      </c>
      <c r="N15511" s="17" t="s">
        <v>77</v>
      </c>
      <c r="U15511" s="17"/>
      <c r="V15511" s="18">
        <f>6598457996</f>
        <v>6598457996</v>
      </c>
      <c r="W15511" t="s">
        <v>3140</v>
      </c>
    </row>
    <row r="15512" ht="15" customHeight="1" spans="1:22" x14ac:dyDescent="0.25">
      <c r="A15512" s="17" t="s">
        <v>41786</v>
      </c>
      <c r="B15512" s="17" t="s">
        <v>70</v>
      </c>
      <c r="C15512" s="17" t="s">
        <v>71</v>
      </c>
      <c r="D15512" t="s">
        <v>7405</v>
      </c>
      <c r="F15512" t="s">
        <v>1303</v>
      </c>
      <c r="K15512" s="18">
        <f>6281120119801</f>
        <v>6281120119801</v>
      </c>
      <c r="N15512" s="17" t="s">
        <v>77</v>
      </c>
      <c r="V15512" s="18">
        <f>6281120119801</f>
        <v>6281120119801</v>
      </c>
    </row>
    <row r="15513" ht="15" customHeight="1" spans="1:22" x14ac:dyDescent="0.25">
      <c r="A15513" s="17" t="s">
        <v>41787</v>
      </c>
      <c r="B15513" s="17" t="s">
        <v>70</v>
      </c>
      <c r="C15513" s="17" t="s">
        <v>71</v>
      </c>
      <c r="D15513" t="s">
        <v>7405</v>
      </c>
      <c r="F15513" t="s">
        <v>19897</v>
      </c>
      <c r="K15513" s="18">
        <f>62858825589999</f>
        <v>62858825589999</v>
      </c>
      <c r="N15513" s="17" t="s">
        <v>77</v>
      </c>
      <c r="V15513" s="18">
        <f>62858825589999</f>
        <v>62858825589999</v>
      </c>
    </row>
    <row r="15514" ht="15" customHeight="1" spans="1:27" x14ac:dyDescent="0.25">
      <c r="A15514" s="17" t="s">
        <v>41788</v>
      </c>
      <c r="B15514" s="17" t="s">
        <v>70</v>
      </c>
      <c r="C15514" s="17" t="s">
        <v>71</v>
      </c>
      <c r="D15514" t="s">
        <v>7405</v>
      </c>
      <c r="F15514" t="s">
        <v>6979</v>
      </c>
      <c r="J15514" s="17" t="s">
        <v>41789</v>
      </c>
      <c r="K15514" s="18">
        <v>1887485102</v>
      </c>
      <c r="N15514" s="17" t="s">
        <v>77</v>
      </c>
      <c r="U15514" s="17"/>
      <c r="V15514" s="18">
        <v>1887485102</v>
      </c>
      <c r="W15514" t="s">
        <v>41790</v>
      </c>
      <c r="Y15514" s="17" t="s">
        <v>41791</v>
      </c>
      <c r="AA15514" s="17">
        <v>410000</v>
      </c>
    </row>
    <row r="15515" ht="15" customHeight="1" spans="1:28" x14ac:dyDescent="0.25">
      <c r="A15515" s="17" t="s">
        <v>41792</v>
      </c>
      <c r="B15515" s="17" t="s">
        <v>70</v>
      </c>
      <c r="C15515" s="17" t="s">
        <v>71</v>
      </c>
      <c r="D15515" t="s">
        <v>16073</v>
      </c>
      <c r="F15515" t="s">
        <v>1564</v>
      </c>
      <c r="J15515" t="s">
        <v>115</v>
      </c>
      <c r="K15515" s="18" t="s">
        <v>41793</v>
      </c>
      <c r="N15515" s="17" t="s">
        <v>77</v>
      </c>
      <c r="O15515" t="s">
        <v>117</v>
      </c>
      <c r="V15515" s="18" t="s">
        <v>41793</v>
      </c>
      <c r="Y15515" t="s">
        <v>11496</v>
      </c>
      <c r="AA15515" t="s">
        <v>1969</v>
      </c>
      <c r="AB15515" t="s">
        <v>119</v>
      </c>
    </row>
    <row r="15516" ht="15" customHeight="1" spans="1:28" x14ac:dyDescent="0.25">
      <c r="A15516" s="17" t="s">
        <v>41794</v>
      </c>
      <c r="B15516" s="17" t="s">
        <v>70</v>
      </c>
      <c r="C15516" s="17" t="s">
        <v>71</v>
      </c>
      <c r="D15516" t="s">
        <v>7405</v>
      </c>
      <c r="F15516" t="s">
        <v>41795</v>
      </c>
      <c r="J15516" s="17" t="s">
        <v>41796</v>
      </c>
      <c r="K15516" s="18" t="s">
        <v>41797</v>
      </c>
      <c r="N15516" s="17" t="s">
        <v>77</v>
      </c>
      <c r="O15516" t="s">
        <v>117</v>
      </c>
      <c r="U15516" s="17"/>
      <c r="V15516" s="18" t="s">
        <v>41797</v>
      </c>
      <c r="W15516" t="s">
        <v>6980</v>
      </c>
      <c r="Y15516" s="17" t="s">
        <v>3140</v>
      </c>
      <c r="AA15516" t="s">
        <v>115</v>
      </c>
      <c r="AB15516" t="s">
        <v>3140</v>
      </c>
    </row>
    <row r="15517" ht="15" customHeight="1" spans="1:23" x14ac:dyDescent="0.25">
      <c r="A15517" s="17" t="s">
        <v>41798</v>
      </c>
      <c r="B15517" s="17" t="s">
        <v>70</v>
      </c>
      <c r="C15517" s="17" t="s">
        <v>71</v>
      </c>
      <c r="D15517" t="s">
        <v>41799</v>
      </c>
      <c r="F15517" t="s">
        <v>17672</v>
      </c>
      <c r="K15517" s="18">
        <f>8613602500992</f>
        <v>8613602500992</v>
      </c>
      <c r="N15517" s="17" t="s">
        <v>77</v>
      </c>
      <c r="U15517" s="17"/>
      <c r="V15517" s="18">
        <f>8613602500992</f>
        <v>8613602500992</v>
      </c>
      <c r="W15517" t="s">
        <v>3140</v>
      </c>
    </row>
    <row r="15518" ht="15" customHeight="1" spans="1:28" x14ac:dyDescent="0.25">
      <c r="A15518" s="17" t="s">
        <v>41800</v>
      </c>
      <c r="B15518" s="17" t="s">
        <v>70</v>
      </c>
      <c r="C15518" s="17" t="s">
        <v>71</v>
      </c>
      <c r="D15518" t="s">
        <v>7405</v>
      </c>
      <c r="F15518" t="s">
        <v>7315</v>
      </c>
      <c r="J15518" s="17" t="s">
        <v>41801</v>
      </c>
      <c r="K15518" s="18" t="s">
        <v>41802</v>
      </c>
      <c r="N15518" s="17" t="s">
        <v>77</v>
      </c>
      <c r="O15518" t="s">
        <v>117</v>
      </c>
      <c r="V15518" s="18" t="s">
        <v>41802</v>
      </c>
      <c r="Y15518" s="17" t="s">
        <v>3140</v>
      </c>
      <c r="AA15518" t="s">
        <v>115</v>
      </c>
      <c r="AB15518" t="s">
        <v>3140</v>
      </c>
    </row>
    <row r="15519" ht="15" customHeight="1" spans="1:23" x14ac:dyDescent="0.25">
      <c r="A15519" s="17" t="s">
        <v>41803</v>
      </c>
      <c r="B15519" s="17" t="s">
        <v>70</v>
      </c>
      <c r="C15519" s="17" t="s">
        <v>71</v>
      </c>
      <c r="D15519" t="s">
        <v>41804</v>
      </c>
      <c r="F15519" t="s">
        <v>6095</v>
      </c>
      <c r="K15519" s="18">
        <f>13681612570</f>
        <v>13681612570</v>
      </c>
      <c r="N15519" s="17" t="s">
        <v>77</v>
      </c>
      <c r="U15519" s="17"/>
      <c r="V15519" s="18">
        <f>13681612570</f>
        <v>13681612570</v>
      </c>
      <c r="W15519" t="s">
        <v>41805</v>
      </c>
    </row>
    <row r="15520" ht="15" customHeight="1" spans="1:28" x14ac:dyDescent="0.25">
      <c r="A15520" s="17" t="s">
        <v>41806</v>
      </c>
      <c r="B15520" s="17" t="s">
        <v>70</v>
      </c>
      <c r="C15520" s="17" t="s">
        <v>71</v>
      </c>
      <c r="D15520" t="s">
        <v>41807</v>
      </c>
      <c r="F15520" t="s">
        <v>20677</v>
      </c>
      <c r="J15520" t="s">
        <v>115</v>
      </c>
      <c r="K15520" s="18" t="s">
        <v>41808</v>
      </c>
      <c r="N15520" s="17" t="s">
        <v>77</v>
      </c>
      <c r="O15520" t="s">
        <v>145</v>
      </c>
      <c r="V15520" s="18" t="s">
        <v>41808</v>
      </c>
      <c r="Y15520" t="s">
        <v>115</v>
      </c>
      <c r="AA15520" t="s">
        <v>115</v>
      </c>
      <c r="AB15520" t="s">
        <v>3140</v>
      </c>
    </row>
    <row r="15521" ht="15" customHeight="1" spans="1:23" x14ac:dyDescent="0.25">
      <c r="A15521" s="17" t="s">
        <v>41809</v>
      </c>
      <c r="B15521" s="17" t="s">
        <v>70</v>
      </c>
      <c r="C15521" s="17" t="s">
        <v>71</v>
      </c>
      <c r="D15521" t="s">
        <v>41810</v>
      </c>
      <c r="F15521" t="s">
        <v>41810</v>
      </c>
      <c r="K15521" s="18">
        <f>62816510389</f>
        <v>62816510389</v>
      </c>
      <c r="N15521" s="17" t="s">
        <v>74</v>
      </c>
      <c r="U15521" s="17"/>
      <c r="V15521" s="18">
        <f>62816510389</f>
        <v>62816510389</v>
      </c>
      <c r="W15521" t="s">
        <v>41811</v>
      </c>
    </row>
    <row r="15522" ht="15" customHeight="1" spans="1:28" x14ac:dyDescent="0.25">
      <c r="A15522" s="17" t="s">
        <v>41812</v>
      </c>
      <c r="B15522" s="17" t="s">
        <v>70</v>
      </c>
      <c r="C15522" s="17" t="s">
        <v>71</v>
      </c>
      <c r="D15522" t="s">
        <v>41813</v>
      </c>
      <c r="F15522" t="s">
        <v>3618</v>
      </c>
      <c r="J15522" s="17" t="s">
        <v>41814</v>
      </c>
      <c r="K15522" s="18" t="s">
        <v>41815</v>
      </c>
      <c r="N15522" s="17" t="s">
        <v>77</v>
      </c>
      <c r="O15522" t="s">
        <v>489</v>
      </c>
      <c r="U15522" s="17"/>
      <c r="V15522" s="18" t="s">
        <v>41815</v>
      </c>
      <c r="W15522" t="s">
        <v>15062</v>
      </c>
      <c r="Y15522" t="s">
        <v>115</v>
      </c>
      <c r="AA15522" t="s">
        <v>115</v>
      </c>
      <c r="AB15522" t="s">
        <v>451</v>
      </c>
    </row>
    <row r="15523" ht="15" customHeight="1" spans="1:23" x14ac:dyDescent="0.25">
      <c r="A15523" s="17" t="s">
        <v>41816</v>
      </c>
      <c r="B15523" s="17" t="s">
        <v>70</v>
      </c>
      <c r="C15523" s="17" t="s">
        <v>71</v>
      </c>
      <c r="D15523" t="s">
        <v>41817</v>
      </c>
      <c r="F15523" t="s">
        <v>41818</v>
      </c>
      <c r="J15523" s="17" t="s">
        <v>41819</v>
      </c>
      <c r="K15523" s="18">
        <f>6281363779998</f>
        <v>6281363779998</v>
      </c>
      <c r="N15523" s="17" t="s">
        <v>81</v>
      </c>
      <c r="U15523" s="17"/>
      <c r="V15523" s="18">
        <f>6281363779998</f>
        <v>6281363779998</v>
      </c>
      <c r="W15523" t="s">
        <v>41820</v>
      </c>
    </row>
    <row r="15524" ht="15" customHeight="1" spans="1:22" x14ac:dyDescent="0.25">
      <c r="A15524" s="17" t="s">
        <v>41821</v>
      </c>
      <c r="B15524" s="17" t="s">
        <v>70</v>
      </c>
      <c r="C15524" s="17" t="s">
        <v>71</v>
      </c>
      <c r="D15524" t="s">
        <v>41822</v>
      </c>
      <c r="F15524" t="s">
        <v>41823</v>
      </c>
      <c r="K15524" s="18">
        <f>6282122985218</f>
        <v>6282122985218</v>
      </c>
      <c r="N15524" s="17" t="s">
        <v>81</v>
      </c>
      <c r="V15524" s="18">
        <f>6282122985218</f>
        <v>6282122985218</v>
      </c>
    </row>
    <row r="15525" ht="15" customHeight="1" spans="1:23" x14ac:dyDescent="0.25">
      <c r="A15525" s="17" t="s">
        <v>41824</v>
      </c>
      <c r="B15525" s="17" t="s">
        <v>70</v>
      </c>
      <c r="C15525" s="17" t="s">
        <v>71</v>
      </c>
      <c r="D15525" t="s">
        <v>41825</v>
      </c>
      <c r="F15525" t="s">
        <v>2159</v>
      </c>
      <c r="K15525" s="18">
        <f>628121083126</f>
        <v>628121083126</v>
      </c>
      <c r="N15525" s="17" t="s">
        <v>77</v>
      </c>
      <c r="U15525" s="17"/>
      <c r="V15525" s="18">
        <f>628121083126</f>
        <v>628121083126</v>
      </c>
      <c r="W15525" t="s">
        <v>41826</v>
      </c>
    </row>
    <row r="15526" ht="15" customHeight="1" spans="1:28" x14ac:dyDescent="0.25">
      <c r="A15526" s="17" t="s">
        <v>41827</v>
      </c>
      <c r="B15526" s="17" t="s">
        <v>70</v>
      </c>
      <c r="C15526" s="17" t="s">
        <v>71</v>
      </c>
      <c r="D15526" t="s">
        <v>41825</v>
      </c>
      <c r="F15526" t="s">
        <v>2161</v>
      </c>
      <c r="J15526" s="17" t="s">
        <v>41828</v>
      </c>
      <c r="K15526" s="18" t="s">
        <v>41829</v>
      </c>
      <c r="N15526" s="17" t="s">
        <v>81</v>
      </c>
      <c r="O15526" t="s">
        <v>261</v>
      </c>
      <c r="U15526" s="17"/>
      <c r="V15526" s="18" t="s">
        <v>41829</v>
      </c>
      <c r="W15526" t="s">
        <v>41830</v>
      </c>
      <c r="Y15526" t="s">
        <v>90</v>
      </c>
      <c r="AA15526" s="17" t="s">
        <v>118</v>
      </c>
      <c r="AB15526" t="s">
        <v>119</v>
      </c>
    </row>
    <row r="15527" ht="15" customHeight="1" spans="1:25" x14ac:dyDescent="0.25">
      <c r="A15527" s="17" t="s">
        <v>41831</v>
      </c>
      <c r="B15527" s="17" t="s">
        <v>70</v>
      </c>
      <c r="C15527" s="17" t="s">
        <v>71</v>
      </c>
      <c r="D15527" t="s">
        <v>41832</v>
      </c>
      <c r="F15527" t="s">
        <v>22573</v>
      </c>
      <c r="K15527" s="18">
        <f>6287887339068</f>
        <v>6287887339068</v>
      </c>
      <c r="N15527" s="17" t="s">
        <v>81</v>
      </c>
      <c r="U15527" s="17"/>
      <c r="V15527" s="18">
        <f>6287887339068</f>
        <v>6287887339068</v>
      </c>
      <c r="W15527" t="s">
        <v>41833</v>
      </c>
      <c r="Y15527" s="17" t="s">
        <v>90</v>
      </c>
    </row>
    <row r="15528" ht="15" customHeight="1" spans="1:22" x14ac:dyDescent="0.25">
      <c r="A15528" s="17" t="s">
        <v>41834</v>
      </c>
      <c r="B15528" s="17" t="s">
        <v>70</v>
      </c>
      <c r="C15528" s="17" t="s">
        <v>71</v>
      </c>
      <c r="D15528" t="s">
        <v>41835</v>
      </c>
      <c r="F15528" t="s">
        <v>41835</v>
      </c>
      <c r="K15528" s="18">
        <f>6281384158000</f>
        <v>6281384158000</v>
      </c>
      <c r="N15528" s="17" t="s">
        <v>77</v>
      </c>
      <c r="V15528" s="18">
        <f>6281384158000</f>
        <v>6281384158000</v>
      </c>
    </row>
    <row r="15529" ht="15" customHeight="1" spans="1:22" x14ac:dyDescent="0.25">
      <c r="A15529" s="17" t="s">
        <v>41836</v>
      </c>
      <c r="B15529" s="17" t="s">
        <v>70</v>
      </c>
      <c r="C15529" s="17" t="s">
        <v>71</v>
      </c>
      <c r="D15529" t="s">
        <v>41835</v>
      </c>
      <c r="F15529" t="s">
        <v>2932</v>
      </c>
      <c r="K15529" s="18">
        <f>6281311117788</f>
        <v>6281311117788</v>
      </c>
      <c r="N15529" s="17" t="s">
        <v>81</v>
      </c>
      <c r="V15529" s="18">
        <f>6281311117788</f>
        <v>6281311117788</v>
      </c>
    </row>
    <row r="15530" ht="15" customHeight="1" spans="1:28" x14ac:dyDescent="0.25">
      <c r="A15530" s="17" t="s">
        <v>41837</v>
      </c>
      <c r="B15530" s="17" t="s">
        <v>70</v>
      </c>
      <c r="C15530" s="17" t="s">
        <v>71</v>
      </c>
      <c r="D15530" t="s">
        <v>41835</v>
      </c>
      <c r="F15530" t="s">
        <v>35274</v>
      </c>
      <c r="J15530" s="17" t="s">
        <v>41838</v>
      </c>
      <c r="K15530" s="18" t="s">
        <v>41839</v>
      </c>
      <c r="N15530" s="17" t="s">
        <v>77</v>
      </c>
      <c r="O15530" t="s">
        <v>145</v>
      </c>
      <c r="U15530" s="17"/>
      <c r="V15530" s="18" t="s">
        <v>41839</v>
      </c>
      <c r="W15530" t="s">
        <v>41840</v>
      </c>
      <c r="Y15530" s="17" t="s">
        <v>217</v>
      </c>
      <c r="AA15530" s="17" t="s">
        <v>218</v>
      </c>
      <c r="AB15530" t="s">
        <v>119</v>
      </c>
    </row>
    <row r="15531" ht="15" customHeight="1" spans="1:28" x14ac:dyDescent="0.25">
      <c r="A15531" s="17" t="s">
        <v>41841</v>
      </c>
      <c r="B15531" s="17" t="s">
        <v>70</v>
      </c>
      <c r="C15531" s="17" t="s">
        <v>71</v>
      </c>
      <c r="D15531" t="s">
        <v>41835</v>
      </c>
      <c r="F15531" t="s">
        <v>498</v>
      </c>
      <c r="J15531" t="s">
        <v>115</v>
      </c>
      <c r="K15531" s="18" t="s">
        <v>41842</v>
      </c>
      <c r="N15531" s="17" t="s">
        <v>77</v>
      </c>
      <c r="O15531" t="s">
        <v>199</v>
      </c>
      <c r="V15531" s="18" t="s">
        <v>41842</v>
      </c>
      <c r="Y15531" t="s">
        <v>90</v>
      </c>
      <c r="AA15531" t="s">
        <v>118</v>
      </c>
      <c r="AB15531" t="s">
        <v>119</v>
      </c>
    </row>
    <row r="15532" ht="15" customHeight="1" spans="1:22" x14ac:dyDescent="0.25">
      <c r="A15532" s="17" t="s">
        <v>41843</v>
      </c>
      <c r="B15532" s="17" t="s">
        <v>70</v>
      </c>
      <c r="C15532" s="17" t="s">
        <v>71</v>
      </c>
      <c r="D15532" t="s">
        <v>41835</v>
      </c>
      <c r="F15532" t="s">
        <v>672</v>
      </c>
      <c r="J15532" s="17" t="s">
        <v>41844</v>
      </c>
      <c r="K15532" s="18">
        <f>6281908771539</f>
        <v>6281908771539</v>
      </c>
      <c r="N15532" s="17" t="s">
        <v>77</v>
      </c>
      <c r="V15532" s="18">
        <f>6281908771539</f>
        <v>6281908771539</v>
      </c>
    </row>
    <row r="15533" ht="15" customHeight="1" spans="1:22" x14ac:dyDescent="0.25">
      <c r="A15533" s="17" t="s">
        <v>41845</v>
      </c>
      <c r="B15533" s="17" t="s">
        <v>70</v>
      </c>
      <c r="C15533" s="17" t="s">
        <v>71</v>
      </c>
      <c r="D15533" t="s">
        <v>41846</v>
      </c>
      <c r="F15533" t="s">
        <v>40195</v>
      </c>
      <c r="K15533" s="18">
        <f>622130044842</f>
        <v>622130044842</v>
      </c>
      <c r="N15533" s="17" t="s">
        <v>77</v>
      </c>
      <c r="V15533" s="18">
        <f>622130044842</f>
        <v>622130044842</v>
      </c>
    </row>
    <row r="15534" ht="15" customHeight="1" spans="1:22" x14ac:dyDescent="0.25">
      <c r="A15534" s="17" t="s">
        <v>41847</v>
      </c>
      <c r="B15534" s="17" t="s">
        <v>70</v>
      </c>
      <c r="C15534" s="17" t="s">
        <v>71</v>
      </c>
      <c r="D15534" t="s">
        <v>41848</v>
      </c>
      <c r="F15534" t="s">
        <v>41849</v>
      </c>
      <c r="K15534" s="18">
        <f>6282340537777</f>
        <v>6282340537777</v>
      </c>
      <c r="N15534" s="17" t="s">
        <v>81</v>
      </c>
      <c r="V15534" s="18">
        <f>6282340537777</f>
        <v>6282340537777</v>
      </c>
    </row>
    <row r="15535" ht="15" customHeight="1" spans="1:22" x14ac:dyDescent="0.25">
      <c r="A15535" s="17" t="s">
        <v>41850</v>
      </c>
      <c r="B15535" s="17" t="s">
        <v>70</v>
      </c>
      <c r="C15535" s="17" t="s">
        <v>71</v>
      </c>
      <c r="D15535" t="s">
        <v>16014</v>
      </c>
      <c r="F15535" t="s">
        <v>10785</v>
      </c>
      <c r="K15535" s="18">
        <f>6281268881818</f>
        <v>6281268881818</v>
      </c>
      <c r="N15535" s="17" t="s">
        <v>81</v>
      </c>
      <c r="V15535" s="18">
        <f>6281268881818</f>
        <v>6281268881818</v>
      </c>
    </row>
    <row r="15536" ht="15" customHeight="1" spans="1:28" x14ac:dyDescent="0.25">
      <c r="A15536" s="17" t="s">
        <v>41851</v>
      </c>
      <c r="B15536" s="17" t="s">
        <v>70</v>
      </c>
      <c r="C15536" s="17" t="s">
        <v>71</v>
      </c>
      <c r="D15536" t="s">
        <v>16014</v>
      </c>
      <c r="F15536" t="s">
        <v>41852</v>
      </c>
      <c r="J15536" s="17" t="s">
        <v>41853</v>
      </c>
      <c r="K15536" s="18" t="s">
        <v>41854</v>
      </c>
      <c r="N15536" s="17" t="s">
        <v>77</v>
      </c>
      <c r="O15536" t="s">
        <v>261</v>
      </c>
      <c r="U15536" s="17"/>
      <c r="V15536" s="18" t="s">
        <v>41854</v>
      </c>
      <c r="W15536" t="s">
        <v>3140</v>
      </c>
      <c r="Y15536" t="s">
        <v>3140</v>
      </c>
      <c r="AA15536" t="s">
        <v>115</v>
      </c>
      <c r="AB15536" t="s">
        <v>3140</v>
      </c>
    </row>
    <row r="15537" ht="15" customHeight="1" spans="1:23" x14ac:dyDescent="0.25">
      <c r="A15537" s="17" t="s">
        <v>41855</v>
      </c>
      <c r="B15537" s="17" t="s">
        <v>70</v>
      </c>
      <c r="C15537" s="17" t="s">
        <v>71</v>
      </c>
      <c r="D15537" t="s">
        <v>16014</v>
      </c>
      <c r="F15537" t="s">
        <v>17639</v>
      </c>
      <c r="K15537" s="18">
        <f>8615201705776</f>
        <v>8615201705776</v>
      </c>
      <c r="N15537" s="17" t="s">
        <v>81</v>
      </c>
      <c r="U15537" s="17"/>
      <c r="V15537" s="18">
        <f>8615201705776</f>
        <v>8615201705776</v>
      </c>
      <c r="W15537" t="s">
        <v>41856</v>
      </c>
    </row>
    <row r="15538" ht="15" customHeight="1" spans="1:28" x14ac:dyDescent="0.25">
      <c r="A15538" s="17" t="s">
        <v>41857</v>
      </c>
      <c r="B15538" s="17" t="s">
        <v>70</v>
      </c>
      <c r="C15538" s="17" t="s">
        <v>71</v>
      </c>
      <c r="D15538" t="s">
        <v>16014</v>
      </c>
      <c r="F15538" t="s">
        <v>41858</v>
      </c>
      <c r="J15538" s="17" t="s">
        <v>41859</v>
      </c>
      <c r="K15538" s="18" t="s">
        <v>41860</v>
      </c>
      <c r="N15538" s="17" t="s">
        <v>77</v>
      </c>
      <c r="O15538" t="s">
        <v>145</v>
      </c>
      <c r="V15538" s="18" t="s">
        <v>41860</v>
      </c>
      <c r="Y15538" t="s">
        <v>115</v>
      </c>
      <c r="AA15538" t="s">
        <v>115</v>
      </c>
      <c r="AB15538" t="s">
        <v>3140</v>
      </c>
    </row>
    <row r="15539" ht="15" customHeight="1" spans="1:22" x14ac:dyDescent="0.25">
      <c r="A15539" s="17" t="s">
        <v>41861</v>
      </c>
      <c r="B15539" s="17" t="s">
        <v>70</v>
      </c>
      <c r="C15539" s="17" t="s">
        <v>71</v>
      </c>
      <c r="D15539" t="s">
        <v>16014</v>
      </c>
      <c r="F15539" t="s">
        <v>16014</v>
      </c>
      <c r="K15539" s="18">
        <f>6281386865888</f>
        <v>6281386865888</v>
      </c>
      <c r="N15539" s="17" t="s">
        <v>77</v>
      </c>
      <c r="V15539" s="18">
        <f>6281386865888</f>
        <v>6281386865888</v>
      </c>
    </row>
    <row r="15540" ht="15" customHeight="1" spans="1:22" x14ac:dyDescent="0.25">
      <c r="A15540" s="17" t="s">
        <v>41862</v>
      </c>
      <c r="B15540" s="17" t="s">
        <v>70</v>
      </c>
      <c r="C15540" s="17" t="s">
        <v>71</v>
      </c>
      <c r="D15540" t="s">
        <v>16014</v>
      </c>
      <c r="F15540" t="s">
        <v>7341</v>
      </c>
      <c r="K15540" s="18">
        <f>6281284582207</f>
        <v>6281284582207</v>
      </c>
      <c r="N15540" s="17" t="s">
        <v>81</v>
      </c>
      <c r="V15540" s="18">
        <f>6281284582207</f>
        <v>6281284582207</v>
      </c>
    </row>
    <row r="15541" ht="15" customHeight="1" spans="1:22" x14ac:dyDescent="0.25">
      <c r="A15541" s="17" t="s">
        <v>41863</v>
      </c>
      <c r="B15541" s="17" t="s">
        <v>70</v>
      </c>
      <c r="C15541" s="17" t="s">
        <v>71</v>
      </c>
      <c r="D15541" t="s">
        <v>16014</v>
      </c>
      <c r="F15541" t="s">
        <v>41864</v>
      </c>
      <c r="K15541" s="18">
        <f>628119402007</f>
        <v>628119402007</v>
      </c>
      <c r="N15541" s="17" t="s">
        <v>77</v>
      </c>
      <c r="V15541" s="18">
        <f>628119402007</f>
        <v>628119402007</v>
      </c>
    </row>
    <row r="15542" ht="15" customHeight="1" spans="1:23" x14ac:dyDescent="0.25">
      <c r="A15542" s="17" t="s">
        <v>41865</v>
      </c>
      <c r="B15542" s="17" t="s">
        <v>70</v>
      </c>
      <c r="C15542" s="17" t="s">
        <v>71</v>
      </c>
      <c r="D15542" t="s">
        <v>41866</v>
      </c>
      <c r="F15542" t="s">
        <v>41867</v>
      </c>
      <c r="J15542" s="17" t="s">
        <v>41868</v>
      </c>
      <c r="K15542" s="18">
        <f>86115201736837</f>
        <v>86115201736837</v>
      </c>
      <c r="N15542" s="17" t="s">
        <v>77</v>
      </c>
      <c r="U15542" s="17"/>
      <c r="V15542" s="18">
        <f>86115201736837</f>
        <v>86115201736837</v>
      </c>
      <c r="W15542" t="s">
        <v>3140</v>
      </c>
    </row>
    <row r="15543" ht="15" customHeight="1" spans="1:23" x14ac:dyDescent="0.25">
      <c r="A15543" s="17" t="s">
        <v>41869</v>
      </c>
      <c r="B15543" s="17" t="s">
        <v>70</v>
      </c>
      <c r="C15543" s="17" t="s">
        <v>71</v>
      </c>
      <c r="D15543" t="s">
        <v>41866</v>
      </c>
      <c r="F15543" t="s">
        <v>41870</v>
      </c>
      <c r="K15543" s="18">
        <f>86259941960</f>
        <v>86259941960</v>
      </c>
      <c r="N15543" s="17" t="s">
        <v>77</v>
      </c>
      <c r="U15543" s="17"/>
      <c r="V15543" s="18">
        <f>86259941960</f>
        <v>86259941960</v>
      </c>
      <c r="W15543" t="s">
        <v>3140</v>
      </c>
    </row>
    <row r="15544" ht="15" customHeight="1" spans="1:22" x14ac:dyDescent="0.25">
      <c r="A15544" s="17" t="s">
        <v>41871</v>
      </c>
      <c r="B15544" s="17" t="s">
        <v>70</v>
      </c>
      <c r="C15544" s="17" t="s">
        <v>71</v>
      </c>
      <c r="D15544" t="s">
        <v>41872</v>
      </c>
      <c r="F15544" t="s">
        <v>41872</v>
      </c>
      <c r="K15544" s="18">
        <f>6287770006665</f>
        <v>6287770006665</v>
      </c>
      <c r="N15544" s="17" t="s">
        <v>81</v>
      </c>
      <c r="V15544" s="18">
        <f>6287770006665</f>
        <v>6287770006665</v>
      </c>
    </row>
    <row r="15545" ht="15" customHeight="1" spans="1:25" x14ac:dyDescent="0.25">
      <c r="A15545" s="17" t="s">
        <v>41873</v>
      </c>
      <c r="B15545" s="17" t="s">
        <v>70</v>
      </c>
      <c r="C15545" s="17" t="s">
        <v>71</v>
      </c>
      <c r="D15545" t="s">
        <v>41874</v>
      </c>
      <c r="F15545" t="s">
        <v>1064</v>
      </c>
      <c r="K15545" s="18">
        <f>62818737777</f>
        <v>62818737777</v>
      </c>
      <c r="N15545" s="17" t="s">
        <v>81</v>
      </c>
      <c r="U15545" s="17"/>
      <c r="V15545" s="18">
        <f>62818737777</f>
        <v>62818737777</v>
      </c>
      <c r="W15545" t="s">
        <v>41875</v>
      </c>
      <c r="Y15545" s="17" t="s">
        <v>90</v>
      </c>
    </row>
    <row r="15546" ht="15" customHeight="1" spans="1:28" x14ac:dyDescent="0.25">
      <c r="A15546" s="17" t="s">
        <v>41876</v>
      </c>
      <c r="B15546" s="17" t="s">
        <v>70</v>
      </c>
      <c r="C15546" s="17" t="s">
        <v>71</v>
      </c>
      <c r="D15546" t="s">
        <v>41877</v>
      </c>
      <c r="F15546" t="s">
        <v>41877</v>
      </c>
      <c r="J15546" s="17" t="s">
        <v>41878</v>
      </c>
      <c r="K15546" s="18" t="s">
        <v>41879</v>
      </c>
      <c r="N15546" s="17" t="s">
        <v>77</v>
      </c>
      <c r="O15546" t="s">
        <v>117</v>
      </c>
      <c r="U15546" s="17"/>
      <c r="V15546" s="18" t="s">
        <v>41879</v>
      </c>
      <c r="W15546" t="s">
        <v>41880</v>
      </c>
      <c r="Y15546" t="s">
        <v>6146</v>
      </c>
      <c r="AA15546" t="s">
        <v>115</v>
      </c>
      <c r="AB15546" t="s">
        <v>119</v>
      </c>
    </row>
    <row r="15547" ht="15" customHeight="1" spans="1:25" x14ac:dyDescent="0.25">
      <c r="A15547" s="17" t="s">
        <v>41881</v>
      </c>
      <c r="B15547" s="17" t="s">
        <v>70</v>
      </c>
      <c r="C15547" s="17" t="s">
        <v>71</v>
      </c>
      <c r="D15547" t="s">
        <v>41877</v>
      </c>
      <c r="F15547" t="s">
        <v>1892</v>
      </c>
      <c r="K15547" s="18">
        <v>315624177</v>
      </c>
      <c r="N15547" s="17" t="s">
        <v>77</v>
      </c>
      <c r="U15547" s="17"/>
      <c r="V15547" s="18">
        <v>315624177</v>
      </c>
      <c r="W15547" t="s">
        <v>41882</v>
      </c>
      <c r="Y15547" s="17" t="s">
        <v>704</v>
      </c>
    </row>
    <row r="15548" ht="15" customHeight="1" spans="1:22" x14ac:dyDescent="0.25">
      <c r="A15548" s="17" t="s">
        <v>41883</v>
      </c>
      <c r="B15548" s="17" t="s">
        <v>70</v>
      </c>
      <c r="C15548" s="17" t="s">
        <v>71</v>
      </c>
      <c r="D15548" t="s">
        <v>41877</v>
      </c>
      <c r="F15548" t="s">
        <v>5795</v>
      </c>
      <c r="K15548" s="18">
        <f>6281311098798</f>
        <v>6281311098798</v>
      </c>
      <c r="N15548" s="17" t="s">
        <v>81</v>
      </c>
      <c r="V15548" s="18">
        <f>6281311098798</f>
        <v>6281311098798</v>
      </c>
    </row>
    <row r="15549" ht="15" customHeight="1" spans="1:25" x14ac:dyDescent="0.25">
      <c r="A15549" s="17" t="s">
        <v>41884</v>
      </c>
      <c r="B15549" s="17" t="s">
        <v>70</v>
      </c>
      <c r="C15549" s="17" t="s">
        <v>71</v>
      </c>
      <c r="D15549" t="s">
        <v>41877</v>
      </c>
      <c r="F15549" t="s">
        <v>3866</v>
      </c>
      <c r="K15549" s="18">
        <f>6282211882203</f>
        <v>6282211882203</v>
      </c>
      <c r="N15549" s="17" t="s">
        <v>77</v>
      </c>
      <c r="U15549" s="17"/>
      <c r="V15549" s="18">
        <f>6282211882203</f>
        <v>6282211882203</v>
      </c>
      <c r="W15549" t="s">
        <v>41885</v>
      </c>
      <c r="Y15549" s="17" t="s">
        <v>6840</v>
      </c>
    </row>
    <row r="15550" ht="15" customHeight="1" spans="1:22" x14ac:dyDescent="0.25">
      <c r="A15550" s="17" t="s">
        <v>41886</v>
      </c>
      <c r="B15550" s="17" t="s">
        <v>70</v>
      </c>
      <c r="C15550" s="17" t="s">
        <v>71</v>
      </c>
      <c r="D15550" t="s">
        <v>41877</v>
      </c>
      <c r="F15550" t="s">
        <v>7153</v>
      </c>
      <c r="K15550" s="18">
        <f>628119572666</f>
        <v>628119572666</v>
      </c>
      <c r="N15550" s="17" t="s">
        <v>81</v>
      </c>
      <c r="V15550" s="18">
        <f>628119572666</f>
        <v>628119572666</v>
      </c>
    </row>
    <row r="15551" ht="15" customHeight="1" spans="1:28" x14ac:dyDescent="0.25">
      <c r="A15551" s="17" t="s">
        <v>41887</v>
      </c>
      <c r="B15551" s="17" t="s">
        <v>70</v>
      </c>
      <c r="C15551" s="17" t="s">
        <v>71</v>
      </c>
      <c r="D15551" t="s">
        <v>41877</v>
      </c>
      <c r="F15551" t="s">
        <v>41888</v>
      </c>
      <c r="J15551" t="s">
        <v>115</v>
      </c>
      <c r="K15551" s="18" t="s">
        <v>41889</v>
      </c>
      <c r="N15551" s="17" t="s">
        <v>77</v>
      </c>
      <c r="O15551" t="s">
        <v>145</v>
      </c>
      <c r="V15551" s="18" t="s">
        <v>41889</v>
      </c>
      <c r="Y15551" t="s">
        <v>190</v>
      </c>
      <c r="AA15551" t="s">
        <v>118</v>
      </c>
      <c r="AB15551" t="s">
        <v>119</v>
      </c>
    </row>
    <row r="15552" ht="15" customHeight="1" spans="1:25" x14ac:dyDescent="0.25">
      <c r="A15552" s="17" t="s">
        <v>41890</v>
      </c>
      <c r="B15552" s="17" t="s">
        <v>70</v>
      </c>
      <c r="C15552" s="17" t="s">
        <v>71</v>
      </c>
      <c r="D15552" t="s">
        <v>41877</v>
      </c>
      <c r="F15552" t="s">
        <v>38180</v>
      </c>
      <c r="K15552" s="18">
        <f>6282164888833</f>
        <v>6282164888833</v>
      </c>
      <c r="N15552" s="17" t="s">
        <v>77</v>
      </c>
      <c r="U15552" s="17"/>
      <c r="V15552" s="18">
        <f>6282164888833</f>
        <v>6282164888833</v>
      </c>
      <c r="W15552" t="s">
        <v>41891</v>
      </c>
      <c r="Y15552" s="17" t="s">
        <v>16028</v>
      </c>
    </row>
    <row r="15553" ht="15" customHeight="1" spans="1:22" x14ac:dyDescent="0.25">
      <c r="A15553" s="17" t="s">
        <v>41892</v>
      </c>
      <c r="B15553" s="17" t="s">
        <v>70</v>
      </c>
      <c r="C15553" s="17" t="s">
        <v>71</v>
      </c>
      <c r="D15553" t="s">
        <v>41893</v>
      </c>
      <c r="F15553" t="s">
        <v>3135</v>
      </c>
      <c r="K15553" s="18">
        <f>6281213869394</f>
        <v>6281213869394</v>
      </c>
      <c r="N15553" s="17" t="s">
        <v>81</v>
      </c>
      <c r="V15553" s="18">
        <f>6281213869394</f>
        <v>6281213869394</v>
      </c>
    </row>
    <row r="15554" ht="15" customHeight="1" spans="1:28" x14ac:dyDescent="0.25">
      <c r="A15554" s="17" t="s">
        <v>41894</v>
      </c>
      <c r="B15554" s="17" t="s">
        <v>70</v>
      </c>
      <c r="C15554" s="17" t="s">
        <v>71</v>
      </c>
      <c r="D15554" t="s">
        <v>41893</v>
      </c>
      <c r="F15554" t="s">
        <v>41895</v>
      </c>
      <c r="J15554" t="s">
        <v>115</v>
      </c>
      <c r="K15554" s="18" t="s">
        <v>41896</v>
      </c>
      <c r="N15554" s="17" t="s">
        <v>77</v>
      </c>
      <c r="O15554" t="s">
        <v>145</v>
      </c>
      <c r="U15554" s="17"/>
      <c r="V15554" s="18" t="s">
        <v>41896</v>
      </c>
      <c r="W15554" t="s">
        <v>41897</v>
      </c>
      <c r="Y15554" t="s">
        <v>3140</v>
      </c>
      <c r="AA15554" t="s">
        <v>115</v>
      </c>
      <c r="AB15554" t="s">
        <v>3140</v>
      </c>
    </row>
    <row r="15555" ht="15" customHeight="1" spans="1:28" x14ac:dyDescent="0.25">
      <c r="A15555" s="17" t="s">
        <v>41898</v>
      </c>
      <c r="B15555" s="17" t="s">
        <v>70</v>
      </c>
      <c r="C15555" s="17" t="s">
        <v>71</v>
      </c>
      <c r="D15555" t="s">
        <v>41893</v>
      </c>
      <c r="F15555" t="s">
        <v>41899</v>
      </c>
      <c r="J15555" s="17" t="s">
        <v>41900</v>
      </c>
      <c r="K15555" s="18" t="s">
        <v>41901</v>
      </c>
      <c r="N15555" s="17" t="s">
        <v>77</v>
      </c>
      <c r="O15555" t="s">
        <v>117</v>
      </c>
      <c r="U15555" s="17"/>
      <c r="V15555" s="18" t="s">
        <v>41901</v>
      </c>
      <c r="W15555" t="s">
        <v>3140</v>
      </c>
      <c r="Y15555" t="s">
        <v>115</v>
      </c>
      <c r="AA15555" t="s">
        <v>115</v>
      </c>
      <c r="AB15555" t="s">
        <v>3140</v>
      </c>
    </row>
    <row r="15556" ht="15" customHeight="1" spans="1:22" x14ac:dyDescent="0.25">
      <c r="A15556" s="17" t="s">
        <v>41902</v>
      </c>
      <c r="B15556" s="17" t="s">
        <v>70</v>
      </c>
      <c r="C15556" s="17" t="s">
        <v>71</v>
      </c>
      <c r="D15556" t="s">
        <v>41903</v>
      </c>
      <c r="F15556" t="s">
        <v>41903</v>
      </c>
      <c r="K15556" s="18">
        <f>6282230306822</f>
        <v>6282230306822</v>
      </c>
      <c r="N15556" s="17" t="s">
        <v>77</v>
      </c>
      <c r="V15556" s="18">
        <f>6282230306822</f>
        <v>6282230306822</v>
      </c>
    </row>
    <row r="15557" ht="15" customHeight="1" spans="1:25" x14ac:dyDescent="0.25">
      <c r="A15557" s="17" t="s">
        <v>41904</v>
      </c>
      <c r="B15557" s="17" t="s">
        <v>70</v>
      </c>
      <c r="C15557" s="17" t="s">
        <v>71</v>
      </c>
      <c r="D15557" t="s">
        <v>41903</v>
      </c>
      <c r="F15557" t="s">
        <v>11295</v>
      </c>
      <c r="K15557" s="18">
        <v>317322088</v>
      </c>
      <c r="N15557" s="17" t="s">
        <v>77</v>
      </c>
      <c r="U15557" s="17"/>
      <c r="V15557" s="18">
        <v>317322088</v>
      </c>
      <c r="W15557" t="s">
        <v>41905</v>
      </c>
      <c r="Y15557" s="17" t="s">
        <v>704</v>
      </c>
    </row>
    <row r="15558" ht="15" customHeight="1" spans="1:23" x14ac:dyDescent="0.25">
      <c r="A15558" s="17" t="s">
        <v>41906</v>
      </c>
      <c r="B15558" s="17" t="s">
        <v>70</v>
      </c>
      <c r="C15558" s="17" t="s">
        <v>71</v>
      </c>
      <c r="D15558" t="s">
        <v>41903</v>
      </c>
      <c r="F15558" t="s">
        <v>41907</v>
      </c>
      <c r="K15558" s="18">
        <f>6281397616169</f>
        <v>6281397616169</v>
      </c>
      <c r="N15558" s="17" t="s">
        <v>77</v>
      </c>
      <c r="U15558" s="17"/>
      <c r="V15558" s="18">
        <f>6281397616169</f>
        <v>6281397616169</v>
      </c>
      <c r="W15558" t="s">
        <v>1157</v>
      </c>
    </row>
    <row r="15559" ht="15" customHeight="1" spans="1:28" x14ac:dyDescent="0.25">
      <c r="A15559" s="17" t="s">
        <v>41908</v>
      </c>
      <c r="B15559" s="17" t="s">
        <v>70</v>
      </c>
      <c r="C15559" s="17" t="s">
        <v>71</v>
      </c>
      <c r="D15559" t="s">
        <v>41903</v>
      </c>
      <c r="F15559" t="s">
        <v>150</v>
      </c>
      <c r="J15559" s="17" t="s">
        <v>41909</v>
      </c>
      <c r="K15559" s="18" t="s">
        <v>41910</v>
      </c>
      <c r="N15559" s="17" t="s">
        <v>77</v>
      </c>
      <c r="O15559" t="s">
        <v>117</v>
      </c>
      <c r="U15559" s="17"/>
      <c r="V15559" s="18" t="s">
        <v>41910</v>
      </c>
      <c r="W15559" t="s">
        <v>41911</v>
      </c>
      <c r="Y15559" t="s">
        <v>90</v>
      </c>
      <c r="AA15559" s="17" t="s">
        <v>118</v>
      </c>
      <c r="AB15559" t="s">
        <v>119</v>
      </c>
    </row>
    <row r="15560" ht="15" customHeight="1" spans="1:27" x14ac:dyDescent="0.25">
      <c r="A15560" s="17" t="s">
        <v>41912</v>
      </c>
      <c r="B15560" s="17" t="s">
        <v>70</v>
      </c>
      <c r="C15560" s="17" t="s">
        <v>71</v>
      </c>
      <c r="D15560" t="s">
        <v>41903</v>
      </c>
      <c r="F15560" t="s">
        <v>2682</v>
      </c>
      <c r="K15560" s="18">
        <f>62816846379</f>
        <v>62816846379</v>
      </c>
      <c r="N15560" s="17" t="s">
        <v>77</v>
      </c>
      <c r="U15560" s="17"/>
      <c r="V15560" s="18">
        <f>62816846379</f>
        <v>62816846379</v>
      </c>
      <c r="W15560" t="s">
        <v>41913</v>
      </c>
      <c r="Y15560" s="17" t="s">
        <v>378</v>
      </c>
      <c r="AA15560" s="17" t="s">
        <v>7565</v>
      </c>
    </row>
    <row r="15561" ht="15" customHeight="1" spans="1:25" x14ac:dyDescent="0.25">
      <c r="A15561" s="17" t="s">
        <v>41914</v>
      </c>
      <c r="B15561" s="17" t="s">
        <v>70</v>
      </c>
      <c r="C15561" s="17" t="s">
        <v>71</v>
      </c>
      <c r="D15561" t="s">
        <v>41903</v>
      </c>
      <c r="F15561" t="s">
        <v>19621</v>
      </c>
      <c r="K15561" s="18">
        <f>6262811155685</f>
        <v>6262811155685</v>
      </c>
      <c r="N15561" s="17" t="s">
        <v>77</v>
      </c>
      <c r="V15561" s="18">
        <f>6262811155685</f>
        <v>6262811155685</v>
      </c>
      <c r="Y15561" s="17" t="s">
        <v>41915</v>
      </c>
    </row>
    <row r="15562" ht="15" customHeight="1" spans="1:22" x14ac:dyDescent="0.25">
      <c r="A15562" s="17" t="s">
        <v>41916</v>
      </c>
      <c r="B15562" s="17" t="s">
        <v>70</v>
      </c>
      <c r="C15562" s="17" t="s">
        <v>71</v>
      </c>
      <c r="D15562" t="s">
        <v>41917</v>
      </c>
      <c r="F15562" t="s">
        <v>41917</v>
      </c>
      <c r="K15562" s="18">
        <f>6281283723238</f>
        <v>6281283723238</v>
      </c>
      <c r="N15562" s="17" t="s">
        <v>77</v>
      </c>
      <c r="V15562" s="18">
        <f>6281283723238</f>
        <v>6281283723238</v>
      </c>
    </row>
    <row r="15563" ht="15" customHeight="1" spans="1:22" x14ac:dyDescent="0.25">
      <c r="A15563" s="17" t="s">
        <v>41918</v>
      </c>
      <c r="B15563" s="17" t="s">
        <v>70</v>
      </c>
      <c r="C15563" s="17" t="s">
        <v>71</v>
      </c>
      <c r="D15563" t="s">
        <v>41919</v>
      </c>
      <c r="F15563" t="s">
        <v>6082</v>
      </c>
      <c r="J15563" s="17">
        <v>31647695</v>
      </c>
      <c r="K15563" s="18">
        <f>8613502298178</f>
        <v>8613502298178</v>
      </c>
      <c r="N15563" s="17" t="s">
        <v>81</v>
      </c>
      <c r="V15563" s="18">
        <f>8613502298178</f>
        <v>8613502298178</v>
      </c>
    </row>
    <row r="15564" ht="15" customHeight="1" spans="1:22" x14ac:dyDescent="0.25">
      <c r="A15564" s="17" t="s">
        <v>41920</v>
      </c>
      <c r="B15564" s="17" t="s">
        <v>70</v>
      </c>
      <c r="C15564" s="17" t="s">
        <v>71</v>
      </c>
      <c r="D15564" t="s">
        <v>41921</v>
      </c>
      <c r="F15564" t="s">
        <v>41921</v>
      </c>
      <c r="K15564" s="18">
        <f>628111086364</f>
        <v>628111086364</v>
      </c>
      <c r="N15564" s="17" t="s">
        <v>81</v>
      </c>
      <c r="V15564" s="18">
        <f>628111086364</f>
        <v>628111086364</v>
      </c>
    </row>
    <row r="15565" ht="15" customHeight="1" spans="1:23" x14ac:dyDescent="0.25">
      <c r="A15565" s="17" t="s">
        <v>41922</v>
      </c>
      <c r="B15565" s="17" t="s">
        <v>70</v>
      </c>
      <c r="C15565" s="17" t="s">
        <v>71</v>
      </c>
      <c r="D15565" t="s">
        <v>41923</v>
      </c>
      <c r="F15565" t="s">
        <v>672</v>
      </c>
      <c r="J15565" s="17" t="s">
        <v>41924</v>
      </c>
      <c r="K15565" s="18">
        <f>62811898106</f>
        <v>62811898106</v>
      </c>
      <c r="N15565" s="17" t="s">
        <v>81</v>
      </c>
      <c r="U15565" s="17"/>
      <c r="V15565" s="18">
        <f>62811898106</f>
        <v>62811898106</v>
      </c>
      <c r="W15565" t="s">
        <v>41925</v>
      </c>
    </row>
    <row r="15566" ht="15" customHeight="1" spans="1:25" x14ac:dyDescent="0.25">
      <c r="A15566" s="17" t="s">
        <v>41926</v>
      </c>
      <c r="B15566" s="17" t="s">
        <v>70</v>
      </c>
      <c r="C15566" s="17" t="s">
        <v>71</v>
      </c>
      <c r="D15566" t="s">
        <v>41927</v>
      </c>
      <c r="F15566" t="s">
        <v>15884</v>
      </c>
      <c r="J15566" s="17" t="s">
        <v>41928</v>
      </c>
      <c r="K15566" s="18">
        <f>62811151555</f>
        <v>62811151555</v>
      </c>
      <c r="N15566" s="17" t="s">
        <v>77</v>
      </c>
      <c r="U15566" s="17"/>
      <c r="V15566" s="18">
        <f>62811151555</f>
        <v>62811151555</v>
      </c>
      <c r="W15566" t="s">
        <v>41929</v>
      </c>
      <c r="Y15566" s="17" t="s">
        <v>90</v>
      </c>
    </row>
    <row r="15567" ht="15" customHeight="1" spans="1:22" x14ac:dyDescent="0.25">
      <c r="A15567" s="17" t="s">
        <v>41930</v>
      </c>
      <c r="B15567" s="17" t="s">
        <v>70</v>
      </c>
      <c r="C15567" s="17" t="s">
        <v>71</v>
      </c>
      <c r="D15567" t="s">
        <v>41931</v>
      </c>
      <c r="F15567" t="s">
        <v>30477</v>
      </c>
      <c r="K15567" s="18">
        <f>62811968010</f>
        <v>62811968010</v>
      </c>
      <c r="N15567" s="17" t="s">
        <v>81</v>
      </c>
      <c r="V15567" s="18">
        <f>62811968010</f>
        <v>62811968010</v>
      </c>
    </row>
    <row r="15568" ht="15" customHeight="1" spans="1:25" x14ac:dyDescent="0.25">
      <c r="A15568" s="17" t="s">
        <v>41932</v>
      </c>
      <c r="B15568" s="17" t="s">
        <v>70</v>
      </c>
      <c r="C15568" s="17" t="s">
        <v>71</v>
      </c>
      <c r="D15568" t="s">
        <v>41933</v>
      </c>
      <c r="F15568" t="s">
        <v>4479</v>
      </c>
      <c r="K15568" s="18">
        <f>628559001994</f>
        <v>628559001994</v>
      </c>
      <c r="N15568" s="17" t="s">
        <v>77</v>
      </c>
      <c r="U15568" s="17"/>
      <c r="V15568" s="18">
        <f>628559001994</f>
        <v>628559001994</v>
      </c>
      <c r="W15568" t="s">
        <v>41934</v>
      </c>
      <c r="Y15568" s="17" t="s">
        <v>397</v>
      </c>
    </row>
    <row r="15569" ht="15" customHeight="1" spans="1:25" x14ac:dyDescent="0.25">
      <c r="A15569" s="17" t="s">
        <v>41935</v>
      </c>
      <c r="B15569" s="17" t="s">
        <v>70</v>
      </c>
      <c r="C15569" s="17" t="s">
        <v>71</v>
      </c>
      <c r="D15569" t="s">
        <v>41936</v>
      </c>
      <c r="F15569" t="s">
        <v>41936</v>
      </c>
      <c r="K15569" s="18">
        <f>62811999090</f>
        <v>62811999090</v>
      </c>
      <c r="N15569" s="17" t="s">
        <v>77</v>
      </c>
      <c r="U15569" s="17"/>
      <c r="V15569" s="18">
        <f>62811999090</f>
        <v>62811999090</v>
      </c>
      <c r="W15569" t="s">
        <v>41937</v>
      </c>
      <c r="Y15569" s="17" t="s">
        <v>1084</v>
      </c>
    </row>
    <row r="15570" ht="15" customHeight="1" spans="1:22" x14ac:dyDescent="0.25">
      <c r="A15570" s="17" t="s">
        <v>41938</v>
      </c>
      <c r="B15570" s="17" t="s">
        <v>70</v>
      </c>
      <c r="C15570" s="17" t="s">
        <v>71</v>
      </c>
      <c r="D15570" t="s">
        <v>41939</v>
      </c>
      <c r="F15570" t="s">
        <v>41940</v>
      </c>
      <c r="K15570" s="18">
        <f>6282123737317</f>
        <v>6282123737317</v>
      </c>
      <c r="N15570" s="17" t="s">
        <v>77</v>
      </c>
      <c r="V15570" s="18">
        <f>6282123737317</f>
        <v>6282123737317</v>
      </c>
    </row>
    <row r="15571" ht="15" customHeight="1" spans="1:28" x14ac:dyDescent="0.25">
      <c r="A15571" s="17" t="s">
        <v>41941</v>
      </c>
      <c r="B15571" s="17" t="s">
        <v>70</v>
      </c>
      <c r="C15571" s="17" t="s">
        <v>71</v>
      </c>
      <c r="D15571" t="s">
        <v>41939</v>
      </c>
      <c r="F15571" t="s">
        <v>41942</v>
      </c>
      <c r="J15571" s="17" t="s">
        <v>41943</v>
      </c>
      <c r="K15571" s="18" t="s">
        <v>41944</v>
      </c>
      <c r="N15571" s="17" t="s">
        <v>77</v>
      </c>
      <c r="O15571" t="s">
        <v>261</v>
      </c>
      <c r="U15571" s="17"/>
      <c r="V15571" s="18" t="s">
        <v>41944</v>
      </c>
      <c r="W15571" t="s">
        <v>41945</v>
      </c>
      <c r="Y15571" t="s">
        <v>7007</v>
      </c>
      <c r="AA15571" t="s">
        <v>115</v>
      </c>
      <c r="AB15571" t="s">
        <v>119</v>
      </c>
    </row>
    <row r="15572" ht="15" customHeight="1" spans="1:25" x14ac:dyDescent="0.25">
      <c r="A15572" s="17" t="s">
        <v>41946</v>
      </c>
      <c r="B15572" s="17" t="s">
        <v>70</v>
      </c>
      <c r="C15572" s="17" t="s">
        <v>71</v>
      </c>
      <c r="D15572" t="s">
        <v>16044</v>
      </c>
      <c r="F15572" t="s">
        <v>16044</v>
      </c>
      <c r="K15572" s="18">
        <v>42881817</v>
      </c>
      <c r="N15572" s="17" t="s">
        <v>77</v>
      </c>
      <c r="U15572" s="17"/>
      <c r="V15572" s="18">
        <v>42881817</v>
      </c>
      <c r="W15572" t="s">
        <v>41947</v>
      </c>
      <c r="Y15572" s="17" t="s">
        <v>378</v>
      </c>
    </row>
    <row r="15573" ht="15" customHeight="1" spans="1:28" x14ac:dyDescent="0.25">
      <c r="A15573" s="17" t="s">
        <v>41948</v>
      </c>
      <c r="B15573" s="17" t="s">
        <v>70</v>
      </c>
      <c r="C15573" s="17" t="s">
        <v>71</v>
      </c>
      <c r="D15573" t="s">
        <v>1856</v>
      </c>
      <c r="F15573" t="s">
        <v>41949</v>
      </c>
      <c r="J15573" s="17" t="s">
        <v>41950</v>
      </c>
      <c r="K15573" s="18" t="s">
        <v>41951</v>
      </c>
      <c r="N15573" s="17" t="s">
        <v>77</v>
      </c>
      <c r="O15573" t="s">
        <v>261</v>
      </c>
      <c r="U15573" s="17"/>
      <c r="V15573" s="18" t="s">
        <v>41951</v>
      </c>
      <c r="W15573" t="s">
        <v>41952</v>
      </c>
      <c r="Y15573" s="17" t="s">
        <v>704</v>
      </c>
      <c r="AA15573" t="s">
        <v>705</v>
      </c>
      <c r="AB15573" t="s">
        <v>119</v>
      </c>
    </row>
    <row r="15574" ht="15" customHeight="1" spans="1:22" x14ac:dyDescent="0.25">
      <c r="A15574" s="17" t="s">
        <v>41953</v>
      </c>
      <c r="B15574" s="17" t="s">
        <v>70</v>
      </c>
      <c r="C15574" s="17" t="s">
        <v>71</v>
      </c>
      <c r="D15574" t="s">
        <v>15998</v>
      </c>
      <c r="F15574" t="s">
        <v>15998</v>
      </c>
      <c r="K15574" s="18">
        <f>628110436800</f>
        <v>628110436800</v>
      </c>
      <c r="N15574" s="17" t="s">
        <v>77</v>
      </c>
      <c r="V15574" s="18">
        <f>628110436800</f>
        <v>628110436800</v>
      </c>
    </row>
    <row r="15575" ht="15" customHeight="1" spans="1:22" x14ac:dyDescent="0.25">
      <c r="A15575" s="17" t="s">
        <v>41954</v>
      </c>
      <c r="B15575" s="17" t="s">
        <v>70</v>
      </c>
      <c r="C15575" s="17" t="s">
        <v>71</v>
      </c>
      <c r="D15575" t="s">
        <v>15998</v>
      </c>
      <c r="F15575" t="s">
        <v>15998</v>
      </c>
      <c r="K15575" s="18">
        <v>341924313</v>
      </c>
      <c r="N15575" s="17" t="s">
        <v>77</v>
      </c>
      <c r="V15575" s="18">
        <v>341924313</v>
      </c>
    </row>
    <row r="15576" ht="15" customHeight="1" spans="1:22" x14ac:dyDescent="0.25">
      <c r="A15576" s="17" t="s">
        <v>41955</v>
      </c>
      <c r="B15576" s="17" t="s">
        <v>70</v>
      </c>
      <c r="C15576" s="17" t="s">
        <v>71</v>
      </c>
      <c r="D15576" t="s">
        <v>41956</v>
      </c>
      <c r="F15576" t="s">
        <v>41956</v>
      </c>
      <c r="K15576" s="18">
        <f>6282124470723</f>
        <v>6282124470723</v>
      </c>
      <c r="N15576" s="17" t="s">
        <v>77</v>
      </c>
      <c r="V15576" s="18">
        <f>6282124470723</f>
        <v>6282124470723</v>
      </c>
    </row>
    <row r="15577" ht="15" customHeight="1" spans="1:28" x14ac:dyDescent="0.25">
      <c r="A15577" s="17" t="s">
        <v>41957</v>
      </c>
      <c r="B15577" s="17" t="s">
        <v>70</v>
      </c>
      <c r="C15577" s="17" t="s">
        <v>71</v>
      </c>
      <c r="D15577" t="s">
        <v>41958</v>
      </c>
      <c r="F15577" t="s">
        <v>41959</v>
      </c>
      <c r="J15577" t="s">
        <v>115</v>
      </c>
      <c r="K15577" s="18" t="s">
        <v>41960</v>
      </c>
      <c r="N15577" s="17" t="s">
        <v>77</v>
      </c>
      <c r="O15577" t="s">
        <v>117</v>
      </c>
      <c r="V15577" s="18" t="s">
        <v>41960</v>
      </c>
      <c r="Y15577" t="s">
        <v>490</v>
      </c>
      <c r="AA15577" t="s">
        <v>115</v>
      </c>
      <c r="AB15577" t="s">
        <v>119</v>
      </c>
    </row>
    <row r="15578" ht="15" customHeight="1" spans="1:28" x14ac:dyDescent="0.25">
      <c r="A15578" s="17" t="s">
        <v>41961</v>
      </c>
      <c r="B15578" s="17" t="s">
        <v>70</v>
      </c>
      <c r="C15578" s="17" t="s">
        <v>71</v>
      </c>
      <c r="D15578" t="s">
        <v>41962</v>
      </c>
      <c r="F15578" t="s">
        <v>1130</v>
      </c>
      <c r="J15578" t="s">
        <v>115</v>
      </c>
      <c r="K15578" s="18" t="s">
        <v>41963</v>
      </c>
      <c r="N15578" s="17" t="s">
        <v>77</v>
      </c>
      <c r="O15578" t="s">
        <v>117</v>
      </c>
      <c r="V15578" s="18" t="s">
        <v>41963</v>
      </c>
      <c r="Y15578" t="s">
        <v>90</v>
      </c>
      <c r="AA15578" t="s">
        <v>118</v>
      </c>
      <c r="AB15578" t="s">
        <v>119</v>
      </c>
    </row>
    <row r="15579" ht="15" customHeight="1" spans="1:22" x14ac:dyDescent="0.25">
      <c r="A15579" s="17" t="s">
        <v>41964</v>
      </c>
      <c r="B15579" s="17" t="s">
        <v>70</v>
      </c>
      <c r="C15579" s="17" t="s">
        <v>71</v>
      </c>
      <c r="D15579" t="s">
        <v>41965</v>
      </c>
      <c r="F15579" t="s">
        <v>41965</v>
      </c>
      <c r="K15579" s="18">
        <f>628111924540</f>
        <v>628111924540</v>
      </c>
      <c r="N15579" s="17" t="s">
        <v>81</v>
      </c>
      <c r="V15579" s="18">
        <f>628111924540</f>
        <v>628111924540</v>
      </c>
    </row>
    <row r="15580" ht="15" customHeight="1" spans="1:22" x14ac:dyDescent="0.25">
      <c r="A15580" s="17" t="s">
        <v>41966</v>
      </c>
      <c r="B15580" s="17" t="s">
        <v>70</v>
      </c>
      <c r="C15580" s="17" t="s">
        <v>71</v>
      </c>
      <c r="D15580" t="s">
        <v>41965</v>
      </c>
      <c r="F15580" t="s">
        <v>41965</v>
      </c>
      <c r="K15580" s="18">
        <f>19493505330</f>
        <v>19493505330</v>
      </c>
      <c r="N15580" s="17" t="s">
        <v>77</v>
      </c>
      <c r="V15580" s="18">
        <f>19493505330</f>
        <v>19493505330</v>
      </c>
    </row>
    <row r="15581" ht="15" customHeight="1" spans="1:22" x14ac:dyDescent="0.25">
      <c r="A15581" s="17" t="s">
        <v>41967</v>
      </c>
      <c r="B15581" s="17" t="s">
        <v>70</v>
      </c>
      <c r="C15581" s="17" t="s">
        <v>71</v>
      </c>
      <c r="D15581" t="s">
        <v>41965</v>
      </c>
      <c r="F15581" t="s">
        <v>36446</v>
      </c>
      <c r="K15581" s="18">
        <f>628116665555</f>
        <v>628116665555</v>
      </c>
      <c r="N15581" s="17" t="s">
        <v>81</v>
      </c>
      <c r="V15581" s="18">
        <f>628116665555</f>
        <v>628116665555</v>
      </c>
    </row>
    <row r="15582" ht="15" customHeight="1" spans="1:23" x14ac:dyDescent="0.25">
      <c r="A15582" s="17" t="s">
        <v>41968</v>
      </c>
      <c r="B15582" s="17" t="s">
        <v>70</v>
      </c>
      <c r="C15582" s="17" t="s">
        <v>71</v>
      </c>
      <c r="D15582" t="s">
        <v>41969</v>
      </c>
      <c r="F15582" t="s">
        <v>41970</v>
      </c>
      <c r="J15582" s="17" t="s">
        <v>41971</v>
      </c>
      <c r="K15582" s="18">
        <f>628197698002</f>
        <v>628197698002</v>
      </c>
      <c r="N15582" s="17" t="s">
        <v>81</v>
      </c>
      <c r="U15582" s="17"/>
      <c r="V15582" s="18">
        <f>628197698002</f>
        <v>628197698002</v>
      </c>
      <c r="W15582" t="s">
        <v>41972</v>
      </c>
    </row>
    <row r="15583" ht="15" customHeight="1" spans="1:28" x14ac:dyDescent="0.25">
      <c r="A15583" s="17" t="s">
        <v>41973</v>
      </c>
      <c r="B15583" s="17" t="s">
        <v>70</v>
      </c>
      <c r="C15583" s="17" t="s">
        <v>71</v>
      </c>
      <c r="D15583" t="s">
        <v>41974</v>
      </c>
      <c r="F15583" t="s">
        <v>6671</v>
      </c>
      <c r="J15583" s="17" t="s">
        <v>41975</v>
      </c>
      <c r="K15583" s="18" t="s">
        <v>41976</v>
      </c>
      <c r="N15583" s="17" t="s">
        <v>77</v>
      </c>
      <c r="O15583" t="s">
        <v>145</v>
      </c>
      <c r="V15583" s="18" t="s">
        <v>41976</v>
      </c>
      <c r="Y15583" t="s">
        <v>190</v>
      </c>
      <c r="AA15583" t="s">
        <v>118</v>
      </c>
      <c r="AB15583" t="s">
        <v>119</v>
      </c>
    </row>
    <row r="15584" ht="15" customHeight="1" spans="1:22" x14ac:dyDescent="0.25">
      <c r="A15584" s="17" t="s">
        <v>41977</v>
      </c>
      <c r="B15584" s="17" t="s">
        <v>70</v>
      </c>
      <c r="C15584" s="17" t="s">
        <v>71</v>
      </c>
      <c r="D15584" t="s">
        <v>41978</v>
      </c>
      <c r="F15584" t="s">
        <v>41978</v>
      </c>
      <c r="K15584" s="18">
        <f>62811301999</f>
        <v>62811301999</v>
      </c>
      <c r="N15584" s="17" t="s">
        <v>81</v>
      </c>
      <c r="V15584" s="18">
        <f>62811301999</f>
        <v>62811301999</v>
      </c>
    </row>
    <row r="15585" ht="15" customHeight="1" spans="1:22" x14ac:dyDescent="0.25">
      <c r="A15585" s="17" t="s">
        <v>41979</v>
      </c>
      <c r="B15585" s="17" t="s">
        <v>70</v>
      </c>
      <c r="C15585" s="17" t="s">
        <v>71</v>
      </c>
      <c r="D15585" t="s">
        <v>41980</v>
      </c>
      <c r="F15585" t="s">
        <v>41981</v>
      </c>
      <c r="K15585" s="18">
        <f>6281219661993</f>
        <v>6281219661993</v>
      </c>
      <c r="N15585" s="17" t="s">
        <v>81</v>
      </c>
      <c r="V15585" s="18">
        <f>6281219661993</f>
        <v>6281219661993</v>
      </c>
    </row>
    <row r="15586" ht="15" customHeight="1" spans="1:25" x14ac:dyDescent="0.25">
      <c r="A15586" s="17" t="s">
        <v>41982</v>
      </c>
      <c r="B15586" s="17" t="s">
        <v>70</v>
      </c>
      <c r="C15586" s="17" t="s">
        <v>71</v>
      </c>
      <c r="D15586" t="s">
        <v>41980</v>
      </c>
      <c r="F15586" t="s">
        <v>1208</v>
      </c>
      <c r="K15586" s="18">
        <f>62818717849</f>
        <v>62818717849</v>
      </c>
      <c r="N15586" s="17" t="s">
        <v>77</v>
      </c>
      <c r="U15586" s="17"/>
      <c r="V15586" s="18">
        <f>62818717849</f>
        <v>62818717849</v>
      </c>
      <c r="W15586" t="s">
        <v>4845</v>
      </c>
      <c r="Y15586" s="17" t="s">
        <v>12526</v>
      </c>
    </row>
    <row r="15587" ht="15" customHeight="1" spans="1:28" x14ac:dyDescent="0.25">
      <c r="A15587" s="17" t="s">
        <v>41983</v>
      </c>
      <c r="B15587" s="17" t="s">
        <v>70</v>
      </c>
      <c r="C15587" s="17" t="s">
        <v>71</v>
      </c>
      <c r="D15587" t="s">
        <v>41984</v>
      </c>
      <c r="F15587" t="s">
        <v>10220</v>
      </c>
      <c r="J15587" t="s">
        <v>115</v>
      </c>
      <c r="K15587" s="18" t="s">
        <v>41985</v>
      </c>
      <c r="N15587" s="17" t="s">
        <v>74</v>
      </c>
      <c r="O15587" t="s">
        <v>145</v>
      </c>
      <c r="U15587" s="17"/>
      <c r="V15587" s="18" t="s">
        <v>41985</v>
      </c>
      <c r="W15587" t="s">
        <v>41986</v>
      </c>
      <c r="Y15587" s="17" t="s">
        <v>90</v>
      </c>
      <c r="AA15587" t="s">
        <v>118</v>
      </c>
      <c r="AB15587" t="s">
        <v>119</v>
      </c>
    </row>
    <row r="15588" ht="15" customHeight="1" spans="1:25" x14ac:dyDescent="0.25">
      <c r="A15588" s="17" t="s">
        <v>41987</v>
      </c>
      <c r="B15588" s="17" t="s">
        <v>70</v>
      </c>
      <c r="C15588" s="17" t="s">
        <v>71</v>
      </c>
      <c r="D15588" t="s">
        <v>41988</v>
      </c>
      <c r="F15588" t="s">
        <v>5564</v>
      </c>
      <c r="K15588" s="18">
        <v>315317085</v>
      </c>
      <c r="N15588" s="17" t="s">
        <v>77</v>
      </c>
      <c r="U15588" s="17"/>
      <c r="V15588" s="18">
        <v>315317085</v>
      </c>
      <c r="W15588" t="s">
        <v>41989</v>
      </c>
      <c r="Y15588" s="17" t="s">
        <v>704</v>
      </c>
    </row>
    <row r="15589" ht="15" customHeight="1" spans="1:28" x14ac:dyDescent="0.25">
      <c r="A15589" s="17" t="s">
        <v>41990</v>
      </c>
      <c r="B15589" s="17" t="s">
        <v>70</v>
      </c>
      <c r="C15589" s="17" t="s">
        <v>71</v>
      </c>
      <c r="D15589" t="s">
        <v>41991</v>
      </c>
      <c r="F15589" t="s">
        <v>34554</v>
      </c>
      <c r="J15589" t="s">
        <v>115</v>
      </c>
      <c r="K15589" s="18" t="s">
        <v>41992</v>
      </c>
      <c r="N15589" s="17" t="s">
        <v>74</v>
      </c>
      <c r="O15589" t="s">
        <v>117</v>
      </c>
      <c r="U15589" s="17"/>
      <c r="V15589" s="18" t="s">
        <v>41992</v>
      </c>
      <c r="W15589" t="s">
        <v>41993</v>
      </c>
      <c r="Y15589" s="17" t="s">
        <v>90</v>
      </c>
      <c r="AA15589" t="s">
        <v>118</v>
      </c>
      <c r="AB15589" t="s">
        <v>119</v>
      </c>
    </row>
    <row r="15590" ht="15" customHeight="1" spans="1:28" x14ac:dyDescent="0.25">
      <c r="A15590" s="17" t="s">
        <v>41994</v>
      </c>
      <c r="B15590" s="17" t="s">
        <v>70</v>
      </c>
      <c r="C15590" s="17" t="s">
        <v>71</v>
      </c>
      <c r="D15590" t="s">
        <v>41995</v>
      </c>
      <c r="F15590" t="s">
        <v>2258</v>
      </c>
      <c r="J15590" s="17" t="s">
        <v>41996</v>
      </c>
      <c r="K15590" s="18" t="s">
        <v>41997</v>
      </c>
      <c r="N15590" s="17" t="s">
        <v>77</v>
      </c>
      <c r="O15590" t="s">
        <v>117</v>
      </c>
      <c r="U15590" s="17"/>
      <c r="V15590" s="18" t="s">
        <v>41997</v>
      </c>
      <c r="W15590" t="s">
        <v>704</v>
      </c>
      <c r="Y15590" t="s">
        <v>1091</v>
      </c>
      <c r="AA15590" t="s">
        <v>115</v>
      </c>
      <c r="AB15590" t="s">
        <v>119</v>
      </c>
    </row>
    <row r="15591" ht="15" customHeight="1" spans="1:27" x14ac:dyDescent="0.25">
      <c r="A15591" s="17" t="s">
        <v>41998</v>
      </c>
      <c r="B15591" s="17" t="s">
        <v>70</v>
      </c>
      <c r="C15591" s="17" t="s">
        <v>71</v>
      </c>
      <c r="D15591" t="s">
        <v>1169</v>
      </c>
      <c r="F15591" t="s">
        <v>1169</v>
      </c>
      <c r="K15591" s="18">
        <f>628159397092</f>
        <v>628159397092</v>
      </c>
      <c r="N15591" s="17" t="s">
        <v>77</v>
      </c>
      <c r="U15591" s="17"/>
      <c r="V15591" s="18">
        <f>628159397092</f>
        <v>628159397092</v>
      </c>
      <c r="W15591" t="s">
        <v>41999</v>
      </c>
      <c r="Y15591" s="17" t="s">
        <v>90</v>
      </c>
      <c r="AA15591" s="17" t="s">
        <v>42000</v>
      </c>
    </row>
    <row r="15592" ht="15" customHeight="1" spans="1:22" x14ac:dyDescent="0.25">
      <c r="A15592" s="17" t="s">
        <v>42001</v>
      </c>
      <c r="B15592" s="17" t="s">
        <v>70</v>
      </c>
      <c r="C15592" s="17" t="s">
        <v>71</v>
      </c>
      <c r="D15592" t="s">
        <v>1169</v>
      </c>
      <c r="F15592" t="s">
        <v>1169</v>
      </c>
      <c r="K15592" s="18">
        <f>62811993263</f>
        <v>62811993263</v>
      </c>
      <c r="N15592" s="17" t="s">
        <v>77</v>
      </c>
      <c r="V15592" s="18">
        <f>62811993263</f>
        <v>62811993263</v>
      </c>
    </row>
    <row r="15593" ht="15" customHeight="1" spans="1:22" x14ac:dyDescent="0.25">
      <c r="A15593" s="17" t="s">
        <v>42002</v>
      </c>
      <c r="B15593" s="17" t="s">
        <v>70</v>
      </c>
      <c r="C15593" s="17" t="s">
        <v>71</v>
      </c>
      <c r="D15593" t="s">
        <v>17090</v>
      </c>
      <c r="F15593" t="s">
        <v>11295</v>
      </c>
      <c r="K15593" s="18">
        <v>315941629</v>
      </c>
      <c r="N15593" s="17" t="s">
        <v>77</v>
      </c>
      <c r="V15593" s="18">
        <v>315941629</v>
      </c>
    </row>
    <row r="15594" ht="15" customHeight="1" spans="1:27" x14ac:dyDescent="0.25">
      <c r="A15594" s="17" t="s">
        <v>42003</v>
      </c>
      <c r="B15594" s="17" t="s">
        <v>70</v>
      </c>
      <c r="C15594" s="17" t="s">
        <v>71</v>
      </c>
      <c r="D15594" t="s">
        <v>5402</v>
      </c>
      <c r="F15594" t="s">
        <v>3125</v>
      </c>
      <c r="J15594" s="17" t="s">
        <v>42004</v>
      </c>
      <c r="K15594" s="18">
        <f>62811943263</f>
        <v>62811943263</v>
      </c>
      <c r="N15594" s="17" t="s">
        <v>77</v>
      </c>
      <c r="U15594" s="17"/>
      <c r="V15594" s="18">
        <f>62811943263</f>
        <v>62811943263</v>
      </c>
      <c r="W15594" t="s">
        <v>42005</v>
      </c>
      <c r="Y15594" s="17" t="s">
        <v>626</v>
      </c>
      <c r="AA15594" s="17">
        <v>11480</v>
      </c>
    </row>
    <row r="15595" ht="15" customHeight="1" spans="1:22" x14ac:dyDescent="0.25">
      <c r="A15595" s="17" t="s">
        <v>42006</v>
      </c>
      <c r="B15595" s="17" t="s">
        <v>70</v>
      </c>
      <c r="C15595" s="17" t="s">
        <v>71</v>
      </c>
      <c r="D15595" t="s">
        <v>42007</v>
      </c>
      <c r="F15595" t="s">
        <v>42007</v>
      </c>
      <c r="K15595" s="18">
        <f>628121121121</f>
        <v>628121121121</v>
      </c>
      <c r="N15595" s="17" t="s">
        <v>81</v>
      </c>
      <c r="V15595" s="18">
        <f>628121121121</f>
        <v>628121121121</v>
      </c>
    </row>
    <row r="15596" ht="15" customHeight="1" spans="1:22" x14ac:dyDescent="0.25">
      <c r="A15596" s="17" t="s">
        <v>42008</v>
      </c>
      <c r="B15596" s="17" t="s">
        <v>70</v>
      </c>
      <c r="C15596" s="17" t="s">
        <v>71</v>
      </c>
      <c r="D15596" t="s">
        <v>4401</v>
      </c>
      <c r="F15596" t="s">
        <v>9399</v>
      </c>
      <c r="K15596" s="18">
        <f>62818778881</f>
        <v>62818778881</v>
      </c>
      <c r="N15596" s="17" t="s">
        <v>81</v>
      </c>
      <c r="V15596" s="18">
        <f>62818778881</f>
        <v>62818778881</v>
      </c>
    </row>
    <row r="15597" ht="15" customHeight="1" spans="1:22" x14ac:dyDescent="0.25">
      <c r="A15597" s="17" t="s">
        <v>42009</v>
      </c>
      <c r="B15597" s="17" t="s">
        <v>70</v>
      </c>
      <c r="C15597" s="17" t="s">
        <v>71</v>
      </c>
      <c r="D15597" t="s">
        <v>42010</v>
      </c>
      <c r="F15597" t="s">
        <v>42010</v>
      </c>
      <c r="K15597" s="18">
        <f>6281225881981</f>
        <v>6281225881981</v>
      </c>
      <c r="N15597" s="17" t="s">
        <v>81</v>
      </c>
      <c r="V15597" s="18">
        <f>6281225881981</f>
        <v>6281225881981</v>
      </c>
    </row>
    <row r="15598" ht="15" customHeight="1" spans="1:23" x14ac:dyDescent="0.25">
      <c r="A15598" s="17" t="s">
        <v>42011</v>
      </c>
      <c r="B15598" s="17" t="s">
        <v>70</v>
      </c>
      <c r="C15598" s="17" t="s">
        <v>71</v>
      </c>
      <c r="D15598" t="s">
        <v>3727</v>
      </c>
      <c r="F15598" t="s">
        <v>3727</v>
      </c>
      <c r="K15598" s="18">
        <f>6287808756000</f>
        <v>6287808756000</v>
      </c>
      <c r="N15598" s="17" t="s">
        <v>81</v>
      </c>
      <c r="U15598" s="17"/>
      <c r="V15598" s="18">
        <f>6287808756000</f>
        <v>6287808756000</v>
      </c>
      <c r="W15598" t="s">
        <v>42012</v>
      </c>
    </row>
    <row r="15599" ht="15" customHeight="1" spans="1:22" x14ac:dyDescent="0.25">
      <c r="A15599" s="17" t="s">
        <v>42013</v>
      </c>
      <c r="B15599" s="17" t="s">
        <v>70</v>
      </c>
      <c r="C15599" s="17" t="s">
        <v>71</v>
      </c>
      <c r="D15599" t="s">
        <v>3727</v>
      </c>
      <c r="F15599" t="s">
        <v>4787</v>
      </c>
      <c r="K15599" s="18">
        <f>6282113265908</f>
        <v>6282113265908</v>
      </c>
      <c r="N15599" s="17" t="s">
        <v>74</v>
      </c>
      <c r="V15599" s="18">
        <f>6282113265908</f>
        <v>6282113265908</v>
      </c>
    </row>
    <row r="15600" ht="15" customHeight="1" spans="1:22" x14ac:dyDescent="0.25">
      <c r="A15600" s="17" t="s">
        <v>42014</v>
      </c>
      <c r="B15600" s="17" t="s">
        <v>70</v>
      </c>
      <c r="C15600" s="17" t="s">
        <v>71</v>
      </c>
      <c r="D15600" t="s">
        <v>3727</v>
      </c>
      <c r="F15600" t="s">
        <v>5592</v>
      </c>
      <c r="K15600" s="18">
        <f>62811702778</f>
        <v>62811702778</v>
      </c>
      <c r="N15600" s="17" t="s">
        <v>81</v>
      </c>
      <c r="V15600" s="18">
        <f>62811702778</f>
        <v>62811702778</v>
      </c>
    </row>
    <row r="15601" ht="15" customHeight="1" spans="1:28" x14ac:dyDescent="0.25">
      <c r="A15601" s="17" t="s">
        <v>42015</v>
      </c>
      <c r="B15601" s="17" t="s">
        <v>70</v>
      </c>
      <c r="C15601" s="17" t="s">
        <v>71</v>
      </c>
      <c r="D15601" t="s">
        <v>42016</v>
      </c>
      <c r="F15601" t="s">
        <v>42017</v>
      </c>
      <c r="J15601" t="s">
        <v>115</v>
      </c>
      <c r="K15601" s="18" t="s">
        <v>42018</v>
      </c>
      <c r="N15601" s="17" t="s">
        <v>77</v>
      </c>
      <c r="O15601" t="s">
        <v>117</v>
      </c>
      <c r="V15601" s="18" t="s">
        <v>42018</v>
      </c>
      <c r="Y15601" t="s">
        <v>378</v>
      </c>
      <c r="AA15601" t="s">
        <v>118</v>
      </c>
      <c r="AB15601" t="s">
        <v>119</v>
      </c>
    </row>
    <row r="15602" ht="15" customHeight="1" spans="1:22" x14ac:dyDescent="0.25">
      <c r="A15602" s="17" t="s">
        <v>42019</v>
      </c>
      <c r="B15602" s="17" t="s">
        <v>70</v>
      </c>
      <c r="C15602" s="17" t="s">
        <v>71</v>
      </c>
      <c r="D15602" t="s">
        <v>3727</v>
      </c>
      <c r="F15602" t="s">
        <v>864</v>
      </c>
      <c r="K15602" s="18">
        <f>628111680376</f>
        <v>628111680376</v>
      </c>
      <c r="N15602" s="17" t="s">
        <v>77</v>
      </c>
      <c r="V15602" s="18">
        <f>628111680376</f>
        <v>628111680376</v>
      </c>
    </row>
    <row r="15603" ht="15" customHeight="1" spans="1:22" x14ac:dyDescent="0.25">
      <c r="A15603" s="17" t="s">
        <v>42020</v>
      </c>
      <c r="B15603" s="17" t="s">
        <v>70</v>
      </c>
      <c r="C15603" s="17" t="s">
        <v>71</v>
      </c>
      <c r="D15603" t="s">
        <v>3727</v>
      </c>
      <c r="F15603" t="s">
        <v>42021</v>
      </c>
      <c r="K15603" s="18">
        <f>6285772283848</f>
        <v>6285772283848</v>
      </c>
      <c r="N15603" s="17" t="s">
        <v>77</v>
      </c>
      <c r="V15603" s="18">
        <f>6285772283848</f>
        <v>6285772283848</v>
      </c>
    </row>
    <row r="15604" ht="15" customHeight="1" spans="1:22" x14ac:dyDescent="0.25">
      <c r="A15604" s="17" t="s">
        <v>42022</v>
      </c>
      <c r="B15604" s="17" t="s">
        <v>70</v>
      </c>
      <c r="C15604" s="17" t="s">
        <v>71</v>
      </c>
      <c r="D15604" t="s">
        <v>3727</v>
      </c>
      <c r="F15604" t="s">
        <v>42023</v>
      </c>
      <c r="K15604" s="18">
        <f>628129693740</f>
        <v>628129693740</v>
      </c>
      <c r="N15604" s="17" t="s">
        <v>77</v>
      </c>
      <c r="V15604" s="18">
        <f>628129693740</f>
        <v>628129693740</v>
      </c>
    </row>
    <row r="15605" ht="15" customHeight="1" spans="1:23" x14ac:dyDescent="0.25">
      <c r="A15605" s="17" t="s">
        <v>42024</v>
      </c>
      <c r="B15605" s="17" t="s">
        <v>70</v>
      </c>
      <c r="C15605" s="17" t="s">
        <v>71</v>
      </c>
      <c r="D15605" t="s">
        <v>3727</v>
      </c>
      <c r="F15605" t="s">
        <v>864</v>
      </c>
      <c r="K15605" s="18">
        <f>628121029013</f>
        <v>628121029013</v>
      </c>
      <c r="N15605" s="17" t="s">
        <v>77</v>
      </c>
      <c r="U15605" s="17"/>
      <c r="V15605" s="18">
        <f>628121029013</f>
        <v>628121029013</v>
      </c>
      <c r="W15605" t="s">
        <v>42025</v>
      </c>
    </row>
    <row r="15606" ht="15" customHeight="1" spans="1:22" x14ac:dyDescent="0.25">
      <c r="A15606" s="17" t="s">
        <v>42026</v>
      </c>
      <c r="B15606" s="17" t="s">
        <v>70</v>
      </c>
      <c r="C15606" s="17" t="s">
        <v>71</v>
      </c>
      <c r="D15606" t="s">
        <v>3727</v>
      </c>
      <c r="F15606" t="s">
        <v>26472</v>
      </c>
      <c r="K15606" s="18">
        <f>6281210003095</f>
        <v>6281210003095</v>
      </c>
      <c r="N15606" s="17" t="s">
        <v>81</v>
      </c>
      <c r="V15606" s="18">
        <f>6281210003095</f>
        <v>6281210003095</v>
      </c>
    </row>
    <row r="15607" ht="15" customHeight="1" spans="1:22" x14ac:dyDescent="0.25">
      <c r="A15607" s="17" t="s">
        <v>42027</v>
      </c>
      <c r="B15607" s="17" t="s">
        <v>70</v>
      </c>
      <c r="C15607" s="17" t="s">
        <v>71</v>
      </c>
      <c r="D15607" t="s">
        <v>3727</v>
      </c>
      <c r="F15607" t="s">
        <v>42028</v>
      </c>
      <c r="K15607" s="18">
        <f>6281287815751</f>
        <v>6281287815751</v>
      </c>
      <c r="N15607" s="17" t="s">
        <v>77</v>
      </c>
      <c r="V15607" s="18">
        <f>6281287815751</f>
        <v>6281287815751</v>
      </c>
    </row>
    <row r="15608" ht="15" customHeight="1" spans="1:25" x14ac:dyDescent="0.25">
      <c r="A15608" s="17" t="s">
        <v>42029</v>
      </c>
      <c r="B15608" s="17" t="s">
        <v>70</v>
      </c>
      <c r="C15608" s="17" t="s">
        <v>71</v>
      </c>
      <c r="D15608" t="s">
        <v>3727</v>
      </c>
      <c r="F15608" t="s">
        <v>5132</v>
      </c>
      <c r="K15608" s="18">
        <f>6281931122339</f>
        <v>6281931122339</v>
      </c>
      <c r="N15608" s="17" t="s">
        <v>81</v>
      </c>
      <c r="U15608" s="17"/>
      <c r="V15608" s="18">
        <f>6281931122339</f>
        <v>6281931122339</v>
      </c>
      <c r="W15608" t="s">
        <v>42030</v>
      </c>
      <c r="Y15608" s="17" t="s">
        <v>90</v>
      </c>
    </row>
    <row r="15609" ht="15" customHeight="1" spans="1:22" x14ac:dyDescent="0.25">
      <c r="A15609" s="17" t="s">
        <v>42031</v>
      </c>
      <c r="B15609" s="17" t="s">
        <v>70</v>
      </c>
      <c r="C15609" s="17" t="s">
        <v>71</v>
      </c>
      <c r="D15609" t="s">
        <v>3727</v>
      </c>
      <c r="F15609" t="s">
        <v>42032</v>
      </c>
      <c r="K15609" s="18">
        <f>62816816783</f>
        <v>62816816783</v>
      </c>
      <c r="N15609" s="17" t="s">
        <v>81</v>
      </c>
      <c r="V15609" s="18">
        <f>62816816783</f>
        <v>62816816783</v>
      </c>
    </row>
    <row r="15610" ht="15" customHeight="1" spans="1:28" x14ac:dyDescent="0.25">
      <c r="A15610" s="17" t="s">
        <v>42033</v>
      </c>
      <c r="B15610" s="17" t="s">
        <v>70</v>
      </c>
      <c r="C15610" s="17" t="s">
        <v>71</v>
      </c>
      <c r="D15610" t="s">
        <v>3727</v>
      </c>
      <c r="F15610" t="s">
        <v>2586</v>
      </c>
      <c r="J15610" t="s">
        <v>115</v>
      </c>
      <c r="K15610" s="18" t="s">
        <v>42034</v>
      </c>
      <c r="N15610" s="17" t="s">
        <v>77</v>
      </c>
      <c r="O15610" t="s">
        <v>117</v>
      </c>
      <c r="U15610" s="17"/>
      <c r="V15610" s="18" t="s">
        <v>42034</v>
      </c>
      <c r="W15610" t="s">
        <v>41062</v>
      </c>
      <c r="Y15610" t="s">
        <v>190</v>
      </c>
      <c r="AA15610" t="s">
        <v>118</v>
      </c>
      <c r="AB15610" t="s">
        <v>119</v>
      </c>
    </row>
    <row r="15611" ht="15" customHeight="1" spans="1:28" x14ac:dyDescent="0.25">
      <c r="A15611" s="17" t="s">
        <v>42035</v>
      </c>
      <c r="B15611" s="17" t="s">
        <v>70</v>
      </c>
      <c r="C15611" s="17" t="s">
        <v>71</v>
      </c>
      <c r="D15611" t="s">
        <v>3727</v>
      </c>
      <c r="F15611" t="s">
        <v>42036</v>
      </c>
      <c r="J15611" t="s">
        <v>115</v>
      </c>
      <c r="K15611" s="18" t="s">
        <v>42037</v>
      </c>
      <c r="N15611" s="17" t="s">
        <v>77</v>
      </c>
      <c r="O15611" t="s">
        <v>117</v>
      </c>
      <c r="V15611" s="18" t="s">
        <v>42037</v>
      </c>
      <c r="Y15611" t="s">
        <v>90</v>
      </c>
      <c r="AA15611" t="s">
        <v>118</v>
      </c>
      <c r="AB15611" t="s">
        <v>119</v>
      </c>
    </row>
    <row r="15612" ht="15" customHeight="1" spans="1:22" x14ac:dyDescent="0.25">
      <c r="A15612" s="17" t="s">
        <v>42038</v>
      </c>
      <c r="B15612" s="17" t="s">
        <v>70</v>
      </c>
      <c r="C15612" s="17" t="s">
        <v>71</v>
      </c>
      <c r="D15612" t="s">
        <v>42039</v>
      </c>
      <c r="F15612" t="s">
        <v>42039</v>
      </c>
      <c r="K15612" s="18">
        <f>628551076000</f>
        <v>628551076000</v>
      </c>
      <c r="N15612" s="17" t="s">
        <v>77</v>
      </c>
      <c r="V15612" s="18">
        <f>628551076000</f>
        <v>628551076000</v>
      </c>
    </row>
    <row r="15613" ht="15" customHeight="1" spans="1:25" x14ac:dyDescent="0.25">
      <c r="A15613" s="17" t="s">
        <v>42040</v>
      </c>
      <c r="B15613" s="17" t="s">
        <v>70</v>
      </c>
      <c r="C15613" s="17" t="s">
        <v>71</v>
      </c>
      <c r="D15613" t="s">
        <v>24815</v>
      </c>
      <c r="F15613" t="s">
        <v>42041</v>
      </c>
      <c r="J15613" s="17" t="s">
        <v>42042</v>
      </c>
      <c r="K15613" s="18">
        <f>62812682069</f>
        <v>62812682069</v>
      </c>
      <c r="N15613" s="17" t="s">
        <v>77</v>
      </c>
      <c r="U15613" s="17"/>
      <c r="V15613" s="18">
        <f>62812682069</f>
        <v>62812682069</v>
      </c>
      <c r="W15613" t="s">
        <v>42043</v>
      </c>
      <c r="Y15613" s="17" t="s">
        <v>6412</v>
      </c>
    </row>
    <row r="15614" ht="15" customHeight="1" spans="1:28" x14ac:dyDescent="0.25">
      <c r="A15614" s="17" t="s">
        <v>42044</v>
      </c>
      <c r="B15614" s="17" t="s">
        <v>70</v>
      </c>
      <c r="C15614" s="17" t="s">
        <v>71</v>
      </c>
      <c r="D15614" t="s">
        <v>42045</v>
      </c>
      <c r="F15614" t="s">
        <v>19192</v>
      </c>
      <c r="J15614" t="s">
        <v>115</v>
      </c>
      <c r="K15614" s="18" t="s">
        <v>42046</v>
      </c>
      <c r="N15614" s="17" t="s">
        <v>81</v>
      </c>
      <c r="O15614" t="s">
        <v>117</v>
      </c>
      <c r="V15614" s="18" t="s">
        <v>42046</v>
      </c>
      <c r="Y15614" t="s">
        <v>762</v>
      </c>
      <c r="AA15614" t="s">
        <v>115</v>
      </c>
      <c r="AB15614" t="s">
        <v>119</v>
      </c>
    </row>
    <row r="15615" ht="15" customHeight="1" spans="1:22" x14ac:dyDescent="0.25">
      <c r="A15615" s="17" t="s">
        <v>42047</v>
      </c>
      <c r="B15615" s="17" t="s">
        <v>70</v>
      </c>
      <c r="C15615" s="17" t="s">
        <v>71</v>
      </c>
      <c r="D15615" t="s">
        <v>35752</v>
      </c>
      <c r="F15615" t="s">
        <v>35752</v>
      </c>
      <c r="K15615" s="18">
        <f>6282134897498</f>
        <v>6282134897498</v>
      </c>
      <c r="N15615" s="17" t="s">
        <v>77</v>
      </c>
      <c r="V15615" s="18">
        <f>6282134897498</f>
        <v>6282134897498</v>
      </c>
    </row>
    <row r="15616" ht="15" customHeight="1" spans="1:22" x14ac:dyDescent="0.25">
      <c r="A15616" s="17" t="s">
        <v>42048</v>
      </c>
      <c r="B15616" s="17" t="s">
        <v>70</v>
      </c>
      <c r="C15616" s="17" t="s">
        <v>71</v>
      </c>
      <c r="D15616" t="s">
        <v>14711</v>
      </c>
      <c r="F15616" t="s">
        <v>5238</v>
      </c>
      <c r="K15616" s="18">
        <f>6281918821882</f>
        <v>6281918821882</v>
      </c>
      <c r="N15616" s="17" t="s">
        <v>77</v>
      </c>
      <c r="V15616" s="18">
        <f>6281918821882</f>
        <v>6281918821882</v>
      </c>
    </row>
    <row r="15617" ht="15" customHeight="1" spans="1:23" x14ac:dyDescent="0.25">
      <c r="A15617" s="17" t="s">
        <v>42049</v>
      </c>
      <c r="B15617" s="17" t="s">
        <v>70</v>
      </c>
      <c r="C15617" s="17" t="s">
        <v>71</v>
      </c>
      <c r="D15617" t="s">
        <v>42050</v>
      </c>
      <c r="F15617" t="s">
        <v>42051</v>
      </c>
      <c r="J15617" s="17" t="s">
        <v>42052</v>
      </c>
      <c r="K15617" s="18">
        <f>628112003025</f>
        <v>628112003025</v>
      </c>
      <c r="N15617" s="17" t="s">
        <v>77</v>
      </c>
      <c r="U15617" s="17"/>
      <c r="V15617" s="18">
        <f>628112003025</f>
        <v>628112003025</v>
      </c>
      <c r="W15617" t="s">
        <v>42053</v>
      </c>
    </row>
    <row r="15618" ht="15" customHeight="1" spans="1:23" x14ac:dyDescent="0.25">
      <c r="A15618" s="17" t="s">
        <v>42054</v>
      </c>
      <c r="B15618" s="17" t="s">
        <v>70</v>
      </c>
      <c r="C15618" s="17" t="s">
        <v>71</v>
      </c>
      <c r="D15618" t="s">
        <v>42055</v>
      </c>
      <c r="F15618" t="s">
        <v>18922</v>
      </c>
      <c r="K15618" s="18">
        <f>6287880226161</f>
        <v>6287880226161</v>
      </c>
      <c r="N15618" s="17" t="s">
        <v>81</v>
      </c>
      <c r="U15618" s="17"/>
      <c r="V15618" s="18">
        <f>6287880226161</f>
        <v>6287880226161</v>
      </c>
      <c r="W15618" t="s">
        <v>42056</v>
      </c>
    </row>
    <row r="15619" ht="15" customHeight="1" spans="1:22" x14ac:dyDescent="0.25">
      <c r="A15619" s="17" t="s">
        <v>42057</v>
      </c>
      <c r="B15619" s="17" t="s">
        <v>70</v>
      </c>
      <c r="C15619" s="17" t="s">
        <v>71</v>
      </c>
      <c r="D15619" t="s">
        <v>42058</v>
      </c>
      <c r="F15619" t="s">
        <v>42058</v>
      </c>
      <c r="K15619" s="18">
        <v>620811821597</v>
      </c>
      <c r="N15619" s="17" t="s">
        <v>77</v>
      </c>
      <c r="V15619" s="18">
        <v>620811821597</v>
      </c>
    </row>
    <row r="15620" ht="15" customHeight="1" spans="1:22" x14ac:dyDescent="0.25">
      <c r="A15620" s="17" t="s">
        <v>42059</v>
      </c>
      <c r="B15620" s="17" t="s">
        <v>70</v>
      </c>
      <c r="C15620" s="17" t="s">
        <v>71</v>
      </c>
      <c r="D15620" t="s">
        <v>42058</v>
      </c>
      <c r="F15620" t="s">
        <v>42060</v>
      </c>
      <c r="K15620" s="18">
        <f>62811151446</f>
        <v>62811151446</v>
      </c>
      <c r="N15620" s="17" t="s">
        <v>81</v>
      </c>
      <c r="V15620" s="18">
        <f>62811151446</f>
        <v>62811151446</v>
      </c>
    </row>
    <row r="15621" ht="15" customHeight="1" spans="1:22" x14ac:dyDescent="0.25">
      <c r="A15621" s="17" t="s">
        <v>42061</v>
      </c>
      <c r="B15621" s="17" t="s">
        <v>70</v>
      </c>
      <c r="C15621" s="17" t="s">
        <v>71</v>
      </c>
      <c r="D15621" t="s">
        <v>42058</v>
      </c>
      <c r="F15621" t="s">
        <v>8400</v>
      </c>
      <c r="K15621" s="18">
        <f>62807092022</f>
        <v>62807092022</v>
      </c>
      <c r="N15621" s="17" t="s">
        <v>81</v>
      </c>
      <c r="V15621" s="18">
        <f>62807092022</f>
        <v>62807092022</v>
      </c>
    </row>
    <row r="15622" ht="15" customHeight="1" spans="1:22" x14ac:dyDescent="0.25">
      <c r="A15622" s="17" t="s">
        <v>42062</v>
      </c>
      <c r="B15622" s="17" t="s">
        <v>70</v>
      </c>
      <c r="C15622" s="17" t="s">
        <v>71</v>
      </c>
      <c r="D15622" t="s">
        <v>42063</v>
      </c>
      <c r="F15622" t="s">
        <v>42064</v>
      </c>
      <c r="K15622" s="18">
        <f>62819888387</f>
        <v>62819888387</v>
      </c>
      <c r="N15622" s="17" t="s">
        <v>81</v>
      </c>
      <c r="V15622" s="18">
        <f>62819888387</f>
        <v>62819888387</v>
      </c>
    </row>
    <row r="15623" ht="15" customHeight="1" spans="1:22" x14ac:dyDescent="0.25">
      <c r="A15623" s="17" t="s">
        <v>42065</v>
      </c>
      <c r="B15623" s="17" t="s">
        <v>70</v>
      </c>
      <c r="C15623" s="17" t="s">
        <v>71</v>
      </c>
      <c r="D15623" t="s">
        <v>42066</v>
      </c>
      <c r="F15623" t="s">
        <v>42067</v>
      </c>
      <c r="K15623" s="18">
        <f>62811239988</f>
        <v>62811239988</v>
      </c>
      <c r="N15623" s="17" t="s">
        <v>81</v>
      </c>
      <c r="V15623" s="18">
        <f>62811239988</f>
        <v>62811239988</v>
      </c>
    </row>
    <row r="15624" ht="15" customHeight="1" spans="1:22" x14ac:dyDescent="0.25">
      <c r="A15624" s="17" t="s">
        <v>42068</v>
      </c>
      <c r="B15624" s="17" t="s">
        <v>70</v>
      </c>
      <c r="C15624" s="17" t="s">
        <v>71</v>
      </c>
      <c r="D15624" t="s">
        <v>42069</v>
      </c>
      <c r="F15624" t="s">
        <v>42069</v>
      </c>
      <c r="K15624" s="18">
        <f>628111239988</f>
        <v>628111239988</v>
      </c>
      <c r="N15624" s="17" t="s">
        <v>77</v>
      </c>
      <c r="V15624" s="18">
        <f>628111239988</f>
        <v>628111239988</v>
      </c>
    </row>
    <row r="15625" ht="15" customHeight="1" spans="1:27" x14ac:dyDescent="0.25">
      <c r="A15625" s="17" t="s">
        <v>42070</v>
      </c>
      <c r="B15625" s="17" t="s">
        <v>70</v>
      </c>
      <c r="C15625" s="17" t="s">
        <v>71</v>
      </c>
      <c r="D15625" t="s">
        <v>42071</v>
      </c>
      <c r="F15625" t="s">
        <v>42072</v>
      </c>
      <c r="K15625" s="18">
        <f>628123036918</f>
        <v>628123036918</v>
      </c>
      <c r="N15625" s="17" t="s">
        <v>77</v>
      </c>
      <c r="U15625" s="17"/>
      <c r="V15625" s="18">
        <f>628123036918</f>
        <v>628123036918</v>
      </c>
      <c r="W15625" t="s">
        <v>42073</v>
      </c>
      <c r="Y15625" s="17" t="s">
        <v>704</v>
      </c>
      <c r="AA15625" s="17" t="s">
        <v>42074</v>
      </c>
    </row>
    <row r="15626" ht="15" customHeight="1" spans="1:27" x14ac:dyDescent="0.25">
      <c r="A15626" s="17" t="s">
        <v>42075</v>
      </c>
      <c r="B15626" s="17" t="s">
        <v>70</v>
      </c>
      <c r="C15626" s="17" t="s">
        <v>71</v>
      </c>
      <c r="D15626" t="s">
        <v>42076</v>
      </c>
      <c r="F15626" t="s">
        <v>1337</v>
      </c>
      <c r="J15626" s="17" t="s">
        <v>42077</v>
      </c>
      <c r="K15626" s="18">
        <f>6281281777888</f>
        <v>6281281777888</v>
      </c>
      <c r="N15626" s="17" t="s">
        <v>81</v>
      </c>
      <c r="U15626" s="17"/>
      <c r="V15626" s="18">
        <f>6281281777888</f>
        <v>6281281777888</v>
      </c>
      <c r="W15626" t="s">
        <v>42078</v>
      </c>
      <c r="Y15626" s="17" t="s">
        <v>16028</v>
      </c>
      <c r="AA15626" s="17">
        <v>76114</v>
      </c>
    </row>
    <row r="15627" ht="15" customHeight="1" spans="1:22" x14ac:dyDescent="0.25">
      <c r="A15627" s="17" t="s">
        <v>42079</v>
      </c>
      <c r="B15627" s="17" t="s">
        <v>70</v>
      </c>
      <c r="C15627" s="17" t="s">
        <v>71</v>
      </c>
      <c r="D15627" t="s">
        <v>42080</v>
      </c>
      <c r="F15627" t="s">
        <v>42081</v>
      </c>
      <c r="K15627" s="18">
        <f>6281328416666</f>
        <v>6281328416666</v>
      </c>
      <c r="N15627" s="17" t="s">
        <v>81</v>
      </c>
      <c r="V15627" s="18">
        <f>6281328416666</f>
        <v>6281328416666</v>
      </c>
    </row>
    <row r="15628" ht="15" customHeight="1" spans="1:22" x14ac:dyDescent="0.25">
      <c r="A15628" s="17" t="s">
        <v>42082</v>
      </c>
      <c r="B15628" s="17" t="s">
        <v>70</v>
      </c>
      <c r="C15628" s="17" t="s">
        <v>71</v>
      </c>
      <c r="D15628" t="s">
        <v>672</v>
      </c>
      <c r="F15628" t="s">
        <v>672</v>
      </c>
      <c r="K15628" s="18">
        <f>628111888841</f>
        <v>628111888841</v>
      </c>
      <c r="N15628" s="17" t="s">
        <v>77</v>
      </c>
      <c r="V15628" s="18">
        <f>628111888841</f>
        <v>628111888841</v>
      </c>
    </row>
    <row r="15629" ht="15" customHeight="1" spans="1:22" x14ac:dyDescent="0.25">
      <c r="A15629" s="17" t="s">
        <v>42083</v>
      </c>
      <c r="B15629" s="17" t="s">
        <v>70</v>
      </c>
      <c r="C15629" s="17" t="s">
        <v>71</v>
      </c>
      <c r="D15629" t="s">
        <v>672</v>
      </c>
      <c r="F15629" t="s">
        <v>42084</v>
      </c>
      <c r="K15629" s="18">
        <f>62811888841</f>
        <v>62811888841</v>
      </c>
      <c r="N15629" s="17" t="s">
        <v>81</v>
      </c>
      <c r="V15629" s="18">
        <f>62811888841</f>
        <v>62811888841</v>
      </c>
    </row>
    <row r="15630" ht="15" customHeight="1" spans="1:25" x14ac:dyDescent="0.25">
      <c r="A15630" s="17" t="s">
        <v>42085</v>
      </c>
      <c r="B15630" s="17" t="s">
        <v>70</v>
      </c>
      <c r="C15630" s="17" t="s">
        <v>71</v>
      </c>
      <c r="D15630" t="s">
        <v>672</v>
      </c>
      <c r="F15630" t="s">
        <v>629</v>
      </c>
      <c r="K15630" s="18">
        <f>62813566743</f>
        <v>62813566743</v>
      </c>
      <c r="N15630" s="17" t="s">
        <v>77</v>
      </c>
      <c r="U15630" s="17"/>
      <c r="V15630" s="18">
        <f>62813566743</f>
        <v>62813566743</v>
      </c>
      <c r="W15630" t="s">
        <v>42086</v>
      </c>
      <c r="Y15630" s="17" t="s">
        <v>90</v>
      </c>
    </row>
    <row r="15631" ht="15" customHeight="1" spans="1:22" x14ac:dyDescent="0.25">
      <c r="A15631" s="17" t="s">
        <v>42087</v>
      </c>
      <c r="B15631" s="17" t="s">
        <v>70</v>
      </c>
      <c r="C15631" s="17" t="s">
        <v>71</v>
      </c>
      <c r="D15631" t="s">
        <v>672</v>
      </c>
      <c r="F15631" t="s">
        <v>282</v>
      </c>
      <c r="K15631" s="18">
        <f>6287885867388</f>
        <v>6287885867388</v>
      </c>
      <c r="N15631" s="17" t="s">
        <v>81</v>
      </c>
      <c r="V15631" s="18">
        <f>6287885867388</f>
        <v>6287885867388</v>
      </c>
    </row>
    <row r="15632" ht="15" customHeight="1" spans="1:22" x14ac:dyDescent="0.25">
      <c r="A15632" s="17" t="s">
        <v>42088</v>
      </c>
      <c r="B15632" s="17" t="s">
        <v>70</v>
      </c>
      <c r="C15632" s="17" t="s">
        <v>71</v>
      </c>
      <c r="D15632" t="s">
        <v>42089</v>
      </c>
      <c r="F15632" t="s">
        <v>42089</v>
      </c>
      <c r="K15632" s="18">
        <f>6281119222270</f>
        <v>6281119222270</v>
      </c>
      <c r="N15632" s="17" t="s">
        <v>81</v>
      </c>
      <c r="V15632" s="18">
        <f>6281119222270</f>
        <v>6281119222270</v>
      </c>
    </row>
    <row r="15633" ht="15" customHeight="1" spans="1:23" x14ac:dyDescent="0.25">
      <c r="A15633" s="17" t="s">
        <v>42090</v>
      </c>
      <c r="B15633" s="17" t="s">
        <v>70</v>
      </c>
      <c r="C15633" s="17" t="s">
        <v>71</v>
      </c>
      <c r="D15633" t="s">
        <v>42091</v>
      </c>
      <c r="F15633" t="s">
        <v>6671</v>
      </c>
      <c r="K15633" s="18">
        <f>6287783019350</f>
        <v>6287783019350</v>
      </c>
      <c r="N15633" s="17" t="s">
        <v>81</v>
      </c>
      <c r="U15633" s="17"/>
      <c r="V15633" s="18">
        <f>6287783019350</f>
        <v>6287783019350</v>
      </c>
      <c r="W15633" t="s">
        <v>42092</v>
      </c>
    </row>
    <row r="15634" ht="15" customHeight="1" spans="1:22" x14ac:dyDescent="0.25">
      <c r="A15634" s="17" t="s">
        <v>42093</v>
      </c>
      <c r="B15634" s="17" t="s">
        <v>70</v>
      </c>
      <c r="C15634" s="17" t="s">
        <v>71</v>
      </c>
      <c r="D15634" t="s">
        <v>42094</v>
      </c>
      <c r="F15634" t="s">
        <v>42095</v>
      </c>
      <c r="K15634" s="18">
        <f>6281267742894</f>
        <v>6281267742894</v>
      </c>
      <c r="N15634" s="17" t="s">
        <v>81</v>
      </c>
      <c r="V15634" s="18">
        <f>6281267742894</f>
        <v>6281267742894</v>
      </c>
    </row>
    <row r="15635" ht="15" customHeight="1" spans="1:28" x14ac:dyDescent="0.25">
      <c r="A15635" s="17" t="s">
        <v>42096</v>
      </c>
      <c r="B15635" s="17" t="s">
        <v>70</v>
      </c>
      <c r="C15635" s="17" t="s">
        <v>71</v>
      </c>
      <c r="D15635" t="s">
        <v>42094</v>
      </c>
      <c r="F15635" t="s">
        <v>42097</v>
      </c>
      <c r="J15635" t="s">
        <v>115</v>
      </c>
      <c r="K15635" s="18" t="s">
        <v>42098</v>
      </c>
      <c r="N15635" s="17" t="s">
        <v>81</v>
      </c>
      <c r="O15635" t="s">
        <v>117</v>
      </c>
      <c r="U15635" s="17"/>
      <c r="V15635" s="18" t="s">
        <v>42098</v>
      </c>
      <c r="W15635" t="s">
        <v>42099</v>
      </c>
      <c r="Y15635" s="17" t="s">
        <v>90</v>
      </c>
      <c r="AA15635" t="s">
        <v>118</v>
      </c>
      <c r="AB15635" t="s">
        <v>119</v>
      </c>
    </row>
    <row r="15636" ht="15" customHeight="1" spans="1:22" x14ac:dyDescent="0.25">
      <c r="A15636" s="17" t="s">
        <v>42100</v>
      </c>
      <c r="B15636" s="17" t="s">
        <v>70</v>
      </c>
      <c r="C15636" s="17" t="s">
        <v>71</v>
      </c>
      <c r="D15636" t="s">
        <v>42094</v>
      </c>
      <c r="F15636" t="s">
        <v>42101</v>
      </c>
      <c r="J15636" s="17" t="s">
        <v>42102</v>
      </c>
      <c r="K15636" s="18">
        <f>6281554000442</f>
        <v>6281554000442</v>
      </c>
      <c r="N15636" s="17" t="s">
        <v>77</v>
      </c>
      <c r="V15636" s="18">
        <f>6281554000442</f>
        <v>6281554000442</v>
      </c>
    </row>
    <row r="15637" ht="15" customHeight="1" spans="1:25" x14ac:dyDescent="0.25">
      <c r="A15637" s="17" t="s">
        <v>42103</v>
      </c>
      <c r="B15637" s="17" t="s">
        <v>70</v>
      </c>
      <c r="C15637" s="17" t="s">
        <v>71</v>
      </c>
      <c r="D15637" t="s">
        <v>42104</v>
      </c>
      <c r="F15637" t="s">
        <v>42105</v>
      </c>
      <c r="K15637" s="18">
        <f>628174881829</f>
        <v>628174881829</v>
      </c>
      <c r="N15637" s="17" t="s">
        <v>74</v>
      </c>
      <c r="U15637" s="17"/>
      <c r="V15637" s="18">
        <f>628174881829</f>
        <v>628174881829</v>
      </c>
      <c r="W15637" t="s">
        <v>42106</v>
      </c>
      <c r="Y15637" s="17" t="s">
        <v>90</v>
      </c>
    </row>
    <row r="15638" ht="15" customHeight="1" spans="1:28" x14ac:dyDescent="0.25">
      <c r="A15638" s="17" t="s">
        <v>42107</v>
      </c>
      <c r="B15638" s="17" t="s">
        <v>70</v>
      </c>
      <c r="C15638" s="17" t="s">
        <v>71</v>
      </c>
      <c r="D15638" t="s">
        <v>42108</v>
      </c>
      <c r="F15638" t="s">
        <v>42109</v>
      </c>
      <c r="J15638" t="s">
        <v>115</v>
      </c>
      <c r="K15638" s="18" t="s">
        <v>42110</v>
      </c>
      <c r="N15638" s="17" t="s">
        <v>81</v>
      </c>
      <c r="O15638" t="s">
        <v>145</v>
      </c>
      <c r="V15638" s="18" t="s">
        <v>42110</v>
      </c>
      <c r="Y15638" t="s">
        <v>626</v>
      </c>
      <c r="AA15638" t="s">
        <v>3090</v>
      </c>
      <c r="AB15638" t="s">
        <v>119</v>
      </c>
    </row>
    <row r="15639" ht="15" customHeight="1" spans="1:22" x14ac:dyDescent="0.25">
      <c r="A15639" s="17" t="s">
        <v>42111</v>
      </c>
      <c r="B15639" s="17" t="s">
        <v>70</v>
      </c>
      <c r="C15639" s="17" t="s">
        <v>71</v>
      </c>
      <c r="D15639" t="s">
        <v>42112</v>
      </c>
      <c r="F15639" t="s">
        <v>42112</v>
      </c>
      <c r="K15639" s="18">
        <f>6281803990859</f>
        <v>6281803990859</v>
      </c>
      <c r="N15639" s="17" t="s">
        <v>81</v>
      </c>
      <c r="V15639" s="18">
        <f>6281803990859</f>
        <v>6281803990859</v>
      </c>
    </row>
    <row r="15640" ht="15" customHeight="1" spans="1:22" x14ac:dyDescent="0.25">
      <c r="A15640" s="17" t="s">
        <v>42113</v>
      </c>
      <c r="B15640" s="17" t="s">
        <v>70</v>
      </c>
      <c r="C15640" s="17" t="s">
        <v>71</v>
      </c>
      <c r="D15640" t="s">
        <v>42112</v>
      </c>
      <c r="F15640" t="s">
        <v>42112</v>
      </c>
      <c r="K15640" s="18">
        <f>6281803990856</f>
        <v>6281803990856</v>
      </c>
      <c r="N15640" s="17" t="s">
        <v>81</v>
      </c>
      <c r="V15640" s="18">
        <f>6281803990856</f>
        <v>6281803990856</v>
      </c>
    </row>
    <row r="15641" ht="15" customHeight="1" spans="1:22" x14ac:dyDescent="0.25">
      <c r="A15641" s="17" t="s">
        <v>42114</v>
      </c>
      <c r="B15641" s="17" t="s">
        <v>70</v>
      </c>
      <c r="C15641" s="17" t="s">
        <v>71</v>
      </c>
      <c r="D15641" t="s">
        <v>42115</v>
      </c>
      <c r="F15641" t="s">
        <v>42115</v>
      </c>
      <c r="K15641" s="18">
        <v>100101213</v>
      </c>
      <c r="N15641" s="17" t="s">
        <v>77</v>
      </c>
      <c r="V15641" s="18">
        <v>100101213</v>
      </c>
    </row>
    <row r="15642" ht="15" customHeight="1" spans="1:22" x14ac:dyDescent="0.25">
      <c r="A15642" s="17" t="s">
        <v>42116</v>
      </c>
      <c r="B15642" s="17" t="s">
        <v>70</v>
      </c>
      <c r="C15642" s="17" t="s">
        <v>71</v>
      </c>
      <c r="D15642" t="s">
        <v>42115</v>
      </c>
      <c r="F15642" t="s">
        <v>9028</v>
      </c>
      <c r="K15642" s="18">
        <f>62811909281</f>
        <v>62811909281</v>
      </c>
      <c r="N15642" s="17" t="s">
        <v>74</v>
      </c>
      <c r="V15642" s="18">
        <f>62811909281</f>
        <v>62811909281</v>
      </c>
    </row>
    <row r="15643" ht="15" customHeight="1" spans="1:22" x14ac:dyDescent="0.25">
      <c r="A15643" s="17" t="s">
        <v>42117</v>
      </c>
      <c r="B15643" s="17" t="s">
        <v>70</v>
      </c>
      <c r="C15643" s="17" t="s">
        <v>71</v>
      </c>
      <c r="D15643" t="s">
        <v>42115</v>
      </c>
      <c r="F15643" t="s">
        <v>42118</v>
      </c>
      <c r="K15643" s="18">
        <f>628118005628</f>
        <v>628118005628</v>
      </c>
      <c r="N15643" s="17" t="s">
        <v>81</v>
      </c>
      <c r="V15643" s="18">
        <f>628118005628</f>
        <v>628118005628</v>
      </c>
    </row>
    <row r="15644" ht="15" customHeight="1" spans="1:22" x14ac:dyDescent="0.25">
      <c r="A15644" s="17" t="s">
        <v>42119</v>
      </c>
      <c r="B15644" s="17" t="s">
        <v>70</v>
      </c>
      <c r="C15644" s="17" t="s">
        <v>71</v>
      </c>
      <c r="D15644" t="s">
        <v>42120</v>
      </c>
      <c r="F15644" t="s">
        <v>42120</v>
      </c>
      <c r="K15644" s="18">
        <f>6282124518395</f>
        <v>6282124518395</v>
      </c>
      <c r="N15644" s="17" t="s">
        <v>77</v>
      </c>
      <c r="V15644" s="18">
        <f>6282124518395</f>
        <v>6282124518395</v>
      </c>
    </row>
    <row r="15645" ht="15" customHeight="1" spans="1:22" x14ac:dyDescent="0.25">
      <c r="A15645" s="17" t="s">
        <v>42121</v>
      </c>
      <c r="B15645" s="17" t="s">
        <v>70</v>
      </c>
      <c r="C15645" s="17" t="s">
        <v>71</v>
      </c>
      <c r="D15645" t="s">
        <v>42122</v>
      </c>
      <c r="F15645" t="s">
        <v>42122</v>
      </c>
      <c r="K15645" s="18">
        <f>6282168836757</f>
        <v>6282168836757</v>
      </c>
      <c r="N15645" s="17" t="s">
        <v>74</v>
      </c>
      <c r="V15645" s="18">
        <f>6282168836757</f>
        <v>6282168836757</v>
      </c>
    </row>
    <row r="15646" ht="15" customHeight="1" spans="1:23" x14ac:dyDescent="0.25">
      <c r="A15646" s="17" t="s">
        <v>42123</v>
      </c>
      <c r="B15646" s="17" t="s">
        <v>70</v>
      </c>
      <c r="C15646" s="17" t="s">
        <v>71</v>
      </c>
      <c r="D15646" t="s">
        <v>42124</v>
      </c>
      <c r="F15646" t="s">
        <v>10788</v>
      </c>
      <c r="K15646" s="18">
        <f>6281288557900</f>
        <v>6281288557900</v>
      </c>
      <c r="N15646" s="17" t="s">
        <v>81</v>
      </c>
      <c r="U15646" s="17"/>
      <c r="V15646" s="18">
        <f>6281288557900</f>
        <v>6281288557900</v>
      </c>
      <c r="W15646" t="s">
        <v>42125</v>
      </c>
    </row>
    <row r="15647" ht="15" customHeight="1" spans="1:22" x14ac:dyDescent="0.25">
      <c r="A15647" s="17" t="s">
        <v>42126</v>
      </c>
      <c r="B15647" s="17" t="s">
        <v>70</v>
      </c>
      <c r="C15647" s="17" t="s">
        <v>71</v>
      </c>
      <c r="D15647" t="s">
        <v>42127</v>
      </c>
      <c r="F15647" t="s">
        <v>20853</v>
      </c>
      <c r="K15647" s="18">
        <f>6281282319225</f>
        <v>6281282319225</v>
      </c>
      <c r="N15647" s="17" t="s">
        <v>77</v>
      </c>
      <c r="V15647" s="18">
        <f>6281282319225</f>
        <v>6281282319225</v>
      </c>
    </row>
    <row r="15648" ht="15" customHeight="1" spans="1:25" x14ac:dyDescent="0.25">
      <c r="A15648" s="17" t="s">
        <v>42128</v>
      </c>
      <c r="B15648" s="17" t="s">
        <v>70</v>
      </c>
      <c r="C15648" s="17" t="s">
        <v>71</v>
      </c>
      <c r="D15648" t="s">
        <v>42129</v>
      </c>
      <c r="F15648" t="s">
        <v>42130</v>
      </c>
      <c r="K15648" s="18">
        <v>4263766</v>
      </c>
      <c r="N15648" s="17" t="s">
        <v>74</v>
      </c>
      <c r="U15648" s="17"/>
      <c r="V15648" s="18">
        <v>4263766</v>
      </c>
      <c r="W15648" t="s">
        <v>42131</v>
      </c>
      <c r="Y15648" s="17" t="s">
        <v>378</v>
      </c>
    </row>
    <row r="15649" ht="15" customHeight="1" spans="1:22" x14ac:dyDescent="0.25">
      <c r="A15649" s="17" t="s">
        <v>42132</v>
      </c>
      <c r="B15649" s="17" t="s">
        <v>70</v>
      </c>
      <c r="C15649" s="17" t="s">
        <v>71</v>
      </c>
      <c r="D15649" t="s">
        <v>31206</v>
      </c>
      <c r="F15649" t="s">
        <v>31206</v>
      </c>
      <c r="K15649" s="18">
        <f>628121025338</f>
        <v>628121025338</v>
      </c>
      <c r="N15649" s="17" t="s">
        <v>81</v>
      </c>
      <c r="V15649" s="18">
        <f>628121025338</f>
        <v>628121025338</v>
      </c>
    </row>
    <row r="15650" ht="15" customHeight="1" spans="1:22" x14ac:dyDescent="0.25">
      <c r="A15650" s="17" t="s">
        <v>42133</v>
      </c>
      <c r="B15650" s="17" t="s">
        <v>70</v>
      </c>
      <c r="C15650" s="17" t="s">
        <v>71</v>
      </c>
      <c r="D15650" t="s">
        <v>31206</v>
      </c>
      <c r="F15650" t="s">
        <v>31206</v>
      </c>
      <c r="K15650" s="18">
        <f>628188885338</f>
        <v>628188885338</v>
      </c>
      <c r="N15650" s="17" t="s">
        <v>81</v>
      </c>
      <c r="V15650" s="18">
        <f>628188885338</f>
        <v>628188885338</v>
      </c>
    </row>
    <row r="15651" ht="15" customHeight="1" spans="1:22" x14ac:dyDescent="0.25">
      <c r="A15651" s="17" t="s">
        <v>42134</v>
      </c>
      <c r="B15651" s="17" t="s">
        <v>70</v>
      </c>
      <c r="C15651" s="17" t="s">
        <v>71</v>
      </c>
      <c r="D15651" t="s">
        <v>31206</v>
      </c>
      <c r="F15651" t="s">
        <v>31206</v>
      </c>
      <c r="K15651" s="18">
        <f>6285694434770</f>
        <v>6285694434770</v>
      </c>
      <c r="N15651" s="17" t="s">
        <v>77</v>
      </c>
      <c r="V15651" s="18">
        <f>6285694434770</f>
        <v>6285694434770</v>
      </c>
    </row>
    <row r="15652" ht="15" customHeight="1" spans="1:28" x14ac:dyDescent="0.25">
      <c r="A15652" s="17" t="s">
        <v>42135</v>
      </c>
      <c r="B15652" s="17" t="s">
        <v>70</v>
      </c>
      <c r="C15652" s="17" t="s">
        <v>71</v>
      </c>
      <c r="D15652" t="s">
        <v>31206</v>
      </c>
      <c r="F15652" t="s">
        <v>42136</v>
      </c>
      <c r="J15652" t="s">
        <v>115</v>
      </c>
      <c r="K15652" s="18" t="s">
        <v>42137</v>
      </c>
      <c r="N15652" s="17" t="s">
        <v>81</v>
      </c>
      <c r="O15652" t="s">
        <v>489</v>
      </c>
      <c r="V15652" s="18" t="s">
        <v>42137</v>
      </c>
      <c r="Y15652" t="s">
        <v>115</v>
      </c>
      <c r="AA15652" t="s">
        <v>115</v>
      </c>
      <c r="AB15652" t="s">
        <v>119</v>
      </c>
    </row>
    <row r="15653" ht="15" customHeight="1" spans="1:25" x14ac:dyDescent="0.25">
      <c r="A15653" s="17" t="s">
        <v>42138</v>
      </c>
      <c r="B15653" s="17" t="s">
        <v>70</v>
      </c>
      <c r="C15653" s="17" t="s">
        <v>71</v>
      </c>
      <c r="D15653" t="s">
        <v>31206</v>
      </c>
      <c r="F15653" t="s">
        <v>42139</v>
      </c>
      <c r="K15653" s="18">
        <f>62811747007</f>
        <v>62811747007</v>
      </c>
      <c r="N15653" s="17" t="s">
        <v>74</v>
      </c>
      <c r="U15653" s="17"/>
      <c r="V15653" s="18">
        <f>62811747007</f>
        <v>62811747007</v>
      </c>
      <c r="W15653" t="s">
        <v>42140</v>
      </c>
      <c r="Y15653" s="17" t="s">
        <v>90</v>
      </c>
    </row>
    <row r="15654" ht="15" customHeight="1" spans="1:23" x14ac:dyDescent="0.25">
      <c r="A15654" s="17" t="s">
        <v>42141</v>
      </c>
      <c r="B15654" s="17" t="s">
        <v>70</v>
      </c>
      <c r="C15654" s="17" t="s">
        <v>71</v>
      </c>
      <c r="D15654" t="s">
        <v>31206</v>
      </c>
      <c r="F15654" t="s">
        <v>4736</v>
      </c>
      <c r="K15654" s="18">
        <f>6281311765618</f>
        <v>6281311765618</v>
      </c>
      <c r="N15654" s="17" t="s">
        <v>77</v>
      </c>
      <c r="U15654" s="17"/>
      <c r="V15654" s="18">
        <f>6281311765618</f>
        <v>6281311765618</v>
      </c>
      <c r="W15654" t="s">
        <v>42142</v>
      </c>
    </row>
    <row r="15655" ht="15" customHeight="1" spans="1:23" x14ac:dyDescent="0.25">
      <c r="A15655" s="17" t="s">
        <v>42143</v>
      </c>
      <c r="B15655" s="17" t="s">
        <v>70</v>
      </c>
      <c r="C15655" s="17" t="s">
        <v>71</v>
      </c>
      <c r="D15655" t="s">
        <v>31206</v>
      </c>
      <c r="F15655" t="s">
        <v>5826</v>
      </c>
      <c r="J15655" s="17" t="s">
        <v>42144</v>
      </c>
      <c r="K15655" s="18">
        <f>6281284679787</f>
        <v>6281284679787</v>
      </c>
      <c r="N15655" s="17" t="s">
        <v>81</v>
      </c>
      <c r="U15655" s="17"/>
      <c r="V15655" s="18">
        <f>6281284679787</f>
        <v>6281284679787</v>
      </c>
      <c r="W15655" t="s">
        <v>42145</v>
      </c>
    </row>
    <row r="15656" ht="15" customHeight="1" spans="1:22" x14ac:dyDescent="0.25">
      <c r="A15656" s="17" t="s">
        <v>42146</v>
      </c>
      <c r="B15656" s="17" t="s">
        <v>70</v>
      </c>
      <c r="C15656" s="17" t="s">
        <v>71</v>
      </c>
      <c r="D15656" t="s">
        <v>31206</v>
      </c>
      <c r="F15656" t="s">
        <v>4298</v>
      </c>
      <c r="K15656" s="18">
        <f>6281346844584</f>
        <v>6281346844584</v>
      </c>
      <c r="N15656" s="17" t="s">
        <v>81</v>
      </c>
      <c r="V15656" s="18">
        <f>6281346844584</f>
        <v>6281346844584</v>
      </c>
    </row>
    <row r="15657" ht="15" customHeight="1" spans="1:22" x14ac:dyDescent="0.25">
      <c r="A15657" s="17" t="s">
        <v>42147</v>
      </c>
      <c r="B15657" s="17" t="s">
        <v>70</v>
      </c>
      <c r="C15657" s="17" t="s">
        <v>71</v>
      </c>
      <c r="D15657" t="s">
        <v>31206</v>
      </c>
      <c r="F15657" t="s">
        <v>42148</v>
      </c>
      <c r="K15657" s="18">
        <f>628118002299</f>
        <v>628118002299</v>
      </c>
      <c r="N15657" s="17" t="s">
        <v>77</v>
      </c>
      <c r="V15657" s="18">
        <f>628118002299</f>
        <v>628118002299</v>
      </c>
    </row>
    <row r="15658" ht="15" customHeight="1" spans="1:22" x14ac:dyDescent="0.25">
      <c r="A15658" s="17" t="s">
        <v>42149</v>
      </c>
      <c r="B15658" s="17" t="s">
        <v>70</v>
      </c>
      <c r="C15658" s="17" t="s">
        <v>71</v>
      </c>
      <c r="D15658" t="s">
        <v>31206</v>
      </c>
      <c r="F15658" t="s">
        <v>6235</v>
      </c>
      <c r="K15658" s="18">
        <f>628118529000</f>
        <v>628118529000</v>
      </c>
      <c r="N15658" s="17" t="s">
        <v>74</v>
      </c>
      <c r="V15658" s="18">
        <f>628118529000</f>
        <v>628118529000</v>
      </c>
    </row>
    <row r="15659" ht="15" customHeight="1" spans="1:22" x14ac:dyDescent="0.25">
      <c r="A15659" s="17" t="s">
        <v>42150</v>
      </c>
      <c r="B15659" s="17" t="s">
        <v>70</v>
      </c>
      <c r="C15659" s="17" t="s">
        <v>71</v>
      </c>
      <c r="D15659" t="s">
        <v>31206</v>
      </c>
      <c r="F15659" t="s">
        <v>42151</v>
      </c>
      <c r="K15659" s="18">
        <f>628119921011</f>
        <v>628119921011</v>
      </c>
      <c r="N15659" s="17" t="s">
        <v>77</v>
      </c>
      <c r="V15659" s="18">
        <f>628119921011</f>
        <v>628119921011</v>
      </c>
    </row>
    <row r="15660" ht="15" customHeight="1" spans="1:27" x14ac:dyDescent="0.25">
      <c r="A15660" s="17" t="s">
        <v>42152</v>
      </c>
      <c r="B15660" s="17" t="s">
        <v>70</v>
      </c>
      <c r="C15660" s="17" t="s">
        <v>71</v>
      </c>
      <c r="D15660" t="s">
        <v>31206</v>
      </c>
      <c r="F15660" t="s">
        <v>11298</v>
      </c>
      <c r="K15660" s="18">
        <f>81999012511</f>
        <v>81999012511</v>
      </c>
      <c r="N15660" s="17" t="s">
        <v>81</v>
      </c>
      <c r="U15660" s="17"/>
      <c r="V15660" s="18">
        <f>81999012511</f>
        <v>81999012511</v>
      </c>
      <c r="W15660" t="s">
        <v>42153</v>
      </c>
      <c r="Y15660" s="17" t="s">
        <v>42154</v>
      </c>
      <c r="AA15660" s="17">
        <v>80221</v>
      </c>
    </row>
    <row r="15661" ht="15" customHeight="1" spans="1:22" x14ac:dyDescent="0.25">
      <c r="A15661" s="17" t="s">
        <v>42155</v>
      </c>
      <c r="B15661" s="17" t="s">
        <v>70</v>
      </c>
      <c r="C15661" s="17" t="s">
        <v>71</v>
      </c>
      <c r="D15661" t="s">
        <v>31206</v>
      </c>
      <c r="F15661" t="s">
        <v>42156</v>
      </c>
      <c r="J15661" s="17" t="s">
        <v>42157</v>
      </c>
      <c r="K15661" s="18">
        <f>6281257264311</f>
        <v>6281257264311</v>
      </c>
      <c r="N15661" s="17" t="s">
        <v>77</v>
      </c>
      <c r="V15661" s="18">
        <f>6281257264311</f>
        <v>6281257264311</v>
      </c>
    </row>
    <row r="15662" ht="15" customHeight="1" spans="1:28" x14ac:dyDescent="0.25">
      <c r="A15662" s="17" t="s">
        <v>42158</v>
      </c>
      <c r="B15662" s="17" t="s">
        <v>70</v>
      </c>
      <c r="C15662" s="17" t="s">
        <v>71</v>
      </c>
      <c r="D15662" t="s">
        <v>31206</v>
      </c>
      <c r="F15662" t="s">
        <v>5549</v>
      </c>
      <c r="J15662" t="s">
        <v>115</v>
      </c>
      <c r="K15662" s="18" t="s">
        <v>42159</v>
      </c>
      <c r="N15662" s="17" t="s">
        <v>77</v>
      </c>
      <c r="O15662" t="s">
        <v>117</v>
      </c>
      <c r="V15662" s="18" t="s">
        <v>42159</v>
      </c>
      <c r="Y15662" t="s">
        <v>1084</v>
      </c>
      <c r="AA15662" t="s">
        <v>3146</v>
      </c>
      <c r="AB15662" t="s">
        <v>119</v>
      </c>
    </row>
    <row r="15663" ht="15" customHeight="1" spans="1:22" x14ac:dyDescent="0.25">
      <c r="A15663" s="17" t="s">
        <v>42160</v>
      </c>
      <c r="B15663" s="17" t="s">
        <v>70</v>
      </c>
      <c r="C15663" s="17" t="s">
        <v>71</v>
      </c>
      <c r="D15663" t="s">
        <v>31206</v>
      </c>
      <c r="F15663" t="s">
        <v>42161</v>
      </c>
      <c r="K15663" s="18">
        <f>62816607018</f>
        <v>62816607018</v>
      </c>
      <c r="N15663" s="17" t="s">
        <v>74</v>
      </c>
      <c r="V15663" s="18">
        <f>62816607018</f>
        <v>62816607018</v>
      </c>
    </row>
    <row r="15664" ht="15" customHeight="1" spans="1:22" x14ac:dyDescent="0.25">
      <c r="A15664" s="17" t="s">
        <v>42162</v>
      </c>
      <c r="B15664" s="17" t="s">
        <v>70</v>
      </c>
      <c r="C15664" s="17" t="s">
        <v>71</v>
      </c>
      <c r="D15664" t="s">
        <v>31206</v>
      </c>
      <c r="F15664" t="s">
        <v>28021</v>
      </c>
      <c r="K15664" s="18">
        <f>62816660068</f>
        <v>62816660068</v>
      </c>
      <c r="N15664" s="17" t="s">
        <v>81</v>
      </c>
      <c r="V15664" s="18">
        <f>62816660068</f>
        <v>62816660068</v>
      </c>
    </row>
    <row r="15665" ht="15" customHeight="1" spans="1:23" x14ac:dyDescent="0.25">
      <c r="A15665" s="17" t="s">
        <v>42163</v>
      </c>
      <c r="B15665" s="17" t="s">
        <v>70</v>
      </c>
      <c r="C15665" s="17" t="s">
        <v>71</v>
      </c>
      <c r="D15665" t="s">
        <v>31206</v>
      </c>
      <c r="F15665" t="s">
        <v>42164</v>
      </c>
      <c r="J15665" s="17" t="s">
        <v>42165</v>
      </c>
      <c r="K15665" s="18">
        <f>6281806480698</f>
        <v>6281806480698</v>
      </c>
      <c r="N15665" s="17" t="s">
        <v>81</v>
      </c>
      <c r="U15665" s="17"/>
      <c r="V15665" s="18">
        <f>6281806480698</f>
        <v>6281806480698</v>
      </c>
      <c r="W15665" t="s">
        <v>42166</v>
      </c>
    </row>
    <row r="15666" ht="15" customHeight="1" spans="1:28" x14ac:dyDescent="0.25">
      <c r="A15666" s="17" t="s">
        <v>42167</v>
      </c>
      <c r="B15666" s="17" t="s">
        <v>70</v>
      </c>
      <c r="C15666" s="17" t="s">
        <v>71</v>
      </c>
      <c r="D15666" t="s">
        <v>31206</v>
      </c>
      <c r="F15666" t="s">
        <v>4621</v>
      </c>
      <c r="J15666" t="s">
        <v>115</v>
      </c>
      <c r="K15666" s="18" t="s">
        <v>42168</v>
      </c>
      <c r="N15666" s="17" t="s">
        <v>74</v>
      </c>
      <c r="O15666" t="s">
        <v>145</v>
      </c>
      <c r="V15666" s="18" t="s">
        <v>42168</v>
      </c>
      <c r="Y15666" t="s">
        <v>115</v>
      </c>
      <c r="AA15666" t="s">
        <v>115</v>
      </c>
      <c r="AB15666" t="s">
        <v>119</v>
      </c>
    </row>
    <row r="15667" ht="15" customHeight="1" spans="1:23" x14ac:dyDescent="0.25">
      <c r="A15667" s="17" t="s">
        <v>42169</v>
      </c>
      <c r="B15667" s="17" t="s">
        <v>70</v>
      </c>
      <c r="C15667" s="17" t="s">
        <v>71</v>
      </c>
      <c r="D15667" t="s">
        <v>31206</v>
      </c>
      <c r="F15667" t="s">
        <v>42170</v>
      </c>
      <c r="J15667" s="17" t="s">
        <v>42171</v>
      </c>
      <c r="K15667" s="18">
        <f>6281291111846</f>
        <v>6281291111846</v>
      </c>
      <c r="N15667" s="17" t="s">
        <v>81</v>
      </c>
      <c r="U15667" s="17"/>
      <c r="V15667" s="18">
        <f>6281291111846</f>
        <v>6281291111846</v>
      </c>
      <c r="W15667" t="s">
        <v>6179</v>
      </c>
    </row>
    <row r="15668" ht="15" customHeight="1" spans="1:23" x14ac:dyDescent="0.25">
      <c r="A15668" s="17" t="s">
        <v>42172</v>
      </c>
      <c r="B15668" s="17" t="s">
        <v>70</v>
      </c>
      <c r="C15668" s="17" t="s">
        <v>71</v>
      </c>
      <c r="D15668" t="s">
        <v>31206</v>
      </c>
      <c r="F15668" t="s">
        <v>42173</v>
      </c>
      <c r="K15668" s="18">
        <f>6287888088054</f>
        <v>6287888088054</v>
      </c>
      <c r="N15668" s="17" t="s">
        <v>77</v>
      </c>
      <c r="U15668" s="17"/>
      <c r="V15668" s="18">
        <f>6287888088054</f>
        <v>6287888088054</v>
      </c>
      <c r="W15668" t="s">
        <v>42174</v>
      </c>
    </row>
    <row r="15669" ht="15" customHeight="1" spans="1:22" x14ac:dyDescent="0.25">
      <c r="A15669" s="17" t="s">
        <v>42175</v>
      </c>
      <c r="B15669" s="17" t="s">
        <v>70</v>
      </c>
      <c r="C15669" s="17" t="s">
        <v>71</v>
      </c>
      <c r="D15669" t="s">
        <v>31206</v>
      </c>
      <c r="F15669" t="s">
        <v>2141</v>
      </c>
      <c r="K15669" s="18">
        <f>6281388255555</f>
        <v>6281388255555</v>
      </c>
      <c r="N15669" s="17" t="s">
        <v>77</v>
      </c>
      <c r="V15669" s="18">
        <f>6281388255555</f>
        <v>6281388255555</v>
      </c>
    </row>
    <row r="15670" ht="15" customHeight="1" spans="1:25" x14ac:dyDescent="0.25">
      <c r="A15670" s="17" t="s">
        <v>42176</v>
      </c>
      <c r="B15670" s="17" t="s">
        <v>70</v>
      </c>
      <c r="C15670" s="17" t="s">
        <v>71</v>
      </c>
      <c r="D15670" t="s">
        <v>31206</v>
      </c>
      <c r="F15670" t="s">
        <v>153</v>
      </c>
      <c r="K15670" s="18">
        <v>65310268</v>
      </c>
      <c r="N15670" s="17" t="s">
        <v>74</v>
      </c>
      <c r="U15670" s="17"/>
      <c r="V15670" s="18">
        <v>65310268</v>
      </c>
      <c r="W15670" t="s">
        <v>42177</v>
      </c>
      <c r="Y15670" s="17" t="s">
        <v>1084</v>
      </c>
    </row>
    <row r="15671" ht="15" customHeight="1" spans="1:23" x14ac:dyDescent="0.25">
      <c r="A15671" s="17" t="s">
        <v>42178</v>
      </c>
      <c r="B15671" s="17" t="s">
        <v>70</v>
      </c>
      <c r="C15671" s="17" t="s">
        <v>71</v>
      </c>
      <c r="D15671" t="s">
        <v>31206</v>
      </c>
      <c r="F15671" t="s">
        <v>153</v>
      </c>
      <c r="J15671" s="17" t="s">
        <v>42179</v>
      </c>
      <c r="K15671" s="18">
        <f>6281293911168</f>
        <v>6281293911168</v>
      </c>
      <c r="N15671" s="17" t="s">
        <v>77</v>
      </c>
      <c r="U15671" s="17"/>
      <c r="V15671" s="18">
        <f>6281293911168</f>
        <v>6281293911168</v>
      </c>
      <c r="W15671" t="s">
        <v>42180</v>
      </c>
    </row>
    <row r="15672" ht="15" customHeight="1" spans="1:22" x14ac:dyDescent="0.25">
      <c r="A15672" s="17" t="s">
        <v>42181</v>
      </c>
      <c r="B15672" s="17" t="s">
        <v>70</v>
      </c>
      <c r="C15672" s="17" t="s">
        <v>71</v>
      </c>
      <c r="D15672" t="s">
        <v>31206</v>
      </c>
      <c r="F15672" t="s">
        <v>33871</v>
      </c>
      <c r="K15672" s="18">
        <f>628972444193</f>
        <v>628972444193</v>
      </c>
      <c r="N15672" s="17" t="s">
        <v>81</v>
      </c>
      <c r="V15672" s="18">
        <f>628972444193</f>
        <v>628972444193</v>
      </c>
    </row>
    <row r="15673" ht="15" customHeight="1" spans="1:22" x14ac:dyDescent="0.25">
      <c r="A15673" s="17" t="s">
        <v>42182</v>
      </c>
      <c r="B15673" s="17" t="s">
        <v>70</v>
      </c>
      <c r="C15673" s="17" t="s">
        <v>71</v>
      </c>
      <c r="D15673" t="s">
        <v>31206</v>
      </c>
      <c r="F15673" t="s">
        <v>42183</v>
      </c>
      <c r="K15673" s="18">
        <f>62818753675</f>
        <v>62818753675</v>
      </c>
      <c r="N15673" s="17" t="s">
        <v>77</v>
      </c>
      <c r="V15673" s="18">
        <f>62818753675</f>
        <v>62818753675</v>
      </c>
    </row>
    <row r="15674" ht="15" customHeight="1" spans="1:28" x14ac:dyDescent="0.25">
      <c r="A15674" s="17" t="s">
        <v>42184</v>
      </c>
      <c r="B15674" s="17" t="s">
        <v>70</v>
      </c>
      <c r="C15674" s="17" t="s">
        <v>71</v>
      </c>
      <c r="D15674" t="s">
        <v>31206</v>
      </c>
      <c r="F15674" t="s">
        <v>2004</v>
      </c>
      <c r="J15674" t="s">
        <v>115</v>
      </c>
      <c r="K15674" s="18" t="s">
        <v>42185</v>
      </c>
      <c r="N15674" s="17" t="s">
        <v>77</v>
      </c>
      <c r="O15674" t="s">
        <v>117</v>
      </c>
      <c r="V15674" s="18" t="s">
        <v>42185</v>
      </c>
      <c r="Y15674" t="s">
        <v>115</v>
      </c>
      <c r="AA15674" t="s">
        <v>115</v>
      </c>
      <c r="AB15674" t="s">
        <v>119</v>
      </c>
    </row>
    <row r="15675" ht="15" customHeight="1" spans="1:22" x14ac:dyDescent="0.25">
      <c r="A15675" s="17" t="s">
        <v>42186</v>
      </c>
      <c r="B15675" s="17" t="s">
        <v>70</v>
      </c>
      <c r="C15675" s="17" t="s">
        <v>71</v>
      </c>
      <c r="D15675" t="s">
        <v>31206</v>
      </c>
      <c r="F15675" t="s">
        <v>7002</v>
      </c>
      <c r="J15675" s="17" t="s">
        <v>42187</v>
      </c>
      <c r="K15675" s="18">
        <f>6282299998899</f>
        <v>6282299998899</v>
      </c>
      <c r="N15675" s="17" t="s">
        <v>77</v>
      </c>
      <c r="V15675" s="18">
        <f>6282299998899</f>
        <v>6282299998899</v>
      </c>
    </row>
    <row r="15676" ht="15" customHeight="1" spans="1:23" x14ac:dyDescent="0.25">
      <c r="A15676" s="17" t="s">
        <v>42188</v>
      </c>
      <c r="B15676" s="17" t="s">
        <v>70</v>
      </c>
      <c r="C15676" s="17" t="s">
        <v>71</v>
      </c>
      <c r="D15676" t="s">
        <v>42189</v>
      </c>
      <c r="F15676" t="s">
        <v>6324</v>
      </c>
      <c r="K15676" s="18">
        <f>61409492543</f>
        <v>61409492543</v>
      </c>
      <c r="N15676" s="17" t="s">
        <v>81</v>
      </c>
      <c r="U15676" s="17"/>
      <c r="V15676" s="18">
        <f>61409492543</f>
        <v>61409492543</v>
      </c>
      <c r="W15676" t="s">
        <v>14580</v>
      </c>
    </row>
    <row r="15677" ht="15" customHeight="1" spans="1:22" x14ac:dyDescent="0.25">
      <c r="A15677" s="17" t="s">
        <v>42190</v>
      </c>
      <c r="B15677" s="17" t="s">
        <v>70</v>
      </c>
      <c r="C15677" s="17" t="s">
        <v>71</v>
      </c>
      <c r="D15677" t="s">
        <v>42191</v>
      </c>
      <c r="F15677" t="s">
        <v>42191</v>
      </c>
      <c r="K15677" s="18">
        <f>62818885338</f>
        <v>62818885338</v>
      </c>
      <c r="N15677" s="17" t="s">
        <v>74</v>
      </c>
      <c r="V15677" s="18">
        <f>62818885338</f>
        <v>62818885338</v>
      </c>
    </row>
    <row r="15678" ht="15" customHeight="1" spans="1:22" x14ac:dyDescent="0.25">
      <c r="A15678" s="17" t="s">
        <v>42192</v>
      </c>
      <c r="B15678" s="17" t="s">
        <v>70</v>
      </c>
      <c r="C15678" s="17" t="s">
        <v>71</v>
      </c>
      <c r="D15678" t="s">
        <v>42193</v>
      </c>
      <c r="F15678" t="s">
        <v>9341</v>
      </c>
      <c r="J15678" s="17" t="s">
        <v>42194</v>
      </c>
      <c r="K15678" s="18">
        <f>628788320007</f>
        <v>628788320007</v>
      </c>
      <c r="N15678" s="17" t="s">
        <v>77</v>
      </c>
      <c r="V15678" s="18">
        <f>628788320007</f>
        <v>628788320007</v>
      </c>
    </row>
    <row r="15679" ht="15" customHeight="1" spans="1:28" x14ac:dyDescent="0.25">
      <c r="A15679" s="17" t="s">
        <v>42195</v>
      </c>
      <c r="B15679" s="17" t="s">
        <v>70</v>
      </c>
      <c r="C15679" s="17" t="s">
        <v>71</v>
      </c>
      <c r="D15679" t="s">
        <v>42196</v>
      </c>
      <c r="F15679" t="s">
        <v>7846</v>
      </c>
      <c r="J15679" t="s">
        <v>115</v>
      </c>
      <c r="K15679" s="18" t="s">
        <v>42197</v>
      </c>
      <c r="N15679" s="17" t="s">
        <v>77</v>
      </c>
      <c r="O15679" t="s">
        <v>199</v>
      </c>
      <c r="V15679" s="18" t="s">
        <v>42197</v>
      </c>
      <c r="Y15679" t="s">
        <v>1707</v>
      </c>
      <c r="AA15679" t="s">
        <v>115</v>
      </c>
      <c r="AB15679" t="s">
        <v>119</v>
      </c>
    </row>
    <row r="15680" ht="15" customHeight="1" spans="1:28" x14ac:dyDescent="0.25">
      <c r="A15680" s="17" t="s">
        <v>42198</v>
      </c>
      <c r="B15680" s="17" t="s">
        <v>70</v>
      </c>
      <c r="C15680" s="17" t="s">
        <v>71</v>
      </c>
      <c r="D15680" t="s">
        <v>42199</v>
      </c>
      <c r="F15680" t="s">
        <v>42199</v>
      </c>
      <c r="J15680" s="17" t="s">
        <v>42200</v>
      </c>
      <c r="K15680" s="18" t="s">
        <v>42201</v>
      </c>
      <c r="N15680" s="17" t="s">
        <v>77</v>
      </c>
      <c r="O15680" t="s">
        <v>145</v>
      </c>
      <c r="V15680" s="18" t="s">
        <v>42201</v>
      </c>
      <c r="Y15680" t="s">
        <v>190</v>
      </c>
      <c r="AA15680" t="s">
        <v>118</v>
      </c>
      <c r="AB15680" t="s">
        <v>119</v>
      </c>
    </row>
    <row r="15681" ht="15" customHeight="1" spans="1:22" x14ac:dyDescent="0.25">
      <c r="A15681" s="17" t="s">
        <v>42202</v>
      </c>
      <c r="B15681" s="17" t="s">
        <v>70</v>
      </c>
      <c r="C15681" s="17" t="s">
        <v>71</v>
      </c>
      <c r="D15681" t="s">
        <v>42203</v>
      </c>
      <c r="F15681" t="s">
        <v>150</v>
      </c>
      <c r="K15681" s="18">
        <f>62818845678</f>
        <v>62818845678</v>
      </c>
      <c r="N15681" s="17" t="s">
        <v>77</v>
      </c>
      <c r="V15681" s="18">
        <f>62818845678</f>
        <v>62818845678</v>
      </c>
    </row>
    <row r="15682" ht="15" customHeight="1" spans="1:22" x14ac:dyDescent="0.25">
      <c r="A15682" s="17" t="s">
        <v>42204</v>
      </c>
      <c r="B15682" s="17" t="s">
        <v>70</v>
      </c>
      <c r="C15682" s="17" t="s">
        <v>71</v>
      </c>
      <c r="D15682" t="s">
        <v>24904</v>
      </c>
      <c r="F15682" t="s">
        <v>24904</v>
      </c>
      <c r="K15682" s="18">
        <f>628161878227</f>
        <v>628161878227</v>
      </c>
      <c r="N15682" s="17" t="s">
        <v>74</v>
      </c>
      <c r="V15682" s="18">
        <f>628161878227</f>
        <v>628161878227</v>
      </c>
    </row>
    <row r="15683" ht="15" customHeight="1" spans="1:22" x14ac:dyDescent="0.25">
      <c r="A15683" s="17" t="s">
        <v>42205</v>
      </c>
      <c r="B15683" s="17" t="s">
        <v>70</v>
      </c>
      <c r="C15683" s="17" t="s">
        <v>71</v>
      </c>
      <c r="D15683" t="s">
        <v>24904</v>
      </c>
      <c r="F15683" t="s">
        <v>24416</v>
      </c>
      <c r="K15683" s="18">
        <f>6281908192999</f>
        <v>6281908192999</v>
      </c>
      <c r="N15683" s="17" t="s">
        <v>77</v>
      </c>
      <c r="V15683" s="18">
        <f>6281908192999</f>
        <v>6281908192999</v>
      </c>
    </row>
    <row r="15684" ht="15" customHeight="1" spans="1:22" x14ac:dyDescent="0.25">
      <c r="A15684" s="17" t="s">
        <v>42206</v>
      </c>
      <c r="B15684" s="17" t="s">
        <v>70</v>
      </c>
      <c r="C15684" s="17" t="s">
        <v>71</v>
      </c>
      <c r="D15684" t="s">
        <v>24904</v>
      </c>
      <c r="F15684" t="s">
        <v>42207</v>
      </c>
      <c r="K15684" s="18">
        <f>622157930434</f>
        <v>622157930434</v>
      </c>
      <c r="N15684" s="17" t="s">
        <v>77</v>
      </c>
      <c r="V15684" s="18">
        <f>622157930434</f>
        <v>622157930434</v>
      </c>
    </row>
    <row r="15685" ht="15" customHeight="1" spans="1:22" x14ac:dyDescent="0.25">
      <c r="A15685" s="17" t="s">
        <v>42208</v>
      </c>
      <c r="B15685" s="17" t="s">
        <v>70</v>
      </c>
      <c r="C15685" s="17" t="s">
        <v>71</v>
      </c>
      <c r="D15685" t="s">
        <v>24904</v>
      </c>
      <c r="F15685" t="s">
        <v>42209</v>
      </c>
      <c r="K15685" s="18">
        <f>62888580333</f>
        <v>62888580333</v>
      </c>
      <c r="N15685" s="17" t="s">
        <v>77</v>
      </c>
      <c r="V15685" s="18">
        <f>62888580333</f>
        <v>62888580333</v>
      </c>
    </row>
    <row r="15686" ht="15" customHeight="1" spans="1:23" x14ac:dyDescent="0.25">
      <c r="A15686" s="17" t="s">
        <v>42210</v>
      </c>
      <c r="B15686" s="17" t="s">
        <v>70</v>
      </c>
      <c r="C15686" s="17" t="s">
        <v>71</v>
      </c>
      <c r="D15686" t="s">
        <v>24904</v>
      </c>
      <c r="F15686" t="s">
        <v>9888</v>
      </c>
      <c r="K15686" s="18">
        <f>6281288481786</f>
        <v>6281288481786</v>
      </c>
      <c r="N15686" s="17" t="s">
        <v>81</v>
      </c>
      <c r="U15686" s="17"/>
      <c r="V15686" s="18">
        <f>6281288481786</f>
        <v>6281288481786</v>
      </c>
      <c r="W15686" t="s">
        <v>42211</v>
      </c>
    </row>
    <row r="15687" ht="15" customHeight="1" spans="1:22" x14ac:dyDescent="0.25">
      <c r="A15687" s="17" t="s">
        <v>42212</v>
      </c>
      <c r="B15687" s="17" t="s">
        <v>70</v>
      </c>
      <c r="C15687" s="17" t="s">
        <v>71</v>
      </c>
      <c r="D15687" t="s">
        <v>24904</v>
      </c>
      <c r="F15687" t="s">
        <v>618</v>
      </c>
      <c r="K15687" s="18">
        <f>6282114000888</f>
        <v>6282114000888</v>
      </c>
      <c r="N15687" s="17" t="s">
        <v>81</v>
      </c>
      <c r="V15687" s="18">
        <f>6282114000888</f>
        <v>6282114000888</v>
      </c>
    </row>
    <row r="15688" ht="15" customHeight="1" spans="1:22" x14ac:dyDescent="0.25">
      <c r="A15688" s="17" t="s">
        <v>42213</v>
      </c>
      <c r="B15688" s="17" t="s">
        <v>70</v>
      </c>
      <c r="C15688" s="17" t="s">
        <v>71</v>
      </c>
      <c r="D15688" t="s">
        <v>24904</v>
      </c>
      <c r="F15688" t="s">
        <v>9647</v>
      </c>
      <c r="K15688" s="18">
        <f>62816940300</f>
        <v>62816940300</v>
      </c>
      <c r="N15688" s="17" t="s">
        <v>81</v>
      </c>
      <c r="V15688" s="18">
        <f>62816940300</f>
        <v>62816940300</v>
      </c>
    </row>
    <row r="15689" ht="15" customHeight="1" spans="1:22" x14ac:dyDescent="0.25">
      <c r="A15689" s="17" t="s">
        <v>42214</v>
      </c>
      <c r="B15689" s="17" t="s">
        <v>70</v>
      </c>
      <c r="C15689" s="17" t="s">
        <v>71</v>
      </c>
      <c r="D15689" t="s">
        <v>24904</v>
      </c>
      <c r="F15689" t="s">
        <v>1066</v>
      </c>
      <c r="J15689" s="17" t="s">
        <v>42215</v>
      </c>
      <c r="K15689" s="18">
        <f>628568709888</f>
        <v>628568709888</v>
      </c>
      <c r="N15689" s="17" t="s">
        <v>77</v>
      </c>
      <c r="V15689" s="18">
        <f>628568709888</f>
        <v>628568709888</v>
      </c>
    </row>
    <row r="15690" ht="15" customHeight="1" spans="1:27" x14ac:dyDescent="0.25">
      <c r="A15690" s="17" t="s">
        <v>42216</v>
      </c>
      <c r="B15690" s="17" t="s">
        <v>70</v>
      </c>
      <c r="C15690" s="17" t="s">
        <v>71</v>
      </c>
      <c r="D15690" t="s">
        <v>24904</v>
      </c>
      <c r="F15690" t="s">
        <v>42217</v>
      </c>
      <c r="K15690" s="18">
        <f>62811521121</f>
        <v>62811521121</v>
      </c>
      <c r="N15690" s="17" t="s">
        <v>74</v>
      </c>
      <c r="U15690" s="17"/>
      <c r="V15690" s="18">
        <f>62811521121</f>
        <v>62811521121</v>
      </c>
      <c r="W15690" t="s">
        <v>42218</v>
      </c>
      <c r="Y15690" s="17" t="s">
        <v>626</v>
      </c>
      <c r="AA15690" s="17" t="s">
        <v>42219</v>
      </c>
    </row>
    <row r="15691" ht="15" customHeight="1" spans="1:28" x14ac:dyDescent="0.25">
      <c r="A15691" s="17" t="s">
        <v>42220</v>
      </c>
      <c r="B15691" s="17" t="s">
        <v>70</v>
      </c>
      <c r="C15691" s="17" t="s">
        <v>71</v>
      </c>
      <c r="D15691" t="s">
        <v>24904</v>
      </c>
      <c r="F15691" t="s">
        <v>42221</v>
      </c>
      <c r="J15691" s="17" t="s">
        <v>42222</v>
      </c>
      <c r="K15691" s="18" t="s">
        <v>42223</v>
      </c>
      <c r="N15691" s="17" t="s">
        <v>77</v>
      </c>
      <c r="O15691" t="s">
        <v>199</v>
      </c>
      <c r="U15691" s="17"/>
      <c r="V15691" s="18" t="s">
        <v>42223</v>
      </c>
      <c r="W15691" t="s">
        <v>42224</v>
      </c>
      <c r="Y15691" t="s">
        <v>190</v>
      </c>
      <c r="AA15691" t="s">
        <v>118</v>
      </c>
      <c r="AB15691" t="s">
        <v>119</v>
      </c>
    </row>
    <row r="15692" ht="15" customHeight="1" spans="1:22" x14ac:dyDescent="0.25">
      <c r="A15692" s="17" t="s">
        <v>42225</v>
      </c>
      <c r="B15692" s="17" t="s">
        <v>70</v>
      </c>
      <c r="C15692" s="17" t="s">
        <v>71</v>
      </c>
      <c r="D15692" t="s">
        <v>24904</v>
      </c>
      <c r="F15692" t="s">
        <v>669</v>
      </c>
      <c r="K15692" s="18">
        <f>628111230624</f>
        <v>628111230624</v>
      </c>
      <c r="N15692" s="17" t="s">
        <v>81</v>
      </c>
      <c r="V15692" s="18">
        <f>628111230624</f>
        <v>628111230624</v>
      </c>
    </row>
    <row r="15693" ht="15" customHeight="1" spans="1:22" x14ac:dyDescent="0.25">
      <c r="A15693" s="17" t="s">
        <v>42226</v>
      </c>
      <c r="B15693" s="17" t="s">
        <v>70</v>
      </c>
      <c r="C15693" s="17" t="s">
        <v>71</v>
      </c>
      <c r="D15693" t="s">
        <v>24904</v>
      </c>
      <c r="F15693" t="s">
        <v>39315</v>
      </c>
      <c r="K15693" s="18">
        <f>62811806305</f>
        <v>62811806305</v>
      </c>
      <c r="N15693" s="17" t="s">
        <v>81</v>
      </c>
      <c r="V15693" s="18">
        <f>62811806305</f>
        <v>62811806305</v>
      </c>
    </row>
    <row r="15694" ht="15" customHeight="1" spans="1:22" x14ac:dyDescent="0.25">
      <c r="A15694" s="17" t="s">
        <v>42227</v>
      </c>
      <c r="B15694" s="17" t="s">
        <v>70</v>
      </c>
      <c r="C15694" s="17" t="s">
        <v>71</v>
      </c>
      <c r="D15694" t="s">
        <v>24904</v>
      </c>
      <c r="F15694" t="s">
        <v>42228</v>
      </c>
      <c r="K15694" s="18">
        <f>62811432475</f>
        <v>62811432475</v>
      </c>
      <c r="N15694" s="17" t="s">
        <v>77</v>
      </c>
      <c r="V15694" s="18">
        <f>62811432475</f>
        <v>62811432475</v>
      </c>
    </row>
    <row r="15695" ht="15" customHeight="1" spans="1:22" x14ac:dyDescent="0.25">
      <c r="A15695" s="17" t="s">
        <v>42229</v>
      </c>
      <c r="B15695" s="17" t="s">
        <v>70</v>
      </c>
      <c r="C15695" s="17" t="s">
        <v>71</v>
      </c>
      <c r="D15695" t="s">
        <v>24904</v>
      </c>
      <c r="F15695" t="s">
        <v>20232</v>
      </c>
      <c r="K15695" s="18">
        <f>62814702998</f>
        <v>62814702998</v>
      </c>
      <c r="N15695" s="17" t="s">
        <v>81</v>
      </c>
      <c r="V15695" s="18">
        <f>62814702998</f>
        <v>62814702998</v>
      </c>
    </row>
    <row r="15696" ht="15" customHeight="1" spans="1:22" x14ac:dyDescent="0.25">
      <c r="A15696" s="17" t="s">
        <v>42230</v>
      </c>
      <c r="B15696" s="17" t="s">
        <v>70</v>
      </c>
      <c r="C15696" s="17" t="s">
        <v>71</v>
      </c>
      <c r="D15696" t="s">
        <v>24904</v>
      </c>
      <c r="F15696" t="s">
        <v>686</v>
      </c>
      <c r="K15696" s="18">
        <f>6282190909018</f>
        <v>6282190909018</v>
      </c>
      <c r="N15696" s="17" t="s">
        <v>81</v>
      </c>
      <c r="V15696" s="18">
        <f>6282190909018</f>
        <v>6282190909018</v>
      </c>
    </row>
    <row r="15697" ht="15" customHeight="1" spans="1:25" x14ac:dyDescent="0.25">
      <c r="A15697" s="17" t="s">
        <v>42231</v>
      </c>
      <c r="B15697" s="17" t="s">
        <v>70</v>
      </c>
      <c r="C15697" s="17" t="s">
        <v>71</v>
      </c>
      <c r="D15697" t="s">
        <v>24904</v>
      </c>
      <c r="F15697" t="s">
        <v>517</v>
      </c>
      <c r="J15697" s="17" t="s">
        <v>42232</v>
      </c>
      <c r="K15697" s="18">
        <f>6285714711978</f>
        <v>6285714711978</v>
      </c>
      <c r="N15697" s="17" t="s">
        <v>77</v>
      </c>
      <c r="U15697" s="17"/>
      <c r="V15697" s="18">
        <f>6285714711978</f>
        <v>6285714711978</v>
      </c>
      <c r="W15697" t="s">
        <v>42233</v>
      </c>
      <c r="Y15697" s="17" t="s">
        <v>41552</v>
      </c>
    </row>
    <row r="15698" ht="15" customHeight="1" spans="1:22" x14ac:dyDescent="0.25">
      <c r="A15698" s="17" t="s">
        <v>42234</v>
      </c>
      <c r="B15698" s="17" t="s">
        <v>70</v>
      </c>
      <c r="C15698" s="17" t="s">
        <v>71</v>
      </c>
      <c r="D15698" t="s">
        <v>42235</v>
      </c>
      <c r="F15698" t="s">
        <v>42235</v>
      </c>
      <c r="K15698" s="18">
        <f>6281311592327</f>
        <v>6281311592327</v>
      </c>
      <c r="N15698" s="17" t="s">
        <v>77</v>
      </c>
      <c r="V15698" s="18">
        <f>6281311592327</f>
        <v>6281311592327</v>
      </c>
    </row>
    <row r="15699" ht="15" customHeight="1" spans="1:22" x14ac:dyDescent="0.25">
      <c r="A15699" s="17" t="s">
        <v>42236</v>
      </c>
      <c r="B15699" s="17" t="s">
        <v>70</v>
      </c>
      <c r="C15699" s="17" t="s">
        <v>71</v>
      </c>
      <c r="D15699" t="s">
        <v>42237</v>
      </c>
      <c r="F15699" t="s">
        <v>42237</v>
      </c>
      <c r="K15699" s="18">
        <f>62816803349</f>
        <v>62816803349</v>
      </c>
      <c r="N15699" s="17" t="s">
        <v>77</v>
      </c>
      <c r="V15699" s="18">
        <f>62816803349</f>
        <v>62816803349</v>
      </c>
    </row>
    <row r="15700" ht="15" customHeight="1" spans="1:28" x14ac:dyDescent="0.25">
      <c r="A15700" s="17" t="s">
        <v>42238</v>
      </c>
      <c r="B15700" s="17" t="s">
        <v>70</v>
      </c>
      <c r="C15700" s="17" t="s">
        <v>71</v>
      </c>
      <c r="D15700" t="s">
        <v>27283</v>
      </c>
      <c r="F15700" t="s">
        <v>3991</v>
      </c>
      <c r="J15700" t="s">
        <v>115</v>
      </c>
      <c r="K15700" s="18" t="s">
        <v>42239</v>
      </c>
      <c r="N15700" s="17" t="s">
        <v>77</v>
      </c>
      <c r="O15700" t="s">
        <v>145</v>
      </c>
      <c r="V15700" s="18" t="s">
        <v>42239</v>
      </c>
      <c r="Y15700" t="s">
        <v>115</v>
      </c>
      <c r="AA15700" t="s">
        <v>115</v>
      </c>
      <c r="AB15700" t="s">
        <v>119</v>
      </c>
    </row>
    <row r="15701" ht="15" customHeight="1" spans="1:22" x14ac:dyDescent="0.25">
      <c r="A15701" s="17" t="s">
        <v>42240</v>
      </c>
      <c r="B15701" s="17" t="s">
        <v>70</v>
      </c>
      <c r="C15701" s="17" t="s">
        <v>71</v>
      </c>
      <c r="D15701" t="s">
        <v>42241</v>
      </c>
      <c r="F15701" t="s">
        <v>42241</v>
      </c>
      <c r="K15701" s="18">
        <f>6281519110112</f>
        <v>6281519110112</v>
      </c>
      <c r="N15701" s="17" t="s">
        <v>77</v>
      </c>
      <c r="V15701" s="18">
        <f>6281519110112</f>
        <v>6281519110112</v>
      </c>
    </row>
    <row r="15702" ht="15" customHeight="1" spans="1:22" x14ac:dyDescent="0.25">
      <c r="A15702" s="17" t="s">
        <v>42242</v>
      </c>
      <c r="B15702" s="17" t="s">
        <v>70</v>
      </c>
      <c r="C15702" s="17" t="s">
        <v>71</v>
      </c>
      <c r="D15702" t="s">
        <v>42243</v>
      </c>
      <c r="F15702" t="s">
        <v>42243</v>
      </c>
      <c r="K15702" s="18">
        <f>628114107183</f>
        <v>628114107183</v>
      </c>
      <c r="N15702" s="17" t="s">
        <v>74</v>
      </c>
      <c r="V15702" s="18">
        <f>628114107183</f>
        <v>628114107183</v>
      </c>
    </row>
    <row r="15703" ht="15" customHeight="1" spans="1:22" x14ac:dyDescent="0.25">
      <c r="A15703" s="17" t="s">
        <v>42244</v>
      </c>
      <c r="B15703" s="17" t="s">
        <v>70</v>
      </c>
      <c r="C15703" s="17" t="s">
        <v>71</v>
      </c>
      <c r="D15703" t="s">
        <v>6890</v>
      </c>
      <c r="F15703" t="s">
        <v>6890</v>
      </c>
      <c r="K15703" s="18">
        <f>6281387878797</f>
        <v>6281387878797</v>
      </c>
      <c r="N15703" s="17" t="s">
        <v>81</v>
      </c>
      <c r="V15703" s="18">
        <f>6281387878797</f>
        <v>6281387878797</v>
      </c>
    </row>
    <row r="15704" ht="15" customHeight="1" spans="1:22" x14ac:dyDescent="0.25">
      <c r="A15704" s="17" t="s">
        <v>42245</v>
      </c>
      <c r="B15704" s="17" t="s">
        <v>70</v>
      </c>
      <c r="C15704" s="17" t="s">
        <v>71</v>
      </c>
      <c r="D15704" t="s">
        <v>6890</v>
      </c>
      <c r="F15704" t="s">
        <v>6890</v>
      </c>
      <c r="K15704" s="18">
        <f>6281232012320</f>
        <v>6281232012320</v>
      </c>
      <c r="N15704" s="17" t="s">
        <v>81</v>
      </c>
      <c r="V15704" s="18">
        <f>6281232012320</f>
        <v>6281232012320</v>
      </c>
    </row>
    <row r="15705" ht="15" customHeight="1" spans="1:22" x14ac:dyDescent="0.25">
      <c r="A15705" s="17" t="s">
        <v>42246</v>
      </c>
      <c r="B15705" s="17" t="s">
        <v>70</v>
      </c>
      <c r="C15705" s="17" t="s">
        <v>71</v>
      </c>
      <c r="D15705" t="s">
        <v>6890</v>
      </c>
      <c r="F15705" t="s">
        <v>6890</v>
      </c>
      <c r="K15705" s="18">
        <f>628118178866</f>
        <v>628118178866</v>
      </c>
      <c r="N15705" s="17" t="s">
        <v>77</v>
      </c>
      <c r="V15705" s="18">
        <f>628118178866</f>
        <v>628118178866</v>
      </c>
    </row>
    <row r="15706" ht="15" customHeight="1" spans="1:28" x14ac:dyDescent="0.25">
      <c r="A15706" s="17" t="s">
        <v>42247</v>
      </c>
      <c r="B15706" s="17" t="s">
        <v>70</v>
      </c>
      <c r="C15706" s="17" t="s">
        <v>71</v>
      </c>
      <c r="D15706" t="s">
        <v>6890</v>
      </c>
      <c r="F15706" t="s">
        <v>618</v>
      </c>
      <c r="J15706" t="s">
        <v>115</v>
      </c>
      <c r="K15706" s="18" t="s">
        <v>42248</v>
      </c>
      <c r="N15706" s="17" t="s">
        <v>77</v>
      </c>
      <c r="O15706" t="s">
        <v>261</v>
      </c>
      <c r="U15706" s="17"/>
      <c r="V15706" s="18" t="s">
        <v>42248</v>
      </c>
      <c r="W15706" t="s">
        <v>42249</v>
      </c>
      <c r="Y15706" s="17" t="s">
        <v>90</v>
      </c>
      <c r="AA15706" t="s">
        <v>118</v>
      </c>
      <c r="AB15706" t="s">
        <v>119</v>
      </c>
    </row>
    <row r="15707" ht="15" customHeight="1" spans="1:25" x14ac:dyDescent="0.25">
      <c r="A15707" s="17" t="s">
        <v>42250</v>
      </c>
      <c r="B15707" s="17" t="s">
        <v>70</v>
      </c>
      <c r="C15707" s="17" t="s">
        <v>71</v>
      </c>
      <c r="D15707" t="s">
        <v>6890</v>
      </c>
      <c r="F15707" t="s">
        <v>11240</v>
      </c>
      <c r="K15707" s="18">
        <f>6281219755731</f>
        <v>6281219755731</v>
      </c>
      <c r="N15707" s="17" t="s">
        <v>77</v>
      </c>
      <c r="U15707" s="17"/>
      <c r="V15707" s="18">
        <f>6281219755731</f>
        <v>6281219755731</v>
      </c>
      <c r="W15707" t="s">
        <v>42251</v>
      </c>
      <c r="Y15707" s="17" t="s">
        <v>90</v>
      </c>
    </row>
    <row r="15708" ht="15" customHeight="1" spans="1:23" x14ac:dyDescent="0.25">
      <c r="A15708" s="17" t="s">
        <v>42252</v>
      </c>
      <c r="B15708" s="17" t="s">
        <v>70</v>
      </c>
      <c r="C15708" s="17" t="s">
        <v>71</v>
      </c>
      <c r="D15708" t="s">
        <v>6890</v>
      </c>
      <c r="F15708" t="s">
        <v>42253</v>
      </c>
      <c r="K15708" s="18">
        <f>6287877000898</f>
        <v>6287877000898</v>
      </c>
      <c r="N15708" s="17" t="s">
        <v>77</v>
      </c>
      <c r="U15708" s="17"/>
      <c r="V15708" s="18">
        <f>6287877000898</f>
        <v>6287877000898</v>
      </c>
      <c r="W15708" t="s">
        <v>90</v>
      </c>
    </row>
    <row r="15709" ht="15" customHeight="1" spans="1:23" x14ac:dyDescent="0.25">
      <c r="A15709" s="17" t="s">
        <v>42254</v>
      </c>
      <c r="B15709" s="17" t="s">
        <v>70</v>
      </c>
      <c r="C15709" s="17" t="s">
        <v>71</v>
      </c>
      <c r="D15709" t="s">
        <v>42255</v>
      </c>
      <c r="F15709" t="s">
        <v>42255</v>
      </c>
      <c r="K15709" s="18">
        <f>6281990623311</f>
        <v>6281990623311</v>
      </c>
      <c r="N15709" s="17" t="s">
        <v>74</v>
      </c>
      <c r="U15709" s="17"/>
      <c r="V15709" s="18">
        <f>6281990623311</f>
        <v>6281990623311</v>
      </c>
      <c r="W15709" t="s">
        <v>42256</v>
      </c>
    </row>
    <row r="15710" ht="15" customHeight="1" spans="1:22" x14ac:dyDescent="0.25">
      <c r="A15710" s="17" t="s">
        <v>42257</v>
      </c>
      <c r="B15710" s="17" t="s">
        <v>70</v>
      </c>
      <c r="C15710" s="17" t="s">
        <v>71</v>
      </c>
      <c r="D15710" t="s">
        <v>42258</v>
      </c>
      <c r="F15710" t="s">
        <v>42258</v>
      </c>
      <c r="K15710" s="18">
        <f>6285880690707</f>
        <v>6285880690707</v>
      </c>
      <c r="N15710" s="17" t="s">
        <v>77</v>
      </c>
      <c r="V15710" s="18">
        <f>6285880690707</f>
        <v>6285880690707</v>
      </c>
    </row>
    <row r="15711" ht="15" customHeight="1" spans="1:22" x14ac:dyDescent="0.25">
      <c r="A15711" s="17" t="s">
        <v>42259</v>
      </c>
      <c r="B15711" s="17" t="s">
        <v>70</v>
      </c>
      <c r="C15711" s="17" t="s">
        <v>71</v>
      </c>
      <c r="D15711" t="s">
        <v>42260</v>
      </c>
      <c r="F15711" t="s">
        <v>42260</v>
      </c>
      <c r="K15711" s="18">
        <f>62811182938</f>
        <v>62811182938</v>
      </c>
      <c r="N15711" s="17" t="s">
        <v>81</v>
      </c>
      <c r="V15711" s="18">
        <f>62811182938</f>
        <v>62811182938</v>
      </c>
    </row>
    <row r="15712" ht="15" customHeight="1" spans="1:22" x14ac:dyDescent="0.25">
      <c r="A15712" s="17" t="s">
        <v>42261</v>
      </c>
      <c r="B15712" s="17" t="s">
        <v>70</v>
      </c>
      <c r="C15712" s="17" t="s">
        <v>71</v>
      </c>
      <c r="D15712" t="s">
        <v>42260</v>
      </c>
      <c r="F15712" t="s">
        <v>18006</v>
      </c>
      <c r="K15712" s="18">
        <f>62811821597</f>
        <v>62811821597</v>
      </c>
      <c r="N15712" s="17" t="s">
        <v>77</v>
      </c>
      <c r="V15712" s="18">
        <f>62811821597</f>
        <v>62811821597</v>
      </c>
    </row>
    <row r="15713" ht="15" customHeight="1" spans="1:22" x14ac:dyDescent="0.25">
      <c r="A15713" s="17" t="s">
        <v>42262</v>
      </c>
      <c r="B15713" s="17" t="s">
        <v>70</v>
      </c>
      <c r="C15713" s="17" t="s">
        <v>71</v>
      </c>
      <c r="D15713" t="s">
        <v>5744</v>
      </c>
      <c r="F15713" t="s">
        <v>5744</v>
      </c>
      <c r="K15713" s="18">
        <f>628159558005</f>
        <v>628159558005</v>
      </c>
      <c r="N15713" s="17" t="s">
        <v>81</v>
      </c>
      <c r="V15713" s="18">
        <f>628159558005</f>
        <v>628159558005</v>
      </c>
    </row>
    <row r="15714" ht="15" customHeight="1" spans="1:28" x14ac:dyDescent="0.25">
      <c r="A15714" s="17" t="s">
        <v>42263</v>
      </c>
      <c r="B15714" s="17" t="s">
        <v>70</v>
      </c>
      <c r="C15714" s="17" t="s">
        <v>71</v>
      </c>
      <c r="D15714" t="s">
        <v>5744</v>
      </c>
      <c r="F15714" t="s">
        <v>5744</v>
      </c>
      <c r="J15714" t="s">
        <v>115</v>
      </c>
      <c r="K15714" s="18" t="s">
        <v>42264</v>
      </c>
      <c r="N15714" s="17" t="s">
        <v>77</v>
      </c>
      <c r="O15714" t="s">
        <v>117</v>
      </c>
      <c r="U15714" s="17"/>
      <c r="V15714" s="18" t="s">
        <v>42264</v>
      </c>
      <c r="W15714" t="s">
        <v>42265</v>
      </c>
      <c r="Y15714" s="17" t="s">
        <v>190</v>
      </c>
      <c r="AA15714" t="s">
        <v>118</v>
      </c>
      <c r="AB15714" t="s">
        <v>119</v>
      </c>
    </row>
    <row r="15715" ht="15" customHeight="1" spans="1:28" x14ac:dyDescent="0.25">
      <c r="A15715" s="17" t="s">
        <v>42266</v>
      </c>
      <c r="B15715" s="17" t="s">
        <v>70</v>
      </c>
      <c r="C15715" s="17" t="s">
        <v>71</v>
      </c>
      <c r="D15715" t="s">
        <v>5744</v>
      </c>
      <c r="F15715" t="s">
        <v>31897</v>
      </c>
      <c r="J15715" t="s">
        <v>42267</v>
      </c>
      <c r="K15715" s="18" t="s">
        <v>42268</v>
      </c>
      <c r="N15715" s="17" t="s">
        <v>77</v>
      </c>
      <c r="O15715" t="s">
        <v>199</v>
      </c>
      <c r="U15715" s="17"/>
      <c r="V15715" s="18" t="s">
        <v>42268</v>
      </c>
      <c r="W15715" t="s">
        <v>5003</v>
      </c>
      <c r="Y15715" t="s">
        <v>190</v>
      </c>
      <c r="AA15715" t="s">
        <v>118</v>
      </c>
      <c r="AB15715" t="s">
        <v>119</v>
      </c>
    </row>
    <row r="15716" ht="15" customHeight="1" spans="1:22" x14ac:dyDescent="0.25">
      <c r="A15716" s="17" t="s">
        <v>42269</v>
      </c>
      <c r="B15716" s="17" t="s">
        <v>70</v>
      </c>
      <c r="C15716" s="17" t="s">
        <v>71</v>
      </c>
      <c r="D15716" t="s">
        <v>5744</v>
      </c>
      <c r="F15716" t="s">
        <v>42270</v>
      </c>
      <c r="K15716" s="18">
        <f>62816983329</f>
        <v>62816983329</v>
      </c>
      <c r="N15716" s="17" t="s">
        <v>77</v>
      </c>
      <c r="V15716" s="18">
        <f>62816983329</f>
        <v>62816983329</v>
      </c>
    </row>
    <row r="15717" ht="15" customHeight="1" spans="1:22" x14ac:dyDescent="0.25">
      <c r="A15717" s="17" t="s">
        <v>42271</v>
      </c>
      <c r="B15717" s="17" t="s">
        <v>70</v>
      </c>
      <c r="C15717" s="17" t="s">
        <v>71</v>
      </c>
      <c r="D15717" t="s">
        <v>5744</v>
      </c>
      <c r="F15717" t="s">
        <v>3176</v>
      </c>
      <c r="K15717" s="18">
        <f>628121217475</f>
        <v>628121217475</v>
      </c>
      <c r="N15717" s="17" t="s">
        <v>81</v>
      </c>
      <c r="V15717" s="18">
        <f>628121217475</f>
        <v>628121217475</v>
      </c>
    </row>
    <row r="15718" ht="15" customHeight="1" spans="1:28" x14ac:dyDescent="0.25">
      <c r="A15718" s="17" t="s">
        <v>42272</v>
      </c>
      <c r="B15718" s="17" t="s">
        <v>70</v>
      </c>
      <c r="C15718" s="17" t="s">
        <v>71</v>
      </c>
      <c r="D15718" t="s">
        <v>5744</v>
      </c>
      <c r="F15718" t="s">
        <v>42273</v>
      </c>
      <c r="J15718" s="17" t="s">
        <v>42274</v>
      </c>
      <c r="K15718" s="18" t="s">
        <v>42275</v>
      </c>
      <c r="N15718" s="17" t="s">
        <v>77</v>
      </c>
      <c r="O15718" t="s">
        <v>145</v>
      </c>
      <c r="U15718" s="17"/>
      <c r="V15718" s="18" t="s">
        <v>42275</v>
      </c>
      <c r="W15718" t="s">
        <v>5003</v>
      </c>
      <c r="Y15718" t="s">
        <v>190</v>
      </c>
      <c r="AA15718" t="s">
        <v>118</v>
      </c>
      <c r="AB15718" t="s">
        <v>119</v>
      </c>
    </row>
    <row r="15719" ht="15" customHeight="1" spans="1:22" x14ac:dyDescent="0.25">
      <c r="A15719" s="17" t="s">
        <v>42276</v>
      </c>
      <c r="B15719" s="17" t="s">
        <v>70</v>
      </c>
      <c r="C15719" s="17" t="s">
        <v>71</v>
      </c>
      <c r="D15719" t="s">
        <v>5744</v>
      </c>
      <c r="F15719" t="s">
        <v>38112</v>
      </c>
      <c r="K15719" s="18">
        <v>8111460210</v>
      </c>
      <c r="N15719" s="17" t="s">
        <v>81</v>
      </c>
      <c r="V15719" s="18">
        <v>8111460210</v>
      </c>
    </row>
    <row r="15720" ht="15" customHeight="1" spans="1:23" x14ac:dyDescent="0.25">
      <c r="A15720" s="17" t="s">
        <v>42277</v>
      </c>
      <c r="B15720" s="17" t="s">
        <v>70</v>
      </c>
      <c r="C15720" s="17" t="s">
        <v>71</v>
      </c>
      <c r="D15720" t="s">
        <v>5744</v>
      </c>
      <c r="F15720" t="s">
        <v>2586</v>
      </c>
      <c r="K15720" s="18">
        <f>6281383069053</f>
        <v>6281383069053</v>
      </c>
      <c r="N15720" s="17" t="s">
        <v>77</v>
      </c>
      <c r="U15720" s="17"/>
      <c r="V15720" s="18">
        <f>6281383069053</f>
        <v>6281383069053</v>
      </c>
      <c r="W15720" t="s">
        <v>42278</v>
      </c>
    </row>
    <row r="15721" ht="15" customHeight="1" spans="1:28" x14ac:dyDescent="0.25">
      <c r="A15721" s="17" t="s">
        <v>42279</v>
      </c>
      <c r="B15721" s="17" t="s">
        <v>70</v>
      </c>
      <c r="C15721" s="17" t="s">
        <v>71</v>
      </c>
      <c r="D15721" t="s">
        <v>42280</v>
      </c>
      <c r="F15721" t="s">
        <v>42280</v>
      </c>
      <c r="J15721" s="17" t="s">
        <v>11509</v>
      </c>
      <c r="K15721" s="18" t="s">
        <v>42281</v>
      </c>
      <c r="N15721" s="17" t="s">
        <v>77</v>
      </c>
      <c r="O15721" t="s">
        <v>145</v>
      </c>
      <c r="U15721" s="17"/>
      <c r="V15721" s="18" t="s">
        <v>42281</v>
      </c>
      <c r="W15721" t="s">
        <v>42282</v>
      </c>
      <c r="Y15721" t="s">
        <v>90</v>
      </c>
      <c r="AA15721" t="s">
        <v>118</v>
      </c>
      <c r="AB15721" t="s">
        <v>119</v>
      </c>
    </row>
    <row r="15722" ht="15" customHeight="1" spans="1:27" x14ac:dyDescent="0.25">
      <c r="A15722" s="17" t="s">
        <v>42283</v>
      </c>
      <c r="B15722" s="17" t="s">
        <v>70</v>
      </c>
      <c r="C15722" s="17" t="s">
        <v>71</v>
      </c>
      <c r="D15722" t="s">
        <v>6173</v>
      </c>
      <c r="F15722" t="s">
        <v>7153</v>
      </c>
      <c r="J15722" s="17" t="s">
        <v>42284</v>
      </c>
      <c r="K15722" s="18">
        <f>6281286919191</f>
        <v>6281286919191</v>
      </c>
      <c r="N15722" s="17" t="s">
        <v>77</v>
      </c>
      <c r="U15722" s="17"/>
      <c r="V15722" s="18">
        <f>6281286919191</f>
        <v>6281286919191</v>
      </c>
      <c r="W15722" t="s">
        <v>42285</v>
      </c>
      <c r="Y15722" s="17" t="s">
        <v>626</v>
      </c>
      <c r="AA15722" s="17">
        <v>11610</v>
      </c>
    </row>
    <row r="15723" ht="15" customHeight="1" spans="1:28" x14ac:dyDescent="0.25">
      <c r="A15723" s="17" t="s">
        <v>42286</v>
      </c>
      <c r="B15723" s="17" t="s">
        <v>70</v>
      </c>
      <c r="C15723" s="17" t="s">
        <v>71</v>
      </c>
      <c r="D15723" t="s">
        <v>42287</v>
      </c>
      <c r="F15723" t="s">
        <v>42288</v>
      </c>
      <c r="J15723" t="s">
        <v>42289</v>
      </c>
      <c r="K15723" s="18" t="s">
        <v>42290</v>
      </c>
      <c r="N15723" s="17" t="s">
        <v>74</v>
      </c>
      <c r="O15723" t="s">
        <v>199</v>
      </c>
      <c r="V15723" s="18" t="s">
        <v>42290</v>
      </c>
      <c r="Y15723" t="s">
        <v>190</v>
      </c>
      <c r="AA15723" t="s">
        <v>118</v>
      </c>
      <c r="AB15723" t="s">
        <v>119</v>
      </c>
    </row>
    <row r="15724" ht="15" customHeight="1" spans="1:22" x14ac:dyDescent="0.25">
      <c r="A15724" s="17" t="s">
        <v>42291</v>
      </c>
      <c r="B15724" s="17" t="s">
        <v>70</v>
      </c>
      <c r="C15724" s="17" t="s">
        <v>71</v>
      </c>
      <c r="D15724" t="s">
        <v>42292</v>
      </c>
      <c r="F15724" t="s">
        <v>42292</v>
      </c>
      <c r="K15724" s="18">
        <f>62811898975</f>
        <v>62811898975</v>
      </c>
      <c r="N15724" s="17" t="s">
        <v>81</v>
      </c>
      <c r="V15724" s="18">
        <f>62811898975</f>
        <v>62811898975</v>
      </c>
    </row>
    <row r="15725" ht="15" customHeight="1" spans="1:22" x14ac:dyDescent="0.25">
      <c r="A15725" s="17" t="s">
        <v>42293</v>
      </c>
      <c r="B15725" s="17" t="s">
        <v>70</v>
      </c>
      <c r="C15725" s="17" t="s">
        <v>71</v>
      </c>
      <c r="D15725" t="s">
        <v>8877</v>
      </c>
      <c r="F15725" t="s">
        <v>42294</v>
      </c>
      <c r="K15725" s="18">
        <f>62811914378</f>
        <v>62811914378</v>
      </c>
      <c r="N15725" s="17" t="s">
        <v>81</v>
      </c>
      <c r="V15725" s="18">
        <f>62811914378</f>
        <v>62811914378</v>
      </c>
    </row>
    <row r="15726" ht="15" customHeight="1" spans="1:23" x14ac:dyDescent="0.25">
      <c r="A15726" s="17" t="s">
        <v>42295</v>
      </c>
      <c r="B15726" s="17" t="s">
        <v>70</v>
      </c>
      <c r="C15726" s="17" t="s">
        <v>71</v>
      </c>
      <c r="D15726" t="s">
        <v>42296</v>
      </c>
      <c r="F15726" t="s">
        <v>672</v>
      </c>
      <c r="J15726" s="17" t="s">
        <v>42297</v>
      </c>
      <c r="K15726" s="18">
        <f>628116155555</f>
        <v>628116155555</v>
      </c>
      <c r="N15726" s="17" t="s">
        <v>77</v>
      </c>
      <c r="U15726" s="17"/>
      <c r="V15726" s="18">
        <f>628116155555</f>
        <v>628116155555</v>
      </c>
      <c r="W15726" t="s">
        <v>42298</v>
      </c>
    </row>
    <row r="15727" ht="15" customHeight="1" spans="1:22" x14ac:dyDescent="0.25">
      <c r="A15727" s="17" t="s">
        <v>42299</v>
      </c>
      <c r="B15727" s="17" t="s">
        <v>70</v>
      </c>
      <c r="C15727" s="17" t="s">
        <v>71</v>
      </c>
      <c r="D15727" t="s">
        <v>42300</v>
      </c>
      <c r="F15727" t="s">
        <v>42300</v>
      </c>
      <c r="K15727" s="18">
        <f>6281290751366</f>
        <v>6281290751366</v>
      </c>
      <c r="N15727" s="17" t="s">
        <v>81</v>
      </c>
      <c r="V15727" s="18">
        <f>6281290751366</f>
        <v>6281290751366</v>
      </c>
    </row>
    <row r="15728" ht="15" customHeight="1" spans="1:28" x14ac:dyDescent="0.25">
      <c r="A15728" s="17" t="s">
        <v>42301</v>
      </c>
      <c r="B15728" s="17" t="s">
        <v>70</v>
      </c>
      <c r="C15728" s="17" t="s">
        <v>71</v>
      </c>
      <c r="D15728" t="s">
        <v>42300</v>
      </c>
      <c r="F15728" t="s">
        <v>42300</v>
      </c>
      <c r="J15728" t="s">
        <v>115</v>
      </c>
      <c r="K15728" s="18" t="s">
        <v>42302</v>
      </c>
      <c r="N15728" s="17" t="s">
        <v>74</v>
      </c>
      <c r="O15728" t="s">
        <v>117</v>
      </c>
      <c r="V15728" s="18" t="s">
        <v>42302</v>
      </c>
      <c r="Y15728" t="s">
        <v>190</v>
      </c>
      <c r="AA15728" t="s">
        <v>118</v>
      </c>
      <c r="AB15728" t="s">
        <v>119</v>
      </c>
    </row>
    <row r="15729" ht="15" customHeight="1" spans="1:28" x14ac:dyDescent="0.25">
      <c r="A15729" s="17" t="s">
        <v>42303</v>
      </c>
      <c r="B15729" s="17" t="s">
        <v>70</v>
      </c>
      <c r="C15729" s="17" t="s">
        <v>71</v>
      </c>
      <c r="D15729" t="s">
        <v>42300</v>
      </c>
      <c r="F15729" t="s">
        <v>9510</v>
      </c>
      <c r="J15729" t="s">
        <v>42304</v>
      </c>
      <c r="K15729" s="18" t="s">
        <v>42305</v>
      </c>
      <c r="N15729" s="17" t="s">
        <v>77</v>
      </c>
      <c r="O15729" t="s">
        <v>145</v>
      </c>
      <c r="V15729" s="18" t="s">
        <v>42305</v>
      </c>
      <c r="Y15729" t="s">
        <v>90</v>
      </c>
      <c r="AA15729" t="s">
        <v>118</v>
      </c>
      <c r="AB15729" t="s">
        <v>119</v>
      </c>
    </row>
    <row r="15730" ht="15" customHeight="1" spans="1:22" x14ac:dyDescent="0.25">
      <c r="A15730" s="17" t="s">
        <v>42306</v>
      </c>
      <c r="B15730" s="17" t="s">
        <v>70</v>
      </c>
      <c r="C15730" s="17" t="s">
        <v>71</v>
      </c>
      <c r="D15730" t="s">
        <v>42300</v>
      </c>
      <c r="F15730" t="s">
        <v>42307</v>
      </c>
      <c r="K15730" s="18">
        <f>62816843081</f>
        <v>62816843081</v>
      </c>
      <c r="N15730" s="17" t="s">
        <v>77</v>
      </c>
      <c r="V15730" s="18">
        <f>62816843081</f>
        <v>62816843081</v>
      </c>
    </row>
    <row r="15731" ht="15" customHeight="1" spans="1:25" x14ac:dyDescent="0.25">
      <c r="A15731" s="17" t="s">
        <v>42308</v>
      </c>
      <c r="B15731" s="17" t="s">
        <v>70</v>
      </c>
      <c r="C15731" s="17" t="s">
        <v>71</v>
      </c>
      <c r="D15731" t="s">
        <v>42300</v>
      </c>
      <c r="F15731" t="s">
        <v>12175</v>
      </c>
      <c r="K15731" s="18">
        <f>6281310979708</f>
        <v>6281310979708</v>
      </c>
      <c r="N15731" s="17" t="s">
        <v>81</v>
      </c>
      <c r="U15731" s="17"/>
      <c r="V15731" s="18">
        <f>6281310979708</f>
        <v>6281310979708</v>
      </c>
      <c r="W15731" t="s">
        <v>42309</v>
      </c>
      <c r="Y15731" s="17" t="s">
        <v>626</v>
      </c>
    </row>
    <row r="15732" ht="15" customHeight="1" spans="1:22" x14ac:dyDescent="0.25">
      <c r="A15732" s="17" t="s">
        <v>42310</v>
      </c>
      <c r="B15732" s="17" t="s">
        <v>70</v>
      </c>
      <c r="C15732" s="17" t="s">
        <v>71</v>
      </c>
      <c r="D15732" t="s">
        <v>42300</v>
      </c>
      <c r="F15732" t="s">
        <v>864</v>
      </c>
      <c r="K15732" s="18">
        <f>628111924479</f>
        <v>628111924479</v>
      </c>
      <c r="N15732" s="17" t="s">
        <v>81</v>
      </c>
      <c r="V15732" s="18">
        <f>628111924479</f>
        <v>628111924479</v>
      </c>
    </row>
    <row r="15733" ht="15" customHeight="1" spans="1:22" x14ac:dyDescent="0.25">
      <c r="A15733" s="17" t="s">
        <v>42311</v>
      </c>
      <c r="B15733" s="17" t="s">
        <v>70</v>
      </c>
      <c r="C15733" s="17" t="s">
        <v>71</v>
      </c>
      <c r="D15733" t="s">
        <v>42300</v>
      </c>
      <c r="F15733" t="s">
        <v>5545</v>
      </c>
      <c r="K15733" s="18">
        <f>6285558400418</f>
        <v>6285558400418</v>
      </c>
      <c r="N15733" s="17" t="s">
        <v>77</v>
      </c>
      <c r="V15733" s="18">
        <f>6285558400418</f>
        <v>6285558400418</v>
      </c>
    </row>
    <row r="15734" ht="15" customHeight="1" spans="1:22" x14ac:dyDescent="0.25">
      <c r="A15734" s="17" t="s">
        <v>42312</v>
      </c>
      <c r="B15734" s="17" t="s">
        <v>70</v>
      </c>
      <c r="C15734" s="17" t="s">
        <v>71</v>
      </c>
      <c r="D15734" t="s">
        <v>42300</v>
      </c>
      <c r="F15734" t="s">
        <v>1704</v>
      </c>
      <c r="K15734" s="18">
        <f>628170000979</f>
        <v>628170000979</v>
      </c>
      <c r="N15734" s="17" t="s">
        <v>77</v>
      </c>
      <c r="V15734" s="18">
        <f>628170000979</f>
        <v>628170000979</v>
      </c>
    </row>
    <row r="15735" ht="15" customHeight="1" spans="1:22" x14ac:dyDescent="0.25">
      <c r="A15735" s="17" t="s">
        <v>42313</v>
      </c>
      <c r="B15735" s="17" t="s">
        <v>70</v>
      </c>
      <c r="C15735" s="17" t="s">
        <v>71</v>
      </c>
      <c r="D15735" t="s">
        <v>42300</v>
      </c>
      <c r="F15735" t="s">
        <v>11765</v>
      </c>
      <c r="K15735" s="18">
        <f>6281314077885</f>
        <v>6281314077885</v>
      </c>
      <c r="N15735" s="17" t="s">
        <v>77</v>
      </c>
      <c r="V15735" s="18">
        <f>6281314077885</f>
        <v>6281314077885</v>
      </c>
    </row>
    <row r="15736" ht="15" customHeight="1" spans="1:22" x14ac:dyDescent="0.25">
      <c r="A15736" s="17" t="s">
        <v>42314</v>
      </c>
      <c r="B15736" s="17" t="s">
        <v>70</v>
      </c>
      <c r="C15736" s="17" t="s">
        <v>71</v>
      </c>
      <c r="D15736" t="s">
        <v>42300</v>
      </c>
      <c r="F15736" t="s">
        <v>42315</v>
      </c>
      <c r="K15736" s="18">
        <f>6281912355553</f>
        <v>6281912355553</v>
      </c>
      <c r="N15736" s="17" t="s">
        <v>74</v>
      </c>
      <c r="V15736" s="18">
        <f>6281912355553</f>
        <v>6281912355553</v>
      </c>
    </row>
    <row r="15737" ht="15" customHeight="1" spans="1:22" x14ac:dyDescent="0.25">
      <c r="A15737" s="17" t="s">
        <v>42316</v>
      </c>
      <c r="B15737" s="17" t="s">
        <v>70</v>
      </c>
      <c r="C15737" s="17" t="s">
        <v>71</v>
      </c>
      <c r="D15737" t="s">
        <v>42317</v>
      </c>
      <c r="F15737" t="s">
        <v>42317</v>
      </c>
      <c r="K15737" s="18">
        <f>62811604225</f>
        <v>62811604225</v>
      </c>
      <c r="N15737" s="17" t="s">
        <v>81</v>
      </c>
      <c r="V15737" s="18">
        <f>62811604225</f>
        <v>62811604225</v>
      </c>
    </row>
    <row r="15738" ht="15" customHeight="1" spans="1:22" x14ac:dyDescent="0.25">
      <c r="A15738" s="17" t="s">
        <v>42318</v>
      </c>
      <c r="B15738" s="17" t="s">
        <v>70</v>
      </c>
      <c r="C15738" s="17" t="s">
        <v>71</v>
      </c>
      <c r="D15738" t="s">
        <v>42319</v>
      </c>
      <c r="F15738" t="s">
        <v>2004</v>
      </c>
      <c r="K15738" s="18">
        <f>628128601006</f>
        <v>628128601006</v>
      </c>
      <c r="N15738" s="17" t="s">
        <v>77</v>
      </c>
      <c r="V15738" s="18">
        <f>628128601006</f>
        <v>628128601006</v>
      </c>
    </row>
    <row r="15739" ht="15" customHeight="1" spans="1:22" x14ac:dyDescent="0.25">
      <c r="A15739" s="17" t="s">
        <v>42320</v>
      </c>
      <c r="B15739" s="17" t="s">
        <v>70</v>
      </c>
      <c r="C15739" s="17" t="s">
        <v>71</v>
      </c>
      <c r="D15739" t="s">
        <v>42321</v>
      </c>
      <c r="F15739" t="s">
        <v>42321</v>
      </c>
      <c r="K15739" s="18">
        <f>6281398778999</f>
        <v>6281398778999</v>
      </c>
      <c r="N15739" s="17" t="s">
        <v>77</v>
      </c>
      <c r="V15739" s="18">
        <f>6281398778999</f>
        <v>6281398778999</v>
      </c>
    </row>
    <row r="15740" ht="15" customHeight="1" spans="1:22" x14ac:dyDescent="0.25">
      <c r="A15740" s="17" t="s">
        <v>42322</v>
      </c>
      <c r="B15740" s="17" t="s">
        <v>70</v>
      </c>
      <c r="C15740" s="17" t="s">
        <v>71</v>
      </c>
      <c r="D15740" t="s">
        <v>42323</v>
      </c>
      <c r="F15740" t="s">
        <v>558</v>
      </c>
      <c r="K15740" s="18" t="s">
        <v>5052</v>
      </c>
      <c r="N15740" s="17" t="s">
        <v>81</v>
      </c>
      <c r="V15740" s="18" t="s">
        <v>5052</v>
      </c>
    </row>
    <row r="15741" ht="15" customHeight="1" spans="1:25" x14ac:dyDescent="0.25">
      <c r="A15741" s="17" t="s">
        <v>42324</v>
      </c>
      <c r="B15741" s="17" t="s">
        <v>70</v>
      </c>
      <c r="C15741" s="17" t="s">
        <v>71</v>
      </c>
      <c r="D15741" t="s">
        <v>42325</v>
      </c>
      <c r="F15741" t="s">
        <v>9817</v>
      </c>
      <c r="J15741" s="17" t="s">
        <v>42326</v>
      </c>
      <c r="K15741" s="18">
        <f>6285217376364</f>
        <v>6285217376364</v>
      </c>
      <c r="N15741" s="17" t="s">
        <v>81</v>
      </c>
      <c r="U15741" s="17"/>
      <c r="V15741" s="18">
        <f>6285217376364</f>
        <v>6285217376364</v>
      </c>
      <c r="W15741" t="s">
        <v>6485</v>
      </c>
      <c r="Y15741" s="17" t="s">
        <v>96</v>
      </c>
    </row>
    <row r="15742" ht="15" customHeight="1" spans="1:28" x14ac:dyDescent="0.25">
      <c r="A15742" s="17" t="s">
        <v>42327</v>
      </c>
      <c r="B15742" s="17" t="s">
        <v>70</v>
      </c>
      <c r="C15742" s="17" t="s">
        <v>71</v>
      </c>
      <c r="D15742" t="s">
        <v>42328</v>
      </c>
      <c r="F15742" t="s">
        <v>42329</v>
      </c>
      <c r="J15742" s="17" t="s">
        <v>42330</v>
      </c>
      <c r="K15742" s="18" t="s">
        <v>42331</v>
      </c>
      <c r="N15742" s="17" t="s">
        <v>77</v>
      </c>
      <c r="O15742" t="s">
        <v>199</v>
      </c>
      <c r="V15742" s="18" t="s">
        <v>42331</v>
      </c>
      <c r="Y15742" s="17" t="s">
        <v>90</v>
      </c>
      <c r="AA15742" s="17" t="s">
        <v>118</v>
      </c>
      <c r="AB15742" t="s">
        <v>119</v>
      </c>
    </row>
    <row r="15743" ht="15" customHeight="1" spans="1:28" x14ac:dyDescent="0.25">
      <c r="A15743" s="17" t="s">
        <v>42332</v>
      </c>
      <c r="B15743" s="17" t="s">
        <v>70</v>
      </c>
      <c r="C15743" s="17" t="s">
        <v>71</v>
      </c>
      <c r="D15743" t="s">
        <v>42333</v>
      </c>
      <c r="F15743" t="s">
        <v>42334</v>
      </c>
      <c r="J15743" s="17" t="s">
        <v>42335</v>
      </c>
      <c r="K15743" s="18" t="s">
        <v>42336</v>
      </c>
      <c r="N15743" s="17" t="s">
        <v>77</v>
      </c>
      <c r="O15743" t="s">
        <v>261</v>
      </c>
      <c r="U15743" s="17"/>
      <c r="V15743" s="18" t="s">
        <v>42336</v>
      </c>
      <c r="W15743" t="s">
        <v>42337</v>
      </c>
      <c r="Y15743" t="s">
        <v>181</v>
      </c>
      <c r="AA15743" t="s">
        <v>1672</v>
      </c>
      <c r="AB15743" t="s">
        <v>119</v>
      </c>
    </row>
    <row r="15744" ht="15" customHeight="1" spans="1:22" x14ac:dyDescent="0.25">
      <c r="A15744" s="17" t="s">
        <v>42338</v>
      </c>
      <c r="B15744" s="17" t="s">
        <v>70</v>
      </c>
      <c r="C15744" s="17" t="s">
        <v>71</v>
      </c>
      <c r="D15744" t="s">
        <v>26673</v>
      </c>
      <c r="F15744" t="s">
        <v>26673</v>
      </c>
      <c r="K15744" s="18">
        <f>628119149389</f>
        <v>628119149389</v>
      </c>
      <c r="N15744" s="17" t="s">
        <v>81</v>
      </c>
      <c r="V15744" s="18">
        <f>628119149389</f>
        <v>628119149389</v>
      </c>
    </row>
    <row r="15745" ht="15" customHeight="1" spans="1:22" x14ac:dyDescent="0.25">
      <c r="A15745" s="17" t="s">
        <v>42339</v>
      </c>
      <c r="B15745" s="17" t="s">
        <v>70</v>
      </c>
      <c r="C15745" s="17" t="s">
        <v>71</v>
      </c>
      <c r="D15745" t="s">
        <v>26673</v>
      </c>
      <c r="F15745" t="s">
        <v>1499</v>
      </c>
      <c r="K15745" s="18">
        <f>6281296400808</f>
        <v>6281296400808</v>
      </c>
      <c r="N15745" s="17" t="s">
        <v>77</v>
      </c>
      <c r="V15745" s="18">
        <f>6281296400808</f>
        <v>6281296400808</v>
      </c>
    </row>
    <row r="15746" ht="15" customHeight="1" spans="1:22" x14ac:dyDescent="0.25">
      <c r="A15746" s="17" t="s">
        <v>42340</v>
      </c>
      <c r="B15746" s="17" t="s">
        <v>70</v>
      </c>
      <c r="C15746" s="17" t="s">
        <v>71</v>
      </c>
      <c r="D15746" t="s">
        <v>26673</v>
      </c>
      <c r="F15746" t="s">
        <v>16484</v>
      </c>
      <c r="K15746" s="18">
        <f>62816704889</f>
        <v>62816704889</v>
      </c>
      <c r="N15746" s="17" t="s">
        <v>77</v>
      </c>
      <c r="V15746" s="18">
        <f>62816704889</f>
        <v>62816704889</v>
      </c>
    </row>
    <row r="15747" ht="15" customHeight="1" spans="1:22" x14ac:dyDescent="0.25">
      <c r="A15747" s="17" t="s">
        <v>42341</v>
      </c>
      <c r="B15747" s="17" t="s">
        <v>70</v>
      </c>
      <c r="C15747" s="17" t="s">
        <v>71</v>
      </c>
      <c r="D15747" t="s">
        <v>26673</v>
      </c>
      <c r="F15747" t="s">
        <v>672</v>
      </c>
      <c r="K15747" s="18">
        <f>6287881811992</f>
        <v>6287881811992</v>
      </c>
      <c r="N15747" s="17" t="s">
        <v>81</v>
      </c>
      <c r="V15747" s="18">
        <f>6287881811992</f>
        <v>6287881811992</v>
      </c>
    </row>
    <row r="15748" ht="15" customHeight="1" spans="1:28" x14ac:dyDescent="0.25">
      <c r="A15748" s="17" t="s">
        <v>42342</v>
      </c>
      <c r="B15748" s="17" t="s">
        <v>70</v>
      </c>
      <c r="C15748" s="17" t="s">
        <v>71</v>
      </c>
      <c r="D15748" t="s">
        <v>26673</v>
      </c>
      <c r="F15748" t="s">
        <v>26740</v>
      </c>
      <c r="J15748" t="s">
        <v>115</v>
      </c>
      <c r="K15748" s="18" t="s">
        <v>42343</v>
      </c>
      <c r="N15748" s="17" t="s">
        <v>77</v>
      </c>
      <c r="O15748" t="s">
        <v>261</v>
      </c>
      <c r="V15748" s="18" t="s">
        <v>42343</v>
      </c>
      <c r="Y15748" t="s">
        <v>1157</v>
      </c>
      <c r="AA15748" t="s">
        <v>5957</v>
      </c>
      <c r="AB15748" t="s">
        <v>119</v>
      </c>
    </row>
    <row r="15749" ht="15" customHeight="1" spans="1:22" x14ac:dyDescent="0.25">
      <c r="A15749" s="17" t="s">
        <v>42344</v>
      </c>
      <c r="B15749" s="17" t="s">
        <v>70</v>
      </c>
      <c r="C15749" s="17" t="s">
        <v>71</v>
      </c>
      <c r="D15749" t="s">
        <v>26673</v>
      </c>
      <c r="F15749" t="s">
        <v>42345</v>
      </c>
      <c r="K15749" s="18">
        <f>628111800889</f>
        <v>628111800889</v>
      </c>
      <c r="N15749" s="17" t="s">
        <v>77</v>
      </c>
      <c r="V15749" s="18">
        <f>628111800889</f>
        <v>628111800889</v>
      </c>
    </row>
    <row r="15750" ht="15" customHeight="1" spans="1:23" x14ac:dyDescent="0.25">
      <c r="A15750" s="17" t="s">
        <v>42346</v>
      </c>
      <c r="B15750" s="17" t="s">
        <v>70</v>
      </c>
      <c r="C15750" s="17" t="s">
        <v>71</v>
      </c>
      <c r="D15750" t="s">
        <v>26673</v>
      </c>
      <c r="F15750" t="s">
        <v>4858</v>
      </c>
      <c r="J15750" s="17" t="s">
        <v>42347</v>
      </c>
      <c r="K15750" s="18">
        <f>6287781575358</f>
        <v>6287781575358</v>
      </c>
      <c r="N15750" s="17" t="s">
        <v>74</v>
      </c>
      <c r="U15750" s="17"/>
      <c r="V15750" s="18">
        <f>6287781575358</f>
        <v>6287781575358</v>
      </c>
      <c r="W15750" t="s">
        <v>42348</v>
      </c>
    </row>
    <row r="15751" ht="15" customHeight="1" spans="1:25" x14ac:dyDescent="0.25">
      <c r="A15751" s="17" t="s">
        <v>42349</v>
      </c>
      <c r="B15751" s="17" t="s">
        <v>70</v>
      </c>
      <c r="C15751" s="17" t="s">
        <v>71</v>
      </c>
      <c r="D15751" t="s">
        <v>26673</v>
      </c>
      <c r="F15751" t="s">
        <v>11494</v>
      </c>
      <c r="K15751" s="18">
        <f>6285216000360</f>
        <v>6285216000360</v>
      </c>
      <c r="N15751" s="17" t="s">
        <v>77</v>
      </c>
      <c r="U15751" s="17"/>
      <c r="V15751" s="18">
        <f>6285216000360</f>
        <v>6285216000360</v>
      </c>
      <c r="W15751" t="s">
        <v>42350</v>
      </c>
      <c r="Y15751" s="17" t="s">
        <v>397</v>
      </c>
    </row>
    <row r="15752" ht="15" customHeight="1" spans="1:28" x14ac:dyDescent="0.25">
      <c r="A15752" s="17" t="s">
        <v>42351</v>
      </c>
      <c r="B15752" s="17" t="s">
        <v>70</v>
      </c>
      <c r="C15752" s="17" t="s">
        <v>71</v>
      </c>
      <c r="D15752" t="s">
        <v>3727</v>
      </c>
      <c r="F15752" t="s">
        <v>42352</v>
      </c>
      <c r="J15752" t="s">
        <v>115</v>
      </c>
      <c r="K15752" s="18" t="s">
        <v>42353</v>
      </c>
      <c r="N15752" s="17" t="s">
        <v>77</v>
      </c>
      <c r="O15752" t="s">
        <v>117</v>
      </c>
      <c r="V15752" s="18" t="s">
        <v>42353</v>
      </c>
      <c r="Y15752" t="s">
        <v>190</v>
      </c>
      <c r="AA15752" t="s">
        <v>118</v>
      </c>
      <c r="AB15752" t="s">
        <v>119</v>
      </c>
    </row>
    <row r="15753" ht="15" customHeight="1" spans="1:27" x14ac:dyDescent="0.25">
      <c r="A15753" s="17" t="s">
        <v>42354</v>
      </c>
      <c r="B15753" s="17" t="s">
        <v>70</v>
      </c>
      <c r="C15753" s="17" t="s">
        <v>71</v>
      </c>
      <c r="D15753" t="s">
        <v>42355</v>
      </c>
      <c r="F15753" t="s">
        <v>1208</v>
      </c>
      <c r="K15753" s="18">
        <f>628111515987</f>
        <v>628111515987</v>
      </c>
      <c r="N15753" s="17" t="s">
        <v>81</v>
      </c>
      <c r="U15753" s="17"/>
      <c r="V15753" s="18">
        <f>628111515987</f>
        <v>628111515987</v>
      </c>
      <c r="W15753" t="s">
        <v>42356</v>
      </c>
      <c r="Y15753" s="17" t="s">
        <v>384</v>
      </c>
      <c r="AA15753" s="17">
        <v>15122</v>
      </c>
    </row>
    <row r="15754" ht="15" customHeight="1" spans="1:22" x14ac:dyDescent="0.25">
      <c r="A15754" s="17" t="s">
        <v>42357</v>
      </c>
      <c r="B15754" s="17" t="s">
        <v>70</v>
      </c>
      <c r="C15754" s="17" t="s">
        <v>71</v>
      </c>
      <c r="D15754" t="s">
        <v>42358</v>
      </c>
      <c r="F15754" t="s">
        <v>7824</v>
      </c>
      <c r="K15754" s="18">
        <v>7199288</v>
      </c>
      <c r="N15754" s="17" t="s">
        <v>77</v>
      </c>
      <c r="V15754" s="18">
        <v>7199288</v>
      </c>
    </row>
    <row r="15755" ht="15" customHeight="1" spans="1:22" x14ac:dyDescent="0.25">
      <c r="A15755" s="17" t="s">
        <v>42359</v>
      </c>
      <c r="B15755" s="17" t="s">
        <v>70</v>
      </c>
      <c r="C15755" s="17" t="s">
        <v>71</v>
      </c>
      <c r="D15755" t="s">
        <v>42360</v>
      </c>
      <c r="F15755" t="s">
        <v>42361</v>
      </c>
      <c r="K15755" s="18">
        <f>62811990728</f>
        <v>62811990728</v>
      </c>
      <c r="N15755" s="17" t="s">
        <v>77</v>
      </c>
      <c r="V15755" s="18">
        <f>62811990728</f>
        <v>62811990728</v>
      </c>
    </row>
    <row r="15756" ht="15" customHeight="1" spans="1:22" x14ac:dyDescent="0.25">
      <c r="A15756" s="17" t="s">
        <v>42362</v>
      </c>
      <c r="B15756" s="17" t="s">
        <v>70</v>
      </c>
      <c r="C15756" s="17" t="s">
        <v>71</v>
      </c>
      <c r="D15756" t="s">
        <v>20495</v>
      </c>
      <c r="F15756" t="s">
        <v>20495</v>
      </c>
      <c r="K15756" s="18">
        <f>62811900699</f>
        <v>62811900699</v>
      </c>
      <c r="N15756" s="17" t="s">
        <v>77</v>
      </c>
      <c r="V15756" s="18">
        <f>62811900699</f>
        <v>62811900699</v>
      </c>
    </row>
    <row r="15757" ht="15" customHeight="1" spans="1:22" x14ac:dyDescent="0.25">
      <c r="A15757" s="17" t="s">
        <v>42363</v>
      </c>
      <c r="B15757" s="17" t="s">
        <v>70</v>
      </c>
      <c r="C15757" s="17" t="s">
        <v>71</v>
      </c>
      <c r="D15757" t="s">
        <v>20495</v>
      </c>
      <c r="F15757" t="s">
        <v>186</v>
      </c>
      <c r="K15757" s="18">
        <f>6281212111919</f>
        <v>6281212111919</v>
      </c>
      <c r="N15757" s="17" t="s">
        <v>81</v>
      </c>
      <c r="V15757" s="18">
        <f>6281212111919</f>
        <v>6281212111919</v>
      </c>
    </row>
    <row r="15758" ht="15" customHeight="1" spans="1:23" x14ac:dyDescent="0.25">
      <c r="A15758" s="17" t="s">
        <v>42364</v>
      </c>
      <c r="B15758" s="17" t="s">
        <v>70</v>
      </c>
      <c r="C15758" s="17" t="s">
        <v>71</v>
      </c>
      <c r="D15758" t="s">
        <v>20495</v>
      </c>
      <c r="F15758" t="s">
        <v>4669</v>
      </c>
      <c r="K15758" s="18">
        <f>62818784184</f>
        <v>62818784184</v>
      </c>
      <c r="N15758" s="17" t="s">
        <v>74</v>
      </c>
      <c r="U15758" s="17"/>
      <c r="V15758" s="18">
        <f>62818784184</f>
        <v>62818784184</v>
      </c>
      <c r="W15758" t="s">
        <v>42365</v>
      </c>
    </row>
    <row r="15759" ht="15" customHeight="1" spans="1:22" x14ac:dyDescent="0.25">
      <c r="A15759" s="17" t="s">
        <v>42366</v>
      </c>
      <c r="B15759" s="17" t="s">
        <v>70</v>
      </c>
      <c r="C15759" s="17" t="s">
        <v>71</v>
      </c>
      <c r="D15759" t="s">
        <v>20495</v>
      </c>
      <c r="F15759" t="s">
        <v>12793</v>
      </c>
      <c r="K15759" s="18">
        <f>628111985020</f>
        <v>628111985020</v>
      </c>
      <c r="N15759" s="17" t="s">
        <v>81</v>
      </c>
      <c r="V15759" s="18">
        <f>628111985020</f>
        <v>628111985020</v>
      </c>
    </row>
    <row r="15760" ht="15" customHeight="1" spans="1:22" x14ac:dyDescent="0.25">
      <c r="A15760" s="17" t="s">
        <v>42367</v>
      </c>
      <c r="B15760" s="17" t="s">
        <v>70</v>
      </c>
      <c r="C15760" s="17" t="s">
        <v>71</v>
      </c>
      <c r="D15760" t="s">
        <v>20495</v>
      </c>
      <c r="F15760" t="s">
        <v>42368</v>
      </c>
      <c r="K15760" s="18">
        <f>62811936063</f>
        <v>62811936063</v>
      </c>
      <c r="N15760" s="17" t="s">
        <v>74</v>
      </c>
      <c r="V15760" s="18">
        <f>62811936063</f>
        <v>62811936063</v>
      </c>
    </row>
    <row r="15761" ht="15" customHeight="1" spans="1:28" x14ac:dyDescent="0.25">
      <c r="A15761" s="17" t="s">
        <v>42369</v>
      </c>
      <c r="B15761" s="17" t="s">
        <v>70</v>
      </c>
      <c r="C15761" s="17" t="s">
        <v>71</v>
      </c>
      <c r="D15761" t="s">
        <v>20495</v>
      </c>
      <c r="F15761" t="s">
        <v>20495</v>
      </c>
      <c r="J15761" t="s">
        <v>115</v>
      </c>
      <c r="K15761" s="18" t="s">
        <v>42370</v>
      </c>
      <c r="N15761" s="17" t="s">
        <v>77</v>
      </c>
      <c r="O15761" t="s">
        <v>145</v>
      </c>
      <c r="V15761" s="18" t="s">
        <v>42370</v>
      </c>
      <c r="Y15761" t="s">
        <v>115</v>
      </c>
      <c r="AA15761" t="s">
        <v>115</v>
      </c>
      <c r="AB15761" t="s">
        <v>119</v>
      </c>
    </row>
    <row r="15762" ht="15" customHeight="1" spans="1:23" x14ac:dyDescent="0.25">
      <c r="A15762" s="17" t="s">
        <v>42371</v>
      </c>
      <c r="B15762" s="17" t="s">
        <v>70</v>
      </c>
      <c r="C15762" s="17" t="s">
        <v>71</v>
      </c>
      <c r="D15762" t="s">
        <v>26884</v>
      </c>
      <c r="F15762" t="s">
        <v>39636</v>
      </c>
      <c r="K15762" s="18">
        <f>6285732328495</f>
        <v>6285732328495</v>
      </c>
      <c r="N15762" s="17" t="s">
        <v>81</v>
      </c>
      <c r="U15762" s="17"/>
      <c r="V15762" s="18">
        <f>6285732328495</f>
        <v>6285732328495</v>
      </c>
      <c r="W15762" t="s">
        <v>42372</v>
      </c>
    </row>
    <row r="15763" ht="15" customHeight="1" spans="1:22" x14ac:dyDescent="0.25">
      <c r="A15763" s="17" t="s">
        <v>42373</v>
      </c>
      <c r="B15763" s="17" t="s">
        <v>70</v>
      </c>
      <c r="C15763" s="17" t="s">
        <v>71</v>
      </c>
      <c r="D15763" t="s">
        <v>19753</v>
      </c>
      <c r="F15763" t="s">
        <v>8877</v>
      </c>
      <c r="K15763" s="18">
        <f>628111041541</f>
        <v>628111041541</v>
      </c>
      <c r="N15763" s="17" t="s">
        <v>81</v>
      </c>
      <c r="V15763" s="18">
        <f>628111041541</f>
        <v>628111041541</v>
      </c>
    </row>
    <row r="15764" ht="15" customHeight="1" spans="1:28" x14ac:dyDescent="0.25">
      <c r="A15764" s="17" t="s">
        <v>42374</v>
      </c>
      <c r="B15764" s="17" t="s">
        <v>70</v>
      </c>
      <c r="C15764" s="17" t="s">
        <v>71</v>
      </c>
      <c r="D15764" t="s">
        <v>42375</v>
      </c>
      <c r="F15764" t="s">
        <v>42375</v>
      </c>
      <c r="J15764" t="s">
        <v>115</v>
      </c>
      <c r="K15764" s="18" t="s">
        <v>42376</v>
      </c>
      <c r="N15764" s="17" t="s">
        <v>81</v>
      </c>
      <c r="O15764" t="s">
        <v>117</v>
      </c>
      <c r="V15764" s="18" t="s">
        <v>42376</v>
      </c>
      <c r="Y15764" t="s">
        <v>90</v>
      </c>
      <c r="AA15764" t="s">
        <v>118</v>
      </c>
      <c r="AB15764" t="s">
        <v>119</v>
      </c>
    </row>
    <row r="15765" ht="15" customHeight="1" spans="1:23" x14ac:dyDescent="0.25">
      <c r="A15765" s="17" t="s">
        <v>42377</v>
      </c>
      <c r="B15765" s="17" t="s">
        <v>70</v>
      </c>
      <c r="C15765" s="17" t="s">
        <v>71</v>
      </c>
      <c r="D15765" t="s">
        <v>42375</v>
      </c>
      <c r="F15765" t="s">
        <v>42378</v>
      </c>
      <c r="K15765" s="18">
        <f>6281932092426</f>
        <v>6281932092426</v>
      </c>
      <c r="N15765" s="17" t="s">
        <v>77</v>
      </c>
      <c r="U15765" s="17"/>
      <c r="V15765" s="18">
        <f>6281932092426</f>
        <v>6281932092426</v>
      </c>
      <c r="W15765" t="s">
        <v>42379</v>
      </c>
    </row>
    <row r="15766" ht="15" customHeight="1" spans="1:23" x14ac:dyDescent="0.25">
      <c r="A15766" s="17" t="s">
        <v>42380</v>
      </c>
      <c r="B15766" s="17" t="s">
        <v>70</v>
      </c>
      <c r="C15766" s="17" t="s">
        <v>71</v>
      </c>
      <c r="D15766" t="s">
        <v>42375</v>
      </c>
      <c r="F15766" t="s">
        <v>2418</v>
      </c>
      <c r="K15766" s="18">
        <f>622157906642</f>
        <v>622157906642</v>
      </c>
      <c r="N15766" s="17" t="s">
        <v>77</v>
      </c>
      <c r="U15766" s="17"/>
      <c r="V15766" s="18">
        <f>622157906642</f>
        <v>622157906642</v>
      </c>
      <c r="W15766" t="s">
        <v>42381</v>
      </c>
    </row>
    <row r="15767" ht="15" customHeight="1" spans="1:22" x14ac:dyDescent="0.25">
      <c r="A15767" s="17" t="s">
        <v>42382</v>
      </c>
      <c r="B15767" s="17" t="s">
        <v>70</v>
      </c>
      <c r="C15767" s="17" t="s">
        <v>71</v>
      </c>
      <c r="D15767" t="s">
        <v>42375</v>
      </c>
      <c r="F15767" t="s">
        <v>672</v>
      </c>
      <c r="K15767" s="18">
        <f>62811878106</f>
        <v>62811878106</v>
      </c>
      <c r="N15767" s="17" t="s">
        <v>81</v>
      </c>
      <c r="V15767" s="18">
        <f>62811878106</f>
        <v>62811878106</v>
      </c>
    </row>
    <row r="15768" ht="15" customHeight="1" spans="1:27" x14ac:dyDescent="0.25">
      <c r="A15768" s="17" t="s">
        <v>42383</v>
      </c>
      <c r="B15768" s="17" t="s">
        <v>70</v>
      </c>
      <c r="C15768" s="17" t="s">
        <v>71</v>
      </c>
      <c r="D15768" t="s">
        <v>7715</v>
      </c>
      <c r="F15768" t="s">
        <v>42384</v>
      </c>
      <c r="J15768" s="17" t="s">
        <v>42385</v>
      </c>
      <c r="K15768" s="18">
        <f>6287884719090</f>
        <v>6287884719090</v>
      </c>
      <c r="N15768" s="17" t="s">
        <v>77</v>
      </c>
      <c r="U15768" s="17"/>
      <c r="V15768" s="18">
        <f>6287884719090</f>
        <v>6287884719090</v>
      </c>
      <c r="W15768" t="s">
        <v>42386</v>
      </c>
      <c r="Y15768" s="17" t="s">
        <v>90</v>
      </c>
      <c r="AA15768" s="17">
        <v>15229</v>
      </c>
    </row>
    <row r="15769" ht="15" customHeight="1" spans="1:22" x14ac:dyDescent="0.25">
      <c r="A15769" s="17" t="s">
        <v>42387</v>
      </c>
      <c r="B15769" s="17" t="s">
        <v>70</v>
      </c>
      <c r="C15769" s="17" t="s">
        <v>71</v>
      </c>
      <c r="D15769" t="s">
        <v>42388</v>
      </c>
      <c r="F15769" t="s">
        <v>38768</v>
      </c>
      <c r="K15769" s="18">
        <f>62811811055</f>
        <v>62811811055</v>
      </c>
      <c r="N15769" s="17" t="s">
        <v>81</v>
      </c>
      <c r="V15769" s="18">
        <f>62811811055</f>
        <v>62811811055</v>
      </c>
    </row>
    <row r="15770" ht="15" customHeight="1" spans="1:22" x14ac:dyDescent="0.25">
      <c r="A15770" s="17" t="s">
        <v>42389</v>
      </c>
      <c r="B15770" s="17" t="s">
        <v>70</v>
      </c>
      <c r="C15770" s="17" t="s">
        <v>71</v>
      </c>
      <c r="D15770" t="s">
        <v>42390</v>
      </c>
      <c r="F15770" t="s">
        <v>4213</v>
      </c>
      <c r="K15770" s="18">
        <f>62817404458</f>
        <v>62817404458</v>
      </c>
      <c r="N15770" s="17" t="s">
        <v>77</v>
      </c>
      <c r="V15770" s="18">
        <f>62817404458</f>
        <v>62817404458</v>
      </c>
    </row>
    <row r="15771" ht="15" customHeight="1" spans="1:23" x14ac:dyDescent="0.25">
      <c r="A15771" s="17" t="s">
        <v>42391</v>
      </c>
      <c r="B15771" s="17" t="s">
        <v>70</v>
      </c>
      <c r="C15771" s="17" t="s">
        <v>71</v>
      </c>
      <c r="D15771" t="s">
        <v>30042</v>
      </c>
      <c r="F15771" t="s">
        <v>2762</v>
      </c>
      <c r="J15771" s="17" t="s">
        <v>42392</v>
      </c>
      <c r="K15771" s="18">
        <f>6281285008099</f>
        <v>6281285008099</v>
      </c>
      <c r="N15771" s="17" t="s">
        <v>81</v>
      </c>
      <c r="U15771" s="17"/>
      <c r="V15771" s="18">
        <f>6281285008099</f>
        <v>6281285008099</v>
      </c>
      <c r="W15771" t="s">
        <v>27537</v>
      </c>
    </row>
    <row r="15772" ht="15" customHeight="1" spans="1:25" x14ac:dyDescent="0.25">
      <c r="A15772" s="17" t="s">
        <v>42393</v>
      </c>
      <c r="B15772" s="17" t="s">
        <v>70</v>
      </c>
      <c r="C15772" s="17" t="s">
        <v>71</v>
      </c>
      <c r="D15772" t="s">
        <v>42394</v>
      </c>
      <c r="F15772" t="s">
        <v>4928</v>
      </c>
      <c r="K15772" s="18">
        <f>62816916616</f>
        <v>62816916616</v>
      </c>
      <c r="N15772" s="17" t="s">
        <v>74</v>
      </c>
      <c r="U15772" s="17"/>
      <c r="V15772" s="18">
        <f>62816916616</f>
        <v>62816916616</v>
      </c>
      <c r="W15772" t="s">
        <v>42395</v>
      </c>
      <c r="Y15772" s="17" t="s">
        <v>1084</v>
      </c>
    </row>
    <row r="15773" ht="15" customHeight="1" spans="1:23" x14ac:dyDescent="0.25">
      <c r="A15773" s="17" t="s">
        <v>42396</v>
      </c>
      <c r="B15773" s="17" t="s">
        <v>70</v>
      </c>
      <c r="C15773" s="17" t="s">
        <v>71</v>
      </c>
      <c r="D15773" t="s">
        <v>42397</v>
      </c>
      <c r="F15773" t="s">
        <v>42397</v>
      </c>
      <c r="K15773" s="18">
        <f>622175910144</f>
        <v>622175910144</v>
      </c>
      <c r="N15773" s="17" t="s">
        <v>81</v>
      </c>
      <c r="U15773" s="17"/>
      <c r="V15773" s="18">
        <f>622175910144</f>
        <v>622175910144</v>
      </c>
      <c r="W15773" t="s">
        <v>42398</v>
      </c>
    </row>
    <row r="15774" ht="15" customHeight="1" spans="1:22" x14ac:dyDescent="0.25">
      <c r="A15774" s="17" t="s">
        <v>42399</v>
      </c>
      <c r="B15774" s="17" t="s">
        <v>70</v>
      </c>
      <c r="C15774" s="17" t="s">
        <v>71</v>
      </c>
      <c r="D15774" t="s">
        <v>17157</v>
      </c>
      <c r="F15774" t="s">
        <v>22614</v>
      </c>
      <c r="K15774" s="18">
        <f>62816985297</f>
        <v>62816985297</v>
      </c>
      <c r="N15774" s="17" t="s">
        <v>74</v>
      </c>
      <c r="V15774" s="18">
        <f>62816985297</f>
        <v>62816985297</v>
      </c>
    </row>
    <row r="15775" ht="15" customHeight="1" spans="1:22" x14ac:dyDescent="0.25">
      <c r="A15775" s="17" t="s">
        <v>42400</v>
      </c>
      <c r="B15775" s="17" t="s">
        <v>70</v>
      </c>
      <c r="C15775" s="17" t="s">
        <v>71</v>
      </c>
      <c r="D15775" t="s">
        <v>10220</v>
      </c>
      <c r="F15775" t="s">
        <v>11260</v>
      </c>
      <c r="K15775" s="18">
        <f>62317888878</f>
        <v>62317888878</v>
      </c>
      <c r="N15775" s="17" t="s">
        <v>77</v>
      </c>
      <c r="V15775" s="18">
        <f>62317888878</f>
        <v>62317888878</v>
      </c>
    </row>
    <row r="15776" ht="15" customHeight="1" spans="1:28" x14ac:dyDescent="0.25">
      <c r="A15776" s="17" t="s">
        <v>42401</v>
      </c>
      <c r="B15776" s="17" t="s">
        <v>70</v>
      </c>
      <c r="C15776" s="17" t="s">
        <v>71</v>
      </c>
      <c r="D15776" t="s">
        <v>42402</v>
      </c>
      <c r="F15776" t="s">
        <v>9334</v>
      </c>
      <c r="J15776" t="s">
        <v>115</v>
      </c>
      <c r="K15776" s="18" t="s">
        <v>42403</v>
      </c>
      <c r="N15776" s="17" t="s">
        <v>81</v>
      </c>
      <c r="O15776" t="s">
        <v>117</v>
      </c>
      <c r="V15776" s="18" t="s">
        <v>42403</v>
      </c>
      <c r="Y15776" t="s">
        <v>90</v>
      </c>
      <c r="AA15776" t="s">
        <v>118</v>
      </c>
      <c r="AB15776" t="s">
        <v>119</v>
      </c>
    </row>
    <row r="15777" ht="15" customHeight="1" spans="1:27" x14ac:dyDescent="0.25">
      <c r="A15777" s="17" t="s">
        <v>42404</v>
      </c>
      <c r="B15777" s="17" t="s">
        <v>70</v>
      </c>
      <c r="C15777" s="17" t="s">
        <v>71</v>
      </c>
      <c r="D15777" t="s">
        <v>42405</v>
      </c>
      <c r="F15777" t="s">
        <v>8124</v>
      </c>
      <c r="K15777" s="18">
        <f>6281618189425</f>
        <v>6281618189425</v>
      </c>
      <c r="N15777" s="17" t="s">
        <v>74</v>
      </c>
      <c r="U15777" s="17"/>
      <c r="V15777" s="18">
        <f>6281618189425</f>
        <v>6281618189425</v>
      </c>
      <c r="W15777" t="s">
        <v>42406</v>
      </c>
      <c r="Y15777" s="17" t="s">
        <v>378</v>
      </c>
      <c r="AA15777" s="17" t="s">
        <v>7565</v>
      </c>
    </row>
    <row r="15778" ht="15" customHeight="1" spans="1:23" x14ac:dyDescent="0.25">
      <c r="A15778" s="17" t="s">
        <v>42407</v>
      </c>
      <c r="B15778" s="17" t="s">
        <v>70</v>
      </c>
      <c r="C15778" s="17" t="s">
        <v>71</v>
      </c>
      <c r="D15778" t="s">
        <v>42408</v>
      </c>
      <c r="F15778" t="s">
        <v>42409</v>
      </c>
      <c r="K15778" s="18">
        <f>628118706750</f>
        <v>628118706750</v>
      </c>
      <c r="N15778" s="17" t="s">
        <v>81</v>
      </c>
      <c r="U15778" s="17"/>
      <c r="V15778" s="18">
        <f>628118706750</f>
        <v>628118706750</v>
      </c>
      <c r="W15778" t="s">
        <v>42410</v>
      </c>
    </row>
    <row r="15779" ht="15" customHeight="1" spans="1:25" x14ac:dyDescent="0.25">
      <c r="A15779" s="17" t="s">
        <v>42411</v>
      </c>
      <c r="B15779" s="17" t="s">
        <v>70</v>
      </c>
      <c r="C15779" s="17" t="s">
        <v>71</v>
      </c>
      <c r="D15779" t="s">
        <v>42412</v>
      </c>
      <c r="F15779" t="s">
        <v>42412</v>
      </c>
      <c r="K15779" s="18">
        <f>62816688508</f>
        <v>62816688508</v>
      </c>
      <c r="N15779" s="17" t="s">
        <v>77</v>
      </c>
      <c r="U15779" s="17"/>
      <c r="V15779" s="18">
        <f>62816688508</f>
        <v>62816688508</v>
      </c>
      <c r="W15779" t="s">
        <v>42413</v>
      </c>
      <c r="Y15779" s="17" t="s">
        <v>42414</v>
      </c>
    </row>
    <row r="15780" ht="15" customHeight="1" spans="1:22" x14ac:dyDescent="0.25">
      <c r="A15780" s="17" t="s">
        <v>42415</v>
      </c>
      <c r="B15780" s="17" t="s">
        <v>70</v>
      </c>
      <c r="C15780" s="17" t="s">
        <v>71</v>
      </c>
      <c r="D15780" t="s">
        <v>42416</v>
      </c>
      <c r="F15780" t="s">
        <v>42417</v>
      </c>
      <c r="K15780" s="18">
        <f>6281808112004</f>
        <v>6281808112004</v>
      </c>
      <c r="N15780" s="17" t="s">
        <v>77</v>
      </c>
      <c r="V15780" s="18">
        <f>6281808112004</f>
        <v>6281808112004</v>
      </c>
    </row>
    <row r="15781" ht="15" customHeight="1" spans="1:23" x14ac:dyDescent="0.25">
      <c r="A15781" s="17" t="s">
        <v>42418</v>
      </c>
      <c r="B15781" s="17" t="s">
        <v>70</v>
      </c>
      <c r="C15781" s="17" t="s">
        <v>71</v>
      </c>
      <c r="D15781" t="s">
        <v>42416</v>
      </c>
      <c r="F15781" t="s">
        <v>42419</v>
      </c>
      <c r="K15781" s="18">
        <f>628112237231</f>
        <v>628112237231</v>
      </c>
      <c r="N15781" s="17" t="s">
        <v>77</v>
      </c>
      <c r="U15781" s="17"/>
      <c r="V15781" s="18">
        <f>628112237231</f>
        <v>628112237231</v>
      </c>
      <c r="W15781" t="s">
        <v>42420</v>
      </c>
    </row>
    <row r="15782" ht="15" customHeight="1" spans="1:25" x14ac:dyDescent="0.25">
      <c r="A15782" s="17" t="s">
        <v>42421</v>
      </c>
      <c r="B15782" s="17" t="s">
        <v>70</v>
      </c>
      <c r="C15782" s="17" t="s">
        <v>71</v>
      </c>
      <c r="D15782" t="s">
        <v>42416</v>
      </c>
      <c r="F15782" t="s">
        <v>4616</v>
      </c>
      <c r="K15782" s="18">
        <f>6281510195555</f>
        <v>6281510195555</v>
      </c>
      <c r="N15782" s="17" t="s">
        <v>77</v>
      </c>
      <c r="U15782" s="17"/>
      <c r="V15782" s="18">
        <f>6281510195555</f>
        <v>6281510195555</v>
      </c>
      <c r="W15782" t="s">
        <v>42422</v>
      </c>
      <c r="Y15782" s="17" t="s">
        <v>378</v>
      </c>
    </row>
    <row r="15783" ht="15" customHeight="1" spans="1:28" x14ac:dyDescent="0.25">
      <c r="A15783" s="17" t="s">
        <v>42423</v>
      </c>
      <c r="B15783" s="17" t="s">
        <v>70</v>
      </c>
      <c r="C15783" s="17" t="s">
        <v>71</v>
      </c>
      <c r="D15783" t="s">
        <v>42416</v>
      </c>
      <c r="F15783" t="s">
        <v>42424</v>
      </c>
      <c r="J15783" t="s">
        <v>115</v>
      </c>
      <c r="K15783" s="18" t="s">
        <v>42425</v>
      </c>
      <c r="N15783" s="17" t="s">
        <v>81</v>
      </c>
      <c r="O15783" t="s">
        <v>117</v>
      </c>
      <c r="V15783" s="18" t="s">
        <v>42425</v>
      </c>
      <c r="Y15783" t="s">
        <v>90</v>
      </c>
      <c r="AA15783" t="s">
        <v>118</v>
      </c>
      <c r="AB15783" t="s">
        <v>119</v>
      </c>
    </row>
    <row r="15784" ht="15" customHeight="1" spans="1:22" x14ac:dyDescent="0.25">
      <c r="A15784" s="17" t="s">
        <v>42426</v>
      </c>
      <c r="B15784" s="17" t="s">
        <v>70</v>
      </c>
      <c r="C15784" s="17" t="s">
        <v>71</v>
      </c>
      <c r="D15784" t="s">
        <v>42416</v>
      </c>
      <c r="F15784" t="s">
        <v>42427</v>
      </c>
      <c r="K15784" s="18">
        <f>628174714444</f>
        <v>628174714444</v>
      </c>
      <c r="N15784" s="17" t="s">
        <v>81</v>
      </c>
      <c r="V15784" s="18">
        <f>628174714444</f>
        <v>628174714444</v>
      </c>
    </row>
    <row r="15785" ht="15" customHeight="1" spans="1:28" x14ac:dyDescent="0.25">
      <c r="A15785" s="17" t="s">
        <v>42428</v>
      </c>
      <c r="B15785" s="17" t="s">
        <v>70</v>
      </c>
      <c r="C15785" s="17" t="s">
        <v>71</v>
      </c>
      <c r="D15785" t="s">
        <v>42429</v>
      </c>
      <c r="F15785" t="s">
        <v>42429</v>
      </c>
      <c r="J15785" t="s">
        <v>115</v>
      </c>
      <c r="K15785" s="18" t="s">
        <v>42430</v>
      </c>
      <c r="N15785" s="17" t="s">
        <v>77</v>
      </c>
      <c r="O15785" t="s">
        <v>117</v>
      </c>
      <c r="V15785" s="18" t="s">
        <v>42430</v>
      </c>
      <c r="Y15785" t="s">
        <v>190</v>
      </c>
      <c r="AA15785" t="s">
        <v>118</v>
      </c>
      <c r="AB15785" t="s">
        <v>119</v>
      </c>
    </row>
    <row r="15786" ht="15" customHeight="1" spans="1:22" x14ac:dyDescent="0.25">
      <c r="A15786" s="17" t="s">
        <v>42431</v>
      </c>
      <c r="B15786" s="17" t="s">
        <v>70</v>
      </c>
      <c r="C15786" s="17" t="s">
        <v>71</v>
      </c>
      <c r="D15786" t="s">
        <v>42432</v>
      </c>
      <c r="F15786" t="s">
        <v>42433</v>
      </c>
      <c r="K15786" s="18">
        <f>628129115010</f>
        <v>628129115010</v>
      </c>
      <c r="N15786" s="17" t="s">
        <v>81</v>
      </c>
      <c r="V15786" s="18">
        <f>628129115010</f>
        <v>628129115010</v>
      </c>
    </row>
    <row r="15787" ht="15" customHeight="1" spans="1:28" x14ac:dyDescent="0.25">
      <c r="A15787" s="17" t="s">
        <v>42434</v>
      </c>
      <c r="B15787" s="17" t="s">
        <v>70</v>
      </c>
      <c r="C15787" s="17" t="s">
        <v>71</v>
      </c>
      <c r="D15787" t="s">
        <v>42429</v>
      </c>
      <c r="F15787" t="s">
        <v>38612</v>
      </c>
      <c r="J15787" t="s">
        <v>115</v>
      </c>
      <c r="K15787" s="18" t="s">
        <v>42430</v>
      </c>
      <c r="N15787" s="17" t="s">
        <v>77</v>
      </c>
      <c r="O15787" t="s">
        <v>117</v>
      </c>
      <c r="U15787" s="17"/>
      <c r="V15787" s="18" t="s">
        <v>42430</v>
      </c>
      <c r="W15787" t="s">
        <v>42435</v>
      </c>
      <c r="Y15787" s="17" t="s">
        <v>626</v>
      </c>
      <c r="AA15787" t="s">
        <v>3090</v>
      </c>
      <c r="AB15787" t="s">
        <v>119</v>
      </c>
    </row>
    <row r="15788" ht="15" customHeight="1" spans="1:28" x14ac:dyDescent="0.25">
      <c r="A15788" s="17" t="s">
        <v>42436</v>
      </c>
      <c r="B15788" s="17" t="s">
        <v>70</v>
      </c>
      <c r="C15788" s="17" t="s">
        <v>71</v>
      </c>
      <c r="D15788" t="s">
        <v>37676</v>
      </c>
      <c r="F15788" t="s">
        <v>42437</v>
      </c>
      <c r="J15788" t="s">
        <v>115</v>
      </c>
      <c r="K15788" s="18" t="s">
        <v>42438</v>
      </c>
      <c r="N15788" s="17" t="s">
        <v>81</v>
      </c>
      <c r="O15788" t="s">
        <v>117</v>
      </c>
      <c r="V15788" s="18" t="s">
        <v>42438</v>
      </c>
      <c r="Y15788" t="s">
        <v>90</v>
      </c>
      <c r="AA15788" t="s">
        <v>118</v>
      </c>
      <c r="AB15788" t="s">
        <v>119</v>
      </c>
    </row>
    <row r="15789" ht="15" customHeight="1" spans="1:25" x14ac:dyDescent="0.25">
      <c r="A15789" s="17" t="s">
        <v>42439</v>
      </c>
      <c r="B15789" s="17" t="s">
        <v>70</v>
      </c>
      <c r="C15789" s="17" t="s">
        <v>71</v>
      </c>
      <c r="D15789" t="s">
        <v>42440</v>
      </c>
      <c r="F15789" t="s">
        <v>42440</v>
      </c>
      <c r="K15789" s="18">
        <f>628161188258</f>
        <v>628161188258</v>
      </c>
      <c r="N15789" s="17" t="s">
        <v>77</v>
      </c>
      <c r="U15789" s="17"/>
      <c r="V15789" s="18">
        <f>628161188258</f>
        <v>628161188258</v>
      </c>
      <c r="W15789" t="s">
        <v>42441</v>
      </c>
      <c r="Y15789" s="17" t="s">
        <v>96</v>
      </c>
    </row>
    <row r="15790" ht="15" customHeight="1" spans="1:25" x14ac:dyDescent="0.25">
      <c r="A15790" s="17" t="s">
        <v>42442</v>
      </c>
      <c r="B15790" s="17" t="s">
        <v>70</v>
      </c>
      <c r="C15790" s="17" t="s">
        <v>71</v>
      </c>
      <c r="D15790" t="s">
        <v>42443</v>
      </c>
      <c r="F15790" t="s">
        <v>42443</v>
      </c>
      <c r="K15790" s="18">
        <v>3149540</v>
      </c>
      <c r="N15790" s="17" t="s">
        <v>74</v>
      </c>
      <c r="U15790" s="17"/>
      <c r="V15790" s="18">
        <v>3149540</v>
      </c>
      <c r="W15790" t="s">
        <v>42444</v>
      </c>
      <c r="Y15790" s="17" t="s">
        <v>378</v>
      </c>
    </row>
    <row r="15791" ht="15" customHeight="1" spans="1:23" x14ac:dyDescent="0.25">
      <c r="A15791" s="17" t="s">
        <v>42445</v>
      </c>
      <c r="B15791" s="17" t="s">
        <v>70</v>
      </c>
      <c r="C15791" s="17" t="s">
        <v>71</v>
      </c>
      <c r="D15791" t="s">
        <v>42443</v>
      </c>
      <c r="F15791" t="s">
        <v>42446</v>
      </c>
      <c r="K15791" s="18">
        <f>6281318609188</f>
        <v>6281318609188</v>
      </c>
      <c r="N15791" s="17" t="s">
        <v>77</v>
      </c>
      <c r="U15791" s="17"/>
      <c r="V15791" s="18">
        <f>6281318609188</f>
        <v>6281318609188</v>
      </c>
      <c r="W15791" t="s">
        <v>42447</v>
      </c>
    </row>
    <row r="15792" ht="15" customHeight="1" spans="1:25" x14ac:dyDescent="0.25">
      <c r="A15792" s="17" t="s">
        <v>42448</v>
      </c>
      <c r="B15792" s="17" t="s">
        <v>70</v>
      </c>
      <c r="C15792" s="17" t="s">
        <v>71</v>
      </c>
      <c r="D15792" t="s">
        <v>42443</v>
      </c>
      <c r="F15792" t="s">
        <v>3796</v>
      </c>
      <c r="K15792" s="18">
        <f>628119502694</f>
        <v>628119502694</v>
      </c>
      <c r="N15792" s="17" t="s">
        <v>74</v>
      </c>
      <c r="V15792" s="18">
        <f>628119502694</f>
        <v>628119502694</v>
      </c>
      <c r="Y15792" s="17" t="s">
        <v>90</v>
      </c>
    </row>
    <row r="15793" ht="15" customHeight="1" spans="1:23" x14ac:dyDescent="0.25">
      <c r="A15793" s="17" t="s">
        <v>42449</v>
      </c>
      <c r="B15793" s="17" t="s">
        <v>70</v>
      </c>
      <c r="C15793" s="17" t="s">
        <v>71</v>
      </c>
      <c r="D15793" t="s">
        <v>42443</v>
      </c>
      <c r="F15793" t="s">
        <v>21416</v>
      </c>
      <c r="J15793" s="17" t="s">
        <v>42450</v>
      </c>
      <c r="K15793" s="18">
        <f>628129261053</f>
        <v>628129261053</v>
      </c>
      <c r="N15793" s="17" t="s">
        <v>77</v>
      </c>
      <c r="U15793" s="17"/>
      <c r="V15793" s="18">
        <f>628129261053</f>
        <v>628129261053</v>
      </c>
      <c r="W15793" t="s">
        <v>42451</v>
      </c>
    </row>
    <row r="15794" ht="15" customHeight="1" spans="1:28" x14ac:dyDescent="0.25">
      <c r="A15794" s="17" t="s">
        <v>42452</v>
      </c>
      <c r="B15794" s="17" t="s">
        <v>70</v>
      </c>
      <c r="C15794" s="17" t="s">
        <v>71</v>
      </c>
      <c r="D15794" t="s">
        <v>42453</v>
      </c>
      <c r="F15794" t="s">
        <v>15427</v>
      </c>
      <c r="J15794" t="s">
        <v>42454</v>
      </c>
      <c r="K15794" s="18" t="s">
        <v>42455</v>
      </c>
      <c r="N15794" s="17" t="s">
        <v>74</v>
      </c>
      <c r="O15794" t="s">
        <v>261</v>
      </c>
      <c r="V15794" s="18" t="s">
        <v>42455</v>
      </c>
      <c r="Y15794" t="s">
        <v>90</v>
      </c>
      <c r="AA15794" t="s">
        <v>118</v>
      </c>
      <c r="AB15794" t="s">
        <v>119</v>
      </c>
    </row>
    <row r="15795" ht="15" customHeight="1" spans="1:22" x14ac:dyDescent="0.25">
      <c r="A15795" s="17" t="s">
        <v>42456</v>
      </c>
      <c r="B15795" s="17" t="s">
        <v>70</v>
      </c>
      <c r="C15795" s="17" t="s">
        <v>71</v>
      </c>
      <c r="D15795" t="s">
        <v>42453</v>
      </c>
      <c r="F15795" t="s">
        <v>15427</v>
      </c>
      <c r="K15795" s="18">
        <f>6281513297774</f>
        <v>6281513297774</v>
      </c>
      <c r="N15795" s="17" t="s">
        <v>74</v>
      </c>
      <c r="V15795" s="18">
        <f>6281513297774</f>
        <v>6281513297774</v>
      </c>
    </row>
    <row r="15796" ht="15" customHeight="1" spans="1:28" x14ac:dyDescent="0.25">
      <c r="A15796" s="17" t="s">
        <v>42457</v>
      </c>
      <c r="B15796" s="17" t="s">
        <v>70</v>
      </c>
      <c r="C15796" s="17" t="s">
        <v>71</v>
      </c>
      <c r="D15796" t="s">
        <v>42458</v>
      </c>
      <c r="F15796" t="s">
        <v>42459</v>
      </c>
      <c r="J15796" t="s">
        <v>115</v>
      </c>
      <c r="K15796" s="18" t="s">
        <v>42460</v>
      </c>
      <c r="N15796" s="17" t="s">
        <v>77</v>
      </c>
      <c r="O15796" t="s">
        <v>199</v>
      </c>
      <c r="V15796" s="18" t="s">
        <v>42460</v>
      </c>
      <c r="Y15796" t="s">
        <v>90</v>
      </c>
      <c r="AA15796" t="s">
        <v>118</v>
      </c>
      <c r="AB15796" t="s">
        <v>119</v>
      </c>
    </row>
    <row r="15797" ht="15" customHeight="1" spans="1:22" x14ac:dyDescent="0.25">
      <c r="A15797" s="17" t="s">
        <v>42461</v>
      </c>
      <c r="B15797" s="17" t="s">
        <v>70</v>
      </c>
      <c r="C15797" s="17" t="s">
        <v>71</v>
      </c>
      <c r="D15797" t="s">
        <v>42458</v>
      </c>
      <c r="F15797" t="s">
        <v>42459</v>
      </c>
      <c r="K15797" s="18">
        <f>6282282888288</f>
        <v>6282282888288</v>
      </c>
      <c r="N15797" s="17" t="s">
        <v>77</v>
      </c>
      <c r="V15797" s="18">
        <f>6282282888288</f>
        <v>6282282888288</v>
      </c>
    </row>
    <row r="15798" ht="15" customHeight="1" spans="1:22" x14ac:dyDescent="0.25">
      <c r="A15798" s="17" t="s">
        <v>42462</v>
      </c>
      <c r="B15798" s="17" t="s">
        <v>70</v>
      </c>
      <c r="C15798" s="17" t="s">
        <v>71</v>
      </c>
      <c r="D15798" t="s">
        <v>42458</v>
      </c>
      <c r="F15798" t="s">
        <v>2004</v>
      </c>
      <c r="K15798" s="18">
        <f>628123016811</f>
        <v>628123016811</v>
      </c>
      <c r="N15798" s="17" t="s">
        <v>81</v>
      </c>
      <c r="V15798" s="18">
        <f>628123016811</f>
        <v>628123016811</v>
      </c>
    </row>
    <row r="15799" ht="15" customHeight="1" spans="1:27" x14ac:dyDescent="0.25">
      <c r="A15799" s="17" t="s">
        <v>42463</v>
      </c>
      <c r="B15799" s="17" t="s">
        <v>70</v>
      </c>
      <c r="C15799" s="17" t="s">
        <v>71</v>
      </c>
      <c r="D15799" t="s">
        <v>42464</v>
      </c>
      <c r="F15799" t="s">
        <v>833</v>
      </c>
      <c r="K15799" s="18">
        <f>628111804328</f>
        <v>628111804328</v>
      </c>
      <c r="N15799" s="17" t="s">
        <v>77</v>
      </c>
      <c r="U15799" s="17"/>
      <c r="V15799" s="18">
        <f>628111804328</f>
        <v>628111804328</v>
      </c>
      <c r="W15799" t="s">
        <v>42465</v>
      </c>
      <c r="Y15799" s="17" t="s">
        <v>96</v>
      </c>
      <c r="AA15799" s="17">
        <v>12310</v>
      </c>
    </row>
    <row r="15800" ht="15" customHeight="1" spans="1:22" x14ac:dyDescent="0.25">
      <c r="A15800" s="17" t="s">
        <v>42466</v>
      </c>
      <c r="B15800" s="17" t="s">
        <v>70</v>
      </c>
      <c r="C15800" s="17" t="s">
        <v>71</v>
      </c>
      <c r="D15800" t="s">
        <v>42464</v>
      </c>
      <c r="F15800" t="s">
        <v>4866</v>
      </c>
      <c r="K15800" s="18">
        <f>6282113639217</f>
        <v>6282113639217</v>
      </c>
      <c r="N15800" s="17" t="s">
        <v>77</v>
      </c>
      <c r="V15800" s="18">
        <f>6282113639217</f>
        <v>6282113639217</v>
      </c>
    </row>
    <row r="15801" ht="15" customHeight="1" spans="1:25" x14ac:dyDescent="0.25">
      <c r="A15801" s="17" t="s">
        <v>42467</v>
      </c>
      <c r="B15801" s="17" t="s">
        <v>70</v>
      </c>
      <c r="C15801" s="17" t="s">
        <v>71</v>
      </c>
      <c r="D15801" t="s">
        <v>42464</v>
      </c>
      <c r="F15801" t="s">
        <v>42468</v>
      </c>
      <c r="K15801" s="18">
        <f>628180536113</f>
        <v>628180536113</v>
      </c>
      <c r="N15801" s="17" t="s">
        <v>77</v>
      </c>
      <c r="U15801" s="17"/>
      <c r="V15801" s="18">
        <f>628180536113</f>
        <v>628180536113</v>
      </c>
      <c r="W15801" t="s">
        <v>42469</v>
      </c>
      <c r="Y15801" s="17" t="s">
        <v>42470</v>
      </c>
    </row>
    <row r="15802" ht="15" customHeight="1" spans="1:28" x14ac:dyDescent="0.25">
      <c r="A15802" s="17" t="s">
        <v>42471</v>
      </c>
      <c r="B15802" s="17" t="s">
        <v>70</v>
      </c>
      <c r="C15802" s="17" t="s">
        <v>71</v>
      </c>
      <c r="D15802" t="s">
        <v>42464</v>
      </c>
      <c r="F15802" t="s">
        <v>42472</v>
      </c>
      <c r="J15802" t="s">
        <v>115</v>
      </c>
      <c r="K15802" s="18" t="s">
        <v>42473</v>
      </c>
      <c r="N15802" s="17" t="s">
        <v>77</v>
      </c>
      <c r="O15802" t="s">
        <v>145</v>
      </c>
      <c r="U15802" s="17"/>
      <c r="V15802" s="18" t="s">
        <v>42473</v>
      </c>
      <c r="W15802" t="s">
        <v>42474</v>
      </c>
      <c r="Y15802" s="17" t="s">
        <v>78</v>
      </c>
      <c r="AA15802" t="s">
        <v>115</v>
      </c>
      <c r="AB15802" t="s">
        <v>119</v>
      </c>
    </row>
    <row r="15803" ht="15" customHeight="1" spans="1:23" x14ac:dyDescent="0.25">
      <c r="A15803" s="17" t="s">
        <v>42475</v>
      </c>
      <c r="B15803" s="17" t="s">
        <v>70</v>
      </c>
      <c r="C15803" s="17" t="s">
        <v>71</v>
      </c>
      <c r="D15803" t="s">
        <v>42464</v>
      </c>
      <c r="F15803" t="s">
        <v>42476</v>
      </c>
      <c r="K15803" s="18">
        <f>62811187427</f>
        <v>62811187427</v>
      </c>
      <c r="N15803" s="17" t="s">
        <v>74</v>
      </c>
      <c r="U15803" s="17"/>
      <c r="V15803" s="18">
        <f>62811187427</f>
        <v>62811187427</v>
      </c>
      <c r="W15803" t="s">
        <v>42477</v>
      </c>
    </row>
    <row r="15804" ht="15" customHeight="1" spans="1:22" x14ac:dyDescent="0.25">
      <c r="A15804" s="17" t="s">
        <v>42478</v>
      </c>
      <c r="B15804" s="17" t="s">
        <v>70</v>
      </c>
      <c r="C15804" s="17" t="s">
        <v>71</v>
      </c>
      <c r="D15804" t="s">
        <v>42479</v>
      </c>
      <c r="F15804" t="s">
        <v>42479</v>
      </c>
      <c r="K15804" s="18">
        <f>6281399176091</f>
        <v>6281399176091</v>
      </c>
      <c r="N15804" s="17" t="s">
        <v>77</v>
      </c>
      <c r="V15804" s="18">
        <f>6281399176091</f>
        <v>6281399176091</v>
      </c>
    </row>
    <row r="15805" ht="15" customHeight="1" spans="1:23" x14ac:dyDescent="0.25">
      <c r="A15805" s="17" t="s">
        <v>42480</v>
      </c>
      <c r="B15805" s="17" t="s">
        <v>70</v>
      </c>
      <c r="C15805" s="17" t="s">
        <v>71</v>
      </c>
      <c r="D15805" t="s">
        <v>42479</v>
      </c>
      <c r="F15805" t="s">
        <v>42481</v>
      </c>
      <c r="K15805" s="18">
        <f>628114329813</f>
        <v>628114329813</v>
      </c>
      <c r="N15805" s="17" t="s">
        <v>77</v>
      </c>
      <c r="U15805" s="17"/>
      <c r="V15805" s="18">
        <f>628114329813</f>
        <v>628114329813</v>
      </c>
      <c r="W15805" t="s">
        <v>42482</v>
      </c>
    </row>
    <row r="15806" ht="15" customHeight="1" spans="1:22" x14ac:dyDescent="0.25">
      <c r="A15806" s="17" t="s">
        <v>42483</v>
      </c>
      <c r="B15806" s="17" t="s">
        <v>70</v>
      </c>
      <c r="C15806" s="17" t="s">
        <v>71</v>
      </c>
      <c r="D15806" t="s">
        <v>42484</v>
      </c>
      <c r="F15806" t="s">
        <v>3585</v>
      </c>
      <c r="K15806" s="18">
        <f>62811135462</f>
        <v>62811135462</v>
      </c>
      <c r="N15806" s="17" t="s">
        <v>77</v>
      </c>
      <c r="V15806" s="18">
        <f>62811135462</f>
        <v>62811135462</v>
      </c>
    </row>
    <row r="15807" ht="15" customHeight="1" spans="1:25" x14ac:dyDescent="0.25">
      <c r="A15807" s="17" t="s">
        <v>42485</v>
      </c>
      <c r="B15807" s="17" t="s">
        <v>70</v>
      </c>
      <c r="C15807" s="17" t="s">
        <v>71</v>
      </c>
      <c r="D15807" t="s">
        <v>42486</v>
      </c>
      <c r="F15807" t="s">
        <v>42487</v>
      </c>
      <c r="K15807" s="18">
        <f>62817790100</f>
        <v>62817790100</v>
      </c>
      <c r="N15807" s="17" t="s">
        <v>74</v>
      </c>
      <c r="U15807" s="17"/>
      <c r="V15807" s="18">
        <f>62817790100</f>
        <v>62817790100</v>
      </c>
      <c r="W15807" t="s">
        <v>42488</v>
      </c>
      <c r="Y15807" s="17" t="s">
        <v>622</v>
      </c>
    </row>
    <row r="15808" ht="15" customHeight="1" spans="1:22" x14ac:dyDescent="0.25">
      <c r="A15808" s="17" t="s">
        <v>42489</v>
      </c>
      <c r="B15808" s="17" t="s">
        <v>70</v>
      </c>
      <c r="C15808" s="17" t="s">
        <v>71</v>
      </c>
      <c r="D15808" t="s">
        <v>42490</v>
      </c>
      <c r="F15808" t="s">
        <v>37464</v>
      </c>
      <c r="K15808" s="18">
        <f>6287888638849</f>
        <v>6287888638849</v>
      </c>
      <c r="N15808" s="17" t="s">
        <v>77</v>
      </c>
      <c r="V15808" s="18">
        <f>6287888638849</f>
        <v>6287888638849</v>
      </c>
    </row>
    <row r="15809" ht="15" customHeight="1" spans="1:22" x14ac:dyDescent="0.25">
      <c r="A15809" s="17" t="s">
        <v>42491</v>
      </c>
      <c r="B15809" s="17" t="s">
        <v>70</v>
      </c>
      <c r="C15809" s="17" t="s">
        <v>71</v>
      </c>
      <c r="D15809" t="s">
        <v>42492</v>
      </c>
      <c r="F15809" t="s">
        <v>42493</v>
      </c>
      <c r="K15809" s="18">
        <f>81289528940</f>
        <v>81289528940</v>
      </c>
      <c r="N15809" s="17" t="s">
        <v>81</v>
      </c>
      <c r="V15809" s="18">
        <f>81289528940</f>
        <v>81289528940</v>
      </c>
    </row>
    <row r="15810" ht="15" customHeight="1" spans="1:22" x14ac:dyDescent="0.25">
      <c r="A15810" s="17" t="s">
        <v>42494</v>
      </c>
      <c r="B15810" s="17" t="s">
        <v>70</v>
      </c>
      <c r="C15810" s="17" t="s">
        <v>71</v>
      </c>
      <c r="D15810" t="s">
        <v>19815</v>
      </c>
      <c r="F15810" t="s">
        <v>42495</v>
      </c>
      <c r="K15810" s="18">
        <f>628128123201</f>
        <v>628128123201</v>
      </c>
      <c r="N15810" s="17" t="s">
        <v>81</v>
      </c>
      <c r="V15810" s="18">
        <f>628128123201</f>
        <v>628128123201</v>
      </c>
    </row>
    <row r="15811" ht="15" customHeight="1" spans="1:28" x14ac:dyDescent="0.25">
      <c r="A15811" s="17" t="s">
        <v>42496</v>
      </c>
      <c r="B15811" s="17" t="s">
        <v>70</v>
      </c>
      <c r="C15811" s="17" t="s">
        <v>71</v>
      </c>
      <c r="D15811" t="s">
        <v>42497</v>
      </c>
      <c r="F15811" t="s">
        <v>42498</v>
      </c>
      <c r="J15811" s="17" t="s">
        <v>42499</v>
      </c>
      <c r="K15811" s="18" t="s">
        <v>42500</v>
      </c>
      <c r="N15811" s="17" t="s">
        <v>77</v>
      </c>
      <c r="O15811" t="s">
        <v>145</v>
      </c>
      <c r="V15811" s="18" t="s">
        <v>42500</v>
      </c>
      <c r="Y15811" t="s">
        <v>3073</v>
      </c>
      <c r="AA15811" t="s">
        <v>115</v>
      </c>
      <c r="AB15811" t="s">
        <v>119</v>
      </c>
    </row>
    <row r="15812" ht="15" customHeight="1" spans="1:22" x14ac:dyDescent="0.25">
      <c r="A15812" s="17" t="s">
        <v>42501</v>
      </c>
      <c r="B15812" s="17" t="s">
        <v>70</v>
      </c>
      <c r="C15812" s="17" t="s">
        <v>71</v>
      </c>
      <c r="D15812" t="s">
        <v>7099</v>
      </c>
      <c r="F15812" t="s">
        <v>16714</v>
      </c>
      <c r="K15812" s="18">
        <f>62081289016410</f>
        <v>62081289016410</v>
      </c>
      <c r="N15812" s="17" t="s">
        <v>81</v>
      </c>
      <c r="V15812" s="18">
        <f>62081289016410</f>
        <v>62081289016410</v>
      </c>
    </row>
    <row r="15813" ht="15" customHeight="1" spans="1:27" x14ac:dyDescent="0.25">
      <c r="A15813" s="17" t="s">
        <v>42502</v>
      </c>
      <c r="B15813" s="17" t="s">
        <v>70</v>
      </c>
      <c r="C15813" s="17" t="s">
        <v>71</v>
      </c>
      <c r="D15813" t="s">
        <v>7099</v>
      </c>
      <c r="F15813" t="s">
        <v>7914</v>
      </c>
      <c r="K15813" s="18">
        <f>6281519010600</f>
        <v>6281519010600</v>
      </c>
      <c r="N15813" s="17" t="s">
        <v>77</v>
      </c>
      <c r="U15813" s="17"/>
      <c r="V15813" s="18">
        <f>6281519010600</f>
        <v>6281519010600</v>
      </c>
      <c r="W15813" t="s">
        <v>42503</v>
      </c>
      <c r="Y15813" s="17" t="s">
        <v>96</v>
      </c>
      <c r="AA15813" s="17" t="s">
        <v>42504</v>
      </c>
    </row>
    <row r="15814" ht="15" customHeight="1" spans="1:28" x14ac:dyDescent="0.25">
      <c r="A15814" s="17" t="s">
        <v>42505</v>
      </c>
      <c r="B15814" s="17" t="s">
        <v>70</v>
      </c>
      <c r="C15814" s="17" t="s">
        <v>71</v>
      </c>
      <c r="D15814" t="s">
        <v>42506</v>
      </c>
      <c r="F15814" t="s">
        <v>7099</v>
      </c>
      <c r="J15814" s="17" t="s">
        <v>42507</v>
      </c>
      <c r="K15814" s="18" t="s">
        <v>42508</v>
      </c>
      <c r="N15814" s="17" t="s">
        <v>77</v>
      </c>
      <c r="O15814" t="s">
        <v>145</v>
      </c>
      <c r="U15814" s="17"/>
      <c r="V15814" s="18" t="s">
        <v>42508</v>
      </c>
      <c r="W15814" t="s">
        <v>17567</v>
      </c>
      <c r="Y15814" t="s">
        <v>7939</v>
      </c>
      <c r="AA15814" t="s">
        <v>115</v>
      </c>
      <c r="AB15814" t="s">
        <v>119</v>
      </c>
    </row>
    <row r="15815" ht="15" customHeight="1" spans="1:28" x14ac:dyDescent="0.25">
      <c r="A15815" s="17" t="s">
        <v>42509</v>
      </c>
      <c r="B15815" s="17" t="s">
        <v>70</v>
      </c>
      <c r="C15815" s="17" t="s">
        <v>71</v>
      </c>
      <c r="D15815" t="s">
        <v>1869</v>
      </c>
      <c r="F15815" t="s">
        <v>42510</v>
      </c>
      <c r="J15815" s="17" t="s">
        <v>42511</v>
      </c>
      <c r="K15815" s="18" t="s">
        <v>42512</v>
      </c>
      <c r="N15815" s="17" t="s">
        <v>74</v>
      </c>
      <c r="O15815" t="s">
        <v>117</v>
      </c>
      <c r="V15815" s="18" t="s">
        <v>42512</v>
      </c>
      <c r="Y15815" t="s">
        <v>90</v>
      </c>
      <c r="AA15815" t="s">
        <v>118</v>
      </c>
      <c r="AB15815" t="s">
        <v>119</v>
      </c>
    </row>
    <row r="15816" ht="15" customHeight="1" spans="1:23" x14ac:dyDescent="0.25">
      <c r="A15816" s="17" t="s">
        <v>42513</v>
      </c>
      <c r="B15816" s="17" t="s">
        <v>70</v>
      </c>
      <c r="C15816" s="17" t="s">
        <v>71</v>
      </c>
      <c r="D15816" t="s">
        <v>1869</v>
      </c>
      <c r="F15816" t="s">
        <v>42514</v>
      </c>
      <c r="K15816" s="18">
        <f>85266261357</f>
        <v>85266261357</v>
      </c>
      <c r="N15816" s="17" t="s">
        <v>77</v>
      </c>
      <c r="U15816" s="17"/>
      <c r="V15816" s="18">
        <f>85266261357</f>
        <v>85266261357</v>
      </c>
      <c r="W15816" t="s">
        <v>7602</v>
      </c>
    </row>
    <row r="15817" ht="15" customHeight="1" spans="1:28" x14ac:dyDescent="0.25">
      <c r="A15817" s="17" t="s">
        <v>42515</v>
      </c>
      <c r="B15817" s="17" t="s">
        <v>70</v>
      </c>
      <c r="C15817" s="17" t="s">
        <v>71</v>
      </c>
      <c r="D15817" t="s">
        <v>1869</v>
      </c>
      <c r="F15817" t="s">
        <v>24912</v>
      </c>
      <c r="J15817" t="s">
        <v>115</v>
      </c>
      <c r="K15817" s="18" t="s">
        <v>42516</v>
      </c>
      <c r="N15817" s="17" t="s">
        <v>74</v>
      </c>
      <c r="O15817" t="s">
        <v>117</v>
      </c>
      <c r="V15817" s="18" t="s">
        <v>42516</v>
      </c>
      <c r="Y15817" t="s">
        <v>1084</v>
      </c>
      <c r="AA15817" t="s">
        <v>3146</v>
      </c>
      <c r="AB15817" t="s">
        <v>119</v>
      </c>
    </row>
    <row r="15818" ht="15" customHeight="1" spans="1:23" x14ac:dyDescent="0.25">
      <c r="A15818" s="17" t="s">
        <v>42517</v>
      </c>
      <c r="B15818" s="17" t="s">
        <v>70</v>
      </c>
      <c r="C15818" s="17" t="s">
        <v>71</v>
      </c>
      <c r="D15818" t="s">
        <v>1869</v>
      </c>
      <c r="F15818" t="s">
        <v>12393</v>
      </c>
      <c r="K15818" s="18">
        <f>16465150662</f>
        <v>16465150662</v>
      </c>
      <c r="N15818" s="17" t="s">
        <v>77</v>
      </c>
      <c r="U15818" s="17"/>
      <c r="V15818" s="18">
        <f>16465150662</f>
        <v>16465150662</v>
      </c>
      <c r="W15818" t="s">
        <v>930</v>
      </c>
    </row>
    <row r="15819" ht="15" customHeight="1" spans="1:23" x14ac:dyDescent="0.25">
      <c r="A15819" s="17" t="s">
        <v>42518</v>
      </c>
      <c r="B15819" s="17" t="s">
        <v>70</v>
      </c>
      <c r="C15819" s="17" t="s">
        <v>71</v>
      </c>
      <c r="D15819" t="s">
        <v>1869</v>
      </c>
      <c r="F15819" t="s">
        <v>42519</v>
      </c>
      <c r="K15819" s="18">
        <f>14155139862</f>
        <v>14155139862</v>
      </c>
      <c r="N15819" s="17" t="s">
        <v>77</v>
      </c>
      <c r="U15819" s="17"/>
      <c r="V15819" s="18">
        <f>14155139862</f>
        <v>14155139862</v>
      </c>
      <c r="W15819" t="s">
        <v>930</v>
      </c>
    </row>
    <row r="15820" ht="15" customHeight="1" spans="1:28" x14ac:dyDescent="0.25">
      <c r="A15820" s="17" t="s">
        <v>42520</v>
      </c>
      <c r="B15820" s="17" t="s">
        <v>70</v>
      </c>
      <c r="C15820" s="17" t="s">
        <v>71</v>
      </c>
      <c r="D15820" t="s">
        <v>1869</v>
      </c>
      <c r="F15820" t="s">
        <v>42521</v>
      </c>
      <c r="J15820" t="s">
        <v>115</v>
      </c>
      <c r="K15820" s="18" t="s">
        <v>42522</v>
      </c>
      <c r="N15820" s="17" t="s">
        <v>77</v>
      </c>
      <c r="O15820" t="s">
        <v>199</v>
      </c>
      <c r="V15820" s="18" t="s">
        <v>42522</v>
      </c>
      <c r="Y15820" t="s">
        <v>7238</v>
      </c>
      <c r="AA15820" t="s">
        <v>115</v>
      </c>
      <c r="AB15820" t="s">
        <v>7238</v>
      </c>
    </row>
    <row r="15821" ht="15" customHeight="1" spans="1:22" x14ac:dyDescent="0.25">
      <c r="A15821" s="17" t="s">
        <v>42523</v>
      </c>
      <c r="B15821" s="17" t="s">
        <v>70</v>
      </c>
      <c r="C15821" s="17" t="s">
        <v>71</v>
      </c>
      <c r="D15821" t="s">
        <v>1869</v>
      </c>
      <c r="F15821" t="s">
        <v>999</v>
      </c>
      <c r="K15821" s="18">
        <f>628126011122</f>
        <v>628126011122</v>
      </c>
      <c r="N15821" s="17" t="s">
        <v>77</v>
      </c>
      <c r="V15821" s="18">
        <f>628126011122</f>
        <v>628126011122</v>
      </c>
    </row>
    <row r="15822" ht="15" customHeight="1" spans="1:22" x14ac:dyDescent="0.25">
      <c r="A15822" s="17" t="s">
        <v>42524</v>
      </c>
      <c r="B15822" s="17" t="s">
        <v>70</v>
      </c>
      <c r="C15822" s="17" t="s">
        <v>71</v>
      </c>
      <c r="D15822" t="s">
        <v>1869</v>
      </c>
      <c r="F15822" t="s">
        <v>7405</v>
      </c>
      <c r="K15822" s="18">
        <f>60192228444</f>
        <v>60192228444</v>
      </c>
      <c r="N15822" s="17" t="s">
        <v>81</v>
      </c>
      <c r="V15822" s="18">
        <f>60192228444</f>
        <v>60192228444</v>
      </c>
    </row>
    <row r="15823" ht="15" customHeight="1" spans="1:23" x14ac:dyDescent="0.25">
      <c r="A15823" s="17" t="s">
        <v>42525</v>
      </c>
      <c r="B15823" s="17" t="s">
        <v>70</v>
      </c>
      <c r="C15823" s="17" t="s">
        <v>71</v>
      </c>
      <c r="D15823" t="s">
        <v>1869</v>
      </c>
      <c r="F15823" t="s">
        <v>5942</v>
      </c>
      <c r="K15823" s="18">
        <f>60125835588</f>
        <v>60125835588</v>
      </c>
      <c r="N15823" s="17" t="s">
        <v>77</v>
      </c>
      <c r="U15823" s="17"/>
      <c r="V15823" s="18">
        <f>60125835588</f>
        <v>60125835588</v>
      </c>
      <c r="W15823" t="s">
        <v>42526</v>
      </c>
    </row>
    <row r="15824" ht="15" customHeight="1" spans="1:28" x14ac:dyDescent="0.25">
      <c r="A15824" s="17" t="s">
        <v>42527</v>
      </c>
      <c r="B15824" s="17" t="s">
        <v>70</v>
      </c>
      <c r="C15824" s="17" t="s">
        <v>71</v>
      </c>
      <c r="D15824" t="s">
        <v>42528</v>
      </c>
      <c r="F15824" t="s">
        <v>22648</v>
      </c>
      <c r="J15824" t="s">
        <v>115</v>
      </c>
      <c r="K15824" s="18" t="s">
        <v>42529</v>
      </c>
      <c r="N15824" s="17" t="s">
        <v>77</v>
      </c>
      <c r="O15824" t="s">
        <v>261</v>
      </c>
      <c r="V15824" s="18" t="s">
        <v>42529</v>
      </c>
      <c r="Y15824" t="s">
        <v>90</v>
      </c>
      <c r="AA15824" t="s">
        <v>118</v>
      </c>
      <c r="AB15824" t="s">
        <v>119</v>
      </c>
    </row>
    <row r="15825" ht="15" customHeight="1" spans="1:28" x14ac:dyDescent="0.25">
      <c r="A15825" s="17" t="s">
        <v>42530</v>
      </c>
      <c r="B15825" s="17" t="s">
        <v>70</v>
      </c>
      <c r="C15825" s="17" t="s">
        <v>71</v>
      </c>
      <c r="D15825" t="s">
        <v>42531</v>
      </c>
      <c r="F15825" t="s">
        <v>42532</v>
      </c>
      <c r="J15825" s="17" t="s">
        <v>42533</v>
      </c>
      <c r="K15825" s="18" t="s">
        <v>42534</v>
      </c>
      <c r="N15825" s="17" t="s">
        <v>77</v>
      </c>
      <c r="O15825" t="s">
        <v>145</v>
      </c>
      <c r="V15825" s="18" t="s">
        <v>42534</v>
      </c>
      <c r="Y15825" t="s">
        <v>115</v>
      </c>
      <c r="AA15825" t="s">
        <v>115</v>
      </c>
      <c r="AB15825" t="s">
        <v>4036</v>
      </c>
    </row>
    <row r="15826" ht="15" customHeight="1" spans="1:23" x14ac:dyDescent="0.25">
      <c r="A15826" s="17" t="s">
        <v>42535</v>
      </c>
      <c r="B15826" s="17" t="s">
        <v>70</v>
      </c>
      <c r="C15826" s="17" t="s">
        <v>71</v>
      </c>
      <c r="D15826" t="s">
        <v>42536</v>
      </c>
      <c r="F15826" t="s">
        <v>42537</v>
      </c>
      <c r="K15826" s="18">
        <f>66818181111</f>
        <v>66818181111</v>
      </c>
      <c r="N15826" s="17" t="s">
        <v>77</v>
      </c>
      <c r="U15826" s="17"/>
      <c r="V15826" s="18">
        <f>66818181111</f>
        <v>66818181111</v>
      </c>
      <c r="W15826" t="s">
        <v>4036</v>
      </c>
    </row>
    <row r="15827" ht="15" customHeight="1" spans="1:28" x14ac:dyDescent="0.25">
      <c r="A15827" s="17" t="s">
        <v>42538</v>
      </c>
      <c r="B15827" s="17" t="s">
        <v>70</v>
      </c>
      <c r="C15827" s="17" t="s">
        <v>71</v>
      </c>
      <c r="D15827" t="s">
        <v>42539</v>
      </c>
      <c r="F15827" t="s">
        <v>25123</v>
      </c>
      <c r="J15827" t="s">
        <v>115</v>
      </c>
      <c r="K15827" s="18" t="s">
        <v>42540</v>
      </c>
      <c r="N15827" s="17" t="s">
        <v>77</v>
      </c>
      <c r="O15827" t="s">
        <v>199</v>
      </c>
      <c r="U15827" s="17"/>
      <c r="V15827" s="18" t="s">
        <v>42540</v>
      </c>
      <c r="W15827" t="s">
        <v>42541</v>
      </c>
      <c r="Y15827" t="s">
        <v>96</v>
      </c>
      <c r="AA15827" s="17" t="s">
        <v>693</v>
      </c>
      <c r="AB15827" t="s">
        <v>119</v>
      </c>
    </row>
    <row r="15828" ht="15" customHeight="1" spans="1:28" x14ac:dyDescent="0.25">
      <c r="A15828" s="17" t="s">
        <v>42542</v>
      </c>
      <c r="B15828" s="17" t="s">
        <v>70</v>
      </c>
      <c r="C15828" s="17" t="s">
        <v>71</v>
      </c>
      <c r="D15828" t="s">
        <v>42543</v>
      </c>
      <c r="F15828" t="s">
        <v>42544</v>
      </c>
      <c r="J15828" s="17" t="s">
        <v>42545</v>
      </c>
      <c r="K15828" s="18" t="s">
        <v>42546</v>
      </c>
      <c r="N15828" s="17" t="s">
        <v>77</v>
      </c>
      <c r="O15828" t="s">
        <v>489</v>
      </c>
      <c r="V15828" s="18" t="s">
        <v>42546</v>
      </c>
      <c r="Y15828" s="17" t="s">
        <v>930</v>
      </c>
      <c r="AA15828" t="s">
        <v>115</v>
      </c>
      <c r="AB15828" t="s">
        <v>930</v>
      </c>
    </row>
    <row r="15829" ht="15" customHeight="1" spans="1:23" x14ac:dyDescent="0.25">
      <c r="A15829" s="17" t="s">
        <v>42547</v>
      </c>
      <c r="B15829" s="17" t="s">
        <v>70</v>
      </c>
      <c r="C15829" s="17" t="s">
        <v>71</v>
      </c>
      <c r="D15829" t="s">
        <v>42548</v>
      </c>
      <c r="F15829" t="s">
        <v>7914</v>
      </c>
      <c r="K15829" s="18">
        <f>628111921004</f>
        <v>628111921004</v>
      </c>
      <c r="N15829" s="17" t="s">
        <v>77</v>
      </c>
      <c r="U15829" s="17"/>
      <c r="V15829" s="18">
        <f>628111921004</f>
        <v>628111921004</v>
      </c>
      <c r="W15829" t="s">
        <v>42549</v>
      </c>
    </row>
    <row r="15830" ht="15" customHeight="1" spans="1:22" x14ac:dyDescent="0.25">
      <c r="A15830" s="17" t="s">
        <v>42550</v>
      </c>
      <c r="B15830" s="17" t="s">
        <v>70</v>
      </c>
      <c r="C15830" s="17" t="s">
        <v>71</v>
      </c>
      <c r="D15830" t="s">
        <v>42551</v>
      </c>
      <c r="F15830" t="s">
        <v>13174</v>
      </c>
      <c r="K15830" s="18">
        <f>62218616255</f>
        <v>62218616255</v>
      </c>
      <c r="N15830" s="17" t="s">
        <v>77</v>
      </c>
      <c r="V15830" s="18">
        <f>62218616255</f>
        <v>62218616255</v>
      </c>
    </row>
    <row r="15831" ht="15" customHeight="1" spans="1:28" x14ac:dyDescent="0.25">
      <c r="A15831" s="17" t="s">
        <v>42552</v>
      </c>
      <c r="B15831" s="17" t="s">
        <v>70</v>
      </c>
      <c r="C15831" s="17" t="s">
        <v>71</v>
      </c>
      <c r="D15831" t="s">
        <v>42553</v>
      </c>
      <c r="F15831" t="s">
        <v>42554</v>
      </c>
      <c r="J15831" t="s">
        <v>115</v>
      </c>
      <c r="K15831" s="18" t="s">
        <v>42555</v>
      </c>
      <c r="N15831" s="17" t="s">
        <v>77</v>
      </c>
      <c r="O15831" t="s">
        <v>117</v>
      </c>
      <c r="V15831" s="18" t="s">
        <v>42555</v>
      </c>
      <c r="Y15831" t="s">
        <v>190</v>
      </c>
      <c r="AA15831" t="s">
        <v>118</v>
      </c>
      <c r="AB15831" t="s">
        <v>119</v>
      </c>
    </row>
    <row r="15832" ht="15" customHeight="1" spans="1:28" x14ac:dyDescent="0.25">
      <c r="A15832" s="17" t="s">
        <v>42556</v>
      </c>
      <c r="B15832" s="17" t="s">
        <v>70</v>
      </c>
      <c r="C15832" s="17" t="s">
        <v>71</v>
      </c>
      <c r="D15832" t="s">
        <v>2785</v>
      </c>
      <c r="F15832" t="s">
        <v>42557</v>
      </c>
      <c r="J15832" s="17" t="s">
        <v>42558</v>
      </c>
      <c r="K15832" s="18" t="s">
        <v>42559</v>
      </c>
      <c r="N15832" s="17" t="s">
        <v>77</v>
      </c>
      <c r="O15832" t="s">
        <v>145</v>
      </c>
      <c r="V15832" s="18" t="s">
        <v>42559</v>
      </c>
      <c r="Y15832" t="s">
        <v>8335</v>
      </c>
      <c r="AA15832" t="s">
        <v>115</v>
      </c>
      <c r="AB15832" t="s">
        <v>119</v>
      </c>
    </row>
    <row r="15833" ht="15" customHeight="1" spans="1:28" x14ac:dyDescent="0.25">
      <c r="A15833" s="17" t="s">
        <v>42560</v>
      </c>
      <c r="B15833" s="17" t="s">
        <v>70</v>
      </c>
      <c r="C15833" s="17" t="s">
        <v>71</v>
      </c>
      <c r="D15833" t="s">
        <v>8001</v>
      </c>
      <c r="F15833" t="s">
        <v>2785</v>
      </c>
      <c r="J15833" t="s">
        <v>115</v>
      </c>
      <c r="K15833" s="18" t="s">
        <v>42561</v>
      </c>
      <c r="N15833" s="17" t="s">
        <v>77</v>
      </c>
      <c r="O15833" t="s">
        <v>117</v>
      </c>
      <c r="V15833" s="18" t="s">
        <v>42561</v>
      </c>
      <c r="Y15833" t="s">
        <v>90</v>
      </c>
      <c r="AA15833" t="s">
        <v>118</v>
      </c>
      <c r="AB15833" t="s">
        <v>119</v>
      </c>
    </row>
    <row r="15834" ht="15" customHeight="1" spans="1:23" x14ac:dyDescent="0.25">
      <c r="A15834" s="17" t="s">
        <v>42562</v>
      </c>
      <c r="B15834" s="17" t="s">
        <v>70</v>
      </c>
      <c r="C15834" s="17" t="s">
        <v>71</v>
      </c>
      <c r="D15834" t="s">
        <v>2785</v>
      </c>
      <c r="F15834" t="s">
        <v>42563</v>
      </c>
      <c r="K15834" s="18">
        <f>18806790068</f>
        <v>18806790068</v>
      </c>
      <c r="N15834" s="17" t="s">
        <v>77</v>
      </c>
      <c r="U15834" s="17"/>
      <c r="V15834" s="18">
        <f>18806790068</f>
        <v>18806790068</v>
      </c>
      <c r="W15834" t="s">
        <v>42564</v>
      </c>
    </row>
    <row r="15835" ht="15" customHeight="1" spans="1:23" x14ac:dyDescent="0.25">
      <c r="A15835" s="17" t="s">
        <v>42565</v>
      </c>
      <c r="B15835" s="17" t="s">
        <v>70</v>
      </c>
      <c r="C15835" s="17" t="s">
        <v>71</v>
      </c>
      <c r="D15835" t="s">
        <v>2785</v>
      </c>
      <c r="F15835" t="s">
        <v>2497</v>
      </c>
      <c r="K15835" s="18">
        <f>6592998571</f>
        <v>6592998571</v>
      </c>
      <c r="N15835" s="17" t="s">
        <v>77</v>
      </c>
      <c r="U15835" s="17"/>
      <c r="V15835" s="18">
        <f>6592998571</f>
        <v>6592998571</v>
      </c>
      <c r="W15835" t="s">
        <v>2356</v>
      </c>
    </row>
    <row r="15836" ht="15" customHeight="1" spans="1:22" x14ac:dyDescent="0.25">
      <c r="A15836" s="17" t="s">
        <v>42566</v>
      </c>
      <c r="B15836" s="17" t="s">
        <v>70</v>
      </c>
      <c r="C15836" s="17" t="s">
        <v>71</v>
      </c>
      <c r="D15836" t="s">
        <v>2785</v>
      </c>
      <c r="F15836" t="s">
        <v>42567</v>
      </c>
      <c r="K15836" s="18">
        <f>8613018803774</f>
        <v>8613018803774</v>
      </c>
      <c r="N15836" s="17" t="s">
        <v>81</v>
      </c>
      <c r="V15836" s="18">
        <f>8613018803774</f>
        <v>8613018803774</v>
      </c>
    </row>
    <row r="15837" ht="15" customHeight="1" spans="1:23" x14ac:dyDescent="0.25">
      <c r="A15837" s="17" t="s">
        <v>42568</v>
      </c>
      <c r="B15837" s="17" t="s">
        <v>70</v>
      </c>
      <c r="C15837" s="17" t="s">
        <v>71</v>
      </c>
      <c r="D15837" t="s">
        <v>2785</v>
      </c>
      <c r="F15837" t="s">
        <v>7345</v>
      </c>
      <c r="J15837" s="17" t="s">
        <v>42569</v>
      </c>
      <c r="K15837" s="18">
        <f>61418613493</f>
        <v>61418613493</v>
      </c>
      <c r="N15837" s="17" t="s">
        <v>77</v>
      </c>
      <c r="U15837" s="17"/>
      <c r="V15837" s="18">
        <f>61418613493</f>
        <v>61418613493</v>
      </c>
      <c r="W15837" t="s">
        <v>1903</v>
      </c>
    </row>
    <row r="15838" ht="15" customHeight="1" spans="1:22" x14ac:dyDescent="0.25">
      <c r="A15838" s="17" t="s">
        <v>42570</v>
      </c>
      <c r="B15838" s="17" t="s">
        <v>70</v>
      </c>
      <c r="C15838" s="17" t="s">
        <v>71</v>
      </c>
      <c r="D15838" t="s">
        <v>2785</v>
      </c>
      <c r="F15838" t="s">
        <v>42571</v>
      </c>
      <c r="K15838" s="18">
        <f>628113300696</f>
        <v>628113300696</v>
      </c>
      <c r="N15838" s="17" t="s">
        <v>77</v>
      </c>
      <c r="V15838" s="18">
        <f>628113300696</f>
        <v>628113300696</v>
      </c>
    </row>
    <row r="15839" ht="15" customHeight="1" spans="1:28" x14ac:dyDescent="0.25">
      <c r="A15839" s="17" t="s">
        <v>42572</v>
      </c>
      <c r="B15839" s="17" t="s">
        <v>70</v>
      </c>
      <c r="C15839" s="17" t="s">
        <v>71</v>
      </c>
      <c r="D15839" t="s">
        <v>2785</v>
      </c>
      <c r="F15839" t="s">
        <v>42571</v>
      </c>
      <c r="J15839" t="s">
        <v>115</v>
      </c>
      <c r="K15839" s="18" t="s">
        <v>42573</v>
      </c>
      <c r="N15839" s="17" t="s">
        <v>77</v>
      </c>
      <c r="O15839" t="s">
        <v>145</v>
      </c>
      <c r="V15839" s="18" t="s">
        <v>42573</v>
      </c>
      <c r="Y15839" t="s">
        <v>90</v>
      </c>
      <c r="AA15839" t="s">
        <v>118</v>
      </c>
      <c r="AB15839" t="s">
        <v>119</v>
      </c>
    </row>
    <row r="15840" ht="15" customHeight="1" spans="1:22" x14ac:dyDescent="0.25">
      <c r="A15840" s="17" t="s">
        <v>42574</v>
      </c>
      <c r="B15840" s="17" t="s">
        <v>70</v>
      </c>
      <c r="C15840" s="17" t="s">
        <v>71</v>
      </c>
      <c r="D15840" t="s">
        <v>2785</v>
      </c>
      <c r="F15840" t="s">
        <v>20532</v>
      </c>
      <c r="K15840" s="18">
        <f>628118775825</f>
        <v>628118775825</v>
      </c>
      <c r="N15840" s="17" t="s">
        <v>77</v>
      </c>
      <c r="V15840" s="18">
        <f>628118775825</f>
        <v>628118775825</v>
      </c>
    </row>
    <row r="15841" ht="15" customHeight="1" spans="1:25" x14ac:dyDescent="0.25">
      <c r="A15841" s="17" t="s">
        <v>42575</v>
      </c>
      <c r="B15841" s="17" t="s">
        <v>70</v>
      </c>
      <c r="C15841" s="17" t="s">
        <v>71</v>
      </c>
      <c r="D15841" t="s">
        <v>2785</v>
      </c>
      <c r="F15841" t="s">
        <v>42576</v>
      </c>
      <c r="K15841" s="18">
        <v>18962416978</v>
      </c>
      <c r="N15841" s="17" t="s">
        <v>77</v>
      </c>
      <c r="U15841" s="17"/>
      <c r="V15841" s="18">
        <v>18962416978</v>
      </c>
      <c r="W15841" t="s">
        <v>6980</v>
      </c>
      <c r="Y15841" s="17" t="s">
        <v>6980</v>
      </c>
    </row>
    <row r="15842" ht="15" customHeight="1" spans="1:22" x14ac:dyDescent="0.25">
      <c r="A15842" s="17" t="s">
        <v>42577</v>
      </c>
      <c r="B15842" s="17" t="s">
        <v>70</v>
      </c>
      <c r="C15842" s="17" t="s">
        <v>71</v>
      </c>
      <c r="D15842" t="s">
        <v>2785</v>
      </c>
      <c r="F15842" t="s">
        <v>7405</v>
      </c>
      <c r="K15842" s="18">
        <f>6285881111188</f>
        <v>6285881111188</v>
      </c>
      <c r="N15842" s="17" t="s">
        <v>81</v>
      </c>
      <c r="V15842" s="18">
        <f>6285881111188</f>
        <v>6285881111188</v>
      </c>
    </row>
    <row r="15843" ht="15" customHeight="1" spans="1:28" x14ac:dyDescent="0.25">
      <c r="A15843" s="17" t="s">
        <v>42578</v>
      </c>
      <c r="B15843" s="17" t="s">
        <v>70</v>
      </c>
      <c r="C15843" s="17" t="s">
        <v>71</v>
      </c>
      <c r="D15843" t="s">
        <v>42579</v>
      </c>
      <c r="F15843" t="s">
        <v>2785</v>
      </c>
      <c r="J15843" s="17" t="s">
        <v>42580</v>
      </c>
      <c r="K15843" s="18" t="s">
        <v>42581</v>
      </c>
      <c r="N15843" s="17" t="s">
        <v>77</v>
      </c>
      <c r="O15843" t="s">
        <v>117</v>
      </c>
      <c r="U15843" s="17"/>
      <c r="V15843" s="18" t="s">
        <v>42581</v>
      </c>
      <c r="W15843" t="s">
        <v>3140</v>
      </c>
      <c r="Y15843" t="s">
        <v>115</v>
      </c>
      <c r="AA15843" t="s">
        <v>115</v>
      </c>
      <c r="AB15843" t="s">
        <v>3140</v>
      </c>
    </row>
    <row r="15844" ht="15" customHeight="1" spans="1:22" x14ac:dyDescent="0.25">
      <c r="A15844" s="17" t="s">
        <v>42582</v>
      </c>
      <c r="B15844" s="17" t="s">
        <v>70</v>
      </c>
      <c r="C15844" s="17" t="s">
        <v>71</v>
      </c>
      <c r="D15844" t="s">
        <v>2785</v>
      </c>
      <c r="F15844" t="s">
        <v>8400</v>
      </c>
      <c r="K15844" s="18">
        <f>6281319533211</f>
        <v>6281319533211</v>
      </c>
      <c r="N15844" s="17" t="s">
        <v>81</v>
      </c>
      <c r="V15844" s="18">
        <f>6281319533211</f>
        <v>6281319533211</v>
      </c>
    </row>
    <row r="15845" ht="15" customHeight="1" spans="1:22" x14ac:dyDescent="0.25">
      <c r="A15845" s="17" t="s">
        <v>42583</v>
      </c>
      <c r="B15845" s="17" t="s">
        <v>70</v>
      </c>
      <c r="C15845" s="17" t="s">
        <v>71</v>
      </c>
      <c r="D15845" t="s">
        <v>42584</v>
      </c>
      <c r="F15845" t="s">
        <v>42585</v>
      </c>
      <c r="K15845" s="18">
        <f>6281319539211</f>
        <v>6281319539211</v>
      </c>
      <c r="N15845" s="17" t="s">
        <v>81</v>
      </c>
      <c r="V15845" s="18">
        <f>6281319539211</f>
        <v>6281319539211</v>
      </c>
    </row>
    <row r="15846" ht="15" customHeight="1" spans="1:22" x14ac:dyDescent="0.25">
      <c r="A15846" s="17" t="s">
        <v>42586</v>
      </c>
      <c r="B15846" s="17" t="s">
        <v>70</v>
      </c>
      <c r="C15846" s="17" t="s">
        <v>71</v>
      </c>
      <c r="D15846" t="s">
        <v>2785</v>
      </c>
      <c r="F15846" t="s">
        <v>8419</v>
      </c>
      <c r="K15846" s="18">
        <f>628121155588</f>
        <v>628121155588</v>
      </c>
      <c r="N15846" s="17" t="s">
        <v>77</v>
      </c>
      <c r="V15846" s="18">
        <f>628121155588</f>
        <v>628121155588</v>
      </c>
    </row>
    <row r="15847" ht="15" customHeight="1" spans="1:28" x14ac:dyDescent="0.25">
      <c r="A15847" s="17" t="s">
        <v>42587</v>
      </c>
      <c r="B15847" s="17" t="s">
        <v>70</v>
      </c>
      <c r="C15847" s="17" t="s">
        <v>71</v>
      </c>
      <c r="D15847" t="s">
        <v>2785</v>
      </c>
      <c r="F15847" t="s">
        <v>2493</v>
      </c>
      <c r="J15847" s="17" t="s">
        <v>42588</v>
      </c>
      <c r="K15847" s="18" t="s">
        <v>42589</v>
      </c>
      <c r="N15847" s="17" t="s">
        <v>77</v>
      </c>
      <c r="O15847" t="s">
        <v>117</v>
      </c>
      <c r="V15847" s="18" t="s">
        <v>42589</v>
      </c>
      <c r="Y15847" t="s">
        <v>115</v>
      </c>
      <c r="AA15847" t="s">
        <v>115</v>
      </c>
      <c r="AB15847" t="s">
        <v>3140</v>
      </c>
    </row>
    <row r="15848" ht="15" customHeight="1" spans="1:23" x14ac:dyDescent="0.25">
      <c r="A15848" s="17" t="s">
        <v>42590</v>
      </c>
      <c r="B15848" s="17" t="s">
        <v>70</v>
      </c>
      <c r="C15848" s="17" t="s">
        <v>71</v>
      </c>
      <c r="D15848" t="s">
        <v>42591</v>
      </c>
      <c r="F15848" t="s">
        <v>8308</v>
      </c>
      <c r="K15848" s="18">
        <f>8613813832899</f>
        <v>8613813832899</v>
      </c>
      <c r="N15848" s="17" t="s">
        <v>77</v>
      </c>
      <c r="U15848" s="17"/>
      <c r="V15848" s="18">
        <f>8613813832899</f>
        <v>8613813832899</v>
      </c>
      <c r="W15848" t="s">
        <v>6666</v>
      </c>
    </row>
    <row r="15849" ht="15" customHeight="1" spans="1:28" x14ac:dyDescent="0.25">
      <c r="A15849" s="17" t="s">
        <v>42592</v>
      </c>
      <c r="B15849" s="17" t="s">
        <v>70</v>
      </c>
      <c r="C15849" s="17" t="s">
        <v>71</v>
      </c>
      <c r="D15849" t="s">
        <v>2785</v>
      </c>
      <c r="F15849" t="s">
        <v>42593</v>
      </c>
      <c r="J15849" s="17" t="s">
        <v>42594</v>
      </c>
      <c r="K15849" s="18" t="s">
        <v>42595</v>
      </c>
      <c r="N15849" s="17" t="s">
        <v>77</v>
      </c>
      <c r="O15849" t="s">
        <v>117</v>
      </c>
      <c r="V15849" s="18" t="s">
        <v>42595</v>
      </c>
      <c r="Y15849" s="17" t="s">
        <v>3140</v>
      </c>
      <c r="AA15849" t="s">
        <v>115</v>
      </c>
      <c r="AB15849" t="s">
        <v>3140</v>
      </c>
    </row>
    <row r="15850" ht="15" customHeight="1" spans="1:28" x14ac:dyDescent="0.25">
      <c r="A15850" s="17" t="s">
        <v>42596</v>
      </c>
      <c r="B15850" s="17" t="s">
        <v>70</v>
      </c>
      <c r="C15850" s="17" t="s">
        <v>71</v>
      </c>
      <c r="D15850" t="s">
        <v>42591</v>
      </c>
      <c r="F15850" t="s">
        <v>29736</v>
      </c>
      <c r="J15850" s="17" t="s">
        <v>42597</v>
      </c>
      <c r="K15850" s="18" t="s">
        <v>42598</v>
      </c>
      <c r="N15850" s="17" t="s">
        <v>77</v>
      </c>
      <c r="O15850" t="s">
        <v>117</v>
      </c>
      <c r="U15850" s="17"/>
      <c r="V15850" s="18" t="s">
        <v>42598</v>
      </c>
      <c r="W15850" t="s">
        <v>3140</v>
      </c>
      <c r="Y15850" t="s">
        <v>3140</v>
      </c>
      <c r="AA15850" t="s">
        <v>115</v>
      </c>
      <c r="AB15850" t="s">
        <v>3140</v>
      </c>
    </row>
    <row r="15851" ht="15" customHeight="1" spans="1:23" x14ac:dyDescent="0.25">
      <c r="A15851" s="17" t="s">
        <v>42599</v>
      </c>
      <c r="B15851" s="17" t="s">
        <v>70</v>
      </c>
      <c r="C15851" s="17" t="s">
        <v>71</v>
      </c>
      <c r="D15851" t="s">
        <v>42591</v>
      </c>
      <c r="F15851" t="s">
        <v>42600</v>
      </c>
      <c r="J15851" s="17" t="s">
        <v>42601</v>
      </c>
      <c r="K15851" s="18">
        <f>8613817011820</f>
        <v>8613817011820</v>
      </c>
      <c r="N15851" s="17" t="s">
        <v>77</v>
      </c>
      <c r="U15851" s="17"/>
      <c r="V15851" s="18">
        <f>8613817011820</f>
        <v>8613817011820</v>
      </c>
      <c r="W15851" t="s">
        <v>7374</v>
      </c>
    </row>
    <row r="15852" ht="15" customHeight="1" spans="1:22" x14ac:dyDescent="0.25">
      <c r="A15852" s="17" t="s">
        <v>42602</v>
      </c>
      <c r="B15852" s="17" t="s">
        <v>70</v>
      </c>
      <c r="C15852" s="17" t="s">
        <v>71</v>
      </c>
      <c r="D15852" t="s">
        <v>42603</v>
      </c>
      <c r="F15852" t="s">
        <v>42604</v>
      </c>
      <c r="K15852" s="18">
        <f>6598400217</f>
        <v>6598400217</v>
      </c>
      <c r="N15852" s="17" t="s">
        <v>81</v>
      </c>
      <c r="V15852" s="18">
        <f>6598400217</f>
        <v>6598400217</v>
      </c>
    </row>
    <row r="15853" ht="15" customHeight="1" spans="1:28" x14ac:dyDescent="0.25">
      <c r="A15853" s="17" t="s">
        <v>42605</v>
      </c>
      <c r="B15853" s="17" t="s">
        <v>70</v>
      </c>
      <c r="C15853" s="17" t="s">
        <v>71</v>
      </c>
      <c r="D15853" t="s">
        <v>2785</v>
      </c>
      <c r="F15853" t="s">
        <v>42606</v>
      </c>
      <c r="J15853" s="17" t="s">
        <v>42607</v>
      </c>
      <c r="K15853" s="18" t="s">
        <v>42608</v>
      </c>
      <c r="N15853" s="17" t="s">
        <v>77</v>
      </c>
      <c r="O15853" t="s">
        <v>117</v>
      </c>
      <c r="U15853" s="17"/>
      <c r="V15853" s="18" t="s">
        <v>42608</v>
      </c>
      <c r="W15853" t="s">
        <v>3140</v>
      </c>
      <c r="Y15853" s="17" t="s">
        <v>3140</v>
      </c>
      <c r="AA15853" t="s">
        <v>115</v>
      </c>
      <c r="AB15853" t="s">
        <v>3140</v>
      </c>
    </row>
    <row r="15854" ht="15" customHeight="1" spans="1:28" x14ac:dyDescent="0.25">
      <c r="A15854" s="17" t="s">
        <v>42609</v>
      </c>
      <c r="B15854" s="17" t="s">
        <v>70</v>
      </c>
      <c r="C15854" s="17" t="s">
        <v>71</v>
      </c>
      <c r="D15854" t="s">
        <v>2785</v>
      </c>
      <c r="F15854" t="s">
        <v>42610</v>
      </c>
      <c r="J15854" s="17" t="s">
        <v>42611</v>
      </c>
      <c r="K15854" s="18" t="s">
        <v>42612</v>
      </c>
      <c r="N15854" s="17" t="s">
        <v>77</v>
      </c>
      <c r="O15854" t="s">
        <v>117</v>
      </c>
      <c r="V15854" s="18" t="s">
        <v>42612</v>
      </c>
      <c r="Y15854" s="17" t="s">
        <v>3140</v>
      </c>
      <c r="AA15854" t="s">
        <v>115</v>
      </c>
      <c r="AB15854" t="s">
        <v>3140</v>
      </c>
    </row>
    <row r="15855" ht="15" customHeight="1" spans="1:28" x14ac:dyDescent="0.25">
      <c r="A15855" s="17" t="s">
        <v>42613</v>
      </c>
      <c r="B15855" s="17" t="s">
        <v>70</v>
      </c>
      <c r="C15855" s="17" t="s">
        <v>71</v>
      </c>
      <c r="D15855" t="s">
        <v>42614</v>
      </c>
      <c r="F15855" t="s">
        <v>13878</v>
      </c>
      <c r="J15855" s="17" t="s">
        <v>42615</v>
      </c>
      <c r="K15855" s="18" t="s">
        <v>42616</v>
      </c>
      <c r="N15855" s="17" t="s">
        <v>77</v>
      </c>
      <c r="O15855" t="s">
        <v>117</v>
      </c>
      <c r="V15855" s="18" t="s">
        <v>42616</v>
      </c>
      <c r="Y15855" t="s">
        <v>115</v>
      </c>
      <c r="AA15855" t="s">
        <v>115</v>
      </c>
      <c r="AB15855" t="s">
        <v>3140</v>
      </c>
    </row>
    <row r="15856" ht="15" customHeight="1" spans="1:28" x14ac:dyDescent="0.25">
      <c r="A15856" s="17" t="s">
        <v>42617</v>
      </c>
      <c r="B15856" s="17" t="s">
        <v>70</v>
      </c>
      <c r="C15856" s="17" t="s">
        <v>71</v>
      </c>
      <c r="D15856" t="s">
        <v>2785</v>
      </c>
      <c r="F15856" t="s">
        <v>42618</v>
      </c>
      <c r="J15856" s="17" t="s">
        <v>42619</v>
      </c>
      <c r="K15856" s="18" t="s">
        <v>42620</v>
      </c>
      <c r="N15856" s="17" t="s">
        <v>77</v>
      </c>
      <c r="O15856" t="s">
        <v>117</v>
      </c>
      <c r="U15856" s="17"/>
      <c r="V15856" s="18" t="s">
        <v>42620</v>
      </c>
      <c r="W15856" t="s">
        <v>1903</v>
      </c>
      <c r="Y15856" t="s">
        <v>1903</v>
      </c>
      <c r="AA15856" t="s">
        <v>115</v>
      </c>
      <c r="AB15856" t="s">
        <v>1903</v>
      </c>
    </row>
    <row r="15857" ht="15" customHeight="1" spans="1:22" x14ac:dyDescent="0.25">
      <c r="A15857" s="17" t="s">
        <v>42621</v>
      </c>
      <c r="B15857" s="17" t="s">
        <v>70</v>
      </c>
      <c r="C15857" s="17" t="s">
        <v>71</v>
      </c>
      <c r="D15857" t="s">
        <v>16073</v>
      </c>
      <c r="F15857" t="s">
        <v>16073</v>
      </c>
      <c r="K15857" s="18">
        <f>6281315233333</f>
        <v>6281315233333</v>
      </c>
      <c r="N15857" s="17" t="s">
        <v>77</v>
      </c>
      <c r="V15857" s="18">
        <f>6281315233333</f>
        <v>6281315233333</v>
      </c>
    </row>
    <row r="15858" ht="15" customHeight="1" spans="1:22" x14ac:dyDescent="0.25">
      <c r="A15858" s="17" t="s">
        <v>42622</v>
      </c>
      <c r="B15858" s="17" t="s">
        <v>70</v>
      </c>
      <c r="C15858" s="17" t="s">
        <v>71</v>
      </c>
      <c r="D15858" t="s">
        <v>16073</v>
      </c>
      <c r="F15858" t="s">
        <v>16073</v>
      </c>
      <c r="K15858" s="18">
        <f>628121348833</f>
        <v>628121348833</v>
      </c>
      <c r="N15858" s="17" t="s">
        <v>81</v>
      </c>
      <c r="V15858" s="18">
        <f>628121348833</f>
        <v>628121348833</v>
      </c>
    </row>
    <row r="15859" ht="15" customHeight="1" spans="1:22" x14ac:dyDescent="0.25">
      <c r="A15859" s="17" t="s">
        <v>42623</v>
      </c>
      <c r="B15859" s="17" t="s">
        <v>70</v>
      </c>
      <c r="C15859" s="17" t="s">
        <v>71</v>
      </c>
      <c r="D15859" t="s">
        <v>16073</v>
      </c>
      <c r="F15859" t="s">
        <v>167</v>
      </c>
      <c r="K15859" s="18">
        <f>62811984064</f>
        <v>62811984064</v>
      </c>
      <c r="N15859" s="17" t="s">
        <v>77</v>
      </c>
      <c r="V15859" s="18">
        <f>62811984064</f>
        <v>62811984064</v>
      </c>
    </row>
    <row r="15860" ht="15" customHeight="1" spans="1:23" x14ac:dyDescent="0.25">
      <c r="A15860" s="17" t="s">
        <v>42624</v>
      </c>
      <c r="B15860" s="17" t="s">
        <v>70</v>
      </c>
      <c r="C15860" s="17" t="s">
        <v>71</v>
      </c>
      <c r="D15860" t="s">
        <v>16073</v>
      </c>
      <c r="F15860" t="s">
        <v>2262</v>
      </c>
      <c r="K15860" s="18">
        <f>6281285229502</f>
        <v>6281285229502</v>
      </c>
      <c r="N15860" s="17" t="s">
        <v>74</v>
      </c>
      <c r="U15860" s="17"/>
      <c r="V15860" s="18">
        <f>6281285229502</f>
        <v>6281285229502</v>
      </c>
      <c r="W15860" t="s">
        <v>42625</v>
      </c>
    </row>
    <row r="15861" ht="15" customHeight="1" spans="1:22" x14ac:dyDescent="0.25">
      <c r="A15861" s="17" t="s">
        <v>42626</v>
      </c>
      <c r="B15861" s="17" t="s">
        <v>70</v>
      </c>
      <c r="C15861" s="17" t="s">
        <v>71</v>
      </c>
      <c r="D15861" t="s">
        <v>16073</v>
      </c>
      <c r="F15861" t="s">
        <v>42627</v>
      </c>
      <c r="K15861" s="18">
        <f>62817896260</f>
        <v>62817896260</v>
      </c>
      <c r="N15861" s="17" t="s">
        <v>81</v>
      </c>
      <c r="V15861" s="18">
        <f>62817896260</f>
        <v>62817896260</v>
      </c>
    </row>
    <row r="15862" ht="15" customHeight="1" spans="1:25" x14ac:dyDescent="0.25">
      <c r="A15862" s="17" t="s">
        <v>42628</v>
      </c>
      <c r="B15862" s="17" t="s">
        <v>70</v>
      </c>
      <c r="C15862" s="17" t="s">
        <v>71</v>
      </c>
      <c r="D15862" t="s">
        <v>16073</v>
      </c>
      <c r="F15862" t="s">
        <v>13161</v>
      </c>
      <c r="J15862" s="17" t="s">
        <v>42629</v>
      </c>
      <c r="K15862" s="18">
        <f>628119780110</f>
        <v>628119780110</v>
      </c>
      <c r="N15862" s="17" t="s">
        <v>77</v>
      </c>
      <c r="U15862" s="17"/>
      <c r="V15862" s="18">
        <f>628119780110</f>
        <v>628119780110</v>
      </c>
      <c r="W15862" t="s">
        <v>42630</v>
      </c>
      <c r="Y15862" s="17" t="s">
        <v>596</v>
      </c>
    </row>
    <row r="15863" ht="15" customHeight="1" spans="1:22" x14ac:dyDescent="0.25">
      <c r="A15863" s="17" t="s">
        <v>42631</v>
      </c>
      <c r="B15863" s="17" t="s">
        <v>70</v>
      </c>
      <c r="C15863" s="17" t="s">
        <v>71</v>
      </c>
      <c r="D15863" t="s">
        <v>4858</v>
      </c>
      <c r="F15863" t="s">
        <v>4858</v>
      </c>
      <c r="K15863" s="18">
        <f>6281915949777</f>
        <v>6281915949777</v>
      </c>
      <c r="N15863" s="17" t="s">
        <v>81</v>
      </c>
      <c r="V15863" s="18">
        <f>6281915949777</f>
        <v>6281915949777</v>
      </c>
    </row>
    <row r="15864" ht="15" customHeight="1" spans="1:22" x14ac:dyDescent="0.25">
      <c r="A15864" s="17" t="s">
        <v>42632</v>
      </c>
      <c r="B15864" s="17" t="s">
        <v>70</v>
      </c>
      <c r="C15864" s="17" t="s">
        <v>71</v>
      </c>
      <c r="D15864" t="s">
        <v>4858</v>
      </c>
      <c r="F15864" t="s">
        <v>42633</v>
      </c>
      <c r="K15864" s="18">
        <f>628135475480</f>
        <v>628135475480</v>
      </c>
      <c r="N15864" s="17" t="s">
        <v>77</v>
      </c>
      <c r="V15864" s="18">
        <f>628135475480</f>
        <v>628135475480</v>
      </c>
    </row>
    <row r="15865" ht="15" customHeight="1" spans="1:28" x14ac:dyDescent="0.25">
      <c r="A15865" s="17" t="s">
        <v>42634</v>
      </c>
      <c r="B15865" s="17" t="s">
        <v>70</v>
      </c>
      <c r="C15865" s="17" t="s">
        <v>71</v>
      </c>
      <c r="D15865" t="s">
        <v>4858</v>
      </c>
      <c r="F15865" t="s">
        <v>12615</v>
      </c>
      <c r="J15865" t="s">
        <v>42635</v>
      </c>
      <c r="K15865" s="18" t="s">
        <v>42636</v>
      </c>
      <c r="N15865" s="17" t="s">
        <v>77</v>
      </c>
      <c r="O15865" t="s">
        <v>145</v>
      </c>
      <c r="V15865" s="18" t="s">
        <v>42636</v>
      </c>
      <c r="Y15865" t="s">
        <v>190</v>
      </c>
      <c r="AA15865" t="s">
        <v>118</v>
      </c>
      <c r="AB15865" t="s">
        <v>119</v>
      </c>
    </row>
    <row r="15866" ht="15" customHeight="1" spans="1:28" x14ac:dyDescent="0.25">
      <c r="A15866" s="17" t="s">
        <v>42637</v>
      </c>
      <c r="B15866" s="17" t="s">
        <v>70</v>
      </c>
      <c r="C15866" s="17" t="s">
        <v>71</v>
      </c>
      <c r="D15866" t="s">
        <v>42638</v>
      </c>
      <c r="F15866" t="s">
        <v>42639</v>
      </c>
      <c r="J15866" t="s">
        <v>115</v>
      </c>
      <c r="K15866" s="18" t="s">
        <v>42640</v>
      </c>
      <c r="N15866" s="17" t="s">
        <v>77</v>
      </c>
      <c r="O15866" t="s">
        <v>145</v>
      </c>
      <c r="U15866" s="17"/>
      <c r="V15866" s="18" t="s">
        <v>42640</v>
      </c>
      <c r="W15866" t="s">
        <v>42641</v>
      </c>
      <c r="Y15866" s="17" t="s">
        <v>90</v>
      </c>
      <c r="AA15866" t="s">
        <v>118</v>
      </c>
      <c r="AB15866" t="s">
        <v>119</v>
      </c>
    </row>
    <row r="15867" ht="15" customHeight="1" spans="1:27" x14ac:dyDescent="0.25">
      <c r="A15867" s="17" t="s">
        <v>42642</v>
      </c>
      <c r="B15867" s="17" t="s">
        <v>70</v>
      </c>
      <c r="C15867" s="17" t="s">
        <v>71</v>
      </c>
      <c r="D15867" t="s">
        <v>42643</v>
      </c>
      <c r="F15867" t="s">
        <v>16159</v>
      </c>
      <c r="K15867" s="18">
        <v>7396213</v>
      </c>
      <c r="N15867" s="17" t="s">
        <v>74</v>
      </c>
      <c r="U15867" s="17"/>
      <c r="V15867" s="18">
        <v>7396213</v>
      </c>
      <c r="W15867" t="s">
        <v>42644</v>
      </c>
      <c r="Y15867" s="17" t="s">
        <v>96</v>
      </c>
      <c r="AA15867" s="17" t="s">
        <v>133</v>
      </c>
    </row>
    <row r="15868" ht="15" customHeight="1" spans="1:22" x14ac:dyDescent="0.25">
      <c r="A15868" s="17" t="s">
        <v>42645</v>
      </c>
      <c r="B15868" s="17" t="s">
        <v>70</v>
      </c>
      <c r="C15868" s="17" t="s">
        <v>71</v>
      </c>
      <c r="D15868" t="s">
        <v>7414</v>
      </c>
      <c r="F15868" t="s">
        <v>42646</v>
      </c>
      <c r="K15868" s="18">
        <f>6282147571103</f>
        <v>6282147571103</v>
      </c>
      <c r="N15868" s="17" t="s">
        <v>81</v>
      </c>
      <c r="V15868" s="18">
        <f>6282147571103</f>
        <v>6282147571103</v>
      </c>
    </row>
    <row r="15869" ht="15" customHeight="1" spans="1:22" x14ac:dyDescent="0.25">
      <c r="A15869" s="17" t="s">
        <v>42647</v>
      </c>
      <c r="B15869" s="17" t="s">
        <v>70</v>
      </c>
      <c r="C15869" s="17" t="s">
        <v>71</v>
      </c>
      <c r="D15869" t="s">
        <v>7414</v>
      </c>
      <c r="F15869" t="s">
        <v>16014</v>
      </c>
      <c r="K15869" s="18">
        <f>6282178333666</f>
        <v>6282178333666</v>
      </c>
      <c r="N15869" s="17" t="s">
        <v>81</v>
      </c>
      <c r="V15869" s="18">
        <f>6282178333666</f>
        <v>6282178333666</v>
      </c>
    </row>
    <row r="15870" ht="15" customHeight="1" spans="1:28" x14ac:dyDescent="0.25">
      <c r="A15870" s="17" t="s">
        <v>42648</v>
      </c>
      <c r="B15870" s="17" t="s">
        <v>70</v>
      </c>
      <c r="C15870" s="17" t="s">
        <v>71</v>
      </c>
      <c r="D15870" t="s">
        <v>23821</v>
      </c>
      <c r="F15870" t="s">
        <v>42649</v>
      </c>
      <c r="J15870" t="s">
        <v>115</v>
      </c>
      <c r="K15870" s="18" t="s">
        <v>42650</v>
      </c>
      <c r="N15870" s="17" t="s">
        <v>77</v>
      </c>
      <c r="O15870" t="s">
        <v>199</v>
      </c>
      <c r="V15870" s="18" t="s">
        <v>42650</v>
      </c>
      <c r="Y15870" t="s">
        <v>115</v>
      </c>
      <c r="AA15870" t="s">
        <v>115</v>
      </c>
      <c r="AB15870" t="s">
        <v>3140</v>
      </c>
    </row>
    <row r="15871" ht="15" customHeight="1" spans="1:27" x14ac:dyDescent="0.25">
      <c r="A15871" s="17" t="s">
        <v>42651</v>
      </c>
      <c r="B15871" s="17" t="s">
        <v>70</v>
      </c>
      <c r="C15871" s="17" t="s">
        <v>71</v>
      </c>
      <c r="D15871" t="s">
        <v>42652</v>
      </c>
      <c r="F15871" t="s">
        <v>42653</v>
      </c>
      <c r="K15871" s="18">
        <f>8613857796337</f>
        <v>8613857796337</v>
      </c>
      <c r="N15871" s="17" t="s">
        <v>77</v>
      </c>
      <c r="U15871" s="17"/>
      <c r="V15871" s="18">
        <f>8613857796337</f>
        <v>8613857796337</v>
      </c>
      <c r="W15871" t="s">
        <v>3140</v>
      </c>
      <c r="AA15871" s="17" t="s">
        <v>42654</v>
      </c>
    </row>
    <row r="15872" ht="15" customHeight="1" spans="1:28" x14ac:dyDescent="0.25">
      <c r="A15872" s="17" t="s">
        <v>42655</v>
      </c>
      <c r="B15872" s="17" t="s">
        <v>70</v>
      </c>
      <c r="C15872" s="17" t="s">
        <v>71</v>
      </c>
      <c r="D15872" t="s">
        <v>23821</v>
      </c>
      <c r="F15872" t="s">
        <v>7315</v>
      </c>
      <c r="J15872" s="17" t="s">
        <v>42656</v>
      </c>
      <c r="K15872" s="18" t="s">
        <v>42657</v>
      </c>
      <c r="N15872" s="17" t="s">
        <v>77</v>
      </c>
      <c r="O15872" t="s">
        <v>117</v>
      </c>
      <c r="U15872" s="17"/>
      <c r="V15872" s="18" t="s">
        <v>42657</v>
      </c>
      <c r="W15872" t="s">
        <v>3140</v>
      </c>
      <c r="Y15872" t="s">
        <v>115</v>
      </c>
      <c r="AA15872" t="s">
        <v>115</v>
      </c>
      <c r="AB15872" t="s">
        <v>3140</v>
      </c>
    </row>
    <row r="15873" ht="15" customHeight="1" spans="1:28" x14ac:dyDescent="0.25">
      <c r="A15873" s="17" t="s">
        <v>42658</v>
      </c>
      <c r="B15873" s="17" t="s">
        <v>70</v>
      </c>
      <c r="C15873" s="17" t="s">
        <v>71</v>
      </c>
      <c r="D15873" t="s">
        <v>15691</v>
      </c>
      <c r="F15873" t="s">
        <v>7909</v>
      </c>
      <c r="J15873" s="17" t="s">
        <v>42659</v>
      </c>
      <c r="K15873" s="18" t="s">
        <v>42660</v>
      </c>
      <c r="N15873" s="17" t="s">
        <v>77</v>
      </c>
      <c r="O15873" t="s">
        <v>117</v>
      </c>
      <c r="V15873" s="18" t="s">
        <v>42660</v>
      </c>
      <c r="Y15873" t="s">
        <v>115</v>
      </c>
      <c r="AA15873" t="s">
        <v>115</v>
      </c>
      <c r="AB15873" t="s">
        <v>3140</v>
      </c>
    </row>
    <row r="15874" ht="15" customHeight="1" spans="1:28" x14ac:dyDescent="0.25">
      <c r="A15874" s="17" t="s">
        <v>42661</v>
      </c>
      <c r="B15874" s="17" t="s">
        <v>70</v>
      </c>
      <c r="C15874" s="17" t="s">
        <v>71</v>
      </c>
      <c r="D15874" t="s">
        <v>16000</v>
      </c>
      <c r="F15874" t="s">
        <v>16000</v>
      </c>
      <c r="J15874" t="s">
        <v>115</v>
      </c>
      <c r="K15874" s="18" t="s">
        <v>42662</v>
      </c>
      <c r="N15874" s="17" t="s">
        <v>77</v>
      </c>
      <c r="O15874" t="s">
        <v>199</v>
      </c>
      <c r="V15874" s="18" t="s">
        <v>42662</v>
      </c>
      <c r="Y15874" t="s">
        <v>115</v>
      </c>
      <c r="AA15874" t="s">
        <v>115</v>
      </c>
      <c r="AB15874" t="s">
        <v>119</v>
      </c>
    </row>
    <row r="15875" ht="15" customHeight="1" spans="1:22" x14ac:dyDescent="0.25">
      <c r="A15875" s="17" t="s">
        <v>42663</v>
      </c>
      <c r="B15875" s="17" t="s">
        <v>70</v>
      </c>
      <c r="C15875" s="17" t="s">
        <v>71</v>
      </c>
      <c r="D15875" t="s">
        <v>16000</v>
      </c>
      <c r="F15875" t="s">
        <v>6621</v>
      </c>
      <c r="K15875" s="18">
        <f>6285718874125</f>
        <v>6285718874125</v>
      </c>
      <c r="N15875" s="17" t="s">
        <v>81</v>
      </c>
      <c r="V15875" s="18">
        <f>6285718874125</f>
        <v>6285718874125</v>
      </c>
    </row>
    <row r="15876" ht="15" customHeight="1" spans="1:22" x14ac:dyDescent="0.25">
      <c r="A15876" s="17" t="s">
        <v>42664</v>
      </c>
      <c r="B15876" s="17" t="s">
        <v>70</v>
      </c>
      <c r="C15876" s="17" t="s">
        <v>71</v>
      </c>
      <c r="D15876" t="s">
        <v>16000</v>
      </c>
      <c r="F15876" t="s">
        <v>999</v>
      </c>
      <c r="K15876" s="18">
        <f>6281295022222</f>
        <v>6281295022222</v>
      </c>
      <c r="N15876" s="17" t="s">
        <v>81</v>
      </c>
      <c r="V15876" s="18">
        <f>6281295022222</f>
        <v>6281295022222</v>
      </c>
    </row>
    <row r="15877" ht="15" customHeight="1" spans="1:23" x14ac:dyDescent="0.25">
      <c r="A15877" s="17" t="s">
        <v>42665</v>
      </c>
      <c r="B15877" s="17" t="s">
        <v>70</v>
      </c>
      <c r="C15877" s="17" t="s">
        <v>71</v>
      </c>
      <c r="D15877" t="s">
        <v>16000</v>
      </c>
      <c r="F15877" t="s">
        <v>6601</v>
      </c>
      <c r="K15877" s="18">
        <f>628122005384</f>
        <v>628122005384</v>
      </c>
      <c r="N15877" s="17" t="s">
        <v>77</v>
      </c>
      <c r="U15877" s="17"/>
      <c r="V15877" s="18">
        <f>628122005384</f>
        <v>628122005384</v>
      </c>
      <c r="W15877" t="s">
        <v>42666</v>
      </c>
    </row>
    <row r="15878" ht="15" customHeight="1" spans="1:22" x14ac:dyDescent="0.25">
      <c r="A15878" s="17" t="s">
        <v>42667</v>
      </c>
      <c r="B15878" s="17" t="s">
        <v>70</v>
      </c>
      <c r="C15878" s="17" t="s">
        <v>71</v>
      </c>
      <c r="D15878" t="s">
        <v>16000</v>
      </c>
      <c r="F15878" t="s">
        <v>3962</v>
      </c>
      <c r="K15878" s="18">
        <f>6287889998333</f>
        <v>6287889998333</v>
      </c>
      <c r="N15878" s="17" t="s">
        <v>77</v>
      </c>
      <c r="V15878" s="18">
        <f>6287889998333</f>
        <v>6287889998333</v>
      </c>
    </row>
    <row r="15879" ht="15" customHeight="1" spans="1:23" x14ac:dyDescent="0.25">
      <c r="A15879" s="17" t="s">
        <v>42668</v>
      </c>
      <c r="B15879" s="17" t="s">
        <v>70</v>
      </c>
      <c r="C15879" s="17" t="s">
        <v>71</v>
      </c>
      <c r="D15879" t="s">
        <v>16000</v>
      </c>
      <c r="F15879" t="s">
        <v>8387</v>
      </c>
      <c r="K15879" s="18">
        <f>613162945555</f>
        <v>613162945555</v>
      </c>
      <c r="N15879" s="17" t="s">
        <v>77</v>
      </c>
      <c r="U15879" s="17"/>
      <c r="V15879" s="18">
        <f>613162945555</f>
        <v>613162945555</v>
      </c>
      <c r="W15879" t="s">
        <v>3140</v>
      </c>
    </row>
    <row r="15880" ht="15" customHeight="1" spans="1:22" x14ac:dyDescent="0.25">
      <c r="A15880" s="17" t="s">
        <v>42669</v>
      </c>
      <c r="B15880" s="17" t="s">
        <v>70</v>
      </c>
      <c r="C15880" s="17" t="s">
        <v>71</v>
      </c>
      <c r="D15880" t="s">
        <v>16000</v>
      </c>
      <c r="F15880" t="s">
        <v>28996</v>
      </c>
      <c r="J15880" s="17" t="s">
        <v>42670</v>
      </c>
      <c r="K15880" s="18">
        <f>639668369998</f>
        <v>639668369998</v>
      </c>
      <c r="N15880" s="17" t="s">
        <v>81</v>
      </c>
      <c r="V15880" s="18">
        <f>639668369998</f>
        <v>639668369998</v>
      </c>
    </row>
    <row r="15881" ht="15" customHeight="1" spans="1:22" x14ac:dyDescent="0.25">
      <c r="A15881" s="17" t="s">
        <v>42671</v>
      </c>
      <c r="B15881" s="17" t="s">
        <v>70</v>
      </c>
      <c r="C15881" s="17" t="s">
        <v>71</v>
      </c>
      <c r="D15881" t="s">
        <v>16000</v>
      </c>
      <c r="F15881" t="s">
        <v>42672</v>
      </c>
      <c r="K15881" s="18">
        <f>6285715950311</f>
        <v>6285715950311</v>
      </c>
      <c r="N15881" s="17" t="s">
        <v>77</v>
      </c>
      <c r="V15881" s="18">
        <f>6285715950311</f>
        <v>6285715950311</v>
      </c>
    </row>
    <row r="15882" ht="15" customHeight="1" spans="1:22" x14ac:dyDescent="0.25">
      <c r="A15882" s="17" t="s">
        <v>42673</v>
      </c>
      <c r="B15882" s="17" t="s">
        <v>70</v>
      </c>
      <c r="C15882" s="17" t="s">
        <v>71</v>
      </c>
      <c r="D15882" t="s">
        <v>16000</v>
      </c>
      <c r="F15882" t="s">
        <v>16000</v>
      </c>
      <c r="K15882" s="18">
        <f>62818681788</f>
        <v>62818681788</v>
      </c>
      <c r="N15882" s="17" t="s">
        <v>77</v>
      </c>
      <c r="V15882" s="18">
        <f>62818681788</f>
        <v>62818681788</v>
      </c>
    </row>
    <row r="15883" ht="15" customHeight="1" spans="1:22" x14ac:dyDescent="0.25">
      <c r="A15883" s="17" t="s">
        <v>42674</v>
      </c>
      <c r="B15883" s="17" t="s">
        <v>70</v>
      </c>
      <c r="C15883" s="17" t="s">
        <v>71</v>
      </c>
      <c r="D15883" t="s">
        <v>16000</v>
      </c>
      <c r="F15883" t="s">
        <v>7944</v>
      </c>
      <c r="K15883" s="18">
        <f>6282122313090</f>
        <v>6282122313090</v>
      </c>
      <c r="N15883" s="17" t="s">
        <v>81</v>
      </c>
      <c r="V15883" s="18">
        <f>6282122313090</f>
        <v>6282122313090</v>
      </c>
    </row>
    <row r="15884" ht="15" customHeight="1" spans="1:22" x14ac:dyDescent="0.25">
      <c r="A15884" s="17" t="s">
        <v>42675</v>
      </c>
      <c r="B15884" s="17" t="s">
        <v>70</v>
      </c>
      <c r="C15884" s="17" t="s">
        <v>71</v>
      </c>
      <c r="D15884" t="s">
        <v>16000</v>
      </c>
      <c r="F15884" t="s">
        <v>16235</v>
      </c>
      <c r="K15884" s="18">
        <v>13790294733</v>
      </c>
      <c r="N15884" s="17" t="s">
        <v>77</v>
      </c>
      <c r="V15884" s="18">
        <v>13790294733</v>
      </c>
    </row>
    <row r="15885" ht="15" customHeight="1" spans="1:22" x14ac:dyDescent="0.25">
      <c r="A15885" s="17" t="s">
        <v>42676</v>
      </c>
      <c r="B15885" s="17" t="s">
        <v>70</v>
      </c>
      <c r="C15885" s="17" t="s">
        <v>71</v>
      </c>
      <c r="D15885" t="s">
        <v>42677</v>
      </c>
      <c r="F15885" t="s">
        <v>37909</v>
      </c>
      <c r="K15885" s="18">
        <f>8613911962778</f>
        <v>8613911962778</v>
      </c>
      <c r="N15885" s="17" t="s">
        <v>77</v>
      </c>
      <c r="V15885" s="18">
        <f>8613911962778</f>
        <v>8613911962778</v>
      </c>
    </row>
    <row r="15886" ht="15" customHeight="1" spans="1:23" x14ac:dyDescent="0.25">
      <c r="A15886" s="17" t="s">
        <v>42678</v>
      </c>
      <c r="B15886" s="17" t="s">
        <v>70</v>
      </c>
      <c r="C15886" s="17" t="s">
        <v>71</v>
      </c>
      <c r="D15886" t="s">
        <v>42679</v>
      </c>
      <c r="F15886" t="s">
        <v>32229</v>
      </c>
      <c r="J15886" s="17" t="s">
        <v>42680</v>
      </c>
      <c r="K15886" s="18">
        <f>8613911486726</f>
        <v>8613911486726</v>
      </c>
      <c r="N15886" s="17" t="s">
        <v>77</v>
      </c>
      <c r="U15886" s="17"/>
      <c r="V15886" s="18">
        <f>8613911486726</f>
        <v>8613911486726</v>
      </c>
      <c r="W15886" t="s">
        <v>3140</v>
      </c>
    </row>
    <row r="15887" ht="15" customHeight="1" spans="1:28" x14ac:dyDescent="0.25">
      <c r="A15887" s="17" t="s">
        <v>42681</v>
      </c>
      <c r="B15887" s="17" t="s">
        <v>70</v>
      </c>
      <c r="C15887" s="17" t="s">
        <v>71</v>
      </c>
      <c r="D15887" t="s">
        <v>16000</v>
      </c>
      <c r="F15887" t="s">
        <v>42682</v>
      </c>
      <c r="J15887" s="17" t="s">
        <v>42683</v>
      </c>
      <c r="K15887" s="18" t="s">
        <v>42684</v>
      </c>
      <c r="N15887" s="17" t="s">
        <v>77</v>
      </c>
      <c r="O15887" t="s">
        <v>117</v>
      </c>
      <c r="U15887" s="17"/>
      <c r="V15887" s="18" t="s">
        <v>42684</v>
      </c>
      <c r="W15887" t="s">
        <v>3140</v>
      </c>
      <c r="Y15887" t="s">
        <v>3140</v>
      </c>
      <c r="AA15887" t="s">
        <v>115</v>
      </c>
      <c r="AB15887" t="s">
        <v>3140</v>
      </c>
    </row>
    <row r="15888" ht="15" customHeight="1" spans="1:23" x14ac:dyDescent="0.25">
      <c r="A15888" s="17" t="s">
        <v>42685</v>
      </c>
      <c r="B15888" s="17" t="s">
        <v>70</v>
      </c>
      <c r="C15888" s="17" t="s">
        <v>71</v>
      </c>
      <c r="D15888" t="s">
        <v>42679</v>
      </c>
      <c r="F15888" t="s">
        <v>42686</v>
      </c>
      <c r="J15888" s="17" t="s">
        <v>42687</v>
      </c>
      <c r="K15888" s="18">
        <f>8615168006352</f>
        <v>8615168006352</v>
      </c>
      <c r="N15888" s="17" t="s">
        <v>77</v>
      </c>
      <c r="U15888" s="17"/>
      <c r="V15888" s="18">
        <f>8615168006352</f>
        <v>8615168006352</v>
      </c>
      <c r="W15888" t="s">
        <v>3140</v>
      </c>
    </row>
    <row r="15889" ht="15" customHeight="1" spans="1:28" x14ac:dyDescent="0.25">
      <c r="A15889" s="17" t="s">
        <v>42688</v>
      </c>
      <c r="B15889" s="17" t="s">
        <v>70</v>
      </c>
      <c r="C15889" s="17" t="s">
        <v>71</v>
      </c>
      <c r="D15889" t="s">
        <v>42679</v>
      </c>
      <c r="F15889" t="s">
        <v>36561</v>
      </c>
      <c r="J15889" s="17" t="s">
        <v>42689</v>
      </c>
      <c r="K15889" s="18" t="s">
        <v>42690</v>
      </c>
      <c r="N15889" s="17" t="s">
        <v>77</v>
      </c>
      <c r="O15889" t="s">
        <v>117</v>
      </c>
      <c r="U15889" s="17"/>
      <c r="V15889" s="18" t="s">
        <v>42690</v>
      </c>
      <c r="W15889" t="s">
        <v>3140</v>
      </c>
      <c r="Y15889" t="s">
        <v>3140</v>
      </c>
      <c r="AA15889" t="s">
        <v>115</v>
      </c>
      <c r="AB15889" t="s">
        <v>3140</v>
      </c>
    </row>
    <row r="15890" ht="15" customHeight="1" spans="1:28" x14ac:dyDescent="0.25">
      <c r="A15890" s="17" t="s">
        <v>42691</v>
      </c>
      <c r="B15890" s="17" t="s">
        <v>70</v>
      </c>
      <c r="C15890" s="17" t="s">
        <v>71</v>
      </c>
      <c r="D15890" t="s">
        <v>42679</v>
      </c>
      <c r="F15890" t="s">
        <v>42692</v>
      </c>
      <c r="J15890" s="17" t="s">
        <v>42693</v>
      </c>
      <c r="K15890" s="18" t="s">
        <v>42694</v>
      </c>
      <c r="N15890" s="17" t="s">
        <v>77</v>
      </c>
      <c r="O15890" t="s">
        <v>117</v>
      </c>
      <c r="U15890" s="17"/>
      <c r="V15890" s="18" t="s">
        <v>42694</v>
      </c>
      <c r="W15890" t="s">
        <v>39119</v>
      </c>
      <c r="Y15890" s="17" t="s">
        <v>42567</v>
      </c>
      <c r="AA15890" t="s">
        <v>115</v>
      </c>
      <c r="AB15890" t="s">
        <v>3140</v>
      </c>
    </row>
    <row r="15891" ht="15" customHeight="1" spans="1:28" x14ac:dyDescent="0.25">
      <c r="A15891" s="17" t="s">
        <v>42695</v>
      </c>
      <c r="B15891" s="17" t="s">
        <v>70</v>
      </c>
      <c r="C15891" s="17" t="s">
        <v>71</v>
      </c>
      <c r="D15891" t="s">
        <v>42696</v>
      </c>
      <c r="F15891" t="s">
        <v>42697</v>
      </c>
      <c r="J15891" t="s">
        <v>115</v>
      </c>
      <c r="K15891" s="18" t="s">
        <v>42698</v>
      </c>
      <c r="N15891" s="17" t="s">
        <v>77</v>
      </c>
      <c r="O15891" t="s">
        <v>145</v>
      </c>
      <c r="V15891" s="18" t="s">
        <v>42698</v>
      </c>
      <c r="Y15891" t="s">
        <v>115</v>
      </c>
      <c r="AA15891" t="s">
        <v>115</v>
      </c>
      <c r="AB15891" t="s">
        <v>3140</v>
      </c>
    </row>
    <row r="15892" ht="15" customHeight="1" spans="1:22" x14ac:dyDescent="0.25">
      <c r="A15892" s="17" t="s">
        <v>42699</v>
      </c>
      <c r="B15892" s="17" t="s">
        <v>70</v>
      </c>
      <c r="C15892" s="17" t="s">
        <v>71</v>
      </c>
      <c r="D15892" t="s">
        <v>20684</v>
      </c>
      <c r="F15892" t="s">
        <v>20684</v>
      </c>
      <c r="K15892" s="18">
        <f>628138482763</f>
        <v>628138482763</v>
      </c>
      <c r="N15892" s="17" t="s">
        <v>81</v>
      </c>
      <c r="V15892" s="18">
        <f>628138482763</f>
        <v>628138482763</v>
      </c>
    </row>
    <row r="15893" ht="15" customHeight="1" spans="1:22" x14ac:dyDescent="0.25">
      <c r="A15893" s="17" t="s">
        <v>42700</v>
      </c>
      <c r="B15893" s="17" t="s">
        <v>70</v>
      </c>
      <c r="C15893" s="17" t="s">
        <v>71</v>
      </c>
      <c r="D15893" t="s">
        <v>42701</v>
      </c>
      <c r="F15893" t="s">
        <v>42702</v>
      </c>
      <c r="K15893" s="18">
        <f>6282217888866</f>
        <v>6282217888866</v>
      </c>
      <c r="N15893" s="17" t="s">
        <v>77</v>
      </c>
      <c r="V15893" s="18">
        <f>6282217888866</f>
        <v>6282217888866</v>
      </c>
    </row>
    <row r="15894" ht="15" customHeight="1" spans="1:22" x14ac:dyDescent="0.25">
      <c r="A15894" s="17" t="s">
        <v>42703</v>
      </c>
      <c r="B15894" s="17" t="s">
        <v>70</v>
      </c>
      <c r="C15894" s="17" t="s">
        <v>71</v>
      </c>
      <c r="D15894" t="s">
        <v>20684</v>
      </c>
      <c r="F15894" t="s">
        <v>42704</v>
      </c>
      <c r="K15894" s="18">
        <f>60102477202</f>
        <v>60102477202</v>
      </c>
      <c r="N15894" s="17" t="s">
        <v>77</v>
      </c>
      <c r="V15894" s="18">
        <f>60102477202</f>
        <v>60102477202</v>
      </c>
    </row>
    <row r="15895" ht="15" customHeight="1" spans="1:22" x14ac:dyDescent="0.25">
      <c r="A15895" s="17" t="s">
        <v>42705</v>
      </c>
      <c r="B15895" s="17" t="s">
        <v>70</v>
      </c>
      <c r="C15895" s="17" t="s">
        <v>71</v>
      </c>
      <c r="D15895" t="s">
        <v>20684</v>
      </c>
      <c r="F15895" t="s">
        <v>24912</v>
      </c>
      <c r="K15895" s="18">
        <f>628128321869</f>
        <v>628128321869</v>
      </c>
      <c r="N15895" s="17" t="s">
        <v>81</v>
      </c>
      <c r="V15895" s="18">
        <f>628128321869</f>
        <v>628128321869</v>
      </c>
    </row>
    <row r="15896" ht="15" customHeight="1" spans="1:22" x14ac:dyDescent="0.25">
      <c r="A15896" s="17" t="s">
        <v>42706</v>
      </c>
      <c r="B15896" s="17" t="s">
        <v>70</v>
      </c>
      <c r="C15896" s="17" t="s">
        <v>71</v>
      </c>
      <c r="D15896" t="s">
        <v>20684</v>
      </c>
      <c r="F15896" t="s">
        <v>42707</v>
      </c>
      <c r="K15896" s="18">
        <f>6282175222192</f>
        <v>6282175222192</v>
      </c>
      <c r="N15896" s="17" t="s">
        <v>81</v>
      </c>
      <c r="V15896" s="18">
        <f>6282175222192</f>
        <v>6282175222192</v>
      </c>
    </row>
    <row r="15897" ht="15" customHeight="1" spans="1:22" x14ac:dyDescent="0.25">
      <c r="A15897" s="17" t="s">
        <v>42708</v>
      </c>
      <c r="B15897" s="17" t="s">
        <v>70</v>
      </c>
      <c r="C15897" s="17" t="s">
        <v>71</v>
      </c>
      <c r="D15897" t="s">
        <v>20684</v>
      </c>
      <c r="F15897" t="s">
        <v>23840</v>
      </c>
      <c r="K15897" s="18">
        <f>6282264973779</f>
        <v>6282264973779</v>
      </c>
      <c r="N15897" s="17" t="s">
        <v>77</v>
      </c>
      <c r="V15897" s="18">
        <f>6282264973779</f>
        <v>6282264973779</v>
      </c>
    </row>
    <row r="15898" ht="15" customHeight="1" spans="1:22" x14ac:dyDescent="0.25">
      <c r="A15898" s="17" t="s">
        <v>42709</v>
      </c>
      <c r="B15898" s="17" t="s">
        <v>70</v>
      </c>
      <c r="C15898" s="17" t="s">
        <v>71</v>
      </c>
      <c r="D15898" t="s">
        <v>20684</v>
      </c>
      <c r="F15898" t="s">
        <v>7307</v>
      </c>
      <c r="J15898" s="17" t="s">
        <v>42710</v>
      </c>
      <c r="K15898" s="18">
        <f>6281296229889</f>
        <v>6281296229889</v>
      </c>
      <c r="N15898" s="17" t="s">
        <v>77</v>
      </c>
      <c r="V15898" s="18">
        <f>6281296229889</f>
        <v>6281296229889</v>
      </c>
    </row>
    <row r="15899" ht="15" customHeight="1" spans="1:22" x14ac:dyDescent="0.25">
      <c r="A15899" s="17" t="s">
        <v>42711</v>
      </c>
      <c r="B15899" s="17" t="s">
        <v>70</v>
      </c>
      <c r="C15899" s="17" t="s">
        <v>71</v>
      </c>
      <c r="D15899" t="s">
        <v>20684</v>
      </c>
      <c r="F15899" t="s">
        <v>32229</v>
      </c>
      <c r="K15899" s="18">
        <f>6281285186075</f>
        <v>6281285186075</v>
      </c>
      <c r="N15899" s="17" t="s">
        <v>81</v>
      </c>
      <c r="V15899" s="18">
        <f>6281285186075</f>
        <v>6281285186075</v>
      </c>
    </row>
    <row r="15900" ht="15" customHeight="1" spans="1:22" x14ac:dyDescent="0.25">
      <c r="A15900" s="17" t="s">
        <v>42712</v>
      </c>
      <c r="B15900" s="17" t="s">
        <v>70</v>
      </c>
      <c r="C15900" s="17" t="s">
        <v>71</v>
      </c>
      <c r="D15900" t="s">
        <v>20684</v>
      </c>
      <c r="F15900" t="s">
        <v>13405</v>
      </c>
      <c r="K15900" s="18">
        <f>6282117866666</f>
        <v>6282117866666</v>
      </c>
      <c r="N15900" s="17" t="s">
        <v>77</v>
      </c>
      <c r="V15900" s="18">
        <f>6282117866666</f>
        <v>6282117866666</v>
      </c>
    </row>
    <row r="15901" ht="15" customHeight="1" spans="1:23" x14ac:dyDescent="0.25">
      <c r="A15901" s="17" t="s">
        <v>42713</v>
      </c>
      <c r="B15901" s="17" t="s">
        <v>70</v>
      </c>
      <c r="C15901" s="17" t="s">
        <v>71</v>
      </c>
      <c r="D15901" t="s">
        <v>42714</v>
      </c>
      <c r="F15901" t="s">
        <v>7320</v>
      </c>
      <c r="K15901" s="18">
        <f>657866549861</f>
        <v>657866549861</v>
      </c>
      <c r="N15901" s="17" t="s">
        <v>77</v>
      </c>
      <c r="U15901" s="17"/>
      <c r="V15901" s="18">
        <f>657866549861</f>
        <v>657866549861</v>
      </c>
      <c r="W15901" t="s">
        <v>3140</v>
      </c>
    </row>
    <row r="15902" ht="15" customHeight="1" spans="1:28" x14ac:dyDescent="0.25">
      <c r="A15902" s="17" t="s">
        <v>42715</v>
      </c>
      <c r="B15902" s="17" t="s">
        <v>70</v>
      </c>
      <c r="C15902" s="17" t="s">
        <v>71</v>
      </c>
      <c r="D15902" t="s">
        <v>20684</v>
      </c>
      <c r="F15902" t="s">
        <v>20677</v>
      </c>
      <c r="J15902" s="17" t="s">
        <v>42716</v>
      </c>
      <c r="K15902" s="18" t="s">
        <v>42717</v>
      </c>
      <c r="N15902" s="17" t="s">
        <v>77</v>
      </c>
      <c r="O15902" t="s">
        <v>117</v>
      </c>
      <c r="U15902" s="17"/>
      <c r="V15902" s="18" t="s">
        <v>42717</v>
      </c>
      <c r="W15902" t="s">
        <v>3140</v>
      </c>
      <c r="Y15902" t="s">
        <v>3140</v>
      </c>
      <c r="AA15902" t="s">
        <v>115</v>
      </c>
      <c r="AB15902" t="s">
        <v>3140</v>
      </c>
    </row>
    <row r="15903" ht="15" customHeight="1" spans="1:22" x14ac:dyDescent="0.25">
      <c r="A15903" s="17" t="s">
        <v>42718</v>
      </c>
      <c r="B15903" s="17" t="s">
        <v>70</v>
      </c>
      <c r="C15903" s="17" t="s">
        <v>71</v>
      </c>
      <c r="D15903" t="s">
        <v>20677</v>
      </c>
      <c r="F15903" t="s">
        <v>42719</v>
      </c>
      <c r="K15903" s="18">
        <f>6285813336688</f>
        <v>6285813336688</v>
      </c>
      <c r="N15903" s="17" t="s">
        <v>74</v>
      </c>
      <c r="V15903" s="18">
        <f>6285813336688</f>
        <v>6285813336688</v>
      </c>
    </row>
    <row r="15904" ht="15" customHeight="1" spans="1:25" x14ac:dyDescent="0.25">
      <c r="A15904" s="17" t="s">
        <v>42720</v>
      </c>
      <c r="B15904" s="17" t="s">
        <v>70</v>
      </c>
      <c r="C15904" s="17" t="s">
        <v>71</v>
      </c>
      <c r="D15904" t="s">
        <v>20677</v>
      </c>
      <c r="F15904" t="s">
        <v>16014</v>
      </c>
      <c r="K15904" s="18">
        <f>6281310416919</f>
        <v>6281310416919</v>
      </c>
      <c r="N15904" s="17" t="s">
        <v>77</v>
      </c>
      <c r="U15904" s="17"/>
      <c r="V15904" s="18">
        <f>6281310416919</f>
        <v>6281310416919</v>
      </c>
      <c r="W15904" t="s">
        <v>42721</v>
      </c>
      <c r="Y15904" s="17" t="s">
        <v>1084</v>
      </c>
    </row>
    <row r="15905" ht="15" customHeight="1" spans="1:28" x14ac:dyDescent="0.25">
      <c r="A15905" s="17" t="s">
        <v>42722</v>
      </c>
      <c r="B15905" s="17" t="s">
        <v>70</v>
      </c>
      <c r="C15905" s="17" t="s">
        <v>71</v>
      </c>
      <c r="D15905" t="s">
        <v>20677</v>
      </c>
      <c r="F15905" t="s">
        <v>20677</v>
      </c>
      <c r="J15905" t="s">
        <v>115</v>
      </c>
      <c r="K15905" s="18" t="s">
        <v>42723</v>
      </c>
      <c r="N15905" s="17" t="s">
        <v>81</v>
      </c>
      <c r="O15905" t="s">
        <v>117</v>
      </c>
      <c r="V15905" s="18" t="s">
        <v>42723</v>
      </c>
      <c r="Y15905" t="s">
        <v>90</v>
      </c>
      <c r="AA15905" t="s">
        <v>118</v>
      </c>
      <c r="AB15905" t="s">
        <v>119</v>
      </c>
    </row>
    <row r="15906" ht="15" customHeight="1" spans="1:25" x14ac:dyDescent="0.25">
      <c r="A15906" s="17" t="s">
        <v>42724</v>
      </c>
      <c r="B15906" s="17" t="s">
        <v>70</v>
      </c>
      <c r="C15906" s="17" t="s">
        <v>71</v>
      </c>
      <c r="D15906" t="s">
        <v>7421</v>
      </c>
      <c r="F15906" t="s">
        <v>42725</v>
      </c>
      <c r="J15906" s="17" t="s">
        <v>42726</v>
      </c>
      <c r="K15906" s="18">
        <f>8618602131119</f>
        <v>8618602131119</v>
      </c>
      <c r="N15906" s="17" t="s">
        <v>77</v>
      </c>
      <c r="V15906" s="18">
        <f>8618602131119</f>
        <v>8618602131119</v>
      </c>
      <c r="Y15906" s="17" t="s">
        <v>6980</v>
      </c>
    </row>
    <row r="15907" ht="15" customHeight="1" spans="1:27" x14ac:dyDescent="0.25">
      <c r="A15907" s="17" t="s">
        <v>42727</v>
      </c>
      <c r="B15907" s="17" t="s">
        <v>70</v>
      </c>
      <c r="C15907" s="17" t="s">
        <v>71</v>
      </c>
      <c r="D15907" t="s">
        <v>42728</v>
      </c>
      <c r="F15907" t="s">
        <v>42729</v>
      </c>
      <c r="K15907" s="18">
        <f>8615920138496</f>
        <v>8615920138496</v>
      </c>
      <c r="N15907" s="17" t="s">
        <v>77</v>
      </c>
      <c r="U15907" s="17"/>
      <c r="V15907" s="18">
        <f>8615920138496</f>
        <v>8615920138496</v>
      </c>
      <c r="W15907" t="s">
        <v>3140</v>
      </c>
      <c r="AA15907" s="17" t="s">
        <v>42730</v>
      </c>
    </row>
    <row r="15908" ht="15" customHeight="1" spans="1:22" x14ac:dyDescent="0.25">
      <c r="A15908" s="17" t="s">
        <v>42731</v>
      </c>
      <c r="B15908" s="17" t="s">
        <v>70</v>
      </c>
      <c r="C15908" s="17" t="s">
        <v>71</v>
      </c>
      <c r="D15908" t="s">
        <v>42732</v>
      </c>
      <c r="F15908" t="s">
        <v>42733</v>
      </c>
      <c r="K15908" s="18">
        <f>8618628382222</f>
        <v>8618628382222</v>
      </c>
      <c r="N15908" s="17" t="s">
        <v>77</v>
      </c>
      <c r="V15908" s="18">
        <f>8618628382222</f>
        <v>8618628382222</v>
      </c>
    </row>
    <row r="15909" ht="15" customHeight="1" spans="1:28" x14ac:dyDescent="0.25">
      <c r="A15909" s="17" t="s">
        <v>42734</v>
      </c>
      <c r="B15909" s="17" t="s">
        <v>70</v>
      </c>
      <c r="C15909" s="17" t="s">
        <v>71</v>
      </c>
      <c r="D15909" t="s">
        <v>42735</v>
      </c>
      <c r="F15909" t="s">
        <v>42686</v>
      </c>
      <c r="J15909" t="s">
        <v>115</v>
      </c>
      <c r="K15909" s="18" t="s">
        <v>42736</v>
      </c>
      <c r="N15909" s="17" t="s">
        <v>74</v>
      </c>
      <c r="O15909" t="s">
        <v>145</v>
      </c>
      <c r="U15909" s="17"/>
      <c r="V15909" s="18" t="s">
        <v>42736</v>
      </c>
      <c r="W15909" t="s">
        <v>181</v>
      </c>
      <c r="Y15909" t="s">
        <v>1084</v>
      </c>
      <c r="AA15909" t="s">
        <v>3146</v>
      </c>
      <c r="AB15909" t="s">
        <v>119</v>
      </c>
    </row>
    <row r="15910" ht="15" customHeight="1" spans="1:23" x14ac:dyDescent="0.25">
      <c r="A15910" s="17" t="s">
        <v>42737</v>
      </c>
      <c r="B15910" s="17" t="s">
        <v>70</v>
      </c>
      <c r="C15910" s="17" t="s">
        <v>71</v>
      </c>
      <c r="D15910" t="s">
        <v>42738</v>
      </c>
      <c r="F15910" t="s">
        <v>42739</v>
      </c>
      <c r="K15910" s="18">
        <f>6203122022</f>
        <v>6203122022</v>
      </c>
      <c r="N15910" s="17" t="s">
        <v>81</v>
      </c>
      <c r="U15910" s="17"/>
      <c r="V15910" s="18">
        <f>6203122022</f>
        <v>6203122022</v>
      </c>
      <c r="W15910" t="s">
        <v>6666</v>
      </c>
    </row>
    <row r="15911" ht="15" customHeight="1" spans="1:22" x14ac:dyDescent="0.25">
      <c r="A15911" s="17" t="s">
        <v>42740</v>
      </c>
      <c r="B15911" s="17" t="s">
        <v>70</v>
      </c>
      <c r="C15911" s="17" t="s">
        <v>71</v>
      </c>
      <c r="D15911" t="s">
        <v>19897</v>
      </c>
      <c r="F15911" t="s">
        <v>106</v>
      </c>
      <c r="K15911" s="18">
        <f>628613867556902</f>
        <v>628613867556902</v>
      </c>
      <c r="N15911" s="17" t="s">
        <v>81</v>
      </c>
      <c r="V15911" s="18">
        <f>628613867556902</f>
        <v>628613867556902</v>
      </c>
    </row>
    <row r="15912" ht="15" customHeight="1" spans="1:22" x14ac:dyDescent="0.25">
      <c r="A15912" s="17" t="s">
        <v>42741</v>
      </c>
      <c r="B15912" s="17" t="s">
        <v>70</v>
      </c>
      <c r="C15912" s="17" t="s">
        <v>71</v>
      </c>
      <c r="D15912" t="s">
        <v>19897</v>
      </c>
      <c r="F15912" t="s">
        <v>7293</v>
      </c>
      <c r="K15912" s="18">
        <f>6281218681888</f>
        <v>6281218681888</v>
      </c>
      <c r="N15912" s="17" t="s">
        <v>81</v>
      </c>
      <c r="V15912" s="18">
        <f>6281218681888</f>
        <v>6281218681888</v>
      </c>
    </row>
    <row r="15913" ht="15" customHeight="1" spans="1:23" x14ac:dyDescent="0.25">
      <c r="A15913" s="17" t="s">
        <v>42742</v>
      </c>
      <c r="B15913" s="17" t="s">
        <v>70</v>
      </c>
      <c r="C15913" s="17" t="s">
        <v>71</v>
      </c>
      <c r="D15913" t="s">
        <v>19897</v>
      </c>
      <c r="F15913" t="s">
        <v>1217</v>
      </c>
      <c r="K15913" s="18">
        <f>61406798077</f>
        <v>61406798077</v>
      </c>
      <c r="N15913" s="17" t="s">
        <v>77</v>
      </c>
      <c r="U15913" s="17"/>
      <c r="V15913" s="18">
        <f>61406798077</f>
        <v>61406798077</v>
      </c>
      <c r="W15913" t="s">
        <v>3140</v>
      </c>
    </row>
    <row r="15914" ht="15" customHeight="1" spans="1:22" x14ac:dyDescent="0.25">
      <c r="A15914" s="17" t="s">
        <v>42743</v>
      </c>
      <c r="B15914" s="17" t="s">
        <v>70</v>
      </c>
      <c r="C15914" s="17" t="s">
        <v>71</v>
      </c>
      <c r="D15914" t="s">
        <v>19897</v>
      </c>
      <c r="F15914" t="s">
        <v>14588</v>
      </c>
      <c r="J15914" s="17" t="s">
        <v>42744</v>
      </c>
      <c r="K15914" s="18">
        <f>6281333307916</f>
        <v>6281333307916</v>
      </c>
      <c r="N15914" s="17" t="s">
        <v>81</v>
      </c>
      <c r="V15914" s="18">
        <f>6281333307916</f>
        <v>6281333307916</v>
      </c>
    </row>
    <row r="15915" ht="15" customHeight="1" spans="1:23" x14ac:dyDescent="0.25">
      <c r="A15915" s="17" t="s">
        <v>42745</v>
      </c>
      <c r="B15915" s="17" t="s">
        <v>70</v>
      </c>
      <c r="C15915" s="17" t="s">
        <v>71</v>
      </c>
      <c r="D15915" t="s">
        <v>42738</v>
      </c>
      <c r="F15915" t="s">
        <v>42746</v>
      </c>
      <c r="K15915" s="18">
        <v>8613311268955</v>
      </c>
      <c r="N15915" s="17" t="s">
        <v>77</v>
      </c>
      <c r="U15915" s="17"/>
      <c r="V15915" s="18">
        <v>8613311268955</v>
      </c>
      <c r="W15915" t="s">
        <v>42747</v>
      </c>
    </row>
    <row r="15916" ht="15" customHeight="1" spans="1:23" x14ac:dyDescent="0.25">
      <c r="A15916" s="17" t="s">
        <v>42748</v>
      </c>
      <c r="B15916" s="17" t="s">
        <v>70</v>
      </c>
      <c r="C15916" s="17" t="s">
        <v>71</v>
      </c>
      <c r="D15916" t="s">
        <v>42738</v>
      </c>
      <c r="F15916" t="s">
        <v>42749</v>
      </c>
      <c r="K15916" s="18">
        <f>13112022</f>
        <v>13112022</v>
      </c>
      <c r="N15916" s="17" t="s">
        <v>81</v>
      </c>
      <c r="U15916" s="17"/>
      <c r="V15916" s="18">
        <f>13112022</f>
        <v>13112022</v>
      </c>
      <c r="W15916" t="s">
        <v>6666</v>
      </c>
    </row>
    <row r="15917" ht="15" customHeight="1" spans="1:28" x14ac:dyDescent="0.25">
      <c r="A15917" s="17" t="s">
        <v>42750</v>
      </c>
      <c r="B15917" s="17" t="s">
        <v>70</v>
      </c>
      <c r="C15917" s="17" t="s">
        <v>71</v>
      </c>
      <c r="D15917" t="s">
        <v>42751</v>
      </c>
      <c r="F15917" t="s">
        <v>7297</v>
      </c>
      <c r="J15917" t="s">
        <v>115</v>
      </c>
      <c r="K15917" s="18" t="s">
        <v>42752</v>
      </c>
      <c r="N15917" s="17" t="s">
        <v>77</v>
      </c>
      <c r="O15917" t="s">
        <v>199</v>
      </c>
      <c r="U15917" s="17"/>
      <c r="V15917" s="18" t="s">
        <v>42752</v>
      </c>
      <c r="W15917" t="s">
        <v>42753</v>
      </c>
      <c r="Y15917" s="17" t="s">
        <v>1084</v>
      </c>
      <c r="AA15917" t="s">
        <v>3146</v>
      </c>
      <c r="AB15917" t="s">
        <v>119</v>
      </c>
    </row>
    <row r="15918" ht="15" customHeight="1" spans="1:28" x14ac:dyDescent="0.25">
      <c r="A15918" s="17" t="s">
        <v>42754</v>
      </c>
      <c r="B15918" s="17" t="s">
        <v>70</v>
      </c>
      <c r="C15918" s="17" t="s">
        <v>71</v>
      </c>
      <c r="D15918" t="s">
        <v>19897</v>
      </c>
      <c r="F15918" t="s">
        <v>42755</v>
      </c>
      <c r="J15918" s="17" t="s">
        <v>42756</v>
      </c>
      <c r="K15918" s="18" t="s">
        <v>42757</v>
      </c>
      <c r="N15918" s="17" t="s">
        <v>77</v>
      </c>
      <c r="O15918" t="s">
        <v>117</v>
      </c>
      <c r="U15918" s="17"/>
      <c r="V15918" s="18" t="s">
        <v>42757</v>
      </c>
      <c r="W15918" t="s">
        <v>3140</v>
      </c>
      <c r="Y15918" t="s">
        <v>115</v>
      </c>
      <c r="AA15918" t="s">
        <v>115</v>
      </c>
      <c r="AB15918" t="s">
        <v>3140</v>
      </c>
    </row>
    <row r="15919" ht="15" customHeight="1" spans="1:28" x14ac:dyDescent="0.25">
      <c r="A15919" s="17" t="s">
        <v>42758</v>
      </c>
      <c r="B15919" s="17" t="s">
        <v>70</v>
      </c>
      <c r="C15919" s="17" t="s">
        <v>71</v>
      </c>
      <c r="D15919" t="s">
        <v>19897</v>
      </c>
      <c r="F15919" t="s">
        <v>42759</v>
      </c>
      <c r="J15919" s="17" t="s">
        <v>42760</v>
      </c>
      <c r="K15919" s="18" t="s">
        <v>42761</v>
      </c>
      <c r="N15919" s="17" t="s">
        <v>77</v>
      </c>
      <c r="O15919" t="s">
        <v>117</v>
      </c>
      <c r="U15919" s="17"/>
      <c r="V15919" s="18" t="s">
        <v>42761</v>
      </c>
      <c r="W15919" t="s">
        <v>6980</v>
      </c>
      <c r="Y15919" s="17" t="s">
        <v>3140</v>
      </c>
      <c r="AA15919" t="s">
        <v>115</v>
      </c>
      <c r="AB15919" t="s">
        <v>3140</v>
      </c>
    </row>
    <row r="15920" ht="15" customHeight="1" spans="1:28" x14ac:dyDescent="0.25">
      <c r="A15920" s="17" t="s">
        <v>42762</v>
      </c>
      <c r="B15920" s="17" t="s">
        <v>70</v>
      </c>
      <c r="C15920" s="17" t="s">
        <v>71</v>
      </c>
      <c r="D15920" t="s">
        <v>19897</v>
      </c>
      <c r="F15920" t="s">
        <v>42763</v>
      </c>
      <c r="J15920" s="17" t="s">
        <v>42764</v>
      </c>
      <c r="K15920" s="18" t="s">
        <v>42765</v>
      </c>
      <c r="N15920" s="17" t="s">
        <v>77</v>
      </c>
      <c r="O15920" t="s">
        <v>117</v>
      </c>
      <c r="U15920" s="17"/>
      <c r="V15920" s="18" t="s">
        <v>42765</v>
      </c>
      <c r="W15920" t="s">
        <v>3140</v>
      </c>
      <c r="Y15920" t="s">
        <v>115</v>
      </c>
      <c r="AA15920" t="s">
        <v>115</v>
      </c>
      <c r="AB15920" t="s">
        <v>3140</v>
      </c>
    </row>
    <row r="15921" ht="15" customHeight="1" spans="1:28" x14ac:dyDescent="0.25">
      <c r="A15921" s="17" t="s">
        <v>42766</v>
      </c>
      <c r="B15921" s="17" t="s">
        <v>70</v>
      </c>
      <c r="C15921" s="17" t="s">
        <v>71</v>
      </c>
      <c r="D15921" t="s">
        <v>42767</v>
      </c>
      <c r="F15921" t="s">
        <v>42768</v>
      </c>
      <c r="J15921" t="s">
        <v>115</v>
      </c>
      <c r="K15921" s="18" t="s">
        <v>42769</v>
      </c>
      <c r="N15921" s="17" t="s">
        <v>77</v>
      </c>
      <c r="O15921" t="s">
        <v>117</v>
      </c>
      <c r="U15921" s="17"/>
      <c r="V15921" s="18" t="s">
        <v>42769</v>
      </c>
      <c r="W15921" t="s">
        <v>3140</v>
      </c>
      <c r="Y15921" t="s">
        <v>3140</v>
      </c>
      <c r="AA15921" t="s">
        <v>115</v>
      </c>
      <c r="AB15921" t="s">
        <v>3140</v>
      </c>
    </row>
    <row r="15922" ht="15" customHeight="1" spans="1:28" x14ac:dyDescent="0.25">
      <c r="A15922" s="17" t="s">
        <v>42770</v>
      </c>
      <c r="B15922" s="17" t="s">
        <v>70</v>
      </c>
      <c r="C15922" s="17" t="s">
        <v>71</v>
      </c>
      <c r="D15922" t="s">
        <v>19897</v>
      </c>
      <c r="F15922" t="s">
        <v>42771</v>
      </c>
      <c r="J15922" s="17" t="s">
        <v>42772</v>
      </c>
      <c r="K15922" s="18" t="s">
        <v>42773</v>
      </c>
      <c r="N15922" s="17" t="s">
        <v>77</v>
      </c>
      <c r="O15922" t="s">
        <v>117</v>
      </c>
      <c r="U15922" s="17"/>
      <c r="V15922" s="18" t="s">
        <v>42773</v>
      </c>
      <c r="W15922" t="s">
        <v>42774</v>
      </c>
      <c r="Y15922" t="s">
        <v>3140</v>
      </c>
      <c r="AA15922" t="s">
        <v>115</v>
      </c>
      <c r="AB15922" t="s">
        <v>3140</v>
      </c>
    </row>
    <row r="15923" ht="15" customHeight="1" spans="1:23" x14ac:dyDescent="0.25">
      <c r="A15923" s="17" t="s">
        <v>42775</v>
      </c>
      <c r="B15923" s="17" t="s">
        <v>70</v>
      </c>
      <c r="C15923" s="17" t="s">
        <v>71</v>
      </c>
      <c r="D15923" t="s">
        <v>42776</v>
      </c>
      <c r="F15923" t="s">
        <v>7304</v>
      </c>
      <c r="J15923" s="17" t="s">
        <v>42777</v>
      </c>
      <c r="K15923" s="18">
        <f>628131647758</f>
        <v>628131647758</v>
      </c>
      <c r="N15923" s="17" t="s">
        <v>81</v>
      </c>
      <c r="U15923" s="17"/>
      <c r="V15923" s="18">
        <f>628131647758</f>
        <v>628131647758</v>
      </c>
      <c r="W15923" t="s">
        <v>42778</v>
      </c>
    </row>
    <row r="15924" ht="15" customHeight="1" spans="1:28" x14ac:dyDescent="0.25">
      <c r="A15924" s="17" t="s">
        <v>42779</v>
      </c>
      <c r="B15924" s="17" t="s">
        <v>70</v>
      </c>
      <c r="C15924" s="17" t="s">
        <v>71</v>
      </c>
      <c r="D15924" t="s">
        <v>42780</v>
      </c>
      <c r="F15924" t="s">
        <v>7293</v>
      </c>
      <c r="J15924" t="s">
        <v>115</v>
      </c>
      <c r="K15924" s="18" t="s">
        <v>42781</v>
      </c>
      <c r="N15924" s="17" t="s">
        <v>77</v>
      </c>
      <c r="O15924" t="s">
        <v>199</v>
      </c>
      <c r="V15924" s="18" t="s">
        <v>42781</v>
      </c>
      <c r="Y15924" t="s">
        <v>3140</v>
      </c>
      <c r="AA15924" t="s">
        <v>115</v>
      </c>
      <c r="AB15924" t="s">
        <v>3140</v>
      </c>
    </row>
    <row r="15925" ht="15" customHeight="1" spans="1:22" x14ac:dyDescent="0.25">
      <c r="A15925" s="17" t="s">
        <v>42782</v>
      </c>
      <c r="B15925" s="17" t="s">
        <v>70</v>
      </c>
      <c r="C15925" s="17" t="s">
        <v>71</v>
      </c>
      <c r="D15925" t="s">
        <v>42780</v>
      </c>
      <c r="F15925" t="s">
        <v>24341</v>
      </c>
      <c r="K15925" s="18">
        <f>6281311298855</f>
        <v>6281311298855</v>
      </c>
      <c r="N15925" s="17" t="s">
        <v>81</v>
      </c>
      <c r="V15925" s="18">
        <f>6281311298855</f>
        <v>6281311298855</v>
      </c>
    </row>
    <row r="15926" ht="15" customHeight="1" spans="1:23" x14ac:dyDescent="0.25">
      <c r="A15926" s="17" t="s">
        <v>42783</v>
      </c>
      <c r="B15926" s="17" t="s">
        <v>70</v>
      </c>
      <c r="C15926" s="17" t="s">
        <v>71</v>
      </c>
      <c r="D15926" t="s">
        <v>42784</v>
      </c>
      <c r="F15926" t="s">
        <v>42785</v>
      </c>
      <c r="J15926" s="17" t="s">
        <v>42786</v>
      </c>
      <c r="K15926" s="18">
        <f>8613911681706</f>
        <v>8613911681706</v>
      </c>
      <c r="N15926" s="17" t="s">
        <v>77</v>
      </c>
      <c r="U15926" s="17"/>
      <c r="V15926" s="18">
        <f>8613911681706</f>
        <v>8613911681706</v>
      </c>
      <c r="W15926" t="s">
        <v>3140</v>
      </c>
    </row>
    <row r="15927" ht="15" customHeight="1" spans="1:28" x14ac:dyDescent="0.25">
      <c r="A15927" s="17" t="s">
        <v>42787</v>
      </c>
      <c r="B15927" s="17" t="s">
        <v>70</v>
      </c>
      <c r="C15927" s="17" t="s">
        <v>71</v>
      </c>
      <c r="D15927" t="s">
        <v>42780</v>
      </c>
      <c r="F15927" t="s">
        <v>42788</v>
      </c>
      <c r="J15927" s="17" t="s">
        <v>42789</v>
      </c>
      <c r="K15927" s="18" t="s">
        <v>42790</v>
      </c>
      <c r="N15927" s="17" t="s">
        <v>77</v>
      </c>
      <c r="O15927" t="s">
        <v>117</v>
      </c>
      <c r="V15927" s="18" t="s">
        <v>42790</v>
      </c>
      <c r="Y15927" s="17" t="s">
        <v>3140</v>
      </c>
      <c r="AA15927" t="s">
        <v>115</v>
      </c>
      <c r="AB15927" t="s">
        <v>3140</v>
      </c>
    </row>
    <row r="15928" ht="15" customHeight="1" spans="1:22" x14ac:dyDescent="0.25">
      <c r="A15928" s="17" t="s">
        <v>42791</v>
      </c>
      <c r="B15928" s="17" t="s">
        <v>70</v>
      </c>
      <c r="C15928" s="17" t="s">
        <v>71</v>
      </c>
      <c r="D15928" t="s">
        <v>42792</v>
      </c>
      <c r="F15928" t="s">
        <v>42793</v>
      </c>
      <c r="K15928" s="18">
        <f>6282122149510</f>
        <v>6282122149510</v>
      </c>
      <c r="N15928" s="17" t="s">
        <v>77</v>
      </c>
      <c r="V15928" s="18">
        <f>6282122149510</f>
        <v>6282122149510</v>
      </c>
    </row>
    <row r="15929" ht="15" customHeight="1" spans="1:22" x14ac:dyDescent="0.25">
      <c r="A15929" s="17" t="s">
        <v>42794</v>
      </c>
      <c r="B15929" s="17" t="s">
        <v>70</v>
      </c>
      <c r="C15929" s="17" t="s">
        <v>71</v>
      </c>
      <c r="D15929" t="s">
        <v>42795</v>
      </c>
      <c r="F15929" t="s">
        <v>7440</v>
      </c>
      <c r="K15929" s="18">
        <f>62818111337</f>
        <v>62818111337</v>
      </c>
      <c r="N15929" s="17" t="s">
        <v>77</v>
      </c>
      <c r="V15929" s="18">
        <f>62818111337</f>
        <v>62818111337</v>
      </c>
    </row>
    <row r="15930" ht="15" customHeight="1" spans="1:27" x14ac:dyDescent="0.25">
      <c r="A15930" s="17" t="s">
        <v>42796</v>
      </c>
      <c r="B15930" s="17" t="s">
        <v>70</v>
      </c>
      <c r="C15930" s="17" t="s">
        <v>71</v>
      </c>
      <c r="D15930" t="s">
        <v>42797</v>
      </c>
      <c r="F15930" t="s">
        <v>14461</v>
      </c>
      <c r="K15930" s="18">
        <f>628161812510</f>
        <v>628161812510</v>
      </c>
      <c r="N15930" s="17" t="s">
        <v>81</v>
      </c>
      <c r="U15930" s="17"/>
      <c r="V15930" s="18">
        <f>628161812510</f>
        <v>628161812510</v>
      </c>
      <c r="W15930" t="s">
        <v>42798</v>
      </c>
      <c r="AA15930" s="17">
        <v>13950</v>
      </c>
    </row>
    <row r="15931" ht="15" customHeight="1" spans="1:22" x14ac:dyDescent="0.25">
      <c r="A15931" s="17" t="s">
        <v>42799</v>
      </c>
      <c r="B15931" s="17" t="s">
        <v>70</v>
      </c>
      <c r="C15931" s="17" t="s">
        <v>71</v>
      </c>
      <c r="D15931" t="s">
        <v>7747</v>
      </c>
      <c r="F15931" t="s">
        <v>19652</v>
      </c>
      <c r="K15931" s="18">
        <f>62818110548</f>
        <v>62818110548</v>
      </c>
      <c r="N15931" s="17" t="s">
        <v>81</v>
      </c>
      <c r="V15931" s="18">
        <f>62818110548</f>
        <v>62818110548</v>
      </c>
    </row>
    <row r="15932" ht="15" customHeight="1" spans="1:28" x14ac:dyDescent="0.25">
      <c r="A15932" s="17" t="s">
        <v>42800</v>
      </c>
      <c r="B15932" s="17" t="s">
        <v>70</v>
      </c>
      <c r="C15932" s="17" t="s">
        <v>71</v>
      </c>
      <c r="D15932" t="s">
        <v>42801</v>
      </c>
      <c r="F15932" t="s">
        <v>42802</v>
      </c>
      <c r="J15932" t="s">
        <v>115</v>
      </c>
      <c r="K15932" s="18" t="s">
        <v>42803</v>
      </c>
      <c r="N15932" s="17" t="s">
        <v>81</v>
      </c>
      <c r="O15932" t="s">
        <v>117</v>
      </c>
      <c r="V15932" s="18" t="s">
        <v>42803</v>
      </c>
      <c r="Y15932" t="s">
        <v>90</v>
      </c>
      <c r="AA15932" t="s">
        <v>118</v>
      </c>
      <c r="AB15932" t="s">
        <v>119</v>
      </c>
    </row>
    <row r="15933" ht="15" customHeight="1" spans="1:22" x14ac:dyDescent="0.25">
      <c r="A15933" s="17" t="s">
        <v>42804</v>
      </c>
      <c r="B15933" s="17" t="s">
        <v>70</v>
      </c>
      <c r="C15933" s="17" t="s">
        <v>71</v>
      </c>
      <c r="D15933" t="s">
        <v>42801</v>
      </c>
      <c r="F15933" t="s">
        <v>42805</v>
      </c>
      <c r="K15933" s="18">
        <f>62811151889</f>
        <v>62811151889</v>
      </c>
      <c r="N15933" s="17" t="s">
        <v>77</v>
      </c>
      <c r="V15933" s="18">
        <f>62811151889</f>
        <v>62811151889</v>
      </c>
    </row>
    <row r="15934" ht="15" customHeight="1" spans="1:28" x14ac:dyDescent="0.25">
      <c r="A15934" s="17" t="s">
        <v>42806</v>
      </c>
      <c r="B15934" s="17" t="s">
        <v>70</v>
      </c>
      <c r="C15934" s="17" t="s">
        <v>71</v>
      </c>
      <c r="D15934" t="s">
        <v>42807</v>
      </c>
      <c r="F15934" t="s">
        <v>7846</v>
      </c>
      <c r="J15934" s="17" t="s">
        <v>42808</v>
      </c>
      <c r="K15934" s="18" t="s">
        <v>42809</v>
      </c>
      <c r="N15934" s="17" t="s">
        <v>77</v>
      </c>
      <c r="O15934" t="s">
        <v>145</v>
      </c>
      <c r="V15934" s="18" t="s">
        <v>42809</v>
      </c>
      <c r="Y15934" t="s">
        <v>115</v>
      </c>
      <c r="AA15934" t="s">
        <v>115</v>
      </c>
      <c r="AB15934" t="s">
        <v>1903</v>
      </c>
    </row>
    <row r="15935" ht="15" customHeight="1" spans="1:22" x14ac:dyDescent="0.25">
      <c r="A15935" s="17" t="s">
        <v>42810</v>
      </c>
      <c r="B15935" s="17" t="s">
        <v>70</v>
      </c>
      <c r="C15935" s="17" t="s">
        <v>71</v>
      </c>
      <c r="D15935" t="s">
        <v>42811</v>
      </c>
      <c r="F15935" t="s">
        <v>7093</v>
      </c>
      <c r="K15935" s="18">
        <f>6282122442240</f>
        <v>6282122442240</v>
      </c>
      <c r="N15935" s="17" t="s">
        <v>77</v>
      </c>
      <c r="V15935" s="18">
        <f>6282122442240</f>
        <v>6282122442240</v>
      </c>
    </row>
    <row r="15936" ht="15" customHeight="1" spans="1:28" x14ac:dyDescent="0.25">
      <c r="A15936" s="17" t="s">
        <v>42812</v>
      </c>
      <c r="B15936" s="17" t="s">
        <v>70</v>
      </c>
      <c r="C15936" s="17" t="s">
        <v>71</v>
      </c>
      <c r="D15936" t="s">
        <v>42813</v>
      </c>
      <c r="F15936" t="s">
        <v>42814</v>
      </c>
      <c r="J15936" t="s">
        <v>115</v>
      </c>
      <c r="K15936" s="18" t="s">
        <v>42815</v>
      </c>
      <c r="N15936" s="17" t="s">
        <v>77</v>
      </c>
      <c r="O15936" t="s">
        <v>199</v>
      </c>
      <c r="V15936" s="18" t="s">
        <v>42815</v>
      </c>
      <c r="Y15936" t="s">
        <v>90</v>
      </c>
      <c r="AA15936" t="s">
        <v>118</v>
      </c>
      <c r="AB15936" t="s">
        <v>119</v>
      </c>
    </row>
    <row r="15937" ht="15" customHeight="1" spans="1:22" x14ac:dyDescent="0.25">
      <c r="A15937" s="17" t="s">
        <v>42816</v>
      </c>
      <c r="B15937" s="17" t="s">
        <v>70</v>
      </c>
      <c r="C15937" s="17" t="s">
        <v>71</v>
      </c>
      <c r="D15937" t="s">
        <v>42817</v>
      </c>
      <c r="F15937" t="s">
        <v>42817</v>
      </c>
      <c r="K15937" s="18">
        <f>62811640117</f>
        <v>62811640117</v>
      </c>
      <c r="N15937" s="17" t="s">
        <v>77</v>
      </c>
      <c r="V15937" s="18">
        <f>62811640117</f>
        <v>62811640117</v>
      </c>
    </row>
    <row r="15938" ht="15" customHeight="1" spans="1:22" x14ac:dyDescent="0.25">
      <c r="A15938" s="17" t="s">
        <v>42818</v>
      </c>
      <c r="B15938" s="17" t="s">
        <v>70</v>
      </c>
      <c r="C15938" s="17" t="s">
        <v>71</v>
      </c>
      <c r="D15938" t="s">
        <v>13790</v>
      </c>
      <c r="F15938" t="s">
        <v>30589</v>
      </c>
      <c r="K15938" s="18">
        <f>6281283700787</f>
        <v>6281283700787</v>
      </c>
      <c r="N15938" s="17" t="s">
        <v>77</v>
      </c>
      <c r="V15938" s="18">
        <f>6281283700787</f>
        <v>6281283700787</v>
      </c>
    </row>
    <row r="15939" ht="15" customHeight="1" spans="1:22" x14ac:dyDescent="0.25">
      <c r="A15939" s="17" t="s">
        <v>42819</v>
      </c>
      <c r="B15939" s="17" t="s">
        <v>70</v>
      </c>
      <c r="C15939" s="17" t="s">
        <v>71</v>
      </c>
      <c r="D15939" t="s">
        <v>42820</v>
      </c>
      <c r="F15939" t="s">
        <v>42820</v>
      </c>
      <c r="K15939" s="18">
        <f>6282112569295</f>
        <v>6282112569295</v>
      </c>
      <c r="N15939" s="17" t="s">
        <v>74</v>
      </c>
      <c r="V15939" s="18">
        <f>6282112569295</f>
        <v>6282112569295</v>
      </c>
    </row>
    <row r="15940" ht="15" customHeight="1" spans="1:28" x14ac:dyDescent="0.25">
      <c r="A15940" s="17" t="s">
        <v>42821</v>
      </c>
      <c r="B15940" s="17" t="s">
        <v>70</v>
      </c>
      <c r="C15940" s="17" t="s">
        <v>71</v>
      </c>
      <c r="D15940" t="s">
        <v>15814</v>
      </c>
      <c r="F15940" t="s">
        <v>34955</v>
      </c>
      <c r="J15940" s="17" t="s">
        <v>42822</v>
      </c>
      <c r="K15940" s="18" t="s">
        <v>42823</v>
      </c>
      <c r="N15940" s="17" t="s">
        <v>77</v>
      </c>
      <c r="O15940" t="s">
        <v>489</v>
      </c>
      <c r="V15940" s="18" t="s">
        <v>42823</v>
      </c>
      <c r="Y15940" t="s">
        <v>190</v>
      </c>
      <c r="AA15940" t="s">
        <v>118</v>
      </c>
      <c r="AB15940" t="s">
        <v>119</v>
      </c>
    </row>
    <row r="15941" ht="15" customHeight="1" spans="1:23" x14ac:dyDescent="0.25">
      <c r="A15941" s="17" t="s">
        <v>42824</v>
      </c>
      <c r="B15941" s="17" t="s">
        <v>70</v>
      </c>
      <c r="C15941" s="17" t="s">
        <v>71</v>
      </c>
      <c r="D15941" t="s">
        <v>42825</v>
      </c>
      <c r="F15941" t="s">
        <v>42825</v>
      </c>
      <c r="K15941" s="18">
        <f>6287881773456</f>
        <v>6287881773456</v>
      </c>
      <c r="N15941" s="17" t="s">
        <v>81</v>
      </c>
      <c r="U15941" s="17"/>
      <c r="V15941" s="18">
        <f>6287881773456</f>
        <v>6287881773456</v>
      </c>
      <c r="W15941" t="s">
        <v>42826</v>
      </c>
    </row>
    <row r="15942" ht="15" customHeight="1" spans="1:28" x14ac:dyDescent="0.25">
      <c r="A15942" s="17" t="s">
        <v>42827</v>
      </c>
      <c r="B15942" s="17" t="s">
        <v>70</v>
      </c>
      <c r="C15942" s="17" t="s">
        <v>71</v>
      </c>
      <c r="D15942" t="s">
        <v>42828</v>
      </c>
      <c r="F15942" t="s">
        <v>25943</v>
      </c>
      <c r="J15942" t="s">
        <v>115</v>
      </c>
      <c r="K15942" s="18" t="s">
        <v>42829</v>
      </c>
      <c r="N15942" s="17" t="s">
        <v>77</v>
      </c>
      <c r="O15942" t="s">
        <v>489</v>
      </c>
      <c r="U15942" s="17"/>
      <c r="V15942" s="18" t="s">
        <v>42829</v>
      </c>
      <c r="W15942" t="s">
        <v>42830</v>
      </c>
      <c r="Y15942" s="17" t="s">
        <v>96</v>
      </c>
      <c r="AA15942" t="s">
        <v>693</v>
      </c>
      <c r="AB15942" t="s">
        <v>119</v>
      </c>
    </row>
    <row r="15943" ht="15" customHeight="1" spans="1:28" x14ac:dyDescent="0.25">
      <c r="A15943" s="17" t="s">
        <v>42831</v>
      </c>
      <c r="B15943" s="17" t="s">
        <v>70</v>
      </c>
      <c r="C15943" s="17" t="s">
        <v>71</v>
      </c>
      <c r="D15943" t="s">
        <v>42832</v>
      </c>
      <c r="F15943" t="s">
        <v>42833</v>
      </c>
      <c r="J15943" s="17" t="s">
        <v>42834</v>
      </c>
      <c r="K15943" s="18" t="s">
        <v>42835</v>
      </c>
      <c r="N15943" s="17" t="s">
        <v>77</v>
      </c>
      <c r="O15943" t="s">
        <v>489</v>
      </c>
      <c r="U15943" s="17"/>
      <c r="V15943" s="18" t="s">
        <v>42835</v>
      </c>
      <c r="W15943" t="s">
        <v>2500</v>
      </c>
      <c r="Y15943" t="s">
        <v>2500</v>
      </c>
      <c r="AA15943" t="s">
        <v>115</v>
      </c>
      <c r="AB15943" t="s">
        <v>2500</v>
      </c>
    </row>
    <row r="15944" ht="15" customHeight="1" spans="1:23" x14ac:dyDescent="0.25">
      <c r="A15944" s="17" t="s">
        <v>42836</v>
      </c>
      <c r="B15944" s="17" t="s">
        <v>70</v>
      </c>
      <c r="C15944" s="17" t="s">
        <v>71</v>
      </c>
      <c r="D15944" t="s">
        <v>42832</v>
      </c>
      <c r="F15944" t="s">
        <v>42837</v>
      </c>
      <c r="K15944" s="18">
        <f>819018754265</f>
        <v>819018754265</v>
      </c>
      <c r="N15944" s="17" t="s">
        <v>77</v>
      </c>
      <c r="U15944" s="17"/>
      <c r="V15944" s="18">
        <f>819018754265</f>
        <v>819018754265</v>
      </c>
      <c r="W15944" t="s">
        <v>2500</v>
      </c>
    </row>
    <row r="15945" ht="15" customHeight="1" spans="1:22" x14ac:dyDescent="0.25">
      <c r="A15945" s="17" t="s">
        <v>42838</v>
      </c>
      <c r="B15945" s="17" t="s">
        <v>70</v>
      </c>
      <c r="C15945" s="17" t="s">
        <v>71</v>
      </c>
      <c r="D15945" t="s">
        <v>42839</v>
      </c>
      <c r="F15945" t="s">
        <v>42839</v>
      </c>
      <c r="K15945" s="18">
        <f>6281113001940</f>
        <v>6281113001940</v>
      </c>
      <c r="N15945" s="17" t="s">
        <v>77</v>
      </c>
      <c r="V15945" s="18">
        <f>6281113001940</f>
        <v>6281113001940</v>
      </c>
    </row>
    <row r="15946" ht="15" customHeight="1" spans="1:28" x14ac:dyDescent="0.25">
      <c r="A15946" s="17" t="s">
        <v>42840</v>
      </c>
      <c r="B15946" s="17" t="s">
        <v>70</v>
      </c>
      <c r="C15946" s="17" t="s">
        <v>71</v>
      </c>
      <c r="D15946" t="s">
        <v>4476</v>
      </c>
      <c r="F15946" t="s">
        <v>4476</v>
      </c>
      <c r="J15946" t="s">
        <v>115</v>
      </c>
      <c r="K15946" s="18" t="s">
        <v>42841</v>
      </c>
      <c r="N15946" s="17" t="s">
        <v>77</v>
      </c>
      <c r="O15946" t="s">
        <v>199</v>
      </c>
      <c r="V15946" s="18" t="s">
        <v>42841</v>
      </c>
      <c r="Y15946" t="s">
        <v>90</v>
      </c>
      <c r="AA15946" t="s">
        <v>118</v>
      </c>
      <c r="AB15946" t="s">
        <v>119</v>
      </c>
    </row>
    <row r="15947" ht="15" customHeight="1" spans="1:23" x14ac:dyDescent="0.25">
      <c r="A15947" s="17" t="s">
        <v>42842</v>
      </c>
      <c r="B15947" s="17" t="s">
        <v>70</v>
      </c>
      <c r="C15947" s="17" t="s">
        <v>71</v>
      </c>
      <c r="D15947" t="s">
        <v>7341</v>
      </c>
      <c r="F15947" t="s">
        <v>8877</v>
      </c>
      <c r="K15947" s="18">
        <f>62811150888</f>
        <v>62811150888</v>
      </c>
      <c r="N15947" s="17" t="s">
        <v>77</v>
      </c>
      <c r="U15947" s="17"/>
      <c r="V15947" s="18">
        <f>62811150888</f>
        <v>62811150888</v>
      </c>
      <c r="W15947" t="s">
        <v>42843</v>
      </c>
    </row>
    <row r="15948" ht="15" customHeight="1" spans="1:22" x14ac:dyDescent="0.25">
      <c r="A15948" s="17" t="s">
        <v>42844</v>
      </c>
      <c r="B15948" s="17" t="s">
        <v>70</v>
      </c>
      <c r="C15948" s="17" t="s">
        <v>71</v>
      </c>
      <c r="D15948" t="s">
        <v>7341</v>
      </c>
      <c r="F15948" t="s">
        <v>42845</v>
      </c>
      <c r="K15948" s="18">
        <f>628121088885</f>
        <v>628121088885</v>
      </c>
      <c r="N15948" s="17" t="s">
        <v>77</v>
      </c>
      <c r="V15948" s="18">
        <f>628121088885</f>
        <v>628121088885</v>
      </c>
    </row>
    <row r="15949" ht="15" customHeight="1" spans="1:22" x14ac:dyDescent="0.25">
      <c r="A15949" s="17" t="s">
        <v>42846</v>
      </c>
      <c r="B15949" s="17" t="s">
        <v>70</v>
      </c>
      <c r="C15949" s="17" t="s">
        <v>71</v>
      </c>
      <c r="D15949" t="s">
        <v>7341</v>
      </c>
      <c r="F15949" t="s">
        <v>42847</v>
      </c>
      <c r="K15949" s="18">
        <f>628999857777</f>
        <v>628999857777</v>
      </c>
      <c r="N15949" s="17" t="s">
        <v>77</v>
      </c>
      <c r="V15949" s="18">
        <f>628999857777</f>
        <v>628999857777</v>
      </c>
    </row>
    <row r="15950" ht="15" customHeight="1" spans="1:25" x14ac:dyDescent="0.25">
      <c r="A15950" s="17" t="s">
        <v>42848</v>
      </c>
      <c r="B15950" s="17" t="s">
        <v>70</v>
      </c>
      <c r="C15950" s="17" t="s">
        <v>71</v>
      </c>
      <c r="D15950" t="s">
        <v>7341</v>
      </c>
      <c r="F15950" t="s">
        <v>6693</v>
      </c>
      <c r="J15950" s="17" t="s">
        <v>42849</v>
      </c>
      <c r="K15950" s="18">
        <f>8613671651107</f>
        <v>8613671651107</v>
      </c>
      <c r="N15950" s="17" t="s">
        <v>81</v>
      </c>
      <c r="V15950" s="18">
        <f>8613671651107</f>
        <v>8613671651107</v>
      </c>
      <c r="Y15950" s="17" t="s">
        <v>6980</v>
      </c>
    </row>
    <row r="15951" ht="15" customHeight="1" spans="1:22" x14ac:dyDescent="0.25">
      <c r="A15951" s="17" t="s">
        <v>42850</v>
      </c>
      <c r="B15951" s="17" t="s">
        <v>70</v>
      </c>
      <c r="C15951" s="17" t="s">
        <v>71</v>
      </c>
      <c r="D15951" t="s">
        <v>7341</v>
      </c>
      <c r="F15951" t="s">
        <v>42732</v>
      </c>
      <c r="J15951" s="17" t="s">
        <v>42851</v>
      </c>
      <c r="K15951" s="18">
        <f>6285230122120</f>
        <v>6285230122120</v>
      </c>
      <c r="N15951" s="17" t="s">
        <v>81</v>
      </c>
      <c r="V15951" s="18">
        <f>6285230122120</f>
        <v>6285230122120</v>
      </c>
    </row>
    <row r="15952" ht="15" customHeight="1" spans="1:28" x14ac:dyDescent="0.25">
      <c r="A15952" s="17" t="s">
        <v>42852</v>
      </c>
      <c r="B15952" s="17" t="s">
        <v>70</v>
      </c>
      <c r="C15952" s="17" t="s">
        <v>71</v>
      </c>
      <c r="D15952" t="s">
        <v>10653</v>
      </c>
      <c r="F15952" t="s">
        <v>10654</v>
      </c>
      <c r="J15952" t="s">
        <v>115</v>
      </c>
      <c r="K15952" s="18" t="s">
        <v>42853</v>
      </c>
      <c r="N15952" s="17" t="s">
        <v>81</v>
      </c>
      <c r="O15952" t="s">
        <v>117</v>
      </c>
      <c r="V15952" s="18" t="s">
        <v>42853</v>
      </c>
      <c r="Y15952" t="s">
        <v>115</v>
      </c>
      <c r="AA15952" t="s">
        <v>115</v>
      </c>
      <c r="AB15952" t="s">
        <v>119</v>
      </c>
    </row>
    <row r="15953" ht="15" customHeight="1" spans="1:23" x14ac:dyDescent="0.25">
      <c r="A15953" s="17" t="s">
        <v>42854</v>
      </c>
      <c r="B15953" s="17" t="s">
        <v>70</v>
      </c>
      <c r="C15953" s="17" t="s">
        <v>71</v>
      </c>
      <c r="D15953" t="s">
        <v>7341</v>
      </c>
      <c r="F15953" t="s">
        <v>42855</v>
      </c>
      <c r="K15953" s="18">
        <f>6582997458</f>
        <v>6582997458</v>
      </c>
      <c r="N15953" s="17" t="s">
        <v>77</v>
      </c>
      <c r="U15953" s="17"/>
      <c r="V15953" s="18">
        <f>6582997458</f>
        <v>6582997458</v>
      </c>
      <c r="W15953" t="s">
        <v>3140</v>
      </c>
    </row>
    <row r="15954" ht="15" customHeight="1" spans="1:28" x14ac:dyDescent="0.25">
      <c r="A15954" s="17" t="s">
        <v>42856</v>
      </c>
      <c r="B15954" s="17" t="s">
        <v>70</v>
      </c>
      <c r="C15954" s="17" t="s">
        <v>71</v>
      </c>
      <c r="D15954" t="s">
        <v>7341</v>
      </c>
      <c r="F15954" t="s">
        <v>7341</v>
      </c>
      <c r="J15954" t="s">
        <v>115</v>
      </c>
      <c r="K15954" s="18" t="s">
        <v>42857</v>
      </c>
      <c r="N15954" s="17" t="s">
        <v>77</v>
      </c>
      <c r="O15954" t="s">
        <v>145</v>
      </c>
      <c r="V15954" s="18" t="s">
        <v>42857</v>
      </c>
      <c r="Y15954" t="s">
        <v>4897</v>
      </c>
      <c r="AA15954" t="s">
        <v>115</v>
      </c>
      <c r="AB15954" t="s">
        <v>119</v>
      </c>
    </row>
    <row r="15955" ht="15" customHeight="1" spans="1:22" x14ac:dyDescent="0.25">
      <c r="A15955" s="17" t="s">
        <v>42858</v>
      </c>
      <c r="B15955" s="17" t="s">
        <v>70</v>
      </c>
      <c r="C15955" s="17" t="s">
        <v>71</v>
      </c>
      <c r="D15955" t="s">
        <v>7341</v>
      </c>
      <c r="F15955" t="s">
        <v>20654</v>
      </c>
      <c r="J15955" s="17" t="s">
        <v>42859</v>
      </c>
      <c r="K15955" s="18">
        <f>6281212277240</f>
        <v>6281212277240</v>
      </c>
      <c r="N15955" s="17" t="s">
        <v>81</v>
      </c>
      <c r="V15955" s="18">
        <f>6281212277240</f>
        <v>6281212277240</v>
      </c>
    </row>
    <row r="15956" ht="15" customHeight="1" spans="1:23" x14ac:dyDescent="0.25">
      <c r="A15956" s="17" t="s">
        <v>42860</v>
      </c>
      <c r="B15956" s="17" t="s">
        <v>70</v>
      </c>
      <c r="C15956" s="17" t="s">
        <v>71</v>
      </c>
      <c r="D15956" t="s">
        <v>20521</v>
      </c>
      <c r="F15956" t="s">
        <v>42861</v>
      </c>
      <c r="J15956" s="17" t="s">
        <v>42862</v>
      </c>
      <c r="K15956" s="18">
        <f>8618627053777</f>
        <v>8618627053777</v>
      </c>
      <c r="N15956" s="17" t="s">
        <v>77</v>
      </c>
      <c r="U15956" s="17"/>
      <c r="V15956" s="18">
        <f>8618627053777</f>
        <v>8618627053777</v>
      </c>
      <c r="W15956" t="s">
        <v>3140</v>
      </c>
    </row>
    <row r="15957" ht="15" customHeight="1" spans="1:25" x14ac:dyDescent="0.25">
      <c r="A15957" s="17" t="s">
        <v>42863</v>
      </c>
      <c r="B15957" s="17" t="s">
        <v>70</v>
      </c>
      <c r="C15957" s="17" t="s">
        <v>71</v>
      </c>
      <c r="D15957" t="s">
        <v>20521</v>
      </c>
      <c r="F15957" t="s">
        <v>42864</v>
      </c>
      <c r="K15957" s="18">
        <f>19099913627</f>
        <v>19099913627</v>
      </c>
      <c r="N15957" s="17" t="s">
        <v>77</v>
      </c>
      <c r="V15957" s="18">
        <f>19099913627</f>
        <v>19099913627</v>
      </c>
      <c r="Y15957" s="17" t="s">
        <v>930</v>
      </c>
    </row>
    <row r="15958" ht="15" customHeight="1" spans="1:28" x14ac:dyDescent="0.25">
      <c r="A15958" s="17" t="s">
        <v>42865</v>
      </c>
      <c r="B15958" s="17" t="s">
        <v>70</v>
      </c>
      <c r="C15958" s="17" t="s">
        <v>71</v>
      </c>
      <c r="D15958" t="s">
        <v>7341</v>
      </c>
      <c r="F15958" t="s">
        <v>42866</v>
      </c>
      <c r="J15958" s="17" t="s">
        <v>42867</v>
      </c>
      <c r="K15958" s="18" t="s">
        <v>42868</v>
      </c>
      <c r="N15958" s="17" t="s">
        <v>77</v>
      </c>
      <c r="O15958" t="s">
        <v>117</v>
      </c>
      <c r="V15958" s="18" t="s">
        <v>42868</v>
      </c>
      <c r="Y15958" t="s">
        <v>115</v>
      </c>
      <c r="AA15958" t="s">
        <v>115</v>
      </c>
      <c r="AB15958" t="s">
        <v>3140</v>
      </c>
    </row>
    <row r="15959" ht="15" customHeight="1" spans="1:28" x14ac:dyDescent="0.25">
      <c r="A15959" s="17" t="s">
        <v>42869</v>
      </c>
      <c r="B15959" s="17" t="s">
        <v>70</v>
      </c>
      <c r="C15959" s="17" t="s">
        <v>71</v>
      </c>
      <c r="D15959" t="s">
        <v>17892</v>
      </c>
      <c r="F15959" t="s">
        <v>196</v>
      </c>
      <c r="J15959" t="s">
        <v>115</v>
      </c>
      <c r="K15959" s="18" t="s">
        <v>42870</v>
      </c>
      <c r="N15959" s="17" t="s">
        <v>74</v>
      </c>
      <c r="O15959" t="s">
        <v>489</v>
      </c>
      <c r="U15959" s="17"/>
      <c r="V15959" s="18" t="s">
        <v>42870</v>
      </c>
      <c r="W15959" t="s">
        <v>42871</v>
      </c>
      <c r="Y15959" s="17" t="s">
        <v>96</v>
      </c>
      <c r="AA15959" t="s">
        <v>693</v>
      </c>
      <c r="AB15959" t="s">
        <v>119</v>
      </c>
    </row>
    <row r="15960" ht="15" customHeight="1" spans="1:22" x14ac:dyDescent="0.25">
      <c r="A15960" s="17" t="s">
        <v>42872</v>
      </c>
      <c r="B15960" s="17" t="s">
        <v>70</v>
      </c>
      <c r="C15960" s="17" t="s">
        <v>71</v>
      </c>
      <c r="D15960" t="s">
        <v>17892</v>
      </c>
      <c r="F15960" t="s">
        <v>42873</v>
      </c>
      <c r="J15960" s="17" t="s">
        <v>42874</v>
      </c>
      <c r="K15960" s="18">
        <f>628118808606</f>
        <v>628118808606</v>
      </c>
      <c r="N15960" s="17" t="s">
        <v>77</v>
      </c>
      <c r="V15960" s="18">
        <f>628118808606</f>
        <v>628118808606</v>
      </c>
    </row>
    <row r="15961" ht="15" customHeight="1" spans="1:22" x14ac:dyDescent="0.25">
      <c r="A15961" s="17" t="s">
        <v>42875</v>
      </c>
      <c r="B15961" s="17" t="s">
        <v>70</v>
      </c>
      <c r="C15961" s="17" t="s">
        <v>71</v>
      </c>
      <c r="D15961" t="s">
        <v>17892</v>
      </c>
      <c r="F15961" t="s">
        <v>2957</v>
      </c>
      <c r="K15961" s="18">
        <f>6281318886126</f>
        <v>6281318886126</v>
      </c>
      <c r="N15961" s="17" t="s">
        <v>77</v>
      </c>
      <c r="V15961" s="18">
        <f>6281318886126</f>
        <v>6281318886126</v>
      </c>
    </row>
    <row r="15962" ht="15" customHeight="1" spans="1:22" x14ac:dyDescent="0.25">
      <c r="A15962" s="17" t="s">
        <v>42876</v>
      </c>
      <c r="B15962" s="17" t="s">
        <v>70</v>
      </c>
      <c r="C15962" s="17" t="s">
        <v>71</v>
      </c>
      <c r="D15962" t="s">
        <v>17892</v>
      </c>
      <c r="F15962" t="s">
        <v>42877</v>
      </c>
      <c r="K15962" s="18">
        <f>6281210326901</f>
        <v>6281210326901</v>
      </c>
      <c r="N15962" s="17" t="s">
        <v>74</v>
      </c>
      <c r="V15962" s="18">
        <f>6281210326901</f>
        <v>6281210326901</v>
      </c>
    </row>
    <row r="15963" ht="15" customHeight="1" spans="1:23" x14ac:dyDescent="0.25">
      <c r="A15963" s="17" t="s">
        <v>42878</v>
      </c>
      <c r="B15963" s="17" t="s">
        <v>70</v>
      </c>
      <c r="C15963" s="17" t="s">
        <v>71</v>
      </c>
      <c r="D15963" t="s">
        <v>17892</v>
      </c>
      <c r="F15963" t="s">
        <v>4059</v>
      </c>
      <c r="K15963" s="18">
        <f>6281219857386</f>
        <v>6281219857386</v>
      </c>
      <c r="N15963" s="17" t="s">
        <v>77</v>
      </c>
      <c r="U15963" s="17"/>
      <c r="V15963" s="18">
        <f>6281219857386</f>
        <v>6281219857386</v>
      </c>
      <c r="W15963" t="s">
        <v>42879</v>
      </c>
    </row>
    <row r="15964" ht="15" customHeight="1" spans="1:23" x14ac:dyDescent="0.25">
      <c r="A15964" s="17" t="s">
        <v>42880</v>
      </c>
      <c r="B15964" s="17" t="s">
        <v>70</v>
      </c>
      <c r="C15964" s="17" t="s">
        <v>71</v>
      </c>
      <c r="D15964" t="s">
        <v>42881</v>
      </c>
      <c r="F15964" t="s">
        <v>36852</v>
      </c>
      <c r="K15964" s="18">
        <f>628161354586</f>
        <v>628161354586</v>
      </c>
      <c r="N15964" s="17" t="s">
        <v>81</v>
      </c>
      <c r="U15964" s="17"/>
      <c r="V15964" s="18">
        <f>628161354586</f>
        <v>628161354586</v>
      </c>
      <c r="W15964" t="s">
        <v>7956</v>
      </c>
    </row>
    <row r="15965" ht="15" customHeight="1" spans="1:22" x14ac:dyDescent="0.25">
      <c r="A15965" s="17" t="s">
        <v>42882</v>
      </c>
      <c r="B15965" s="17" t="s">
        <v>70</v>
      </c>
      <c r="C15965" s="17" t="s">
        <v>71</v>
      </c>
      <c r="D15965" t="s">
        <v>42883</v>
      </c>
      <c r="F15965" t="s">
        <v>42883</v>
      </c>
      <c r="K15965" s="18">
        <f>628569099237</f>
        <v>628569099237</v>
      </c>
      <c r="N15965" s="17" t="s">
        <v>77</v>
      </c>
      <c r="V15965" s="18">
        <f>628569099237</f>
        <v>628569099237</v>
      </c>
    </row>
    <row r="15966" ht="15" customHeight="1" spans="1:22" x14ac:dyDescent="0.25">
      <c r="A15966" s="17" t="s">
        <v>42884</v>
      </c>
      <c r="B15966" s="17" t="s">
        <v>70</v>
      </c>
      <c r="C15966" s="17" t="s">
        <v>71</v>
      </c>
      <c r="D15966" t="s">
        <v>22518</v>
      </c>
      <c r="F15966" t="s">
        <v>8888</v>
      </c>
      <c r="K15966" s="18">
        <f>628559913939</f>
        <v>628559913939</v>
      </c>
      <c r="N15966" s="17" t="s">
        <v>77</v>
      </c>
      <c r="V15966" s="18">
        <f>628559913939</f>
        <v>628559913939</v>
      </c>
    </row>
    <row r="15967" ht="15" customHeight="1" spans="1:22" x14ac:dyDescent="0.25">
      <c r="A15967" s="17" t="s">
        <v>42885</v>
      </c>
      <c r="B15967" s="17" t="s">
        <v>70</v>
      </c>
      <c r="C15967" s="17" t="s">
        <v>71</v>
      </c>
      <c r="D15967" t="s">
        <v>42886</v>
      </c>
      <c r="F15967" t="s">
        <v>17204</v>
      </c>
      <c r="K15967" s="18">
        <f>628161305555</f>
        <v>628161305555</v>
      </c>
      <c r="N15967" s="17" t="s">
        <v>77</v>
      </c>
      <c r="V15967" s="18">
        <f>628161305555</f>
        <v>628161305555</v>
      </c>
    </row>
    <row r="15968" ht="15" customHeight="1" spans="1:22" x14ac:dyDescent="0.25">
      <c r="A15968" s="17" t="s">
        <v>42887</v>
      </c>
      <c r="B15968" s="17" t="s">
        <v>70</v>
      </c>
      <c r="C15968" s="17" t="s">
        <v>71</v>
      </c>
      <c r="D15968" t="s">
        <v>42886</v>
      </c>
      <c r="F15968" t="s">
        <v>42873</v>
      </c>
      <c r="K15968" s="18">
        <f>62817194510</f>
        <v>62817194510</v>
      </c>
      <c r="N15968" s="17" t="s">
        <v>77</v>
      </c>
      <c r="V15968" s="18">
        <f>62817194510</f>
        <v>62817194510</v>
      </c>
    </row>
    <row r="15969" ht="15" customHeight="1" spans="1:22" x14ac:dyDescent="0.25">
      <c r="A15969" s="17" t="s">
        <v>42888</v>
      </c>
      <c r="B15969" s="17" t="s">
        <v>70</v>
      </c>
      <c r="C15969" s="17" t="s">
        <v>71</v>
      </c>
      <c r="D15969" t="s">
        <v>42886</v>
      </c>
      <c r="F15969" t="s">
        <v>3181</v>
      </c>
      <c r="K15969" s="18">
        <f>6281285420895</f>
        <v>6281285420895</v>
      </c>
      <c r="N15969" s="17" t="s">
        <v>81</v>
      </c>
      <c r="V15969" s="18">
        <f>6281285420895</f>
        <v>6281285420895</v>
      </c>
    </row>
    <row r="15970" ht="15" customHeight="1" spans="1:22" x14ac:dyDescent="0.25">
      <c r="A15970" s="17" t="s">
        <v>42889</v>
      </c>
      <c r="B15970" s="17" t="s">
        <v>70</v>
      </c>
      <c r="C15970" s="17" t="s">
        <v>71</v>
      </c>
      <c r="D15970" t="s">
        <v>42886</v>
      </c>
      <c r="F15970" t="s">
        <v>42890</v>
      </c>
      <c r="K15970" s="18">
        <f>62811100100</f>
        <v>62811100100</v>
      </c>
      <c r="N15970" s="17" t="s">
        <v>77</v>
      </c>
      <c r="V15970" s="18">
        <f>62811100100</f>
        <v>62811100100</v>
      </c>
    </row>
    <row r="15971" ht="15" customHeight="1" spans="1:22" x14ac:dyDescent="0.25">
      <c r="A15971" s="17" t="s">
        <v>42891</v>
      </c>
      <c r="B15971" s="17" t="s">
        <v>70</v>
      </c>
      <c r="C15971" s="17" t="s">
        <v>71</v>
      </c>
      <c r="D15971" t="s">
        <v>42892</v>
      </c>
      <c r="F15971" t="s">
        <v>42893</v>
      </c>
      <c r="K15971" s="18">
        <f>628123065777</f>
        <v>628123065777</v>
      </c>
      <c r="N15971" s="17" t="s">
        <v>81</v>
      </c>
      <c r="V15971" s="18">
        <f>628123065777</f>
        <v>628123065777</v>
      </c>
    </row>
    <row r="15972" ht="15" customHeight="1" spans="1:22" x14ac:dyDescent="0.25">
      <c r="A15972" s="17" t="s">
        <v>42894</v>
      </c>
      <c r="B15972" s="17" t="s">
        <v>70</v>
      </c>
      <c r="C15972" s="17" t="s">
        <v>71</v>
      </c>
      <c r="D15972" t="s">
        <v>3962</v>
      </c>
      <c r="F15972" t="s">
        <v>42895</v>
      </c>
      <c r="K15972" s="18">
        <v>1365068787</v>
      </c>
      <c r="N15972" s="17" t="s">
        <v>81</v>
      </c>
      <c r="V15972" s="18">
        <v>1365068787</v>
      </c>
    </row>
    <row r="15973" ht="15" customHeight="1" spans="1:22" x14ac:dyDescent="0.25">
      <c r="A15973" s="17" t="s">
        <v>42896</v>
      </c>
      <c r="B15973" s="17" t="s">
        <v>70</v>
      </c>
      <c r="C15973" s="17" t="s">
        <v>71</v>
      </c>
      <c r="D15973" t="s">
        <v>3962</v>
      </c>
      <c r="F15973" t="s">
        <v>42897</v>
      </c>
      <c r="K15973" s="18">
        <f>18030088269</f>
        <v>18030088269</v>
      </c>
      <c r="N15973" s="17" t="s">
        <v>77</v>
      </c>
      <c r="V15973" s="18">
        <f>18030088269</f>
        <v>18030088269</v>
      </c>
    </row>
    <row r="15974" ht="15" customHeight="1" spans="1:23" x14ac:dyDescent="0.25">
      <c r="A15974" s="17" t="s">
        <v>42898</v>
      </c>
      <c r="B15974" s="17" t="s">
        <v>70</v>
      </c>
      <c r="C15974" s="17" t="s">
        <v>71</v>
      </c>
      <c r="D15974" t="s">
        <v>3962</v>
      </c>
      <c r="F15974" t="s">
        <v>42899</v>
      </c>
      <c r="K15974" s="18">
        <f>160623</f>
        <v>160623</v>
      </c>
      <c r="N15974" s="17" t="s">
        <v>81</v>
      </c>
      <c r="U15974" s="17"/>
      <c r="V15974" s="18">
        <f>160623</f>
        <v>160623</v>
      </c>
      <c r="W15974" t="s">
        <v>42567</v>
      </c>
    </row>
    <row r="15975" ht="15" customHeight="1" spans="1:22" x14ac:dyDescent="0.25">
      <c r="A15975" s="17" t="s">
        <v>42900</v>
      </c>
      <c r="B15975" s="17" t="s">
        <v>70</v>
      </c>
      <c r="C15975" s="17" t="s">
        <v>71</v>
      </c>
      <c r="D15975" t="s">
        <v>3962</v>
      </c>
      <c r="F15975" t="s">
        <v>13966</v>
      </c>
      <c r="K15975" s="18">
        <f>6281281481666</f>
        <v>6281281481666</v>
      </c>
      <c r="N15975" s="17" t="s">
        <v>77</v>
      </c>
      <c r="V15975" s="18">
        <f>6281281481666</f>
        <v>6281281481666</v>
      </c>
    </row>
    <row r="15976" ht="15" customHeight="1" spans="1:22" x14ac:dyDescent="0.25">
      <c r="A15976" s="17" t="s">
        <v>42901</v>
      </c>
      <c r="B15976" s="17" t="s">
        <v>70</v>
      </c>
      <c r="C15976" s="17" t="s">
        <v>71</v>
      </c>
      <c r="D15976" t="s">
        <v>3962</v>
      </c>
      <c r="F15976" t="s">
        <v>15850</v>
      </c>
      <c r="K15976" s="18">
        <f>6281280771122</f>
        <v>6281280771122</v>
      </c>
      <c r="N15976" s="17" t="s">
        <v>81</v>
      </c>
      <c r="V15976" s="18">
        <f>6281280771122</f>
        <v>6281280771122</v>
      </c>
    </row>
    <row r="15977" ht="15" customHeight="1" spans="1:22" x14ac:dyDescent="0.25">
      <c r="A15977" s="17" t="s">
        <v>42902</v>
      </c>
      <c r="B15977" s="17" t="s">
        <v>70</v>
      </c>
      <c r="C15977" s="17" t="s">
        <v>71</v>
      </c>
      <c r="D15977" t="s">
        <v>3962</v>
      </c>
      <c r="F15977" t="s">
        <v>42903</v>
      </c>
      <c r="K15977" s="18">
        <f>6282298882226</f>
        <v>6282298882226</v>
      </c>
      <c r="N15977" s="17" t="s">
        <v>77</v>
      </c>
      <c r="V15977" s="18">
        <f>6282298882226</f>
        <v>6282298882226</v>
      </c>
    </row>
    <row r="15978" ht="15" customHeight="1" spans="1:22" x14ac:dyDescent="0.25">
      <c r="A15978" s="17" t="s">
        <v>42904</v>
      </c>
      <c r="B15978" s="17" t="s">
        <v>70</v>
      </c>
      <c r="C15978" s="17" t="s">
        <v>71</v>
      </c>
      <c r="D15978" t="s">
        <v>3962</v>
      </c>
      <c r="F15978" t="s">
        <v>7293</v>
      </c>
      <c r="K15978" s="18">
        <v>13656068787</v>
      </c>
      <c r="N15978" s="17" t="s">
        <v>77</v>
      </c>
      <c r="V15978" s="18">
        <v>13656068787</v>
      </c>
    </row>
    <row r="15979" ht="15" customHeight="1" spans="1:22" x14ac:dyDescent="0.25">
      <c r="A15979" s="17" t="s">
        <v>42905</v>
      </c>
      <c r="B15979" s="17" t="s">
        <v>70</v>
      </c>
      <c r="C15979" s="17" t="s">
        <v>71</v>
      </c>
      <c r="D15979" t="s">
        <v>3962</v>
      </c>
      <c r="F15979" t="s">
        <v>42906</v>
      </c>
      <c r="K15979" s="18">
        <f>6281389003712</f>
        <v>6281389003712</v>
      </c>
      <c r="N15979" s="17" t="s">
        <v>77</v>
      </c>
      <c r="V15979" s="18">
        <f>6281389003712</f>
        <v>6281389003712</v>
      </c>
    </row>
    <row r="15980" ht="15" customHeight="1" spans="1:28" x14ac:dyDescent="0.25">
      <c r="A15980" s="17" t="s">
        <v>42907</v>
      </c>
      <c r="B15980" s="17" t="s">
        <v>70</v>
      </c>
      <c r="C15980" s="17" t="s">
        <v>71</v>
      </c>
      <c r="D15980" t="s">
        <v>3962</v>
      </c>
      <c r="F15980" t="s">
        <v>7944</v>
      </c>
      <c r="J15980" t="s">
        <v>115</v>
      </c>
      <c r="K15980" s="18" t="s">
        <v>42908</v>
      </c>
      <c r="N15980" s="17" t="s">
        <v>74</v>
      </c>
      <c r="O15980" t="s">
        <v>261</v>
      </c>
      <c r="V15980" s="18" t="s">
        <v>42908</v>
      </c>
      <c r="Y15980" t="s">
        <v>90</v>
      </c>
      <c r="AA15980" t="s">
        <v>118</v>
      </c>
      <c r="AB15980" t="s">
        <v>119</v>
      </c>
    </row>
    <row r="15981" ht="15" customHeight="1" spans="1:28" x14ac:dyDescent="0.25">
      <c r="A15981" s="17" t="s">
        <v>42909</v>
      </c>
      <c r="B15981" s="17" t="s">
        <v>70</v>
      </c>
      <c r="C15981" s="17" t="s">
        <v>71</v>
      </c>
      <c r="D15981" t="s">
        <v>3962</v>
      </c>
      <c r="F15981" t="s">
        <v>24341</v>
      </c>
      <c r="J15981" t="s">
        <v>115</v>
      </c>
      <c r="K15981" s="18" t="s">
        <v>42910</v>
      </c>
      <c r="N15981" s="17" t="s">
        <v>77</v>
      </c>
      <c r="O15981" t="s">
        <v>145</v>
      </c>
      <c r="U15981" s="17"/>
      <c r="V15981" s="18" t="s">
        <v>42910</v>
      </c>
      <c r="W15981" t="s">
        <v>32258</v>
      </c>
      <c r="Y15981" t="s">
        <v>3140</v>
      </c>
      <c r="AA15981" t="s">
        <v>115</v>
      </c>
      <c r="AB15981" t="s">
        <v>3140</v>
      </c>
    </row>
    <row r="15982" ht="15" customHeight="1" spans="1:22" x14ac:dyDescent="0.25">
      <c r="A15982" s="17" t="s">
        <v>42911</v>
      </c>
      <c r="B15982" s="17" t="s">
        <v>70</v>
      </c>
      <c r="C15982" s="17" t="s">
        <v>71</v>
      </c>
      <c r="D15982" t="s">
        <v>3962</v>
      </c>
      <c r="F15982" t="s">
        <v>36143</v>
      </c>
      <c r="K15982" s="18">
        <f>62811164367</f>
        <v>62811164367</v>
      </c>
      <c r="N15982" s="17" t="s">
        <v>77</v>
      </c>
      <c r="V15982" s="18">
        <f>62811164367</f>
        <v>62811164367</v>
      </c>
    </row>
    <row r="15983" ht="15" customHeight="1" spans="1:22" x14ac:dyDescent="0.25">
      <c r="A15983" s="17" t="s">
        <v>42912</v>
      </c>
      <c r="B15983" s="17" t="s">
        <v>70</v>
      </c>
      <c r="C15983" s="17" t="s">
        <v>71</v>
      </c>
      <c r="D15983" t="s">
        <v>3962</v>
      </c>
      <c r="F15983" t="s">
        <v>7944</v>
      </c>
      <c r="K15983" s="18">
        <f>6282110681992</f>
        <v>6282110681992</v>
      </c>
      <c r="N15983" s="17" t="s">
        <v>77</v>
      </c>
      <c r="V15983" s="18">
        <f>6282110681992</f>
        <v>6282110681992</v>
      </c>
    </row>
    <row r="15984" ht="15" customHeight="1" spans="1:22" x14ac:dyDescent="0.25">
      <c r="A15984" s="17" t="s">
        <v>42913</v>
      </c>
      <c r="B15984" s="17" t="s">
        <v>70</v>
      </c>
      <c r="C15984" s="17" t="s">
        <v>71</v>
      </c>
      <c r="D15984" t="s">
        <v>3962</v>
      </c>
      <c r="F15984" t="s">
        <v>23857</v>
      </c>
      <c r="J15984" s="17" t="s">
        <v>42914</v>
      </c>
      <c r="K15984" s="18">
        <f>6281299069799</f>
        <v>6281299069799</v>
      </c>
      <c r="N15984" s="17" t="s">
        <v>81</v>
      </c>
      <c r="V15984" s="18">
        <f>6281299069799</f>
        <v>6281299069799</v>
      </c>
    </row>
    <row r="15985" ht="15" customHeight="1" spans="1:25" x14ac:dyDescent="0.25">
      <c r="A15985" s="17" t="s">
        <v>42915</v>
      </c>
      <c r="B15985" s="17" t="s">
        <v>70</v>
      </c>
      <c r="C15985" s="17" t="s">
        <v>71</v>
      </c>
      <c r="D15985" t="s">
        <v>3962</v>
      </c>
      <c r="F15985" t="s">
        <v>42916</v>
      </c>
      <c r="J15985" s="22" t="s">
        <v>42917</v>
      </c>
      <c r="K15985" s="18">
        <f>8615920367912</f>
        <v>8615920367912</v>
      </c>
      <c r="N15985" s="17" t="s">
        <v>77</v>
      </c>
      <c r="U15985" s="17"/>
      <c r="V15985" s="18">
        <f>8615920367912</f>
        <v>8615920367912</v>
      </c>
      <c r="W15985" t="s">
        <v>42918</v>
      </c>
      <c r="Y15985" s="17" t="s">
        <v>42918</v>
      </c>
    </row>
    <row r="15986" ht="15" customHeight="1" spans="1:22" x14ac:dyDescent="0.25">
      <c r="A15986" s="17" t="s">
        <v>42919</v>
      </c>
      <c r="B15986" s="17" t="s">
        <v>70</v>
      </c>
      <c r="C15986" s="17" t="s">
        <v>71</v>
      </c>
      <c r="D15986" t="s">
        <v>3962</v>
      </c>
      <c r="F15986" t="s">
        <v>23821</v>
      </c>
      <c r="K15986" s="18">
        <f>6281331111899</f>
        <v>6281331111899</v>
      </c>
      <c r="N15986" s="17" t="s">
        <v>77</v>
      </c>
      <c r="V15986" s="18">
        <f>6281331111899</f>
        <v>6281331111899</v>
      </c>
    </row>
    <row r="15987" ht="15" customHeight="1" spans="1:28" x14ac:dyDescent="0.25">
      <c r="A15987" s="17" t="s">
        <v>42920</v>
      </c>
      <c r="B15987" s="17" t="s">
        <v>70</v>
      </c>
      <c r="C15987" s="17" t="s">
        <v>71</v>
      </c>
      <c r="D15987" t="s">
        <v>3962</v>
      </c>
      <c r="F15987" t="s">
        <v>42921</v>
      </c>
      <c r="J15987" s="17" t="s">
        <v>42922</v>
      </c>
      <c r="K15987" s="18" t="s">
        <v>42923</v>
      </c>
      <c r="N15987" s="17" t="s">
        <v>77</v>
      </c>
      <c r="O15987" t="s">
        <v>145</v>
      </c>
      <c r="U15987" s="17"/>
      <c r="V15987" s="18" t="s">
        <v>42923</v>
      </c>
      <c r="W15987" t="s">
        <v>3140</v>
      </c>
      <c r="Y15987" t="s">
        <v>115</v>
      </c>
      <c r="AA15987" t="s">
        <v>115</v>
      </c>
      <c r="AB15987" t="s">
        <v>7602</v>
      </c>
    </row>
    <row r="15988" ht="15" customHeight="1" spans="1:23" x14ac:dyDescent="0.25">
      <c r="A15988" s="17" t="s">
        <v>42924</v>
      </c>
      <c r="B15988" s="17" t="s">
        <v>70</v>
      </c>
      <c r="C15988" s="17" t="s">
        <v>71</v>
      </c>
      <c r="D15988" t="s">
        <v>3962</v>
      </c>
      <c r="F15988" t="s">
        <v>42925</v>
      </c>
      <c r="K15988" s="18">
        <f>8613770737177</f>
        <v>8613770737177</v>
      </c>
      <c r="N15988" s="17" t="s">
        <v>77</v>
      </c>
      <c r="U15988" s="17"/>
      <c r="V15988" s="18">
        <f>8613770737177</f>
        <v>8613770737177</v>
      </c>
      <c r="W15988" t="s">
        <v>3140</v>
      </c>
    </row>
    <row r="15989" ht="15" customHeight="1" spans="1:23" x14ac:dyDescent="0.25">
      <c r="A15989" s="17" t="s">
        <v>42926</v>
      </c>
      <c r="B15989" s="17" t="s">
        <v>70</v>
      </c>
      <c r="C15989" s="17" t="s">
        <v>71</v>
      </c>
      <c r="D15989" t="s">
        <v>3962</v>
      </c>
      <c r="F15989" t="s">
        <v>42927</v>
      </c>
      <c r="K15989" s="18">
        <f>8615093479727</f>
        <v>8615093479727</v>
      </c>
      <c r="N15989" s="17" t="s">
        <v>77</v>
      </c>
      <c r="U15989" s="17"/>
      <c r="V15989" s="18">
        <f>8615093479727</f>
        <v>8615093479727</v>
      </c>
      <c r="W15989" t="s">
        <v>3140</v>
      </c>
    </row>
    <row r="15990" ht="15" customHeight="1" spans="1:28" x14ac:dyDescent="0.25">
      <c r="A15990" s="17" t="s">
        <v>42928</v>
      </c>
      <c r="B15990" s="17" t="s">
        <v>70</v>
      </c>
      <c r="C15990" s="17" t="s">
        <v>71</v>
      </c>
      <c r="D15990" t="s">
        <v>3962</v>
      </c>
      <c r="F15990" t="s">
        <v>42929</v>
      </c>
      <c r="J15990" t="s">
        <v>115</v>
      </c>
      <c r="K15990" s="18" t="s">
        <v>42930</v>
      </c>
      <c r="N15990" s="17" t="s">
        <v>77</v>
      </c>
      <c r="O15990" t="s">
        <v>145</v>
      </c>
      <c r="V15990" s="18" t="s">
        <v>42930</v>
      </c>
      <c r="Y15990" t="s">
        <v>4993</v>
      </c>
      <c r="AA15990" t="s">
        <v>115</v>
      </c>
      <c r="AB15990" t="s">
        <v>119</v>
      </c>
    </row>
    <row r="15991" ht="15" customHeight="1" spans="1:28" x14ac:dyDescent="0.25">
      <c r="A15991" s="17" t="s">
        <v>42931</v>
      </c>
      <c r="B15991" s="17" t="s">
        <v>70</v>
      </c>
      <c r="C15991" s="17" t="s">
        <v>71</v>
      </c>
      <c r="D15991" t="s">
        <v>3962</v>
      </c>
      <c r="F15991" t="s">
        <v>42932</v>
      </c>
      <c r="J15991" s="17" t="s">
        <v>42933</v>
      </c>
      <c r="K15991" s="18" t="s">
        <v>42934</v>
      </c>
      <c r="N15991" s="17" t="s">
        <v>77</v>
      </c>
      <c r="O15991" t="s">
        <v>117</v>
      </c>
      <c r="V15991" s="18" t="s">
        <v>42934</v>
      </c>
      <c r="Y15991" t="s">
        <v>115</v>
      </c>
      <c r="AA15991" t="s">
        <v>115</v>
      </c>
      <c r="AB15991" t="s">
        <v>3140</v>
      </c>
    </row>
    <row r="15992" ht="15" customHeight="1" spans="1:23" x14ac:dyDescent="0.25">
      <c r="A15992" s="17" t="s">
        <v>42935</v>
      </c>
      <c r="B15992" s="17" t="s">
        <v>70</v>
      </c>
      <c r="C15992" s="17" t="s">
        <v>71</v>
      </c>
      <c r="D15992" t="s">
        <v>42936</v>
      </c>
      <c r="F15992" t="s">
        <v>3866</v>
      </c>
      <c r="K15992" s="18">
        <f>861881737522</f>
        <v>861881737522</v>
      </c>
      <c r="N15992" s="17" t="s">
        <v>77</v>
      </c>
      <c r="U15992" s="17"/>
      <c r="V15992" s="18">
        <f>861881737522</f>
        <v>861881737522</v>
      </c>
      <c r="W15992" t="s">
        <v>3140</v>
      </c>
    </row>
    <row r="15993" ht="15" customHeight="1" spans="1:28" x14ac:dyDescent="0.25">
      <c r="A15993" s="17" t="s">
        <v>42937</v>
      </c>
      <c r="B15993" s="17" t="s">
        <v>70</v>
      </c>
      <c r="C15993" s="17" t="s">
        <v>71</v>
      </c>
      <c r="D15993" t="s">
        <v>42936</v>
      </c>
      <c r="F15993" t="s">
        <v>42938</v>
      </c>
      <c r="J15993" s="17" t="s">
        <v>42939</v>
      </c>
      <c r="K15993" s="18" t="s">
        <v>42940</v>
      </c>
      <c r="N15993" s="17" t="s">
        <v>77</v>
      </c>
      <c r="O15993" t="s">
        <v>117</v>
      </c>
      <c r="V15993" s="18" t="s">
        <v>42940</v>
      </c>
      <c r="Y15993" t="s">
        <v>115</v>
      </c>
      <c r="AA15993" t="s">
        <v>115</v>
      </c>
      <c r="AB15993" t="s">
        <v>3140</v>
      </c>
    </row>
    <row r="15994" ht="15" customHeight="1" spans="1:23" x14ac:dyDescent="0.25">
      <c r="A15994" s="17" t="s">
        <v>42941</v>
      </c>
      <c r="B15994" s="17" t="s">
        <v>70</v>
      </c>
      <c r="C15994" s="17" t="s">
        <v>71</v>
      </c>
      <c r="D15994" t="s">
        <v>42936</v>
      </c>
      <c r="F15994" t="s">
        <v>10788</v>
      </c>
      <c r="J15994" s="17" t="s">
        <v>42942</v>
      </c>
      <c r="K15994" s="18">
        <f>610435888339</f>
        <v>610435888339</v>
      </c>
      <c r="N15994" s="17" t="s">
        <v>77</v>
      </c>
      <c r="U15994" s="17"/>
      <c r="V15994" s="18">
        <f>610435888339</f>
        <v>610435888339</v>
      </c>
      <c r="W15994" t="s">
        <v>3140</v>
      </c>
    </row>
    <row r="15995" ht="15" customHeight="1" spans="1:28" x14ac:dyDescent="0.25">
      <c r="A15995" s="17" t="s">
        <v>42943</v>
      </c>
      <c r="B15995" s="17" t="s">
        <v>70</v>
      </c>
      <c r="C15995" s="17" t="s">
        <v>71</v>
      </c>
      <c r="D15995" t="s">
        <v>3962</v>
      </c>
      <c r="F15995" t="s">
        <v>3142</v>
      </c>
      <c r="J15995" s="17" t="s">
        <v>42944</v>
      </c>
      <c r="K15995" s="18" t="s">
        <v>42945</v>
      </c>
      <c r="N15995" s="17" t="s">
        <v>77</v>
      </c>
      <c r="O15995" t="s">
        <v>117</v>
      </c>
      <c r="U15995" s="17"/>
      <c r="V15995" s="18" t="s">
        <v>42945</v>
      </c>
      <c r="W15995" t="s">
        <v>3140</v>
      </c>
      <c r="Y15995" t="s">
        <v>3140</v>
      </c>
      <c r="AA15995" t="s">
        <v>115</v>
      </c>
      <c r="AB15995" t="s">
        <v>3140</v>
      </c>
    </row>
    <row r="15996" ht="15" customHeight="1" spans="1:28" x14ac:dyDescent="0.25">
      <c r="A15996" s="17" t="s">
        <v>42946</v>
      </c>
      <c r="B15996" s="17" t="s">
        <v>70</v>
      </c>
      <c r="C15996" s="17" t="s">
        <v>71</v>
      </c>
      <c r="D15996" t="s">
        <v>3962</v>
      </c>
      <c r="F15996" t="s">
        <v>15704</v>
      </c>
      <c r="J15996" s="17" t="s">
        <v>42947</v>
      </c>
      <c r="K15996" s="18" t="s">
        <v>42948</v>
      </c>
      <c r="N15996" s="17" t="s">
        <v>77</v>
      </c>
      <c r="O15996" t="s">
        <v>117</v>
      </c>
      <c r="U15996" s="17"/>
      <c r="V15996" s="18" t="s">
        <v>42948</v>
      </c>
      <c r="W15996" t="s">
        <v>3140</v>
      </c>
      <c r="Y15996" t="s">
        <v>115</v>
      </c>
      <c r="AA15996" t="s">
        <v>115</v>
      </c>
      <c r="AB15996" t="s">
        <v>3140</v>
      </c>
    </row>
    <row r="15997" ht="15" customHeight="1" spans="1:28" x14ac:dyDescent="0.25">
      <c r="A15997" s="17" t="s">
        <v>42949</v>
      </c>
      <c r="B15997" s="17" t="s">
        <v>70</v>
      </c>
      <c r="C15997" s="17" t="s">
        <v>71</v>
      </c>
      <c r="D15997" t="s">
        <v>3962</v>
      </c>
      <c r="F15997" t="s">
        <v>42950</v>
      </c>
      <c r="J15997" t="s">
        <v>115</v>
      </c>
      <c r="K15997" s="18" t="s">
        <v>42951</v>
      </c>
      <c r="N15997" s="17" t="s">
        <v>77</v>
      </c>
      <c r="O15997" t="s">
        <v>117</v>
      </c>
      <c r="V15997" s="18" t="s">
        <v>42951</v>
      </c>
      <c r="Y15997" t="s">
        <v>115</v>
      </c>
      <c r="AA15997" t="s">
        <v>115</v>
      </c>
      <c r="AB15997" t="s">
        <v>2356</v>
      </c>
    </row>
    <row r="15998" ht="15" customHeight="1" spans="1:25" x14ac:dyDescent="0.25">
      <c r="A15998" s="17" t="s">
        <v>42952</v>
      </c>
      <c r="B15998" s="17" t="s">
        <v>70</v>
      </c>
      <c r="C15998" s="17" t="s">
        <v>71</v>
      </c>
      <c r="D15998" t="s">
        <v>1279</v>
      </c>
      <c r="F15998" t="s">
        <v>1279</v>
      </c>
      <c r="J15998" s="17" t="s">
        <v>42953</v>
      </c>
      <c r="K15998" s="18">
        <f>6281333259925</f>
        <v>6281333259925</v>
      </c>
      <c r="N15998" s="17" t="s">
        <v>77</v>
      </c>
      <c r="U15998" s="17"/>
      <c r="V15998" s="18">
        <f>6281333259925</f>
        <v>6281333259925</v>
      </c>
      <c r="W15998" t="s">
        <v>42954</v>
      </c>
      <c r="Y15998" s="17" t="s">
        <v>96</v>
      </c>
    </row>
    <row r="15999" ht="15" customHeight="1" spans="1:22" x14ac:dyDescent="0.25">
      <c r="A15999" s="17" t="s">
        <v>42955</v>
      </c>
      <c r="B15999" s="17" t="s">
        <v>70</v>
      </c>
      <c r="C15999" s="17" t="s">
        <v>71</v>
      </c>
      <c r="D15999" t="s">
        <v>1279</v>
      </c>
      <c r="F15999" t="s">
        <v>1279</v>
      </c>
      <c r="K15999" s="18">
        <f>6281264251188</f>
        <v>6281264251188</v>
      </c>
      <c r="N15999" s="17" t="s">
        <v>81</v>
      </c>
      <c r="V15999" s="18">
        <f>6281264251188</f>
        <v>6281264251188</v>
      </c>
    </row>
    <row r="16000" ht="15" customHeight="1" spans="1:22" x14ac:dyDescent="0.25">
      <c r="A16000" s="17" t="s">
        <v>42956</v>
      </c>
      <c r="B16000" s="17" t="s">
        <v>70</v>
      </c>
      <c r="C16000" s="17" t="s">
        <v>71</v>
      </c>
      <c r="D16000" t="s">
        <v>1279</v>
      </c>
      <c r="F16000" t="s">
        <v>1279</v>
      </c>
      <c r="K16000" s="18">
        <f>628170714897</f>
        <v>628170714897</v>
      </c>
      <c r="N16000" s="17" t="s">
        <v>81</v>
      </c>
      <c r="V16000" s="18">
        <f>628170714897</f>
        <v>628170714897</v>
      </c>
    </row>
    <row r="16001" ht="15" customHeight="1" spans="1:25" x14ac:dyDescent="0.25">
      <c r="A16001" s="17" t="s">
        <v>42957</v>
      </c>
      <c r="B16001" s="17" t="s">
        <v>70</v>
      </c>
      <c r="C16001" s="17" t="s">
        <v>71</v>
      </c>
      <c r="D16001" t="s">
        <v>1279</v>
      </c>
      <c r="F16001" t="s">
        <v>5324</v>
      </c>
      <c r="K16001" s="18">
        <f>628123579192</f>
        <v>628123579192</v>
      </c>
      <c r="N16001" s="17" t="s">
        <v>77</v>
      </c>
      <c r="U16001" s="17"/>
      <c r="V16001" s="18">
        <f>628123579192</f>
        <v>628123579192</v>
      </c>
      <c r="W16001" t="s">
        <v>42958</v>
      </c>
      <c r="Y16001" s="17" t="s">
        <v>96</v>
      </c>
    </row>
    <row r="16002" ht="15" customHeight="1" spans="1:22" x14ac:dyDescent="0.25">
      <c r="A16002" s="17" t="s">
        <v>42959</v>
      </c>
      <c r="B16002" s="17" t="s">
        <v>70</v>
      </c>
      <c r="C16002" s="17" t="s">
        <v>71</v>
      </c>
      <c r="D16002" t="s">
        <v>1279</v>
      </c>
      <c r="F16002" t="s">
        <v>32540</v>
      </c>
      <c r="K16002" s="18">
        <f>62811891855</f>
        <v>62811891855</v>
      </c>
      <c r="N16002" s="17" t="s">
        <v>77</v>
      </c>
      <c r="V16002" s="18">
        <f>62811891855</f>
        <v>62811891855</v>
      </c>
    </row>
    <row r="16003" ht="15" customHeight="1" spans="1:28" x14ac:dyDescent="0.25">
      <c r="A16003" s="17" t="s">
        <v>42960</v>
      </c>
      <c r="B16003" s="17" t="s">
        <v>70</v>
      </c>
      <c r="C16003" s="17" t="s">
        <v>71</v>
      </c>
      <c r="D16003" t="s">
        <v>1279</v>
      </c>
      <c r="F16003" t="s">
        <v>42961</v>
      </c>
      <c r="J16003" t="s">
        <v>115</v>
      </c>
      <c r="K16003" s="18" t="s">
        <v>42962</v>
      </c>
      <c r="N16003" s="17" t="s">
        <v>77</v>
      </c>
      <c r="O16003" t="s">
        <v>117</v>
      </c>
      <c r="V16003" s="18" t="s">
        <v>42962</v>
      </c>
      <c r="Y16003" t="s">
        <v>90</v>
      </c>
      <c r="AA16003" t="s">
        <v>118</v>
      </c>
      <c r="AB16003" t="s">
        <v>119</v>
      </c>
    </row>
    <row r="16004" ht="15" customHeight="1" spans="1:25" x14ac:dyDescent="0.25">
      <c r="A16004" s="17" t="s">
        <v>42963</v>
      </c>
      <c r="B16004" s="17" t="s">
        <v>70</v>
      </c>
      <c r="C16004" s="17" t="s">
        <v>71</v>
      </c>
      <c r="D16004" t="s">
        <v>1279</v>
      </c>
      <c r="F16004" t="s">
        <v>42964</v>
      </c>
      <c r="K16004" s="18">
        <f>628121000800</f>
        <v>628121000800</v>
      </c>
      <c r="N16004" s="17" t="s">
        <v>74</v>
      </c>
      <c r="V16004" s="18">
        <f>628121000800</f>
        <v>628121000800</v>
      </c>
      <c r="Y16004" s="17" t="s">
        <v>42965</v>
      </c>
    </row>
    <row r="16005" ht="15" customHeight="1" spans="1:28" x14ac:dyDescent="0.25">
      <c r="A16005" s="17" t="s">
        <v>42966</v>
      </c>
      <c r="B16005" s="17" t="s">
        <v>70</v>
      </c>
      <c r="C16005" s="17" t="s">
        <v>71</v>
      </c>
      <c r="D16005" t="s">
        <v>1279</v>
      </c>
      <c r="F16005" t="s">
        <v>42967</v>
      </c>
      <c r="J16005" t="s">
        <v>115</v>
      </c>
      <c r="K16005" s="18" t="s">
        <v>42968</v>
      </c>
      <c r="N16005" s="17" t="s">
        <v>74</v>
      </c>
      <c r="O16005" t="s">
        <v>117</v>
      </c>
      <c r="U16005" s="17"/>
      <c r="V16005" s="18" t="s">
        <v>42968</v>
      </c>
      <c r="W16005" t="s">
        <v>42969</v>
      </c>
      <c r="Y16005" s="17" t="s">
        <v>90</v>
      </c>
      <c r="AA16005" t="s">
        <v>118</v>
      </c>
      <c r="AB16005" t="s">
        <v>119</v>
      </c>
    </row>
    <row r="16006" ht="15" customHeight="1" spans="1:28" x14ac:dyDescent="0.25">
      <c r="A16006" s="17" t="s">
        <v>42970</v>
      </c>
      <c r="B16006" s="17" t="s">
        <v>70</v>
      </c>
      <c r="C16006" s="17" t="s">
        <v>71</v>
      </c>
      <c r="D16006" t="s">
        <v>1279</v>
      </c>
      <c r="F16006" t="s">
        <v>42971</v>
      </c>
      <c r="J16006" s="17" t="s">
        <v>42972</v>
      </c>
      <c r="K16006" s="18" t="s">
        <v>42973</v>
      </c>
      <c r="N16006" s="17" t="s">
        <v>77</v>
      </c>
      <c r="O16006" t="s">
        <v>199</v>
      </c>
      <c r="U16006" s="17"/>
      <c r="V16006" s="18" t="s">
        <v>42973</v>
      </c>
      <c r="W16006" t="s">
        <v>42974</v>
      </c>
      <c r="Y16006" t="s">
        <v>115</v>
      </c>
      <c r="AA16006" t="s">
        <v>115</v>
      </c>
      <c r="AB16006" t="s">
        <v>119</v>
      </c>
    </row>
    <row r="16007" ht="15" customHeight="1" spans="1:22" x14ac:dyDescent="0.25">
      <c r="A16007" s="17" t="s">
        <v>42975</v>
      </c>
      <c r="B16007" s="17" t="s">
        <v>70</v>
      </c>
      <c r="C16007" s="17" t="s">
        <v>71</v>
      </c>
      <c r="D16007" t="s">
        <v>42976</v>
      </c>
      <c r="F16007" t="s">
        <v>42976</v>
      </c>
      <c r="K16007" s="18">
        <f>6281386999</f>
        <v>6281386999</v>
      </c>
      <c r="N16007" s="17" t="s">
        <v>81</v>
      </c>
      <c r="V16007" s="18">
        <f>6281386999</f>
        <v>6281386999</v>
      </c>
    </row>
    <row r="16008" ht="15" customHeight="1" spans="1:28" x14ac:dyDescent="0.25">
      <c r="A16008" s="17" t="s">
        <v>42977</v>
      </c>
      <c r="B16008" s="17" t="s">
        <v>70</v>
      </c>
      <c r="C16008" s="17" t="s">
        <v>71</v>
      </c>
      <c r="D16008" t="s">
        <v>42978</v>
      </c>
      <c r="F16008" t="s">
        <v>994</v>
      </c>
      <c r="J16008" t="s">
        <v>115</v>
      </c>
      <c r="K16008" s="18" t="s">
        <v>42979</v>
      </c>
      <c r="N16008" s="17" t="s">
        <v>77</v>
      </c>
      <c r="O16008" t="s">
        <v>261</v>
      </c>
      <c r="U16008" s="17"/>
      <c r="V16008" s="18" t="s">
        <v>42979</v>
      </c>
      <c r="W16008" t="s">
        <v>42980</v>
      </c>
      <c r="Y16008" s="17" t="s">
        <v>90</v>
      </c>
      <c r="AA16008" t="s">
        <v>118</v>
      </c>
      <c r="AB16008" t="s">
        <v>119</v>
      </c>
    </row>
    <row r="16009" ht="15" customHeight="1" spans="1:22" x14ac:dyDescent="0.25">
      <c r="A16009" s="17" t="s">
        <v>42981</v>
      </c>
      <c r="B16009" s="17" t="s">
        <v>70</v>
      </c>
      <c r="C16009" s="17" t="s">
        <v>71</v>
      </c>
      <c r="D16009" t="s">
        <v>42982</v>
      </c>
      <c r="F16009" t="s">
        <v>25457</v>
      </c>
      <c r="K16009" s="18">
        <f>62811887211</f>
        <v>62811887211</v>
      </c>
      <c r="N16009" s="17" t="s">
        <v>81</v>
      </c>
      <c r="V16009" s="18">
        <f>62811887211</f>
        <v>62811887211</v>
      </c>
    </row>
    <row r="16010" ht="15" customHeight="1" spans="1:23" x14ac:dyDescent="0.25">
      <c r="A16010" s="17" t="s">
        <v>42983</v>
      </c>
      <c r="B16010" s="17" t="s">
        <v>70</v>
      </c>
      <c r="C16010" s="17" t="s">
        <v>71</v>
      </c>
      <c r="D16010" t="s">
        <v>42984</v>
      </c>
      <c r="F16010" t="s">
        <v>42984</v>
      </c>
      <c r="K16010" s="18">
        <f>6285213001228</f>
        <v>6285213001228</v>
      </c>
      <c r="N16010" s="17" t="s">
        <v>81</v>
      </c>
      <c r="U16010" s="17"/>
      <c r="V16010" s="18">
        <f>6285213001228</f>
        <v>6285213001228</v>
      </c>
      <c r="W16010" t="s">
        <v>42985</v>
      </c>
    </row>
    <row r="16011" ht="15" customHeight="1" spans="1:22" x14ac:dyDescent="0.25">
      <c r="A16011" s="17" t="s">
        <v>42986</v>
      </c>
      <c r="B16011" s="17" t="s">
        <v>70</v>
      </c>
      <c r="C16011" s="17" t="s">
        <v>71</v>
      </c>
      <c r="D16011" t="s">
        <v>42987</v>
      </c>
      <c r="F16011" t="s">
        <v>16419</v>
      </c>
      <c r="K16011" s="18">
        <f>6281958058777</f>
        <v>6281958058777</v>
      </c>
      <c r="N16011" s="17" t="s">
        <v>77</v>
      </c>
      <c r="V16011" s="18">
        <f>6281958058777</f>
        <v>6281958058777</v>
      </c>
    </row>
    <row r="16012" ht="15" customHeight="1" spans="1:22" x14ac:dyDescent="0.25">
      <c r="A16012" s="17" t="s">
        <v>42988</v>
      </c>
      <c r="B16012" s="17" t="s">
        <v>70</v>
      </c>
      <c r="C16012" s="17" t="s">
        <v>71</v>
      </c>
      <c r="D16012" t="s">
        <v>42989</v>
      </c>
      <c r="F16012" t="s">
        <v>3099</v>
      </c>
      <c r="K16012" s="18">
        <f>62811953311</f>
        <v>62811953311</v>
      </c>
      <c r="N16012" s="17" t="s">
        <v>77</v>
      </c>
      <c r="V16012" s="18">
        <f>62811953311</f>
        <v>62811953311</v>
      </c>
    </row>
    <row r="16013" ht="15" customHeight="1" spans="1:22" x14ac:dyDescent="0.25">
      <c r="A16013" s="17" t="s">
        <v>42990</v>
      </c>
      <c r="B16013" s="17" t="s">
        <v>70</v>
      </c>
      <c r="C16013" s="17" t="s">
        <v>71</v>
      </c>
      <c r="D16013" t="s">
        <v>42991</v>
      </c>
      <c r="F16013" t="s">
        <v>42991</v>
      </c>
      <c r="K16013" s="18">
        <f>6285244444444</f>
        <v>6285244444444</v>
      </c>
      <c r="N16013" s="17" t="s">
        <v>74</v>
      </c>
      <c r="V16013" s="18">
        <f>6285244444444</f>
        <v>6285244444444</v>
      </c>
    </row>
    <row r="16014" ht="15" customHeight="1" spans="1:28" x14ac:dyDescent="0.25">
      <c r="A16014" s="17" t="s">
        <v>42992</v>
      </c>
      <c r="B16014" s="17" t="s">
        <v>70</v>
      </c>
      <c r="C16014" s="17" t="s">
        <v>71</v>
      </c>
      <c r="D16014" t="s">
        <v>42991</v>
      </c>
      <c r="F16014" t="s">
        <v>42993</v>
      </c>
      <c r="J16014" t="s">
        <v>115</v>
      </c>
      <c r="K16014" s="18" t="s">
        <v>42994</v>
      </c>
      <c r="N16014" s="17" t="s">
        <v>77</v>
      </c>
      <c r="O16014" t="s">
        <v>145</v>
      </c>
      <c r="V16014" s="18" t="s">
        <v>42994</v>
      </c>
      <c r="Y16014" t="s">
        <v>115</v>
      </c>
      <c r="AA16014" t="s">
        <v>115</v>
      </c>
      <c r="AB16014" t="s">
        <v>119</v>
      </c>
    </row>
    <row r="16015" ht="15" customHeight="1" spans="1:28" x14ac:dyDescent="0.25">
      <c r="A16015" s="17" t="s">
        <v>42995</v>
      </c>
      <c r="B16015" s="17" t="s">
        <v>70</v>
      </c>
      <c r="C16015" s="17" t="s">
        <v>71</v>
      </c>
      <c r="D16015" t="s">
        <v>42991</v>
      </c>
      <c r="F16015" t="s">
        <v>32769</v>
      </c>
      <c r="J16015" t="s">
        <v>115</v>
      </c>
      <c r="K16015" s="18" t="s">
        <v>42996</v>
      </c>
      <c r="N16015" s="17" t="s">
        <v>77</v>
      </c>
      <c r="O16015" t="s">
        <v>145</v>
      </c>
      <c r="V16015" s="18" t="s">
        <v>42996</v>
      </c>
      <c r="Y16015" t="s">
        <v>500</v>
      </c>
      <c r="AA16015" t="s">
        <v>501</v>
      </c>
      <c r="AB16015" t="s">
        <v>119</v>
      </c>
    </row>
    <row r="16016" ht="15" customHeight="1" spans="1:22" x14ac:dyDescent="0.25">
      <c r="A16016" s="17" t="s">
        <v>42997</v>
      </c>
      <c r="B16016" s="17" t="s">
        <v>70</v>
      </c>
      <c r="C16016" s="17" t="s">
        <v>71</v>
      </c>
      <c r="D16016" t="s">
        <v>42998</v>
      </c>
      <c r="F16016" t="s">
        <v>42999</v>
      </c>
      <c r="K16016" s="18">
        <f>6287878189634</f>
        <v>6287878189634</v>
      </c>
      <c r="N16016" s="17" t="s">
        <v>77</v>
      </c>
      <c r="V16016" s="18">
        <f>6287878189634</f>
        <v>6287878189634</v>
      </c>
    </row>
    <row r="16017" ht="15" customHeight="1" spans="1:22" x14ac:dyDescent="0.25">
      <c r="A16017" s="17" t="s">
        <v>43000</v>
      </c>
      <c r="B16017" s="17" t="s">
        <v>70</v>
      </c>
      <c r="C16017" s="17" t="s">
        <v>71</v>
      </c>
      <c r="D16017" t="s">
        <v>42998</v>
      </c>
      <c r="F16017" t="s">
        <v>10033</v>
      </c>
      <c r="K16017" s="18">
        <f>6281387701888</f>
        <v>6281387701888</v>
      </c>
      <c r="N16017" s="17" t="s">
        <v>77</v>
      </c>
      <c r="V16017" s="18">
        <f>6281387701888</f>
        <v>6281387701888</v>
      </c>
    </row>
    <row r="16018" ht="15" customHeight="1" spans="1:22" x14ac:dyDescent="0.25">
      <c r="A16018" s="17" t="s">
        <v>43001</v>
      </c>
      <c r="B16018" s="17" t="s">
        <v>70</v>
      </c>
      <c r="C16018" s="17" t="s">
        <v>71</v>
      </c>
      <c r="D16018" t="s">
        <v>23881</v>
      </c>
      <c r="F16018" t="s">
        <v>23881</v>
      </c>
      <c r="K16018" s="18">
        <f>628111826672</f>
        <v>628111826672</v>
      </c>
      <c r="N16018" s="17" t="s">
        <v>81</v>
      </c>
      <c r="V16018" s="18">
        <f>628111826672</f>
        <v>628111826672</v>
      </c>
    </row>
    <row r="16019" ht="15" customHeight="1" spans="1:22" x14ac:dyDescent="0.25">
      <c r="A16019" s="17" t="s">
        <v>43002</v>
      </c>
      <c r="B16019" s="17" t="s">
        <v>70</v>
      </c>
      <c r="C16019" s="17" t="s">
        <v>71</v>
      </c>
      <c r="D16019" t="s">
        <v>23881</v>
      </c>
      <c r="F16019" t="s">
        <v>43003</v>
      </c>
      <c r="K16019" s="18">
        <f>628161367887</f>
        <v>628161367887</v>
      </c>
      <c r="N16019" s="17" t="s">
        <v>77</v>
      </c>
      <c r="V16019" s="18">
        <f>628161367887</f>
        <v>628161367887</v>
      </c>
    </row>
    <row r="16020" ht="15" customHeight="1" spans="1:25" x14ac:dyDescent="0.25">
      <c r="A16020" s="17" t="s">
        <v>43004</v>
      </c>
      <c r="B16020" s="17" t="s">
        <v>70</v>
      </c>
      <c r="C16020" s="17" t="s">
        <v>71</v>
      </c>
      <c r="D16020" t="s">
        <v>23881</v>
      </c>
      <c r="F16020" t="s">
        <v>40160</v>
      </c>
      <c r="K16020" s="18">
        <f>628121029389</f>
        <v>628121029389</v>
      </c>
      <c r="N16020" s="17" t="s">
        <v>77</v>
      </c>
      <c r="U16020" s="17"/>
      <c r="V16020" s="18">
        <f>628121029389</f>
        <v>628121029389</v>
      </c>
      <c r="W16020" t="s">
        <v>43005</v>
      </c>
      <c r="Y16020" s="17" t="s">
        <v>5678</v>
      </c>
    </row>
    <row r="16021" ht="15" customHeight="1" spans="1:22" x14ac:dyDescent="0.25">
      <c r="A16021" s="17" t="s">
        <v>43006</v>
      </c>
      <c r="B16021" s="17" t="s">
        <v>70</v>
      </c>
      <c r="C16021" s="17" t="s">
        <v>71</v>
      </c>
      <c r="D16021" t="s">
        <v>43007</v>
      </c>
      <c r="F16021" t="s">
        <v>1130</v>
      </c>
      <c r="J16021" s="17" t="s">
        <v>43008</v>
      </c>
      <c r="K16021" s="18">
        <f>628158886999</f>
        <v>628158886999</v>
      </c>
      <c r="N16021" s="17" t="s">
        <v>77</v>
      </c>
      <c r="V16021" s="18">
        <f>628158886999</f>
        <v>628158886999</v>
      </c>
    </row>
    <row r="16022" ht="15" customHeight="1" spans="1:28" x14ac:dyDescent="0.25">
      <c r="A16022" s="17" t="s">
        <v>43009</v>
      </c>
      <c r="B16022" s="17" t="s">
        <v>70</v>
      </c>
      <c r="C16022" s="17" t="s">
        <v>71</v>
      </c>
      <c r="D16022" t="s">
        <v>43010</v>
      </c>
      <c r="F16022" t="s">
        <v>43011</v>
      </c>
      <c r="J16022" t="s">
        <v>43012</v>
      </c>
      <c r="K16022" s="18" t="s">
        <v>43013</v>
      </c>
      <c r="N16022" s="17" t="s">
        <v>77</v>
      </c>
      <c r="O16022" t="s">
        <v>145</v>
      </c>
      <c r="U16022" s="17"/>
      <c r="V16022" s="18" t="s">
        <v>43013</v>
      </c>
      <c r="W16022" t="s">
        <v>20184</v>
      </c>
      <c r="Y16022" s="17" t="s">
        <v>11774</v>
      </c>
      <c r="AA16022" t="s">
        <v>115</v>
      </c>
      <c r="AB16022" t="s">
        <v>119</v>
      </c>
    </row>
    <row r="16023" ht="15" customHeight="1" spans="1:22" x14ac:dyDescent="0.25">
      <c r="A16023" s="17" t="s">
        <v>43014</v>
      </c>
      <c r="B16023" s="17" t="s">
        <v>70</v>
      </c>
      <c r="C16023" s="17" t="s">
        <v>71</v>
      </c>
      <c r="D16023" t="s">
        <v>8925</v>
      </c>
      <c r="F16023" t="s">
        <v>8925</v>
      </c>
      <c r="K16023" s="18">
        <f>62818131999</f>
        <v>62818131999</v>
      </c>
      <c r="N16023" s="17" t="s">
        <v>77</v>
      </c>
      <c r="V16023" s="18">
        <f>62818131999</f>
        <v>62818131999</v>
      </c>
    </row>
    <row r="16024" ht="15" customHeight="1" spans="1:22" x14ac:dyDescent="0.25">
      <c r="A16024" s="17" t="s">
        <v>43015</v>
      </c>
      <c r="B16024" s="17" t="s">
        <v>70</v>
      </c>
      <c r="C16024" s="17" t="s">
        <v>71</v>
      </c>
      <c r="D16024" t="s">
        <v>8925</v>
      </c>
      <c r="F16024" t="s">
        <v>8925</v>
      </c>
      <c r="K16024" s="18">
        <f>628129941218</f>
        <v>628129941218</v>
      </c>
      <c r="N16024" s="17" t="s">
        <v>77</v>
      </c>
      <c r="V16024" s="18">
        <f>628129941218</f>
        <v>628129941218</v>
      </c>
    </row>
    <row r="16025" ht="15" customHeight="1" spans="1:23" x14ac:dyDescent="0.25">
      <c r="A16025" s="17" t="s">
        <v>43016</v>
      </c>
      <c r="B16025" s="17" t="s">
        <v>70</v>
      </c>
      <c r="C16025" s="17" t="s">
        <v>71</v>
      </c>
      <c r="D16025" t="s">
        <v>8925</v>
      </c>
      <c r="F16025" t="s">
        <v>8925</v>
      </c>
      <c r="J16025" s="17" t="s">
        <v>43017</v>
      </c>
      <c r="K16025" s="18">
        <f>6281320357878</f>
        <v>6281320357878</v>
      </c>
      <c r="N16025" s="17" t="s">
        <v>81</v>
      </c>
      <c r="U16025" s="17"/>
      <c r="V16025" s="18">
        <f>6281320357878</f>
        <v>6281320357878</v>
      </c>
      <c r="W16025" t="s">
        <v>43018</v>
      </c>
    </row>
    <row r="16026" ht="15" customHeight="1" spans="1:22" x14ac:dyDescent="0.25">
      <c r="A16026" s="17" t="s">
        <v>43019</v>
      </c>
      <c r="B16026" s="17" t="s">
        <v>70</v>
      </c>
      <c r="C16026" s="17" t="s">
        <v>71</v>
      </c>
      <c r="D16026" t="s">
        <v>8925</v>
      </c>
      <c r="F16026" t="s">
        <v>8925</v>
      </c>
      <c r="K16026" s="18">
        <f>62811424224</f>
        <v>62811424224</v>
      </c>
      <c r="N16026" s="17" t="s">
        <v>77</v>
      </c>
      <c r="V16026" s="18">
        <f>62811424224</f>
        <v>62811424224</v>
      </c>
    </row>
    <row r="16027" ht="15" customHeight="1" spans="1:28" x14ac:dyDescent="0.25">
      <c r="A16027" s="17" t="s">
        <v>43020</v>
      </c>
      <c r="B16027" s="17" t="s">
        <v>70</v>
      </c>
      <c r="C16027" s="17" t="s">
        <v>71</v>
      </c>
      <c r="D16027" t="s">
        <v>8925</v>
      </c>
      <c r="F16027" t="s">
        <v>10455</v>
      </c>
      <c r="J16027" t="s">
        <v>115</v>
      </c>
      <c r="K16027" s="18" t="s">
        <v>43021</v>
      </c>
      <c r="N16027" s="17" t="s">
        <v>74</v>
      </c>
      <c r="O16027" t="s">
        <v>489</v>
      </c>
      <c r="U16027" s="17"/>
      <c r="V16027" s="18" t="s">
        <v>43021</v>
      </c>
      <c r="W16027" t="s">
        <v>43022</v>
      </c>
      <c r="Y16027" t="s">
        <v>96</v>
      </c>
      <c r="AA16027" t="s">
        <v>693</v>
      </c>
      <c r="AB16027" t="s">
        <v>119</v>
      </c>
    </row>
    <row r="16028" ht="15" customHeight="1" spans="1:28" x14ac:dyDescent="0.25">
      <c r="A16028" s="17" t="s">
        <v>43023</v>
      </c>
      <c r="B16028" s="17" t="s">
        <v>70</v>
      </c>
      <c r="C16028" s="17" t="s">
        <v>71</v>
      </c>
      <c r="D16028" t="s">
        <v>3148</v>
      </c>
      <c r="F16028" t="s">
        <v>5544</v>
      </c>
      <c r="J16028" t="s">
        <v>115</v>
      </c>
      <c r="K16028" s="18" t="s">
        <v>43024</v>
      </c>
      <c r="N16028" s="17" t="s">
        <v>81</v>
      </c>
      <c r="O16028" t="s">
        <v>117</v>
      </c>
      <c r="V16028" s="18" t="s">
        <v>43024</v>
      </c>
      <c r="Y16028" t="s">
        <v>190</v>
      </c>
      <c r="AA16028" t="s">
        <v>118</v>
      </c>
      <c r="AB16028" t="s">
        <v>119</v>
      </c>
    </row>
    <row r="16029" ht="15" customHeight="1" spans="1:25" x14ac:dyDescent="0.25">
      <c r="A16029" s="17" t="s">
        <v>43025</v>
      </c>
      <c r="B16029" s="17" t="s">
        <v>70</v>
      </c>
      <c r="C16029" s="17" t="s">
        <v>71</v>
      </c>
      <c r="D16029" t="s">
        <v>8925</v>
      </c>
      <c r="F16029" t="s">
        <v>43026</v>
      </c>
      <c r="K16029" s="18">
        <f>628159790815</f>
        <v>628159790815</v>
      </c>
      <c r="N16029" s="17" t="s">
        <v>77</v>
      </c>
      <c r="U16029" s="17"/>
      <c r="V16029" s="18">
        <f>628159790815</f>
        <v>628159790815</v>
      </c>
      <c r="W16029" t="s">
        <v>43027</v>
      </c>
      <c r="Y16029" s="17" t="s">
        <v>1084</v>
      </c>
    </row>
    <row r="16030" ht="15" customHeight="1" spans="1:28" x14ac:dyDescent="0.25">
      <c r="A16030" s="17" t="s">
        <v>43028</v>
      </c>
      <c r="B16030" s="17" t="s">
        <v>70</v>
      </c>
      <c r="C16030" s="17" t="s">
        <v>71</v>
      </c>
      <c r="D16030" t="s">
        <v>8925</v>
      </c>
      <c r="F16030" t="s">
        <v>43029</v>
      </c>
      <c r="J16030" t="s">
        <v>115</v>
      </c>
      <c r="K16030" s="18" t="s">
        <v>43030</v>
      </c>
      <c r="N16030" s="17" t="s">
        <v>77</v>
      </c>
      <c r="O16030" t="s">
        <v>145</v>
      </c>
      <c r="V16030" s="18" t="s">
        <v>43030</v>
      </c>
      <c r="Y16030" t="s">
        <v>190</v>
      </c>
      <c r="AA16030" t="s">
        <v>118</v>
      </c>
      <c r="AB16030" t="s">
        <v>119</v>
      </c>
    </row>
    <row r="16031" ht="15" customHeight="1" spans="1:22" x14ac:dyDescent="0.25">
      <c r="A16031" s="17" t="s">
        <v>43031</v>
      </c>
      <c r="B16031" s="17" t="s">
        <v>70</v>
      </c>
      <c r="C16031" s="17" t="s">
        <v>71</v>
      </c>
      <c r="D16031" t="s">
        <v>8925</v>
      </c>
      <c r="F16031" t="s">
        <v>43032</v>
      </c>
      <c r="K16031" s="18">
        <f>6281288893609</f>
        <v>6281288893609</v>
      </c>
      <c r="N16031" s="17" t="s">
        <v>77</v>
      </c>
      <c r="V16031" s="18">
        <f>6281288893609</f>
        <v>6281288893609</v>
      </c>
    </row>
    <row r="16032" ht="15" customHeight="1" spans="1:22" x14ac:dyDescent="0.25">
      <c r="A16032" s="17" t="s">
        <v>43033</v>
      </c>
      <c r="B16032" s="17" t="s">
        <v>70</v>
      </c>
      <c r="C16032" s="17" t="s">
        <v>71</v>
      </c>
      <c r="D16032" t="s">
        <v>8925</v>
      </c>
      <c r="F16032" t="s">
        <v>34876</v>
      </c>
      <c r="K16032" s="18">
        <f>6281213388277</f>
        <v>6281213388277</v>
      </c>
      <c r="N16032" s="17" t="s">
        <v>77</v>
      </c>
      <c r="V16032" s="18">
        <f>6281213388277</f>
        <v>6281213388277</v>
      </c>
    </row>
    <row r="16033" ht="15" customHeight="1" spans="1:27" x14ac:dyDescent="0.25">
      <c r="A16033" s="17" t="s">
        <v>43034</v>
      </c>
      <c r="B16033" s="17" t="s">
        <v>70</v>
      </c>
      <c r="C16033" s="17" t="s">
        <v>71</v>
      </c>
      <c r="D16033" t="s">
        <v>8925</v>
      </c>
      <c r="F16033" t="s">
        <v>43035</v>
      </c>
      <c r="K16033" s="18">
        <f>628161110633</f>
        <v>628161110633</v>
      </c>
      <c r="N16033" s="17" t="s">
        <v>74</v>
      </c>
      <c r="U16033" s="17"/>
      <c r="V16033" s="18">
        <f>628161110633</f>
        <v>628161110633</v>
      </c>
      <c r="W16033" t="s">
        <v>43036</v>
      </c>
      <c r="Y16033" s="17" t="s">
        <v>626</v>
      </c>
      <c r="AA16033" s="17" t="s">
        <v>43037</v>
      </c>
    </row>
    <row r="16034" ht="15" customHeight="1" spans="1:22" x14ac:dyDescent="0.25">
      <c r="A16034" s="17" t="s">
        <v>43038</v>
      </c>
      <c r="B16034" s="17" t="s">
        <v>70</v>
      </c>
      <c r="C16034" s="17" t="s">
        <v>71</v>
      </c>
      <c r="D16034" t="s">
        <v>8925</v>
      </c>
      <c r="F16034" t="s">
        <v>43039</v>
      </c>
      <c r="K16034" s="18">
        <f>62811979961</f>
        <v>62811979961</v>
      </c>
      <c r="N16034" s="17" t="s">
        <v>77</v>
      </c>
      <c r="V16034" s="18">
        <f>62811979961</f>
        <v>62811979961</v>
      </c>
    </row>
    <row r="16035" ht="15" customHeight="1" spans="1:28" x14ac:dyDescent="0.25">
      <c r="A16035" s="17" t="s">
        <v>43040</v>
      </c>
      <c r="B16035" s="17" t="s">
        <v>70</v>
      </c>
      <c r="C16035" s="17" t="s">
        <v>71</v>
      </c>
      <c r="D16035" t="s">
        <v>8925</v>
      </c>
      <c r="F16035" t="s">
        <v>43041</v>
      </c>
      <c r="J16035" t="s">
        <v>115</v>
      </c>
      <c r="K16035" s="18" t="s">
        <v>43042</v>
      </c>
      <c r="N16035" s="17" t="s">
        <v>77</v>
      </c>
      <c r="O16035" t="s">
        <v>489</v>
      </c>
      <c r="V16035" s="18" t="s">
        <v>43042</v>
      </c>
      <c r="Y16035" t="s">
        <v>190</v>
      </c>
      <c r="AA16035" t="s">
        <v>118</v>
      </c>
      <c r="AB16035" t="s">
        <v>119</v>
      </c>
    </row>
    <row r="16036" ht="15" customHeight="1" spans="1:22" x14ac:dyDescent="0.25">
      <c r="A16036" s="17" t="s">
        <v>43043</v>
      </c>
      <c r="B16036" s="17" t="s">
        <v>70</v>
      </c>
      <c r="C16036" s="17" t="s">
        <v>71</v>
      </c>
      <c r="D16036" t="s">
        <v>8925</v>
      </c>
      <c r="F16036" t="s">
        <v>43044</v>
      </c>
      <c r="K16036" s="18">
        <f>6287888945408</f>
        <v>6287888945408</v>
      </c>
      <c r="N16036" s="17" t="s">
        <v>81</v>
      </c>
      <c r="V16036" s="18">
        <f>6287888945408</f>
        <v>6287888945408</v>
      </c>
    </row>
    <row r="16037" ht="15" customHeight="1" spans="1:22" x14ac:dyDescent="0.25">
      <c r="A16037" s="17" t="s">
        <v>43045</v>
      </c>
      <c r="B16037" s="17" t="s">
        <v>70</v>
      </c>
      <c r="C16037" s="17" t="s">
        <v>71</v>
      </c>
      <c r="D16037" t="s">
        <v>8925</v>
      </c>
      <c r="F16037" t="s">
        <v>30320</v>
      </c>
      <c r="K16037" s="18">
        <f>6287885220333</f>
        <v>6287885220333</v>
      </c>
      <c r="N16037" s="17" t="s">
        <v>81</v>
      </c>
      <c r="V16037" s="18">
        <f>6287885220333</f>
        <v>6287885220333</v>
      </c>
    </row>
    <row r="16038" ht="15" customHeight="1" spans="1:22" x14ac:dyDescent="0.25">
      <c r="A16038" s="17" t="s">
        <v>43046</v>
      </c>
      <c r="B16038" s="17" t="s">
        <v>70</v>
      </c>
      <c r="C16038" s="17" t="s">
        <v>71</v>
      </c>
      <c r="D16038" t="s">
        <v>8925</v>
      </c>
      <c r="F16038" t="s">
        <v>8728</v>
      </c>
      <c r="K16038" s="18">
        <f>62811263714</f>
        <v>62811263714</v>
      </c>
      <c r="N16038" s="17" t="s">
        <v>77</v>
      </c>
      <c r="V16038" s="18">
        <f>62811263714</f>
        <v>62811263714</v>
      </c>
    </row>
    <row r="16039" ht="15" customHeight="1" spans="1:22" x14ac:dyDescent="0.25">
      <c r="A16039" s="17" t="s">
        <v>43047</v>
      </c>
      <c r="B16039" s="17" t="s">
        <v>70</v>
      </c>
      <c r="C16039" s="17" t="s">
        <v>71</v>
      </c>
      <c r="D16039" t="s">
        <v>8925</v>
      </c>
      <c r="F16039" t="s">
        <v>43048</v>
      </c>
      <c r="K16039" s="18">
        <f>6281387262828</f>
        <v>6281387262828</v>
      </c>
      <c r="N16039" s="17" t="s">
        <v>77</v>
      </c>
      <c r="V16039" s="18">
        <f>6281387262828</f>
        <v>6281387262828</v>
      </c>
    </row>
    <row r="16040" ht="15" customHeight="1" spans="1:22" x14ac:dyDescent="0.25">
      <c r="A16040" s="17" t="s">
        <v>43049</v>
      </c>
      <c r="B16040" s="17" t="s">
        <v>70</v>
      </c>
      <c r="C16040" s="17" t="s">
        <v>71</v>
      </c>
      <c r="D16040" t="s">
        <v>8925</v>
      </c>
      <c r="F16040" t="s">
        <v>11291</v>
      </c>
      <c r="K16040" s="18">
        <f>6282145661110</f>
        <v>6282145661110</v>
      </c>
      <c r="N16040" s="17" t="s">
        <v>81</v>
      </c>
      <c r="V16040" s="18">
        <f>6282145661110</f>
        <v>6282145661110</v>
      </c>
    </row>
    <row r="16041" ht="15" customHeight="1" spans="1:28" x14ac:dyDescent="0.25">
      <c r="A16041" s="17" t="s">
        <v>43050</v>
      </c>
      <c r="B16041" s="17" t="s">
        <v>70</v>
      </c>
      <c r="C16041" s="17" t="s">
        <v>71</v>
      </c>
      <c r="D16041" t="s">
        <v>8925</v>
      </c>
      <c r="F16041" t="s">
        <v>2563</v>
      </c>
      <c r="J16041" s="17" t="s">
        <v>43051</v>
      </c>
      <c r="K16041" s="18" t="s">
        <v>43052</v>
      </c>
      <c r="N16041" s="17" t="s">
        <v>74</v>
      </c>
      <c r="O16041" t="s">
        <v>261</v>
      </c>
      <c r="U16041" s="17"/>
      <c r="V16041" s="18" t="s">
        <v>43052</v>
      </c>
      <c r="W16041" t="s">
        <v>43053</v>
      </c>
      <c r="Y16041" s="17" t="s">
        <v>90</v>
      </c>
      <c r="AA16041" t="s">
        <v>118</v>
      </c>
      <c r="AB16041" t="s">
        <v>119</v>
      </c>
    </row>
    <row r="16042" ht="15" customHeight="1" spans="1:28" x14ac:dyDescent="0.25">
      <c r="A16042" s="17" t="s">
        <v>43054</v>
      </c>
      <c r="B16042" s="17" t="s">
        <v>70</v>
      </c>
      <c r="C16042" s="17" t="s">
        <v>71</v>
      </c>
      <c r="D16042" t="s">
        <v>8925</v>
      </c>
      <c r="F16042" t="s">
        <v>33042</v>
      </c>
      <c r="J16042" t="s">
        <v>115</v>
      </c>
      <c r="K16042" s="18" t="s">
        <v>43055</v>
      </c>
      <c r="N16042" s="17" t="s">
        <v>81</v>
      </c>
      <c r="O16042" t="s">
        <v>117</v>
      </c>
      <c r="V16042" s="18" t="s">
        <v>43055</v>
      </c>
      <c r="Y16042" t="s">
        <v>190</v>
      </c>
      <c r="AA16042" t="s">
        <v>118</v>
      </c>
      <c r="AB16042" t="s">
        <v>119</v>
      </c>
    </row>
    <row r="16043" ht="15" customHeight="1" spans="1:28" x14ac:dyDescent="0.25">
      <c r="A16043" s="17" t="s">
        <v>43056</v>
      </c>
      <c r="B16043" s="17" t="s">
        <v>70</v>
      </c>
      <c r="C16043" s="17" t="s">
        <v>71</v>
      </c>
      <c r="D16043" t="s">
        <v>8925</v>
      </c>
      <c r="F16043" t="s">
        <v>2586</v>
      </c>
      <c r="J16043" t="s">
        <v>115</v>
      </c>
      <c r="K16043" s="18" t="s">
        <v>43057</v>
      </c>
      <c r="N16043" s="17" t="s">
        <v>77</v>
      </c>
      <c r="O16043" t="s">
        <v>145</v>
      </c>
      <c r="V16043" s="18" t="s">
        <v>43057</v>
      </c>
      <c r="Y16043" t="s">
        <v>90</v>
      </c>
      <c r="AA16043" t="s">
        <v>118</v>
      </c>
      <c r="AB16043" t="s">
        <v>119</v>
      </c>
    </row>
    <row r="16044" ht="15" customHeight="1" spans="1:28" x14ac:dyDescent="0.25">
      <c r="A16044" s="17" t="s">
        <v>43058</v>
      </c>
      <c r="B16044" s="17" t="s">
        <v>70</v>
      </c>
      <c r="C16044" s="17" t="s">
        <v>71</v>
      </c>
      <c r="D16044" t="s">
        <v>8925</v>
      </c>
      <c r="F16044" t="s">
        <v>1169</v>
      </c>
      <c r="J16044" t="s">
        <v>115</v>
      </c>
      <c r="K16044" s="18" t="s">
        <v>43059</v>
      </c>
      <c r="N16044" s="17" t="s">
        <v>77</v>
      </c>
      <c r="O16044" t="s">
        <v>117</v>
      </c>
      <c r="V16044" s="18" t="s">
        <v>43059</v>
      </c>
      <c r="Y16044" s="17" t="s">
        <v>90</v>
      </c>
      <c r="AA16044" t="s">
        <v>118</v>
      </c>
      <c r="AB16044" t="s">
        <v>119</v>
      </c>
    </row>
    <row r="16045" ht="15" customHeight="1" spans="1:28" x14ac:dyDescent="0.25">
      <c r="A16045" s="17" t="s">
        <v>43060</v>
      </c>
      <c r="B16045" s="17" t="s">
        <v>70</v>
      </c>
      <c r="C16045" s="17" t="s">
        <v>71</v>
      </c>
      <c r="D16045" t="s">
        <v>8925</v>
      </c>
      <c r="F16045" t="s">
        <v>167</v>
      </c>
      <c r="J16045" t="s">
        <v>115</v>
      </c>
      <c r="K16045" s="18" t="s">
        <v>43061</v>
      </c>
      <c r="N16045" s="17" t="s">
        <v>74</v>
      </c>
      <c r="O16045" t="s">
        <v>261</v>
      </c>
      <c r="V16045" s="18" t="s">
        <v>43061</v>
      </c>
      <c r="Y16045" t="s">
        <v>90</v>
      </c>
      <c r="AA16045" t="s">
        <v>118</v>
      </c>
      <c r="AB16045" t="s">
        <v>119</v>
      </c>
    </row>
    <row r="16046" ht="15" customHeight="1" spans="1:23" x14ac:dyDescent="0.25">
      <c r="A16046" s="17" t="s">
        <v>43062</v>
      </c>
      <c r="B16046" s="17" t="s">
        <v>70</v>
      </c>
      <c r="C16046" s="17" t="s">
        <v>71</v>
      </c>
      <c r="D16046" t="s">
        <v>43063</v>
      </c>
      <c r="F16046" t="s">
        <v>43064</v>
      </c>
      <c r="K16046" s="18">
        <v>6285220763089</v>
      </c>
      <c r="N16046" s="17" t="s">
        <v>77</v>
      </c>
      <c r="U16046" s="17"/>
      <c r="V16046" s="18">
        <v>6285220763089</v>
      </c>
      <c r="W16046" t="s">
        <v>43065</v>
      </c>
    </row>
    <row r="16047" ht="15" customHeight="1" spans="1:22" x14ac:dyDescent="0.25">
      <c r="A16047" s="17" t="s">
        <v>43066</v>
      </c>
      <c r="B16047" s="17" t="s">
        <v>70</v>
      </c>
      <c r="C16047" s="17" t="s">
        <v>71</v>
      </c>
      <c r="D16047" t="s">
        <v>43067</v>
      </c>
      <c r="F16047" t="s">
        <v>824</v>
      </c>
      <c r="K16047" s="18">
        <f>62816892380</f>
        <v>62816892380</v>
      </c>
      <c r="N16047" s="17" t="s">
        <v>77</v>
      </c>
      <c r="V16047" s="18">
        <f>62816892380</f>
        <v>62816892380</v>
      </c>
    </row>
    <row r="16048" ht="15" customHeight="1" spans="1:22" x14ac:dyDescent="0.25">
      <c r="A16048" s="17" t="s">
        <v>43068</v>
      </c>
      <c r="B16048" s="17" t="s">
        <v>70</v>
      </c>
      <c r="C16048" s="17" t="s">
        <v>71</v>
      </c>
      <c r="D16048" t="s">
        <v>43069</v>
      </c>
      <c r="F16048" t="s">
        <v>31427</v>
      </c>
      <c r="K16048" s="18">
        <f>628118122666</f>
        <v>628118122666</v>
      </c>
      <c r="N16048" s="17" t="s">
        <v>77</v>
      </c>
      <c r="V16048" s="18">
        <f>628118122666</f>
        <v>628118122666</v>
      </c>
    </row>
    <row r="16049" ht="15" customHeight="1" spans="1:22" x14ac:dyDescent="0.25">
      <c r="A16049" s="17" t="s">
        <v>43070</v>
      </c>
      <c r="B16049" s="17" t="s">
        <v>70</v>
      </c>
      <c r="C16049" s="17" t="s">
        <v>71</v>
      </c>
      <c r="D16049" t="s">
        <v>42495</v>
      </c>
      <c r="F16049" t="s">
        <v>42495</v>
      </c>
      <c r="K16049" s="18">
        <f>6282122174903</f>
        <v>6282122174903</v>
      </c>
      <c r="N16049" s="17" t="s">
        <v>77</v>
      </c>
      <c r="V16049" s="18">
        <f>6282122174903</f>
        <v>6282122174903</v>
      </c>
    </row>
    <row r="16050" ht="15" customHeight="1" spans="1:22" x14ac:dyDescent="0.25">
      <c r="A16050" s="17" t="s">
        <v>43071</v>
      </c>
      <c r="B16050" s="17" t="s">
        <v>70</v>
      </c>
      <c r="C16050" s="17" t="s">
        <v>71</v>
      </c>
      <c r="D16050" t="s">
        <v>42495</v>
      </c>
      <c r="F16050" t="s">
        <v>42495</v>
      </c>
      <c r="K16050" s="18">
        <f>6281297990799</f>
        <v>6281297990799</v>
      </c>
      <c r="N16050" s="17" t="s">
        <v>77</v>
      </c>
      <c r="V16050" s="18">
        <f>6281297990799</f>
        <v>6281297990799</v>
      </c>
    </row>
    <row r="16051" ht="15" customHeight="1" spans="1:22" x14ac:dyDescent="0.25">
      <c r="A16051" s="17" t="s">
        <v>43072</v>
      </c>
      <c r="B16051" s="17" t="s">
        <v>70</v>
      </c>
      <c r="C16051" s="17" t="s">
        <v>71</v>
      </c>
      <c r="D16051" t="s">
        <v>42495</v>
      </c>
      <c r="F16051" t="s">
        <v>1792</v>
      </c>
      <c r="K16051" s="18">
        <f>62818782782</f>
        <v>62818782782</v>
      </c>
      <c r="N16051" s="17" t="s">
        <v>81</v>
      </c>
      <c r="V16051" s="18">
        <f>62818782782</f>
        <v>62818782782</v>
      </c>
    </row>
    <row r="16052" ht="15" customHeight="1" spans="1:28" x14ac:dyDescent="0.25">
      <c r="A16052" s="17" t="s">
        <v>43073</v>
      </c>
      <c r="B16052" s="17" t="s">
        <v>70</v>
      </c>
      <c r="C16052" s="17" t="s">
        <v>71</v>
      </c>
      <c r="D16052" t="s">
        <v>42495</v>
      </c>
      <c r="F16052" t="s">
        <v>42495</v>
      </c>
      <c r="J16052" t="s">
        <v>43074</v>
      </c>
      <c r="K16052" s="18" t="s">
        <v>43075</v>
      </c>
      <c r="N16052" s="17" t="s">
        <v>77</v>
      </c>
      <c r="O16052" t="s">
        <v>489</v>
      </c>
      <c r="V16052" s="18" t="s">
        <v>43075</v>
      </c>
      <c r="Y16052" t="s">
        <v>90</v>
      </c>
      <c r="AA16052" t="s">
        <v>118</v>
      </c>
      <c r="AB16052" t="s">
        <v>119</v>
      </c>
    </row>
    <row r="16053" ht="15" customHeight="1" spans="1:28" x14ac:dyDescent="0.25">
      <c r="A16053" s="17" t="s">
        <v>43076</v>
      </c>
      <c r="B16053" s="17" t="s">
        <v>70</v>
      </c>
      <c r="C16053" s="17" t="s">
        <v>71</v>
      </c>
      <c r="D16053" t="s">
        <v>42495</v>
      </c>
      <c r="F16053" t="s">
        <v>42495</v>
      </c>
      <c r="J16053" t="s">
        <v>115</v>
      </c>
      <c r="K16053" s="18" t="s">
        <v>43077</v>
      </c>
      <c r="N16053" s="17" t="s">
        <v>74</v>
      </c>
      <c r="O16053" t="s">
        <v>489</v>
      </c>
      <c r="V16053" s="18" t="s">
        <v>43077</v>
      </c>
      <c r="Y16053" t="s">
        <v>190</v>
      </c>
      <c r="AA16053" t="s">
        <v>118</v>
      </c>
      <c r="AB16053" t="s">
        <v>119</v>
      </c>
    </row>
    <row r="16054" ht="15" customHeight="1" spans="1:28" x14ac:dyDescent="0.25">
      <c r="A16054" s="17" t="s">
        <v>43078</v>
      </c>
      <c r="B16054" s="17" t="s">
        <v>70</v>
      </c>
      <c r="C16054" s="17" t="s">
        <v>71</v>
      </c>
      <c r="D16054" t="s">
        <v>43079</v>
      </c>
      <c r="F16054" t="s">
        <v>669</v>
      </c>
      <c r="J16054" t="s">
        <v>43080</v>
      </c>
      <c r="K16054" s="18" t="s">
        <v>43081</v>
      </c>
      <c r="N16054" s="17" t="s">
        <v>77</v>
      </c>
      <c r="O16054" t="s">
        <v>117</v>
      </c>
      <c r="U16054" s="17"/>
      <c r="V16054" s="18" t="s">
        <v>43081</v>
      </c>
      <c r="W16054" t="s">
        <v>43082</v>
      </c>
      <c r="Y16054" s="17" t="s">
        <v>190</v>
      </c>
      <c r="AA16054" t="s">
        <v>118</v>
      </c>
      <c r="AB16054" t="s">
        <v>119</v>
      </c>
    </row>
    <row r="16055" ht="15" customHeight="1" spans="1:25" x14ac:dyDescent="0.25">
      <c r="A16055" s="17" t="s">
        <v>43083</v>
      </c>
      <c r="B16055" s="17" t="s">
        <v>70</v>
      </c>
      <c r="C16055" s="17" t="s">
        <v>71</v>
      </c>
      <c r="D16055" t="s">
        <v>43084</v>
      </c>
      <c r="F16055" t="s">
        <v>43085</v>
      </c>
      <c r="K16055" s="18">
        <f>62811113456</f>
        <v>62811113456</v>
      </c>
      <c r="N16055" s="17" t="s">
        <v>77</v>
      </c>
      <c r="U16055" s="17"/>
      <c r="V16055" s="18">
        <f>62811113456</f>
        <v>62811113456</v>
      </c>
      <c r="W16055" t="s">
        <v>43086</v>
      </c>
      <c r="Y16055" s="17" t="s">
        <v>96</v>
      </c>
    </row>
    <row r="16056" ht="15" customHeight="1" spans="1:22" x14ac:dyDescent="0.25">
      <c r="A16056" s="17" t="s">
        <v>43087</v>
      </c>
      <c r="B16056" s="17" t="s">
        <v>70</v>
      </c>
      <c r="C16056" s="17" t="s">
        <v>71</v>
      </c>
      <c r="D16056" t="s">
        <v>43084</v>
      </c>
      <c r="F16056" t="s">
        <v>8925</v>
      </c>
      <c r="K16056" s="18">
        <f>62811130613</f>
        <v>62811130613</v>
      </c>
      <c r="N16056" s="17" t="s">
        <v>81</v>
      </c>
      <c r="V16056" s="18">
        <f>62811130613</f>
        <v>62811130613</v>
      </c>
    </row>
    <row r="16057" ht="15" customHeight="1" spans="1:28" x14ac:dyDescent="0.25">
      <c r="A16057" s="17" t="s">
        <v>43088</v>
      </c>
      <c r="B16057" s="17" t="s">
        <v>70</v>
      </c>
      <c r="C16057" s="17" t="s">
        <v>71</v>
      </c>
      <c r="D16057" t="s">
        <v>43089</v>
      </c>
      <c r="F16057" t="s">
        <v>8308</v>
      </c>
      <c r="J16057" s="17" t="s">
        <v>43090</v>
      </c>
      <c r="K16057" s="18" t="s">
        <v>43091</v>
      </c>
      <c r="N16057" s="17" t="s">
        <v>77</v>
      </c>
      <c r="O16057" t="s">
        <v>145</v>
      </c>
      <c r="V16057" s="18" t="s">
        <v>43091</v>
      </c>
      <c r="Y16057" t="s">
        <v>90</v>
      </c>
      <c r="AA16057" t="s">
        <v>118</v>
      </c>
      <c r="AB16057" t="s">
        <v>119</v>
      </c>
    </row>
    <row r="16058" ht="15" customHeight="1" spans="1:22" x14ac:dyDescent="0.25">
      <c r="A16058" s="17" t="s">
        <v>43092</v>
      </c>
      <c r="B16058" s="17" t="s">
        <v>70</v>
      </c>
      <c r="C16058" s="17" t="s">
        <v>71</v>
      </c>
      <c r="D16058" t="s">
        <v>42686</v>
      </c>
      <c r="F16058" t="s">
        <v>2785</v>
      </c>
      <c r="K16058" s="18">
        <f>62813988800512</f>
        <v>62813988800512</v>
      </c>
      <c r="N16058" s="17" t="s">
        <v>77</v>
      </c>
      <c r="V16058" s="18">
        <f>62813988800512</f>
        <v>62813988800512</v>
      </c>
    </row>
    <row r="16059" ht="15" customHeight="1" spans="1:28" x14ac:dyDescent="0.25">
      <c r="A16059" s="17" t="s">
        <v>43093</v>
      </c>
      <c r="B16059" s="17" t="s">
        <v>70</v>
      </c>
      <c r="C16059" s="17" t="s">
        <v>71</v>
      </c>
      <c r="D16059" t="s">
        <v>43094</v>
      </c>
      <c r="F16059" t="s">
        <v>42729</v>
      </c>
      <c r="J16059" s="17" t="s">
        <v>43095</v>
      </c>
      <c r="K16059" s="18" t="s">
        <v>43096</v>
      </c>
      <c r="N16059" s="17" t="s">
        <v>77</v>
      </c>
      <c r="O16059" t="s">
        <v>117</v>
      </c>
      <c r="U16059" s="17"/>
      <c r="V16059" s="18" t="s">
        <v>43096</v>
      </c>
      <c r="W16059" t="s">
        <v>3140</v>
      </c>
      <c r="Y16059" t="s">
        <v>3140</v>
      </c>
      <c r="AA16059" t="s">
        <v>115</v>
      </c>
      <c r="AB16059" t="s">
        <v>3140</v>
      </c>
    </row>
    <row r="16060" ht="15" customHeight="1" spans="1:23" x14ac:dyDescent="0.25">
      <c r="A16060" s="17" t="s">
        <v>43097</v>
      </c>
      <c r="B16060" s="17" t="s">
        <v>70</v>
      </c>
      <c r="C16060" s="17" t="s">
        <v>71</v>
      </c>
      <c r="D16060" t="s">
        <v>43098</v>
      </c>
      <c r="F16060" t="s">
        <v>2730</v>
      </c>
      <c r="J16060" s="17" t="s">
        <v>43099</v>
      </c>
      <c r="K16060" s="18">
        <f>6281808880922</f>
        <v>6281808880922</v>
      </c>
      <c r="N16060" s="17" t="s">
        <v>77</v>
      </c>
      <c r="U16060" s="17"/>
      <c r="V16060" s="18">
        <f>6281808880922</f>
        <v>6281808880922</v>
      </c>
      <c r="W16060" t="s">
        <v>43100</v>
      </c>
    </row>
    <row r="16061" ht="15" customHeight="1" spans="1:28" x14ac:dyDescent="0.25">
      <c r="A16061" s="17" t="s">
        <v>43101</v>
      </c>
      <c r="B16061" s="17" t="s">
        <v>70</v>
      </c>
      <c r="C16061" s="17" t="s">
        <v>71</v>
      </c>
      <c r="D16061" t="s">
        <v>43102</v>
      </c>
      <c r="F16061" t="s">
        <v>43103</v>
      </c>
      <c r="J16061" t="s">
        <v>115</v>
      </c>
      <c r="K16061" s="18" t="s">
        <v>43104</v>
      </c>
      <c r="N16061" s="17" t="s">
        <v>77</v>
      </c>
      <c r="O16061" t="s">
        <v>199</v>
      </c>
      <c r="V16061" s="18" t="s">
        <v>43104</v>
      </c>
      <c r="Y16061" s="17" t="s">
        <v>6937</v>
      </c>
      <c r="AA16061" t="s">
        <v>115</v>
      </c>
      <c r="AB16061" t="s">
        <v>6937</v>
      </c>
    </row>
    <row r="16062" ht="15" customHeight="1" spans="1:22" x14ac:dyDescent="0.25">
      <c r="A16062" s="17" t="s">
        <v>43105</v>
      </c>
      <c r="B16062" s="17" t="s">
        <v>70</v>
      </c>
      <c r="C16062" s="17" t="s">
        <v>71</v>
      </c>
      <c r="D16062" t="s">
        <v>36409</v>
      </c>
      <c r="F16062" t="s">
        <v>22850</v>
      </c>
      <c r="J16062" s="17" t="s">
        <v>43106</v>
      </c>
      <c r="K16062" s="18">
        <f>601788848830</f>
        <v>601788848830</v>
      </c>
      <c r="N16062" s="17" t="s">
        <v>77</v>
      </c>
      <c r="V16062" s="18">
        <f>601788848830</f>
        <v>601788848830</v>
      </c>
    </row>
    <row r="16063" ht="15" customHeight="1" spans="1:22" x14ac:dyDescent="0.25">
      <c r="A16063" s="17" t="s">
        <v>43107</v>
      </c>
      <c r="B16063" s="17" t="s">
        <v>70</v>
      </c>
      <c r="C16063" s="17" t="s">
        <v>71</v>
      </c>
      <c r="D16063" t="s">
        <v>36409</v>
      </c>
      <c r="F16063" t="s">
        <v>43108</v>
      </c>
      <c r="K16063" s="18">
        <f>6281781082028</f>
        <v>6281781082028</v>
      </c>
      <c r="N16063" s="17" t="s">
        <v>74</v>
      </c>
      <c r="V16063" s="18">
        <f>6281781082028</f>
        <v>6281781082028</v>
      </c>
    </row>
    <row r="16064" ht="15" customHeight="1" spans="1:22" x14ac:dyDescent="0.25">
      <c r="A16064" s="17" t="s">
        <v>43109</v>
      </c>
      <c r="B16064" s="17" t="s">
        <v>70</v>
      </c>
      <c r="C16064" s="17" t="s">
        <v>71</v>
      </c>
      <c r="D16064" t="s">
        <v>43110</v>
      </c>
      <c r="F16064" t="s">
        <v>43111</v>
      </c>
      <c r="K16064" s="18">
        <f>6285899995877</f>
        <v>6285899995877</v>
      </c>
      <c r="N16064" s="17" t="s">
        <v>81</v>
      </c>
      <c r="V16064" s="18">
        <f>6285899995877</f>
        <v>6285899995877</v>
      </c>
    </row>
    <row r="16065" ht="15" customHeight="1" spans="1:22" x14ac:dyDescent="0.25">
      <c r="A16065" s="17" t="s">
        <v>43112</v>
      </c>
      <c r="B16065" s="17" t="s">
        <v>70</v>
      </c>
      <c r="C16065" s="17" t="s">
        <v>71</v>
      </c>
      <c r="D16065" t="s">
        <v>43113</v>
      </c>
      <c r="F16065" t="s">
        <v>43113</v>
      </c>
      <c r="K16065" s="18">
        <f>6281219991602</f>
        <v>6281219991602</v>
      </c>
      <c r="N16065" s="17" t="s">
        <v>81</v>
      </c>
      <c r="V16065" s="18">
        <f>6281219991602</f>
        <v>6281219991602</v>
      </c>
    </row>
    <row r="16066" ht="15" customHeight="1" spans="1:23" x14ac:dyDescent="0.25">
      <c r="A16066" s="17" t="s">
        <v>43114</v>
      </c>
      <c r="B16066" s="17" t="s">
        <v>70</v>
      </c>
      <c r="C16066" s="17" t="s">
        <v>71</v>
      </c>
      <c r="D16066" t="s">
        <v>43115</v>
      </c>
      <c r="F16066" t="s">
        <v>43116</v>
      </c>
      <c r="K16066" s="18" t="s">
        <v>43117</v>
      </c>
      <c r="N16066" s="17" t="s">
        <v>77</v>
      </c>
      <c r="U16066" s="17"/>
      <c r="V16066" s="18" t="s">
        <v>43117</v>
      </c>
      <c r="W16066" t="s">
        <v>43118</v>
      </c>
    </row>
    <row r="16067" ht="15" customHeight="1" spans="1:22" x14ac:dyDescent="0.25">
      <c r="A16067" s="17" t="s">
        <v>43119</v>
      </c>
      <c r="B16067" s="17" t="s">
        <v>70</v>
      </c>
      <c r="C16067" s="17" t="s">
        <v>71</v>
      </c>
      <c r="D16067" t="s">
        <v>43120</v>
      </c>
      <c r="F16067" t="s">
        <v>17397</v>
      </c>
      <c r="K16067" s="18">
        <f>6282124867867</f>
        <v>6282124867867</v>
      </c>
      <c r="N16067" s="17" t="s">
        <v>81</v>
      </c>
      <c r="V16067" s="18">
        <f>6282124867867</f>
        <v>6282124867867</v>
      </c>
    </row>
    <row r="16068" ht="15" customHeight="1" spans="1:28" x14ac:dyDescent="0.25">
      <c r="A16068" s="17" t="s">
        <v>43121</v>
      </c>
      <c r="B16068" s="17" t="s">
        <v>70</v>
      </c>
      <c r="C16068" s="17" t="s">
        <v>71</v>
      </c>
      <c r="D16068" t="s">
        <v>43122</v>
      </c>
      <c r="F16068" t="s">
        <v>43122</v>
      </c>
      <c r="J16068" t="s">
        <v>43123</v>
      </c>
      <c r="K16068" s="18" t="s">
        <v>43124</v>
      </c>
      <c r="N16068" s="17" t="s">
        <v>77</v>
      </c>
      <c r="O16068" t="s">
        <v>145</v>
      </c>
      <c r="V16068" s="18" t="s">
        <v>43124</v>
      </c>
      <c r="Y16068" t="s">
        <v>190</v>
      </c>
      <c r="AA16068" t="s">
        <v>118</v>
      </c>
      <c r="AB16068" t="s">
        <v>119</v>
      </c>
    </row>
    <row r="16069" ht="15" customHeight="1" spans="1:22" x14ac:dyDescent="0.25">
      <c r="A16069" s="17" t="s">
        <v>43125</v>
      </c>
      <c r="B16069" s="17" t="s">
        <v>70</v>
      </c>
      <c r="C16069" s="17" t="s">
        <v>71</v>
      </c>
      <c r="D16069" t="s">
        <v>14550</v>
      </c>
      <c r="F16069" t="s">
        <v>14550</v>
      </c>
      <c r="K16069" s="18">
        <f>628158008743</f>
        <v>628158008743</v>
      </c>
      <c r="N16069" s="17" t="s">
        <v>77</v>
      </c>
      <c r="V16069" s="18">
        <f>628158008743</f>
        <v>628158008743</v>
      </c>
    </row>
    <row r="16070" ht="15" customHeight="1" spans="1:28" x14ac:dyDescent="0.25">
      <c r="A16070" s="17" t="s">
        <v>43126</v>
      </c>
      <c r="B16070" s="17" t="s">
        <v>70</v>
      </c>
      <c r="C16070" s="17" t="s">
        <v>71</v>
      </c>
      <c r="D16070" t="s">
        <v>14550</v>
      </c>
      <c r="F16070" t="s">
        <v>8824</v>
      </c>
      <c r="J16070" t="s">
        <v>115</v>
      </c>
      <c r="K16070" s="18" t="s">
        <v>43127</v>
      </c>
      <c r="N16070" s="17" t="s">
        <v>77</v>
      </c>
      <c r="O16070" t="s">
        <v>117</v>
      </c>
      <c r="V16070" s="18" t="s">
        <v>43127</v>
      </c>
      <c r="Y16070" t="s">
        <v>90</v>
      </c>
      <c r="AA16070" t="s">
        <v>118</v>
      </c>
      <c r="AB16070" t="s">
        <v>119</v>
      </c>
    </row>
    <row r="16071" ht="15" customHeight="1" spans="1:23" x14ac:dyDescent="0.25">
      <c r="A16071" s="17" t="s">
        <v>43128</v>
      </c>
      <c r="B16071" s="17" t="s">
        <v>70</v>
      </c>
      <c r="C16071" s="17" t="s">
        <v>71</v>
      </c>
      <c r="D16071" t="s">
        <v>14550</v>
      </c>
      <c r="F16071" t="s">
        <v>30578</v>
      </c>
      <c r="J16071" s="17" t="s">
        <v>43129</v>
      </c>
      <c r="K16071" s="18">
        <f>628988178582</f>
        <v>628988178582</v>
      </c>
      <c r="N16071" s="17" t="s">
        <v>77</v>
      </c>
      <c r="U16071" s="17"/>
      <c r="V16071" s="18">
        <f>628988178582</f>
        <v>628988178582</v>
      </c>
      <c r="W16071" t="s">
        <v>43130</v>
      </c>
    </row>
    <row r="16072" ht="15" customHeight="1" spans="1:23" x14ac:dyDescent="0.25">
      <c r="A16072" s="17" t="s">
        <v>43131</v>
      </c>
      <c r="B16072" s="17" t="s">
        <v>70</v>
      </c>
      <c r="C16072" s="17" t="s">
        <v>71</v>
      </c>
      <c r="D16072" t="s">
        <v>14550</v>
      </c>
      <c r="F16072" t="s">
        <v>43132</v>
      </c>
      <c r="K16072" s="18">
        <f>62817183333</f>
        <v>62817183333</v>
      </c>
      <c r="N16072" s="17" t="s">
        <v>74</v>
      </c>
      <c r="U16072" s="17"/>
      <c r="V16072" s="18">
        <f>62817183333</f>
        <v>62817183333</v>
      </c>
      <c r="W16072" t="s">
        <v>43133</v>
      </c>
    </row>
    <row r="16073" ht="15" customHeight="1" spans="1:22" x14ac:dyDescent="0.25">
      <c r="A16073" s="17" t="s">
        <v>43134</v>
      </c>
      <c r="B16073" s="17" t="s">
        <v>70</v>
      </c>
      <c r="C16073" s="17" t="s">
        <v>71</v>
      </c>
      <c r="D16073" t="s">
        <v>2338</v>
      </c>
      <c r="F16073" t="s">
        <v>22085</v>
      </c>
      <c r="J16073" s="17" t="s">
        <v>43135</v>
      </c>
      <c r="K16073" s="18">
        <f>6281217161617</f>
        <v>6281217161617</v>
      </c>
      <c r="N16073" s="17" t="s">
        <v>81</v>
      </c>
      <c r="V16073" s="18">
        <f>6281217161617</f>
        <v>6281217161617</v>
      </c>
    </row>
    <row r="16074" ht="15" customHeight="1" spans="1:22" x14ac:dyDescent="0.25">
      <c r="A16074" s="17" t="s">
        <v>43136</v>
      </c>
      <c r="B16074" s="17" t="s">
        <v>70</v>
      </c>
      <c r="C16074" s="17" t="s">
        <v>71</v>
      </c>
      <c r="D16074" t="s">
        <v>43137</v>
      </c>
      <c r="F16074" t="s">
        <v>43138</v>
      </c>
      <c r="K16074" s="18">
        <f>62811888719</f>
        <v>62811888719</v>
      </c>
      <c r="N16074" s="17" t="s">
        <v>77</v>
      </c>
      <c r="V16074" s="18">
        <f>62811888719</f>
        <v>62811888719</v>
      </c>
    </row>
    <row r="16075" ht="15" customHeight="1" spans="1:25" x14ac:dyDescent="0.25">
      <c r="A16075" s="17" t="s">
        <v>43139</v>
      </c>
      <c r="B16075" s="17" t="s">
        <v>70</v>
      </c>
      <c r="C16075" s="17" t="s">
        <v>71</v>
      </c>
      <c r="D16075" t="s">
        <v>43140</v>
      </c>
      <c r="F16075" t="s">
        <v>43140</v>
      </c>
      <c r="K16075" s="18">
        <f>628161614415</f>
        <v>628161614415</v>
      </c>
      <c r="N16075" s="17" t="s">
        <v>77</v>
      </c>
      <c r="U16075" s="17"/>
      <c r="V16075" s="18">
        <f>628161614415</f>
        <v>628161614415</v>
      </c>
      <c r="W16075" t="s">
        <v>43141</v>
      </c>
      <c r="Y16075" s="17" t="s">
        <v>96</v>
      </c>
    </row>
    <row r="16076" ht="15" customHeight="1" spans="1:22" x14ac:dyDescent="0.25">
      <c r="A16076" s="17" t="s">
        <v>43142</v>
      </c>
      <c r="B16076" s="17" t="s">
        <v>70</v>
      </c>
      <c r="C16076" s="17" t="s">
        <v>71</v>
      </c>
      <c r="D16076" t="s">
        <v>17825</v>
      </c>
      <c r="F16076" t="s">
        <v>43143</v>
      </c>
      <c r="K16076" s="18">
        <f>628114161010</f>
        <v>628114161010</v>
      </c>
      <c r="N16076" s="17" t="s">
        <v>77</v>
      </c>
      <c r="V16076" s="18">
        <f>628114161010</f>
        <v>628114161010</v>
      </c>
    </row>
    <row r="16077" ht="15" customHeight="1" spans="1:25" x14ac:dyDescent="0.25">
      <c r="A16077" s="17" t="s">
        <v>43144</v>
      </c>
      <c r="B16077" s="17" t="s">
        <v>70</v>
      </c>
      <c r="C16077" s="17" t="s">
        <v>71</v>
      </c>
      <c r="D16077" t="s">
        <v>17825</v>
      </c>
      <c r="F16077" t="s">
        <v>21953</v>
      </c>
      <c r="K16077" s="18">
        <f>628192121975</f>
        <v>628192121975</v>
      </c>
      <c r="N16077" s="17" t="s">
        <v>81</v>
      </c>
      <c r="V16077" s="18">
        <f>628192121975</f>
        <v>628192121975</v>
      </c>
      <c r="Y16077" s="17" t="s">
        <v>500</v>
      </c>
    </row>
    <row r="16078" ht="15" customHeight="1" spans="1:22" x14ac:dyDescent="0.25">
      <c r="A16078" s="17" t="s">
        <v>43145</v>
      </c>
      <c r="B16078" s="17" t="s">
        <v>70</v>
      </c>
      <c r="C16078" s="17" t="s">
        <v>71</v>
      </c>
      <c r="D16078" t="s">
        <v>43146</v>
      </c>
      <c r="F16078" t="s">
        <v>43147</v>
      </c>
      <c r="K16078" s="18">
        <f>628121012858</f>
        <v>628121012858</v>
      </c>
      <c r="N16078" s="17" t="s">
        <v>77</v>
      </c>
      <c r="V16078" s="18">
        <f>628121012858</f>
        <v>628121012858</v>
      </c>
    </row>
    <row r="16079" ht="15" customHeight="1" spans="1:22" x14ac:dyDescent="0.25">
      <c r="A16079" s="17" t="s">
        <v>43148</v>
      </c>
      <c r="B16079" s="17" t="s">
        <v>70</v>
      </c>
      <c r="C16079" s="17" t="s">
        <v>71</v>
      </c>
      <c r="D16079" t="s">
        <v>43149</v>
      </c>
      <c r="F16079" t="s">
        <v>27973</v>
      </c>
      <c r="K16079" s="18">
        <f>62816102773</f>
        <v>62816102773</v>
      </c>
      <c r="N16079" s="17" t="s">
        <v>77</v>
      </c>
      <c r="V16079" s="18">
        <f>62816102773</f>
        <v>62816102773</v>
      </c>
    </row>
    <row r="16080" ht="15" customHeight="1" spans="1:23" x14ac:dyDescent="0.25">
      <c r="A16080" s="17" t="s">
        <v>43150</v>
      </c>
      <c r="B16080" s="17" t="s">
        <v>70</v>
      </c>
      <c r="C16080" s="17" t="s">
        <v>71</v>
      </c>
      <c r="D16080" t="s">
        <v>43151</v>
      </c>
      <c r="F16080" t="s">
        <v>43152</v>
      </c>
      <c r="K16080" s="18">
        <f>628125538520</f>
        <v>628125538520</v>
      </c>
      <c r="N16080" s="17" t="s">
        <v>77</v>
      </c>
      <c r="U16080" s="17"/>
      <c r="V16080" s="18">
        <f>628125538520</f>
        <v>628125538520</v>
      </c>
      <c r="W16080" t="s">
        <v>43153</v>
      </c>
    </row>
    <row r="16081" ht="15" customHeight="1" spans="1:25" x14ac:dyDescent="0.25">
      <c r="A16081" s="17" t="s">
        <v>43154</v>
      </c>
      <c r="B16081" s="17" t="s">
        <v>70</v>
      </c>
      <c r="C16081" s="17" t="s">
        <v>71</v>
      </c>
      <c r="D16081" t="s">
        <v>43155</v>
      </c>
      <c r="F16081" t="s">
        <v>43155</v>
      </c>
      <c r="K16081" s="18">
        <f>628121239779</f>
        <v>628121239779</v>
      </c>
      <c r="N16081" s="17" t="s">
        <v>77</v>
      </c>
      <c r="U16081" s="17"/>
      <c r="V16081" s="18">
        <f>628121239779</f>
        <v>628121239779</v>
      </c>
      <c r="W16081" t="s">
        <v>43156</v>
      </c>
      <c r="Y16081" s="17" t="s">
        <v>96</v>
      </c>
    </row>
    <row r="16082" ht="15" customHeight="1" spans="1:27" x14ac:dyDescent="0.25">
      <c r="A16082" s="17" t="s">
        <v>43157</v>
      </c>
      <c r="B16082" s="17" t="s">
        <v>70</v>
      </c>
      <c r="C16082" s="17" t="s">
        <v>71</v>
      </c>
      <c r="D16082" t="s">
        <v>43155</v>
      </c>
      <c r="F16082" t="s">
        <v>43155</v>
      </c>
      <c r="K16082" s="18">
        <f>62818412412</f>
        <v>62818412412</v>
      </c>
      <c r="N16082" s="17" t="s">
        <v>74</v>
      </c>
      <c r="U16082" s="17"/>
      <c r="V16082" s="18">
        <f>62818412412</f>
        <v>62818412412</v>
      </c>
      <c r="W16082" t="s">
        <v>43158</v>
      </c>
      <c r="Y16082" s="17" t="s">
        <v>96</v>
      </c>
      <c r="AA16082" s="17" t="s">
        <v>43159</v>
      </c>
    </row>
    <row r="16083" ht="15" customHeight="1" spans="1:28" x14ac:dyDescent="0.25">
      <c r="A16083" s="17" t="s">
        <v>43160</v>
      </c>
      <c r="B16083" s="17" t="s">
        <v>70</v>
      </c>
      <c r="C16083" s="17" t="s">
        <v>71</v>
      </c>
      <c r="D16083" t="s">
        <v>43155</v>
      </c>
      <c r="F16083" t="s">
        <v>1918</v>
      </c>
      <c r="J16083" t="s">
        <v>115</v>
      </c>
      <c r="K16083" s="18" t="s">
        <v>43161</v>
      </c>
      <c r="N16083" s="17" t="s">
        <v>77</v>
      </c>
      <c r="O16083" t="s">
        <v>145</v>
      </c>
      <c r="U16083" s="17"/>
      <c r="V16083" s="18" t="s">
        <v>43161</v>
      </c>
      <c r="W16083" t="s">
        <v>43162</v>
      </c>
      <c r="Y16083" s="17" t="s">
        <v>1084</v>
      </c>
      <c r="AA16083" t="s">
        <v>3146</v>
      </c>
      <c r="AB16083" t="s">
        <v>119</v>
      </c>
    </row>
    <row r="16084" ht="15" customHeight="1" spans="1:28" x14ac:dyDescent="0.25">
      <c r="A16084" s="17" t="s">
        <v>43163</v>
      </c>
      <c r="B16084" s="17" t="s">
        <v>70</v>
      </c>
      <c r="C16084" s="17" t="s">
        <v>71</v>
      </c>
      <c r="D16084" t="s">
        <v>43155</v>
      </c>
      <c r="F16084" t="s">
        <v>12125</v>
      </c>
      <c r="J16084" t="s">
        <v>115</v>
      </c>
      <c r="K16084" s="18" t="s">
        <v>43164</v>
      </c>
      <c r="N16084" s="17" t="s">
        <v>77</v>
      </c>
      <c r="O16084" t="s">
        <v>489</v>
      </c>
      <c r="U16084" s="17"/>
      <c r="V16084" s="18" t="s">
        <v>43164</v>
      </c>
      <c r="W16084" t="s">
        <v>43165</v>
      </c>
      <c r="Y16084" s="17" t="s">
        <v>190</v>
      </c>
      <c r="AA16084" t="s">
        <v>118</v>
      </c>
      <c r="AB16084" t="s">
        <v>43166</v>
      </c>
    </row>
    <row r="16085" ht="15" customHeight="1" spans="1:25" x14ac:dyDescent="0.25">
      <c r="A16085" s="17" t="s">
        <v>43167</v>
      </c>
      <c r="B16085" s="17" t="s">
        <v>70</v>
      </c>
      <c r="C16085" s="17" t="s">
        <v>71</v>
      </c>
      <c r="D16085" t="s">
        <v>43155</v>
      </c>
      <c r="F16085" t="s">
        <v>13358</v>
      </c>
      <c r="K16085" s="18">
        <f>628158854388</f>
        <v>628158854388</v>
      </c>
      <c r="N16085" s="17" t="s">
        <v>77</v>
      </c>
      <c r="U16085" s="17"/>
      <c r="V16085" s="18">
        <f>628158854388</f>
        <v>628158854388</v>
      </c>
      <c r="W16085" t="s">
        <v>43168</v>
      </c>
      <c r="Y16085" s="17" t="s">
        <v>96</v>
      </c>
    </row>
    <row r="16086" ht="15" customHeight="1" spans="1:25" x14ac:dyDescent="0.25">
      <c r="A16086" s="17" t="s">
        <v>43169</v>
      </c>
      <c r="B16086" s="17" t="s">
        <v>70</v>
      </c>
      <c r="C16086" s="17" t="s">
        <v>71</v>
      </c>
      <c r="D16086" t="s">
        <v>43170</v>
      </c>
      <c r="F16086" t="s">
        <v>43171</v>
      </c>
      <c r="K16086" s="18">
        <f>62818519900</f>
        <v>62818519900</v>
      </c>
      <c r="N16086" s="17" t="s">
        <v>77</v>
      </c>
      <c r="U16086" s="17"/>
      <c r="V16086" s="18">
        <f>62818519900</f>
        <v>62818519900</v>
      </c>
      <c r="W16086" t="s">
        <v>43172</v>
      </c>
      <c r="Y16086" s="17" t="s">
        <v>1084</v>
      </c>
    </row>
    <row r="16087" ht="15" customHeight="1" spans="1:22" x14ac:dyDescent="0.25">
      <c r="A16087" s="17" t="s">
        <v>43173</v>
      </c>
      <c r="B16087" s="17" t="s">
        <v>70</v>
      </c>
      <c r="C16087" s="17" t="s">
        <v>71</v>
      </c>
      <c r="D16087" t="s">
        <v>43174</v>
      </c>
      <c r="F16087" t="s">
        <v>43175</v>
      </c>
      <c r="K16087" s="18">
        <f>628176607382</f>
        <v>628176607382</v>
      </c>
      <c r="N16087" s="17" t="s">
        <v>81</v>
      </c>
      <c r="V16087" s="18">
        <f>628176607382</f>
        <v>628176607382</v>
      </c>
    </row>
    <row r="16088" ht="15" customHeight="1" spans="1:22" x14ac:dyDescent="0.25">
      <c r="A16088" s="17" t="s">
        <v>43176</v>
      </c>
      <c r="B16088" s="17" t="s">
        <v>70</v>
      </c>
      <c r="C16088" s="17" t="s">
        <v>71</v>
      </c>
      <c r="D16088" t="s">
        <v>43177</v>
      </c>
      <c r="F16088" t="s">
        <v>43177</v>
      </c>
      <c r="K16088" s="18">
        <f>62811996662</f>
        <v>62811996662</v>
      </c>
      <c r="N16088" s="17" t="s">
        <v>81</v>
      </c>
      <c r="V16088" s="18">
        <f>62811996662</f>
        <v>62811996662</v>
      </c>
    </row>
    <row r="16089" ht="15" customHeight="1" spans="1:27" x14ac:dyDescent="0.25">
      <c r="A16089" s="17" t="s">
        <v>43178</v>
      </c>
      <c r="B16089" s="17" t="s">
        <v>70</v>
      </c>
      <c r="C16089" s="17" t="s">
        <v>71</v>
      </c>
      <c r="D16089" t="s">
        <v>43177</v>
      </c>
      <c r="F16089" t="s">
        <v>466</v>
      </c>
      <c r="K16089" s="18">
        <f>62811847515</f>
        <v>62811847515</v>
      </c>
      <c r="N16089" s="17" t="s">
        <v>77</v>
      </c>
      <c r="U16089" s="17"/>
      <c r="V16089" s="18">
        <f>62811847515</f>
        <v>62811847515</v>
      </c>
      <c r="W16089" t="s">
        <v>43179</v>
      </c>
      <c r="Y16089" s="17" t="s">
        <v>96</v>
      </c>
      <c r="AA16089" s="17">
        <v>12630</v>
      </c>
    </row>
    <row r="16090" ht="15" customHeight="1" spans="1:23" x14ac:dyDescent="0.25">
      <c r="A16090" s="17" t="s">
        <v>43180</v>
      </c>
      <c r="B16090" s="17" t="s">
        <v>70</v>
      </c>
      <c r="C16090" s="17" t="s">
        <v>71</v>
      </c>
      <c r="D16090" t="s">
        <v>43181</v>
      </c>
      <c r="F16090" t="s">
        <v>19192</v>
      </c>
      <c r="K16090" s="18">
        <f>62811141374</f>
        <v>62811141374</v>
      </c>
      <c r="N16090" s="17" t="s">
        <v>81</v>
      </c>
      <c r="U16090" s="17"/>
      <c r="V16090" s="18">
        <f>62811141374</f>
        <v>62811141374</v>
      </c>
      <c r="W16090" t="s">
        <v>43182</v>
      </c>
    </row>
    <row r="16091" ht="15" customHeight="1" spans="1:22" x14ac:dyDescent="0.25">
      <c r="A16091" s="17" t="s">
        <v>43183</v>
      </c>
      <c r="B16091" s="17" t="s">
        <v>70</v>
      </c>
      <c r="C16091" s="17" t="s">
        <v>71</v>
      </c>
      <c r="D16091" t="s">
        <v>43181</v>
      </c>
      <c r="F16091" t="s">
        <v>7709</v>
      </c>
      <c r="K16091" s="18">
        <f>6285865779977</f>
        <v>6285865779977</v>
      </c>
      <c r="N16091" s="17" t="s">
        <v>77</v>
      </c>
      <c r="V16091" s="18">
        <f>6285865779977</f>
        <v>6285865779977</v>
      </c>
    </row>
    <row r="16092" ht="15" customHeight="1" spans="1:28" x14ac:dyDescent="0.25">
      <c r="A16092" s="17" t="s">
        <v>43184</v>
      </c>
      <c r="B16092" s="17" t="s">
        <v>70</v>
      </c>
      <c r="C16092" s="17" t="s">
        <v>71</v>
      </c>
      <c r="D16092" t="s">
        <v>43185</v>
      </c>
      <c r="F16092" t="s">
        <v>6621</v>
      </c>
      <c r="J16092" t="s">
        <v>115</v>
      </c>
      <c r="K16092" s="18" t="s">
        <v>43186</v>
      </c>
      <c r="N16092" s="17" t="s">
        <v>77</v>
      </c>
      <c r="O16092" t="s">
        <v>199</v>
      </c>
      <c r="V16092" s="18" t="s">
        <v>43186</v>
      </c>
      <c r="Y16092" t="s">
        <v>190</v>
      </c>
      <c r="AA16092" t="s">
        <v>118</v>
      </c>
      <c r="AB16092" t="s">
        <v>3140</v>
      </c>
    </row>
    <row r="16093" ht="15" customHeight="1" spans="1:28" x14ac:dyDescent="0.25">
      <c r="A16093" s="17" t="s">
        <v>43187</v>
      </c>
      <c r="B16093" s="17" t="s">
        <v>70</v>
      </c>
      <c r="C16093" s="17" t="s">
        <v>71</v>
      </c>
      <c r="D16093" t="s">
        <v>43188</v>
      </c>
      <c r="F16093" t="s">
        <v>2471</v>
      </c>
      <c r="J16093" t="s">
        <v>115</v>
      </c>
      <c r="K16093" s="18" t="s">
        <v>43189</v>
      </c>
      <c r="N16093" s="17" t="s">
        <v>77</v>
      </c>
      <c r="O16093" t="s">
        <v>117</v>
      </c>
      <c r="U16093" s="17"/>
      <c r="V16093" s="18" t="s">
        <v>43189</v>
      </c>
      <c r="W16093" t="s">
        <v>43190</v>
      </c>
      <c r="Y16093" t="s">
        <v>90</v>
      </c>
      <c r="AA16093" t="s">
        <v>118</v>
      </c>
      <c r="AB16093" t="s">
        <v>119</v>
      </c>
    </row>
    <row r="16094" ht="15" customHeight="1" spans="1:28" x14ac:dyDescent="0.25">
      <c r="A16094" s="17" t="s">
        <v>43191</v>
      </c>
      <c r="B16094" s="17" t="s">
        <v>70</v>
      </c>
      <c r="C16094" s="17" t="s">
        <v>71</v>
      </c>
      <c r="D16094" t="s">
        <v>43192</v>
      </c>
      <c r="F16094" t="s">
        <v>13966</v>
      </c>
      <c r="J16094" t="s">
        <v>115</v>
      </c>
      <c r="K16094" s="18" t="s">
        <v>43193</v>
      </c>
      <c r="N16094" s="17" t="s">
        <v>77</v>
      </c>
      <c r="O16094" t="s">
        <v>261</v>
      </c>
      <c r="V16094" s="18" t="s">
        <v>43193</v>
      </c>
      <c r="Y16094" t="s">
        <v>90</v>
      </c>
      <c r="AA16094" t="s">
        <v>118</v>
      </c>
      <c r="AB16094" t="s">
        <v>119</v>
      </c>
    </row>
    <row r="16095" ht="15" customHeight="1" spans="1:28" x14ac:dyDescent="0.25">
      <c r="A16095" s="17" t="s">
        <v>43194</v>
      </c>
      <c r="B16095" s="17" t="s">
        <v>70</v>
      </c>
      <c r="C16095" s="17" t="s">
        <v>71</v>
      </c>
      <c r="D16095" t="s">
        <v>43195</v>
      </c>
      <c r="F16095" t="s">
        <v>37346</v>
      </c>
      <c r="J16095" s="17" t="s">
        <v>43196</v>
      </c>
      <c r="K16095" s="18" t="s">
        <v>43197</v>
      </c>
      <c r="N16095" s="17" t="s">
        <v>77</v>
      </c>
      <c r="O16095" t="s">
        <v>199</v>
      </c>
      <c r="U16095" s="17"/>
      <c r="V16095" s="18" t="s">
        <v>43197</v>
      </c>
      <c r="W16095" t="s">
        <v>43198</v>
      </c>
      <c r="Y16095" s="17" t="s">
        <v>190</v>
      </c>
      <c r="AA16095" t="s">
        <v>118</v>
      </c>
      <c r="AB16095" t="s">
        <v>1306</v>
      </c>
    </row>
    <row r="16096" ht="15" customHeight="1" spans="1:25" x14ac:dyDescent="0.25">
      <c r="A16096" s="17" t="s">
        <v>43199</v>
      </c>
      <c r="B16096" s="17" t="s">
        <v>70</v>
      </c>
      <c r="C16096" s="17" t="s">
        <v>71</v>
      </c>
      <c r="D16096" t="s">
        <v>20544</v>
      </c>
      <c r="F16096" t="s">
        <v>17639</v>
      </c>
      <c r="K16096" s="18">
        <f>8613901473751</f>
        <v>8613901473751</v>
      </c>
      <c r="N16096" s="17" t="s">
        <v>77</v>
      </c>
      <c r="V16096" s="18">
        <f>8613901473751</f>
        <v>8613901473751</v>
      </c>
      <c r="Y16096" s="17" t="s">
        <v>43200</v>
      </c>
    </row>
    <row r="16097" ht="15" customHeight="1" spans="1:23" x14ac:dyDescent="0.25">
      <c r="A16097" s="17" t="s">
        <v>43201</v>
      </c>
      <c r="B16097" s="17" t="s">
        <v>70</v>
      </c>
      <c r="C16097" s="17" t="s">
        <v>71</v>
      </c>
      <c r="D16097" t="s">
        <v>20544</v>
      </c>
      <c r="F16097" t="s">
        <v>7400</v>
      </c>
      <c r="K16097" s="18">
        <f>6281381183131</f>
        <v>6281381183131</v>
      </c>
      <c r="N16097" s="17" t="s">
        <v>77</v>
      </c>
      <c r="U16097" s="17"/>
      <c r="V16097" s="18">
        <f>6281381183131</f>
        <v>6281381183131</v>
      </c>
      <c r="W16097" t="s">
        <v>90</v>
      </c>
    </row>
    <row r="16098" ht="15" customHeight="1" spans="1:28" x14ac:dyDescent="0.25">
      <c r="A16098" s="17" t="s">
        <v>43202</v>
      </c>
      <c r="B16098" s="17" t="s">
        <v>70</v>
      </c>
      <c r="C16098" s="17" t="s">
        <v>71</v>
      </c>
      <c r="D16098" t="s">
        <v>43203</v>
      </c>
      <c r="F16098" t="s">
        <v>43204</v>
      </c>
      <c r="J16098" s="17" t="s">
        <v>43205</v>
      </c>
      <c r="K16098" s="18" t="s">
        <v>43206</v>
      </c>
      <c r="N16098" s="17" t="s">
        <v>77</v>
      </c>
      <c r="O16098" t="s">
        <v>117</v>
      </c>
      <c r="U16098" s="17"/>
      <c r="V16098" s="18" t="s">
        <v>43206</v>
      </c>
      <c r="W16098" t="s">
        <v>3140</v>
      </c>
      <c r="Y16098" s="17" t="s">
        <v>3140</v>
      </c>
      <c r="AA16098" t="s">
        <v>115</v>
      </c>
      <c r="AB16098" t="s">
        <v>3140</v>
      </c>
    </row>
    <row r="16099" ht="15" customHeight="1" spans="1:28" x14ac:dyDescent="0.25">
      <c r="A16099" s="17" t="s">
        <v>43207</v>
      </c>
      <c r="B16099" s="17" t="s">
        <v>70</v>
      </c>
      <c r="C16099" s="17" t="s">
        <v>71</v>
      </c>
      <c r="D16099" t="s">
        <v>43208</v>
      </c>
      <c r="F16099" t="s">
        <v>7941</v>
      </c>
      <c r="J16099" t="s">
        <v>115</v>
      </c>
      <c r="K16099" s="18" t="s">
        <v>43209</v>
      </c>
      <c r="N16099" s="17" t="s">
        <v>77</v>
      </c>
      <c r="O16099" t="s">
        <v>199</v>
      </c>
      <c r="V16099" s="18" t="s">
        <v>43209</v>
      </c>
      <c r="Y16099" t="s">
        <v>190</v>
      </c>
      <c r="AA16099" t="s">
        <v>118</v>
      </c>
      <c r="AB16099" t="s">
        <v>16695</v>
      </c>
    </row>
    <row r="16100" ht="15" customHeight="1" spans="1:22" x14ac:dyDescent="0.25">
      <c r="A16100" s="17" t="s">
        <v>43210</v>
      </c>
      <c r="B16100" s="17" t="s">
        <v>70</v>
      </c>
      <c r="C16100" s="17" t="s">
        <v>71</v>
      </c>
      <c r="D16100" t="s">
        <v>43211</v>
      </c>
      <c r="F16100" t="s">
        <v>3869</v>
      </c>
      <c r="K16100" s="18">
        <f>6281381490893</f>
        <v>6281381490893</v>
      </c>
      <c r="N16100" s="17" t="s">
        <v>77</v>
      </c>
      <c r="V16100" s="18">
        <f>6281381490893</f>
        <v>6281381490893</v>
      </c>
    </row>
    <row r="16101" ht="15" customHeight="1" spans="1:23" x14ac:dyDescent="0.25">
      <c r="A16101" s="17" t="s">
        <v>43212</v>
      </c>
      <c r="B16101" s="17" t="s">
        <v>70</v>
      </c>
      <c r="C16101" s="17" t="s">
        <v>71</v>
      </c>
      <c r="D16101" t="s">
        <v>43213</v>
      </c>
      <c r="F16101" t="s">
        <v>43213</v>
      </c>
      <c r="K16101" s="18">
        <f>6287888988098</f>
        <v>6287888988098</v>
      </c>
      <c r="N16101" s="17" t="s">
        <v>77</v>
      </c>
      <c r="U16101" s="17"/>
      <c r="V16101" s="18">
        <f>6287888988098</f>
        <v>6287888988098</v>
      </c>
      <c r="W16101" t="s">
        <v>43214</v>
      </c>
    </row>
    <row r="16102" ht="15" customHeight="1" spans="1:22" x14ac:dyDescent="0.25">
      <c r="A16102" s="17" t="s">
        <v>43215</v>
      </c>
      <c r="B16102" s="17" t="s">
        <v>70</v>
      </c>
      <c r="C16102" s="17" t="s">
        <v>71</v>
      </c>
      <c r="D16102" t="s">
        <v>43216</v>
      </c>
      <c r="F16102" t="s">
        <v>43217</v>
      </c>
      <c r="K16102" s="18">
        <f>6281374477622</f>
        <v>6281374477622</v>
      </c>
      <c r="N16102" s="17" t="s">
        <v>77</v>
      </c>
      <c r="V16102" s="18">
        <f>6281374477622</f>
        <v>6281374477622</v>
      </c>
    </row>
    <row r="16103" ht="15" customHeight="1" spans="1:22" x14ac:dyDescent="0.25">
      <c r="A16103" s="17" t="s">
        <v>43218</v>
      </c>
      <c r="B16103" s="17" t="s">
        <v>70</v>
      </c>
      <c r="C16103" s="17" t="s">
        <v>71</v>
      </c>
      <c r="D16103" t="s">
        <v>7318</v>
      </c>
      <c r="F16103" t="s">
        <v>7345</v>
      </c>
      <c r="K16103" s="18">
        <f>628111833725</f>
        <v>628111833725</v>
      </c>
      <c r="N16103" s="17" t="s">
        <v>81</v>
      </c>
      <c r="V16103" s="18">
        <f>628111833725</f>
        <v>628111833725</v>
      </c>
    </row>
    <row r="16104" ht="15" customHeight="1" spans="1:23" x14ac:dyDescent="0.25">
      <c r="A16104" s="17" t="s">
        <v>43219</v>
      </c>
      <c r="B16104" s="17" t="s">
        <v>70</v>
      </c>
      <c r="C16104" s="17" t="s">
        <v>71</v>
      </c>
      <c r="D16104" t="s">
        <v>43220</v>
      </c>
      <c r="F16104" t="s">
        <v>43221</v>
      </c>
      <c r="K16104" s="18">
        <f>886922266996</f>
        <v>886922266996</v>
      </c>
      <c r="N16104" s="17" t="s">
        <v>77</v>
      </c>
      <c r="U16104" s="17"/>
      <c r="V16104" s="18">
        <f>886922266996</f>
        <v>886922266996</v>
      </c>
      <c r="W16104" t="s">
        <v>7107</v>
      </c>
    </row>
    <row r="16105" ht="15" customHeight="1" spans="1:23" x14ac:dyDescent="0.25">
      <c r="A16105" s="17" t="s">
        <v>43222</v>
      </c>
      <c r="B16105" s="17" t="s">
        <v>70</v>
      </c>
      <c r="C16105" s="17" t="s">
        <v>71</v>
      </c>
      <c r="D16105" t="s">
        <v>43223</v>
      </c>
      <c r="F16105" t="s">
        <v>43224</v>
      </c>
      <c r="J16105" s="17" t="s">
        <v>43225</v>
      </c>
      <c r="K16105" s="18">
        <f>6281293107334</f>
        <v>6281293107334</v>
      </c>
      <c r="N16105" s="17" t="s">
        <v>81</v>
      </c>
      <c r="U16105" s="17"/>
      <c r="V16105" s="18">
        <f>6281293107334</f>
        <v>6281293107334</v>
      </c>
      <c r="W16105" t="s">
        <v>43226</v>
      </c>
    </row>
    <row r="16106" ht="15" customHeight="1" spans="1:28" x14ac:dyDescent="0.25">
      <c r="A16106" s="17" t="s">
        <v>43227</v>
      </c>
      <c r="B16106" s="17" t="s">
        <v>70</v>
      </c>
      <c r="C16106" s="17" t="s">
        <v>71</v>
      </c>
      <c r="D16106" t="s">
        <v>43228</v>
      </c>
      <c r="F16106" t="s">
        <v>1184</v>
      </c>
      <c r="J16106" s="17" t="s">
        <v>43229</v>
      </c>
      <c r="K16106" s="18" t="s">
        <v>43230</v>
      </c>
      <c r="N16106" s="17" t="s">
        <v>77</v>
      </c>
      <c r="O16106" t="s">
        <v>145</v>
      </c>
      <c r="U16106" s="17"/>
      <c r="V16106" s="18" t="s">
        <v>43230</v>
      </c>
      <c r="W16106" t="s">
        <v>43231</v>
      </c>
      <c r="Y16106" s="17" t="s">
        <v>410</v>
      </c>
      <c r="AA16106" t="s">
        <v>5299</v>
      </c>
      <c r="AB16106" t="s">
        <v>119</v>
      </c>
    </row>
    <row r="16107" ht="15" customHeight="1" spans="1:22" x14ac:dyDescent="0.25">
      <c r="A16107" s="17" t="s">
        <v>43232</v>
      </c>
      <c r="B16107" s="17" t="s">
        <v>70</v>
      </c>
      <c r="C16107" s="17" t="s">
        <v>71</v>
      </c>
      <c r="D16107" t="s">
        <v>43233</v>
      </c>
      <c r="F16107" t="s">
        <v>43233</v>
      </c>
      <c r="K16107" s="18">
        <f>6281219532619</f>
        <v>6281219532619</v>
      </c>
      <c r="N16107" s="17" t="s">
        <v>77</v>
      </c>
      <c r="V16107" s="18">
        <f>6281219532619</f>
        <v>6281219532619</v>
      </c>
    </row>
    <row r="16108" ht="15" customHeight="1" spans="1:23" x14ac:dyDescent="0.25">
      <c r="A16108" s="17" t="s">
        <v>43234</v>
      </c>
      <c r="B16108" s="17" t="s">
        <v>70</v>
      </c>
      <c r="C16108" s="17" t="s">
        <v>71</v>
      </c>
      <c r="D16108" t="s">
        <v>43235</v>
      </c>
      <c r="F16108" t="s">
        <v>43235</v>
      </c>
      <c r="K16108" s="18">
        <f>62216610063</f>
        <v>62216610063</v>
      </c>
      <c r="N16108" s="17" t="s">
        <v>77</v>
      </c>
      <c r="U16108" s="17"/>
      <c r="V16108" s="18">
        <f>62216610063</f>
        <v>62216610063</v>
      </c>
      <c r="W16108" t="s">
        <v>43236</v>
      </c>
    </row>
    <row r="16109" ht="15" customHeight="1" spans="1:22" x14ac:dyDescent="0.25">
      <c r="A16109" s="17" t="s">
        <v>43237</v>
      </c>
      <c r="B16109" s="17" t="s">
        <v>70</v>
      </c>
      <c r="C16109" s="17" t="s">
        <v>71</v>
      </c>
      <c r="D16109" t="s">
        <v>43235</v>
      </c>
      <c r="F16109" t="s">
        <v>5942</v>
      </c>
      <c r="K16109" s="18">
        <f>62817172842</f>
        <v>62817172842</v>
      </c>
      <c r="N16109" s="17" t="s">
        <v>81</v>
      </c>
      <c r="V16109" s="18">
        <f>62817172842</f>
        <v>62817172842</v>
      </c>
    </row>
    <row r="16110" ht="15" customHeight="1" spans="1:23" x14ac:dyDescent="0.25">
      <c r="A16110" s="17" t="s">
        <v>43238</v>
      </c>
      <c r="B16110" s="17" t="s">
        <v>70</v>
      </c>
      <c r="C16110" s="17" t="s">
        <v>71</v>
      </c>
      <c r="D16110" t="s">
        <v>43235</v>
      </c>
      <c r="F16110" t="s">
        <v>43235</v>
      </c>
      <c r="K16110" s="18">
        <f>62111222709</f>
        <v>62111222709</v>
      </c>
      <c r="N16110" s="17" t="s">
        <v>77</v>
      </c>
      <c r="U16110" s="17"/>
      <c r="V16110" s="18">
        <f>62111222709</f>
        <v>62111222709</v>
      </c>
      <c r="W16110" t="s">
        <v>43239</v>
      </c>
    </row>
    <row r="16111" ht="15" customHeight="1" spans="1:27" x14ac:dyDescent="0.25">
      <c r="A16111" s="17" t="s">
        <v>43240</v>
      </c>
      <c r="B16111" s="17" t="s">
        <v>70</v>
      </c>
      <c r="C16111" s="17" t="s">
        <v>71</v>
      </c>
      <c r="D16111" t="s">
        <v>43241</v>
      </c>
      <c r="F16111" t="s">
        <v>282</v>
      </c>
      <c r="K16111" s="18">
        <f>62816934450</f>
        <v>62816934450</v>
      </c>
      <c r="N16111" s="17" t="s">
        <v>77</v>
      </c>
      <c r="U16111" s="17"/>
      <c r="V16111" s="18">
        <f>62816934450</f>
        <v>62816934450</v>
      </c>
      <c r="W16111" t="s">
        <v>43242</v>
      </c>
      <c r="Y16111" s="17" t="s">
        <v>96</v>
      </c>
      <c r="AA16111" s="17" t="s">
        <v>43243</v>
      </c>
    </row>
    <row r="16112" ht="15" customHeight="1" spans="1:28" x14ac:dyDescent="0.25">
      <c r="A16112" s="17" t="s">
        <v>43244</v>
      </c>
      <c r="B16112" s="17" t="s">
        <v>70</v>
      </c>
      <c r="C16112" s="17" t="s">
        <v>71</v>
      </c>
      <c r="D16112" t="s">
        <v>43241</v>
      </c>
      <c r="F16112" t="s">
        <v>43245</v>
      </c>
      <c r="J16112" t="s">
        <v>115</v>
      </c>
      <c r="K16112" s="18" t="s">
        <v>43246</v>
      </c>
      <c r="N16112" s="17" t="s">
        <v>81</v>
      </c>
      <c r="O16112" t="s">
        <v>145</v>
      </c>
      <c r="V16112" s="18" t="s">
        <v>43246</v>
      </c>
      <c r="Y16112" t="s">
        <v>217</v>
      </c>
      <c r="AA16112" t="s">
        <v>218</v>
      </c>
      <c r="AB16112" t="s">
        <v>119</v>
      </c>
    </row>
    <row r="16113" ht="15" customHeight="1" spans="1:28" x14ac:dyDescent="0.25">
      <c r="A16113" s="17" t="s">
        <v>43247</v>
      </c>
      <c r="B16113" s="17" t="s">
        <v>70</v>
      </c>
      <c r="C16113" s="17" t="s">
        <v>71</v>
      </c>
      <c r="D16113" t="s">
        <v>43248</v>
      </c>
      <c r="F16113" t="s">
        <v>6872</v>
      </c>
      <c r="J16113" t="s">
        <v>115</v>
      </c>
      <c r="K16113" s="18" t="s">
        <v>43249</v>
      </c>
      <c r="N16113" s="17" t="s">
        <v>74</v>
      </c>
      <c r="O16113" t="s">
        <v>199</v>
      </c>
      <c r="U16113" s="17"/>
      <c r="V16113" s="18" t="s">
        <v>43249</v>
      </c>
      <c r="W16113" t="s">
        <v>43250</v>
      </c>
      <c r="Y16113" t="s">
        <v>1084</v>
      </c>
      <c r="AA16113" t="s">
        <v>3146</v>
      </c>
      <c r="AB16113" t="s">
        <v>119</v>
      </c>
    </row>
    <row r="16114" ht="15" customHeight="1" spans="1:25" x14ac:dyDescent="0.25">
      <c r="A16114" s="17" t="s">
        <v>43251</v>
      </c>
      <c r="B16114" s="17" t="s">
        <v>70</v>
      </c>
      <c r="C16114" s="17" t="s">
        <v>71</v>
      </c>
      <c r="D16114" t="s">
        <v>43252</v>
      </c>
      <c r="F16114" t="s">
        <v>13629</v>
      </c>
      <c r="K16114" s="18">
        <f>62816626676</f>
        <v>62816626676</v>
      </c>
      <c r="N16114" s="17" t="s">
        <v>81</v>
      </c>
      <c r="U16114" s="17"/>
      <c r="V16114" s="18">
        <f>62816626676</f>
        <v>62816626676</v>
      </c>
      <c r="W16114" t="s">
        <v>43253</v>
      </c>
      <c r="Y16114" s="17" t="s">
        <v>500</v>
      </c>
    </row>
    <row r="16115" ht="15" customHeight="1" spans="1:22" x14ac:dyDescent="0.25">
      <c r="A16115" s="17" t="s">
        <v>43254</v>
      </c>
      <c r="B16115" s="17" t="s">
        <v>70</v>
      </c>
      <c r="C16115" s="17" t="s">
        <v>71</v>
      </c>
      <c r="D16115" t="s">
        <v>43252</v>
      </c>
      <c r="F16115" t="s">
        <v>26095</v>
      </c>
      <c r="K16115" s="18">
        <f>6281230795757</f>
        <v>6281230795757</v>
      </c>
      <c r="N16115" s="17" t="s">
        <v>81</v>
      </c>
      <c r="V16115" s="18">
        <f>6281230795757</f>
        <v>6281230795757</v>
      </c>
    </row>
    <row r="16116" ht="15" customHeight="1" spans="1:22" x14ac:dyDescent="0.25">
      <c r="A16116" s="17" t="s">
        <v>43255</v>
      </c>
      <c r="B16116" s="17" t="s">
        <v>70</v>
      </c>
      <c r="C16116" s="17" t="s">
        <v>71</v>
      </c>
      <c r="D16116" t="s">
        <v>43252</v>
      </c>
      <c r="F16116" t="s">
        <v>41520</v>
      </c>
      <c r="K16116" s="18">
        <f>62811206363</f>
        <v>62811206363</v>
      </c>
      <c r="N16116" s="17" t="s">
        <v>77</v>
      </c>
      <c r="V16116" s="18">
        <f>62811206363</f>
        <v>62811206363</v>
      </c>
    </row>
    <row r="16117" ht="15" customHeight="1" spans="1:28" x14ac:dyDescent="0.25">
      <c r="A16117" s="17" t="s">
        <v>43256</v>
      </c>
      <c r="B16117" s="17" t="s">
        <v>70</v>
      </c>
      <c r="C16117" s="17" t="s">
        <v>71</v>
      </c>
      <c r="D16117" t="s">
        <v>43252</v>
      </c>
      <c r="F16117" t="s">
        <v>43257</v>
      </c>
      <c r="J16117" t="s">
        <v>115</v>
      </c>
      <c r="K16117" s="18" t="s">
        <v>43258</v>
      </c>
      <c r="N16117" s="17" t="s">
        <v>77</v>
      </c>
      <c r="O16117" t="s">
        <v>199</v>
      </c>
      <c r="V16117" s="18" t="s">
        <v>43258</v>
      </c>
      <c r="Y16117" t="s">
        <v>90</v>
      </c>
      <c r="AA16117" t="s">
        <v>118</v>
      </c>
      <c r="AB16117" t="s">
        <v>119</v>
      </c>
    </row>
    <row r="16118" ht="15" customHeight="1" spans="1:22" x14ac:dyDescent="0.25">
      <c r="A16118" s="17" t="s">
        <v>43259</v>
      </c>
      <c r="B16118" s="17" t="s">
        <v>70</v>
      </c>
      <c r="C16118" s="17" t="s">
        <v>71</v>
      </c>
      <c r="D16118" t="s">
        <v>43260</v>
      </c>
      <c r="F16118" t="s">
        <v>43260</v>
      </c>
      <c r="K16118" s="18">
        <f>6281393877778</f>
        <v>6281393877778</v>
      </c>
      <c r="N16118" s="17" t="s">
        <v>77</v>
      </c>
      <c r="V16118" s="18">
        <f>6281393877778</f>
        <v>6281393877778</v>
      </c>
    </row>
    <row r="16119" ht="15" customHeight="1" spans="1:23" x14ac:dyDescent="0.25">
      <c r="A16119" s="17" t="s">
        <v>43261</v>
      </c>
      <c r="B16119" s="17" t="s">
        <v>70</v>
      </c>
      <c r="C16119" s="17" t="s">
        <v>71</v>
      </c>
      <c r="D16119" t="s">
        <v>43262</v>
      </c>
      <c r="F16119" t="s">
        <v>43263</v>
      </c>
      <c r="J16119" s="17" t="s">
        <v>43264</v>
      </c>
      <c r="K16119" s="18">
        <f>6282210001138</f>
        <v>6282210001138</v>
      </c>
      <c r="N16119" s="17" t="s">
        <v>74</v>
      </c>
      <c r="U16119" s="17"/>
      <c r="V16119" s="18">
        <f>6282210001138</f>
        <v>6282210001138</v>
      </c>
      <c r="W16119" t="s">
        <v>43265</v>
      </c>
    </row>
    <row r="16120" ht="15" customHeight="1" spans="1:25" x14ac:dyDescent="0.25">
      <c r="A16120" s="17" t="s">
        <v>43266</v>
      </c>
      <c r="B16120" s="17" t="s">
        <v>70</v>
      </c>
      <c r="C16120" s="17" t="s">
        <v>71</v>
      </c>
      <c r="D16120" t="s">
        <v>43262</v>
      </c>
      <c r="F16120" t="s">
        <v>282</v>
      </c>
      <c r="J16120" s="17" t="s">
        <v>43267</v>
      </c>
      <c r="K16120" s="18">
        <f>6281314028888</f>
        <v>6281314028888</v>
      </c>
      <c r="N16120" s="17" t="s">
        <v>77</v>
      </c>
      <c r="U16120" s="17"/>
      <c r="V16120" s="18">
        <f>6281314028888</f>
        <v>6281314028888</v>
      </c>
      <c r="W16120" t="s">
        <v>43268</v>
      </c>
      <c r="Y16120" s="17" t="s">
        <v>96</v>
      </c>
    </row>
    <row r="16121" ht="15" customHeight="1" spans="1:23" x14ac:dyDescent="0.25">
      <c r="A16121" s="17" t="s">
        <v>43269</v>
      </c>
      <c r="B16121" s="17" t="s">
        <v>70</v>
      </c>
      <c r="C16121" s="17" t="s">
        <v>71</v>
      </c>
      <c r="D16121" t="s">
        <v>43262</v>
      </c>
      <c r="F16121" t="s">
        <v>43270</v>
      </c>
      <c r="K16121" s="18">
        <f>628382802233</f>
        <v>628382802233</v>
      </c>
      <c r="N16121" s="17" t="s">
        <v>81</v>
      </c>
      <c r="U16121" s="17"/>
      <c r="V16121" s="18">
        <f>628382802233</f>
        <v>628382802233</v>
      </c>
      <c r="W16121" t="s">
        <v>43271</v>
      </c>
    </row>
    <row r="16122" ht="15" customHeight="1" spans="1:22" x14ac:dyDescent="0.25">
      <c r="A16122" s="17" t="s">
        <v>43272</v>
      </c>
      <c r="B16122" s="17" t="s">
        <v>70</v>
      </c>
      <c r="C16122" s="17" t="s">
        <v>71</v>
      </c>
      <c r="D16122" t="s">
        <v>43262</v>
      </c>
      <c r="F16122" t="s">
        <v>7747</v>
      </c>
      <c r="K16122" s="18">
        <f>628128266162</f>
        <v>628128266162</v>
      </c>
      <c r="N16122" s="17" t="s">
        <v>74</v>
      </c>
      <c r="V16122" s="18">
        <f>628128266162</f>
        <v>628128266162</v>
      </c>
    </row>
    <row r="16123" ht="15" customHeight="1" spans="1:22" x14ac:dyDescent="0.25">
      <c r="A16123" s="17" t="s">
        <v>43273</v>
      </c>
      <c r="B16123" s="17" t="s">
        <v>70</v>
      </c>
      <c r="C16123" s="17" t="s">
        <v>71</v>
      </c>
      <c r="D16123" t="s">
        <v>43274</v>
      </c>
      <c r="F16123" t="s">
        <v>43274</v>
      </c>
      <c r="K16123" s="18">
        <f>628170007778</f>
        <v>628170007778</v>
      </c>
      <c r="N16123" s="17" t="s">
        <v>77</v>
      </c>
      <c r="V16123" s="18">
        <f>628170007778</f>
        <v>628170007778</v>
      </c>
    </row>
    <row r="16124" ht="15" customHeight="1" spans="1:22" x14ac:dyDescent="0.25">
      <c r="A16124" s="17" t="s">
        <v>43275</v>
      </c>
      <c r="B16124" s="17" t="s">
        <v>70</v>
      </c>
      <c r="C16124" s="17" t="s">
        <v>71</v>
      </c>
      <c r="D16124" t="s">
        <v>43274</v>
      </c>
      <c r="F16124" t="s">
        <v>43274</v>
      </c>
      <c r="K16124" s="18">
        <f>628170138128</f>
        <v>628170138128</v>
      </c>
      <c r="N16124" s="17" t="s">
        <v>77</v>
      </c>
      <c r="V16124" s="18">
        <f>628170138128</f>
        <v>628170138128</v>
      </c>
    </row>
    <row r="16125" ht="15" customHeight="1" spans="1:22" x14ac:dyDescent="0.25">
      <c r="A16125" s="17" t="s">
        <v>43276</v>
      </c>
      <c r="B16125" s="17" t="s">
        <v>70</v>
      </c>
      <c r="C16125" s="17" t="s">
        <v>71</v>
      </c>
      <c r="D16125" t="s">
        <v>43274</v>
      </c>
      <c r="F16125" t="s">
        <v>43274</v>
      </c>
      <c r="K16125" s="18">
        <f>628161811565</f>
        <v>628161811565</v>
      </c>
      <c r="N16125" s="17" t="s">
        <v>77</v>
      </c>
      <c r="V16125" s="18">
        <f>628161811565</f>
        <v>628161811565</v>
      </c>
    </row>
    <row r="16126" ht="15" customHeight="1" spans="1:28" x14ac:dyDescent="0.25">
      <c r="A16126" s="17" t="s">
        <v>43277</v>
      </c>
      <c r="B16126" s="17" t="s">
        <v>70</v>
      </c>
      <c r="C16126" s="17" t="s">
        <v>71</v>
      </c>
      <c r="D16126" t="s">
        <v>43274</v>
      </c>
      <c r="F16126" t="s">
        <v>43278</v>
      </c>
      <c r="J16126" t="s">
        <v>115</v>
      </c>
      <c r="K16126" s="18" t="s">
        <v>43279</v>
      </c>
      <c r="N16126" s="17" t="s">
        <v>77</v>
      </c>
      <c r="O16126" t="s">
        <v>261</v>
      </c>
      <c r="V16126" s="18" t="s">
        <v>43279</v>
      </c>
      <c r="Y16126" s="17" t="s">
        <v>181</v>
      </c>
      <c r="AA16126" t="s">
        <v>1672</v>
      </c>
      <c r="AB16126" t="s">
        <v>119</v>
      </c>
    </row>
    <row r="16127" ht="15" customHeight="1" spans="1:28" x14ac:dyDescent="0.25">
      <c r="A16127" s="17" t="s">
        <v>43280</v>
      </c>
      <c r="B16127" s="17" t="s">
        <v>70</v>
      </c>
      <c r="C16127" s="17" t="s">
        <v>71</v>
      </c>
      <c r="D16127" t="s">
        <v>43281</v>
      </c>
      <c r="F16127" t="s">
        <v>43282</v>
      </c>
      <c r="J16127" t="s">
        <v>115</v>
      </c>
      <c r="K16127" s="18" t="s">
        <v>43283</v>
      </c>
      <c r="N16127" s="17" t="s">
        <v>81</v>
      </c>
      <c r="O16127" t="s">
        <v>117</v>
      </c>
      <c r="V16127" s="18" t="s">
        <v>43283</v>
      </c>
      <c r="Y16127" t="s">
        <v>1084</v>
      </c>
      <c r="AA16127" t="s">
        <v>3146</v>
      </c>
      <c r="AB16127" t="s">
        <v>119</v>
      </c>
    </row>
    <row r="16128" ht="15" customHeight="1" spans="1:22" x14ac:dyDescent="0.25">
      <c r="A16128" s="17" t="s">
        <v>43284</v>
      </c>
      <c r="B16128" s="17" t="s">
        <v>70</v>
      </c>
      <c r="C16128" s="17" t="s">
        <v>71</v>
      </c>
      <c r="D16128" t="s">
        <v>43274</v>
      </c>
      <c r="F16128" t="s">
        <v>9706</v>
      </c>
      <c r="K16128" s="18">
        <f>6281293930401</f>
        <v>6281293930401</v>
      </c>
      <c r="N16128" s="17" t="s">
        <v>77</v>
      </c>
      <c r="V16128" s="18">
        <f>6281293930401</f>
        <v>6281293930401</v>
      </c>
    </row>
    <row r="16129" ht="15" customHeight="1" spans="1:22" x14ac:dyDescent="0.25">
      <c r="A16129" s="17" t="s">
        <v>43285</v>
      </c>
      <c r="B16129" s="17" t="s">
        <v>70</v>
      </c>
      <c r="C16129" s="17" t="s">
        <v>71</v>
      </c>
      <c r="D16129" t="s">
        <v>43274</v>
      </c>
      <c r="F16129" t="s">
        <v>6723</v>
      </c>
      <c r="K16129" s="18">
        <f>6282272759090</f>
        <v>6282272759090</v>
      </c>
      <c r="N16129" s="17" t="s">
        <v>81</v>
      </c>
      <c r="V16129" s="18">
        <f>6282272759090</f>
        <v>6282272759090</v>
      </c>
    </row>
    <row r="16130" ht="15" customHeight="1" spans="1:23" x14ac:dyDescent="0.25">
      <c r="A16130" s="17" t="s">
        <v>43286</v>
      </c>
      <c r="B16130" s="17" t="s">
        <v>70</v>
      </c>
      <c r="C16130" s="17" t="s">
        <v>71</v>
      </c>
      <c r="D16130" t="s">
        <v>43274</v>
      </c>
      <c r="F16130" t="s">
        <v>43287</v>
      </c>
      <c r="K16130" s="18">
        <f>628176579777</f>
        <v>628176579777</v>
      </c>
      <c r="N16130" s="17" t="s">
        <v>81</v>
      </c>
      <c r="U16130" s="17"/>
      <c r="V16130" s="18">
        <f>628176579777</f>
        <v>628176579777</v>
      </c>
      <c r="W16130" t="s">
        <v>43288</v>
      </c>
    </row>
    <row r="16131" ht="15" customHeight="1" spans="1:28" x14ac:dyDescent="0.25">
      <c r="A16131" s="17" t="s">
        <v>43289</v>
      </c>
      <c r="B16131" s="17" t="s">
        <v>70</v>
      </c>
      <c r="C16131" s="17" t="s">
        <v>71</v>
      </c>
      <c r="D16131" t="s">
        <v>43274</v>
      </c>
      <c r="F16131" t="s">
        <v>1533</v>
      </c>
      <c r="J16131" s="17" t="s">
        <v>43290</v>
      </c>
      <c r="K16131" s="18" t="s">
        <v>43291</v>
      </c>
      <c r="N16131" s="17" t="s">
        <v>77</v>
      </c>
      <c r="O16131" t="s">
        <v>261</v>
      </c>
      <c r="V16131" s="18" t="s">
        <v>43291</v>
      </c>
      <c r="Y16131" t="s">
        <v>1084</v>
      </c>
      <c r="AA16131" t="s">
        <v>3146</v>
      </c>
      <c r="AB16131" t="s">
        <v>119</v>
      </c>
    </row>
    <row r="16132" ht="15" customHeight="1" spans="1:28" x14ac:dyDescent="0.25">
      <c r="A16132" s="17" t="s">
        <v>43292</v>
      </c>
      <c r="B16132" s="17" t="s">
        <v>70</v>
      </c>
      <c r="C16132" s="17" t="s">
        <v>71</v>
      </c>
      <c r="D16132" t="s">
        <v>43274</v>
      </c>
      <c r="F16132" t="s">
        <v>10519</v>
      </c>
      <c r="J16132" t="s">
        <v>115</v>
      </c>
      <c r="K16132" s="18" t="s">
        <v>43293</v>
      </c>
      <c r="N16132" s="17" t="s">
        <v>77</v>
      </c>
      <c r="O16132" t="s">
        <v>117</v>
      </c>
      <c r="U16132" s="17"/>
      <c r="V16132" s="18" t="s">
        <v>43293</v>
      </c>
      <c r="W16132" t="s">
        <v>43294</v>
      </c>
      <c r="Y16132" s="17" t="s">
        <v>190</v>
      </c>
      <c r="AA16132" t="s">
        <v>118</v>
      </c>
      <c r="AB16132" t="s">
        <v>119</v>
      </c>
    </row>
    <row r="16133" ht="15" customHeight="1" spans="1:28" x14ac:dyDescent="0.25">
      <c r="A16133" s="17" t="s">
        <v>43295</v>
      </c>
      <c r="B16133" s="17" t="s">
        <v>70</v>
      </c>
      <c r="C16133" s="17" t="s">
        <v>71</v>
      </c>
      <c r="D16133" t="s">
        <v>43274</v>
      </c>
      <c r="F16133" t="s">
        <v>1217</v>
      </c>
      <c r="J16133" t="s">
        <v>43296</v>
      </c>
      <c r="K16133" s="18" t="s">
        <v>43297</v>
      </c>
      <c r="N16133" s="17" t="s">
        <v>77</v>
      </c>
      <c r="O16133" t="s">
        <v>489</v>
      </c>
      <c r="V16133" s="18" t="s">
        <v>43297</v>
      </c>
      <c r="Y16133" t="s">
        <v>190</v>
      </c>
      <c r="AA16133" t="s">
        <v>118</v>
      </c>
      <c r="AB16133" t="s">
        <v>119</v>
      </c>
    </row>
    <row r="16134" ht="15" customHeight="1" spans="1:28" x14ac:dyDescent="0.25">
      <c r="A16134" s="17" t="s">
        <v>43298</v>
      </c>
      <c r="B16134" s="17" t="s">
        <v>70</v>
      </c>
      <c r="C16134" s="17" t="s">
        <v>71</v>
      </c>
      <c r="D16134" t="s">
        <v>43262</v>
      </c>
      <c r="F16134" t="s">
        <v>879</v>
      </c>
      <c r="J16134" s="17" t="s">
        <v>43299</v>
      </c>
      <c r="K16134" s="18" t="s">
        <v>43300</v>
      </c>
      <c r="N16134" s="17" t="s">
        <v>77</v>
      </c>
      <c r="O16134" t="s">
        <v>117</v>
      </c>
      <c r="U16134" s="17"/>
      <c r="V16134" s="18" t="s">
        <v>43300</v>
      </c>
      <c r="W16134" t="s">
        <v>43301</v>
      </c>
      <c r="Y16134" s="17" t="s">
        <v>515</v>
      </c>
      <c r="AA16134" s="17" t="s">
        <v>1614</v>
      </c>
      <c r="AB16134" t="s">
        <v>119</v>
      </c>
    </row>
    <row r="16135" ht="15" customHeight="1" spans="1:22" x14ac:dyDescent="0.25">
      <c r="A16135" s="17" t="s">
        <v>43302</v>
      </c>
      <c r="B16135" s="17" t="s">
        <v>70</v>
      </c>
      <c r="C16135" s="17" t="s">
        <v>71</v>
      </c>
      <c r="D16135" t="s">
        <v>43274</v>
      </c>
      <c r="F16135" t="s">
        <v>43303</v>
      </c>
      <c r="K16135" s="18">
        <f>628112230889</f>
        <v>628112230889</v>
      </c>
      <c r="N16135" s="17" t="s">
        <v>77</v>
      </c>
      <c r="V16135" s="18">
        <f>628112230889</f>
        <v>628112230889</v>
      </c>
    </row>
    <row r="16136" ht="15" customHeight="1" spans="1:22" x14ac:dyDescent="0.25">
      <c r="A16136" s="17" t="s">
        <v>43304</v>
      </c>
      <c r="B16136" s="17" t="s">
        <v>70</v>
      </c>
      <c r="C16136" s="17" t="s">
        <v>71</v>
      </c>
      <c r="D16136" t="s">
        <v>43274</v>
      </c>
      <c r="F16136" t="s">
        <v>27912</v>
      </c>
      <c r="K16136" s="18">
        <f>62811813088</f>
        <v>62811813088</v>
      </c>
      <c r="N16136" s="17" t="s">
        <v>74</v>
      </c>
      <c r="V16136" s="18">
        <f>62811813088</f>
        <v>62811813088</v>
      </c>
    </row>
    <row r="16137" ht="15" customHeight="1" spans="1:28" x14ac:dyDescent="0.25">
      <c r="A16137" s="17" t="s">
        <v>43305</v>
      </c>
      <c r="B16137" s="17" t="s">
        <v>70</v>
      </c>
      <c r="C16137" s="17" t="s">
        <v>71</v>
      </c>
      <c r="D16137" t="s">
        <v>43274</v>
      </c>
      <c r="F16137" t="s">
        <v>29554</v>
      </c>
      <c r="J16137" t="s">
        <v>115</v>
      </c>
      <c r="K16137" s="18" t="s">
        <v>43306</v>
      </c>
      <c r="N16137" s="17" t="s">
        <v>74</v>
      </c>
      <c r="O16137" t="s">
        <v>489</v>
      </c>
      <c r="U16137" s="17"/>
      <c r="V16137" s="18" t="s">
        <v>43306</v>
      </c>
      <c r="W16137" t="s">
        <v>43307</v>
      </c>
      <c r="Y16137" t="s">
        <v>90</v>
      </c>
      <c r="AA16137" t="s">
        <v>118</v>
      </c>
      <c r="AB16137" t="s">
        <v>119</v>
      </c>
    </row>
    <row r="16138" ht="15" customHeight="1" spans="1:28" x14ac:dyDescent="0.25">
      <c r="A16138" s="17" t="s">
        <v>43308</v>
      </c>
      <c r="B16138" s="17" t="s">
        <v>70</v>
      </c>
      <c r="C16138" s="17" t="s">
        <v>71</v>
      </c>
      <c r="D16138" t="s">
        <v>43274</v>
      </c>
      <c r="F16138" t="s">
        <v>8486</v>
      </c>
      <c r="J16138" s="17" t="s">
        <v>43309</v>
      </c>
      <c r="K16138" s="18" t="s">
        <v>43310</v>
      </c>
      <c r="N16138" s="17" t="s">
        <v>81</v>
      </c>
      <c r="O16138" t="s">
        <v>145</v>
      </c>
      <c r="V16138" s="18" t="s">
        <v>43310</v>
      </c>
      <c r="Y16138" s="17" t="s">
        <v>410</v>
      </c>
      <c r="AA16138" t="s">
        <v>5299</v>
      </c>
      <c r="AB16138" t="s">
        <v>119</v>
      </c>
    </row>
    <row r="16139" ht="15" customHeight="1" spans="1:22" x14ac:dyDescent="0.25">
      <c r="A16139" s="17" t="s">
        <v>43311</v>
      </c>
      <c r="B16139" s="17" t="s">
        <v>70</v>
      </c>
      <c r="C16139" s="17" t="s">
        <v>71</v>
      </c>
      <c r="D16139" t="s">
        <v>43274</v>
      </c>
      <c r="F16139" t="s">
        <v>43312</v>
      </c>
      <c r="K16139" s="18">
        <f>6287887999567</f>
        <v>6287887999567</v>
      </c>
      <c r="N16139" s="17" t="s">
        <v>77</v>
      </c>
      <c r="V16139" s="18">
        <f>6287887999567</f>
        <v>6287887999567</v>
      </c>
    </row>
    <row r="16140" ht="15" customHeight="1" spans="1:23" x14ac:dyDescent="0.25">
      <c r="A16140" s="17" t="s">
        <v>43313</v>
      </c>
      <c r="B16140" s="17" t="s">
        <v>70</v>
      </c>
      <c r="C16140" s="17" t="s">
        <v>71</v>
      </c>
      <c r="D16140" t="s">
        <v>43274</v>
      </c>
      <c r="F16140" t="s">
        <v>43314</v>
      </c>
      <c r="K16140" s="18">
        <f>6281818801888</f>
        <v>6281818801888</v>
      </c>
      <c r="N16140" s="17" t="s">
        <v>81</v>
      </c>
      <c r="U16140" s="17"/>
      <c r="V16140" s="18">
        <f>6281818801888</f>
        <v>6281818801888</v>
      </c>
      <c r="W16140" t="s">
        <v>43315</v>
      </c>
    </row>
    <row r="16141" ht="15" customHeight="1" spans="1:28" x14ac:dyDescent="0.25">
      <c r="A16141" s="17" t="s">
        <v>43316</v>
      </c>
      <c r="B16141" s="17" t="s">
        <v>70</v>
      </c>
      <c r="C16141" s="17" t="s">
        <v>71</v>
      </c>
      <c r="D16141" t="s">
        <v>43274</v>
      </c>
      <c r="F16141" t="s">
        <v>41623</v>
      </c>
      <c r="J16141" t="s">
        <v>115</v>
      </c>
      <c r="K16141" s="18" t="s">
        <v>43317</v>
      </c>
      <c r="N16141" s="17" t="s">
        <v>77</v>
      </c>
      <c r="O16141" t="s">
        <v>1188</v>
      </c>
      <c r="V16141" s="18" t="s">
        <v>43317</v>
      </c>
      <c r="Y16141" t="s">
        <v>190</v>
      </c>
      <c r="AA16141" t="s">
        <v>118</v>
      </c>
      <c r="AB16141" t="s">
        <v>119</v>
      </c>
    </row>
    <row r="16142" ht="15" customHeight="1" spans="1:28" x14ac:dyDescent="0.25">
      <c r="A16142" s="17" t="s">
        <v>43318</v>
      </c>
      <c r="B16142" s="17" t="s">
        <v>70</v>
      </c>
      <c r="C16142" s="17" t="s">
        <v>71</v>
      </c>
      <c r="D16142" t="s">
        <v>43319</v>
      </c>
      <c r="F16142" t="s">
        <v>43319</v>
      </c>
      <c r="J16142" s="17" t="s">
        <v>43320</v>
      </c>
      <c r="K16142" s="18" t="s">
        <v>43321</v>
      </c>
      <c r="N16142" s="17" t="s">
        <v>74</v>
      </c>
      <c r="O16142" t="s">
        <v>1188</v>
      </c>
      <c r="U16142" s="17"/>
      <c r="V16142" s="18" t="s">
        <v>43321</v>
      </c>
      <c r="W16142" t="s">
        <v>43322</v>
      </c>
      <c r="Y16142" t="s">
        <v>90</v>
      </c>
      <c r="AA16142" t="s">
        <v>118</v>
      </c>
      <c r="AB16142" t="s">
        <v>119</v>
      </c>
    </row>
    <row r="16143" ht="15" customHeight="1" spans="1:22" x14ac:dyDescent="0.25">
      <c r="A16143" s="17" t="s">
        <v>43323</v>
      </c>
      <c r="B16143" s="17" t="s">
        <v>70</v>
      </c>
      <c r="C16143" s="17" t="s">
        <v>71</v>
      </c>
      <c r="D16143" t="s">
        <v>43324</v>
      </c>
      <c r="F16143" t="s">
        <v>43324</v>
      </c>
      <c r="K16143" s="18">
        <f>628126555800</f>
        <v>628126555800</v>
      </c>
      <c r="N16143" s="17" t="s">
        <v>77</v>
      </c>
      <c r="V16143" s="18">
        <f>628126555800</f>
        <v>628126555800</v>
      </c>
    </row>
    <row r="16144" ht="15" customHeight="1" spans="1:22" x14ac:dyDescent="0.25">
      <c r="A16144" s="17" t="s">
        <v>43325</v>
      </c>
      <c r="B16144" s="17" t="s">
        <v>70</v>
      </c>
      <c r="C16144" s="17" t="s">
        <v>71</v>
      </c>
      <c r="D16144" t="s">
        <v>43326</v>
      </c>
      <c r="F16144" t="s">
        <v>43326</v>
      </c>
      <c r="K16144" s="18">
        <f>6281290090998</f>
        <v>6281290090998</v>
      </c>
      <c r="N16144" s="17" t="s">
        <v>81</v>
      </c>
      <c r="V16144" s="18">
        <f>6281290090998</f>
        <v>6281290090998</v>
      </c>
    </row>
    <row r="16145" ht="15" customHeight="1" spans="1:22" x14ac:dyDescent="0.25">
      <c r="A16145" s="17" t="s">
        <v>43327</v>
      </c>
      <c r="B16145" s="17" t="s">
        <v>70</v>
      </c>
      <c r="C16145" s="17" t="s">
        <v>71</v>
      </c>
      <c r="D16145" t="s">
        <v>43328</v>
      </c>
      <c r="F16145" t="s">
        <v>43328</v>
      </c>
      <c r="K16145" s="18">
        <f>6281222778998</f>
        <v>6281222778998</v>
      </c>
      <c r="N16145" s="17" t="s">
        <v>77</v>
      </c>
      <c r="V16145" s="18">
        <f>6281222778998</f>
        <v>6281222778998</v>
      </c>
    </row>
    <row r="16146" ht="15" customHeight="1" spans="1:22" x14ac:dyDescent="0.25">
      <c r="A16146" s="17" t="s">
        <v>43329</v>
      </c>
      <c r="B16146" s="17" t="s">
        <v>70</v>
      </c>
      <c r="C16146" s="17" t="s">
        <v>71</v>
      </c>
      <c r="D16146" t="s">
        <v>43328</v>
      </c>
      <c r="F16146" t="s">
        <v>43328</v>
      </c>
      <c r="K16146" s="18">
        <f>62812118181993</f>
        <v>62812118181993</v>
      </c>
      <c r="N16146" s="17" t="s">
        <v>81</v>
      </c>
      <c r="V16146" s="18">
        <f>62812118181993</f>
        <v>62812118181993</v>
      </c>
    </row>
    <row r="16147" ht="15" customHeight="1" spans="1:22" x14ac:dyDescent="0.25">
      <c r="A16147" s="17" t="s">
        <v>43330</v>
      </c>
      <c r="B16147" s="17" t="s">
        <v>70</v>
      </c>
      <c r="C16147" s="17" t="s">
        <v>71</v>
      </c>
      <c r="D16147" t="s">
        <v>43328</v>
      </c>
      <c r="F16147" t="s">
        <v>43328</v>
      </c>
      <c r="K16147" s="18">
        <f>62811178998</f>
        <v>62811178998</v>
      </c>
      <c r="N16147" s="17" t="s">
        <v>77</v>
      </c>
      <c r="V16147" s="18">
        <f>62811178998</f>
        <v>62811178998</v>
      </c>
    </row>
    <row r="16148" ht="15" customHeight="1" spans="1:28" x14ac:dyDescent="0.25">
      <c r="A16148" s="17" t="s">
        <v>43331</v>
      </c>
      <c r="B16148" s="17" t="s">
        <v>70</v>
      </c>
      <c r="C16148" s="17" t="s">
        <v>71</v>
      </c>
      <c r="D16148" t="s">
        <v>43328</v>
      </c>
      <c r="F16148" t="s">
        <v>43328</v>
      </c>
      <c r="J16148" t="s">
        <v>115</v>
      </c>
      <c r="K16148" s="18" t="s">
        <v>43332</v>
      </c>
      <c r="N16148" s="17" t="s">
        <v>77</v>
      </c>
      <c r="O16148" t="s">
        <v>117</v>
      </c>
      <c r="V16148" s="18" t="s">
        <v>43332</v>
      </c>
      <c r="Y16148" t="s">
        <v>190</v>
      </c>
      <c r="AA16148" t="s">
        <v>118</v>
      </c>
      <c r="AB16148" t="s">
        <v>119</v>
      </c>
    </row>
    <row r="16149" ht="15" customHeight="1" spans="1:28" x14ac:dyDescent="0.25">
      <c r="A16149" s="17" t="s">
        <v>43333</v>
      </c>
      <c r="B16149" s="17" t="s">
        <v>70</v>
      </c>
      <c r="C16149" s="17" t="s">
        <v>71</v>
      </c>
      <c r="D16149" t="s">
        <v>43274</v>
      </c>
      <c r="F16149" t="s">
        <v>27659</v>
      </c>
      <c r="J16149" t="s">
        <v>115</v>
      </c>
      <c r="K16149" s="18" t="s">
        <v>43334</v>
      </c>
      <c r="N16149" s="17" t="s">
        <v>77</v>
      </c>
      <c r="O16149" t="s">
        <v>117</v>
      </c>
      <c r="V16149" s="18" t="s">
        <v>43334</v>
      </c>
      <c r="Y16149" t="s">
        <v>190</v>
      </c>
      <c r="AA16149" t="s">
        <v>118</v>
      </c>
      <c r="AB16149" t="s">
        <v>119</v>
      </c>
    </row>
    <row r="16150" ht="15" customHeight="1" spans="1:28" x14ac:dyDescent="0.25">
      <c r="A16150" s="17" t="s">
        <v>43335</v>
      </c>
      <c r="B16150" s="17" t="s">
        <v>70</v>
      </c>
      <c r="C16150" s="17" t="s">
        <v>71</v>
      </c>
      <c r="D16150" t="s">
        <v>43274</v>
      </c>
      <c r="F16150" t="s">
        <v>43274</v>
      </c>
      <c r="J16150" t="s">
        <v>115</v>
      </c>
      <c r="K16150" s="18" t="s">
        <v>43336</v>
      </c>
      <c r="N16150" s="17" t="s">
        <v>77</v>
      </c>
      <c r="O16150" t="s">
        <v>199</v>
      </c>
      <c r="V16150" s="18" t="s">
        <v>43336</v>
      </c>
      <c r="Y16150" t="s">
        <v>500</v>
      </c>
      <c r="AA16150" t="s">
        <v>501</v>
      </c>
      <c r="AB16150" t="s">
        <v>119</v>
      </c>
    </row>
    <row r="16151" ht="15" customHeight="1" spans="1:25" x14ac:dyDescent="0.25">
      <c r="A16151" s="17" t="s">
        <v>43337</v>
      </c>
      <c r="B16151" s="17" t="s">
        <v>70</v>
      </c>
      <c r="C16151" s="17" t="s">
        <v>71</v>
      </c>
      <c r="D16151" t="s">
        <v>43338</v>
      </c>
      <c r="F16151" t="s">
        <v>43338</v>
      </c>
      <c r="K16151" s="18">
        <f>628121133138</f>
        <v>628121133138</v>
      </c>
      <c r="N16151" s="17" t="s">
        <v>77</v>
      </c>
      <c r="U16151" s="17"/>
      <c r="V16151" s="18">
        <f>628121133138</f>
        <v>628121133138</v>
      </c>
      <c r="W16151" t="s">
        <v>43339</v>
      </c>
      <c r="Y16151" s="17" t="s">
        <v>378</v>
      </c>
    </row>
    <row r="16152" ht="15" customHeight="1" spans="1:22" x14ac:dyDescent="0.25">
      <c r="A16152" s="17" t="s">
        <v>43340</v>
      </c>
      <c r="B16152" s="17" t="s">
        <v>70</v>
      </c>
      <c r="C16152" s="17" t="s">
        <v>71</v>
      </c>
      <c r="D16152" t="s">
        <v>43341</v>
      </c>
      <c r="F16152" t="s">
        <v>20702</v>
      </c>
      <c r="K16152" s="18">
        <f>62816859444</f>
        <v>62816859444</v>
      </c>
      <c r="N16152" s="17" t="s">
        <v>77</v>
      </c>
      <c r="V16152" s="18">
        <f>62816859444</f>
        <v>62816859444</v>
      </c>
    </row>
    <row r="16153" ht="15" customHeight="1" spans="1:28" x14ac:dyDescent="0.25">
      <c r="A16153" s="17" t="s">
        <v>43342</v>
      </c>
      <c r="B16153" s="17" t="s">
        <v>70</v>
      </c>
      <c r="C16153" s="17" t="s">
        <v>71</v>
      </c>
      <c r="D16153" t="s">
        <v>43343</v>
      </c>
      <c r="F16153" t="s">
        <v>20702</v>
      </c>
      <c r="J16153" s="17" t="s">
        <v>43344</v>
      </c>
      <c r="K16153" s="18" t="s">
        <v>43345</v>
      </c>
      <c r="N16153" s="17" t="s">
        <v>77</v>
      </c>
      <c r="O16153" t="s">
        <v>117</v>
      </c>
      <c r="V16153" s="18" t="s">
        <v>43345</v>
      </c>
      <c r="Y16153" t="s">
        <v>90</v>
      </c>
      <c r="AA16153" t="s">
        <v>118</v>
      </c>
      <c r="AB16153" t="s">
        <v>119</v>
      </c>
    </row>
    <row r="16154" ht="15" customHeight="1" spans="1:28" x14ac:dyDescent="0.25">
      <c r="A16154" s="17" t="s">
        <v>43346</v>
      </c>
      <c r="B16154" s="17" t="s">
        <v>70</v>
      </c>
      <c r="C16154" s="17" t="s">
        <v>71</v>
      </c>
      <c r="D16154" t="s">
        <v>43341</v>
      </c>
      <c r="F16154" t="s">
        <v>43347</v>
      </c>
      <c r="J16154" t="s">
        <v>115</v>
      </c>
      <c r="K16154" s="18" t="s">
        <v>43348</v>
      </c>
      <c r="N16154" s="17" t="s">
        <v>77</v>
      </c>
      <c r="O16154" t="s">
        <v>145</v>
      </c>
      <c r="U16154" s="17"/>
      <c r="V16154" s="18" t="s">
        <v>43348</v>
      </c>
      <c r="W16154" t="s">
        <v>2356</v>
      </c>
      <c r="Y16154" t="s">
        <v>6937</v>
      </c>
      <c r="AA16154" t="s">
        <v>115</v>
      </c>
      <c r="AB16154" t="s">
        <v>6937</v>
      </c>
    </row>
    <row r="16155" ht="15" customHeight="1" spans="1:22" x14ac:dyDescent="0.25">
      <c r="A16155" s="17" t="s">
        <v>43349</v>
      </c>
      <c r="B16155" s="17" t="s">
        <v>70</v>
      </c>
      <c r="C16155" s="17" t="s">
        <v>71</v>
      </c>
      <c r="D16155" t="s">
        <v>22558</v>
      </c>
      <c r="F16155" t="s">
        <v>3869</v>
      </c>
      <c r="K16155" s="18">
        <f>628118420319</f>
        <v>628118420319</v>
      </c>
      <c r="N16155" s="17" t="s">
        <v>81</v>
      </c>
      <c r="V16155" s="18">
        <f>628118420319</f>
        <v>628118420319</v>
      </c>
    </row>
    <row r="16156" ht="15" customHeight="1" spans="1:22" x14ac:dyDescent="0.25">
      <c r="A16156" s="17" t="s">
        <v>43350</v>
      </c>
      <c r="B16156" s="17" t="s">
        <v>70</v>
      </c>
      <c r="C16156" s="17" t="s">
        <v>71</v>
      </c>
      <c r="D16156" t="s">
        <v>22558</v>
      </c>
      <c r="F16156" t="s">
        <v>15850</v>
      </c>
      <c r="J16156" s="17" t="s">
        <v>43351</v>
      </c>
      <c r="K16156" s="18">
        <f>6282136636377</f>
        <v>6282136636377</v>
      </c>
      <c r="N16156" s="17" t="s">
        <v>77</v>
      </c>
      <c r="V16156" s="18">
        <f>6282136636377</f>
        <v>6282136636377</v>
      </c>
    </row>
    <row r="16157" ht="15" customHeight="1" spans="1:22" x14ac:dyDescent="0.25">
      <c r="A16157" s="17" t="s">
        <v>43352</v>
      </c>
      <c r="B16157" s="17" t="s">
        <v>70</v>
      </c>
      <c r="C16157" s="17" t="s">
        <v>71</v>
      </c>
      <c r="D16157" t="s">
        <v>43353</v>
      </c>
      <c r="F16157" t="s">
        <v>43353</v>
      </c>
      <c r="K16157" s="18">
        <f>66982283197</f>
        <v>66982283197</v>
      </c>
      <c r="N16157" s="17" t="s">
        <v>77</v>
      </c>
      <c r="V16157" s="18">
        <f>66982283197</f>
        <v>66982283197</v>
      </c>
    </row>
    <row r="16158" ht="15" customHeight="1" spans="1:22" x14ac:dyDescent="0.25">
      <c r="A16158" s="17" t="s">
        <v>43354</v>
      </c>
      <c r="B16158" s="17" t="s">
        <v>70</v>
      </c>
      <c r="C16158" s="17" t="s">
        <v>71</v>
      </c>
      <c r="D16158" t="s">
        <v>43353</v>
      </c>
      <c r="F16158" t="s">
        <v>11817</v>
      </c>
      <c r="J16158" s="17" t="s">
        <v>43355</v>
      </c>
      <c r="K16158" s="18">
        <f>6281293503178</f>
        <v>6281293503178</v>
      </c>
      <c r="N16158" s="17" t="s">
        <v>81</v>
      </c>
      <c r="V16158" s="18">
        <f>6281293503178</f>
        <v>6281293503178</v>
      </c>
    </row>
    <row r="16159" ht="15" customHeight="1" spans="1:22" x14ac:dyDescent="0.25">
      <c r="A16159" s="17" t="s">
        <v>43356</v>
      </c>
      <c r="B16159" s="17" t="s">
        <v>70</v>
      </c>
      <c r="C16159" s="17" t="s">
        <v>71</v>
      </c>
      <c r="D16159" t="s">
        <v>43357</v>
      </c>
      <c r="F16159" t="s">
        <v>3869</v>
      </c>
      <c r="K16159" s="18">
        <f>628111114583</f>
        <v>628111114583</v>
      </c>
      <c r="N16159" s="17" t="s">
        <v>77</v>
      </c>
      <c r="V16159" s="18">
        <f>628111114583</f>
        <v>628111114583</v>
      </c>
    </row>
    <row r="16160" ht="15" customHeight="1" spans="1:23" x14ac:dyDescent="0.25">
      <c r="A16160" s="17" t="s">
        <v>43358</v>
      </c>
      <c r="B16160" s="17" t="s">
        <v>70</v>
      </c>
      <c r="C16160" s="17" t="s">
        <v>71</v>
      </c>
      <c r="D16160" t="s">
        <v>43359</v>
      </c>
      <c r="F16160" t="s">
        <v>43360</v>
      </c>
      <c r="K16160" s="18">
        <f>77002205870</f>
        <v>77002205870</v>
      </c>
      <c r="N16160" s="17" t="s">
        <v>77</v>
      </c>
      <c r="U16160" s="17"/>
      <c r="V16160" s="18">
        <f>77002205870</f>
        <v>77002205870</v>
      </c>
      <c r="W16160" t="s">
        <v>43361</v>
      </c>
    </row>
    <row r="16161" ht="15" customHeight="1" spans="1:28" x14ac:dyDescent="0.25">
      <c r="A16161" s="17" t="s">
        <v>43362</v>
      </c>
      <c r="B16161" s="17" t="s">
        <v>70</v>
      </c>
      <c r="C16161" s="17" t="s">
        <v>71</v>
      </c>
      <c r="D16161" t="s">
        <v>37611</v>
      </c>
      <c r="F16161" t="s">
        <v>43363</v>
      </c>
      <c r="J16161" t="s">
        <v>115</v>
      </c>
      <c r="K16161" s="18" t="s">
        <v>43364</v>
      </c>
      <c r="N16161" s="17" t="s">
        <v>77</v>
      </c>
      <c r="O16161" t="s">
        <v>145</v>
      </c>
      <c r="V16161" s="18" t="s">
        <v>43364</v>
      </c>
      <c r="Y16161" t="s">
        <v>190</v>
      </c>
      <c r="AA16161" t="s">
        <v>118</v>
      </c>
      <c r="AB16161" t="s">
        <v>119</v>
      </c>
    </row>
    <row r="16162" ht="15" customHeight="1" spans="1:22" x14ac:dyDescent="0.25">
      <c r="A16162" s="17" t="s">
        <v>43365</v>
      </c>
      <c r="B16162" s="17" t="s">
        <v>70</v>
      </c>
      <c r="C16162" s="17" t="s">
        <v>71</v>
      </c>
      <c r="D16162" t="s">
        <v>43366</v>
      </c>
      <c r="F16162" t="s">
        <v>337</v>
      </c>
      <c r="K16162" s="18">
        <f>6285778730866</f>
        <v>6285778730866</v>
      </c>
      <c r="N16162" s="17" t="s">
        <v>77</v>
      </c>
      <c r="V16162" s="18">
        <f>6285778730866</f>
        <v>6285778730866</v>
      </c>
    </row>
    <row r="16163" ht="15" customHeight="1" spans="1:28" x14ac:dyDescent="0.25">
      <c r="A16163" s="17" t="s">
        <v>43367</v>
      </c>
      <c r="B16163" s="17" t="s">
        <v>70</v>
      </c>
      <c r="C16163" s="17" t="s">
        <v>71</v>
      </c>
      <c r="D16163" t="s">
        <v>43368</v>
      </c>
      <c r="F16163" t="s">
        <v>43369</v>
      </c>
      <c r="J16163" t="s">
        <v>43370</v>
      </c>
      <c r="K16163" s="18" t="s">
        <v>43371</v>
      </c>
      <c r="N16163" s="17" t="s">
        <v>77</v>
      </c>
      <c r="O16163" t="s">
        <v>199</v>
      </c>
      <c r="V16163" s="18" t="s">
        <v>43371</v>
      </c>
      <c r="Y16163" t="s">
        <v>190</v>
      </c>
      <c r="AA16163" t="s">
        <v>118</v>
      </c>
      <c r="AB16163" t="s">
        <v>119</v>
      </c>
    </row>
    <row r="16164" ht="15" customHeight="1" spans="1:28" x14ac:dyDescent="0.25">
      <c r="A16164" s="17" t="s">
        <v>43372</v>
      </c>
      <c r="B16164" s="17" t="s">
        <v>70</v>
      </c>
      <c r="C16164" s="17" t="s">
        <v>71</v>
      </c>
      <c r="D16164" t="s">
        <v>43373</v>
      </c>
      <c r="F16164" t="s">
        <v>43374</v>
      </c>
      <c r="J16164" s="17" t="s">
        <v>43375</v>
      </c>
      <c r="K16164" s="18" t="s">
        <v>43376</v>
      </c>
      <c r="N16164" s="17" t="s">
        <v>77</v>
      </c>
      <c r="O16164" t="s">
        <v>199</v>
      </c>
      <c r="U16164" s="17"/>
      <c r="V16164" s="18" t="s">
        <v>43376</v>
      </c>
      <c r="W16164" t="s">
        <v>920</v>
      </c>
      <c r="Y16164" t="s">
        <v>115</v>
      </c>
      <c r="AA16164" t="s">
        <v>115</v>
      </c>
      <c r="AB16164" t="s">
        <v>920</v>
      </c>
    </row>
    <row r="16165" ht="15" customHeight="1" spans="1:22" x14ac:dyDescent="0.25">
      <c r="A16165" s="17" t="s">
        <v>43377</v>
      </c>
      <c r="B16165" s="17" t="s">
        <v>70</v>
      </c>
      <c r="C16165" s="17" t="s">
        <v>71</v>
      </c>
      <c r="D16165" t="s">
        <v>43378</v>
      </c>
      <c r="F16165" t="s">
        <v>43379</v>
      </c>
      <c r="K16165" s="18">
        <f>6289607555945</f>
        <v>6289607555945</v>
      </c>
      <c r="N16165" s="17" t="s">
        <v>81</v>
      </c>
      <c r="V16165" s="18">
        <f>6289607555945</f>
        <v>6289607555945</v>
      </c>
    </row>
    <row r="16166" ht="15" customHeight="1" spans="1:22" x14ac:dyDescent="0.25">
      <c r="A16166" s="17" t="s">
        <v>43380</v>
      </c>
      <c r="B16166" s="17" t="s">
        <v>70</v>
      </c>
      <c r="C16166" s="17" t="s">
        <v>71</v>
      </c>
      <c r="D16166" t="s">
        <v>43381</v>
      </c>
      <c r="F16166" t="s">
        <v>43381</v>
      </c>
      <c r="K16166" s="18">
        <f>6281532999960</f>
        <v>6281532999960</v>
      </c>
      <c r="N16166" s="17" t="s">
        <v>77</v>
      </c>
      <c r="V16166" s="18">
        <f>6281532999960</f>
        <v>6281532999960</v>
      </c>
    </row>
    <row r="16167" ht="15" customHeight="1" spans="1:28" x14ac:dyDescent="0.25">
      <c r="A16167" s="17" t="s">
        <v>43382</v>
      </c>
      <c r="B16167" s="17" t="s">
        <v>70</v>
      </c>
      <c r="C16167" s="17" t="s">
        <v>71</v>
      </c>
      <c r="D16167" t="s">
        <v>43383</v>
      </c>
      <c r="F16167" t="s">
        <v>3176</v>
      </c>
      <c r="J16167" t="s">
        <v>43384</v>
      </c>
      <c r="K16167" s="18" t="s">
        <v>43385</v>
      </c>
      <c r="N16167" s="17" t="s">
        <v>81</v>
      </c>
      <c r="O16167" t="s">
        <v>117</v>
      </c>
      <c r="V16167" s="18" t="s">
        <v>43385</v>
      </c>
      <c r="Y16167" t="s">
        <v>90</v>
      </c>
      <c r="AA16167" t="s">
        <v>118</v>
      </c>
      <c r="AB16167" t="s">
        <v>119</v>
      </c>
    </row>
    <row r="16168" ht="15" customHeight="1" spans="1:28" x14ac:dyDescent="0.25">
      <c r="A16168" s="17" t="s">
        <v>43386</v>
      </c>
      <c r="B16168" s="17" t="s">
        <v>70</v>
      </c>
      <c r="C16168" s="17" t="s">
        <v>71</v>
      </c>
      <c r="D16168" t="s">
        <v>43383</v>
      </c>
      <c r="F16168" t="s">
        <v>2087</v>
      </c>
      <c r="J16168" s="17" t="s">
        <v>43387</v>
      </c>
      <c r="K16168" s="18" t="s">
        <v>43388</v>
      </c>
      <c r="N16168" s="17" t="s">
        <v>77</v>
      </c>
      <c r="O16168" t="s">
        <v>145</v>
      </c>
      <c r="U16168" s="17"/>
      <c r="V16168" s="18" t="s">
        <v>43388</v>
      </c>
      <c r="W16168" t="s">
        <v>43389</v>
      </c>
      <c r="Y16168" t="s">
        <v>181</v>
      </c>
      <c r="AA16168" s="17" t="s">
        <v>1672</v>
      </c>
      <c r="AB16168" t="s">
        <v>119</v>
      </c>
    </row>
    <row r="16169" ht="15" customHeight="1" spans="1:22" x14ac:dyDescent="0.25">
      <c r="A16169" s="17" t="s">
        <v>43390</v>
      </c>
      <c r="B16169" s="17" t="s">
        <v>70</v>
      </c>
      <c r="C16169" s="17" t="s">
        <v>71</v>
      </c>
      <c r="D16169" t="s">
        <v>43383</v>
      </c>
      <c r="F16169" t="s">
        <v>43391</v>
      </c>
      <c r="K16169" s="18">
        <f>62812126901</f>
        <v>62812126901</v>
      </c>
      <c r="N16169" s="17" t="s">
        <v>77</v>
      </c>
      <c r="V16169" s="18">
        <f>62812126901</f>
        <v>62812126901</v>
      </c>
    </row>
    <row r="16170" ht="15" customHeight="1" spans="1:22" x14ac:dyDescent="0.25">
      <c r="A16170" s="17" t="s">
        <v>43392</v>
      </c>
      <c r="B16170" s="17" t="s">
        <v>70</v>
      </c>
      <c r="C16170" s="17" t="s">
        <v>71</v>
      </c>
      <c r="D16170" t="s">
        <v>43393</v>
      </c>
      <c r="F16170" t="s">
        <v>43394</v>
      </c>
      <c r="K16170" s="18">
        <f>622175920976</f>
        <v>622175920976</v>
      </c>
      <c r="N16170" s="17" t="s">
        <v>81</v>
      </c>
      <c r="V16170" s="18">
        <f>622175920976</f>
        <v>622175920976</v>
      </c>
    </row>
    <row r="16171" ht="15" customHeight="1" spans="1:22" x14ac:dyDescent="0.25">
      <c r="A16171" s="17" t="s">
        <v>43395</v>
      </c>
      <c r="B16171" s="17" t="s">
        <v>70</v>
      </c>
      <c r="C16171" s="17" t="s">
        <v>71</v>
      </c>
      <c r="D16171" t="s">
        <v>43396</v>
      </c>
      <c r="F16171" t="s">
        <v>43396</v>
      </c>
      <c r="K16171" s="18">
        <f>62811901962</f>
        <v>62811901962</v>
      </c>
      <c r="N16171" s="17" t="s">
        <v>74</v>
      </c>
      <c r="V16171" s="18">
        <f>62811901962</f>
        <v>62811901962</v>
      </c>
    </row>
    <row r="16172" ht="15" customHeight="1" spans="1:22" x14ac:dyDescent="0.25">
      <c r="A16172" s="17" t="s">
        <v>43397</v>
      </c>
      <c r="B16172" s="17" t="s">
        <v>70</v>
      </c>
      <c r="C16172" s="17" t="s">
        <v>71</v>
      </c>
      <c r="D16172" t="s">
        <v>43396</v>
      </c>
      <c r="F16172" t="s">
        <v>43396</v>
      </c>
      <c r="K16172" s="18">
        <f>628118771084</f>
        <v>628118771084</v>
      </c>
      <c r="N16172" s="17" t="s">
        <v>77</v>
      </c>
      <c r="V16172" s="18">
        <f>628118771084</f>
        <v>628118771084</v>
      </c>
    </row>
    <row r="16173" ht="15" customHeight="1" spans="1:23" x14ac:dyDescent="0.25">
      <c r="A16173" s="17" t="s">
        <v>43398</v>
      </c>
      <c r="B16173" s="17" t="s">
        <v>70</v>
      </c>
      <c r="C16173" s="17" t="s">
        <v>71</v>
      </c>
      <c r="D16173" t="s">
        <v>43396</v>
      </c>
      <c r="F16173" t="s">
        <v>43399</v>
      </c>
      <c r="K16173" s="18">
        <f>6281315196598</f>
        <v>6281315196598</v>
      </c>
      <c r="N16173" s="17" t="s">
        <v>81</v>
      </c>
      <c r="U16173" s="17"/>
      <c r="V16173" s="18">
        <f>6281315196598</f>
        <v>6281315196598</v>
      </c>
      <c r="W16173" t="s">
        <v>43400</v>
      </c>
    </row>
    <row r="16174" ht="15" customHeight="1" spans="1:23" x14ac:dyDescent="0.25">
      <c r="A16174" s="17" t="s">
        <v>43401</v>
      </c>
      <c r="B16174" s="17" t="s">
        <v>70</v>
      </c>
      <c r="C16174" s="17" t="s">
        <v>71</v>
      </c>
      <c r="D16174" t="s">
        <v>43396</v>
      </c>
      <c r="F16174" t="s">
        <v>25947</v>
      </c>
      <c r="K16174" s="18">
        <f>628155778772</f>
        <v>628155778772</v>
      </c>
      <c r="N16174" s="17" t="s">
        <v>77</v>
      </c>
      <c r="U16174" s="17"/>
      <c r="V16174" s="18">
        <f>628155778772</f>
        <v>628155778772</v>
      </c>
      <c r="W16174" t="s">
        <v>43402</v>
      </c>
    </row>
    <row r="16175" ht="15" customHeight="1" spans="1:25" x14ac:dyDescent="0.25">
      <c r="A16175" s="17" t="s">
        <v>43403</v>
      </c>
      <c r="B16175" s="17" t="s">
        <v>70</v>
      </c>
      <c r="C16175" s="17" t="s">
        <v>71</v>
      </c>
      <c r="D16175" t="s">
        <v>43396</v>
      </c>
      <c r="F16175" t="s">
        <v>43404</v>
      </c>
      <c r="K16175" s="18">
        <f>62811227299</f>
        <v>62811227299</v>
      </c>
      <c r="N16175" s="17" t="s">
        <v>77</v>
      </c>
      <c r="U16175" s="17"/>
      <c r="V16175" s="18">
        <f>62811227299</f>
        <v>62811227299</v>
      </c>
      <c r="W16175" t="s">
        <v>43405</v>
      </c>
      <c r="Y16175" s="17" t="s">
        <v>96</v>
      </c>
    </row>
    <row r="16176" ht="15" customHeight="1" spans="1:28" x14ac:dyDescent="0.25">
      <c r="A16176" s="17" t="s">
        <v>43406</v>
      </c>
      <c r="B16176" s="17" t="s">
        <v>70</v>
      </c>
      <c r="C16176" s="17" t="s">
        <v>71</v>
      </c>
      <c r="D16176" t="s">
        <v>43407</v>
      </c>
      <c r="F16176" t="s">
        <v>913</v>
      </c>
      <c r="J16176" t="s">
        <v>115</v>
      </c>
      <c r="K16176" s="18" t="s">
        <v>43408</v>
      </c>
      <c r="N16176" s="17" t="s">
        <v>77</v>
      </c>
      <c r="O16176" t="s">
        <v>261</v>
      </c>
      <c r="V16176" s="18" t="s">
        <v>43408</v>
      </c>
      <c r="Y16176" t="s">
        <v>90</v>
      </c>
      <c r="AA16176" t="s">
        <v>118</v>
      </c>
      <c r="AB16176" t="s">
        <v>119</v>
      </c>
    </row>
    <row r="16177" ht="15" customHeight="1" spans="1:23" x14ac:dyDescent="0.25">
      <c r="A16177" s="17" t="s">
        <v>43409</v>
      </c>
      <c r="B16177" s="17" t="s">
        <v>70</v>
      </c>
      <c r="C16177" s="17" t="s">
        <v>71</v>
      </c>
      <c r="D16177" t="s">
        <v>43410</v>
      </c>
      <c r="F16177" t="s">
        <v>43411</v>
      </c>
      <c r="K16177" s="18">
        <f>6281297304032</f>
        <v>6281297304032</v>
      </c>
      <c r="N16177" s="17" t="s">
        <v>81</v>
      </c>
      <c r="U16177" s="17"/>
      <c r="V16177" s="18">
        <f>6281297304032</f>
        <v>6281297304032</v>
      </c>
      <c r="W16177" t="s">
        <v>10661</v>
      </c>
    </row>
    <row r="16178" ht="15" customHeight="1" spans="1:22" x14ac:dyDescent="0.25">
      <c r="A16178" s="17" t="s">
        <v>43412</v>
      </c>
      <c r="B16178" s="17" t="s">
        <v>70</v>
      </c>
      <c r="C16178" s="17" t="s">
        <v>71</v>
      </c>
      <c r="D16178" t="s">
        <v>43413</v>
      </c>
      <c r="F16178" t="s">
        <v>43413</v>
      </c>
      <c r="K16178" s="18">
        <f>628129156177</f>
        <v>628129156177</v>
      </c>
      <c r="N16178" s="17" t="s">
        <v>77</v>
      </c>
      <c r="V16178" s="18">
        <f>628129156177</f>
        <v>628129156177</v>
      </c>
    </row>
    <row r="16179" ht="15" customHeight="1" spans="1:28" x14ac:dyDescent="0.25">
      <c r="A16179" s="17" t="s">
        <v>43414</v>
      </c>
      <c r="B16179" s="17" t="s">
        <v>70</v>
      </c>
      <c r="C16179" s="17" t="s">
        <v>71</v>
      </c>
      <c r="D16179" t="s">
        <v>43415</v>
      </c>
      <c r="F16179" t="s">
        <v>39633</v>
      </c>
      <c r="J16179" t="s">
        <v>115</v>
      </c>
      <c r="K16179" s="18" t="s">
        <v>43416</v>
      </c>
      <c r="N16179" s="17" t="s">
        <v>77</v>
      </c>
      <c r="O16179" t="s">
        <v>145</v>
      </c>
      <c r="U16179" s="17"/>
      <c r="V16179" s="18" t="s">
        <v>43416</v>
      </c>
      <c r="W16179" t="s">
        <v>3140</v>
      </c>
      <c r="Y16179" t="s">
        <v>90</v>
      </c>
      <c r="AA16179" t="s">
        <v>118</v>
      </c>
      <c r="AB16179" t="s">
        <v>119</v>
      </c>
    </row>
    <row r="16180" ht="15" customHeight="1" spans="1:22" x14ac:dyDescent="0.25">
      <c r="A16180" s="17" t="s">
        <v>43417</v>
      </c>
      <c r="B16180" s="17" t="s">
        <v>70</v>
      </c>
      <c r="C16180" s="17" t="s">
        <v>71</v>
      </c>
      <c r="D16180" t="s">
        <v>43418</v>
      </c>
      <c r="F16180" t="s">
        <v>43418</v>
      </c>
      <c r="K16180" s="18">
        <f>62818704125</f>
        <v>62818704125</v>
      </c>
      <c r="N16180" s="17" t="s">
        <v>81</v>
      </c>
      <c r="V16180" s="18">
        <f>62818704125</f>
        <v>62818704125</v>
      </c>
    </row>
    <row r="16181" ht="15" customHeight="1" spans="1:28" x14ac:dyDescent="0.25">
      <c r="A16181" s="17" t="s">
        <v>43419</v>
      </c>
      <c r="B16181" s="17" t="s">
        <v>70</v>
      </c>
      <c r="C16181" s="17" t="s">
        <v>71</v>
      </c>
      <c r="D16181" t="s">
        <v>43420</v>
      </c>
      <c r="F16181" t="s">
        <v>43421</v>
      </c>
      <c r="J16181" s="17" t="s">
        <v>43422</v>
      </c>
      <c r="K16181" s="18" t="s">
        <v>43423</v>
      </c>
      <c r="N16181" s="17" t="s">
        <v>77</v>
      </c>
      <c r="O16181" t="s">
        <v>199</v>
      </c>
      <c r="U16181" s="17"/>
      <c r="V16181" s="18" t="s">
        <v>43423</v>
      </c>
      <c r="W16181" t="s">
        <v>43424</v>
      </c>
      <c r="Y16181" t="s">
        <v>90</v>
      </c>
      <c r="AA16181" t="s">
        <v>118</v>
      </c>
      <c r="AB16181" t="s">
        <v>119</v>
      </c>
    </row>
    <row r="16182" ht="15" customHeight="1" spans="1:23" x14ac:dyDescent="0.25">
      <c r="A16182" s="17" t="s">
        <v>43425</v>
      </c>
      <c r="B16182" s="17" t="s">
        <v>70</v>
      </c>
      <c r="C16182" s="17" t="s">
        <v>71</v>
      </c>
      <c r="D16182" t="s">
        <v>7289</v>
      </c>
      <c r="F16182" t="s">
        <v>43426</v>
      </c>
      <c r="K16182" s="18">
        <f>82397790</f>
        <v>82397790</v>
      </c>
      <c r="N16182" s="17" t="s">
        <v>81</v>
      </c>
      <c r="U16182" s="17"/>
      <c r="V16182" s="18">
        <f>82397790</f>
        <v>82397790</v>
      </c>
      <c r="W16182" t="s">
        <v>3140</v>
      </c>
    </row>
    <row r="16183" ht="15" customHeight="1" spans="1:22" x14ac:dyDescent="0.25">
      <c r="A16183" s="17" t="s">
        <v>43427</v>
      </c>
      <c r="B16183" s="17" t="s">
        <v>70</v>
      </c>
      <c r="C16183" s="17" t="s">
        <v>71</v>
      </c>
      <c r="D16183" t="s">
        <v>7289</v>
      </c>
      <c r="F16183" t="s">
        <v>43428</v>
      </c>
      <c r="K16183" s="18">
        <f>6281316932043</f>
        <v>6281316932043</v>
      </c>
      <c r="N16183" s="17" t="s">
        <v>77</v>
      </c>
      <c r="V16183" s="18">
        <f>6281316932043</f>
        <v>6281316932043</v>
      </c>
    </row>
    <row r="16184" ht="15" customHeight="1" spans="1:25" x14ac:dyDescent="0.25">
      <c r="A16184" s="17" t="s">
        <v>43429</v>
      </c>
      <c r="B16184" s="17" t="s">
        <v>70</v>
      </c>
      <c r="C16184" s="17" t="s">
        <v>71</v>
      </c>
      <c r="D16184" t="s">
        <v>7289</v>
      </c>
      <c r="F16184" t="s">
        <v>7846</v>
      </c>
      <c r="J16184" s="17" t="s">
        <v>43430</v>
      </c>
      <c r="K16184" s="18">
        <f>8618668130000</f>
        <v>8618668130000</v>
      </c>
      <c r="N16184" s="17" t="s">
        <v>77</v>
      </c>
      <c r="U16184" s="17"/>
      <c r="V16184" s="18">
        <f>8618668130000</f>
        <v>8618668130000</v>
      </c>
      <c r="W16184" t="s">
        <v>43431</v>
      </c>
      <c r="Y16184" s="17" t="s">
        <v>43432</v>
      </c>
    </row>
    <row r="16185" ht="15" customHeight="1" spans="1:22" x14ac:dyDescent="0.25">
      <c r="A16185" s="17" t="s">
        <v>43433</v>
      </c>
      <c r="B16185" s="17" t="s">
        <v>70</v>
      </c>
      <c r="C16185" s="17" t="s">
        <v>71</v>
      </c>
      <c r="D16185" t="s">
        <v>7289</v>
      </c>
      <c r="F16185" t="s">
        <v>6082</v>
      </c>
      <c r="K16185" s="18">
        <f>6285811423330</f>
        <v>6285811423330</v>
      </c>
      <c r="N16185" s="17" t="s">
        <v>77</v>
      </c>
      <c r="V16185" s="18">
        <f>6285811423330</f>
        <v>6285811423330</v>
      </c>
    </row>
    <row r="16186" ht="15" customHeight="1" spans="1:22" x14ac:dyDescent="0.25">
      <c r="A16186" s="17" t="s">
        <v>43434</v>
      </c>
      <c r="B16186" s="17" t="s">
        <v>70</v>
      </c>
      <c r="C16186" s="17" t="s">
        <v>71</v>
      </c>
      <c r="D16186" t="s">
        <v>7289</v>
      </c>
      <c r="F16186" t="s">
        <v>14588</v>
      </c>
      <c r="K16186" s="18">
        <f>628159653925</f>
        <v>628159653925</v>
      </c>
      <c r="N16186" s="17" t="s">
        <v>77</v>
      </c>
      <c r="V16186" s="18">
        <f>628159653925</f>
        <v>628159653925</v>
      </c>
    </row>
    <row r="16187" ht="15" customHeight="1" spans="1:25" x14ac:dyDescent="0.25">
      <c r="A16187" s="17" t="s">
        <v>43435</v>
      </c>
      <c r="B16187" s="17" t="s">
        <v>70</v>
      </c>
      <c r="C16187" s="17" t="s">
        <v>71</v>
      </c>
      <c r="D16187" t="s">
        <v>7289</v>
      </c>
      <c r="F16187" t="s">
        <v>6082</v>
      </c>
      <c r="K16187" s="18">
        <f>628111580606</f>
        <v>628111580606</v>
      </c>
      <c r="N16187" s="17" t="s">
        <v>77</v>
      </c>
      <c r="U16187" s="17"/>
      <c r="V16187" s="18">
        <f>628111580606</f>
        <v>628111580606</v>
      </c>
      <c r="W16187" t="s">
        <v>43436</v>
      </c>
      <c r="Y16187" s="17" t="s">
        <v>90</v>
      </c>
    </row>
    <row r="16188" ht="15" customHeight="1" spans="1:22" x14ac:dyDescent="0.25">
      <c r="A16188" s="17" t="s">
        <v>43437</v>
      </c>
      <c r="B16188" s="17" t="s">
        <v>70</v>
      </c>
      <c r="C16188" s="17" t="s">
        <v>71</v>
      </c>
      <c r="D16188" t="s">
        <v>43438</v>
      </c>
      <c r="F16188" t="s">
        <v>43439</v>
      </c>
      <c r="K16188" s="18">
        <f>6592775252</f>
        <v>6592775252</v>
      </c>
      <c r="N16188" s="17" t="s">
        <v>81</v>
      </c>
      <c r="V16188" s="18">
        <f>6592775252</f>
        <v>6592775252</v>
      </c>
    </row>
    <row r="16189" ht="15" customHeight="1" spans="1:23" x14ac:dyDescent="0.25">
      <c r="A16189" s="17" t="s">
        <v>43440</v>
      </c>
      <c r="B16189" s="17" t="s">
        <v>70</v>
      </c>
      <c r="C16189" s="17" t="s">
        <v>71</v>
      </c>
      <c r="D16189" t="s">
        <v>43441</v>
      </c>
      <c r="F16189" t="s">
        <v>8308</v>
      </c>
      <c r="K16189" s="18">
        <f>8618607129355</f>
        <v>8618607129355</v>
      </c>
      <c r="N16189" s="17" t="s">
        <v>77</v>
      </c>
      <c r="U16189" s="17"/>
      <c r="V16189" s="18">
        <f>8618607129355</f>
        <v>8618607129355</v>
      </c>
      <c r="W16189" t="s">
        <v>3140</v>
      </c>
    </row>
    <row r="16190" ht="15" customHeight="1" spans="1:22" x14ac:dyDescent="0.25">
      <c r="A16190" s="17" t="s">
        <v>43442</v>
      </c>
      <c r="B16190" s="17" t="s">
        <v>70</v>
      </c>
      <c r="C16190" s="17" t="s">
        <v>71</v>
      </c>
      <c r="D16190" t="s">
        <v>43443</v>
      </c>
      <c r="F16190" t="s">
        <v>43444</v>
      </c>
      <c r="J16190" s="17" t="s">
        <v>43445</v>
      </c>
      <c r="K16190" s="18">
        <f>871528534441</f>
        <v>871528534441</v>
      </c>
      <c r="N16190" s="17" t="s">
        <v>77</v>
      </c>
      <c r="V16190" s="18">
        <f>871528534441</f>
        <v>871528534441</v>
      </c>
    </row>
    <row r="16191" ht="15" customHeight="1" spans="1:28" x14ac:dyDescent="0.25">
      <c r="A16191" s="17" t="s">
        <v>43446</v>
      </c>
      <c r="B16191" s="17" t="s">
        <v>70</v>
      </c>
      <c r="C16191" s="17" t="s">
        <v>71</v>
      </c>
      <c r="D16191" t="s">
        <v>43447</v>
      </c>
      <c r="F16191" t="s">
        <v>6621</v>
      </c>
      <c r="J16191" t="s">
        <v>115</v>
      </c>
      <c r="K16191" s="18" t="s">
        <v>43448</v>
      </c>
      <c r="N16191" s="17" t="s">
        <v>77</v>
      </c>
      <c r="O16191" t="s">
        <v>145</v>
      </c>
      <c r="V16191" s="18" t="s">
        <v>43448</v>
      </c>
      <c r="Y16191" t="s">
        <v>115</v>
      </c>
      <c r="AA16191" t="s">
        <v>115</v>
      </c>
      <c r="AB16191" t="s">
        <v>1903</v>
      </c>
    </row>
    <row r="16192" ht="15" customHeight="1" spans="1:22" x14ac:dyDescent="0.25">
      <c r="A16192" s="17" t="s">
        <v>43449</v>
      </c>
      <c r="B16192" s="17" t="s">
        <v>70</v>
      </c>
      <c r="C16192" s="17" t="s">
        <v>71</v>
      </c>
      <c r="D16192" t="s">
        <v>5807</v>
      </c>
      <c r="F16192" t="s">
        <v>43450</v>
      </c>
      <c r="K16192" s="18">
        <v>13911448186</v>
      </c>
      <c r="N16192" s="17" t="s">
        <v>81</v>
      </c>
      <c r="V16192" s="18">
        <v>13911448186</v>
      </c>
    </row>
    <row r="16193" ht="15" customHeight="1" spans="1:25" x14ac:dyDescent="0.25">
      <c r="A16193" s="17" t="s">
        <v>43451</v>
      </c>
      <c r="B16193" s="17" t="s">
        <v>70</v>
      </c>
      <c r="C16193" s="17" t="s">
        <v>71</v>
      </c>
      <c r="D16193" t="s">
        <v>43452</v>
      </c>
      <c r="F16193" t="s">
        <v>31427</v>
      </c>
      <c r="J16193" s="17" t="s">
        <v>43453</v>
      </c>
      <c r="K16193" s="18">
        <f>6281275145675</f>
        <v>6281275145675</v>
      </c>
      <c r="N16193" s="17" t="s">
        <v>81</v>
      </c>
      <c r="U16193" s="17"/>
      <c r="V16193" s="18">
        <f>6281275145675</f>
        <v>6281275145675</v>
      </c>
      <c r="W16193" t="s">
        <v>43454</v>
      </c>
      <c r="Y16193" s="17" t="s">
        <v>96</v>
      </c>
    </row>
    <row r="16194" ht="15" customHeight="1" spans="1:28" x14ac:dyDescent="0.25">
      <c r="A16194" s="17" t="s">
        <v>43455</v>
      </c>
      <c r="B16194" s="17" t="s">
        <v>70</v>
      </c>
      <c r="C16194" s="17" t="s">
        <v>71</v>
      </c>
      <c r="D16194" t="s">
        <v>43456</v>
      </c>
      <c r="F16194" t="s">
        <v>20934</v>
      </c>
      <c r="J16194" t="s">
        <v>43457</v>
      </c>
      <c r="K16194" s="18" t="s">
        <v>43458</v>
      </c>
      <c r="N16194" s="17" t="s">
        <v>77</v>
      </c>
      <c r="O16194" t="s">
        <v>145</v>
      </c>
      <c r="V16194" s="18" t="s">
        <v>43458</v>
      </c>
      <c r="Y16194" t="s">
        <v>190</v>
      </c>
      <c r="AA16194" t="s">
        <v>118</v>
      </c>
      <c r="AB16194" t="s">
        <v>119</v>
      </c>
    </row>
    <row r="16195" ht="15" customHeight="1" spans="1:28" x14ac:dyDescent="0.25">
      <c r="A16195" s="17" t="s">
        <v>43459</v>
      </c>
      <c r="B16195" s="17" t="s">
        <v>70</v>
      </c>
      <c r="C16195" s="17" t="s">
        <v>71</v>
      </c>
      <c r="D16195" t="s">
        <v>43460</v>
      </c>
      <c r="F16195" t="s">
        <v>13966</v>
      </c>
      <c r="J16195" s="17" t="s">
        <v>43461</v>
      </c>
      <c r="K16195" s="18" t="s">
        <v>43462</v>
      </c>
      <c r="N16195" s="17" t="s">
        <v>77</v>
      </c>
      <c r="O16195" t="s">
        <v>199</v>
      </c>
      <c r="V16195" s="18" t="s">
        <v>43462</v>
      </c>
      <c r="Y16195" t="s">
        <v>90</v>
      </c>
      <c r="AA16195" t="s">
        <v>118</v>
      </c>
      <c r="AB16195" t="s">
        <v>119</v>
      </c>
    </row>
    <row r="16196" ht="15" customHeight="1" spans="1:28" x14ac:dyDescent="0.25">
      <c r="A16196" s="17" t="s">
        <v>43463</v>
      </c>
      <c r="B16196" s="17" t="s">
        <v>70</v>
      </c>
      <c r="C16196" s="17" t="s">
        <v>71</v>
      </c>
      <c r="D16196" t="s">
        <v>43464</v>
      </c>
      <c r="F16196" t="s">
        <v>43465</v>
      </c>
      <c r="J16196" s="17" t="s">
        <v>43466</v>
      </c>
      <c r="K16196" s="18" t="s">
        <v>43467</v>
      </c>
      <c r="N16196" s="17" t="s">
        <v>77</v>
      </c>
      <c r="O16196" t="s">
        <v>145</v>
      </c>
      <c r="V16196" s="18" t="s">
        <v>43467</v>
      </c>
      <c r="Y16196" t="s">
        <v>8335</v>
      </c>
      <c r="AA16196" t="s">
        <v>115</v>
      </c>
      <c r="AB16196" t="s">
        <v>119</v>
      </c>
    </row>
    <row r="16197" ht="15" customHeight="1" spans="1:22" x14ac:dyDescent="0.25">
      <c r="A16197" s="17" t="s">
        <v>43468</v>
      </c>
      <c r="B16197" s="17" t="s">
        <v>70</v>
      </c>
      <c r="C16197" s="17" t="s">
        <v>71</v>
      </c>
      <c r="D16197" t="s">
        <v>43469</v>
      </c>
      <c r="F16197" t="s">
        <v>3869</v>
      </c>
      <c r="K16197" s="18">
        <f>6282246847761</f>
        <v>6282246847761</v>
      </c>
      <c r="N16197" s="17" t="s">
        <v>81</v>
      </c>
      <c r="V16197" s="18">
        <f>6282246847761</f>
        <v>6282246847761</v>
      </c>
    </row>
    <row r="16198" ht="15" customHeight="1" spans="1:28" x14ac:dyDescent="0.25">
      <c r="A16198" s="17" t="s">
        <v>43470</v>
      </c>
      <c r="B16198" s="17" t="s">
        <v>70</v>
      </c>
      <c r="C16198" s="17" t="s">
        <v>71</v>
      </c>
      <c r="D16198" t="s">
        <v>43471</v>
      </c>
      <c r="F16198" t="s">
        <v>43472</v>
      </c>
      <c r="J16198" t="s">
        <v>115</v>
      </c>
      <c r="K16198" s="18" t="s">
        <v>43473</v>
      </c>
      <c r="N16198" s="17" t="s">
        <v>77</v>
      </c>
      <c r="O16198" t="s">
        <v>199</v>
      </c>
      <c r="V16198" s="18" t="s">
        <v>43473</v>
      </c>
      <c r="Y16198" t="s">
        <v>6100</v>
      </c>
      <c r="AA16198" t="s">
        <v>115</v>
      </c>
      <c r="AB16198" t="s">
        <v>119</v>
      </c>
    </row>
    <row r="16199" ht="15" customHeight="1" spans="1:22" x14ac:dyDescent="0.25">
      <c r="A16199" s="17" t="s">
        <v>43474</v>
      </c>
      <c r="B16199" s="17" t="s">
        <v>70</v>
      </c>
      <c r="C16199" s="17" t="s">
        <v>71</v>
      </c>
      <c r="D16199" t="s">
        <v>43475</v>
      </c>
      <c r="F16199" t="s">
        <v>1869</v>
      </c>
      <c r="K16199" s="18">
        <f>6281219506111</f>
        <v>6281219506111</v>
      </c>
      <c r="N16199" s="17" t="s">
        <v>77</v>
      </c>
      <c r="V16199" s="18">
        <f>6281219506111</f>
        <v>6281219506111</v>
      </c>
    </row>
    <row r="16200" ht="15" customHeight="1" spans="1:28" x14ac:dyDescent="0.25">
      <c r="A16200" s="17" t="s">
        <v>43476</v>
      </c>
      <c r="B16200" s="17" t="s">
        <v>70</v>
      </c>
      <c r="C16200" s="17" t="s">
        <v>71</v>
      </c>
      <c r="D16200" t="s">
        <v>43477</v>
      </c>
      <c r="F16200" t="s">
        <v>42051</v>
      </c>
      <c r="J16200" t="s">
        <v>115</v>
      </c>
      <c r="K16200" s="18" t="s">
        <v>43478</v>
      </c>
      <c r="N16200" s="17" t="s">
        <v>74</v>
      </c>
      <c r="O16200" t="s">
        <v>117</v>
      </c>
      <c r="V16200" s="18" t="s">
        <v>43478</v>
      </c>
      <c r="Y16200" t="s">
        <v>190</v>
      </c>
      <c r="AA16200" t="s">
        <v>118</v>
      </c>
      <c r="AB16200" t="s">
        <v>119</v>
      </c>
    </row>
    <row r="16201" ht="15" customHeight="1" spans="1:28" x14ac:dyDescent="0.25">
      <c r="A16201" s="17" t="s">
        <v>43479</v>
      </c>
      <c r="B16201" s="17" t="s">
        <v>70</v>
      </c>
      <c r="C16201" s="17" t="s">
        <v>71</v>
      </c>
      <c r="D16201" t="s">
        <v>26566</v>
      </c>
      <c r="F16201" t="s">
        <v>43480</v>
      </c>
      <c r="J16201" t="s">
        <v>115</v>
      </c>
      <c r="K16201" s="18" t="s">
        <v>43481</v>
      </c>
      <c r="N16201" s="17" t="s">
        <v>74</v>
      </c>
      <c r="O16201" t="s">
        <v>145</v>
      </c>
      <c r="V16201" s="18" t="s">
        <v>43481</v>
      </c>
      <c r="Y16201" t="s">
        <v>90</v>
      </c>
      <c r="AA16201" t="s">
        <v>118</v>
      </c>
      <c r="AB16201" t="s">
        <v>119</v>
      </c>
    </row>
    <row r="16202" ht="15" customHeight="1" spans="1:22" x14ac:dyDescent="0.25">
      <c r="A16202" s="17" t="s">
        <v>43482</v>
      </c>
      <c r="B16202" s="17" t="s">
        <v>70</v>
      </c>
      <c r="C16202" s="17" t="s">
        <v>71</v>
      </c>
      <c r="D16202" t="s">
        <v>43483</v>
      </c>
      <c r="F16202" t="s">
        <v>43484</v>
      </c>
      <c r="K16202" s="18">
        <f>6281293394496</f>
        <v>6281293394496</v>
      </c>
      <c r="N16202" s="17" t="s">
        <v>77</v>
      </c>
      <c r="V16202" s="18">
        <f>6281293394496</f>
        <v>6281293394496</v>
      </c>
    </row>
    <row r="16203" ht="15" customHeight="1" spans="1:22" x14ac:dyDescent="0.25">
      <c r="A16203" s="17" t="s">
        <v>43485</v>
      </c>
      <c r="B16203" s="17" t="s">
        <v>70</v>
      </c>
      <c r="C16203" s="17" t="s">
        <v>71</v>
      </c>
      <c r="D16203" t="s">
        <v>43486</v>
      </c>
      <c r="F16203" t="s">
        <v>43486</v>
      </c>
      <c r="K16203" s="18">
        <f>628121009988</f>
        <v>628121009988</v>
      </c>
      <c r="N16203" s="17" t="s">
        <v>81</v>
      </c>
      <c r="V16203" s="18">
        <f>628121009988</f>
        <v>628121009988</v>
      </c>
    </row>
    <row r="16204" ht="15" customHeight="1" spans="1:23" x14ac:dyDescent="0.25">
      <c r="A16204" s="17" t="s">
        <v>43487</v>
      </c>
      <c r="B16204" s="17" t="s">
        <v>70</v>
      </c>
      <c r="C16204" s="17" t="s">
        <v>71</v>
      </c>
      <c r="D16204" t="s">
        <v>43488</v>
      </c>
      <c r="F16204" t="s">
        <v>43489</v>
      </c>
      <c r="K16204" s="18">
        <f>6287884106629</f>
        <v>6287884106629</v>
      </c>
      <c r="N16204" s="17" t="s">
        <v>81</v>
      </c>
      <c r="U16204" s="17"/>
      <c r="V16204" s="18">
        <f>6287884106629</f>
        <v>6287884106629</v>
      </c>
      <c r="W16204" t="s">
        <v>43490</v>
      </c>
    </row>
    <row r="16205" ht="15" customHeight="1" spans="1:22" x14ac:dyDescent="0.25">
      <c r="A16205" s="17" t="s">
        <v>43491</v>
      </c>
      <c r="B16205" s="17" t="s">
        <v>70</v>
      </c>
      <c r="C16205" s="17" t="s">
        <v>71</v>
      </c>
      <c r="D16205" t="s">
        <v>43492</v>
      </c>
      <c r="F16205" t="s">
        <v>37032</v>
      </c>
      <c r="K16205" s="18">
        <f>6593739565</f>
        <v>6593739565</v>
      </c>
      <c r="N16205" s="17" t="s">
        <v>77</v>
      </c>
      <c r="V16205" s="18">
        <f>6593739565</f>
        <v>6593739565</v>
      </c>
    </row>
    <row r="16206" ht="15" customHeight="1" spans="1:22" x14ac:dyDescent="0.25">
      <c r="A16206" s="17" t="s">
        <v>43493</v>
      </c>
      <c r="B16206" s="17" t="s">
        <v>70</v>
      </c>
      <c r="C16206" s="17" t="s">
        <v>71</v>
      </c>
      <c r="D16206" t="s">
        <v>43494</v>
      </c>
      <c r="F16206" t="s">
        <v>1086</v>
      </c>
      <c r="K16206" s="18">
        <f>628138989119</f>
        <v>628138989119</v>
      </c>
      <c r="N16206" s="17" t="s">
        <v>77</v>
      </c>
      <c r="V16206" s="18">
        <f>628138989119</f>
        <v>628138989119</v>
      </c>
    </row>
    <row r="16207" ht="15" customHeight="1" spans="1:23" x14ac:dyDescent="0.25">
      <c r="A16207" s="17" t="s">
        <v>43495</v>
      </c>
      <c r="B16207" s="17" t="s">
        <v>70</v>
      </c>
      <c r="C16207" s="17" t="s">
        <v>71</v>
      </c>
      <c r="D16207" t="s">
        <v>43496</v>
      </c>
      <c r="F16207" t="s">
        <v>43497</v>
      </c>
      <c r="K16207" s="18">
        <f>62811874497</f>
        <v>62811874497</v>
      </c>
      <c r="N16207" s="17" t="s">
        <v>77</v>
      </c>
      <c r="U16207" s="17"/>
      <c r="V16207" s="18">
        <f>62811874497</f>
        <v>62811874497</v>
      </c>
      <c r="W16207" t="s">
        <v>43498</v>
      </c>
    </row>
    <row r="16208" ht="15" customHeight="1" spans="1:28" x14ac:dyDescent="0.25">
      <c r="A16208" s="17" t="s">
        <v>43499</v>
      </c>
      <c r="B16208" s="17" t="s">
        <v>70</v>
      </c>
      <c r="C16208" s="17" t="s">
        <v>71</v>
      </c>
      <c r="D16208" t="s">
        <v>43500</v>
      </c>
      <c r="F16208" t="s">
        <v>43500</v>
      </c>
      <c r="J16208" t="s">
        <v>115</v>
      </c>
      <c r="K16208" s="18" t="s">
        <v>43501</v>
      </c>
      <c r="N16208" s="17" t="s">
        <v>81</v>
      </c>
      <c r="O16208" t="s">
        <v>117</v>
      </c>
      <c r="V16208" s="18" t="s">
        <v>43501</v>
      </c>
      <c r="Y16208" t="s">
        <v>190</v>
      </c>
      <c r="AA16208" t="s">
        <v>118</v>
      </c>
      <c r="AB16208" t="s">
        <v>119</v>
      </c>
    </row>
    <row r="16209" ht="15" customHeight="1" spans="1:23" x14ac:dyDescent="0.25">
      <c r="A16209" s="17" t="s">
        <v>43502</v>
      </c>
      <c r="B16209" s="17" t="s">
        <v>70</v>
      </c>
      <c r="C16209" s="17" t="s">
        <v>71</v>
      </c>
      <c r="D16209" t="s">
        <v>43500</v>
      </c>
      <c r="F16209" t="s">
        <v>1053</v>
      </c>
      <c r="K16209" s="18">
        <f>6287884105897</f>
        <v>6287884105897</v>
      </c>
      <c r="N16209" s="17" t="s">
        <v>81</v>
      </c>
      <c r="U16209" s="17"/>
      <c r="V16209" s="18">
        <f>6287884105897</f>
        <v>6287884105897</v>
      </c>
      <c r="W16209" t="s">
        <v>43503</v>
      </c>
    </row>
    <row r="16210" ht="15" customHeight="1" spans="1:27" x14ac:dyDescent="0.25">
      <c r="A16210" s="17" t="s">
        <v>43504</v>
      </c>
      <c r="B16210" s="17" t="s">
        <v>70</v>
      </c>
      <c r="C16210" s="17" t="s">
        <v>71</v>
      </c>
      <c r="D16210" t="s">
        <v>43500</v>
      </c>
      <c r="F16210" t="s">
        <v>3099</v>
      </c>
      <c r="K16210" s="18">
        <f>628128078538</f>
        <v>628128078538</v>
      </c>
      <c r="N16210" s="17" t="s">
        <v>77</v>
      </c>
      <c r="U16210" s="17"/>
      <c r="V16210" s="18">
        <f>628128078538</f>
        <v>628128078538</v>
      </c>
      <c r="W16210" t="s">
        <v>43505</v>
      </c>
      <c r="AA16210" s="17">
        <v>14240</v>
      </c>
    </row>
    <row r="16211" ht="15" customHeight="1" spans="1:22" x14ac:dyDescent="0.25">
      <c r="A16211" s="17" t="s">
        <v>43506</v>
      </c>
      <c r="B16211" s="17" t="s">
        <v>70</v>
      </c>
      <c r="C16211" s="17" t="s">
        <v>71</v>
      </c>
      <c r="D16211" t="s">
        <v>43500</v>
      </c>
      <c r="F16211" t="s">
        <v>43507</v>
      </c>
      <c r="J16211" s="17" t="s">
        <v>43508</v>
      </c>
      <c r="K16211" s="18">
        <f>6282110449760</f>
        <v>6282110449760</v>
      </c>
      <c r="N16211" s="17" t="s">
        <v>77</v>
      </c>
      <c r="V16211" s="18">
        <f>6282110449760</f>
        <v>6282110449760</v>
      </c>
    </row>
    <row r="16212" ht="15" customHeight="1" spans="1:23" x14ac:dyDescent="0.25">
      <c r="A16212" s="17" t="s">
        <v>43509</v>
      </c>
      <c r="B16212" s="17" t="s">
        <v>70</v>
      </c>
      <c r="C16212" s="17" t="s">
        <v>71</v>
      </c>
      <c r="D16212" t="s">
        <v>43500</v>
      </c>
      <c r="F16212" t="s">
        <v>584</v>
      </c>
      <c r="K16212" s="18">
        <f>6281905153636</f>
        <v>6281905153636</v>
      </c>
      <c r="N16212" s="17" t="s">
        <v>77</v>
      </c>
      <c r="U16212" s="17"/>
      <c r="V16212" s="18">
        <f>6281905153636</f>
        <v>6281905153636</v>
      </c>
      <c r="W16212" t="s">
        <v>43510</v>
      </c>
    </row>
    <row r="16213" ht="15" customHeight="1" spans="1:22" x14ac:dyDescent="0.25">
      <c r="A16213" s="17" t="s">
        <v>43511</v>
      </c>
      <c r="B16213" s="17" t="s">
        <v>70</v>
      </c>
      <c r="C16213" s="17" t="s">
        <v>71</v>
      </c>
      <c r="D16213" t="s">
        <v>43500</v>
      </c>
      <c r="F16213" t="s">
        <v>3991</v>
      </c>
      <c r="J16213" s="17" t="s">
        <v>43512</v>
      </c>
      <c r="K16213" s="18">
        <f>622129529473</f>
        <v>622129529473</v>
      </c>
      <c r="N16213" s="17" t="s">
        <v>81</v>
      </c>
      <c r="V16213" s="18">
        <f>622129529473</f>
        <v>622129529473</v>
      </c>
    </row>
    <row r="16214" ht="15" customHeight="1" spans="1:28" x14ac:dyDescent="0.25">
      <c r="A16214" s="17" t="s">
        <v>43513</v>
      </c>
      <c r="B16214" s="17" t="s">
        <v>70</v>
      </c>
      <c r="C16214" s="17" t="s">
        <v>71</v>
      </c>
      <c r="D16214" t="s">
        <v>43514</v>
      </c>
      <c r="F16214" t="s">
        <v>43515</v>
      </c>
      <c r="J16214" s="17" t="s">
        <v>43516</v>
      </c>
      <c r="K16214" s="18" t="s">
        <v>43517</v>
      </c>
      <c r="N16214" s="17" t="s">
        <v>77</v>
      </c>
      <c r="O16214" t="s">
        <v>199</v>
      </c>
      <c r="V16214" s="18" t="s">
        <v>43517</v>
      </c>
      <c r="Y16214" t="s">
        <v>115</v>
      </c>
      <c r="AA16214" t="s">
        <v>115</v>
      </c>
      <c r="AB16214" t="s">
        <v>7229</v>
      </c>
    </row>
    <row r="16215" ht="15" customHeight="1" spans="1:22" x14ac:dyDescent="0.25">
      <c r="A16215" s="17" t="s">
        <v>43518</v>
      </c>
      <c r="B16215" s="17" t="s">
        <v>70</v>
      </c>
      <c r="C16215" s="17" t="s">
        <v>71</v>
      </c>
      <c r="D16215" t="s">
        <v>43519</v>
      </c>
      <c r="F16215" t="s">
        <v>43519</v>
      </c>
      <c r="J16215" s="17" t="s">
        <v>43520</v>
      </c>
      <c r="K16215" s="18">
        <f>62811901940</f>
        <v>62811901940</v>
      </c>
      <c r="N16215" s="17" t="s">
        <v>77</v>
      </c>
      <c r="V16215" s="18">
        <f>62811901940</f>
        <v>62811901940</v>
      </c>
    </row>
    <row r="16216" ht="15" customHeight="1" spans="1:25" x14ac:dyDescent="0.25">
      <c r="A16216" s="17" t="s">
        <v>43521</v>
      </c>
      <c r="B16216" s="17" t="s">
        <v>70</v>
      </c>
      <c r="C16216" s="17" t="s">
        <v>71</v>
      </c>
      <c r="D16216" t="s">
        <v>43519</v>
      </c>
      <c r="F16216" t="s">
        <v>43519</v>
      </c>
      <c r="K16216" s="18">
        <f>628119111122</f>
        <v>628119111122</v>
      </c>
      <c r="N16216" s="17" t="s">
        <v>77</v>
      </c>
      <c r="U16216" s="17"/>
      <c r="V16216" s="18">
        <f>628119111122</f>
        <v>628119111122</v>
      </c>
      <c r="W16216" t="s">
        <v>43522</v>
      </c>
      <c r="Y16216" s="17" t="s">
        <v>378</v>
      </c>
    </row>
    <row r="16217" ht="15" customHeight="1" spans="1:22" x14ac:dyDescent="0.25">
      <c r="A16217" s="17" t="s">
        <v>43523</v>
      </c>
      <c r="B16217" s="17" t="s">
        <v>70</v>
      </c>
      <c r="C16217" s="17" t="s">
        <v>71</v>
      </c>
      <c r="D16217" t="s">
        <v>43519</v>
      </c>
      <c r="F16217" t="s">
        <v>43524</v>
      </c>
      <c r="K16217" s="18">
        <f>628119630190</f>
        <v>628119630190</v>
      </c>
      <c r="N16217" s="17" t="s">
        <v>77</v>
      </c>
      <c r="V16217" s="18">
        <f>628119630190</f>
        <v>628119630190</v>
      </c>
    </row>
    <row r="16218" ht="15" customHeight="1" spans="1:22" x14ac:dyDescent="0.25">
      <c r="A16218" s="17" t="s">
        <v>43525</v>
      </c>
      <c r="B16218" s="17" t="s">
        <v>70</v>
      </c>
      <c r="C16218" s="17" t="s">
        <v>71</v>
      </c>
      <c r="D16218" t="s">
        <v>43519</v>
      </c>
      <c r="F16218" t="s">
        <v>1589</v>
      </c>
      <c r="K16218" s="18">
        <f>6281288774994</f>
        <v>6281288774994</v>
      </c>
      <c r="N16218" s="17" t="s">
        <v>77</v>
      </c>
      <c r="V16218" s="18">
        <f>6281288774994</f>
        <v>6281288774994</v>
      </c>
    </row>
    <row r="16219" ht="15" customHeight="1" spans="1:22" x14ac:dyDescent="0.25">
      <c r="A16219" s="17" t="s">
        <v>43526</v>
      </c>
      <c r="B16219" s="17" t="s">
        <v>70</v>
      </c>
      <c r="C16219" s="17" t="s">
        <v>71</v>
      </c>
      <c r="D16219" t="s">
        <v>43519</v>
      </c>
      <c r="F16219" t="s">
        <v>43527</v>
      </c>
      <c r="J16219" s="17" t="s">
        <v>43528</v>
      </c>
      <c r="K16219" s="18">
        <f>6281284008091</f>
        <v>6281284008091</v>
      </c>
      <c r="N16219" s="17" t="s">
        <v>77</v>
      </c>
      <c r="V16219" s="18">
        <f>6281284008091</f>
        <v>6281284008091</v>
      </c>
    </row>
    <row r="16220" ht="15" customHeight="1" spans="1:22" x14ac:dyDescent="0.25">
      <c r="A16220" s="17" t="s">
        <v>43529</v>
      </c>
      <c r="B16220" s="17" t="s">
        <v>70</v>
      </c>
      <c r="C16220" s="17" t="s">
        <v>71</v>
      </c>
      <c r="D16220" t="s">
        <v>43530</v>
      </c>
      <c r="F16220" t="s">
        <v>43531</v>
      </c>
      <c r="K16220" s="18">
        <f>628127557722</f>
        <v>628127557722</v>
      </c>
      <c r="N16220" s="17" t="s">
        <v>77</v>
      </c>
      <c r="V16220" s="18">
        <f>628127557722</f>
        <v>628127557722</v>
      </c>
    </row>
    <row r="16221" ht="15" customHeight="1" spans="1:28" x14ac:dyDescent="0.25">
      <c r="A16221" s="17" t="s">
        <v>43532</v>
      </c>
      <c r="B16221" s="17" t="s">
        <v>70</v>
      </c>
      <c r="C16221" s="17" t="s">
        <v>71</v>
      </c>
      <c r="D16221" t="s">
        <v>43533</v>
      </c>
      <c r="F16221" t="s">
        <v>43533</v>
      </c>
      <c r="J16221" t="s">
        <v>115</v>
      </c>
      <c r="K16221" s="18" t="s">
        <v>43534</v>
      </c>
      <c r="N16221" s="17" t="s">
        <v>81</v>
      </c>
      <c r="O16221" t="s">
        <v>145</v>
      </c>
      <c r="V16221" s="18" t="s">
        <v>43534</v>
      </c>
      <c r="Y16221" t="s">
        <v>90</v>
      </c>
      <c r="AA16221" t="s">
        <v>118</v>
      </c>
      <c r="AB16221" t="s">
        <v>119</v>
      </c>
    </row>
    <row r="16222" ht="15" customHeight="1" spans="1:27" x14ac:dyDescent="0.25">
      <c r="A16222" s="17" t="s">
        <v>43535</v>
      </c>
      <c r="B16222" s="17" t="s">
        <v>70</v>
      </c>
      <c r="C16222" s="17" t="s">
        <v>71</v>
      </c>
      <c r="D16222" t="s">
        <v>43533</v>
      </c>
      <c r="F16222" t="s">
        <v>5564</v>
      </c>
      <c r="K16222" s="18">
        <f>628122008886</f>
        <v>628122008886</v>
      </c>
      <c r="N16222" s="17" t="s">
        <v>77</v>
      </c>
      <c r="U16222" s="17"/>
      <c r="V16222" s="18">
        <f>628122008886</f>
        <v>628122008886</v>
      </c>
      <c r="W16222" t="s">
        <v>43536</v>
      </c>
      <c r="Y16222" s="17" t="s">
        <v>1084</v>
      </c>
      <c r="AA16222" s="17" t="s">
        <v>43537</v>
      </c>
    </row>
    <row r="16223" ht="15" customHeight="1" spans="1:22" x14ac:dyDescent="0.25">
      <c r="A16223" s="17" t="s">
        <v>43538</v>
      </c>
      <c r="B16223" s="17" t="s">
        <v>70</v>
      </c>
      <c r="C16223" s="17" t="s">
        <v>71</v>
      </c>
      <c r="D16223" t="s">
        <v>43533</v>
      </c>
      <c r="F16223" t="s">
        <v>879</v>
      </c>
      <c r="K16223" s="18">
        <f>628999962996</f>
        <v>628999962996</v>
      </c>
      <c r="N16223" s="17" t="s">
        <v>77</v>
      </c>
      <c r="V16223" s="18">
        <f>628999962996</f>
        <v>628999962996</v>
      </c>
    </row>
    <row r="16224" ht="15" customHeight="1" spans="1:22" x14ac:dyDescent="0.25">
      <c r="A16224" s="17" t="s">
        <v>43539</v>
      </c>
      <c r="B16224" s="17" t="s">
        <v>70</v>
      </c>
      <c r="C16224" s="17" t="s">
        <v>71</v>
      </c>
      <c r="D16224" t="s">
        <v>43533</v>
      </c>
      <c r="F16224" t="s">
        <v>43540</v>
      </c>
      <c r="K16224" s="18">
        <f>6282317968083</f>
        <v>6282317968083</v>
      </c>
      <c r="N16224" s="17" t="s">
        <v>77</v>
      </c>
      <c r="V16224" s="18">
        <f>6282317968083</f>
        <v>6282317968083</v>
      </c>
    </row>
    <row r="16225" ht="15" customHeight="1" spans="1:28" x14ac:dyDescent="0.25">
      <c r="A16225" s="17" t="s">
        <v>43541</v>
      </c>
      <c r="B16225" s="17" t="s">
        <v>70</v>
      </c>
      <c r="C16225" s="17" t="s">
        <v>71</v>
      </c>
      <c r="D16225" t="s">
        <v>43533</v>
      </c>
      <c r="F16225" t="s">
        <v>6415</v>
      </c>
      <c r="J16225" s="17" t="s">
        <v>43542</v>
      </c>
      <c r="K16225" s="18" t="s">
        <v>43543</v>
      </c>
      <c r="N16225" s="17" t="s">
        <v>77</v>
      </c>
      <c r="O16225" t="s">
        <v>145</v>
      </c>
      <c r="V16225" s="18" t="s">
        <v>43543</v>
      </c>
      <c r="Y16225" t="s">
        <v>190</v>
      </c>
      <c r="AA16225" t="s">
        <v>118</v>
      </c>
      <c r="AB16225" t="s">
        <v>119</v>
      </c>
    </row>
    <row r="16226" ht="15" customHeight="1" spans="1:22" x14ac:dyDescent="0.25">
      <c r="A16226" s="17" t="s">
        <v>43544</v>
      </c>
      <c r="B16226" s="17" t="s">
        <v>70</v>
      </c>
      <c r="C16226" s="17" t="s">
        <v>71</v>
      </c>
      <c r="D16226" t="s">
        <v>10223</v>
      </c>
      <c r="F16226" t="s">
        <v>13011</v>
      </c>
      <c r="K16226" s="18">
        <f>6281282222906</f>
        <v>6281282222906</v>
      </c>
      <c r="N16226" s="17" t="s">
        <v>77</v>
      </c>
      <c r="V16226" s="18">
        <f>6281282222906</f>
        <v>6281282222906</v>
      </c>
    </row>
    <row r="16227" ht="15" customHeight="1" spans="1:22" x14ac:dyDescent="0.25">
      <c r="A16227" s="17" t="s">
        <v>43545</v>
      </c>
      <c r="B16227" s="17" t="s">
        <v>70</v>
      </c>
      <c r="C16227" s="17" t="s">
        <v>71</v>
      </c>
      <c r="D16227" t="s">
        <v>10223</v>
      </c>
      <c r="F16227" t="s">
        <v>325</v>
      </c>
      <c r="K16227" s="18">
        <f>6282211111195</f>
        <v>6282211111195</v>
      </c>
      <c r="N16227" s="17" t="s">
        <v>81</v>
      </c>
      <c r="V16227" s="18">
        <f>6282211111195</f>
        <v>6282211111195</v>
      </c>
    </row>
    <row r="16228" ht="15" customHeight="1" spans="1:22" x14ac:dyDescent="0.25">
      <c r="A16228" s="17" t="s">
        <v>43546</v>
      </c>
      <c r="B16228" s="17" t="s">
        <v>70</v>
      </c>
      <c r="C16228" s="17" t="s">
        <v>71</v>
      </c>
      <c r="D16228" t="s">
        <v>10223</v>
      </c>
      <c r="F16228" t="s">
        <v>1564</v>
      </c>
      <c r="K16228" s="18">
        <f>6282221457460</f>
        <v>6282221457460</v>
      </c>
      <c r="N16228" s="17" t="s">
        <v>77</v>
      </c>
      <c r="V16228" s="18">
        <f>6282221457460</f>
        <v>6282221457460</v>
      </c>
    </row>
    <row r="16229" ht="15" customHeight="1" spans="1:22" x14ac:dyDescent="0.25">
      <c r="A16229" s="17" t="s">
        <v>43547</v>
      </c>
      <c r="B16229" s="17" t="s">
        <v>70</v>
      </c>
      <c r="C16229" s="17" t="s">
        <v>71</v>
      </c>
      <c r="D16229" t="s">
        <v>10223</v>
      </c>
      <c r="F16229" t="s">
        <v>30631</v>
      </c>
      <c r="K16229" s="18">
        <f>6281335121318</f>
        <v>6281335121318</v>
      </c>
      <c r="N16229" s="17" t="s">
        <v>74</v>
      </c>
      <c r="V16229" s="18">
        <f>6281335121318</f>
        <v>6281335121318</v>
      </c>
    </row>
    <row r="16230" ht="15" customHeight="1" spans="1:22" x14ac:dyDescent="0.25">
      <c r="A16230" s="17" t="s">
        <v>43548</v>
      </c>
      <c r="B16230" s="17" t="s">
        <v>70</v>
      </c>
      <c r="C16230" s="17" t="s">
        <v>71</v>
      </c>
      <c r="D16230" t="s">
        <v>20380</v>
      </c>
      <c r="F16230" t="s">
        <v>20380</v>
      </c>
      <c r="K16230" s="18">
        <f>628111875758</f>
        <v>628111875758</v>
      </c>
      <c r="N16230" s="17" t="s">
        <v>81</v>
      </c>
      <c r="V16230" s="18">
        <f>628111875758</f>
        <v>628111875758</v>
      </c>
    </row>
    <row r="16231" ht="15" customHeight="1" spans="1:22" x14ac:dyDescent="0.25">
      <c r="A16231" s="17" t="s">
        <v>43549</v>
      </c>
      <c r="B16231" s="17" t="s">
        <v>70</v>
      </c>
      <c r="C16231" s="17" t="s">
        <v>71</v>
      </c>
      <c r="D16231" t="s">
        <v>20380</v>
      </c>
      <c r="F16231" t="s">
        <v>20380</v>
      </c>
      <c r="K16231" s="18">
        <f>6285736279970</f>
        <v>6285736279970</v>
      </c>
      <c r="N16231" s="17" t="s">
        <v>74</v>
      </c>
      <c r="V16231" s="18">
        <f>6285736279970</f>
        <v>6285736279970</v>
      </c>
    </row>
    <row r="16232" ht="15" customHeight="1" spans="1:28" x14ac:dyDescent="0.25">
      <c r="A16232" s="17" t="s">
        <v>43550</v>
      </c>
      <c r="B16232" s="17" t="s">
        <v>70</v>
      </c>
      <c r="C16232" s="17" t="s">
        <v>71</v>
      </c>
      <c r="D16232" t="s">
        <v>20380</v>
      </c>
      <c r="F16232" t="s">
        <v>27610</v>
      </c>
      <c r="J16232" t="s">
        <v>115</v>
      </c>
      <c r="K16232" s="18" t="s">
        <v>43551</v>
      </c>
      <c r="N16232" s="17" t="s">
        <v>81</v>
      </c>
      <c r="O16232" t="s">
        <v>261</v>
      </c>
      <c r="V16232" s="18" t="s">
        <v>43551</v>
      </c>
      <c r="Y16232" t="s">
        <v>90</v>
      </c>
      <c r="AA16232" t="s">
        <v>118</v>
      </c>
      <c r="AB16232" t="s">
        <v>119</v>
      </c>
    </row>
    <row r="16233" ht="15" customHeight="1" spans="1:28" x14ac:dyDescent="0.25">
      <c r="A16233" s="17" t="s">
        <v>43552</v>
      </c>
      <c r="B16233" s="17" t="s">
        <v>70</v>
      </c>
      <c r="C16233" s="17" t="s">
        <v>71</v>
      </c>
      <c r="D16233" t="s">
        <v>20380</v>
      </c>
      <c r="F16233" t="s">
        <v>43553</v>
      </c>
      <c r="J16233" t="s">
        <v>115</v>
      </c>
      <c r="K16233" s="18" t="s">
        <v>43554</v>
      </c>
      <c r="N16233" s="17" t="s">
        <v>77</v>
      </c>
      <c r="O16233" t="s">
        <v>199</v>
      </c>
      <c r="V16233" s="18" t="s">
        <v>43554</v>
      </c>
      <c r="Y16233" t="s">
        <v>90</v>
      </c>
      <c r="AA16233" t="s">
        <v>118</v>
      </c>
      <c r="AB16233" t="s">
        <v>119</v>
      </c>
    </row>
    <row r="16234" ht="15" customHeight="1" spans="1:22" x14ac:dyDescent="0.25">
      <c r="A16234" s="17" t="s">
        <v>43555</v>
      </c>
      <c r="B16234" s="17" t="s">
        <v>70</v>
      </c>
      <c r="C16234" s="17" t="s">
        <v>71</v>
      </c>
      <c r="D16234" t="s">
        <v>20380</v>
      </c>
      <c r="F16234" t="s">
        <v>301</v>
      </c>
      <c r="K16234" s="18">
        <f>6281802871277</f>
        <v>6281802871277</v>
      </c>
      <c r="N16234" s="17" t="s">
        <v>77</v>
      </c>
      <c r="V16234" s="18">
        <f>6281802871277</f>
        <v>6281802871277</v>
      </c>
    </row>
    <row r="16235" ht="15" customHeight="1" spans="1:23" x14ac:dyDescent="0.25">
      <c r="A16235" s="17" t="s">
        <v>43556</v>
      </c>
      <c r="B16235" s="17" t="s">
        <v>70</v>
      </c>
      <c r="C16235" s="17" t="s">
        <v>71</v>
      </c>
      <c r="D16235" t="s">
        <v>29081</v>
      </c>
      <c r="F16235" t="s">
        <v>11695</v>
      </c>
      <c r="K16235" s="18">
        <f>628123499002</f>
        <v>628123499002</v>
      </c>
      <c r="N16235" s="17" t="s">
        <v>77</v>
      </c>
      <c r="U16235" s="17"/>
      <c r="V16235" s="18">
        <f>628123499002</f>
        <v>628123499002</v>
      </c>
      <c r="W16235" t="s">
        <v>43557</v>
      </c>
    </row>
    <row r="16236" ht="15" customHeight="1" spans="1:27" x14ac:dyDescent="0.25">
      <c r="A16236" s="17" t="s">
        <v>43558</v>
      </c>
      <c r="B16236" s="17" t="s">
        <v>70</v>
      </c>
      <c r="C16236" s="17" t="s">
        <v>71</v>
      </c>
      <c r="D16236" t="s">
        <v>43559</v>
      </c>
      <c r="F16236" t="s">
        <v>1093</v>
      </c>
      <c r="K16236" s="18">
        <f>62818806084811</f>
        <v>62818806084811</v>
      </c>
      <c r="N16236" s="17" t="s">
        <v>77</v>
      </c>
      <c r="U16236" s="17"/>
      <c r="V16236" s="18">
        <f>62818806084811</f>
        <v>62818806084811</v>
      </c>
      <c r="W16236" t="s">
        <v>43560</v>
      </c>
      <c r="Y16236" s="17" t="s">
        <v>378</v>
      </c>
      <c r="AA16236" s="17" t="s">
        <v>43561</v>
      </c>
    </row>
    <row r="16237" ht="15" customHeight="1" spans="1:22" x14ac:dyDescent="0.25">
      <c r="A16237" s="17" t="s">
        <v>43562</v>
      </c>
      <c r="B16237" s="17" t="s">
        <v>70</v>
      </c>
      <c r="C16237" s="17" t="s">
        <v>71</v>
      </c>
      <c r="D16237" t="s">
        <v>43559</v>
      </c>
      <c r="F16237" t="s">
        <v>35735</v>
      </c>
      <c r="K16237" s="18">
        <f>62816800385</f>
        <v>62816800385</v>
      </c>
      <c r="N16237" s="17" t="s">
        <v>81</v>
      </c>
      <c r="V16237" s="18">
        <f>62816800385</f>
        <v>62816800385</v>
      </c>
    </row>
    <row r="16238" ht="15" customHeight="1" spans="1:22" x14ac:dyDescent="0.25">
      <c r="A16238" s="17" t="s">
        <v>43563</v>
      </c>
      <c r="B16238" s="17" t="s">
        <v>70</v>
      </c>
      <c r="C16238" s="17" t="s">
        <v>71</v>
      </c>
      <c r="D16238" t="s">
        <v>43564</v>
      </c>
      <c r="F16238" t="s">
        <v>1321</v>
      </c>
      <c r="K16238" s="18">
        <f>628170070752</f>
        <v>628170070752</v>
      </c>
      <c r="N16238" s="17" t="s">
        <v>77</v>
      </c>
      <c r="V16238" s="18">
        <f>628170070752</f>
        <v>628170070752</v>
      </c>
    </row>
    <row r="16239" ht="15" customHeight="1" spans="1:22" x14ac:dyDescent="0.25">
      <c r="A16239" s="17" t="s">
        <v>43565</v>
      </c>
      <c r="B16239" s="17" t="s">
        <v>70</v>
      </c>
      <c r="C16239" s="17" t="s">
        <v>71</v>
      </c>
      <c r="D16239" t="s">
        <v>43566</v>
      </c>
      <c r="F16239" t="s">
        <v>2730</v>
      </c>
      <c r="K16239" s="18">
        <f>628129006933</f>
        <v>628129006933</v>
      </c>
      <c r="N16239" s="17" t="s">
        <v>77</v>
      </c>
      <c r="V16239" s="18">
        <f>628129006933</f>
        <v>628129006933</v>
      </c>
    </row>
    <row r="16240" ht="15" customHeight="1" spans="1:28" x14ac:dyDescent="0.25">
      <c r="A16240" s="17" t="s">
        <v>43567</v>
      </c>
      <c r="B16240" s="17" t="s">
        <v>70</v>
      </c>
      <c r="C16240" s="17" t="s">
        <v>71</v>
      </c>
      <c r="D16240" t="s">
        <v>43566</v>
      </c>
      <c r="F16240" t="s">
        <v>34358</v>
      </c>
      <c r="J16240" t="s">
        <v>115</v>
      </c>
      <c r="K16240" s="18" t="s">
        <v>43568</v>
      </c>
      <c r="N16240" s="17" t="s">
        <v>77</v>
      </c>
      <c r="O16240" t="s">
        <v>261</v>
      </c>
      <c r="U16240" s="17"/>
      <c r="V16240" s="18" t="s">
        <v>43568</v>
      </c>
      <c r="W16240" t="s">
        <v>43569</v>
      </c>
      <c r="Y16240" t="s">
        <v>96</v>
      </c>
      <c r="AA16240" t="s">
        <v>693</v>
      </c>
      <c r="AB16240" t="s">
        <v>119</v>
      </c>
    </row>
    <row r="16241" ht="15" customHeight="1" spans="1:23" x14ac:dyDescent="0.25">
      <c r="A16241" s="17" t="s">
        <v>43570</v>
      </c>
      <c r="B16241" s="17" t="s">
        <v>70</v>
      </c>
      <c r="C16241" s="17" t="s">
        <v>71</v>
      </c>
      <c r="D16241" t="s">
        <v>43571</v>
      </c>
      <c r="F16241" t="s">
        <v>9437</v>
      </c>
      <c r="K16241" s="18">
        <f>6281326010615</f>
        <v>6281326010615</v>
      </c>
      <c r="N16241" s="17" t="s">
        <v>81</v>
      </c>
      <c r="U16241" s="17"/>
      <c r="V16241" s="18">
        <f>6281326010615</f>
        <v>6281326010615</v>
      </c>
      <c r="W16241" t="s">
        <v>43572</v>
      </c>
    </row>
    <row r="16242" ht="15" customHeight="1" spans="1:22" x14ac:dyDescent="0.25">
      <c r="A16242" s="17" t="s">
        <v>43573</v>
      </c>
      <c r="B16242" s="17" t="s">
        <v>70</v>
      </c>
      <c r="C16242" s="17" t="s">
        <v>71</v>
      </c>
      <c r="D16242" t="s">
        <v>43574</v>
      </c>
      <c r="F16242" t="s">
        <v>43575</v>
      </c>
      <c r="K16242" s="18">
        <f>628111905370</f>
        <v>628111905370</v>
      </c>
      <c r="N16242" s="17" t="s">
        <v>77</v>
      </c>
      <c r="V16242" s="18">
        <f>628111905370</f>
        <v>628111905370</v>
      </c>
    </row>
    <row r="16243" ht="15" customHeight="1" spans="1:22" x14ac:dyDescent="0.25">
      <c r="A16243" s="17" t="s">
        <v>43576</v>
      </c>
      <c r="B16243" s="17" t="s">
        <v>70</v>
      </c>
      <c r="C16243" s="17" t="s">
        <v>71</v>
      </c>
      <c r="D16243" t="s">
        <v>43574</v>
      </c>
      <c r="F16243" t="s">
        <v>40971</v>
      </c>
      <c r="K16243" s="18">
        <f>62811958131</f>
        <v>62811958131</v>
      </c>
      <c r="N16243" s="17" t="s">
        <v>77</v>
      </c>
      <c r="V16243" s="18">
        <f>62811958131</f>
        <v>62811958131</v>
      </c>
    </row>
    <row r="16244" ht="15" customHeight="1" spans="1:28" x14ac:dyDescent="0.25">
      <c r="A16244" s="17" t="s">
        <v>43577</v>
      </c>
      <c r="B16244" s="17" t="s">
        <v>70</v>
      </c>
      <c r="C16244" s="17" t="s">
        <v>71</v>
      </c>
      <c r="D16244" t="s">
        <v>43578</v>
      </c>
      <c r="F16244" t="s">
        <v>43579</v>
      </c>
      <c r="J16244" s="17" t="s">
        <v>43580</v>
      </c>
      <c r="K16244" s="18" t="s">
        <v>43581</v>
      </c>
      <c r="N16244" s="17" t="s">
        <v>77</v>
      </c>
      <c r="O16244" t="s">
        <v>117</v>
      </c>
      <c r="U16244" s="17"/>
      <c r="V16244" s="18" t="s">
        <v>43581</v>
      </c>
      <c r="W16244" t="s">
        <v>43582</v>
      </c>
      <c r="Y16244" t="s">
        <v>90</v>
      </c>
      <c r="AA16244" t="s">
        <v>118</v>
      </c>
      <c r="AB16244" t="s">
        <v>119</v>
      </c>
    </row>
    <row r="16245" ht="15" customHeight="1" spans="1:22" x14ac:dyDescent="0.25">
      <c r="A16245" s="17" t="s">
        <v>43583</v>
      </c>
      <c r="B16245" s="17" t="s">
        <v>70</v>
      </c>
      <c r="C16245" s="17" t="s">
        <v>71</v>
      </c>
      <c r="D16245" t="s">
        <v>11557</v>
      </c>
      <c r="F16245" t="s">
        <v>11557</v>
      </c>
      <c r="K16245" s="18">
        <f>6287711191552</f>
        <v>6287711191552</v>
      </c>
      <c r="N16245" s="17" t="s">
        <v>81</v>
      </c>
      <c r="V16245" s="18">
        <f>6287711191552</f>
        <v>6287711191552</v>
      </c>
    </row>
    <row r="16246" ht="15" customHeight="1" spans="1:22" x14ac:dyDescent="0.25">
      <c r="A16246" s="17" t="s">
        <v>43584</v>
      </c>
      <c r="B16246" s="17" t="s">
        <v>70</v>
      </c>
      <c r="C16246" s="17" t="s">
        <v>71</v>
      </c>
      <c r="D16246" t="s">
        <v>11557</v>
      </c>
      <c r="F16246" t="s">
        <v>11557</v>
      </c>
      <c r="K16246" s="18">
        <f>628161454959</f>
        <v>628161454959</v>
      </c>
      <c r="N16246" s="17" t="s">
        <v>81</v>
      </c>
      <c r="V16246" s="18">
        <f>628161454959</f>
        <v>628161454959</v>
      </c>
    </row>
    <row r="16247" ht="15" customHeight="1" spans="1:22" x14ac:dyDescent="0.25">
      <c r="A16247" s="17" t="s">
        <v>43585</v>
      </c>
      <c r="B16247" s="17" t="s">
        <v>70</v>
      </c>
      <c r="C16247" s="17" t="s">
        <v>71</v>
      </c>
      <c r="D16247" t="s">
        <v>11557</v>
      </c>
      <c r="F16247" t="s">
        <v>11557</v>
      </c>
      <c r="K16247" s="18">
        <f>6281268828022</f>
        <v>6281268828022</v>
      </c>
      <c r="N16247" s="17" t="s">
        <v>81</v>
      </c>
      <c r="V16247" s="18">
        <f>6281268828022</f>
        <v>6281268828022</v>
      </c>
    </row>
    <row r="16248" ht="15" customHeight="1" spans="1:22" x14ac:dyDescent="0.25">
      <c r="A16248" s="17" t="s">
        <v>43586</v>
      </c>
      <c r="B16248" s="17" t="s">
        <v>70</v>
      </c>
      <c r="C16248" s="17" t="s">
        <v>71</v>
      </c>
      <c r="D16248" t="s">
        <v>11557</v>
      </c>
      <c r="F16248" t="s">
        <v>43587</v>
      </c>
      <c r="K16248" s="18">
        <f>6281290229022</f>
        <v>6281290229022</v>
      </c>
      <c r="N16248" s="17" t="s">
        <v>77</v>
      </c>
      <c r="V16248" s="18">
        <f>6281290229022</f>
        <v>6281290229022</v>
      </c>
    </row>
    <row r="16249" ht="15" customHeight="1" spans="1:22" x14ac:dyDescent="0.25">
      <c r="A16249" s="17" t="s">
        <v>43588</v>
      </c>
      <c r="B16249" s="17" t="s">
        <v>70</v>
      </c>
      <c r="C16249" s="17" t="s">
        <v>71</v>
      </c>
      <c r="D16249" t="s">
        <v>11557</v>
      </c>
      <c r="F16249" t="s">
        <v>43589</v>
      </c>
      <c r="J16249" s="17" t="s">
        <v>43590</v>
      </c>
      <c r="K16249" s="18">
        <f>6287875567761</f>
        <v>6287875567761</v>
      </c>
      <c r="N16249" s="17" t="s">
        <v>77</v>
      </c>
      <c r="V16249" s="18">
        <f>6287875567761</f>
        <v>6287875567761</v>
      </c>
    </row>
    <row r="16250" ht="15" customHeight="1" spans="1:28" x14ac:dyDescent="0.25">
      <c r="A16250" s="17" t="s">
        <v>43591</v>
      </c>
      <c r="B16250" s="17" t="s">
        <v>70</v>
      </c>
      <c r="C16250" s="17" t="s">
        <v>71</v>
      </c>
      <c r="D16250" t="s">
        <v>11557</v>
      </c>
      <c r="F16250" t="s">
        <v>43592</v>
      </c>
      <c r="J16250" t="s">
        <v>115</v>
      </c>
      <c r="K16250" s="18" t="s">
        <v>43593</v>
      </c>
      <c r="N16250" s="17" t="s">
        <v>77</v>
      </c>
      <c r="O16250" t="s">
        <v>117</v>
      </c>
      <c r="V16250" s="18" t="s">
        <v>43593</v>
      </c>
      <c r="Y16250" t="s">
        <v>115</v>
      </c>
      <c r="AA16250" t="s">
        <v>115</v>
      </c>
      <c r="AB16250" t="s">
        <v>119</v>
      </c>
    </row>
    <row r="16251" ht="15" customHeight="1" spans="1:23" x14ac:dyDescent="0.25">
      <c r="A16251" s="17" t="s">
        <v>43594</v>
      </c>
      <c r="B16251" s="17" t="s">
        <v>70</v>
      </c>
      <c r="C16251" s="17" t="s">
        <v>71</v>
      </c>
      <c r="D16251" t="s">
        <v>11557</v>
      </c>
      <c r="F16251" t="s">
        <v>13843</v>
      </c>
      <c r="K16251" s="18">
        <f>628113897070</f>
        <v>628113897070</v>
      </c>
      <c r="N16251" s="17" t="s">
        <v>74</v>
      </c>
      <c r="U16251" s="17"/>
      <c r="V16251" s="18">
        <f>628113897070</f>
        <v>628113897070</v>
      </c>
      <c r="W16251" t="s">
        <v>43595</v>
      </c>
    </row>
    <row r="16252" ht="15" customHeight="1" spans="1:22" x14ac:dyDescent="0.25">
      <c r="A16252" s="17" t="s">
        <v>43596</v>
      </c>
      <c r="B16252" s="17" t="s">
        <v>70</v>
      </c>
      <c r="C16252" s="17" t="s">
        <v>71</v>
      </c>
      <c r="D16252" t="s">
        <v>11557</v>
      </c>
      <c r="F16252" t="s">
        <v>672</v>
      </c>
      <c r="K16252" s="18">
        <f>62811138000</f>
        <v>62811138000</v>
      </c>
      <c r="N16252" s="17" t="s">
        <v>74</v>
      </c>
      <c r="V16252" s="18">
        <f>62811138000</f>
        <v>62811138000</v>
      </c>
    </row>
    <row r="16253" ht="15" customHeight="1" spans="1:22" x14ac:dyDescent="0.25">
      <c r="A16253" s="17" t="s">
        <v>43597</v>
      </c>
      <c r="B16253" s="17" t="s">
        <v>70</v>
      </c>
      <c r="C16253" s="17" t="s">
        <v>71</v>
      </c>
      <c r="D16253" t="s">
        <v>43598</v>
      </c>
      <c r="F16253" t="s">
        <v>672</v>
      </c>
      <c r="J16253" s="17" t="s">
        <v>43599</v>
      </c>
      <c r="K16253" s="18">
        <f>62817144534</f>
        <v>62817144534</v>
      </c>
      <c r="N16253" s="17" t="s">
        <v>81</v>
      </c>
      <c r="V16253" s="18">
        <f>62817144534</f>
        <v>62817144534</v>
      </c>
    </row>
    <row r="16254" ht="15" customHeight="1" spans="1:23" x14ac:dyDescent="0.25">
      <c r="A16254" s="17" t="s">
        <v>43600</v>
      </c>
      <c r="B16254" s="17" t="s">
        <v>70</v>
      </c>
      <c r="C16254" s="17" t="s">
        <v>71</v>
      </c>
      <c r="D16254" t="s">
        <v>43601</v>
      </c>
      <c r="F16254" t="s">
        <v>43602</v>
      </c>
      <c r="K16254" s="18">
        <f>628111831108</f>
        <v>628111831108</v>
      </c>
      <c r="N16254" s="17" t="s">
        <v>77</v>
      </c>
      <c r="U16254" s="17"/>
      <c r="V16254" s="18">
        <f>628111831108</f>
        <v>628111831108</v>
      </c>
      <c r="W16254" t="s">
        <v>43603</v>
      </c>
    </row>
    <row r="16255" ht="15" customHeight="1" spans="1:22" x14ac:dyDescent="0.25">
      <c r="A16255" s="17" t="s">
        <v>43604</v>
      </c>
      <c r="B16255" s="17" t="s">
        <v>70</v>
      </c>
      <c r="C16255" s="17" t="s">
        <v>71</v>
      </c>
      <c r="D16255" t="s">
        <v>32180</v>
      </c>
      <c r="F16255" t="s">
        <v>30083</v>
      </c>
      <c r="K16255" s="18">
        <f>6281289801161</f>
        <v>6281289801161</v>
      </c>
      <c r="N16255" s="17" t="s">
        <v>77</v>
      </c>
      <c r="V16255" s="18">
        <f>6281289801161</f>
        <v>6281289801161</v>
      </c>
    </row>
    <row r="16256" ht="15" customHeight="1" spans="1:22" x14ac:dyDescent="0.25">
      <c r="A16256" s="17" t="s">
        <v>43605</v>
      </c>
      <c r="B16256" s="17" t="s">
        <v>70</v>
      </c>
      <c r="C16256" s="17" t="s">
        <v>71</v>
      </c>
      <c r="D16256" t="s">
        <v>7002</v>
      </c>
      <c r="F16256" t="s">
        <v>167</v>
      </c>
      <c r="K16256" s="18">
        <f>6282186888188</f>
        <v>6282186888188</v>
      </c>
      <c r="N16256" s="17" t="s">
        <v>74</v>
      </c>
      <c r="V16256" s="18">
        <f>6282186888188</f>
        <v>6282186888188</v>
      </c>
    </row>
    <row r="16257" ht="15" customHeight="1" spans="1:22" x14ac:dyDescent="0.25">
      <c r="A16257" s="17" t="s">
        <v>43606</v>
      </c>
      <c r="B16257" s="17" t="s">
        <v>70</v>
      </c>
      <c r="C16257" s="17" t="s">
        <v>71</v>
      </c>
      <c r="D16257" t="s">
        <v>7002</v>
      </c>
      <c r="F16257" t="s">
        <v>7002</v>
      </c>
      <c r="K16257" s="18">
        <f>62818062030000</f>
        <v>62818062030000</v>
      </c>
      <c r="N16257" s="17" t="s">
        <v>77</v>
      </c>
      <c r="V16257" s="18">
        <f>62818062030000</f>
        <v>62818062030000</v>
      </c>
    </row>
    <row r="16258" ht="15" customHeight="1" spans="1:23" x14ac:dyDescent="0.25">
      <c r="A16258" s="17" t="s">
        <v>43607</v>
      </c>
      <c r="B16258" s="17" t="s">
        <v>70</v>
      </c>
      <c r="C16258" s="17" t="s">
        <v>71</v>
      </c>
      <c r="D16258" t="s">
        <v>7002</v>
      </c>
      <c r="F16258" t="s">
        <v>7002</v>
      </c>
      <c r="J16258" s="17" t="s">
        <v>43608</v>
      </c>
      <c r="K16258" s="18">
        <f>6281806203000</f>
        <v>6281806203000</v>
      </c>
      <c r="N16258" s="17" t="s">
        <v>81</v>
      </c>
      <c r="U16258" s="17"/>
      <c r="V16258" s="18">
        <f>6281806203000</f>
        <v>6281806203000</v>
      </c>
      <c r="W16258" t="s">
        <v>43609</v>
      </c>
    </row>
    <row r="16259" ht="15" customHeight="1" spans="1:22" x14ac:dyDescent="0.25">
      <c r="A16259" s="17" t="s">
        <v>43610</v>
      </c>
      <c r="B16259" s="17" t="s">
        <v>70</v>
      </c>
      <c r="C16259" s="17" t="s">
        <v>71</v>
      </c>
      <c r="D16259" t="s">
        <v>43611</v>
      </c>
      <c r="F16259" t="s">
        <v>43612</v>
      </c>
      <c r="K16259" s="18">
        <f>62816908903</f>
        <v>62816908903</v>
      </c>
      <c r="N16259" s="17" t="s">
        <v>81</v>
      </c>
      <c r="V16259" s="18">
        <f>62816908903</f>
        <v>62816908903</v>
      </c>
    </row>
    <row r="16260" ht="15" customHeight="1" spans="1:23" x14ac:dyDescent="0.25">
      <c r="A16260" s="17" t="s">
        <v>43613</v>
      </c>
      <c r="B16260" s="17" t="s">
        <v>70</v>
      </c>
      <c r="C16260" s="17" t="s">
        <v>71</v>
      </c>
      <c r="D16260" t="s">
        <v>43614</v>
      </c>
      <c r="F16260" t="s">
        <v>43615</v>
      </c>
      <c r="K16260" s="18">
        <f>62818728270</f>
        <v>62818728270</v>
      </c>
      <c r="N16260" s="17" t="s">
        <v>77</v>
      </c>
      <c r="U16260" s="17"/>
      <c r="V16260" s="18">
        <f>62818728270</f>
        <v>62818728270</v>
      </c>
      <c r="W16260" t="s">
        <v>90</v>
      </c>
    </row>
    <row r="16261" ht="15" customHeight="1" spans="1:22" x14ac:dyDescent="0.25">
      <c r="A16261" s="17" t="s">
        <v>43616</v>
      </c>
      <c r="B16261" s="17" t="s">
        <v>70</v>
      </c>
      <c r="C16261" s="17" t="s">
        <v>71</v>
      </c>
      <c r="D16261" t="s">
        <v>43617</v>
      </c>
      <c r="F16261" t="s">
        <v>6621</v>
      </c>
      <c r="K16261" s="18">
        <f>6281359631337</f>
        <v>6281359631337</v>
      </c>
      <c r="N16261" s="17" t="s">
        <v>77</v>
      </c>
      <c r="V16261" s="18">
        <f>6281359631337</f>
        <v>6281359631337</v>
      </c>
    </row>
    <row r="16262" ht="15" customHeight="1" spans="1:22" x14ac:dyDescent="0.25">
      <c r="A16262" s="17" t="s">
        <v>43618</v>
      </c>
      <c r="B16262" s="17" t="s">
        <v>70</v>
      </c>
      <c r="C16262" s="17" t="s">
        <v>71</v>
      </c>
      <c r="D16262" t="s">
        <v>43619</v>
      </c>
      <c r="F16262" t="s">
        <v>43619</v>
      </c>
      <c r="K16262" s="18">
        <f>6287710205868</f>
        <v>6287710205868</v>
      </c>
      <c r="N16262" s="17" t="s">
        <v>81</v>
      </c>
      <c r="V16262" s="18">
        <f>6287710205868</f>
        <v>6287710205868</v>
      </c>
    </row>
    <row r="16263" ht="15" customHeight="1" spans="1:25" x14ac:dyDescent="0.25">
      <c r="A16263" s="17" t="s">
        <v>43620</v>
      </c>
      <c r="B16263" s="17" t="s">
        <v>70</v>
      </c>
      <c r="C16263" s="17" t="s">
        <v>71</v>
      </c>
      <c r="D16263" t="s">
        <v>43621</v>
      </c>
      <c r="F16263" t="s">
        <v>43621</v>
      </c>
      <c r="K16263" s="18">
        <f>62215404766</f>
        <v>62215404766</v>
      </c>
      <c r="N16263" s="17" t="s">
        <v>77</v>
      </c>
      <c r="U16263" s="17"/>
      <c r="V16263" s="18">
        <f>62215404766</f>
        <v>62215404766</v>
      </c>
      <c r="W16263" t="s">
        <v>43622</v>
      </c>
      <c r="Y16263" s="17" t="s">
        <v>90</v>
      </c>
    </row>
    <row r="16264" ht="15" customHeight="1" spans="1:28" x14ac:dyDescent="0.25">
      <c r="A16264" s="17" t="s">
        <v>43623</v>
      </c>
      <c r="B16264" s="17" t="s">
        <v>70</v>
      </c>
      <c r="C16264" s="17" t="s">
        <v>71</v>
      </c>
      <c r="D16264" t="s">
        <v>19697</v>
      </c>
      <c r="F16264" t="s">
        <v>43624</v>
      </c>
      <c r="J16264" t="s">
        <v>115</v>
      </c>
      <c r="K16264" s="18" t="s">
        <v>43625</v>
      </c>
      <c r="N16264" s="17" t="s">
        <v>77</v>
      </c>
      <c r="O16264" t="s">
        <v>117</v>
      </c>
      <c r="V16264" s="18" t="s">
        <v>43625</v>
      </c>
      <c r="Y16264" t="s">
        <v>90</v>
      </c>
      <c r="AA16264" t="s">
        <v>118</v>
      </c>
      <c r="AB16264" t="s">
        <v>119</v>
      </c>
    </row>
    <row r="16265" ht="15" customHeight="1" spans="1:22" x14ac:dyDescent="0.25">
      <c r="A16265" s="17" t="s">
        <v>43626</v>
      </c>
      <c r="B16265" s="17" t="s">
        <v>70</v>
      </c>
      <c r="C16265" s="17" t="s">
        <v>71</v>
      </c>
      <c r="D16265" t="s">
        <v>19697</v>
      </c>
      <c r="F16265" t="s">
        <v>6095</v>
      </c>
      <c r="K16265" s="18">
        <f>628118504762</f>
        <v>628118504762</v>
      </c>
      <c r="N16265" s="17" t="s">
        <v>81</v>
      </c>
      <c r="V16265" s="18">
        <f>628118504762</f>
        <v>628118504762</v>
      </c>
    </row>
    <row r="16266" ht="15" customHeight="1" spans="1:28" x14ac:dyDescent="0.25">
      <c r="A16266" s="17" t="s">
        <v>43627</v>
      </c>
      <c r="B16266" s="17" t="s">
        <v>70</v>
      </c>
      <c r="C16266" s="17" t="s">
        <v>71</v>
      </c>
      <c r="D16266" t="s">
        <v>43628</v>
      </c>
      <c r="F16266" t="s">
        <v>43629</v>
      </c>
      <c r="J16266" t="s">
        <v>115</v>
      </c>
      <c r="K16266" s="18" t="s">
        <v>43630</v>
      </c>
      <c r="N16266" s="17" t="s">
        <v>81</v>
      </c>
      <c r="O16266" t="s">
        <v>117</v>
      </c>
      <c r="U16266" s="17"/>
      <c r="V16266" s="18" t="s">
        <v>43630</v>
      </c>
      <c r="W16266" t="s">
        <v>43631</v>
      </c>
      <c r="Y16266" t="s">
        <v>90</v>
      </c>
      <c r="AA16266" t="s">
        <v>118</v>
      </c>
      <c r="AB16266" t="s">
        <v>119</v>
      </c>
    </row>
    <row r="16267" ht="15" customHeight="1" spans="1:22" x14ac:dyDescent="0.25">
      <c r="A16267" s="17" t="s">
        <v>43632</v>
      </c>
      <c r="B16267" s="17" t="s">
        <v>70</v>
      </c>
      <c r="C16267" s="17" t="s">
        <v>71</v>
      </c>
      <c r="D16267" t="s">
        <v>43633</v>
      </c>
      <c r="F16267" t="s">
        <v>43634</v>
      </c>
      <c r="K16267" s="18">
        <f>821065062260</f>
        <v>821065062260</v>
      </c>
      <c r="N16267" s="17" t="s">
        <v>81</v>
      </c>
      <c r="V16267" s="18">
        <f>821065062260</f>
        <v>821065062260</v>
      </c>
    </row>
    <row r="16268" ht="15" customHeight="1" spans="1:22" x14ac:dyDescent="0.25">
      <c r="A16268" s="17" t="s">
        <v>43635</v>
      </c>
      <c r="B16268" s="17" t="s">
        <v>70</v>
      </c>
      <c r="C16268" s="17" t="s">
        <v>71</v>
      </c>
      <c r="D16268" t="s">
        <v>20702</v>
      </c>
      <c r="F16268" t="s">
        <v>22500</v>
      </c>
      <c r="K16268" s="18">
        <f>62816752984</f>
        <v>62816752984</v>
      </c>
      <c r="N16268" s="17" t="s">
        <v>77</v>
      </c>
      <c r="V16268" s="18">
        <f>62816752984</f>
        <v>62816752984</v>
      </c>
    </row>
    <row r="16269" ht="15" customHeight="1" spans="1:28" x14ac:dyDescent="0.25">
      <c r="A16269" s="17" t="s">
        <v>43636</v>
      </c>
      <c r="B16269" s="17" t="s">
        <v>70</v>
      </c>
      <c r="C16269" s="17" t="s">
        <v>71</v>
      </c>
      <c r="D16269" t="s">
        <v>20702</v>
      </c>
      <c r="F16269" t="s">
        <v>43637</v>
      </c>
      <c r="J16269" t="s">
        <v>115</v>
      </c>
      <c r="K16269" s="18" t="s">
        <v>43638</v>
      </c>
      <c r="N16269" s="17" t="s">
        <v>77</v>
      </c>
      <c r="O16269" t="s">
        <v>117</v>
      </c>
      <c r="V16269" s="18" t="s">
        <v>43638</v>
      </c>
      <c r="Y16269" t="s">
        <v>90</v>
      </c>
      <c r="AA16269" t="s">
        <v>118</v>
      </c>
      <c r="AB16269" t="s">
        <v>119</v>
      </c>
    </row>
    <row r="16270" ht="15" customHeight="1" spans="1:23" x14ac:dyDescent="0.25">
      <c r="A16270" s="17" t="s">
        <v>43639</v>
      </c>
      <c r="B16270" s="17" t="s">
        <v>70</v>
      </c>
      <c r="C16270" s="17" t="s">
        <v>71</v>
      </c>
      <c r="D16270" t="s">
        <v>20702</v>
      </c>
      <c r="F16270" t="s">
        <v>1869</v>
      </c>
      <c r="K16270" s="18">
        <f>6287818256887</f>
        <v>6287818256887</v>
      </c>
      <c r="N16270" s="17" t="s">
        <v>81</v>
      </c>
      <c r="U16270" s="17"/>
      <c r="V16270" s="18">
        <f>6287818256887</f>
        <v>6287818256887</v>
      </c>
      <c r="W16270" t="s">
        <v>43640</v>
      </c>
    </row>
    <row r="16271" ht="15" customHeight="1" spans="1:23" x14ac:dyDescent="0.25">
      <c r="A16271" s="17" t="s">
        <v>43641</v>
      </c>
      <c r="B16271" s="17" t="s">
        <v>70</v>
      </c>
      <c r="C16271" s="17" t="s">
        <v>71</v>
      </c>
      <c r="D16271" t="s">
        <v>43108</v>
      </c>
      <c r="F16271" t="s">
        <v>6090</v>
      </c>
      <c r="K16271" s="18">
        <f>60122005521</f>
        <v>60122005521</v>
      </c>
      <c r="N16271" s="17" t="s">
        <v>77</v>
      </c>
      <c r="U16271" s="17"/>
      <c r="V16271" s="18">
        <f>60122005521</f>
        <v>60122005521</v>
      </c>
      <c r="W16271" t="s">
        <v>43642</v>
      </c>
    </row>
    <row r="16272" ht="15" customHeight="1" spans="1:23" x14ac:dyDescent="0.25">
      <c r="A16272" s="17" t="s">
        <v>43643</v>
      </c>
      <c r="B16272" s="17" t="s">
        <v>70</v>
      </c>
      <c r="C16272" s="17" t="s">
        <v>71</v>
      </c>
      <c r="D16272" t="s">
        <v>43644</v>
      </c>
      <c r="F16272" t="s">
        <v>13104</v>
      </c>
      <c r="K16272" s="18">
        <f>628119890205</f>
        <v>628119890205</v>
      </c>
      <c r="N16272" s="17" t="s">
        <v>77</v>
      </c>
      <c r="U16272" s="17"/>
      <c r="V16272" s="18">
        <f>628119890205</f>
        <v>628119890205</v>
      </c>
      <c r="W16272" t="s">
        <v>43645</v>
      </c>
    </row>
    <row r="16273" ht="15" customHeight="1" spans="1:23" x14ac:dyDescent="0.25">
      <c r="A16273" s="17" t="s">
        <v>43646</v>
      </c>
      <c r="B16273" s="17" t="s">
        <v>70</v>
      </c>
      <c r="C16273" s="17" t="s">
        <v>71</v>
      </c>
      <c r="D16273" t="s">
        <v>43647</v>
      </c>
      <c r="F16273" t="s">
        <v>3986</v>
      </c>
      <c r="K16273" s="18">
        <f>6287886210100</f>
        <v>6287886210100</v>
      </c>
      <c r="N16273" s="17" t="s">
        <v>77</v>
      </c>
      <c r="U16273" s="17"/>
      <c r="V16273" s="18">
        <f>6287886210100</f>
        <v>6287886210100</v>
      </c>
      <c r="W16273" t="s">
        <v>43648</v>
      </c>
    </row>
    <row r="16274" ht="15" customHeight="1" spans="1:22" x14ac:dyDescent="0.25">
      <c r="A16274" s="17" t="s">
        <v>43649</v>
      </c>
      <c r="B16274" s="17" t="s">
        <v>70</v>
      </c>
      <c r="C16274" s="17" t="s">
        <v>71</v>
      </c>
      <c r="D16274" t="s">
        <v>43650</v>
      </c>
      <c r="F16274" t="s">
        <v>43651</v>
      </c>
      <c r="K16274" s="18">
        <f>62811314962</f>
        <v>62811314962</v>
      </c>
      <c r="N16274" s="17" t="s">
        <v>81</v>
      </c>
      <c r="V16274" s="18">
        <f>62811314962</f>
        <v>62811314962</v>
      </c>
    </row>
    <row r="16275" ht="15" customHeight="1" spans="1:22" x14ac:dyDescent="0.25">
      <c r="A16275" s="17" t="s">
        <v>43652</v>
      </c>
      <c r="B16275" s="17" t="s">
        <v>70</v>
      </c>
      <c r="C16275" s="17" t="s">
        <v>71</v>
      </c>
      <c r="D16275" t="s">
        <v>20767</v>
      </c>
      <c r="F16275" t="s">
        <v>43653</v>
      </c>
      <c r="K16275" s="18">
        <f>6282297059049</f>
        <v>6282297059049</v>
      </c>
      <c r="N16275" s="17" t="s">
        <v>77</v>
      </c>
      <c r="V16275" s="18">
        <f>6282297059049</f>
        <v>6282297059049</v>
      </c>
    </row>
    <row r="16276" ht="15" customHeight="1" spans="1:22" x14ac:dyDescent="0.25">
      <c r="A16276" s="17" t="s">
        <v>43654</v>
      </c>
      <c r="B16276" s="17" t="s">
        <v>70</v>
      </c>
      <c r="C16276" s="17" t="s">
        <v>71</v>
      </c>
      <c r="D16276" t="s">
        <v>43655</v>
      </c>
      <c r="F16276" t="s">
        <v>43655</v>
      </c>
      <c r="K16276" s="18">
        <f>628161985893</f>
        <v>628161985893</v>
      </c>
      <c r="N16276" s="17" t="s">
        <v>74</v>
      </c>
      <c r="V16276" s="18">
        <f>628161985893</f>
        <v>628161985893</v>
      </c>
    </row>
    <row r="16277" ht="15" customHeight="1" spans="1:22" x14ac:dyDescent="0.25">
      <c r="A16277" s="17" t="s">
        <v>43656</v>
      </c>
      <c r="B16277" s="17" t="s">
        <v>70</v>
      </c>
      <c r="C16277" s="17" t="s">
        <v>71</v>
      </c>
      <c r="D16277" t="s">
        <v>43655</v>
      </c>
      <c r="F16277" t="s">
        <v>43655</v>
      </c>
      <c r="K16277" s="18">
        <f>62818779338</f>
        <v>62818779338</v>
      </c>
      <c r="N16277" s="17" t="s">
        <v>77</v>
      </c>
      <c r="V16277" s="18">
        <f>62818779338</f>
        <v>62818779338</v>
      </c>
    </row>
    <row r="16278" ht="15" customHeight="1" spans="1:22" x14ac:dyDescent="0.25">
      <c r="A16278" s="17" t="s">
        <v>43657</v>
      </c>
      <c r="B16278" s="17" t="s">
        <v>70</v>
      </c>
      <c r="C16278" s="17" t="s">
        <v>71</v>
      </c>
      <c r="D16278" t="s">
        <v>43655</v>
      </c>
      <c r="F16278" t="s">
        <v>43658</v>
      </c>
      <c r="K16278" s="18">
        <f>62816866402</f>
        <v>62816866402</v>
      </c>
      <c r="N16278" s="17" t="s">
        <v>77</v>
      </c>
      <c r="V16278" s="18">
        <f>62816866402</f>
        <v>62816866402</v>
      </c>
    </row>
    <row r="16279" ht="15" customHeight="1" spans="1:22" x14ac:dyDescent="0.25">
      <c r="A16279" s="17" t="s">
        <v>43659</v>
      </c>
      <c r="B16279" s="17" t="s">
        <v>70</v>
      </c>
      <c r="C16279" s="17" t="s">
        <v>71</v>
      </c>
      <c r="D16279" t="s">
        <v>43660</v>
      </c>
      <c r="F16279" t="s">
        <v>43660</v>
      </c>
      <c r="K16279" s="18">
        <f>6281584070650</f>
        <v>6281584070650</v>
      </c>
      <c r="N16279" s="17" t="s">
        <v>77</v>
      </c>
      <c r="V16279" s="18">
        <f>6281584070650</f>
        <v>6281584070650</v>
      </c>
    </row>
    <row r="16280" ht="15" customHeight="1" spans="1:22" x14ac:dyDescent="0.25">
      <c r="A16280" s="17" t="s">
        <v>43661</v>
      </c>
      <c r="B16280" s="17" t="s">
        <v>70</v>
      </c>
      <c r="C16280" s="17" t="s">
        <v>71</v>
      </c>
      <c r="D16280" t="s">
        <v>43662</v>
      </c>
      <c r="F16280" t="s">
        <v>43662</v>
      </c>
      <c r="K16280" s="18">
        <f>628128586048</f>
        <v>628128586048</v>
      </c>
      <c r="N16280" s="17" t="s">
        <v>74</v>
      </c>
      <c r="V16280" s="18">
        <f>628128586048</f>
        <v>628128586048</v>
      </c>
    </row>
    <row r="16281" ht="15" customHeight="1" spans="1:22" x14ac:dyDescent="0.25">
      <c r="A16281" s="17" t="s">
        <v>43663</v>
      </c>
      <c r="B16281" s="17" t="s">
        <v>70</v>
      </c>
      <c r="C16281" s="17" t="s">
        <v>71</v>
      </c>
      <c r="D16281" t="s">
        <v>43664</v>
      </c>
      <c r="F16281" t="s">
        <v>43664</v>
      </c>
      <c r="K16281" s="18">
        <f>6282188413963</f>
        <v>6282188413963</v>
      </c>
      <c r="N16281" s="17" t="s">
        <v>77</v>
      </c>
      <c r="V16281" s="18">
        <f>6282188413963</f>
        <v>6282188413963</v>
      </c>
    </row>
    <row r="16282" ht="15" customHeight="1" spans="1:27" x14ac:dyDescent="0.25">
      <c r="A16282" s="17" t="s">
        <v>43665</v>
      </c>
      <c r="B16282" s="17" t="s">
        <v>70</v>
      </c>
      <c r="C16282" s="17" t="s">
        <v>71</v>
      </c>
      <c r="D16282" t="s">
        <v>43666</v>
      </c>
      <c r="F16282" t="s">
        <v>9617</v>
      </c>
      <c r="K16282" s="18">
        <f>62811219889</f>
        <v>62811219889</v>
      </c>
      <c r="N16282" s="17" t="s">
        <v>74</v>
      </c>
      <c r="U16282" s="17"/>
      <c r="V16282" s="18">
        <f>62811219889</f>
        <v>62811219889</v>
      </c>
      <c r="W16282" t="s">
        <v>43667</v>
      </c>
      <c r="Y16282" s="17" t="s">
        <v>96</v>
      </c>
      <c r="AA16282" s="17">
        <v>12410</v>
      </c>
    </row>
    <row r="16283" ht="15" customHeight="1" spans="1:27" x14ac:dyDescent="0.25">
      <c r="A16283" s="17" t="s">
        <v>43668</v>
      </c>
      <c r="B16283" s="17" t="s">
        <v>70</v>
      </c>
      <c r="C16283" s="17" t="s">
        <v>71</v>
      </c>
      <c r="D16283" t="s">
        <v>12751</v>
      </c>
      <c r="F16283" t="s">
        <v>4136</v>
      </c>
      <c r="K16283" s="18">
        <f>62816106352</f>
        <v>62816106352</v>
      </c>
      <c r="N16283" s="17" t="s">
        <v>77</v>
      </c>
      <c r="U16283" s="17"/>
      <c r="V16283" s="18">
        <f>62816106352</f>
        <v>62816106352</v>
      </c>
      <c r="W16283" t="s">
        <v>43669</v>
      </c>
      <c r="Y16283" s="17" t="s">
        <v>96</v>
      </c>
      <c r="AA16283" s="17" t="s">
        <v>13849</v>
      </c>
    </row>
    <row r="16284" ht="15" customHeight="1" spans="1:28" x14ac:dyDescent="0.25">
      <c r="A16284" s="17" t="s">
        <v>43670</v>
      </c>
      <c r="B16284" s="17" t="s">
        <v>70</v>
      </c>
      <c r="C16284" s="17" t="s">
        <v>71</v>
      </c>
      <c r="D16284" t="s">
        <v>43671</v>
      </c>
      <c r="F16284" t="s">
        <v>43672</v>
      </c>
      <c r="J16284" t="s">
        <v>43673</v>
      </c>
      <c r="K16284" s="18" t="s">
        <v>43674</v>
      </c>
      <c r="N16284" s="17" t="s">
        <v>77</v>
      </c>
      <c r="O16284" t="s">
        <v>145</v>
      </c>
      <c r="U16284" s="17"/>
      <c r="V16284" s="18" t="s">
        <v>43674</v>
      </c>
      <c r="W16284" t="s">
        <v>43675</v>
      </c>
      <c r="Y16284" s="17" t="s">
        <v>90</v>
      </c>
      <c r="AA16284" t="s">
        <v>118</v>
      </c>
      <c r="AB16284" t="s">
        <v>119</v>
      </c>
    </row>
    <row r="16285" ht="15" customHeight="1" spans="1:22" x14ac:dyDescent="0.25">
      <c r="A16285" s="17" t="s">
        <v>43676</v>
      </c>
      <c r="B16285" s="17" t="s">
        <v>70</v>
      </c>
      <c r="C16285" s="17" t="s">
        <v>71</v>
      </c>
      <c r="D16285" t="s">
        <v>43677</v>
      </c>
      <c r="F16285" t="s">
        <v>43678</v>
      </c>
      <c r="K16285" s="18">
        <f>62811806472</f>
        <v>62811806472</v>
      </c>
      <c r="N16285" s="17" t="s">
        <v>81</v>
      </c>
      <c r="V16285" s="18">
        <f>62811806472</f>
        <v>62811806472</v>
      </c>
    </row>
    <row r="16286" ht="15" customHeight="1" spans="1:22" x14ac:dyDescent="0.25">
      <c r="A16286" s="17" t="s">
        <v>43679</v>
      </c>
      <c r="B16286" s="17" t="s">
        <v>70</v>
      </c>
      <c r="C16286" s="17" t="s">
        <v>71</v>
      </c>
      <c r="D16286" t="s">
        <v>14668</v>
      </c>
      <c r="F16286" t="s">
        <v>14668</v>
      </c>
      <c r="K16286" s="18">
        <f>628119431388</f>
        <v>628119431388</v>
      </c>
      <c r="N16286" s="17" t="s">
        <v>81</v>
      </c>
      <c r="V16286" s="18">
        <f>628119431388</f>
        <v>628119431388</v>
      </c>
    </row>
    <row r="16287" ht="15" customHeight="1" spans="1:25" x14ac:dyDescent="0.25">
      <c r="A16287" s="17" t="s">
        <v>43680</v>
      </c>
      <c r="B16287" s="17" t="s">
        <v>70</v>
      </c>
      <c r="C16287" s="17" t="s">
        <v>71</v>
      </c>
      <c r="D16287" t="s">
        <v>42217</v>
      </c>
      <c r="F16287" t="s">
        <v>6573</v>
      </c>
      <c r="K16287" s="18">
        <f>6281222402705</f>
        <v>6281222402705</v>
      </c>
      <c r="N16287" s="17" t="s">
        <v>77</v>
      </c>
      <c r="U16287" s="17"/>
      <c r="V16287" s="18">
        <f>6281222402705</f>
        <v>6281222402705</v>
      </c>
      <c r="W16287" t="s">
        <v>43681</v>
      </c>
      <c r="Y16287" t="s">
        <v>500</v>
      </c>
    </row>
    <row r="16288" ht="15" customHeight="1" spans="1:28" x14ac:dyDescent="0.25">
      <c r="A16288" s="17" t="s">
        <v>43682</v>
      </c>
      <c r="B16288" s="17" t="s">
        <v>70</v>
      </c>
      <c r="C16288" s="17" t="s">
        <v>71</v>
      </c>
      <c r="D16288" t="s">
        <v>42217</v>
      </c>
      <c r="F16288" t="s">
        <v>2159</v>
      </c>
      <c r="J16288" t="s">
        <v>115</v>
      </c>
      <c r="K16288" s="18" t="s">
        <v>43683</v>
      </c>
      <c r="N16288" s="17" t="s">
        <v>81</v>
      </c>
      <c r="O16288" t="s">
        <v>145</v>
      </c>
      <c r="V16288" s="18" t="s">
        <v>43683</v>
      </c>
      <c r="Y16288" t="s">
        <v>378</v>
      </c>
      <c r="AA16288" t="s">
        <v>118</v>
      </c>
      <c r="AB16288" t="s">
        <v>119</v>
      </c>
    </row>
    <row r="16289" ht="15" customHeight="1" spans="1:22" x14ac:dyDescent="0.25">
      <c r="A16289" s="17" t="s">
        <v>43684</v>
      </c>
      <c r="B16289" s="17" t="s">
        <v>70</v>
      </c>
      <c r="C16289" s="17" t="s">
        <v>71</v>
      </c>
      <c r="D16289" t="s">
        <v>42217</v>
      </c>
      <c r="F16289" t="s">
        <v>618</v>
      </c>
      <c r="K16289" s="18">
        <f>62811541003</f>
        <v>62811541003</v>
      </c>
      <c r="N16289" s="17" t="s">
        <v>81</v>
      </c>
      <c r="V16289" s="18">
        <f>62811541003</f>
        <v>62811541003</v>
      </c>
    </row>
    <row r="16290" ht="15" customHeight="1" spans="1:28" x14ac:dyDescent="0.25">
      <c r="A16290" s="17" t="s">
        <v>43685</v>
      </c>
      <c r="B16290" s="17" t="s">
        <v>70</v>
      </c>
      <c r="C16290" s="17" t="s">
        <v>71</v>
      </c>
      <c r="D16290" t="s">
        <v>43686</v>
      </c>
      <c r="F16290" t="s">
        <v>3386</v>
      </c>
      <c r="J16290" s="17" t="s">
        <v>43687</v>
      </c>
      <c r="K16290" s="18" t="s">
        <v>43688</v>
      </c>
      <c r="N16290" s="17" t="s">
        <v>77</v>
      </c>
      <c r="O16290" t="s">
        <v>489</v>
      </c>
      <c r="U16290" s="17"/>
      <c r="V16290" s="18" t="s">
        <v>43688</v>
      </c>
      <c r="W16290" t="s">
        <v>43689</v>
      </c>
      <c r="Y16290" s="17" t="s">
        <v>90</v>
      </c>
      <c r="AA16290" s="17" t="s">
        <v>118</v>
      </c>
      <c r="AB16290" t="s">
        <v>119</v>
      </c>
    </row>
    <row r="16291" ht="15" customHeight="1" spans="1:25" x14ac:dyDescent="0.25">
      <c r="A16291" s="17" t="s">
        <v>43690</v>
      </c>
      <c r="B16291" s="17" t="s">
        <v>70</v>
      </c>
      <c r="C16291" s="17" t="s">
        <v>71</v>
      </c>
      <c r="D16291" t="s">
        <v>43686</v>
      </c>
      <c r="F16291" t="s">
        <v>43691</v>
      </c>
      <c r="K16291" s="18">
        <f>62811855288</f>
        <v>62811855288</v>
      </c>
      <c r="N16291" s="17" t="s">
        <v>77</v>
      </c>
      <c r="U16291" s="17"/>
      <c r="V16291" s="18">
        <f>62811855288</f>
        <v>62811855288</v>
      </c>
      <c r="W16291" t="s">
        <v>43692</v>
      </c>
      <c r="Y16291" s="17" t="s">
        <v>90</v>
      </c>
    </row>
    <row r="16292" ht="15" customHeight="1" spans="1:25" x14ac:dyDescent="0.25">
      <c r="A16292" s="17" t="s">
        <v>43693</v>
      </c>
      <c r="B16292" s="17" t="s">
        <v>70</v>
      </c>
      <c r="C16292" s="17" t="s">
        <v>71</v>
      </c>
      <c r="D16292" t="s">
        <v>43686</v>
      </c>
      <c r="F16292" t="s">
        <v>37699</v>
      </c>
      <c r="K16292" s="18">
        <f>6282131430680</f>
        <v>6282131430680</v>
      </c>
      <c r="N16292" s="17" t="s">
        <v>77</v>
      </c>
      <c r="U16292" s="17"/>
      <c r="V16292" s="18">
        <f>6282131430680</f>
        <v>6282131430680</v>
      </c>
      <c r="W16292" t="s">
        <v>43694</v>
      </c>
      <c r="Y16292" s="17" t="s">
        <v>22178</v>
      </c>
    </row>
    <row r="16293" ht="15" customHeight="1" spans="1:22" x14ac:dyDescent="0.25">
      <c r="A16293" s="17" t="s">
        <v>43695</v>
      </c>
      <c r="B16293" s="17" t="s">
        <v>70</v>
      </c>
      <c r="C16293" s="17" t="s">
        <v>71</v>
      </c>
      <c r="D16293" t="s">
        <v>43696</v>
      </c>
      <c r="F16293" t="s">
        <v>43697</v>
      </c>
      <c r="K16293" s="18">
        <f>62816951797</f>
        <v>62816951797</v>
      </c>
      <c r="N16293" s="17" t="s">
        <v>77</v>
      </c>
      <c r="V16293" s="18">
        <f>62816951797</f>
        <v>62816951797</v>
      </c>
    </row>
    <row r="16294" ht="15" customHeight="1" spans="1:27" x14ac:dyDescent="0.25">
      <c r="A16294" s="17" t="s">
        <v>43698</v>
      </c>
      <c r="B16294" s="17" t="s">
        <v>70</v>
      </c>
      <c r="C16294" s="17" t="s">
        <v>71</v>
      </c>
      <c r="D16294" t="s">
        <v>43699</v>
      </c>
      <c r="F16294" t="s">
        <v>43700</v>
      </c>
      <c r="K16294" s="18">
        <f>622123586215</f>
        <v>622123586215</v>
      </c>
      <c r="N16294" s="17" t="s">
        <v>77</v>
      </c>
      <c r="U16294" s="17"/>
      <c r="V16294" s="18">
        <f>622123586215</f>
        <v>622123586215</v>
      </c>
      <c r="W16294" t="s">
        <v>43701</v>
      </c>
      <c r="Y16294" s="17" t="s">
        <v>90</v>
      </c>
      <c r="AA16294" s="17" t="s">
        <v>43702</v>
      </c>
    </row>
    <row r="16295" ht="15" customHeight="1" spans="1:23" x14ac:dyDescent="0.25">
      <c r="A16295" s="17" t="s">
        <v>43703</v>
      </c>
      <c r="B16295" s="17" t="s">
        <v>70</v>
      </c>
      <c r="C16295" s="17" t="s">
        <v>71</v>
      </c>
      <c r="D16295" t="s">
        <v>43704</v>
      </c>
      <c r="F16295" t="s">
        <v>29144</v>
      </c>
      <c r="K16295" s="18">
        <v>9055010414</v>
      </c>
      <c r="N16295" s="17" t="s">
        <v>81</v>
      </c>
      <c r="U16295" s="17"/>
      <c r="V16295" s="18">
        <v>9055010414</v>
      </c>
      <c r="W16295" t="s">
        <v>38732</v>
      </c>
    </row>
    <row r="16296" ht="15" customHeight="1" spans="1:22" x14ac:dyDescent="0.25">
      <c r="A16296" s="17" t="s">
        <v>43705</v>
      </c>
      <c r="B16296" s="17" t="s">
        <v>70</v>
      </c>
      <c r="C16296" s="17" t="s">
        <v>71</v>
      </c>
      <c r="D16296" t="s">
        <v>43706</v>
      </c>
      <c r="F16296" t="s">
        <v>43707</v>
      </c>
      <c r="K16296" s="18">
        <f>62810336615899</f>
        <v>62810336615899</v>
      </c>
      <c r="N16296" s="17" t="s">
        <v>77</v>
      </c>
      <c r="V16296" s="18">
        <f>62810336615899</f>
        <v>62810336615899</v>
      </c>
    </row>
    <row r="16297" ht="15" customHeight="1" spans="1:23" x14ac:dyDescent="0.25">
      <c r="A16297" s="17" t="s">
        <v>43708</v>
      </c>
      <c r="B16297" s="17" t="s">
        <v>70</v>
      </c>
      <c r="C16297" s="17" t="s">
        <v>71</v>
      </c>
      <c r="D16297" t="s">
        <v>43709</v>
      </c>
      <c r="F16297" t="s">
        <v>43710</v>
      </c>
      <c r="K16297" s="18">
        <f>6281380209902</f>
        <v>6281380209902</v>
      </c>
      <c r="N16297" s="17" t="s">
        <v>77</v>
      </c>
      <c r="U16297" s="17"/>
      <c r="V16297" s="18">
        <f>6281380209902</f>
        <v>6281380209902</v>
      </c>
      <c r="W16297" t="s">
        <v>26155</v>
      </c>
    </row>
    <row r="16298" ht="15" customHeight="1" spans="1:22" x14ac:dyDescent="0.25">
      <c r="A16298" s="17" t="s">
        <v>43711</v>
      </c>
      <c r="B16298" s="17" t="s">
        <v>70</v>
      </c>
      <c r="C16298" s="17" t="s">
        <v>71</v>
      </c>
      <c r="D16298" t="s">
        <v>36664</v>
      </c>
      <c r="F16298" t="s">
        <v>20823</v>
      </c>
      <c r="K16298" s="18">
        <f>6282172727230</f>
        <v>6282172727230</v>
      </c>
      <c r="N16298" s="17" t="s">
        <v>81</v>
      </c>
      <c r="V16298" s="18">
        <f>6282172727230</f>
        <v>6282172727230</v>
      </c>
    </row>
    <row r="16299" ht="15" customHeight="1" spans="1:27" x14ac:dyDescent="0.25">
      <c r="A16299" s="17" t="s">
        <v>43712</v>
      </c>
      <c r="B16299" s="17" t="s">
        <v>70</v>
      </c>
      <c r="C16299" s="17" t="s">
        <v>71</v>
      </c>
      <c r="D16299" t="s">
        <v>43713</v>
      </c>
      <c r="F16299" t="s">
        <v>14849</v>
      </c>
      <c r="K16299" s="18">
        <v>7890408</v>
      </c>
      <c r="N16299" s="17" t="s">
        <v>74</v>
      </c>
      <c r="U16299" s="17"/>
      <c r="V16299" s="18">
        <v>7890408</v>
      </c>
      <c r="W16299" t="s">
        <v>43714</v>
      </c>
      <c r="Y16299" s="17" t="s">
        <v>96</v>
      </c>
      <c r="AA16299" s="17" t="s">
        <v>11165</v>
      </c>
    </row>
    <row r="16300" ht="15" customHeight="1" spans="1:28" x14ac:dyDescent="0.25">
      <c r="A16300" s="17" t="s">
        <v>43715</v>
      </c>
      <c r="B16300" s="17" t="s">
        <v>70</v>
      </c>
      <c r="C16300" s="17" t="s">
        <v>71</v>
      </c>
      <c r="D16300" t="s">
        <v>43716</v>
      </c>
      <c r="F16300" t="s">
        <v>5681</v>
      </c>
      <c r="J16300" t="s">
        <v>115</v>
      </c>
      <c r="K16300" s="18" t="s">
        <v>43717</v>
      </c>
      <c r="N16300" s="17" t="s">
        <v>77</v>
      </c>
      <c r="O16300" t="s">
        <v>117</v>
      </c>
      <c r="V16300" s="18" t="s">
        <v>43717</v>
      </c>
      <c r="Y16300" t="s">
        <v>90</v>
      </c>
      <c r="AA16300" t="s">
        <v>118</v>
      </c>
      <c r="AB16300" t="s">
        <v>119</v>
      </c>
    </row>
    <row r="16301" ht="15" customHeight="1" spans="1:28" x14ac:dyDescent="0.25">
      <c r="A16301" s="17" t="s">
        <v>43718</v>
      </c>
      <c r="B16301" s="17" t="s">
        <v>70</v>
      </c>
      <c r="C16301" s="17" t="s">
        <v>71</v>
      </c>
      <c r="D16301" t="s">
        <v>43719</v>
      </c>
      <c r="F16301" t="s">
        <v>4669</v>
      </c>
      <c r="J16301" s="17" t="s">
        <v>43720</v>
      </c>
      <c r="K16301" s="18" t="s">
        <v>43721</v>
      </c>
      <c r="N16301" s="17" t="s">
        <v>81</v>
      </c>
      <c r="O16301" t="s">
        <v>199</v>
      </c>
      <c r="V16301" s="18" t="s">
        <v>43721</v>
      </c>
      <c r="Y16301" t="s">
        <v>181</v>
      </c>
      <c r="AA16301" t="s">
        <v>1672</v>
      </c>
      <c r="AB16301" t="s">
        <v>119</v>
      </c>
    </row>
    <row r="16302" ht="15" customHeight="1" spans="1:23" x14ac:dyDescent="0.25">
      <c r="A16302" s="17" t="s">
        <v>43722</v>
      </c>
      <c r="B16302" s="17" t="s">
        <v>70</v>
      </c>
      <c r="C16302" s="17" t="s">
        <v>71</v>
      </c>
      <c r="D16302" t="s">
        <v>43723</v>
      </c>
      <c r="F16302" t="s">
        <v>4835</v>
      </c>
      <c r="K16302" s="18">
        <f>6281539200666</f>
        <v>6281539200666</v>
      </c>
      <c r="N16302" s="17" t="s">
        <v>77</v>
      </c>
      <c r="U16302" s="17"/>
      <c r="V16302" s="18">
        <f>6281539200666</f>
        <v>6281539200666</v>
      </c>
      <c r="W16302" t="s">
        <v>43724</v>
      </c>
    </row>
    <row r="16303" ht="15" customHeight="1" spans="1:25" x14ac:dyDescent="0.25">
      <c r="A16303" s="17" t="s">
        <v>43725</v>
      </c>
      <c r="B16303" s="17" t="s">
        <v>70</v>
      </c>
      <c r="C16303" s="17" t="s">
        <v>71</v>
      </c>
      <c r="D16303" t="s">
        <v>43723</v>
      </c>
      <c r="F16303" t="s">
        <v>6415</v>
      </c>
      <c r="K16303" s="18">
        <f>6287883888559</f>
        <v>6287883888559</v>
      </c>
      <c r="N16303" s="17" t="s">
        <v>81</v>
      </c>
      <c r="U16303" s="17"/>
      <c r="V16303" s="18">
        <f>6287883888559</f>
        <v>6287883888559</v>
      </c>
      <c r="W16303" t="s">
        <v>43726</v>
      </c>
      <c r="Y16303" s="17" t="s">
        <v>90</v>
      </c>
    </row>
    <row r="16304" ht="15" customHeight="1" spans="1:22" x14ac:dyDescent="0.25">
      <c r="A16304" s="17" t="s">
        <v>43727</v>
      </c>
      <c r="B16304" s="17" t="s">
        <v>70</v>
      </c>
      <c r="C16304" s="17" t="s">
        <v>71</v>
      </c>
      <c r="D16304" t="s">
        <v>43723</v>
      </c>
      <c r="F16304" t="s">
        <v>43728</v>
      </c>
      <c r="K16304" s="18">
        <f>6281884867747</f>
        <v>6281884867747</v>
      </c>
      <c r="N16304" s="17" t="s">
        <v>77</v>
      </c>
      <c r="V16304" s="18">
        <f>6281884867747</f>
        <v>6281884867747</v>
      </c>
    </row>
    <row r="16305" ht="15" customHeight="1" spans="1:22" x14ac:dyDescent="0.25">
      <c r="A16305" s="17" t="s">
        <v>43729</v>
      </c>
      <c r="B16305" s="17" t="s">
        <v>70</v>
      </c>
      <c r="C16305" s="17" t="s">
        <v>71</v>
      </c>
      <c r="D16305" t="s">
        <v>43730</v>
      </c>
      <c r="F16305" t="s">
        <v>1391</v>
      </c>
      <c r="K16305" s="18">
        <f>6281213737355</f>
        <v>6281213737355</v>
      </c>
      <c r="N16305" s="17" t="s">
        <v>77</v>
      </c>
      <c r="V16305" s="18">
        <f>6281213737355</f>
        <v>6281213737355</v>
      </c>
    </row>
    <row r="16306" ht="15" customHeight="1" spans="1:25" x14ac:dyDescent="0.25">
      <c r="A16306" s="17" t="s">
        <v>43731</v>
      </c>
      <c r="B16306" s="17" t="s">
        <v>70</v>
      </c>
      <c r="C16306" s="17" t="s">
        <v>71</v>
      </c>
      <c r="D16306" t="s">
        <v>43732</v>
      </c>
      <c r="F16306" t="s">
        <v>43732</v>
      </c>
      <c r="K16306" s="18">
        <f>628129917077</f>
        <v>628129917077</v>
      </c>
      <c r="N16306" s="17" t="s">
        <v>77</v>
      </c>
      <c r="U16306" s="17"/>
      <c r="V16306" s="18">
        <f>628129917077</f>
        <v>628129917077</v>
      </c>
      <c r="W16306" t="s">
        <v>43733</v>
      </c>
      <c r="Y16306" s="17" t="s">
        <v>90</v>
      </c>
    </row>
    <row r="16307" ht="15" customHeight="1" spans="1:28" x14ac:dyDescent="0.25">
      <c r="A16307" s="17" t="s">
        <v>43734</v>
      </c>
      <c r="B16307" s="17" t="s">
        <v>70</v>
      </c>
      <c r="C16307" s="17" t="s">
        <v>71</v>
      </c>
      <c r="D16307" t="s">
        <v>43735</v>
      </c>
      <c r="F16307" t="s">
        <v>43735</v>
      </c>
      <c r="J16307" t="s">
        <v>115</v>
      </c>
      <c r="K16307" s="18" t="s">
        <v>43736</v>
      </c>
      <c r="N16307" s="17" t="s">
        <v>77</v>
      </c>
      <c r="O16307" t="s">
        <v>117</v>
      </c>
      <c r="V16307" s="18" t="s">
        <v>43736</v>
      </c>
      <c r="Y16307" t="s">
        <v>190</v>
      </c>
      <c r="AA16307" t="s">
        <v>118</v>
      </c>
      <c r="AB16307" t="s">
        <v>119</v>
      </c>
    </row>
    <row r="16308" ht="15" customHeight="1" spans="1:22" x14ac:dyDescent="0.25">
      <c r="A16308" s="17" t="s">
        <v>43737</v>
      </c>
      <c r="B16308" s="17" t="s">
        <v>70</v>
      </c>
      <c r="C16308" s="17" t="s">
        <v>71</v>
      </c>
      <c r="D16308" t="s">
        <v>43738</v>
      </c>
      <c r="F16308" t="s">
        <v>17375</v>
      </c>
      <c r="K16308" s="18">
        <f>628176499912</f>
        <v>628176499912</v>
      </c>
      <c r="N16308" s="17" t="s">
        <v>77</v>
      </c>
      <c r="V16308" s="18">
        <f>628176499912</f>
        <v>628176499912</v>
      </c>
    </row>
    <row r="16309" ht="15" customHeight="1" spans="1:28" x14ac:dyDescent="0.25">
      <c r="A16309" s="17" t="s">
        <v>43739</v>
      </c>
      <c r="B16309" s="17" t="s">
        <v>70</v>
      </c>
      <c r="C16309" s="17" t="s">
        <v>71</v>
      </c>
      <c r="D16309" t="s">
        <v>43738</v>
      </c>
      <c r="F16309" t="s">
        <v>43740</v>
      </c>
      <c r="J16309" t="s">
        <v>115</v>
      </c>
      <c r="K16309" s="18" t="s">
        <v>43741</v>
      </c>
      <c r="N16309" s="17" t="s">
        <v>77</v>
      </c>
      <c r="O16309" t="s">
        <v>199</v>
      </c>
      <c r="V16309" s="18" t="s">
        <v>43741</v>
      </c>
      <c r="Y16309" t="s">
        <v>6942</v>
      </c>
      <c r="AA16309" t="s">
        <v>115</v>
      </c>
      <c r="AB16309" t="s">
        <v>119</v>
      </c>
    </row>
    <row r="16310" ht="15" customHeight="1" spans="1:27" x14ac:dyDescent="0.25">
      <c r="A16310" s="17" t="s">
        <v>43742</v>
      </c>
      <c r="B16310" s="17" t="s">
        <v>70</v>
      </c>
      <c r="C16310" s="17" t="s">
        <v>71</v>
      </c>
      <c r="D16310" t="s">
        <v>43743</v>
      </c>
      <c r="F16310" t="s">
        <v>2563</v>
      </c>
      <c r="K16310" s="18">
        <f>62811185224</f>
        <v>62811185224</v>
      </c>
      <c r="N16310" s="17" t="s">
        <v>77</v>
      </c>
      <c r="U16310" s="17"/>
      <c r="V16310" s="18">
        <f>62811185224</f>
        <v>62811185224</v>
      </c>
      <c r="W16310" t="s">
        <v>43744</v>
      </c>
      <c r="Y16310" s="17" t="s">
        <v>378</v>
      </c>
      <c r="AA16310" s="17" t="s">
        <v>40477</v>
      </c>
    </row>
    <row r="16311" ht="15" customHeight="1" spans="1:22" x14ac:dyDescent="0.25">
      <c r="A16311" s="17" t="s">
        <v>43745</v>
      </c>
      <c r="B16311" s="17" t="s">
        <v>70</v>
      </c>
      <c r="C16311" s="17" t="s">
        <v>71</v>
      </c>
      <c r="D16311" t="s">
        <v>26573</v>
      </c>
      <c r="F16311" t="s">
        <v>2730</v>
      </c>
      <c r="K16311" s="18">
        <f>6281310713111</f>
        <v>6281310713111</v>
      </c>
      <c r="N16311" s="17" t="s">
        <v>77</v>
      </c>
      <c r="V16311" s="18">
        <f>6281310713111</f>
        <v>6281310713111</v>
      </c>
    </row>
    <row r="16312" ht="15" customHeight="1" spans="1:22" x14ac:dyDescent="0.25">
      <c r="A16312" s="17" t="s">
        <v>43746</v>
      </c>
      <c r="B16312" s="17" t="s">
        <v>70</v>
      </c>
      <c r="C16312" s="17" t="s">
        <v>71</v>
      </c>
      <c r="D16312" t="s">
        <v>26573</v>
      </c>
      <c r="F16312" t="s">
        <v>5712</v>
      </c>
      <c r="J16312" s="17" t="s">
        <v>43747</v>
      </c>
      <c r="K16312" s="18">
        <f>6281280103938</f>
        <v>6281280103938</v>
      </c>
      <c r="N16312" s="17" t="s">
        <v>77</v>
      </c>
      <c r="V16312" s="18">
        <f>6281280103938</f>
        <v>6281280103938</v>
      </c>
    </row>
    <row r="16313" ht="15" customHeight="1" spans="1:25" x14ac:dyDescent="0.25">
      <c r="A16313" s="17" t="s">
        <v>43748</v>
      </c>
      <c r="B16313" s="17" t="s">
        <v>70</v>
      </c>
      <c r="C16313" s="17" t="s">
        <v>71</v>
      </c>
      <c r="D16313" t="s">
        <v>43749</v>
      </c>
      <c r="F16313" t="s">
        <v>43750</v>
      </c>
      <c r="K16313" s="18">
        <f>62811153628</f>
        <v>62811153628</v>
      </c>
      <c r="N16313" s="17" t="s">
        <v>77</v>
      </c>
      <c r="U16313" s="17"/>
      <c r="V16313" s="18">
        <f>62811153628</f>
        <v>62811153628</v>
      </c>
      <c r="W16313" t="s">
        <v>43751</v>
      </c>
      <c r="Y16313" s="17" t="s">
        <v>90</v>
      </c>
    </row>
    <row r="16314" ht="15" customHeight="1" spans="1:22" x14ac:dyDescent="0.25">
      <c r="A16314" s="17" t="s">
        <v>43752</v>
      </c>
      <c r="B16314" s="17" t="s">
        <v>70</v>
      </c>
      <c r="C16314" s="17" t="s">
        <v>71</v>
      </c>
      <c r="D16314" t="s">
        <v>43753</v>
      </c>
      <c r="F16314" t="s">
        <v>43754</v>
      </c>
      <c r="K16314" s="18">
        <f>6281218048610</f>
        <v>6281218048610</v>
      </c>
      <c r="N16314" s="17" t="s">
        <v>77</v>
      </c>
      <c r="V16314" s="18" t="s">
        <v>43755</v>
      </c>
    </row>
    <row r="16315" ht="15" customHeight="1" spans="1:28" x14ac:dyDescent="0.25">
      <c r="A16315" s="17" t="s">
        <v>43756</v>
      </c>
      <c r="B16315" s="17" t="s">
        <v>70</v>
      </c>
      <c r="C16315" s="17" t="s">
        <v>71</v>
      </c>
      <c r="D16315" t="s">
        <v>43757</v>
      </c>
      <c r="F16315" t="s">
        <v>7944</v>
      </c>
      <c r="J16315" t="s">
        <v>115</v>
      </c>
      <c r="K16315" s="18" t="s">
        <v>43758</v>
      </c>
      <c r="N16315" s="17" t="s">
        <v>77</v>
      </c>
      <c r="O16315" t="s">
        <v>145</v>
      </c>
      <c r="U16315" s="17"/>
      <c r="V16315" s="18" t="s">
        <v>43758</v>
      </c>
      <c r="W16315" t="s">
        <v>43759</v>
      </c>
      <c r="Y16315" t="s">
        <v>190</v>
      </c>
      <c r="AA16315" t="s">
        <v>118</v>
      </c>
      <c r="AB16315" t="s">
        <v>119</v>
      </c>
    </row>
    <row r="16316" ht="15" customHeight="1" spans="1:22" x14ac:dyDescent="0.25">
      <c r="A16316" s="17" t="s">
        <v>43760</v>
      </c>
      <c r="B16316" s="17" t="s">
        <v>70</v>
      </c>
      <c r="C16316" s="17" t="s">
        <v>71</v>
      </c>
      <c r="D16316" t="s">
        <v>43753</v>
      </c>
      <c r="F16316" t="s">
        <v>33126</v>
      </c>
      <c r="K16316" s="18">
        <f>6281383063880</f>
        <v>6281383063880</v>
      </c>
      <c r="N16316" s="17" t="s">
        <v>77</v>
      </c>
      <c r="V16316" s="18">
        <f>6281383063880</f>
        <v>6281383063880</v>
      </c>
    </row>
    <row r="16317" ht="15" customHeight="1" spans="1:22" x14ac:dyDescent="0.25">
      <c r="A16317" s="17" t="s">
        <v>43761</v>
      </c>
      <c r="B16317" s="17" t="s">
        <v>70</v>
      </c>
      <c r="C16317" s="17" t="s">
        <v>71</v>
      </c>
      <c r="D16317" t="s">
        <v>43753</v>
      </c>
      <c r="F16317" t="s">
        <v>17672</v>
      </c>
      <c r="K16317" s="18">
        <f>6281281313112</f>
        <v>6281281313112</v>
      </c>
      <c r="N16317" s="17" t="s">
        <v>81</v>
      </c>
      <c r="V16317" s="18">
        <f>6281281313112</f>
        <v>6281281313112</v>
      </c>
    </row>
    <row r="16318" ht="15" customHeight="1" spans="1:23" x14ac:dyDescent="0.25">
      <c r="A16318" s="17" t="s">
        <v>43762</v>
      </c>
      <c r="B16318" s="17" t="s">
        <v>70</v>
      </c>
      <c r="C16318" s="17" t="s">
        <v>71</v>
      </c>
      <c r="D16318" t="s">
        <v>43763</v>
      </c>
      <c r="F16318" t="s">
        <v>43764</v>
      </c>
      <c r="J16318" s="17" t="s">
        <v>43765</v>
      </c>
      <c r="K16318" s="18">
        <f>818047908881</f>
        <v>818047908881</v>
      </c>
      <c r="N16318" s="17" t="s">
        <v>77</v>
      </c>
      <c r="U16318" s="17"/>
      <c r="V16318" s="18">
        <f>818047908881</f>
        <v>818047908881</v>
      </c>
      <c r="W16318" t="s">
        <v>3140</v>
      </c>
    </row>
    <row r="16319" ht="15" customHeight="1" spans="1:28" x14ac:dyDescent="0.25">
      <c r="A16319" s="17" t="s">
        <v>43766</v>
      </c>
      <c r="B16319" s="17" t="s">
        <v>70</v>
      </c>
      <c r="C16319" s="17" t="s">
        <v>71</v>
      </c>
      <c r="D16319" t="s">
        <v>43767</v>
      </c>
      <c r="F16319" t="s">
        <v>150</v>
      </c>
      <c r="J16319" t="s">
        <v>115</v>
      </c>
      <c r="K16319" s="18" t="s">
        <v>43768</v>
      </c>
      <c r="N16319" s="17" t="s">
        <v>74</v>
      </c>
      <c r="O16319" t="s">
        <v>117</v>
      </c>
      <c r="V16319" s="18" t="s">
        <v>43768</v>
      </c>
      <c r="Y16319" t="s">
        <v>90</v>
      </c>
      <c r="AA16319" t="s">
        <v>118</v>
      </c>
      <c r="AB16319" t="s">
        <v>119</v>
      </c>
    </row>
    <row r="16320" ht="15" customHeight="1" spans="1:28" x14ac:dyDescent="0.25">
      <c r="A16320" s="17" t="s">
        <v>43769</v>
      </c>
      <c r="B16320" s="17" t="s">
        <v>70</v>
      </c>
      <c r="C16320" s="17" t="s">
        <v>71</v>
      </c>
      <c r="D16320" t="s">
        <v>43770</v>
      </c>
      <c r="F16320" t="s">
        <v>43771</v>
      </c>
      <c r="J16320" t="s">
        <v>115</v>
      </c>
      <c r="K16320" s="18" t="s">
        <v>43772</v>
      </c>
      <c r="N16320" s="17" t="s">
        <v>77</v>
      </c>
      <c r="O16320" t="s">
        <v>145</v>
      </c>
      <c r="U16320" s="17"/>
      <c r="V16320" s="18" t="s">
        <v>43772</v>
      </c>
      <c r="W16320" t="s">
        <v>43773</v>
      </c>
      <c r="Y16320" t="s">
        <v>7939</v>
      </c>
      <c r="AA16320" t="s">
        <v>115</v>
      </c>
      <c r="AB16320" t="s">
        <v>119</v>
      </c>
    </row>
    <row r="16321" ht="15" customHeight="1" spans="1:22" x14ac:dyDescent="0.25">
      <c r="A16321" s="17" t="s">
        <v>43774</v>
      </c>
      <c r="B16321" s="17" t="s">
        <v>70</v>
      </c>
      <c r="C16321" s="17" t="s">
        <v>71</v>
      </c>
      <c r="D16321" t="s">
        <v>43770</v>
      </c>
      <c r="F16321" t="s">
        <v>27973</v>
      </c>
      <c r="K16321" s="18">
        <f>62811845844</f>
        <v>62811845844</v>
      </c>
      <c r="N16321" s="17" t="s">
        <v>74</v>
      </c>
      <c r="V16321" s="18">
        <f>62811845844</f>
        <v>62811845844</v>
      </c>
    </row>
    <row r="16322" ht="15" customHeight="1" spans="1:22" x14ac:dyDescent="0.25">
      <c r="A16322" s="17" t="s">
        <v>43775</v>
      </c>
      <c r="B16322" s="17" t="s">
        <v>70</v>
      </c>
      <c r="C16322" s="17" t="s">
        <v>71</v>
      </c>
      <c r="D16322" t="s">
        <v>18083</v>
      </c>
      <c r="F16322" t="s">
        <v>3869</v>
      </c>
      <c r="K16322" s="18">
        <f>628119105018</f>
        <v>628119105018</v>
      </c>
      <c r="N16322" s="17" t="s">
        <v>74</v>
      </c>
      <c r="V16322" s="18">
        <f>628119105018</f>
        <v>628119105018</v>
      </c>
    </row>
    <row r="16323" ht="15" customHeight="1" spans="1:25" x14ac:dyDescent="0.25">
      <c r="A16323" s="17" t="s">
        <v>43776</v>
      </c>
      <c r="B16323" s="17" t="s">
        <v>70</v>
      </c>
      <c r="C16323" s="17" t="s">
        <v>71</v>
      </c>
      <c r="D16323" t="s">
        <v>18083</v>
      </c>
      <c r="F16323" t="s">
        <v>3869</v>
      </c>
      <c r="J16323" s="17" t="s">
        <v>43777</v>
      </c>
      <c r="K16323" s="18">
        <f>6285885155854</f>
        <v>6285885155854</v>
      </c>
      <c r="N16323" s="17" t="s">
        <v>77</v>
      </c>
      <c r="U16323" s="17"/>
      <c r="V16323" s="18">
        <f>6285885155854</f>
        <v>6285885155854</v>
      </c>
      <c r="W16323" t="s">
        <v>43778</v>
      </c>
      <c r="Y16323" s="17" t="s">
        <v>90</v>
      </c>
    </row>
    <row r="16324" ht="15" customHeight="1" spans="1:22" x14ac:dyDescent="0.25">
      <c r="A16324" s="17" t="s">
        <v>43779</v>
      </c>
      <c r="B16324" s="17" t="s">
        <v>70</v>
      </c>
      <c r="C16324" s="17" t="s">
        <v>71</v>
      </c>
      <c r="D16324" t="s">
        <v>18083</v>
      </c>
      <c r="F16324" t="s">
        <v>43780</v>
      </c>
      <c r="K16324" s="18">
        <f>628159005641</f>
        <v>628159005641</v>
      </c>
      <c r="N16324" s="17" t="s">
        <v>77</v>
      </c>
      <c r="V16324" s="18">
        <f>628159005641</f>
        <v>628159005641</v>
      </c>
    </row>
    <row r="16325" ht="15" customHeight="1" spans="1:22" x14ac:dyDescent="0.25">
      <c r="A16325" s="17" t="s">
        <v>43781</v>
      </c>
      <c r="B16325" s="17" t="s">
        <v>70</v>
      </c>
      <c r="C16325" s="17" t="s">
        <v>71</v>
      </c>
      <c r="D16325" t="s">
        <v>18083</v>
      </c>
      <c r="F16325" t="s">
        <v>23104</v>
      </c>
      <c r="K16325" s="18">
        <f>628129195757</f>
        <v>628129195757</v>
      </c>
      <c r="N16325" s="17" t="s">
        <v>81</v>
      </c>
      <c r="V16325" s="18">
        <f>628129195757</f>
        <v>628129195757</v>
      </c>
    </row>
    <row r="16326" ht="15" customHeight="1" spans="1:22" x14ac:dyDescent="0.25">
      <c r="A16326" s="17" t="s">
        <v>43782</v>
      </c>
      <c r="B16326" s="17" t="s">
        <v>70</v>
      </c>
      <c r="C16326" s="17" t="s">
        <v>71</v>
      </c>
      <c r="D16326" t="s">
        <v>18083</v>
      </c>
      <c r="F16326" t="s">
        <v>7914</v>
      </c>
      <c r="K16326" s="18">
        <f>628118904505</f>
        <v>628118904505</v>
      </c>
      <c r="N16326" s="17" t="s">
        <v>77</v>
      </c>
      <c r="V16326" s="18">
        <f>628118904505</f>
        <v>628118904505</v>
      </c>
    </row>
    <row r="16327" ht="15" customHeight="1" spans="1:28" x14ac:dyDescent="0.25">
      <c r="A16327" s="17" t="s">
        <v>43783</v>
      </c>
      <c r="B16327" s="17" t="s">
        <v>70</v>
      </c>
      <c r="C16327" s="17" t="s">
        <v>71</v>
      </c>
      <c r="D16327" t="s">
        <v>43784</v>
      </c>
      <c r="F16327" t="s">
        <v>43785</v>
      </c>
      <c r="J16327" t="s">
        <v>115</v>
      </c>
      <c r="K16327" s="18" t="s">
        <v>43786</v>
      </c>
      <c r="N16327" s="17" t="s">
        <v>77</v>
      </c>
      <c r="O16327" t="s">
        <v>199</v>
      </c>
      <c r="U16327" s="17"/>
      <c r="V16327" s="18" t="s">
        <v>43786</v>
      </c>
      <c r="W16327" t="s">
        <v>43787</v>
      </c>
      <c r="Y16327" t="s">
        <v>115</v>
      </c>
      <c r="AA16327" t="s">
        <v>115</v>
      </c>
      <c r="AB16327" t="s">
        <v>43788</v>
      </c>
    </row>
    <row r="16328" ht="15" customHeight="1" spans="1:23" x14ac:dyDescent="0.25">
      <c r="A16328" s="17" t="s">
        <v>43789</v>
      </c>
      <c r="B16328" s="17" t="s">
        <v>70</v>
      </c>
      <c r="C16328" s="17" t="s">
        <v>71</v>
      </c>
      <c r="D16328" t="s">
        <v>43790</v>
      </c>
      <c r="F16328" t="s">
        <v>43791</v>
      </c>
      <c r="K16328" s="18">
        <v>14072025</v>
      </c>
      <c r="N16328" s="17" t="s">
        <v>77</v>
      </c>
      <c r="U16328" s="17"/>
      <c r="V16328" s="18">
        <v>14072025</v>
      </c>
      <c r="W16328" t="s">
        <v>43792</v>
      </c>
    </row>
    <row r="16329" ht="15" customHeight="1" spans="1:28" x14ac:dyDescent="0.25">
      <c r="A16329" s="17" t="s">
        <v>43793</v>
      </c>
      <c r="B16329" s="17" t="s">
        <v>70</v>
      </c>
      <c r="C16329" s="17" t="s">
        <v>71</v>
      </c>
      <c r="D16329" t="s">
        <v>43794</v>
      </c>
      <c r="F16329" t="s">
        <v>43795</v>
      </c>
      <c r="J16329" t="s">
        <v>115</v>
      </c>
      <c r="K16329" s="18" t="s">
        <v>43796</v>
      </c>
      <c r="N16329" s="17" t="s">
        <v>77</v>
      </c>
      <c r="O16329" t="s">
        <v>199</v>
      </c>
      <c r="U16329" s="17"/>
      <c r="V16329" s="18" t="s">
        <v>43796</v>
      </c>
      <c r="W16329" t="s">
        <v>43787</v>
      </c>
      <c r="Y16329" t="s">
        <v>115</v>
      </c>
      <c r="AA16329" t="s">
        <v>115</v>
      </c>
      <c r="AB16329" t="s">
        <v>43788</v>
      </c>
    </row>
    <row r="16330" ht="15" customHeight="1" spans="1:28" x14ac:dyDescent="0.25">
      <c r="A16330" s="17" t="s">
        <v>43797</v>
      </c>
      <c r="B16330" s="17" t="s">
        <v>70</v>
      </c>
      <c r="C16330" s="17" t="s">
        <v>71</v>
      </c>
      <c r="D16330" t="s">
        <v>43798</v>
      </c>
      <c r="F16330" t="s">
        <v>43799</v>
      </c>
      <c r="J16330" s="17" t="s">
        <v>43800</v>
      </c>
      <c r="K16330" s="18" t="s">
        <v>43801</v>
      </c>
      <c r="N16330" s="17" t="s">
        <v>77</v>
      </c>
      <c r="O16330" t="s">
        <v>489</v>
      </c>
      <c r="V16330" s="18" t="s">
        <v>43801</v>
      </c>
      <c r="Y16330" t="s">
        <v>115</v>
      </c>
      <c r="AA16330" t="s">
        <v>115</v>
      </c>
      <c r="AB16330" t="s">
        <v>8563</v>
      </c>
    </row>
    <row r="16331" ht="15" customHeight="1" spans="1:22" x14ac:dyDescent="0.25">
      <c r="A16331" s="17" t="s">
        <v>43802</v>
      </c>
      <c r="B16331" s="17" t="s">
        <v>70</v>
      </c>
      <c r="C16331" s="17" t="s">
        <v>71</v>
      </c>
      <c r="D16331" t="s">
        <v>43803</v>
      </c>
      <c r="F16331" t="s">
        <v>43804</v>
      </c>
      <c r="K16331" s="18">
        <f>6281932348979</f>
        <v>6281932348979</v>
      </c>
      <c r="N16331" s="17" t="s">
        <v>77</v>
      </c>
      <c r="V16331" s="18">
        <f>6281932348979</f>
        <v>6281932348979</v>
      </c>
    </row>
    <row r="16332" ht="15" customHeight="1" spans="1:28" x14ac:dyDescent="0.25">
      <c r="A16332" s="17" t="s">
        <v>43805</v>
      </c>
      <c r="B16332" s="17" t="s">
        <v>70</v>
      </c>
      <c r="C16332" s="17" t="s">
        <v>71</v>
      </c>
      <c r="D16332" t="s">
        <v>43806</v>
      </c>
      <c r="F16332" t="s">
        <v>43807</v>
      </c>
      <c r="J16332" s="17" t="s">
        <v>43808</v>
      </c>
      <c r="K16332" s="18" t="s">
        <v>43809</v>
      </c>
      <c r="N16332" s="17" t="s">
        <v>77</v>
      </c>
      <c r="O16332" t="s">
        <v>145</v>
      </c>
      <c r="V16332" s="18" t="s">
        <v>43809</v>
      </c>
      <c r="Y16332" t="s">
        <v>190</v>
      </c>
      <c r="AA16332" t="s">
        <v>118</v>
      </c>
      <c r="AB16332" t="s">
        <v>119</v>
      </c>
    </row>
    <row r="16333" ht="15" customHeight="1" spans="1:25" x14ac:dyDescent="0.25">
      <c r="A16333" s="17" t="s">
        <v>43810</v>
      </c>
      <c r="B16333" s="17" t="s">
        <v>70</v>
      </c>
      <c r="C16333" s="17" t="s">
        <v>71</v>
      </c>
      <c r="D16333" t="s">
        <v>43421</v>
      </c>
      <c r="F16333" t="s">
        <v>43421</v>
      </c>
      <c r="K16333" s="18">
        <v>3924828</v>
      </c>
      <c r="N16333" s="17" t="s">
        <v>77</v>
      </c>
      <c r="U16333" s="17"/>
      <c r="V16333" s="18" t="s">
        <v>43811</v>
      </c>
      <c r="W16333" t="s">
        <v>43812</v>
      </c>
      <c r="Y16333" s="17" t="s">
        <v>378</v>
      </c>
    </row>
    <row r="16334" ht="15" customHeight="1" spans="1:23" x14ac:dyDescent="0.25">
      <c r="A16334" s="17" t="s">
        <v>43813</v>
      </c>
      <c r="B16334" s="17" t="s">
        <v>70</v>
      </c>
      <c r="C16334" s="17" t="s">
        <v>71</v>
      </c>
      <c r="D16334" t="s">
        <v>43421</v>
      </c>
      <c r="F16334" t="s">
        <v>43814</v>
      </c>
      <c r="J16334" s="17" t="s">
        <v>43815</v>
      </c>
      <c r="K16334" s="18">
        <f>6281290677738</f>
        <v>6281290677738</v>
      </c>
      <c r="N16334" s="17" t="s">
        <v>81</v>
      </c>
      <c r="U16334" s="17"/>
      <c r="V16334" s="18">
        <f>6281290677738</f>
        <v>6281290677738</v>
      </c>
      <c r="W16334" t="s">
        <v>43816</v>
      </c>
    </row>
    <row r="16335" ht="15" customHeight="1" spans="1:25" x14ac:dyDescent="0.25">
      <c r="A16335" s="17" t="s">
        <v>43817</v>
      </c>
      <c r="B16335" s="17" t="s">
        <v>70</v>
      </c>
      <c r="C16335" s="17" t="s">
        <v>71</v>
      </c>
      <c r="D16335" t="s">
        <v>43421</v>
      </c>
      <c r="F16335" t="s">
        <v>43818</v>
      </c>
      <c r="K16335" s="18">
        <f>628121633732</f>
        <v>628121633732</v>
      </c>
      <c r="N16335" s="17" t="s">
        <v>81</v>
      </c>
      <c r="U16335" s="17"/>
      <c r="V16335" s="18">
        <f>628121633732</f>
        <v>628121633732</v>
      </c>
      <c r="W16335" t="s">
        <v>43819</v>
      </c>
      <c r="Y16335" s="17" t="s">
        <v>704</v>
      </c>
    </row>
    <row r="16336" ht="15" customHeight="1" spans="1:22" x14ac:dyDescent="0.25">
      <c r="A16336" s="17" t="s">
        <v>43820</v>
      </c>
      <c r="B16336" s="17" t="s">
        <v>70</v>
      </c>
      <c r="C16336" s="17" t="s">
        <v>71</v>
      </c>
      <c r="D16336" t="s">
        <v>43421</v>
      </c>
      <c r="F16336" t="s">
        <v>43821</v>
      </c>
      <c r="K16336" s="18">
        <f>628121056848</f>
        <v>628121056848</v>
      </c>
      <c r="N16336" s="17" t="s">
        <v>77</v>
      </c>
      <c r="V16336" s="18">
        <f>628121056848</f>
        <v>628121056848</v>
      </c>
    </row>
    <row r="16337" ht="15" customHeight="1" spans="1:27" x14ac:dyDescent="0.25">
      <c r="A16337" s="17" t="s">
        <v>43822</v>
      </c>
      <c r="B16337" s="17" t="s">
        <v>70</v>
      </c>
      <c r="C16337" s="17" t="s">
        <v>71</v>
      </c>
      <c r="D16337" t="s">
        <v>43421</v>
      </c>
      <c r="F16337" t="s">
        <v>3976</v>
      </c>
      <c r="K16337" s="18">
        <v>3924828</v>
      </c>
      <c r="N16337" s="17" t="s">
        <v>77</v>
      </c>
      <c r="U16337" s="17"/>
      <c r="V16337" s="18">
        <v>3924828</v>
      </c>
      <c r="W16337" t="s">
        <v>43823</v>
      </c>
      <c r="Y16337" s="17" t="s">
        <v>1084</v>
      </c>
      <c r="AA16337" s="17" t="s">
        <v>43824</v>
      </c>
    </row>
    <row r="16338" ht="15" customHeight="1" spans="1:22" x14ac:dyDescent="0.25">
      <c r="A16338" s="17" t="s">
        <v>43825</v>
      </c>
      <c r="B16338" s="17" t="s">
        <v>70</v>
      </c>
      <c r="C16338" s="17" t="s">
        <v>71</v>
      </c>
      <c r="D16338" t="s">
        <v>43421</v>
      </c>
      <c r="F16338" t="s">
        <v>43826</v>
      </c>
      <c r="K16338" s="18">
        <f>62816723231</f>
        <v>62816723231</v>
      </c>
      <c r="N16338" s="17" t="s">
        <v>77</v>
      </c>
      <c r="V16338" s="18">
        <f>62816723231</f>
        <v>62816723231</v>
      </c>
    </row>
    <row r="16339" ht="15" customHeight="1" spans="1:25" x14ac:dyDescent="0.25">
      <c r="A16339" s="17" t="s">
        <v>43827</v>
      </c>
      <c r="B16339" s="17" t="s">
        <v>70</v>
      </c>
      <c r="C16339" s="17" t="s">
        <v>71</v>
      </c>
      <c r="D16339" t="s">
        <v>43828</v>
      </c>
      <c r="F16339" t="s">
        <v>43828</v>
      </c>
      <c r="K16339" s="18">
        <v>7208286</v>
      </c>
      <c r="N16339" s="17" t="s">
        <v>77</v>
      </c>
      <c r="U16339" s="17"/>
      <c r="V16339" s="18">
        <v>7208286</v>
      </c>
      <c r="W16339" t="s">
        <v>43829</v>
      </c>
      <c r="Y16339" s="17" t="s">
        <v>96</v>
      </c>
    </row>
    <row r="16340" ht="15" customHeight="1" spans="1:22" x14ac:dyDescent="0.25">
      <c r="A16340" s="17" t="s">
        <v>43830</v>
      </c>
      <c r="B16340" s="17" t="s">
        <v>70</v>
      </c>
      <c r="C16340" s="17" t="s">
        <v>71</v>
      </c>
      <c r="D16340" t="s">
        <v>43831</v>
      </c>
      <c r="F16340" t="s">
        <v>43831</v>
      </c>
      <c r="K16340" s="18">
        <v>811910216</v>
      </c>
      <c r="N16340" s="17" t="s">
        <v>77</v>
      </c>
      <c r="V16340" s="18">
        <v>811910216</v>
      </c>
    </row>
    <row r="16341" ht="15" customHeight="1" spans="1:22" x14ac:dyDescent="0.25">
      <c r="A16341" s="17" t="s">
        <v>43832</v>
      </c>
      <c r="B16341" s="17" t="s">
        <v>70</v>
      </c>
      <c r="C16341" s="17" t="s">
        <v>71</v>
      </c>
      <c r="D16341" t="s">
        <v>43831</v>
      </c>
      <c r="F16341" t="s">
        <v>32888</v>
      </c>
      <c r="J16341" s="17" t="s">
        <v>43833</v>
      </c>
      <c r="K16341" s="18">
        <f>6281318531231</f>
        <v>6281318531231</v>
      </c>
      <c r="N16341" s="17" t="s">
        <v>77</v>
      </c>
      <c r="V16341" s="18">
        <f>6281318531231</f>
        <v>6281318531231</v>
      </c>
    </row>
    <row r="16342" ht="15" customHeight="1" spans="1:22" x14ac:dyDescent="0.25">
      <c r="A16342" s="17" t="s">
        <v>43834</v>
      </c>
      <c r="B16342" s="17" t="s">
        <v>70</v>
      </c>
      <c r="C16342" s="17" t="s">
        <v>71</v>
      </c>
      <c r="D16342" t="s">
        <v>43835</v>
      </c>
      <c r="F16342" t="s">
        <v>43836</v>
      </c>
      <c r="K16342" s="18">
        <f>622179997999</f>
        <v>622179997999</v>
      </c>
      <c r="N16342" s="17" t="s">
        <v>77</v>
      </c>
      <c r="V16342" s="18">
        <f>622179997999</f>
        <v>622179997999</v>
      </c>
    </row>
    <row r="16343" ht="15" customHeight="1" spans="1:22" x14ac:dyDescent="0.25">
      <c r="A16343" s="17" t="s">
        <v>43837</v>
      </c>
      <c r="B16343" s="17" t="s">
        <v>70</v>
      </c>
      <c r="C16343" s="17" t="s">
        <v>71</v>
      </c>
      <c r="D16343" t="s">
        <v>43838</v>
      </c>
      <c r="F16343" t="s">
        <v>230</v>
      </c>
      <c r="K16343" s="18">
        <f>6281584202445</f>
        <v>6281584202445</v>
      </c>
      <c r="N16343" s="17" t="s">
        <v>77</v>
      </c>
      <c r="V16343" s="18">
        <f>6281584202445</f>
        <v>6281584202445</v>
      </c>
    </row>
    <row r="16344" ht="15" customHeight="1" spans="1:28" x14ac:dyDescent="0.25">
      <c r="A16344" s="17" t="s">
        <v>43839</v>
      </c>
      <c r="B16344" s="17" t="s">
        <v>70</v>
      </c>
      <c r="C16344" s="17" t="s">
        <v>71</v>
      </c>
      <c r="D16344" t="s">
        <v>43840</v>
      </c>
      <c r="F16344" t="s">
        <v>43841</v>
      </c>
      <c r="J16344" s="17" t="s">
        <v>43842</v>
      </c>
      <c r="K16344" s="18" t="s">
        <v>43843</v>
      </c>
      <c r="N16344" s="17" t="s">
        <v>77</v>
      </c>
      <c r="O16344" t="s">
        <v>145</v>
      </c>
      <c r="U16344" s="17"/>
      <c r="V16344" s="18" t="s">
        <v>43843</v>
      </c>
      <c r="W16344" t="s">
        <v>43844</v>
      </c>
      <c r="Y16344" t="s">
        <v>190</v>
      </c>
      <c r="AA16344" t="s">
        <v>118</v>
      </c>
      <c r="AB16344" t="s">
        <v>119</v>
      </c>
    </row>
    <row r="16345" ht="15" customHeight="1" spans="1:23" x14ac:dyDescent="0.25">
      <c r="A16345" s="17" t="s">
        <v>43845</v>
      </c>
      <c r="B16345" s="17" t="s">
        <v>70</v>
      </c>
      <c r="C16345" s="17" t="s">
        <v>71</v>
      </c>
      <c r="D16345" t="s">
        <v>43846</v>
      </c>
      <c r="F16345" t="s">
        <v>43846</v>
      </c>
      <c r="K16345" s="18">
        <f>996707005050</f>
        <v>996707005050</v>
      </c>
      <c r="N16345" s="17" t="s">
        <v>77</v>
      </c>
      <c r="U16345" s="17"/>
      <c r="V16345" s="18">
        <f>996707005050</f>
        <v>996707005050</v>
      </c>
      <c r="W16345" t="s">
        <v>43847</v>
      </c>
    </row>
    <row r="16346" ht="15" customHeight="1" spans="1:22" x14ac:dyDescent="0.25">
      <c r="A16346" s="17" t="s">
        <v>43848</v>
      </c>
      <c r="B16346" s="17" t="s">
        <v>70</v>
      </c>
      <c r="C16346" s="17" t="s">
        <v>71</v>
      </c>
      <c r="D16346" t="s">
        <v>7315</v>
      </c>
      <c r="F16346" t="s">
        <v>36448</v>
      </c>
      <c r="K16346" s="18">
        <f>6281808644170</f>
        <v>6281808644170</v>
      </c>
      <c r="N16346" s="17" t="s">
        <v>77</v>
      </c>
      <c r="V16346" s="18">
        <f>6281808644170</f>
        <v>6281808644170</v>
      </c>
    </row>
    <row r="16347" ht="15" customHeight="1" spans="1:22" x14ac:dyDescent="0.25">
      <c r="A16347" s="17" t="s">
        <v>43849</v>
      </c>
      <c r="B16347" s="17" t="s">
        <v>70</v>
      </c>
      <c r="C16347" s="17" t="s">
        <v>71</v>
      </c>
      <c r="D16347" t="s">
        <v>7315</v>
      </c>
      <c r="F16347" t="s">
        <v>18083</v>
      </c>
      <c r="K16347" s="18">
        <f>6285277478433</f>
        <v>6285277478433</v>
      </c>
      <c r="N16347" s="17" t="s">
        <v>77</v>
      </c>
      <c r="V16347" s="18">
        <f>6285277478433</f>
        <v>6285277478433</v>
      </c>
    </row>
    <row r="16348" ht="15" customHeight="1" spans="1:22" x14ac:dyDescent="0.25">
      <c r="A16348" s="17" t="s">
        <v>43850</v>
      </c>
      <c r="B16348" s="17" t="s">
        <v>70</v>
      </c>
      <c r="C16348" s="17" t="s">
        <v>71</v>
      </c>
      <c r="D16348" t="s">
        <v>7315</v>
      </c>
      <c r="F16348" t="s">
        <v>43851</v>
      </c>
      <c r="J16348" s="17" t="s">
        <v>43852</v>
      </c>
      <c r="K16348" s="18">
        <f>6281288388631</f>
        <v>6281288388631</v>
      </c>
      <c r="N16348" s="17" t="s">
        <v>81</v>
      </c>
      <c r="V16348" s="18">
        <f>6281288388631</f>
        <v>6281288388631</v>
      </c>
    </row>
    <row r="16349" ht="15" customHeight="1" spans="1:28" x14ac:dyDescent="0.25">
      <c r="A16349" s="17" t="s">
        <v>43853</v>
      </c>
      <c r="B16349" s="17" t="s">
        <v>70</v>
      </c>
      <c r="C16349" s="17" t="s">
        <v>71</v>
      </c>
      <c r="D16349" t="s">
        <v>21650</v>
      </c>
      <c r="F16349" t="s">
        <v>3962</v>
      </c>
      <c r="J16349" s="17" t="s">
        <v>43854</v>
      </c>
      <c r="K16349" s="18" t="s">
        <v>43855</v>
      </c>
      <c r="N16349" s="17" t="s">
        <v>77</v>
      </c>
      <c r="O16349" t="s">
        <v>489</v>
      </c>
      <c r="V16349" s="18" t="s">
        <v>43855</v>
      </c>
      <c r="Y16349" t="s">
        <v>115</v>
      </c>
      <c r="AA16349" t="s">
        <v>115</v>
      </c>
      <c r="AB16349" t="s">
        <v>3140</v>
      </c>
    </row>
    <row r="16350" ht="15" customHeight="1" spans="1:22" x14ac:dyDescent="0.25">
      <c r="A16350" s="17" t="s">
        <v>43856</v>
      </c>
      <c r="B16350" s="17" t="s">
        <v>70</v>
      </c>
      <c r="C16350" s="17" t="s">
        <v>71</v>
      </c>
      <c r="D16350" t="s">
        <v>7315</v>
      </c>
      <c r="F16350" t="s">
        <v>43857</v>
      </c>
      <c r="K16350" s="18">
        <f>6281226622998</f>
        <v>6281226622998</v>
      </c>
      <c r="N16350" s="17" t="s">
        <v>77</v>
      </c>
      <c r="V16350" s="18">
        <f>6281226622998</f>
        <v>6281226622998</v>
      </c>
    </row>
    <row r="16351" ht="15" customHeight="1" spans="1:22" x14ac:dyDescent="0.25">
      <c r="A16351" s="17" t="s">
        <v>43858</v>
      </c>
      <c r="B16351" s="17" t="s">
        <v>70</v>
      </c>
      <c r="C16351" s="17" t="s">
        <v>71</v>
      </c>
      <c r="D16351" t="s">
        <v>7315</v>
      </c>
      <c r="F16351" t="s">
        <v>23565</v>
      </c>
      <c r="K16351" s="18">
        <f>6281330899958</f>
        <v>6281330899958</v>
      </c>
      <c r="N16351" s="17" t="s">
        <v>81</v>
      </c>
      <c r="V16351" s="18">
        <f>6281330899958</f>
        <v>6281330899958</v>
      </c>
    </row>
    <row r="16352" ht="15" customHeight="1" spans="1:28" x14ac:dyDescent="0.25">
      <c r="A16352" s="17" t="s">
        <v>43859</v>
      </c>
      <c r="B16352" s="17" t="s">
        <v>70</v>
      </c>
      <c r="C16352" s="17" t="s">
        <v>71</v>
      </c>
      <c r="D16352" t="s">
        <v>7315</v>
      </c>
      <c r="F16352" t="s">
        <v>43860</v>
      </c>
      <c r="J16352" s="18" t="s">
        <v>43861</v>
      </c>
      <c r="K16352" s="17" t="s">
        <v>43862</v>
      </c>
      <c r="N16352" s="17" t="s">
        <v>77</v>
      </c>
      <c r="O16352" t="s">
        <v>145</v>
      </c>
      <c r="V16352" s="18" t="s">
        <v>43862</v>
      </c>
      <c r="Y16352" t="s">
        <v>115</v>
      </c>
      <c r="AA16352" t="s">
        <v>115</v>
      </c>
      <c r="AB16352" t="s">
        <v>5542</v>
      </c>
    </row>
    <row r="16353" ht="15" customHeight="1" spans="1:23" x14ac:dyDescent="0.25">
      <c r="A16353" s="17" t="s">
        <v>43863</v>
      </c>
      <c r="B16353" s="17" t="s">
        <v>70</v>
      </c>
      <c r="C16353" s="17" t="s">
        <v>71</v>
      </c>
      <c r="D16353" t="s">
        <v>7315</v>
      </c>
      <c r="F16353" t="s">
        <v>43864</v>
      </c>
      <c r="K16353" s="18">
        <v>8613879825077</v>
      </c>
      <c r="N16353" s="17" t="s">
        <v>77</v>
      </c>
      <c r="U16353" s="17"/>
      <c r="V16353" s="18">
        <v>8613879825077</v>
      </c>
      <c r="W16353" t="s">
        <v>3140</v>
      </c>
    </row>
    <row r="16354" ht="15" customHeight="1" spans="1:28" x14ac:dyDescent="0.25">
      <c r="A16354" s="17" t="s">
        <v>43865</v>
      </c>
      <c r="B16354" s="17" t="s">
        <v>70</v>
      </c>
      <c r="C16354" s="17" t="s">
        <v>71</v>
      </c>
      <c r="D16354" t="s">
        <v>7315</v>
      </c>
      <c r="F16354" t="s">
        <v>7341</v>
      </c>
      <c r="J16354" t="s">
        <v>115</v>
      </c>
      <c r="K16354" s="18" t="s">
        <v>43866</v>
      </c>
      <c r="N16354" s="17" t="s">
        <v>77</v>
      </c>
      <c r="O16354" t="s">
        <v>145</v>
      </c>
      <c r="V16354" s="18" t="s">
        <v>43866</v>
      </c>
      <c r="Y16354" t="s">
        <v>3140</v>
      </c>
      <c r="AA16354" t="s">
        <v>115</v>
      </c>
      <c r="AB16354" t="s">
        <v>3140</v>
      </c>
    </row>
    <row r="16355" ht="15" customHeight="1" spans="1:22" x14ac:dyDescent="0.25">
      <c r="A16355" s="17" t="s">
        <v>43867</v>
      </c>
      <c r="B16355" s="17" t="s">
        <v>70</v>
      </c>
      <c r="C16355" s="17" t="s">
        <v>71</v>
      </c>
      <c r="D16355" t="s">
        <v>7315</v>
      </c>
      <c r="F16355" t="s">
        <v>43868</v>
      </c>
      <c r="K16355" s="18">
        <f>62216240111</f>
        <v>62216240111</v>
      </c>
      <c r="N16355" s="17" t="s">
        <v>77</v>
      </c>
      <c r="V16355" s="18">
        <f>62216240111</f>
        <v>62216240111</v>
      </c>
    </row>
    <row r="16356" ht="15" customHeight="1" spans="1:22" x14ac:dyDescent="0.25">
      <c r="A16356" s="17" t="s">
        <v>43869</v>
      </c>
      <c r="B16356" s="17" t="s">
        <v>70</v>
      </c>
      <c r="C16356" s="17" t="s">
        <v>71</v>
      </c>
      <c r="D16356" t="s">
        <v>7315</v>
      </c>
      <c r="F16356" t="s">
        <v>7440</v>
      </c>
      <c r="K16356" s="18">
        <f>6281338417390</f>
        <v>6281338417390</v>
      </c>
      <c r="N16356" s="17" t="s">
        <v>81</v>
      </c>
      <c r="V16356" s="18">
        <f>6281338417390</f>
        <v>6281338417390</v>
      </c>
    </row>
    <row r="16357" ht="15" customHeight="1" spans="1:22" x14ac:dyDescent="0.25">
      <c r="A16357" s="17" t="s">
        <v>43870</v>
      </c>
      <c r="B16357" s="17" t="s">
        <v>70</v>
      </c>
      <c r="C16357" s="17" t="s">
        <v>71</v>
      </c>
      <c r="D16357" t="s">
        <v>7315</v>
      </c>
      <c r="F16357" t="s">
        <v>153</v>
      </c>
      <c r="K16357" s="18">
        <f>6285890956668</f>
        <v>6285890956668</v>
      </c>
      <c r="N16357" s="17" t="s">
        <v>77</v>
      </c>
      <c r="V16357" s="18">
        <f>6285890956668</f>
        <v>6285890956668</v>
      </c>
    </row>
    <row r="16358" ht="15" customHeight="1" spans="1:28" x14ac:dyDescent="0.25">
      <c r="A16358" s="17" t="s">
        <v>43871</v>
      </c>
      <c r="B16358" s="17" t="s">
        <v>70</v>
      </c>
      <c r="C16358" s="17" t="s">
        <v>71</v>
      </c>
      <c r="D16358" t="s">
        <v>7315</v>
      </c>
      <c r="F16358" t="s">
        <v>3839</v>
      </c>
      <c r="J16358" s="17" t="s">
        <v>43872</v>
      </c>
      <c r="K16358" s="18" t="s">
        <v>43873</v>
      </c>
      <c r="N16358" s="17" t="s">
        <v>77</v>
      </c>
      <c r="O16358" t="s">
        <v>117</v>
      </c>
      <c r="U16358" s="17"/>
      <c r="V16358" s="18" t="s">
        <v>43873</v>
      </c>
      <c r="W16358" t="s">
        <v>43874</v>
      </c>
      <c r="Y16358" s="17" t="s">
        <v>1903</v>
      </c>
      <c r="AA16358" s="17" t="s">
        <v>43875</v>
      </c>
      <c r="AB16358" t="s">
        <v>1903</v>
      </c>
    </row>
    <row r="16359" ht="15" customHeight="1" spans="1:28" x14ac:dyDescent="0.25">
      <c r="A16359" s="17" t="s">
        <v>43876</v>
      </c>
      <c r="B16359" s="17" t="s">
        <v>70</v>
      </c>
      <c r="C16359" s="17" t="s">
        <v>71</v>
      </c>
      <c r="D16359" t="s">
        <v>43877</v>
      </c>
      <c r="F16359" t="s">
        <v>3135</v>
      </c>
      <c r="J16359" s="17" t="s">
        <v>43878</v>
      </c>
      <c r="K16359" s="18" t="s">
        <v>43879</v>
      </c>
      <c r="N16359" s="17" t="s">
        <v>77</v>
      </c>
      <c r="O16359" t="s">
        <v>117</v>
      </c>
      <c r="V16359" s="18" t="s">
        <v>43879</v>
      </c>
      <c r="Y16359" t="s">
        <v>115</v>
      </c>
      <c r="AA16359" t="s">
        <v>115</v>
      </c>
      <c r="AB16359" t="s">
        <v>3140</v>
      </c>
    </row>
    <row r="16360" ht="15" customHeight="1" spans="1:22" x14ac:dyDescent="0.25">
      <c r="A16360" s="17" t="s">
        <v>43880</v>
      </c>
      <c r="B16360" s="17" t="s">
        <v>70</v>
      </c>
      <c r="C16360" s="17" t="s">
        <v>71</v>
      </c>
      <c r="D16360" t="s">
        <v>43881</v>
      </c>
      <c r="F16360" t="s">
        <v>43881</v>
      </c>
      <c r="K16360" s="18">
        <f>62816803011</f>
        <v>62816803011</v>
      </c>
      <c r="N16360" s="17" t="s">
        <v>77</v>
      </c>
      <c r="V16360" s="18">
        <f>62816803011</f>
        <v>62816803011</v>
      </c>
    </row>
    <row r="16361" ht="15" customHeight="1" spans="1:22" x14ac:dyDescent="0.25">
      <c r="A16361" s="17" t="s">
        <v>43882</v>
      </c>
      <c r="B16361" s="17" t="s">
        <v>70</v>
      </c>
      <c r="C16361" s="17" t="s">
        <v>71</v>
      </c>
      <c r="D16361" t="s">
        <v>17718</v>
      </c>
      <c r="F16361" t="s">
        <v>7153</v>
      </c>
      <c r="J16361" s="17" t="s">
        <v>43883</v>
      </c>
      <c r="K16361" s="18">
        <f>6281286880559</f>
        <v>6281286880559</v>
      </c>
      <c r="N16361" s="17" t="s">
        <v>81</v>
      </c>
      <c r="V16361" s="18">
        <f>6281286880559</f>
        <v>6281286880559</v>
      </c>
    </row>
    <row r="16362" ht="15" customHeight="1" spans="1:28" x14ac:dyDescent="0.25">
      <c r="A16362" s="17" t="s">
        <v>43884</v>
      </c>
      <c r="B16362" s="17" t="s">
        <v>70</v>
      </c>
      <c r="C16362" s="17" t="s">
        <v>71</v>
      </c>
      <c r="D16362" t="s">
        <v>17718</v>
      </c>
      <c r="F16362" t="s">
        <v>43885</v>
      </c>
      <c r="J16362" s="17" t="s">
        <v>43886</v>
      </c>
      <c r="K16362" s="18" t="s">
        <v>43887</v>
      </c>
      <c r="N16362" s="17" t="s">
        <v>77</v>
      </c>
      <c r="O16362" t="s">
        <v>117</v>
      </c>
      <c r="U16362" s="17"/>
      <c r="V16362" s="18" t="s">
        <v>43887</v>
      </c>
      <c r="W16362" t="s">
        <v>7107</v>
      </c>
      <c r="Y16362" t="s">
        <v>7108</v>
      </c>
      <c r="AA16362" t="s">
        <v>115</v>
      </c>
      <c r="AB16362" t="s">
        <v>7108</v>
      </c>
    </row>
    <row r="16363" ht="15" customHeight="1" spans="1:28" x14ac:dyDescent="0.25">
      <c r="A16363" s="17" t="s">
        <v>43888</v>
      </c>
      <c r="B16363" s="17" t="s">
        <v>70</v>
      </c>
      <c r="C16363" s="17" t="s">
        <v>71</v>
      </c>
      <c r="D16363" t="s">
        <v>43889</v>
      </c>
      <c r="F16363" t="s">
        <v>43890</v>
      </c>
      <c r="J16363" s="17" t="s">
        <v>43891</v>
      </c>
      <c r="K16363" s="18" t="s">
        <v>43892</v>
      </c>
      <c r="N16363" s="17" t="s">
        <v>77</v>
      </c>
      <c r="O16363" t="s">
        <v>117</v>
      </c>
      <c r="V16363" s="18" t="s">
        <v>43892</v>
      </c>
      <c r="Y16363" t="s">
        <v>6937</v>
      </c>
      <c r="AA16363" t="s">
        <v>115</v>
      </c>
      <c r="AB16363" t="s">
        <v>6937</v>
      </c>
    </row>
    <row r="16364" ht="15" customHeight="1" spans="1:28" x14ac:dyDescent="0.25">
      <c r="A16364" s="17" t="s">
        <v>43893</v>
      </c>
      <c r="B16364" s="17" t="s">
        <v>70</v>
      </c>
      <c r="C16364" s="17" t="s">
        <v>71</v>
      </c>
      <c r="D16364" t="s">
        <v>17718</v>
      </c>
      <c r="F16364" t="s">
        <v>43894</v>
      </c>
      <c r="J16364" s="22" t="s">
        <v>115</v>
      </c>
      <c r="K16364" s="18" t="s">
        <v>43895</v>
      </c>
      <c r="N16364" s="17" t="s">
        <v>77</v>
      </c>
      <c r="O16364" t="s">
        <v>117</v>
      </c>
      <c r="U16364" s="17"/>
      <c r="V16364" s="18" t="s">
        <v>43895</v>
      </c>
      <c r="W16364" t="s">
        <v>3140</v>
      </c>
      <c r="Y16364" t="s">
        <v>3140</v>
      </c>
      <c r="AA16364" t="s">
        <v>115</v>
      </c>
      <c r="AB16364" t="s">
        <v>3140</v>
      </c>
    </row>
    <row r="16365" ht="15" customHeight="1" spans="1:28" x14ac:dyDescent="0.25">
      <c r="A16365" s="17" t="s">
        <v>43896</v>
      </c>
      <c r="B16365" s="17" t="s">
        <v>70</v>
      </c>
      <c r="C16365" s="17" t="s">
        <v>71</v>
      </c>
      <c r="D16365" t="s">
        <v>17718</v>
      </c>
      <c r="F16365" t="s">
        <v>23912</v>
      </c>
      <c r="J16365" s="17" t="s">
        <v>43897</v>
      </c>
      <c r="K16365" s="18" t="s">
        <v>43898</v>
      </c>
      <c r="N16365" s="17" t="s">
        <v>77</v>
      </c>
      <c r="O16365" t="s">
        <v>117</v>
      </c>
      <c r="V16365" s="18" t="s">
        <v>43898</v>
      </c>
      <c r="Y16365" t="s">
        <v>115</v>
      </c>
      <c r="AA16365" t="s">
        <v>115</v>
      </c>
      <c r="AB16365" t="s">
        <v>3140</v>
      </c>
    </row>
    <row r="16366" ht="15" customHeight="1" spans="1:22" x14ac:dyDescent="0.25">
      <c r="A16366" s="17" t="s">
        <v>43899</v>
      </c>
      <c r="B16366" s="17" t="s">
        <v>70</v>
      </c>
      <c r="C16366" s="17" t="s">
        <v>71</v>
      </c>
      <c r="D16366" t="s">
        <v>43900</v>
      </c>
      <c r="F16366" t="s">
        <v>43900</v>
      </c>
      <c r="K16366" s="18">
        <f>6285881792900</f>
        <v>6285881792900</v>
      </c>
      <c r="N16366" s="17" t="s">
        <v>77</v>
      </c>
      <c r="V16366" s="18">
        <f>6285881792900</f>
        <v>6285881792900</v>
      </c>
    </row>
    <row r="16367" ht="15" customHeight="1" spans="1:22" x14ac:dyDescent="0.25">
      <c r="A16367" s="17" t="s">
        <v>43901</v>
      </c>
      <c r="B16367" s="17" t="s">
        <v>70</v>
      </c>
      <c r="C16367" s="17" t="s">
        <v>71</v>
      </c>
      <c r="D16367" t="s">
        <v>43900</v>
      </c>
      <c r="F16367" t="s">
        <v>43900</v>
      </c>
      <c r="K16367" s="18">
        <f>6281318286622</f>
        <v>6281318286622</v>
      </c>
      <c r="N16367" s="17" t="s">
        <v>77</v>
      </c>
      <c r="V16367" s="18">
        <f>6281318286622</f>
        <v>6281318286622</v>
      </c>
    </row>
    <row r="16368" ht="15" customHeight="1" spans="1:28" x14ac:dyDescent="0.25">
      <c r="A16368" s="17" t="s">
        <v>43902</v>
      </c>
      <c r="B16368" s="17" t="s">
        <v>70</v>
      </c>
      <c r="C16368" s="17" t="s">
        <v>71</v>
      </c>
      <c r="D16368" t="s">
        <v>43903</v>
      </c>
      <c r="F16368" t="s">
        <v>42697</v>
      </c>
      <c r="J16368" s="17" t="s">
        <v>43904</v>
      </c>
      <c r="K16368" s="18" t="s">
        <v>43905</v>
      </c>
      <c r="N16368" s="17" t="s">
        <v>77</v>
      </c>
      <c r="O16368" t="s">
        <v>117</v>
      </c>
      <c r="V16368" s="18" t="s">
        <v>43905</v>
      </c>
      <c r="Y16368" t="s">
        <v>115</v>
      </c>
      <c r="AA16368" t="s">
        <v>115</v>
      </c>
      <c r="AB16368" t="s">
        <v>3140</v>
      </c>
    </row>
    <row r="16369" ht="15" customHeight="1" spans="1:22" x14ac:dyDescent="0.25">
      <c r="A16369" s="17" t="s">
        <v>43906</v>
      </c>
      <c r="B16369" s="17" t="s">
        <v>70</v>
      </c>
      <c r="C16369" s="17" t="s">
        <v>71</v>
      </c>
      <c r="D16369" t="s">
        <v>699</v>
      </c>
      <c r="F16369" t="s">
        <v>699</v>
      </c>
      <c r="K16369" s="18">
        <f>6282114503939</f>
        <v>6282114503939</v>
      </c>
      <c r="N16369" s="17" t="s">
        <v>77</v>
      </c>
      <c r="V16369" s="18">
        <f>6282114503939</f>
        <v>6282114503939</v>
      </c>
    </row>
    <row r="16370" ht="15" customHeight="1" spans="1:22" x14ac:dyDescent="0.25">
      <c r="A16370" s="17" t="s">
        <v>43907</v>
      </c>
      <c r="B16370" s="17" t="s">
        <v>70</v>
      </c>
      <c r="C16370" s="17" t="s">
        <v>71</v>
      </c>
      <c r="D16370" t="s">
        <v>699</v>
      </c>
      <c r="F16370" t="s">
        <v>43908</v>
      </c>
      <c r="K16370" s="18">
        <f>6287832199516</f>
        <v>6287832199516</v>
      </c>
      <c r="N16370" s="17" t="s">
        <v>81</v>
      </c>
      <c r="V16370" s="18">
        <f>6287832199516</f>
        <v>6287832199516</v>
      </c>
    </row>
    <row r="16371" ht="15" customHeight="1" spans="1:25" x14ac:dyDescent="0.25">
      <c r="A16371" s="17" t="s">
        <v>43909</v>
      </c>
      <c r="B16371" s="17" t="s">
        <v>70</v>
      </c>
      <c r="C16371" s="17" t="s">
        <v>71</v>
      </c>
      <c r="D16371" t="s">
        <v>699</v>
      </c>
      <c r="F16371" t="s">
        <v>36904</v>
      </c>
      <c r="K16371" s="18">
        <f>6281510775094</f>
        <v>6281510775094</v>
      </c>
      <c r="N16371" s="17" t="s">
        <v>81</v>
      </c>
      <c r="U16371" s="17"/>
      <c r="V16371" s="18">
        <f>6281510775094</f>
        <v>6281510775094</v>
      </c>
      <c r="W16371" t="s">
        <v>43910</v>
      </c>
      <c r="Y16371" s="17" t="s">
        <v>90</v>
      </c>
    </row>
    <row r="16372" ht="15" customHeight="1" spans="1:28" x14ac:dyDescent="0.25">
      <c r="A16372" s="17" t="s">
        <v>43911</v>
      </c>
      <c r="B16372" s="17" t="s">
        <v>70</v>
      </c>
      <c r="C16372" s="17" t="s">
        <v>71</v>
      </c>
      <c r="D16372" t="s">
        <v>699</v>
      </c>
      <c r="F16372" t="s">
        <v>41313</v>
      </c>
      <c r="J16372" t="s">
        <v>115</v>
      </c>
      <c r="K16372" s="18" t="s">
        <v>43912</v>
      </c>
      <c r="N16372" s="17" t="s">
        <v>77</v>
      </c>
      <c r="O16372" t="s">
        <v>145</v>
      </c>
      <c r="V16372" s="18" t="s">
        <v>43912</v>
      </c>
      <c r="Y16372" t="s">
        <v>190</v>
      </c>
      <c r="AA16372" t="s">
        <v>118</v>
      </c>
      <c r="AB16372" t="s">
        <v>119</v>
      </c>
    </row>
    <row r="16373" ht="15" customHeight="1" spans="1:22" x14ac:dyDescent="0.25">
      <c r="A16373" s="17" t="s">
        <v>43913</v>
      </c>
      <c r="B16373" s="17" t="s">
        <v>70</v>
      </c>
      <c r="C16373" s="17" t="s">
        <v>71</v>
      </c>
      <c r="D16373" t="s">
        <v>699</v>
      </c>
      <c r="F16373" t="s">
        <v>22047</v>
      </c>
      <c r="K16373" s="18">
        <f>628111883011</f>
        <v>628111883011</v>
      </c>
      <c r="N16373" s="17" t="s">
        <v>74</v>
      </c>
      <c r="V16373" s="18">
        <f>628111883011</f>
        <v>628111883011</v>
      </c>
    </row>
    <row r="16374" ht="15" customHeight="1" spans="1:22" x14ac:dyDescent="0.25">
      <c r="A16374" s="17" t="s">
        <v>43914</v>
      </c>
      <c r="B16374" s="17" t="s">
        <v>70</v>
      </c>
      <c r="C16374" s="17" t="s">
        <v>71</v>
      </c>
      <c r="D16374" t="s">
        <v>21790</v>
      </c>
      <c r="F16374" t="s">
        <v>10033</v>
      </c>
      <c r="K16374" s="18">
        <f>6281298121234</f>
        <v>6281298121234</v>
      </c>
      <c r="N16374" s="17" t="s">
        <v>77</v>
      </c>
      <c r="V16374" s="18">
        <f>6281298121234</f>
        <v>6281298121234</v>
      </c>
    </row>
    <row r="16375" ht="15" customHeight="1" spans="1:27" x14ac:dyDescent="0.25">
      <c r="A16375" s="17" t="s">
        <v>43915</v>
      </c>
      <c r="B16375" s="17" t="s">
        <v>70</v>
      </c>
      <c r="C16375" s="17" t="s">
        <v>71</v>
      </c>
      <c r="D16375" t="s">
        <v>43916</v>
      </c>
      <c r="F16375" t="s">
        <v>2004</v>
      </c>
      <c r="K16375" s="18">
        <f>62811208662</f>
        <v>62811208662</v>
      </c>
      <c r="N16375" s="17" t="s">
        <v>77</v>
      </c>
      <c r="U16375" s="17"/>
      <c r="V16375" s="18">
        <f>62811208662</f>
        <v>62811208662</v>
      </c>
      <c r="W16375" t="s">
        <v>43917</v>
      </c>
      <c r="AA16375" s="17" t="s">
        <v>43918</v>
      </c>
    </row>
    <row r="16376" ht="15" customHeight="1" spans="1:28" x14ac:dyDescent="0.25">
      <c r="A16376" s="17" t="s">
        <v>43919</v>
      </c>
      <c r="B16376" s="17" t="s">
        <v>70</v>
      </c>
      <c r="C16376" s="17" t="s">
        <v>71</v>
      </c>
      <c r="D16376" t="s">
        <v>17913</v>
      </c>
      <c r="F16376" t="s">
        <v>43920</v>
      </c>
      <c r="J16376" t="s">
        <v>115</v>
      </c>
      <c r="K16376" s="18" t="s">
        <v>43921</v>
      </c>
      <c r="N16376" s="17" t="s">
        <v>77</v>
      </c>
      <c r="O16376" t="s">
        <v>199</v>
      </c>
      <c r="V16376" s="18" t="s">
        <v>43921</v>
      </c>
      <c r="Y16376" t="s">
        <v>115</v>
      </c>
      <c r="AA16376" t="s">
        <v>115</v>
      </c>
      <c r="AB16376" t="s">
        <v>119</v>
      </c>
    </row>
    <row r="16377" ht="15" customHeight="1" spans="1:22" x14ac:dyDescent="0.25">
      <c r="A16377" s="17" t="s">
        <v>43922</v>
      </c>
      <c r="B16377" s="17" t="s">
        <v>70</v>
      </c>
      <c r="C16377" s="17" t="s">
        <v>71</v>
      </c>
      <c r="D16377" t="s">
        <v>17913</v>
      </c>
      <c r="F16377" t="s">
        <v>43923</v>
      </c>
      <c r="K16377" s="18">
        <f>6282288416928</f>
        <v>6282288416928</v>
      </c>
      <c r="N16377" s="17" t="s">
        <v>77</v>
      </c>
      <c r="V16377" s="18">
        <f>6282288416928</f>
        <v>6282288416928</v>
      </c>
    </row>
    <row r="16378" ht="15" customHeight="1" spans="1:22" x14ac:dyDescent="0.25">
      <c r="A16378" s="17" t="s">
        <v>43924</v>
      </c>
      <c r="B16378" s="17" t="s">
        <v>70</v>
      </c>
      <c r="C16378" s="17" t="s">
        <v>71</v>
      </c>
      <c r="D16378" t="s">
        <v>43925</v>
      </c>
      <c r="F16378" t="s">
        <v>1589</v>
      </c>
      <c r="K16378" s="18">
        <f>6281257575731</f>
        <v>6281257575731</v>
      </c>
      <c r="N16378" s="17" t="s">
        <v>77</v>
      </c>
      <c r="V16378" s="18">
        <f>6281257575731</f>
        <v>6281257575731</v>
      </c>
    </row>
    <row r="16379" ht="15" customHeight="1" spans="1:25" x14ac:dyDescent="0.25">
      <c r="A16379" s="17" t="s">
        <v>43926</v>
      </c>
      <c r="B16379" s="17" t="s">
        <v>70</v>
      </c>
      <c r="C16379" s="17" t="s">
        <v>71</v>
      </c>
      <c r="D16379" t="s">
        <v>43925</v>
      </c>
      <c r="F16379" t="s">
        <v>22209</v>
      </c>
      <c r="J16379" s="17" t="s">
        <v>43927</v>
      </c>
      <c r="K16379" s="18">
        <f>6281287982494</f>
        <v>6281287982494</v>
      </c>
      <c r="N16379" s="17" t="s">
        <v>77</v>
      </c>
      <c r="V16379" s="18">
        <f>6281287982494</f>
        <v>6281287982494</v>
      </c>
      <c r="Y16379" s="17" t="s">
        <v>1119</v>
      </c>
    </row>
    <row r="16380" ht="15" customHeight="1" spans="1:25" x14ac:dyDescent="0.25">
      <c r="A16380" s="17" t="s">
        <v>43928</v>
      </c>
      <c r="B16380" s="17" t="s">
        <v>70</v>
      </c>
      <c r="C16380" s="17" t="s">
        <v>71</v>
      </c>
      <c r="D16380" t="s">
        <v>604</v>
      </c>
      <c r="F16380" t="s">
        <v>43929</v>
      </c>
      <c r="K16380" s="18">
        <f>622131903709</f>
        <v>622131903709</v>
      </c>
      <c r="N16380" s="17" t="s">
        <v>77</v>
      </c>
      <c r="U16380" s="17"/>
      <c r="V16380" s="18">
        <f>622131903709</f>
        <v>622131903709</v>
      </c>
      <c r="W16380" t="s">
        <v>43930</v>
      </c>
      <c r="Y16380" s="17" t="s">
        <v>378</v>
      </c>
    </row>
    <row r="16381" ht="15" customHeight="1" spans="1:22" x14ac:dyDescent="0.25">
      <c r="A16381" s="17" t="s">
        <v>43931</v>
      </c>
      <c r="B16381" s="17" t="s">
        <v>70</v>
      </c>
      <c r="C16381" s="17" t="s">
        <v>71</v>
      </c>
      <c r="D16381" t="s">
        <v>604</v>
      </c>
      <c r="F16381" t="s">
        <v>43932</v>
      </c>
      <c r="K16381" s="18">
        <f>628119937338</f>
        <v>628119937338</v>
      </c>
      <c r="N16381" s="17" t="s">
        <v>77</v>
      </c>
      <c r="V16381" s="18">
        <f>628119937338</f>
        <v>628119937338</v>
      </c>
    </row>
    <row r="16382" ht="15" customHeight="1" spans="1:22" x14ac:dyDescent="0.25">
      <c r="A16382" s="17" t="s">
        <v>43933</v>
      </c>
      <c r="B16382" s="17" t="s">
        <v>70</v>
      </c>
      <c r="C16382" s="17" t="s">
        <v>71</v>
      </c>
      <c r="D16382" t="s">
        <v>21287</v>
      </c>
      <c r="F16382" t="s">
        <v>21287</v>
      </c>
      <c r="K16382" s="18">
        <f>6281298481720</f>
        <v>6281298481720</v>
      </c>
      <c r="N16382" s="17" t="s">
        <v>81</v>
      </c>
      <c r="V16382" s="18">
        <f>6281298481720</f>
        <v>6281298481720</v>
      </c>
    </row>
    <row r="16383" ht="15" customHeight="1" spans="1:22" x14ac:dyDescent="0.25">
      <c r="A16383" s="17" t="s">
        <v>43934</v>
      </c>
      <c r="B16383" s="17" t="s">
        <v>70</v>
      </c>
      <c r="C16383" s="17" t="s">
        <v>71</v>
      </c>
      <c r="D16383" t="s">
        <v>21287</v>
      </c>
      <c r="F16383" t="s">
        <v>21287</v>
      </c>
      <c r="K16383" s="18">
        <f>6289515628982</f>
        <v>6289515628982</v>
      </c>
      <c r="N16383" s="17" t="s">
        <v>77</v>
      </c>
      <c r="V16383" s="18">
        <f>6289515628982</f>
        <v>6289515628982</v>
      </c>
    </row>
    <row r="16384" ht="15" customHeight="1" spans="1:25" x14ac:dyDescent="0.25">
      <c r="A16384" s="17" t="s">
        <v>43935</v>
      </c>
      <c r="B16384" s="17" t="s">
        <v>70</v>
      </c>
      <c r="C16384" s="17" t="s">
        <v>71</v>
      </c>
      <c r="D16384" t="s">
        <v>21287</v>
      </c>
      <c r="F16384" t="s">
        <v>814</v>
      </c>
      <c r="K16384" s="18">
        <f>6281328553337</f>
        <v>6281328553337</v>
      </c>
      <c r="N16384" s="17" t="s">
        <v>74</v>
      </c>
      <c r="U16384" s="17"/>
      <c r="V16384" s="18">
        <f>6281328553337</f>
        <v>6281328553337</v>
      </c>
      <c r="W16384" t="s">
        <v>43936</v>
      </c>
      <c r="Y16384" s="17" t="s">
        <v>43937</v>
      </c>
    </row>
    <row r="16385" ht="15" customHeight="1" spans="1:22" x14ac:dyDescent="0.25">
      <c r="A16385" s="17" t="s">
        <v>43938</v>
      </c>
      <c r="B16385" s="17" t="s">
        <v>70</v>
      </c>
      <c r="C16385" s="17" t="s">
        <v>71</v>
      </c>
      <c r="D16385" t="s">
        <v>21287</v>
      </c>
      <c r="F16385" t="s">
        <v>4928</v>
      </c>
      <c r="K16385" s="18">
        <f>628121060246</f>
        <v>628121060246</v>
      </c>
      <c r="N16385" s="17" t="s">
        <v>77</v>
      </c>
      <c r="V16385" s="18">
        <f>628121060246</f>
        <v>628121060246</v>
      </c>
    </row>
    <row r="16386" ht="15" customHeight="1" spans="1:28" x14ac:dyDescent="0.25">
      <c r="A16386" s="17" t="s">
        <v>43939</v>
      </c>
      <c r="B16386" s="17" t="s">
        <v>70</v>
      </c>
      <c r="C16386" s="17" t="s">
        <v>71</v>
      </c>
      <c r="D16386" t="s">
        <v>18696</v>
      </c>
      <c r="F16386" t="s">
        <v>8683</v>
      </c>
      <c r="J16386" t="s">
        <v>115</v>
      </c>
      <c r="K16386" s="18" t="s">
        <v>43940</v>
      </c>
      <c r="N16386" s="17" t="s">
        <v>81</v>
      </c>
      <c r="O16386" t="s">
        <v>1188</v>
      </c>
      <c r="V16386" s="18" t="s">
        <v>43940</v>
      </c>
      <c r="Y16386" t="s">
        <v>1084</v>
      </c>
      <c r="AA16386" t="s">
        <v>3146</v>
      </c>
      <c r="AB16386" t="s">
        <v>119</v>
      </c>
    </row>
    <row r="16387" ht="15" customHeight="1" spans="1:28" x14ac:dyDescent="0.25">
      <c r="A16387" s="17" t="s">
        <v>43941</v>
      </c>
      <c r="B16387" s="17" t="s">
        <v>70</v>
      </c>
      <c r="C16387" s="17" t="s">
        <v>71</v>
      </c>
      <c r="D16387" t="s">
        <v>21287</v>
      </c>
      <c r="F16387" t="s">
        <v>5480</v>
      </c>
      <c r="J16387" t="s">
        <v>115</v>
      </c>
      <c r="K16387" s="18" t="s">
        <v>43942</v>
      </c>
      <c r="N16387" s="17" t="s">
        <v>77</v>
      </c>
      <c r="O16387" t="s">
        <v>199</v>
      </c>
      <c r="U16387" s="17"/>
      <c r="V16387" s="18" t="s">
        <v>43942</v>
      </c>
      <c r="W16387" t="s">
        <v>119</v>
      </c>
      <c r="Y16387" t="s">
        <v>1091</v>
      </c>
      <c r="AA16387" t="s">
        <v>115</v>
      </c>
      <c r="AB16387" t="s">
        <v>119</v>
      </c>
    </row>
    <row r="16388" ht="15" customHeight="1" spans="1:28" x14ac:dyDescent="0.25">
      <c r="A16388" s="17" t="s">
        <v>43943</v>
      </c>
      <c r="B16388" s="17" t="s">
        <v>70</v>
      </c>
      <c r="C16388" s="17" t="s">
        <v>71</v>
      </c>
      <c r="D16388" t="s">
        <v>21287</v>
      </c>
      <c r="F16388" t="s">
        <v>150</v>
      </c>
      <c r="J16388" t="s">
        <v>115</v>
      </c>
      <c r="K16388" s="18" t="s">
        <v>43944</v>
      </c>
      <c r="N16388" s="17" t="s">
        <v>77</v>
      </c>
      <c r="O16388" t="s">
        <v>117</v>
      </c>
      <c r="U16388" s="17"/>
      <c r="V16388" s="18" t="s">
        <v>43944</v>
      </c>
      <c r="W16388" t="s">
        <v>43945</v>
      </c>
      <c r="Y16388" t="s">
        <v>190</v>
      </c>
      <c r="AA16388" t="s">
        <v>118</v>
      </c>
      <c r="AB16388" t="s">
        <v>119</v>
      </c>
    </row>
    <row r="16389" ht="15" customHeight="1" spans="1:25" x14ac:dyDescent="0.25">
      <c r="A16389" s="17" t="s">
        <v>43946</v>
      </c>
      <c r="B16389" s="17" t="s">
        <v>70</v>
      </c>
      <c r="C16389" s="17" t="s">
        <v>71</v>
      </c>
      <c r="D16389" t="s">
        <v>21287</v>
      </c>
      <c r="F16389" t="s">
        <v>43947</v>
      </c>
      <c r="K16389" s="18">
        <f>6285694361770</f>
        <v>6285694361770</v>
      </c>
      <c r="N16389" s="17" t="s">
        <v>77</v>
      </c>
      <c r="U16389" s="17"/>
      <c r="V16389" s="18">
        <f>6285694361770</f>
        <v>6285694361770</v>
      </c>
      <c r="W16389" t="s">
        <v>43948</v>
      </c>
      <c r="Y16389" s="17" t="s">
        <v>596</v>
      </c>
    </row>
    <row r="16390" ht="15" customHeight="1" spans="1:28" x14ac:dyDescent="0.25">
      <c r="A16390" s="17" t="s">
        <v>43949</v>
      </c>
      <c r="B16390" s="17" t="s">
        <v>70</v>
      </c>
      <c r="C16390" s="17" t="s">
        <v>71</v>
      </c>
      <c r="D16390" t="s">
        <v>21287</v>
      </c>
      <c r="F16390" t="s">
        <v>43950</v>
      </c>
      <c r="J16390" t="s">
        <v>115</v>
      </c>
      <c r="K16390" s="18" t="s">
        <v>43951</v>
      </c>
      <c r="N16390" s="17" t="s">
        <v>77</v>
      </c>
      <c r="O16390" t="s">
        <v>199</v>
      </c>
      <c r="V16390" s="18" t="s">
        <v>43951</v>
      </c>
      <c r="Y16390" t="s">
        <v>115</v>
      </c>
      <c r="AA16390" t="s">
        <v>115</v>
      </c>
      <c r="AB16390" t="s">
        <v>119</v>
      </c>
    </row>
    <row r="16391" ht="15" customHeight="1" spans="1:22" x14ac:dyDescent="0.25">
      <c r="A16391" s="17" t="s">
        <v>43952</v>
      </c>
      <c r="B16391" s="17" t="s">
        <v>70</v>
      </c>
      <c r="C16391" s="17" t="s">
        <v>71</v>
      </c>
      <c r="D16391" t="s">
        <v>21287</v>
      </c>
      <c r="F16391" t="s">
        <v>43953</v>
      </c>
      <c r="K16391" s="18">
        <f>6281808568680</f>
        <v>6281808568680</v>
      </c>
      <c r="N16391" s="17" t="s">
        <v>81</v>
      </c>
      <c r="V16391" s="18">
        <f>6281808568680</f>
        <v>6281808568680</v>
      </c>
    </row>
    <row r="16392" ht="15" customHeight="1" spans="1:28" x14ac:dyDescent="0.25">
      <c r="A16392" s="17" t="s">
        <v>43954</v>
      </c>
      <c r="B16392" s="17" t="s">
        <v>70</v>
      </c>
      <c r="C16392" s="17" t="s">
        <v>71</v>
      </c>
      <c r="D16392" t="s">
        <v>21287</v>
      </c>
      <c r="F16392" t="s">
        <v>7315</v>
      </c>
      <c r="J16392" s="17" t="s">
        <v>43955</v>
      </c>
      <c r="K16392" s="18" t="s">
        <v>43956</v>
      </c>
      <c r="N16392" s="17" t="s">
        <v>77</v>
      </c>
      <c r="O16392" t="s">
        <v>261</v>
      </c>
      <c r="U16392" s="17"/>
      <c r="V16392" s="18" t="s">
        <v>43956</v>
      </c>
      <c r="W16392" t="s">
        <v>43957</v>
      </c>
      <c r="Y16392" t="s">
        <v>217</v>
      </c>
      <c r="AA16392" t="s">
        <v>218</v>
      </c>
      <c r="AB16392" t="s">
        <v>119</v>
      </c>
    </row>
    <row r="16393" ht="15" customHeight="1" spans="1:22" x14ac:dyDescent="0.25">
      <c r="A16393" s="17" t="s">
        <v>43958</v>
      </c>
      <c r="B16393" s="17" t="s">
        <v>70</v>
      </c>
      <c r="C16393" s="17" t="s">
        <v>71</v>
      </c>
      <c r="D16393" t="s">
        <v>43959</v>
      </c>
      <c r="F16393" t="s">
        <v>3767</v>
      </c>
      <c r="K16393" s="18">
        <f>6281238953477</f>
        <v>6281238953477</v>
      </c>
      <c r="N16393" s="17" t="s">
        <v>77</v>
      </c>
      <c r="V16393" s="18">
        <f>6281238953477</f>
        <v>6281238953477</v>
      </c>
    </row>
    <row r="16394" ht="15" customHeight="1" spans="1:27" x14ac:dyDescent="0.25">
      <c r="A16394" s="17" t="s">
        <v>43960</v>
      </c>
      <c r="B16394" s="17" t="s">
        <v>70</v>
      </c>
      <c r="C16394" s="17" t="s">
        <v>71</v>
      </c>
      <c r="D16394" t="s">
        <v>43961</v>
      </c>
      <c r="F16394" t="s">
        <v>3740</v>
      </c>
      <c r="J16394" s="17" t="s">
        <v>43962</v>
      </c>
      <c r="K16394" s="18">
        <f>622131931774</f>
        <v>622131931774</v>
      </c>
      <c r="N16394" s="17" t="s">
        <v>77</v>
      </c>
      <c r="U16394" s="17"/>
      <c r="V16394" s="18">
        <f>622131931774</f>
        <v>622131931774</v>
      </c>
      <c r="W16394" t="s">
        <v>43963</v>
      </c>
      <c r="Y16394" s="17" t="s">
        <v>378</v>
      </c>
      <c r="AA16394" s="17">
        <v>10310</v>
      </c>
    </row>
    <row r="16395" ht="15" customHeight="1" spans="1:22" x14ac:dyDescent="0.25">
      <c r="A16395" s="17" t="s">
        <v>43964</v>
      </c>
      <c r="B16395" s="17" t="s">
        <v>70</v>
      </c>
      <c r="C16395" s="17" t="s">
        <v>71</v>
      </c>
      <c r="D16395" t="s">
        <v>43965</v>
      </c>
      <c r="F16395" t="s">
        <v>43965</v>
      </c>
      <c r="K16395" s="18">
        <f>628170812081</f>
        <v>628170812081</v>
      </c>
      <c r="N16395" s="17" t="s">
        <v>77</v>
      </c>
      <c r="V16395" s="18">
        <f>628170812081</f>
        <v>628170812081</v>
      </c>
    </row>
    <row r="16396" ht="15" customHeight="1" spans="1:25" x14ac:dyDescent="0.25">
      <c r="A16396" s="17" t="s">
        <v>43966</v>
      </c>
      <c r="B16396" s="17" t="s">
        <v>70</v>
      </c>
      <c r="C16396" s="17" t="s">
        <v>71</v>
      </c>
      <c r="D16396" t="s">
        <v>43967</v>
      </c>
      <c r="F16396" t="s">
        <v>5826</v>
      </c>
      <c r="K16396" s="18">
        <f>628179888323</f>
        <v>628179888323</v>
      </c>
      <c r="N16396" s="17" t="s">
        <v>81</v>
      </c>
      <c r="U16396" s="17"/>
      <c r="V16396" s="18">
        <f>628179888323</f>
        <v>628179888323</v>
      </c>
      <c r="W16396" t="s">
        <v>43968</v>
      </c>
      <c r="Y16396" s="17" t="s">
        <v>90</v>
      </c>
    </row>
    <row r="16397" ht="15" customHeight="1" spans="1:22" x14ac:dyDescent="0.25">
      <c r="A16397" s="17" t="s">
        <v>43969</v>
      </c>
      <c r="B16397" s="17" t="s">
        <v>70</v>
      </c>
      <c r="C16397" s="17" t="s">
        <v>71</v>
      </c>
      <c r="D16397" t="s">
        <v>43970</v>
      </c>
      <c r="F16397" t="s">
        <v>43970</v>
      </c>
      <c r="K16397" s="18">
        <f>62816778792</f>
        <v>62816778792</v>
      </c>
      <c r="N16397" s="17" t="s">
        <v>77</v>
      </c>
      <c r="V16397" s="18">
        <f>62816778792</f>
        <v>62816778792</v>
      </c>
    </row>
    <row r="16398" ht="15" customHeight="1" spans="1:28" x14ac:dyDescent="0.25">
      <c r="A16398" s="17" t="s">
        <v>43971</v>
      </c>
      <c r="B16398" s="17" t="s">
        <v>70</v>
      </c>
      <c r="C16398" s="17" t="s">
        <v>71</v>
      </c>
      <c r="D16398" t="s">
        <v>43972</v>
      </c>
      <c r="F16398" t="s">
        <v>43973</v>
      </c>
      <c r="J16398" t="s">
        <v>115</v>
      </c>
      <c r="K16398" s="18" t="s">
        <v>43974</v>
      </c>
      <c r="N16398" s="17" t="s">
        <v>77</v>
      </c>
      <c r="O16398" t="s">
        <v>117</v>
      </c>
      <c r="V16398" s="18" t="s">
        <v>43974</v>
      </c>
      <c r="Y16398" t="s">
        <v>90</v>
      </c>
      <c r="AA16398" t="s">
        <v>118</v>
      </c>
      <c r="AB16398" t="s">
        <v>119</v>
      </c>
    </row>
    <row r="16399" ht="15" customHeight="1" spans="1:22" x14ac:dyDescent="0.25">
      <c r="A16399" s="17" t="s">
        <v>43975</v>
      </c>
      <c r="B16399" s="17" t="s">
        <v>70</v>
      </c>
      <c r="C16399" s="17" t="s">
        <v>71</v>
      </c>
      <c r="D16399" t="s">
        <v>43970</v>
      </c>
      <c r="F16399" t="s">
        <v>43976</v>
      </c>
      <c r="K16399" s="18">
        <f>6282122705618</f>
        <v>6282122705618</v>
      </c>
      <c r="N16399" s="17" t="s">
        <v>81</v>
      </c>
      <c r="V16399" s="18">
        <f>6282122705618</f>
        <v>6282122705618</v>
      </c>
    </row>
    <row r="16400" ht="15" customHeight="1" spans="1:22" x14ac:dyDescent="0.25">
      <c r="A16400" s="17" t="s">
        <v>43977</v>
      </c>
      <c r="B16400" s="17" t="s">
        <v>70</v>
      </c>
      <c r="C16400" s="17" t="s">
        <v>71</v>
      </c>
      <c r="D16400" t="s">
        <v>43970</v>
      </c>
      <c r="F16400" t="s">
        <v>43978</v>
      </c>
      <c r="K16400" s="18">
        <f>6281310005796</f>
        <v>6281310005796</v>
      </c>
      <c r="N16400" s="17" t="s">
        <v>81</v>
      </c>
      <c r="V16400" s="18">
        <f>6281310005796</f>
        <v>6281310005796</v>
      </c>
    </row>
    <row r="16401" ht="15" customHeight="1" spans="1:22" x14ac:dyDescent="0.25">
      <c r="A16401" s="17" t="s">
        <v>43979</v>
      </c>
      <c r="B16401" s="17" t="s">
        <v>70</v>
      </c>
      <c r="C16401" s="17" t="s">
        <v>71</v>
      </c>
      <c r="D16401" t="s">
        <v>41680</v>
      </c>
      <c r="F16401" t="s">
        <v>7846</v>
      </c>
      <c r="K16401" s="18">
        <f>6281388558338</f>
        <v>6281388558338</v>
      </c>
      <c r="N16401" s="17" t="s">
        <v>77</v>
      </c>
      <c r="V16401" s="18">
        <f>6281388558338</f>
        <v>6281388558338</v>
      </c>
    </row>
    <row r="16402" ht="15" customHeight="1" spans="1:22" x14ac:dyDescent="0.25">
      <c r="A16402" s="17" t="s">
        <v>43980</v>
      </c>
      <c r="B16402" s="17" t="s">
        <v>70</v>
      </c>
      <c r="C16402" s="17" t="s">
        <v>71</v>
      </c>
      <c r="D16402" t="s">
        <v>43981</v>
      </c>
      <c r="F16402" t="s">
        <v>2563</v>
      </c>
      <c r="K16402" s="18">
        <f>628121056691</f>
        <v>628121056691</v>
      </c>
      <c r="N16402" s="17" t="s">
        <v>77</v>
      </c>
      <c r="V16402" s="18">
        <f>628121056691</f>
        <v>628121056691</v>
      </c>
    </row>
    <row r="16403" ht="15" customHeight="1" spans="1:25" x14ac:dyDescent="0.25">
      <c r="A16403" s="17" t="s">
        <v>43982</v>
      </c>
      <c r="B16403" s="17" t="s">
        <v>70</v>
      </c>
      <c r="C16403" s="17" t="s">
        <v>71</v>
      </c>
      <c r="D16403" t="s">
        <v>43983</v>
      </c>
      <c r="F16403" t="s">
        <v>43984</v>
      </c>
      <c r="K16403" s="18">
        <f>6285880731901</f>
        <v>6285880731901</v>
      </c>
      <c r="N16403" s="17" t="s">
        <v>77</v>
      </c>
      <c r="U16403" s="17"/>
      <c r="V16403" s="18">
        <f>6285880731901</f>
        <v>6285880731901</v>
      </c>
      <c r="W16403" t="s">
        <v>43985</v>
      </c>
      <c r="Y16403" s="17" t="s">
        <v>515</v>
      </c>
    </row>
    <row r="16404" ht="15" customHeight="1" spans="1:28" x14ac:dyDescent="0.25">
      <c r="A16404" s="17" t="s">
        <v>43986</v>
      </c>
      <c r="B16404" s="17" t="s">
        <v>70</v>
      </c>
      <c r="C16404" s="17" t="s">
        <v>71</v>
      </c>
      <c r="D16404" t="s">
        <v>43987</v>
      </c>
      <c r="F16404" t="s">
        <v>43987</v>
      </c>
      <c r="J16404" t="s">
        <v>115</v>
      </c>
      <c r="K16404" s="18" t="s">
        <v>43988</v>
      </c>
      <c r="N16404" s="17" t="s">
        <v>77</v>
      </c>
      <c r="O16404" t="s">
        <v>117</v>
      </c>
      <c r="V16404" s="18" t="s">
        <v>43988</v>
      </c>
      <c r="Y16404" t="s">
        <v>90</v>
      </c>
      <c r="AA16404" t="s">
        <v>118</v>
      </c>
      <c r="AB16404" t="s">
        <v>119</v>
      </c>
    </row>
    <row r="16405" ht="15" customHeight="1" spans="1:22" x14ac:dyDescent="0.25">
      <c r="A16405" s="17" t="s">
        <v>43989</v>
      </c>
      <c r="B16405" s="17" t="s">
        <v>70</v>
      </c>
      <c r="C16405" s="17" t="s">
        <v>71</v>
      </c>
      <c r="D16405" t="s">
        <v>17657</v>
      </c>
      <c r="F16405" t="s">
        <v>6082</v>
      </c>
      <c r="K16405" s="18">
        <f>447754627893</f>
        <v>447754627893</v>
      </c>
      <c r="N16405" s="17" t="s">
        <v>77</v>
      </c>
      <c r="V16405" s="18">
        <f>447754627893</f>
        <v>447754627893</v>
      </c>
    </row>
    <row r="16406" ht="15" customHeight="1" spans="1:22" x14ac:dyDescent="0.25">
      <c r="A16406" s="17" t="s">
        <v>43990</v>
      </c>
      <c r="B16406" s="17" t="s">
        <v>70</v>
      </c>
      <c r="C16406" s="17" t="s">
        <v>71</v>
      </c>
      <c r="D16406" t="s">
        <v>43991</v>
      </c>
      <c r="F16406" t="s">
        <v>43992</v>
      </c>
      <c r="K16406" s="18">
        <f>628111142416</f>
        <v>628111142416</v>
      </c>
      <c r="N16406" s="17" t="s">
        <v>81</v>
      </c>
      <c r="V16406" s="18">
        <f>628111142416</f>
        <v>628111142416</v>
      </c>
    </row>
    <row r="16407" ht="15" customHeight="1" spans="1:22" x14ac:dyDescent="0.25">
      <c r="A16407" s="17" t="s">
        <v>43993</v>
      </c>
      <c r="B16407" s="17" t="s">
        <v>70</v>
      </c>
      <c r="C16407" s="17" t="s">
        <v>71</v>
      </c>
      <c r="D16407" t="s">
        <v>43991</v>
      </c>
      <c r="F16407" t="s">
        <v>43994</v>
      </c>
      <c r="K16407" s="18">
        <f>628158554697</f>
        <v>628158554697</v>
      </c>
      <c r="N16407" s="17" t="s">
        <v>74</v>
      </c>
      <c r="V16407" s="18">
        <f>628158554697</f>
        <v>628158554697</v>
      </c>
    </row>
    <row r="16408" ht="15" customHeight="1" spans="1:22" x14ac:dyDescent="0.25">
      <c r="A16408" s="17" t="s">
        <v>43995</v>
      </c>
      <c r="B16408" s="17" t="s">
        <v>70</v>
      </c>
      <c r="C16408" s="17" t="s">
        <v>71</v>
      </c>
      <c r="D16408" t="s">
        <v>43996</v>
      </c>
      <c r="F16408" t="s">
        <v>43996</v>
      </c>
      <c r="K16408" s="18">
        <f>6281377769769</f>
        <v>6281377769769</v>
      </c>
      <c r="N16408" s="17" t="s">
        <v>77</v>
      </c>
      <c r="V16408" s="18">
        <f>6281377769769</f>
        <v>6281377769769</v>
      </c>
    </row>
    <row r="16409" ht="15" customHeight="1" spans="1:27" x14ac:dyDescent="0.25">
      <c r="A16409" s="17" t="s">
        <v>43997</v>
      </c>
      <c r="B16409" s="17" t="s">
        <v>70</v>
      </c>
      <c r="C16409" s="17" t="s">
        <v>71</v>
      </c>
      <c r="D16409" t="s">
        <v>43998</v>
      </c>
      <c r="F16409" t="s">
        <v>43999</v>
      </c>
      <c r="K16409" s="18">
        <f>62816894148</f>
        <v>62816894148</v>
      </c>
      <c r="N16409" s="17" t="s">
        <v>74</v>
      </c>
      <c r="U16409" s="17"/>
      <c r="V16409" s="18">
        <f>62816894148</f>
        <v>62816894148</v>
      </c>
      <c r="W16409" t="s">
        <v>44000</v>
      </c>
      <c r="Y16409" s="17" t="s">
        <v>96</v>
      </c>
      <c r="AA16409" s="17" t="s">
        <v>97</v>
      </c>
    </row>
    <row r="16410" ht="15" customHeight="1" spans="1:25" x14ac:dyDescent="0.25">
      <c r="A16410" s="17" t="s">
        <v>44001</v>
      </c>
      <c r="B16410" s="17" t="s">
        <v>70</v>
      </c>
      <c r="C16410" s="17" t="s">
        <v>71</v>
      </c>
      <c r="D16410" t="s">
        <v>44002</v>
      </c>
      <c r="F16410" t="s">
        <v>44002</v>
      </c>
      <c r="K16410" s="18">
        <f>6281218973357</f>
        <v>6281218973357</v>
      </c>
      <c r="N16410" s="17" t="s">
        <v>81</v>
      </c>
      <c r="U16410" s="17"/>
      <c r="V16410" s="18">
        <f>6281218973357</f>
        <v>6281218973357</v>
      </c>
      <c r="W16410" t="s">
        <v>44003</v>
      </c>
      <c r="Y16410" s="17" t="s">
        <v>90</v>
      </c>
    </row>
    <row r="16411" ht="15" customHeight="1" spans="1:22" x14ac:dyDescent="0.25">
      <c r="A16411" s="17" t="s">
        <v>44004</v>
      </c>
      <c r="B16411" s="17" t="s">
        <v>70</v>
      </c>
      <c r="C16411" s="17" t="s">
        <v>71</v>
      </c>
      <c r="D16411" t="s">
        <v>44002</v>
      </c>
      <c r="F16411" t="s">
        <v>44005</v>
      </c>
      <c r="K16411" s="18">
        <f>628129509340</f>
        <v>628129509340</v>
      </c>
      <c r="N16411" s="17" t="s">
        <v>81</v>
      </c>
      <c r="V16411" s="18">
        <f>628129509340</f>
        <v>628129509340</v>
      </c>
    </row>
    <row r="16412" ht="15" customHeight="1" spans="1:22" x14ac:dyDescent="0.25">
      <c r="A16412" s="17" t="s">
        <v>44006</v>
      </c>
      <c r="B16412" s="17" t="s">
        <v>70</v>
      </c>
      <c r="C16412" s="17" t="s">
        <v>71</v>
      </c>
      <c r="D16412" t="s">
        <v>44007</v>
      </c>
      <c r="F16412" t="s">
        <v>44008</v>
      </c>
      <c r="K16412" s="18">
        <f>6281807096191</f>
        <v>6281807096191</v>
      </c>
      <c r="N16412" s="17" t="s">
        <v>77</v>
      </c>
      <c r="V16412" s="18">
        <f>6281807096191</f>
        <v>6281807096191</v>
      </c>
    </row>
    <row r="16413" ht="15" customHeight="1" spans="1:25" x14ac:dyDescent="0.25">
      <c r="A16413" s="17" t="s">
        <v>44009</v>
      </c>
      <c r="B16413" s="17" t="s">
        <v>70</v>
      </c>
      <c r="C16413" s="17" t="s">
        <v>71</v>
      </c>
      <c r="D16413" t="s">
        <v>44007</v>
      </c>
      <c r="F16413" t="s">
        <v>44010</v>
      </c>
      <c r="K16413" s="18">
        <f>62217697672</f>
        <v>62217697672</v>
      </c>
      <c r="N16413" s="17" t="s">
        <v>77</v>
      </c>
      <c r="U16413" s="17"/>
      <c r="V16413" s="18">
        <f>62217697672</f>
        <v>62217697672</v>
      </c>
      <c r="W16413" t="s">
        <v>44011</v>
      </c>
      <c r="Y16413" s="17" t="s">
        <v>90</v>
      </c>
    </row>
    <row r="16414" ht="15" customHeight="1" spans="1:28" x14ac:dyDescent="0.25">
      <c r="A16414" s="17" t="s">
        <v>44012</v>
      </c>
      <c r="B16414" s="17" t="s">
        <v>70</v>
      </c>
      <c r="C16414" s="17" t="s">
        <v>71</v>
      </c>
      <c r="D16414" t="s">
        <v>44013</v>
      </c>
      <c r="F16414" t="s">
        <v>282</v>
      </c>
      <c r="J16414" t="s">
        <v>44014</v>
      </c>
      <c r="K16414" s="18" t="s">
        <v>44015</v>
      </c>
      <c r="N16414" s="17" t="s">
        <v>77</v>
      </c>
      <c r="O16414" t="s">
        <v>1188</v>
      </c>
      <c r="U16414" s="17"/>
      <c r="V16414" s="18" t="s">
        <v>44015</v>
      </c>
      <c r="W16414" t="s">
        <v>44016</v>
      </c>
      <c r="Y16414" s="17" t="s">
        <v>704</v>
      </c>
      <c r="AA16414" t="s">
        <v>705</v>
      </c>
      <c r="AB16414" t="s">
        <v>119</v>
      </c>
    </row>
    <row r="16415" ht="15" customHeight="1" spans="1:22" x14ac:dyDescent="0.25">
      <c r="A16415" s="17" t="s">
        <v>44017</v>
      </c>
      <c r="B16415" s="17" t="s">
        <v>70</v>
      </c>
      <c r="C16415" s="17" t="s">
        <v>71</v>
      </c>
      <c r="D16415" t="s">
        <v>44018</v>
      </c>
      <c r="F16415" t="s">
        <v>41874</v>
      </c>
      <c r="K16415" s="18">
        <f>6281298892008</f>
        <v>6281298892008</v>
      </c>
      <c r="N16415" s="17" t="s">
        <v>77</v>
      </c>
      <c r="V16415" s="18">
        <f>6281298892008</f>
        <v>6281298892008</v>
      </c>
    </row>
    <row r="16416" ht="15" customHeight="1" spans="1:27" x14ac:dyDescent="0.25">
      <c r="A16416" s="17" t="s">
        <v>44019</v>
      </c>
      <c r="B16416" s="17" t="s">
        <v>70</v>
      </c>
      <c r="C16416" s="17" t="s">
        <v>71</v>
      </c>
      <c r="D16416" t="s">
        <v>44020</v>
      </c>
      <c r="F16416" t="s">
        <v>44020</v>
      </c>
      <c r="K16416" s="18">
        <v>7818151</v>
      </c>
      <c r="N16416" s="17" t="s">
        <v>77</v>
      </c>
      <c r="U16416" s="17"/>
      <c r="V16416" s="18">
        <v>7818151</v>
      </c>
      <c r="W16416" t="s">
        <v>44021</v>
      </c>
      <c r="Y16416" s="17" t="s">
        <v>96</v>
      </c>
      <c r="AA16416" s="17" t="s">
        <v>44022</v>
      </c>
    </row>
    <row r="16417" ht="15" customHeight="1" spans="1:22" x14ac:dyDescent="0.25">
      <c r="A16417" s="17" t="s">
        <v>44023</v>
      </c>
      <c r="B16417" s="17" t="s">
        <v>70</v>
      </c>
      <c r="C16417" s="17" t="s">
        <v>71</v>
      </c>
      <c r="D16417" t="s">
        <v>330</v>
      </c>
      <c r="F16417" t="s">
        <v>330</v>
      </c>
      <c r="K16417" s="18">
        <f>6281280807902</f>
        <v>6281280807902</v>
      </c>
      <c r="N16417" s="17" t="s">
        <v>77</v>
      </c>
      <c r="V16417" s="18">
        <f>6281280807902</f>
        <v>6281280807902</v>
      </c>
    </row>
    <row r="16418" ht="15" customHeight="1" spans="1:22" x14ac:dyDescent="0.25">
      <c r="A16418" s="17" t="s">
        <v>44024</v>
      </c>
      <c r="B16418" s="17" t="s">
        <v>70</v>
      </c>
      <c r="C16418" s="17" t="s">
        <v>71</v>
      </c>
      <c r="D16418" t="s">
        <v>330</v>
      </c>
      <c r="F16418" t="s">
        <v>330</v>
      </c>
      <c r="K16418" s="18">
        <f>628161884910</f>
        <v>628161884910</v>
      </c>
      <c r="N16418" s="17" t="s">
        <v>77</v>
      </c>
      <c r="V16418" s="18">
        <f>628161884910</f>
        <v>628161884910</v>
      </c>
    </row>
    <row r="16419" ht="15" customHeight="1" spans="1:28" x14ac:dyDescent="0.25">
      <c r="A16419" s="17" t="s">
        <v>44025</v>
      </c>
      <c r="B16419" s="17" t="s">
        <v>70</v>
      </c>
      <c r="C16419" s="17" t="s">
        <v>71</v>
      </c>
      <c r="D16419" t="s">
        <v>330</v>
      </c>
      <c r="F16419" t="s">
        <v>330</v>
      </c>
      <c r="J16419" t="s">
        <v>115</v>
      </c>
      <c r="K16419" s="18" t="s">
        <v>44026</v>
      </c>
      <c r="N16419" s="17" t="s">
        <v>77</v>
      </c>
      <c r="O16419" t="s">
        <v>199</v>
      </c>
      <c r="V16419" s="18" t="s">
        <v>44026</v>
      </c>
      <c r="Y16419" t="s">
        <v>90</v>
      </c>
      <c r="AA16419" t="s">
        <v>118</v>
      </c>
      <c r="AB16419" t="s">
        <v>119</v>
      </c>
    </row>
    <row r="16420" ht="15" customHeight="1" spans="1:22" x14ac:dyDescent="0.25">
      <c r="A16420" s="17" t="s">
        <v>44027</v>
      </c>
      <c r="B16420" s="17" t="s">
        <v>70</v>
      </c>
      <c r="C16420" s="17" t="s">
        <v>71</v>
      </c>
      <c r="D16420" t="s">
        <v>330</v>
      </c>
      <c r="F16420" t="s">
        <v>330</v>
      </c>
      <c r="K16420" s="18">
        <f>6281977678197</f>
        <v>6281977678197</v>
      </c>
      <c r="N16420" s="17" t="s">
        <v>81</v>
      </c>
      <c r="V16420" s="18">
        <f>6281977678197</f>
        <v>6281977678197</v>
      </c>
    </row>
    <row r="16421" ht="15" customHeight="1" spans="1:28" x14ac:dyDescent="0.25">
      <c r="A16421" s="17" t="s">
        <v>44028</v>
      </c>
      <c r="B16421" s="17" t="s">
        <v>70</v>
      </c>
      <c r="C16421" s="17" t="s">
        <v>71</v>
      </c>
      <c r="D16421" t="s">
        <v>330</v>
      </c>
      <c r="F16421" t="s">
        <v>44029</v>
      </c>
      <c r="J16421" s="17" t="s">
        <v>44030</v>
      </c>
      <c r="K16421" s="18" t="s">
        <v>44031</v>
      </c>
      <c r="N16421" s="17" t="s">
        <v>77</v>
      </c>
      <c r="O16421" t="s">
        <v>117</v>
      </c>
      <c r="V16421" s="18" t="s">
        <v>44031</v>
      </c>
      <c r="Y16421" t="s">
        <v>217</v>
      </c>
      <c r="AA16421" t="s">
        <v>218</v>
      </c>
      <c r="AB16421" t="s">
        <v>119</v>
      </c>
    </row>
    <row r="16422" ht="15" customHeight="1" spans="1:28" x14ac:dyDescent="0.25">
      <c r="A16422" s="17" t="s">
        <v>44032</v>
      </c>
      <c r="B16422" s="17" t="s">
        <v>70</v>
      </c>
      <c r="C16422" s="17" t="s">
        <v>71</v>
      </c>
      <c r="D16422" t="s">
        <v>330</v>
      </c>
      <c r="F16422" t="s">
        <v>44033</v>
      </c>
      <c r="J16422" t="s">
        <v>115</v>
      </c>
      <c r="K16422" s="18" t="s">
        <v>44034</v>
      </c>
      <c r="N16422" s="17" t="s">
        <v>81</v>
      </c>
      <c r="O16422" t="s">
        <v>117</v>
      </c>
      <c r="V16422" s="18" t="s">
        <v>44034</v>
      </c>
      <c r="Y16422" t="s">
        <v>90</v>
      </c>
      <c r="AA16422" t="s">
        <v>118</v>
      </c>
      <c r="AB16422" t="s">
        <v>119</v>
      </c>
    </row>
    <row r="16423" ht="15" customHeight="1" spans="1:23" x14ac:dyDescent="0.25">
      <c r="A16423" s="17" t="s">
        <v>44035</v>
      </c>
      <c r="B16423" s="17" t="s">
        <v>70</v>
      </c>
      <c r="C16423" s="17" t="s">
        <v>71</v>
      </c>
      <c r="D16423" t="s">
        <v>330</v>
      </c>
      <c r="F16423" t="s">
        <v>44036</v>
      </c>
      <c r="K16423" s="18">
        <f>628116091129</f>
        <v>628116091129</v>
      </c>
      <c r="N16423" s="17" t="s">
        <v>81</v>
      </c>
      <c r="U16423" s="17"/>
      <c r="V16423" s="18">
        <f>628116091129</f>
        <v>628116091129</v>
      </c>
      <c r="W16423" t="s">
        <v>44037</v>
      </c>
    </row>
    <row r="16424" ht="15" customHeight="1" spans="1:25" x14ac:dyDescent="0.25">
      <c r="A16424" s="17" t="s">
        <v>44038</v>
      </c>
      <c r="B16424" s="17" t="s">
        <v>70</v>
      </c>
      <c r="C16424" s="17" t="s">
        <v>71</v>
      </c>
      <c r="D16424" t="s">
        <v>330</v>
      </c>
      <c r="F16424" t="s">
        <v>44039</v>
      </c>
      <c r="K16424" s="18">
        <f>6281283236800</f>
        <v>6281283236800</v>
      </c>
      <c r="N16424" s="17" t="s">
        <v>81</v>
      </c>
      <c r="U16424" s="17"/>
      <c r="V16424" s="18">
        <f>6281283236800</f>
        <v>6281283236800</v>
      </c>
      <c r="W16424" t="s">
        <v>44040</v>
      </c>
      <c r="Y16424" s="17" t="s">
        <v>90</v>
      </c>
    </row>
    <row r="16425" ht="15" customHeight="1" spans="1:22" x14ac:dyDescent="0.25">
      <c r="A16425" s="17" t="s">
        <v>44041</v>
      </c>
      <c r="B16425" s="17" t="s">
        <v>70</v>
      </c>
      <c r="C16425" s="17" t="s">
        <v>71</v>
      </c>
      <c r="D16425" t="s">
        <v>330</v>
      </c>
      <c r="F16425" t="s">
        <v>19643</v>
      </c>
      <c r="K16425" s="18">
        <f>6281213137202</f>
        <v>6281213137202</v>
      </c>
      <c r="N16425" s="17" t="s">
        <v>81</v>
      </c>
      <c r="V16425" s="18">
        <f>6281213137202</f>
        <v>6281213137202</v>
      </c>
    </row>
    <row r="16426" ht="15" customHeight="1" spans="1:22" x14ac:dyDescent="0.25">
      <c r="A16426" s="17" t="s">
        <v>44042</v>
      </c>
      <c r="B16426" s="17" t="s">
        <v>70</v>
      </c>
      <c r="C16426" s="17" t="s">
        <v>71</v>
      </c>
      <c r="D16426" t="s">
        <v>330</v>
      </c>
      <c r="F16426" t="s">
        <v>44043</v>
      </c>
      <c r="K16426" s="18">
        <f>6281287583209</f>
        <v>6281287583209</v>
      </c>
      <c r="N16426" s="17" t="s">
        <v>77</v>
      </c>
      <c r="V16426" s="18">
        <f>6281287583209</f>
        <v>6281287583209</v>
      </c>
    </row>
    <row r="16427" ht="15" customHeight="1" spans="1:22" x14ac:dyDescent="0.25">
      <c r="A16427" s="17" t="s">
        <v>44044</v>
      </c>
      <c r="B16427" s="17" t="s">
        <v>70</v>
      </c>
      <c r="C16427" s="17" t="s">
        <v>71</v>
      </c>
      <c r="D16427" t="s">
        <v>330</v>
      </c>
      <c r="F16427" t="s">
        <v>44045</v>
      </c>
      <c r="K16427" s="18">
        <f>628175136889</f>
        <v>628175136889</v>
      </c>
      <c r="N16427" s="17" t="s">
        <v>81</v>
      </c>
      <c r="V16427" s="18">
        <f>628175136889</f>
        <v>628175136889</v>
      </c>
    </row>
    <row r="16428" ht="15" customHeight="1" spans="1:22" x14ac:dyDescent="0.25">
      <c r="A16428" s="17" t="s">
        <v>44046</v>
      </c>
      <c r="B16428" s="17" t="s">
        <v>70</v>
      </c>
      <c r="C16428" s="17" t="s">
        <v>71</v>
      </c>
      <c r="D16428" t="s">
        <v>330</v>
      </c>
      <c r="F16428" t="s">
        <v>12705</v>
      </c>
      <c r="K16428" s="18">
        <f>628126014909</f>
        <v>628126014909</v>
      </c>
      <c r="N16428" s="17" t="s">
        <v>81</v>
      </c>
      <c r="V16428" s="18">
        <f>628126014909</f>
        <v>628126014909</v>
      </c>
    </row>
    <row r="16429" ht="15" customHeight="1" spans="1:27" x14ac:dyDescent="0.25">
      <c r="A16429" s="17" t="s">
        <v>44047</v>
      </c>
      <c r="B16429" s="17" t="s">
        <v>70</v>
      </c>
      <c r="C16429" s="17" t="s">
        <v>71</v>
      </c>
      <c r="D16429" t="s">
        <v>11864</v>
      </c>
      <c r="F16429" t="s">
        <v>11864</v>
      </c>
      <c r="K16429" s="18">
        <f>62217230483</f>
        <v>62217230483</v>
      </c>
      <c r="N16429" s="17" t="s">
        <v>77</v>
      </c>
      <c r="U16429" s="17"/>
      <c r="V16429" s="18">
        <f>62217230483</f>
        <v>62217230483</v>
      </c>
      <c r="W16429" t="s">
        <v>44048</v>
      </c>
      <c r="Y16429" s="17" t="s">
        <v>90</v>
      </c>
      <c r="AA16429" s="17" t="s">
        <v>44049</v>
      </c>
    </row>
    <row r="16430" ht="15" customHeight="1" spans="1:22" x14ac:dyDescent="0.25">
      <c r="A16430" s="17" t="s">
        <v>44050</v>
      </c>
      <c r="B16430" s="17" t="s">
        <v>70</v>
      </c>
      <c r="C16430" s="17" t="s">
        <v>71</v>
      </c>
      <c r="D16430" t="s">
        <v>11864</v>
      </c>
      <c r="F16430" t="s">
        <v>11864</v>
      </c>
      <c r="K16430" s="18">
        <f>62811954389</f>
        <v>62811954389</v>
      </c>
      <c r="N16430" s="17" t="s">
        <v>77</v>
      </c>
      <c r="V16430" s="18">
        <f>62811954389</f>
        <v>62811954389</v>
      </c>
    </row>
    <row r="16431" ht="15" customHeight="1" spans="1:22" x14ac:dyDescent="0.25">
      <c r="A16431" s="17" t="s">
        <v>44051</v>
      </c>
      <c r="B16431" s="17" t="s">
        <v>70</v>
      </c>
      <c r="C16431" s="17" t="s">
        <v>71</v>
      </c>
      <c r="D16431" t="s">
        <v>11864</v>
      </c>
      <c r="F16431" t="s">
        <v>11864</v>
      </c>
      <c r="K16431" s="18">
        <f>6281377820812</f>
        <v>6281377820812</v>
      </c>
      <c r="N16431" s="17" t="s">
        <v>81</v>
      </c>
      <c r="V16431" s="18">
        <f>6281377820812</f>
        <v>6281377820812</v>
      </c>
    </row>
    <row r="16432" ht="15" customHeight="1" spans="1:22" x14ac:dyDescent="0.25">
      <c r="A16432" s="17" t="s">
        <v>44052</v>
      </c>
      <c r="B16432" s="17" t="s">
        <v>70</v>
      </c>
      <c r="C16432" s="17" t="s">
        <v>71</v>
      </c>
      <c r="D16432" t="s">
        <v>11864</v>
      </c>
      <c r="F16432" t="s">
        <v>44053</v>
      </c>
      <c r="K16432" s="18">
        <f>6281221990099</f>
        <v>6281221990099</v>
      </c>
      <c r="N16432" s="17" t="s">
        <v>81</v>
      </c>
      <c r="V16432" s="18">
        <f>6281221990099</f>
        <v>6281221990099</v>
      </c>
    </row>
    <row r="16433" ht="15" customHeight="1" spans="1:22" x14ac:dyDescent="0.25">
      <c r="A16433" s="17" t="s">
        <v>44054</v>
      </c>
      <c r="B16433" s="17" t="s">
        <v>70</v>
      </c>
      <c r="C16433" s="17" t="s">
        <v>71</v>
      </c>
      <c r="D16433" t="s">
        <v>11864</v>
      </c>
      <c r="F16433" t="s">
        <v>5220</v>
      </c>
      <c r="K16433" s="18">
        <f>6282111112528</f>
        <v>6282111112528</v>
      </c>
      <c r="N16433" s="17" t="s">
        <v>77</v>
      </c>
      <c r="V16433" s="18">
        <f>6282111112528</f>
        <v>6282111112528</v>
      </c>
    </row>
    <row r="16434" ht="15" customHeight="1" spans="1:27" x14ac:dyDescent="0.25">
      <c r="A16434" s="17" t="s">
        <v>44055</v>
      </c>
      <c r="B16434" s="17" t="s">
        <v>70</v>
      </c>
      <c r="C16434" s="17" t="s">
        <v>71</v>
      </c>
      <c r="D16434" t="s">
        <v>11864</v>
      </c>
      <c r="F16434" t="s">
        <v>6870</v>
      </c>
      <c r="K16434" s="18">
        <f>62816904917</f>
        <v>62816904917</v>
      </c>
      <c r="N16434" s="17" t="s">
        <v>74</v>
      </c>
      <c r="U16434" s="17"/>
      <c r="V16434" s="18">
        <f>62816904917</f>
        <v>62816904917</v>
      </c>
      <c r="W16434" t="s">
        <v>5477</v>
      </c>
      <c r="Y16434" s="17" t="s">
        <v>626</v>
      </c>
      <c r="AA16434" s="17" t="s">
        <v>44056</v>
      </c>
    </row>
    <row r="16435" ht="15" customHeight="1" spans="1:27" x14ac:dyDescent="0.25">
      <c r="A16435" s="17" t="s">
        <v>44057</v>
      </c>
      <c r="B16435" s="17" t="s">
        <v>70</v>
      </c>
      <c r="C16435" s="17" t="s">
        <v>71</v>
      </c>
      <c r="D16435" t="s">
        <v>11864</v>
      </c>
      <c r="F16435" t="s">
        <v>2258</v>
      </c>
      <c r="J16435" s="17" t="s">
        <v>44058</v>
      </c>
      <c r="K16435" s="18">
        <f>6281239996129</f>
        <v>6281239996129</v>
      </c>
      <c r="N16435" s="17" t="s">
        <v>77</v>
      </c>
      <c r="U16435" s="17"/>
      <c r="V16435" s="18">
        <f>6281239996129</f>
        <v>6281239996129</v>
      </c>
      <c r="W16435" t="s">
        <v>44059</v>
      </c>
      <c r="Y16435" s="17" t="s">
        <v>180</v>
      </c>
      <c r="AA16435" s="17">
        <v>80119</v>
      </c>
    </row>
    <row r="16436" ht="15" customHeight="1" spans="1:25" x14ac:dyDescent="0.25">
      <c r="A16436" s="17" t="s">
        <v>44060</v>
      </c>
      <c r="B16436" s="17" t="s">
        <v>70</v>
      </c>
      <c r="C16436" s="17" t="s">
        <v>71</v>
      </c>
      <c r="D16436" t="s">
        <v>11864</v>
      </c>
      <c r="F16436" t="s">
        <v>2258</v>
      </c>
      <c r="K16436" s="18">
        <f>62811393971</f>
        <v>62811393971</v>
      </c>
      <c r="N16436" s="17" t="s">
        <v>81</v>
      </c>
      <c r="U16436" s="17"/>
      <c r="V16436" s="18">
        <f>62811393971</f>
        <v>62811393971</v>
      </c>
      <c r="W16436" t="s">
        <v>44061</v>
      </c>
      <c r="Y16436" s="17" t="s">
        <v>181</v>
      </c>
    </row>
    <row r="16437" ht="15" customHeight="1" spans="1:28" x14ac:dyDescent="0.25">
      <c r="A16437" s="17" t="s">
        <v>44062</v>
      </c>
      <c r="B16437" s="17" t="s">
        <v>70</v>
      </c>
      <c r="C16437" s="17" t="s">
        <v>71</v>
      </c>
      <c r="D16437" t="s">
        <v>11864</v>
      </c>
      <c r="F16437" t="s">
        <v>3224</v>
      </c>
      <c r="J16437" t="s">
        <v>115</v>
      </c>
      <c r="K16437" s="18" t="s">
        <v>44063</v>
      </c>
      <c r="N16437" s="17" t="s">
        <v>77</v>
      </c>
      <c r="O16437" t="s">
        <v>117</v>
      </c>
      <c r="V16437" s="18" t="s">
        <v>44063</v>
      </c>
      <c r="Y16437" t="s">
        <v>90</v>
      </c>
      <c r="AA16437" t="s">
        <v>118</v>
      </c>
      <c r="AB16437" t="s">
        <v>119</v>
      </c>
    </row>
    <row r="16438" ht="15" customHeight="1" spans="1:22" x14ac:dyDescent="0.25">
      <c r="A16438" s="17" t="s">
        <v>44064</v>
      </c>
      <c r="B16438" s="17" t="s">
        <v>70</v>
      </c>
      <c r="C16438" s="17" t="s">
        <v>71</v>
      </c>
      <c r="D16438" t="s">
        <v>11864</v>
      </c>
      <c r="F16438" t="s">
        <v>9544</v>
      </c>
      <c r="K16438" s="18">
        <f>628127121976</f>
        <v>628127121976</v>
      </c>
      <c r="N16438" s="17" t="s">
        <v>77</v>
      </c>
      <c r="V16438" s="18">
        <f>628127121976</f>
        <v>628127121976</v>
      </c>
    </row>
    <row r="16439" ht="15" customHeight="1" spans="1:22" x14ac:dyDescent="0.25">
      <c r="A16439" s="17" t="s">
        <v>44065</v>
      </c>
      <c r="B16439" s="17" t="s">
        <v>70</v>
      </c>
      <c r="C16439" s="17" t="s">
        <v>71</v>
      </c>
      <c r="D16439" t="s">
        <v>11864</v>
      </c>
      <c r="F16439" t="s">
        <v>44066</v>
      </c>
      <c r="K16439" s="18">
        <f>628122921229</f>
        <v>628122921229</v>
      </c>
      <c r="N16439" s="17" t="s">
        <v>81</v>
      </c>
      <c r="V16439" s="18">
        <f>628122921229</f>
        <v>628122921229</v>
      </c>
    </row>
    <row r="16440" ht="15" customHeight="1" spans="1:28" x14ac:dyDescent="0.25">
      <c r="A16440" s="17" t="s">
        <v>44067</v>
      </c>
      <c r="B16440" s="17" t="s">
        <v>70</v>
      </c>
      <c r="C16440" s="17" t="s">
        <v>71</v>
      </c>
      <c r="D16440" t="s">
        <v>11864</v>
      </c>
      <c r="F16440" t="s">
        <v>44068</v>
      </c>
      <c r="J16440" t="s">
        <v>115</v>
      </c>
      <c r="K16440" s="18" t="s">
        <v>44069</v>
      </c>
      <c r="N16440" s="17" t="s">
        <v>77</v>
      </c>
      <c r="O16440" t="s">
        <v>145</v>
      </c>
      <c r="V16440" s="18" t="s">
        <v>44069</v>
      </c>
      <c r="Y16440" t="s">
        <v>90</v>
      </c>
      <c r="AA16440" t="s">
        <v>118</v>
      </c>
      <c r="AB16440" t="s">
        <v>119</v>
      </c>
    </row>
    <row r="16441" ht="15" customHeight="1" spans="1:22" x14ac:dyDescent="0.25">
      <c r="A16441" s="17" t="s">
        <v>44070</v>
      </c>
      <c r="B16441" s="17" t="s">
        <v>70</v>
      </c>
      <c r="C16441" s="17" t="s">
        <v>71</v>
      </c>
      <c r="D16441" t="s">
        <v>11864</v>
      </c>
      <c r="F16441" t="s">
        <v>44071</v>
      </c>
      <c r="K16441" s="18">
        <f>62816704122</f>
        <v>62816704122</v>
      </c>
      <c r="N16441" s="17" t="s">
        <v>81</v>
      </c>
      <c r="V16441" s="18">
        <f>62816704122</f>
        <v>62816704122</v>
      </c>
    </row>
    <row r="16442" ht="15" customHeight="1" spans="1:25" x14ac:dyDescent="0.25">
      <c r="A16442" s="17" t="s">
        <v>44072</v>
      </c>
      <c r="B16442" s="17" t="s">
        <v>70</v>
      </c>
      <c r="C16442" s="17" t="s">
        <v>71</v>
      </c>
      <c r="D16442" t="s">
        <v>2523</v>
      </c>
      <c r="F16442" t="s">
        <v>2523</v>
      </c>
      <c r="K16442" s="18">
        <f>628161150011</f>
        <v>628161150011</v>
      </c>
      <c r="N16442" s="17" t="s">
        <v>77</v>
      </c>
      <c r="U16442" s="17"/>
      <c r="V16442" s="18">
        <f>628161150011</f>
        <v>628161150011</v>
      </c>
      <c r="W16442" t="s">
        <v>44073</v>
      </c>
      <c r="Y16442" s="17" t="s">
        <v>217</v>
      </c>
    </row>
    <row r="16443" ht="15" customHeight="1" spans="1:25" x14ac:dyDescent="0.25">
      <c r="A16443" s="17" t="s">
        <v>44074</v>
      </c>
      <c r="B16443" s="17" t="s">
        <v>70</v>
      </c>
      <c r="C16443" s="17" t="s">
        <v>71</v>
      </c>
      <c r="D16443" t="s">
        <v>2523</v>
      </c>
      <c r="F16443" t="s">
        <v>2523</v>
      </c>
      <c r="K16443" s="18">
        <f>6282132347893</f>
        <v>6282132347893</v>
      </c>
      <c r="N16443" s="17" t="s">
        <v>77</v>
      </c>
      <c r="U16443" s="17"/>
      <c r="V16443" s="18">
        <f>6282132347893</f>
        <v>6282132347893</v>
      </c>
      <c r="W16443" t="s">
        <v>704</v>
      </c>
      <c r="Y16443" t="s">
        <v>704</v>
      </c>
    </row>
    <row r="16444" ht="15" customHeight="1" spans="1:22" x14ac:dyDescent="0.25">
      <c r="A16444" s="17" t="s">
        <v>44075</v>
      </c>
      <c r="B16444" s="17" t="s">
        <v>70</v>
      </c>
      <c r="C16444" s="17" t="s">
        <v>71</v>
      </c>
      <c r="D16444" t="s">
        <v>2523</v>
      </c>
      <c r="F16444" t="s">
        <v>2523</v>
      </c>
      <c r="K16444" s="18">
        <f>6282122409378</f>
        <v>6282122409378</v>
      </c>
      <c r="N16444" s="17" t="s">
        <v>74</v>
      </c>
      <c r="V16444" s="18">
        <f>6282122409378</f>
        <v>6282122409378</v>
      </c>
    </row>
    <row r="16445" ht="15" customHeight="1" spans="1:28" x14ac:dyDescent="0.25">
      <c r="A16445" s="17" t="s">
        <v>44076</v>
      </c>
      <c r="B16445" s="17" t="s">
        <v>70</v>
      </c>
      <c r="C16445" s="17" t="s">
        <v>71</v>
      </c>
      <c r="D16445" t="s">
        <v>44077</v>
      </c>
      <c r="F16445" t="s">
        <v>2523</v>
      </c>
      <c r="J16445" t="s">
        <v>115</v>
      </c>
      <c r="K16445" s="18" t="s">
        <v>44078</v>
      </c>
      <c r="N16445" s="17" t="s">
        <v>77</v>
      </c>
      <c r="O16445" t="s">
        <v>489</v>
      </c>
      <c r="V16445" s="18" t="s">
        <v>44078</v>
      </c>
      <c r="Y16445" s="17" t="s">
        <v>217</v>
      </c>
      <c r="AA16445" t="s">
        <v>218</v>
      </c>
      <c r="AB16445" t="s">
        <v>119</v>
      </c>
    </row>
    <row r="16446" ht="15" customHeight="1" spans="1:25" x14ac:dyDescent="0.25">
      <c r="A16446" s="17" t="s">
        <v>44079</v>
      </c>
      <c r="B16446" s="17" t="s">
        <v>70</v>
      </c>
      <c r="C16446" s="17" t="s">
        <v>71</v>
      </c>
      <c r="D16446" t="s">
        <v>2523</v>
      </c>
      <c r="F16446" t="s">
        <v>2523</v>
      </c>
      <c r="K16446" s="18">
        <f>62811118345</f>
        <v>62811118345</v>
      </c>
      <c r="N16446" s="17" t="s">
        <v>77</v>
      </c>
      <c r="U16446" s="17"/>
      <c r="V16446" s="18">
        <f>62811118345</f>
        <v>62811118345</v>
      </c>
      <c r="W16446" t="s">
        <v>44080</v>
      </c>
      <c r="Y16446" s="17" t="s">
        <v>378</v>
      </c>
    </row>
    <row r="16447" ht="15" customHeight="1" spans="1:22" x14ac:dyDescent="0.25">
      <c r="A16447" s="17" t="s">
        <v>44081</v>
      </c>
      <c r="B16447" s="17" t="s">
        <v>70</v>
      </c>
      <c r="C16447" s="17" t="s">
        <v>71</v>
      </c>
      <c r="D16447" t="s">
        <v>2523</v>
      </c>
      <c r="F16447" t="s">
        <v>2523</v>
      </c>
      <c r="K16447" s="18">
        <f>628975585569</f>
        <v>628975585569</v>
      </c>
      <c r="N16447" s="17" t="s">
        <v>74</v>
      </c>
      <c r="V16447" s="18">
        <f>628975585569</f>
        <v>628975585569</v>
      </c>
    </row>
    <row r="16448" ht="15" customHeight="1" spans="1:23" x14ac:dyDescent="0.25">
      <c r="A16448" s="17" t="s">
        <v>44082</v>
      </c>
      <c r="B16448" s="17" t="s">
        <v>70</v>
      </c>
      <c r="C16448" s="17" t="s">
        <v>71</v>
      </c>
      <c r="D16448" t="s">
        <v>2523</v>
      </c>
      <c r="F16448" t="s">
        <v>1053</v>
      </c>
      <c r="K16448" s="18">
        <f>62811918777</f>
        <v>62811918777</v>
      </c>
      <c r="N16448" s="17" t="s">
        <v>81</v>
      </c>
      <c r="U16448" s="17"/>
      <c r="V16448" s="18">
        <f>62811918777</f>
        <v>62811918777</v>
      </c>
      <c r="W16448" t="s">
        <v>44083</v>
      </c>
    </row>
    <row r="16449" ht="15" customHeight="1" spans="1:22" x14ac:dyDescent="0.25">
      <c r="A16449" s="17" t="s">
        <v>44084</v>
      </c>
      <c r="B16449" s="17" t="s">
        <v>70</v>
      </c>
      <c r="C16449" s="17" t="s">
        <v>71</v>
      </c>
      <c r="D16449" t="s">
        <v>2523</v>
      </c>
      <c r="F16449" t="s">
        <v>1053</v>
      </c>
      <c r="K16449" s="18">
        <f>62811919777</f>
        <v>62811919777</v>
      </c>
      <c r="N16449" s="17" t="s">
        <v>81</v>
      </c>
      <c r="V16449" s="18">
        <f>62811919777</f>
        <v>62811919777</v>
      </c>
    </row>
    <row r="16450" ht="15" customHeight="1" spans="1:25" x14ac:dyDescent="0.25">
      <c r="A16450" s="17" t="s">
        <v>44085</v>
      </c>
      <c r="B16450" s="17" t="s">
        <v>70</v>
      </c>
      <c r="C16450" s="17" t="s">
        <v>71</v>
      </c>
      <c r="D16450" t="s">
        <v>2523</v>
      </c>
      <c r="F16450" t="s">
        <v>44086</v>
      </c>
      <c r="K16450" s="18">
        <f>62811891289</f>
        <v>62811891289</v>
      </c>
      <c r="N16450" s="17" t="s">
        <v>77</v>
      </c>
      <c r="U16450" s="17"/>
      <c r="V16450" s="18">
        <f>62811891289</f>
        <v>62811891289</v>
      </c>
      <c r="W16450" t="s">
        <v>44087</v>
      </c>
      <c r="Y16450" s="17" t="s">
        <v>90</v>
      </c>
    </row>
    <row r="16451" ht="15" customHeight="1" spans="1:22" x14ac:dyDescent="0.25">
      <c r="A16451" s="17" t="s">
        <v>44088</v>
      </c>
      <c r="B16451" s="17" t="s">
        <v>70</v>
      </c>
      <c r="C16451" s="17" t="s">
        <v>71</v>
      </c>
      <c r="D16451" t="s">
        <v>2523</v>
      </c>
      <c r="F16451" t="s">
        <v>44089</v>
      </c>
      <c r="K16451" s="18">
        <f>6281585095516</f>
        <v>6281585095516</v>
      </c>
      <c r="N16451" s="17" t="s">
        <v>81</v>
      </c>
      <c r="V16451" s="18">
        <f>6281585095516</f>
        <v>6281585095516</v>
      </c>
    </row>
    <row r="16452" ht="15" customHeight="1" spans="1:28" x14ac:dyDescent="0.25">
      <c r="A16452" s="17" t="s">
        <v>44090</v>
      </c>
      <c r="B16452" s="17" t="s">
        <v>70</v>
      </c>
      <c r="C16452" s="17" t="s">
        <v>71</v>
      </c>
      <c r="D16452" t="s">
        <v>2523</v>
      </c>
      <c r="F16452" t="s">
        <v>44091</v>
      </c>
      <c r="J16452" t="s">
        <v>115</v>
      </c>
      <c r="K16452" s="18" t="s">
        <v>44092</v>
      </c>
      <c r="N16452" s="17" t="s">
        <v>81</v>
      </c>
      <c r="O16452" t="s">
        <v>117</v>
      </c>
      <c r="V16452" s="18" t="s">
        <v>44092</v>
      </c>
      <c r="Y16452" t="s">
        <v>190</v>
      </c>
      <c r="AA16452" t="s">
        <v>118</v>
      </c>
      <c r="AB16452" t="s">
        <v>119</v>
      </c>
    </row>
    <row r="16453" ht="15" customHeight="1" spans="1:25" x14ac:dyDescent="0.25">
      <c r="A16453" s="17" t="s">
        <v>44093</v>
      </c>
      <c r="B16453" s="17" t="s">
        <v>70</v>
      </c>
      <c r="C16453" s="17" t="s">
        <v>71</v>
      </c>
      <c r="D16453" t="s">
        <v>2523</v>
      </c>
      <c r="F16453" t="s">
        <v>44094</v>
      </c>
      <c r="K16453" s="18">
        <f>628112317060</f>
        <v>628112317060</v>
      </c>
      <c r="N16453" s="17" t="s">
        <v>77</v>
      </c>
      <c r="U16453" s="17"/>
      <c r="V16453" s="18">
        <f>628112317060</f>
        <v>628112317060</v>
      </c>
      <c r="W16453" t="s">
        <v>44095</v>
      </c>
      <c r="Y16453" s="17" t="s">
        <v>90</v>
      </c>
    </row>
    <row r="16454" ht="15" customHeight="1" spans="1:22" x14ac:dyDescent="0.25">
      <c r="A16454" s="17" t="s">
        <v>44096</v>
      </c>
      <c r="B16454" s="17" t="s">
        <v>70</v>
      </c>
      <c r="C16454" s="17" t="s">
        <v>71</v>
      </c>
      <c r="D16454" t="s">
        <v>2523</v>
      </c>
      <c r="F16454" t="s">
        <v>44097</v>
      </c>
      <c r="K16454" s="18">
        <f>62811868571</f>
        <v>62811868571</v>
      </c>
      <c r="N16454" s="17" t="s">
        <v>81</v>
      </c>
      <c r="V16454" s="18">
        <f>62811868571</f>
        <v>62811868571</v>
      </c>
    </row>
    <row r="16455" ht="15" customHeight="1" spans="1:22" x14ac:dyDescent="0.25">
      <c r="A16455" s="17" t="s">
        <v>44098</v>
      </c>
      <c r="B16455" s="17" t="s">
        <v>70</v>
      </c>
      <c r="C16455" s="17" t="s">
        <v>71</v>
      </c>
      <c r="D16455" t="s">
        <v>2523</v>
      </c>
      <c r="F16455" t="s">
        <v>44099</v>
      </c>
      <c r="J16455" s="17" t="s">
        <v>44100</v>
      </c>
      <c r="K16455" s="18">
        <f>6281239888456</f>
        <v>6281239888456</v>
      </c>
      <c r="N16455" s="17" t="s">
        <v>77</v>
      </c>
      <c r="V16455" s="18">
        <f>6281239888456</f>
        <v>6281239888456</v>
      </c>
    </row>
    <row r="16456" ht="15" customHeight="1" spans="1:28" x14ac:dyDescent="0.25">
      <c r="A16456" s="17" t="s">
        <v>44101</v>
      </c>
      <c r="B16456" s="17" t="s">
        <v>70</v>
      </c>
      <c r="C16456" s="17" t="s">
        <v>71</v>
      </c>
      <c r="D16456" t="s">
        <v>2523</v>
      </c>
      <c r="F16456" t="s">
        <v>764</v>
      </c>
      <c r="J16456" t="s">
        <v>115</v>
      </c>
      <c r="K16456" s="18" t="s">
        <v>44102</v>
      </c>
      <c r="N16456" s="17" t="s">
        <v>77</v>
      </c>
      <c r="O16456" t="s">
        <v>489</v>
      </c>
      <c r="V16456" s="18" t="s">
        <v>44102</v>
      </c>
      <c r="Y16456" t="s">
        <v>90</v>
      </c>
      <c r="AA16456" t="s">
        <v>118</v>
      </c>
      <c r="AB16456" t="s">
        <v>119</v>
      </c>
    </row>
    <row r="16457" ht="15" customHeight="1" spans="1:28" x14ac:dyDescent="0.25">
      <c r="A16457" s="17" t="s">
        <v>44103</v>
      </c>
      <c r="B16457" s="17" t="s">
        <v>70</v>
      </c>
      <c r="C16457" s="17" t="s">
        <v>71</v>
      </c>
      <c r="D16457" t="s">
        <v>2523</v>
      </c>
      <c r="F16457" t="s">
        <v>3585</v>
      </c>
      <c r="J16457" t="s">
        <v>44104</v>
      </c>
      <c r="K16457" s="18" t="s">
        <v>44105</v>
      </c>
      <c r="N16457" s="17" t="s">
        <v>77</v>
      </c>
      <c r="O16457" t="s">
        <v>117</v>
      </c>
      <c r="U16457" s="17"/>
      <c r="V16457" s="18" t="s">
        <v>44105</v>
      </c>
      <c r="W16457" t="s">
        <v>44106</v>
      </c>
      <c r="Y16457" s="17" t="s">
        <v>5700</v>
      </c>
      <c r="AA16457" t="s">
        <v>115</v>
      </c>
      <c r="AB16457" t="s">
        <v>119</v>
      </c>
    </row>
    <row r="16458" ht="15" customHeight="1" spans="1:25" x14ac:dyDescent="0.25">
      <c r="A16458" s="17" t="s">
        <v>44107</v>
      </c>
      <c r="B16458" s="17" t="s">
        <v>70</v>
      </c>
      <c r="C16458" s="17" t="s">
        <v>71</v>
      </c>
      <c r="D16458" t="s">
        <v>2523</v>
      </c>
      <c r="F16458" t="s">
        <v>3991</v>
      </c>
      <c r="K16458" s="18">
        <f>62816979459</f>
        <v>62816979459</v>
      </c>
      <c r="N16458" s="17" t="s">
        <v>77</v>
      </c>
      <c r="U16458" s="17"/>
      <c r="V16458" s="18">
        <f>62816979459</f>
        <v>62816979459</v>
      </c>
      <c r="W16458" t="s">
        <v>44108</v>
      </c>
      <c r="Y16458" s="17" t="s">
        <v>515</v>
      </c>
    </row>
    <row r="16459" ht="15" customHeight="1" spans="1:25" x14ac:dyDescent="0.25">
      <c r="A16459" s="17" t="s">
        <v>44109</v>
      </c>
      <c r="B16459" s="17" t="s">
        <v>70</v>
      </c>
      <c r="C16459" s="17" t="s">
        <v>71</v>
      </c>
      <c r="D16459" t="s">
        <v>2523</v>
      </c>
      <c r="F16459" t="s">
        <v>44110</v>
      </c>
      <c r="J16459" s="17" t="s">
        <v>44111</v>
      </c>
      <c r="K16459" s="18">
        <f>628161327777</f>
        <v>628161327777</v>
      </c>
      <c r="N16459" s="17" t="s">
        <v>77</v>
      </c>
      <c r="U16459" s="17"/>
      <c r="V16459" s="18">
        <f>628161327777</f>
        <v>628161327777</v>
      </c>
      <c r="W16459" t="s">
        <v>44112</v>
      </c>
      <c r="Y16459" s="17" t="s">
        <v>96</v>
      </c>
    </row>
    <row r="16460" ht="15" customHeight="1" spans="1:28" x14ac:dyDescent="0.25">
      <c r="A16460" s="17" t="s">
        <v>44113</v>
      </c>
      <c r="B16460" s="17" t="s">
        <v>70</v>
      </c>
      <c r="C16460" s="17" t="s">
        <v>71</v>
      </c>
      <c r="D16460" t="s">
        <v>44114</v>
      </c>
      <c r="F16460" t="s">
        <v>3986</v>
      </c>
      <c r="J16460" t="s">
        <v>44115</v>
      </c>
      <c r="K16460" s="18" t="s">
        <v>44116</v>
      </c>
      <c r="N16460" s="17" t="s">
        <v>81</v>
      </c>
      <c r="O16460" t="s">
        <v>145</v>
      </c>
      <c r="V16460" s="18" t="s">
        <v>44116</v>
      </c>
      <c r="Y16460" t="s">
        <v>190</v>
      </c>
      <c r="AA16460" t="s">
        <v>118</v>
      </c>
      <c r="AB16460" t="s">
        <v>119</v>
      </c>
    </row>
    <row r="16461" ht="15" customHeight="1" spans="1:22" x14ac:dyDescent="0.25">
      <c r="A16461" s="17" t="s">
        <v>44117</v>
      </c>
      <c r="B16461" s="17" t="s">
        <v>70</v>
      </c>
      <c r="C16461" s="17" t="s">
        <v>71</v>
      </c>
      <c r="D16461" t="s">
        <v>44114</v>
      </c>
      <c r="F16461" t="s">
        <v>6639</v>
      </c>
      <c r="K16461" s="18">
        <f>6281333000390</f>
        <v>6281333000390</v>
      </c>
      <c r="N16461" s="17" t="s">
        <v>81</v>
      </c>
      <c r="V16461" s="18">
        <f>6281333000390</f>
        <v>6281333000390</v>
      </c>
    </row>
    <row r="16462" ht="15" customHeight="1" spans="1:28" x14ac:dyDescent="0.25">
      <c r="A16462" s="17" t="s">
        <v>44118</v>
      </c>
      <c r="B16462" s="17" t="s">
        <v>70</v>
      </c>
      <c r="C16462" s="17" t="s">
        <v>71</v>
      </c>
      <c r="D16462" t="s">
        <v>4059</v>
      </c>
      <c r="F16462" t="s">
        <v>44119</v>
      </c>
      <c r="J16462" t="s">
        <v>115</v>
      </c>
      <c r="K16462" s="18" t="s">
        <v>44120</v>
      </c>
      <c r="N16462" s="17" t="s">
        <v>81</v>
      </c>
      <c r="O16462" t="s">
        <v>145</v>
      </c>
      <c r="V16462" s="18" t="s">
        <v>44120</v>
      </c>
      <c r="Y16462" s="17" t="s">
        <v>190</v>
      </c>
      <c r="AA16462" t="s">
        <v>118</v>
      </c>
      <c r="AB16462" t="s">
        <v>119</v>
      </c>
    </row>
    <row r="16463" ht="15" customHeight="1" spans="1:23" x14ac:dyDescent="0.25">
      <c r="A16463" s="17" t="s">
        <v>44121</v>
      </c>
      <c r="B16463" s="17" t="s">
        <v>70</v>
      </c>
      <c r="C16463" s="17" t="s">
        <v>71</v>
      </c>
      <c r="D16463" t="s">
        <v>4059</v>
      </c>
      <c r="F16463" t="s">
        <v>3869</v>
      </c>
      <c r="K16463" s="18">
        <f>628129957007</f>
        <v>628129957007</v>
      </c>
      <c r="N16463" s="17" t="s">
        <v>77</v>
      </c>
      <c r="U16463" s="17"/>
      <c r="V16463" s="18">
        <f>628129957007</f>
        <v>628129957007</v>
      </c>
      <c r="W16463" t="s">
        <v>90</v>
      </c>
    </row>
    <row r="16464" ht="15" customHeight="1" spans="1:22" x14ac:dyDescent="0.25">
      <c r="A16464" s="17" t="s">
        <v>44122</v>
      </c>
      <c r="B16464" s="17" t="s">
        <v>70</v>
      </c>
      <c r="C16464" s="17" t="s">
        <v>71</v>
      </c>
      <c r="D16464" t="s">
        <v>4059</v>
      </c>
      <c r="F16464" t="s">
        <v>44123</v>
      </c>
      <c r="K16464" s="18">
        <f>6281347702858</f>
        <v>6281347702858</v>
      </c>
      <c r="N16464" s="17" t="s">
        <v>81</v>
      </c>
      <c r="V16464" s="18">
        <f>6281347702858</f>
        <v>6281347702858</v>
      </c>
    </row>
    <row r="16465" ht="15" customHeight="1" spans="1:25" x14ac:dyDescent="0.25">
      <c r="A16465" s="17" t="s">
        <v>44124</v>
      </c>
      <c r="B16465" s="17" t="s">
        <v>70</v>
      </c>
      <c r="C16465" s="17" t="s">
        <v>71</v>
      </c>
      <c r="D16465" t="s">
        <v>4059</v>
      </c>
      <c r="F16465" t="s">
        <v>44125</v>
      </c>
      <c r="K16465" s="18">
        <f>62811444243</f>
        <v>62811444243</v>
      </c>
      <c r="N16465" s="17" t="s">
        <v>77</v>
      </c>
      <c r="V16465" s="18" t="s">
        <v>44126</v>
      </c>
      <c r="Y16465" s="17" t="s">
        <v>7143</v>
      </c>
    </row>
    <row r="16466" ht="15" customHeight="1" spans="1:25" x14ac:dyDescent="0.25">
      <c r="A16466" s="17" t="s">
        <v>44127</v>
      </c>
      <c r="B16466" s="17" t="s">
        <v>70</v>
      </c>
      <c r="C16466" s="17" t="s">
        <v>71</v>
      </c>
      <c r="D16466" t="s">
        <v>4424</v>
      </c>
      <c r="F16466" t="s">
        <v>44128</v>
      </c>
      <c r="K16466" s="18">
        <f>62811150164</f>
        <v>62811150164</v>
      </c>
      <c r="N16466" s="17" t="s">
        <v>81</v>
      </c>
      <c r="U16466" s="17"/>
      <c r="V16466" s="18">
        <f>62811150164</f>
        <v>62811150164</v>
      </c>
      <c r="W16466" t="s">
        <v>44129</v>
      </c>
      <c r="Y16466" s="17" t="s">
        <v>90</v>
      </c>
    </row>
    <row r="16467" ht="15" customHeight="1" spans="1:28" x14ac:dyDescent="0.25">
      <c r="A16467" s="17" t="s">
        <v>44130</v>
      </c>
      <c r="B16467" s="17" t="s">
        <v>70</v>
      </c>
      <c r="C16467" s="17" t="s">
        <v>71</v>
      </c>
      <c r="D16467" t="s">
        <v>29511</v>
      </c>
      <c r="F16467" t="s">
        <v>669</v>
      </c>
      <c r="J16467" t="s">
        <v>115</v>
      </c>
      <c r="K16467" s="18" t="s">
        <v>44131</v>
      </c>
      <c r="N16467" s="17" t="s">
        <v>77</v>
      </c>
      <c r="O16467" t="s">
        <v>117</v>
      </c>
      <c r="V16467" s="18" t="s">
        <v>44131</v>
      </c>
      <c r="Y16467" t="s">
        <v>190</v>
      </c>
      <c r="AA16467" t="s">
        <v>118</v>
      </c>
      <c r="AB16467" t="s">
        <v>119</v>
      </c>
    </row>
    <row r="16468" ht="15" customHeight="1" spans="1:22" x14ac:dyDescent="0.25">
      <c r="A16468" s="17" t="s">
        <v>44132</v>
      </c>
      <c r="B16468" s="17" t="s">
        <v>70</v>
      </c>
      <c r="C16468" s="17" t="s">
        <v>71</v>
      </c>
      <c r="D16468" t="s">
        <v>29511</v>
      </c>
      <c r="F16468" t="s">
        <v>10204</v>
      </c>
      <c r="K16468" s="18">
        <f>62811177857</f>
        <v>62811177857</v>
      </c>
      <c r="N16468" s="17" t="s">
        <v>77</v>
      </c>
      <c r="V16468" s="18">
        <f>62811177857</f>
        <v>62811177857</v>
      </c>
    </row>
    <row r="16469" ht="15" customHeight="1" spans="1:28" x14ac:dyDescent="0.25">
      <c r="A16469" s="17" t="s">
        <v>44133</v>
      </c>
      <c r="B16469" s="17" t="s">
        <v>70</v>
      </c>
      <c r="C16469" s="17" t="s">
        <v>71</v>
      </c>
      <c r="D16469" t="s">
        <v>23082</v>
      </c>
      <c r="F16469" t="s">
        <v>44134</v>
      </c>
      <c r="J16469" s="17" t="s">
        <v>44135</v>
      </c>
      <c r="K16469" s="18" t="s">
        <v>44136</v>
      </c>
      <c r="N16469" s="17" t="s">
        <v>77</v>
      </c>
      <c r="O16469" t="s">
        <v>1188</v>
      </c>
      <c r="U16469" s="17"/>
      <c r="V16469" s="18" t="s">
        <v>44136</v>
      </c>
      <c r="W16469" t="s">
        <v>44137</v>
      </c>
      <c r="Y16469" t="s">
        <v>1553</v>
      </c>
      <c r="AA16469" t="s">
        <v>115</v>
      </c>
      <c r="AB16469" t="s">
        <v>119</v>
      </c>
    </row>
    <row r="16470" ht="15" customHeight="1" spans="1:22" x14ac:dyDescent="0.25">
      <c r="A16470" s="17" t="s">
        <v>44138</v>
      </c>
      <c r="B16470" s="17" t="s">
        <v>70</v>
      </c>
      <c r="C16470" s="17" t="s">
        <v>71</v>
      </c>
      <c r="D16470" t="s">
        <v>23082</v>
      </c>
      <c r="F16470" t="s">
        <v>9036</v>
      </c>
      <c r="K16470" s="18">
        <f>62811934800</f>
        <v>62811934800</v>
      </c>
      <c r="N16470" s="17" t="s">
        <v>81</v>
      </c>
      <c r="V16470" s="18">
        <f>62811934800</f>
        <v>62811934800</v>
      </c>
    </row>
    <row r="16471" ht="15" customHeight="1" spans="1:22" x14ac:dyDescent="0.25">
      <c r="A16471" s="17" t="s">
        <v>44139</v>
      </c>
      <c r="B16471" s="17" t="s">
        <v>70</v>
      </c>
      <c r="C16471" s="17" t="s">
        <v>71</v>
      </c>
      <c r="D16471" t="s">
        <v>24184</v>
      </c>
      <c r="F16471" t="s">
        <v>10204</v>
      </c>
      <c r="K16471" s="18">
        <f>628164837957</f>
        <v>628164837957</v>
      </c>
      <c r="N16471" s="17" t="s">
        <v>77</v>
      </c>
      <c r="V16471" s="18">
        <f>628164837957</f>
        <v>628164837957</v>
      </c>
    </row>
    <row r="16472" ht="15" customHeight="1" spans="1:28" x14ac:dyDescent="0.25">
      <c r="A16472" s="17" t="s">
        <v>44140</v>
      </c>
      <c r="B16472" s="17" t="s">
        <v>70</v>
      </c>
      <c r="C16472" s="17" t="s">
        <v>71</v>
      </c>
      <c r="D16472" t="s">
        <v>44141</v>
      </c>
      <c r="F16472" t="s">
        <v>44142</v>
      </c>
      <c r="J16472" t="s">
        <v>115</v>
      </c>
      <c r="K16472" s="18" t="s">
        <v>44034</v>
      </c>
      <c r="N16472" s="17" t="s">
        <v>77</v>
      </c>
      <c r="O16472" t="s">
        <v>199</v>
      </c>
      <c r="V16472" s="18" t="s">
        <v>44034</v>
      </c>
      <c r="Y16472" t="s">
        <v>190</v>
      </c>
      <c r="AA16472" t="s">
        <v>118</v>
      </c>
      <c r="AB16472" t="s">
        <v>119</v>
      </c>
    </row>
    <row r="16473" ht="15" customHeight="1" spans="1:28" x14ac:dyDescent="0.25">
      <c r="A16473" s="17" t="s">
        <v>44143</v>
      </c>
      <c r="B16473" s="17" t="s">
        <v>70</v>
      </c>
      <c r="C16473" s="17" t="s">
        <v>71</v>
      </c>
      <c r="D16473" t="s">
        <v>44144</v>
      </c>
      <c r="F16473" t="s">
        <v>44144</v>
      </c>
      <c r="J16473" t="s">
        <v>115</v>
      </c>
      <c r="K16473" s="18" t="s">
        <v>44145</v>
      </c>
      <c r="N16473" s="17" t="s">
        <v>77</v>
      </c>
      <c r="O16473" t="s">
        <v>145</v>
      </c>
      <c r="V16473" s="18" t="s">
        <v>44145</v>
      </c>
      <c r="Y16473" t="s">
        <v>90</v>
      </c>
      <c r="AA16473" t="s">
        <v>118</v>
      </c>
      <c r="AB16473" t="s">
        <v>119</v>
      </c>
    </row>
    <row r="16474" ht="15" customHeight="1" spans="1:25" x14ac:dyDescent="0.25">
      <c r="A16474" s="17" t="s">
        <v>44146</v>
      </c>
      <c r="B16474" s="17" t="s">
        <v>70</v>
      </c>
      <c r="C16474" s="17" t="s">
        <v>71</v>
      </c>
      <c r="D16474" t="s">
        <v>44147</v>
      </c>
      <c r="F16474" t="s">
        <v>44147</v>
      </c>
      <c r="K16474" s="18">
        <f>62816930007</f>
        <v>62816930007</v>
      </c>
      <c r="N16474" s="17" t="s">
        <v>77</v>
      </c>
      <c r="U16474" s="17"/>
      <c r="V16474" s="18">
        <f>62816930007</f>
        <v>62816930007</v>
      </c>
      <c r="W16474" t="s">
        <v>44148</v>
      </c>
      <c r="Y16474" s="17" t="s">
        <v>90</v>
      </c>
    </row>
    <row r="16475" ht="15" customHeight="1" spans="1:22" x14ac:dyDescent="0.25">
      <c r="A16475" s="17" t="s">
        <v>44149</v>
      </c>
      <c r="B16475" s="17" t="s">
        <v>70</v>
      </c>
      <c r="C16475" s="17" t="s">
        <v>71</v>
      </c>
      <c r="D16475" t="s">
        <v>44150</v>
      </c>
      <c r="F16475" t="s">
        <v>44150</v>
      </c>
      <c r="K16475" s="18">
        <f>61423978523</f>
        <v>61423978523</v>
      </c>
      <c r="N16475" s="17" t="s">
        <v>81</v>
      </c>
      <c r="V16475" s="18">
        <f>61423978523</f>
        <v>61423978523</v>
      </c>
    </row>
    <row r="16476" ht="15" customHeight="1" spans="1:28" x14ac:dyDescent="0.25">
      <c r="A16476" s="17" t="s">
        <v>44151</v>
      </c>
      <c r="B16476" s="17" t="s">
        <v>70</v>
      </c>
      <c r="C16476" s="17" t="s">
        <v>71</v>
      </c>
      <c r="D16476" t="s">
        <v>44152</v>
      </c>
      <c r="F16476" t="s">
        <v>19556</v>
      </c>
      <c r="J16476" t="s">
        <v>115</v>
      </c>
      <c r="K16476" s="18" t="s">
        <v>44153</v>
      </c>
      <c r="N16476" s="17" t="s">
        <v>77</v>
      </c>
      <c r="O16476" t="s">
        <v>117</v>
      </c>
      <c r="U16476" s="17"/>
      <c r="V16476" s="18" t="s">
        <v>44153</v>
      </c>
      <c r="W16476" t="s">
        <v>90</v>
      </c>
      <c r="Y16476" s="17" t="s">
        <v>190</v>
      </c>
      <c r="AA16476" t="s">
        <v>118</v>
      </c>
      <c r="AB16476" t="s">
        <v>119</v>
      </c>
    </row>
    <row r="16477" ht="15" customHeight="1" spans="1:28" x14ac:dyDescent="0.25">
      <c r="A16477" s="17" t="s">
        <v>44154</v>
      </c>
      <c r="B16477" s="17" t="s">
        <v>70</v>
      </c>
      <c r="C16477" s="17" t="s">
        <v>71</v>
      </c>
      <c r="D16477" t="s">
        <v>30008</v>
      </c>
      <c r="F16477" t="s">
        <v>44155</v>
      </c>
      <c r="J16477" s="17" t="s">
        <v>44156</v>
      </c>
      <c r="K16477" s="18" t="s">
        <v>44157</v>
      </c>
      <c r="N16477" s="17" t="s">
        <v>77</v>
      </c>
      <c r="O16477" t="s">
        <v>117</v>
      </c>
      <c r="U16477" s="17"/>
      <c r="V16477" s="18" t="s">
        <v>44157</v>
      </c>
      <c r="W16477" t="s">
        <v>44158</v>
      </c>
      <c r="Y16477" t="s">
        <v>78</v>
      </c>
      <c r="AA16477" t="s">
        <v>115</v>
      </c>
      <c r="AB16477" t="s">
        <v>119</v>
      </c>
    </row>
    <row r="16478" ht="15" customHeight="1" spans="1:28" x14ac:dyDescent="0.25">
      <c r="A16478" s="17" t="s">
        <v>44159</v>
      </c>
      <c r="B16478" s="17" t="s">
        <v>70</v>
      </c>
      <c r="C16478" s="17" t="s">
        <v>71</v>
      </c>
      <c r="D16478" t="s">
        <v>44160</v>
      </c>
      <c r="F16478" t="s">
        <v>44160</v>
      </c>
      <c r="J16478" s="17" t="s">
        <v>44161</v>
      </c>
      <c r="K16478" s="18" t="s">
        <v>44162</v>
      </c>
      <c r="N16478" s="17" t="s">
        <v>74</v>
      </c>
      <c r="O16478" t="s">
        <v>145</v>
      </c>
      <c r="U16478" s="17"/>
      <c r="V16478" s="18" t="s">
        <v>44162</v>
      </c>
      <c r="W16478" t="s">
        <v>44163</v>
      </c>
      <c r="Y16478" s="17" t="s">
        <v>90</v>
      </c>
      <c r="AA16478" t="s">
        <v>118</v>
      </c>
      <c r="AB16478" t="s">
        <v>119</v>
      </c>
    </row>
    <row r="16479" ht="15" customHeight="1" spans="1:28" x14ac:dyDescent="0.25">
      <c r="A16479" s="17" t="s">
        <v>44164</v>
      </c>
      <c r="B16479" s="17" t="s">
        <v>70</v>
      </c>
      <c r="C16479" s="17" t="s">
        <v>71</v>
      </c>
      <c r="D16479" t="s">
        <v>44160</v>
      </c>
      <c r="F16479" t="s">
        <v>37266</v>
      </c>
      <c r="J16479" t="s">
        <v>115</v>
      </c>
      <c r="K16479" s="18" t="s">
        <v>44165</v>
      </c>
      <c r="N16479" s="17" t="s">
        <v>81</v>
      </c>
      <c r="O16479" t="s">
        <v>145</v>
      </c>
      <c r="U16479" s="17"/>
      <c r="V16479" s="18" t="s">
        <v>44165</v>
      </c>
      <c r="W16479" t="s">
        <v>44166</v>
      </c>
      <c r="Y16479" t="s">
        <v>410</v>
      </c>
      <c r="AA16479" t="s">
        <v>5299</v>
      </c>
      <c r="AB16479" t="s">
        <v>119</v>
      </c>
    </row>
    <row r="16480" ht="15" customHeight="1" spans="1:23" x14ac:dyDescent="0.25">
      <c r="A16480" s="17" t="s">
        <v>44167</v>
      </c>
      <c r="B16480" s="17" t="s">
        <v>70</v>
      </c>
      <c r="C16480" s="17" t="s">
        <v>71</v>
      </c>
      <c r="D16480" t="s">
        <v>44160</v>
      </c>
      <c r="F16480" t="s">
        <v>12083</v>
      </c>
      <c r="K16480" s="18">
        <f>62816771013</f>
        <v>62816771013</v>
      </c>
      <c r="N16480" s="17" t="s">
        <v>77</v>
      </c>
      <c r="U16480" s="17"/>
      <c r="V16480" s="18">
        <f>62816771013</f>
        <v>62816771013</v>
      </c>
      <c r="W16480" t="s">
        <v>44168</v>
      </c>
    </row>
    <row r="16481" ht="15" customHeight="1" spans="1:27" x14ac:dyDescent="0.25">
      <c r="A16481" s="17" t="s">
        <v>44169</v>
      </c>
      <c r="B16481" s="17" t="s">
        <v>70</v>
      </c>
      <c r="C16481" s="17" t="s">
        <v>71</v>
      </c>
      <c r="D16481" t="s">
        <v>44170</v>
      </c>
      <c r="F16481" t="s">
        <v>44170</v>
      </c>
      <c r="J16481" s="17" t="s">
        <v>44171</v>
      </c>
      <c r="K16481" s="18">
        <f>622151401927</f>
        <v>622151401927</v>
      </c>
      <c r="N16481" s="17" t="s">
        <v>77</v>
      </c>
      <c r="U16481" s="17"/>
      <c r="V16481" s="18">
        <f>622151401927</f>
        <v>622151401927</v>
      </c>
      <c r="W16481" t="s">
        <v>44172</v>
      </c>
      <c r="Y16481" s="17" t="s">
        <v>90</v>
      </c>
      <c r="AA16481" s="17">
        <v>12190</v>
      </c>
    </row>
    <row r="16482" ht="15" customHeight="1" spans="1:22" x14ac:dyDescent="0.25">
      <c r="A16482" s="17" t="s">
        <v>44173</v>
      </c>
      <c r="B16482" s="17" t="s">
        <v>70</v>
      </c>
      <c r="C16482" s="17" t="s">
        <v>71</v>
      </c>
      <c r="D16482" t="s">
        <v>44174</v>
      </c>
      <c r="F16482" t="s">
        <v>44174</v>
      </c>
      <c r="K16482" s="18">
        <f>62816800243</f>
        <v>62816800243</v>
      </c>
      <c r="N16482" s="17" t="s">
        <v>81</v>
      </c>
      <c r="V16482" s="18">
        <f>62816800243</f>
        <v>62816800243</v>
      </c>
    </row>
    <row r="16483" ht="15" customHeight="1" spans="1:22" x14ac:dyDescent="0.25">
      <c r="A16483" s="17" t="s">
        <v>44175</v>
      </c>
      <c r="B16483" s="17" t="s">
        <v>70</v>
      </c>
      <c r="C16483" s="17" t="s">
        <v>71</v>
      </c>
      <c r="D16483" t="s">
        <v>44176</v>
      </c>
      <c r="F16483" t="s">
        <v>44176</v>
      </c>
      <c r="K16483" s="18">
        <f>62816835595</f>
        <v>62816835595</v>
      </c>
      <c r="N16483" s="17" t="s">
        <v>74</v>
      </c>
      <c r="V16483" s="18">
        <f>62816835595</f>
        <v>62816835595</v>
      </c>
    </row>
    <row r="16484" ht="15" customHeight="1" spans="1:22" x14ac:dyDescent="0.25">
      <c r="A16484" s="17" t="s">
        <v>44177</v>
      </c>
      <c r="B16484" s="17" t="s">
        <v>70</v>
      </c>
      <c r="C16484" s="17" t="s">
        <v>71</v>
      </c>
      <c r="D16484" t="s">
        <v>44176</v>
      </c>
      <c r="F16484" t="s">
        <v>44176</v>
      </c>
      <c r="K16484" s="18">
        <f>628111845595</f>
        <v>628111845595</v>
      </c>
      <c r="N16484" s="17" t="s">
        <v>77</v>
      </c>
      <c r="V16484" s="18">
        <f>628111845595</f>
        <v>628111845595</v>
      </c>
    </row>
    <row r="16485" ht="15" customHeight="1" spans="1:28" x14ac:dyDescent="0.25">
      <c r="A16485" s="17" t="s">
        <v>44178</v>
      </c>
      <c r="B16485" s="17" t="s">
        <v>70</v>
      </c>
      <c r="C16485" s="17" t="s">
        <v>71</v>
      </c>
      <c r="D16485" t="s">
        <v>44179</v>
      </c>
      <c r="F16485" t="s">
        <v>44180</v>
      </c>
      <c r="J16485" s="17" t="s">
        <v>44181</v>
      </c>
      <c r="K16485" s="18" t="s">
        <v>44182</v>
      </c>
      <c r="N16485" s="17" t="s">
        <v>77</v>
      </c>
      <c r="O16485" t="s">
        <v>117</v>
      </c>
      <c r="U16485" s="17"/>
      <c r="V16485" s="18" t="s">
        <v>44182</v>
      </c>
      <c r="W16485" t="s">
        <v>44183</v>
      </c>
      <c r="Y16485" s="17" t="s">
        <v>190</v>
      </c>
      <c r="AA16485" t="s">
        <v>118</v>
      </c>
      <c r="AB16485" t="s">
        <v>119</v>
      </c>
    </row>
    <row r="16486" ht="15" customHeight="1" spans="1:22" x14ac:dyDescent="0.25">
      <c r="A16486" s="17" t="s">
        <v>44184</v>
      </c>
      <c r="B16486" s="17" t="s">
        <v>70</v>
      </c>
      <c r="C16486" s="17" t="s">
        <v>71</v>
      </c>
      <c r="D16486" t="s">
        <v>44185</v>
      </c>
      <c r="F16486" t="s">
        <v>17996</v>
      </c>
      <c r="K16486" s="18">
        <f>6281288191986</f>
        <v>6281288191986</v>
      </c>
      <c r="N16486" s="17" t="s">
        <v>77</v>
      </c>
      <c r="V16486" s="18">
        <f>6281288191986</f>
        <v>6281288191986</v>
      </c>
    </row>
    <row r="16487" ht="15" customHeight="1" spans="1:22" x14ac:dyDescent="0.25">
      <c r="A16487" s="17" t="s">
        <v>44186</v>
      </c>
      <c r="B16487" s="17" t="s">
        <v>70</v>
      </c>
      <c r="C16487" s="17" t="s">
        <v>71</v>
      </c>
      <c r="D16487" t="s">
        <v>22846</v>
      </c>
      <c r="F16487" t="s">
        <v>44187</v>
      </c>
      <c r="K16487" s="18">
        <f>628124190230</f>
        <v>628124190230</v>
      </c>
      <c r="N16487" s="17" t="s">
        <v>77</v>
      </c>
      <c r="V16487" s="18">
        <f>628124190230</f>
        <v>628124190230</v>
      </c>
    </row>
    <row r="16488" ht="15" customHeight="1" spans="1:22" x14ac:dyDescent="0.25">
      <c r="A16488" s="17" t="s">
        <v>44188</v>
      </c>
      <c r="B16488" s="17" t="s">
        <v>70</v>
      </c>
      <c r="C16488" s="17" t="s">
        <v>71</v>
      </c>
      <c r="D16488" t="s">
        <v>44189</v>
      </c>
      <c r="F16488" t="s">
        <v>44189</v>
      </c>
      <c r="K16488" s="18">
        <f>628113456565</f>
        <v>628113456565</v>
      </c>
      <c r="N16488" s="17" t="s">
        <v>74</v>
      </c>
      <c r="V16488" s="18">
        <f>628113456565</f>
        <v>628113456565</v>
      </c>
    </row>
    <row r="16489" ht="15" customHeight="1" spans="1:22" x14ac:dyDescent="0.25">
      <c r="A16489" s="17" t="s">
        <v>44190</v>
      </c>
      <c r="B16489" s="17" t="s">
        <v>70</v>
      </c>
      <c r="C16489" s="17" t="s">
        <v>71</v>
      </c>
      <c r="D16489" t="s">
        <v>44191</v>
      </c>
      <c r="F16489" t="s">
        <v>44191</v>
      </c>
      <c r="K16489" s="18">
        <f>6282310999922</f>
        <v>6282310999922</v>
      </c>
      <c r="N16489" s="17" t="s">
        <v>77</v>
      </c>
      <c r="V16489" s="18">
        <f>6282310999922</f>
        <v>6282310999922</v>
      </c>
    </row>
    <row r="16490" ht="15" customHeight="1" spans="1:22" x14ac:dyDescent="0.25">
      <c r="A16490" s="17" t="s">
        <v>44192</v>
      </c>
      <c r="B16490" s="17" t="s">
        <v>70</v>
      </c>
      <c r="C16490" s="17" t="s">
        <v>71</v>
      </c>
      <c r="D16490" t="s">
        <v>44193</v>
      </c>
      <c r="F16490" t="s">
        <v>44194</v>
      </c>
      <c r="K16490" s="18">
        <f>628119894445</f>
        <v>628119894445</v>
      </c>
      <c r="N16490" s="17" t="s">
        <v>77</v>
      </c>
      <c r="V16490" s="18">
        <f>628119894445</f>
        <v>628119894445</v>
      </c>
    </row>
    <row r="16491" ht="15" customHeight="1" spans="1:22" x14ac:dyDescent="0.25">
      <c r="A16491" s="17" t="s">
        <v>44195</v>
      </c>
      <c r="B16491" s="17" t="s">
        <v>70</v>
      </c>
      <c r="C16491" s="17" t="s">
        <v>71</v>
      </c>
      <c r="D16491" t="s">
        <v>7440</v>
      </c>
      <c r="F16491" t="s">
        <v>44196</v>
      </c>
      <c r="K16491" s="18">
        <f>628129305984</f>
        <v>628129305984</v>
      </c>
      <c r="N16491" s="17" t="s">
        <v>77</v>
      </c>
      <c r="V16491" s="18">
        <f>628129305984</f>
        <v>628129305984</v>
      </c>
    </row>
    <row r="16492" ht="15" customHeight="1" spans="1:22" x14ac:dyDescent="0.25">
      <c r="A16492" s="17" t="s">
        <v>44197</v>
      </c>
      <c r="B16492" s="17" t="s">
        <v>70</v>
      </c>
      <c r="C16492" s="17" t="s">
        <v>71</v>
      </c>
      <c r="D16492" t="s">
        <v>7440</v>
      </c>
      <c r="F16492" t="s">
        <v>3866</v>
      </c>
      <c r="J16492" s="17" t="s">
        <v>44198</v>
      </c>
      <c r="K16492" s="18">
        <f>628119202366</f>
        <v>628119202366</v>
      </c>
      <c r="N16492" s="17" t="s">
        <v>77</v>
      </c>
      <c r="V16492" s="18">
        <f>628119202366</f>
        <v>628119202366</v>
      </c>
    </row>
    <row r="16493" ht="15" customHeight="1" spans="1:22" x14ac:dyDescent="0.25">
      <c r="A16493" s="17" t="s">
        <v>44199</v>
      </c>
      <c r="B16493" s="17" t="s">
        <v>70</v>
      </c>
      <c r="C16493" s="17" t="s">
        <v>71</v>
      </c>
      <c r="D16493" t="s">
        <v>7440</v>
      </c>
      <c r="F16493" t="s">
        <v>17836</v>
      </c>
      <c r="K16493" s="18">
        <f>21098092124</f>
        <v>21098092124</v>
      </c>
      <c r="N16493" s="17" t="s">
        <v>77</v>
      </c>
      <c r="V16493" s="18">
        <f>21098092124</f>
        <v>21098092124</v>
      </c>
    </row>
    <row r="16494" ht="15" customHeight="1" spans="1:22" x14ac:dyDescent="0.25">
      <c r="A16494" s="17" t="s">
        <v>44200</v>
      </c>
      <c r="B16494" s="17" t="s">
        <v>70</v>
      </c>
      <c r="C16494" s="17" t="s">
        <v>71</v>
      </c>
      <c r="D16494" t="s">
        <v>44201</v>
      </c>
      <c r="F16494" t="s">
        <v>44201</v>
      </c>
      <c r="K16494" s="18">
        <f>628129907317</f>
        <v>628129907317</v>
      </c>
      <c r="N16494" s="17" t="s">
        <v>77</v>
      </c>
      <c r="V16494" s="18">
        <f>628129907317</f>
        <v>628129907317</v>
      </c>
    </row>
    <row r="16495" ht="15" customHeight="1" spans="1:23" x14ac:dyDescent="0.25">
      <c r="A16495" s="17" t="s">
        <v>44202</v>
      </c>
      <c r="B16495" s="17" t="s">
        <v>70</v>
      </c>
      <c r="C16495" s="17" t="s">
        <v>71</v>
      </c>
      <c r="D16495" t="s">
        <v>44203</v>
      </c>
      <c r="F16495" t="s">
        <v>7093</v>
      </c>
      <c r="K16495" s="18">
        <f>6281586803000</f>
        <v>6281586803000</v>
      </c>
      <c r="N16495" s="17" t="s">
        <v>74</v>
      </c>
      <c r="U16495" s="17"/>
      <c r="V16495" s="18">
        <f>6281586803000</f>
        <v>6281586803000</v>
      </c>
      <c r="W16495" t="s">
        <v>44204</v>
      </c>
    </row>
    <row r="16496" ht="15" customHeight="1" spans="1:23" x14ac:dyDescent="0.25">
      <c r="A16496" s="17" t="s">
        <v>44205</v>
      </c>
      <c r="B16496" s="17" t="s">
        <v>70</v>
      </c>
      <c r="C16496" s="17" t="s">
        <v>71</v>
      </c>
      <c r="D16496" t="s">
        <v>44206</v>
      </c>
      <c r="F16496" t="s">
        <v>1900</v>
      </c>
      <c r="J16496" s="17" t="s">
        <v>44207</v>
      </c>
      <c r="K16496" s="18">
        <f>79854548424</f>
        <v>79854548424</v>
      </c>
      <c r="N16496" s="17" t="s">
        <v>77</v>
      </c>
      <c r="U16496" s="17"/>
      <c r="V16496" s="18">
        <f>79854548424</f>
        <v>79854548424</v>
      </c>
      <c r="W16496" t="s">
        <v>1909</v>
      </c>
    </row>
    <row r="16497" ht="15" customHeight="1" spans="1:27" x14ac:dyDescent="0.25">
      <c r="A16497" s="17" t="s">
        <v>44208</v>
      </c>
      <c r="B16497" s="17" t="s">
        <v>70</v>
      </c>
      <c r="C16497" s="17" t="s">
        <v>71</v>
      </c>
      <c r="D16497" t="s">
        <v>44209</v>
      </c>
      <c r="F16497" t="s">
        <v>3906</v>
      </c>
      <c r="K16497" s="18">
        <f>6231270008</f>
        <v>6231270008</v>
      </c>
      <c r="N16497" s="17" t="s">
        <v>77</v>
      </c>
      <c r="U16497" s="17"/>
      <c r="V16497" s="18">
        <f>6231270008</f>
        <v>6231270008</v>
      </c>
      <c r="W16497" t="s">
        <v>44210</v>
      </c>
      <c r="Y16497" s="17" t="s">
        <v>181</v>
      </c>
      <c r="AA16497" s="17" t="s">
        <v>44211</v>
      </c>
    </row>
    <row r="16498" ht="15" customHeight="1" spans="1:22" x14ac:dyDescent="0.25">
      <c r="A16498" s="17" t="s">
        <v>44212</v>
      </c>
      <c r="B16498" s="17" t="s">
        <v>70</v>
      </c>
      <c r="C16498" s="17" t="s">
        <v>71</v>
      </c>
      <c r="D16498" t="s">
        <v>44213</v>
      </c>
      <c r="F16498" t="s">
        <v>44214</v>
      </c>
      <c r="K16498" s="18">
        <f>628111045553</f>
        <v>628111045553</v>
      </c>
      <c r="N16498" s="17" t="s">
        <v>81</v>
      </c>
      <c r="V16498" s="18">
        <f>628111045553</f>
        <v>628111045553</v>
      </c>
    </row>
    <row r="16499" ht="15" customHeight="1" spans="1:23" x14ac:dyDescent="0.25">
      <c r="A16499" s="17" t="s">
        <v>44215</v>
      </c>
      <c r="B16499" s="17" t="s">
        <v>70</v>
      </c>
      <c r="C16499" s="17" t="s">
        <v>71</v>
      </c>
      <c r="D16499" t="s">
        <v>44216</v>
      </c>
      <c r="F16499" t="s">
        <v>2280</v>
      </c>
      <c r="K16499" s="18">
        <f>62811189900</f>
        <v>62811189900</v>
      </c>
      <c r="N16499" s="17" t="s">
        <v>81</v>
      </c>
      <c r="U16499" s="17"/>
      <c r="V16499" s="18">
        <f>62811189900</f>
        <v>62811189900</v>
      </c>
      <c r="W16499" t="s">
        <v>44217</v>
      </c>
    </row>
    <row r="16500" ht="15" customHeight="1" spans="1:22" x14ac:dyDescent="0.25">
      <c r="A16500" s="17" t="s">
        <v>44218</v>
      </c>
      <c r="B16500" s="17" t="s">
        <v>70</v>
      </c>
      <c r="C16500" s="17" t="s">
        <v>71</v>
      </c>
      <c r="D16500" t="s">
        <v>44219</v>
      </c>
      <c r="F16500" t="s">
        <v>2178</v>
      </c>
      <c r="K16500" s="18">
        <f>6281235000079</f>
        <v>6281235000079</v>
      </c>
      <c r="N16500" s="17" t="s">
        <v>77</v>
      </c>
      <c r="V16500" s="18">
        <f>6281235000079</f>
        <v>6281235000079</v>
      </c>
    </row>
    <row r="16501" ht="15" customHeight="1" spans="1:23" x14ac:dyDescent="0.25">
      <c r="A16501" s="17" t="s">
        <v>44220</v>
      </c>
      <c r="B16501" s="17" t="s">
        <v>70</v>
      </c>
      <c r="C16501" s="17" t="s">
        <v>71</v>
      </c>
      <c r="D16501" t="s">
        <v>26031</v>
      </c>
      <c r="F16501" t="s">
        <v>44221</v>
      </c>
      <c r="K16501" s="18">
        <f>628123885888</f>
        <v>628123885888</v>
      </c>
      <c r="N16501" s="17" t="s">
        <v>77</v>
      </c>
      <c r="U16501" s="17"/>
      <c r="V16501" s="18">
        <f>628123885888</f>
        <v>628123885888</v>
      </c>
      <c r="W16501" t="s">
        <v>181</v>
      </c>
    </row>
    <row r="16502" ht="15" customHeight="1" spans="1:28" x14ac:dyDescent="0.25">
      <c r="A16502" s="17" t="s">
        <v>44222</v>
      </c>
      <c r="B16502" s="17" t="s">
        <v>70</v>
      </c>
      <c r="C16502" s="17" t="s">
        <v>71</v>
      </c>
      <c r="D16502" t="s">
        <v>44223</v>
      </c>
      <c r="F16502" t="s">
        <v>640</v>
      </c>
      <c r="J16502" t="s">
        <v>115</v>
      </c>
      <c r="K16502" s="18" t="s">
        <v>44224</v>
      </c>
      <c r="N16502" s="17" t="s">
        <v>77</v>
      </c>
      <c r="O16502" t="s">
        <v>199</v>
      </c>
      <c r="V16502" s="18" t="s">
        <v>44224</v>
      </c>
      <c r="Y16502" t="s">
        <v>190</v>
      </c>
      <c r="AA16502" t="s">
        <v>118</v>
      </c>
      <c r="AB16502" t="s">
        <v>119</v>
      </c>
    </row>
    <row r="16503" ht="15" customHeight="1" spans="1:22" x14ac:dyDescent="0.25">
      <c r="A16503" s="17" t="s">
        <v>44225</v>
      </c>
      <c r="B16503" s="17" t="s">
        <v>70</v>
      </c>
      <c r="C16503" s="17" t="s">
        <v>71</v>
      </c>
      <c r="D16503" t="s">
        <v>18179</v>
      </c>
      <c r="F16503" t="s">
        <v>18179</v>
      </c>
      <c r="K16503" s="18">
        <f>6281218529300</f>
        <v>6281218529300</v>
      </c>
      <c r="N16503" s="17" t="s">
        <v>81</v>
      </c>
      <c r="V16503" s="18">
        <f>6281218529300</f>
        <v>6281218529300</v>
      </c>
    </row>
    <row r="16504" ht="15" customHeight="1" spans="1:22" x14ac:dyDescent="0.25">
      <c r="A16504" s="17" t="s">
        <v>44226</v>
      </c>
      <c r="B16504" s="17" t="s">
        <v>70</v>
      </c>
      <c r="C16504" s="17" t="s">
        <v>71</v>
      </c>
      <c r="D16504" t="s">
        <v>18179</v>
      </c>
      <c r="F16504" t="s">
        <v>18179</v>
      </c>
      <c r="K16504" s="18">
        <f>6281311005333</f>
        <v>6281311005333</v>
      </c>
      <c r="N16504" s="17" t="s">
        <v>81</v>
      </c>
      <c r="V16504" s="18">
        <f>6281311005333</f>
        <v>6281311005333</v>
      </c>
    </row>
    <row r="16505" ht="15" customHeight="1" spans="1:22" x14ac:dyDescent="0.25">
      <c r="A16505" s="17" t="s">
        <v>44227</v>
      </c>
      <c r="B16505" s="17" t="s">
        <v>70</v>
      </c>
      <c r="C16505" s="17" t="s">
        <v>71</v>
      </c>
      <c r="D16505" t="s">
        <v>18179</v>
      </c>
      <c r="F16505" t="s">
        <v>18179</v>
      </c>
      <c r="K16505" s="18">
        <f>6281387083633</f>
        <v>6281387083633</v>
      </c>
      <c r="N16505" s="17" t="s">
        <v>77</v>
      </c>
      <c r="V16505" s="18">
        <f>6281387083633</f>
        <v>6281387083633</v>
      </c>
    </row>
    <row r="16506" ht="15" customHeight="1" spans="1:25" x14ac:dyDescent="0.25">
      <c r="A16506" s="17" t="s">
        <v>44228</v>
      </c>
      <c r="B16506" s="17" t="s">
        <v>70</v>
      </c>
      <c r="C16506" s="17" t="s">
        <v>71</v>
      </c>
      <c r="D16506" t="s">
        <v>18179</v>
      </c>
      <c r="F16506" t="s">
        <v>18179</v>
      </c>
      <c r="K16506" s="18">
        <f>6281319482260</f>
        <v>6281319482260</v>
      </c>
      <c r="N16506" s="17" t="s">
        <v>77</v>
      </c>
      <c r="U16506" s="17"/>
      <c r="V16506" s="18">
        <f>6281319482260</f>
        <v>6281319482260</v>
      </c>
      <c r="W16506" t="s">
        <v>44229</v>
      </c>
      <c r="Y16506" s="17" t="s">
        <v>96</v>
      </c>
    </row>
    <row r="16507" ht="15" customHeight="1" spans="1:22" x14ac:dyDescent="0.25">
      <c r="A16507" s="17" t="s">
        <v>44230</v>
      </c>
      <c r="B16507" s="17" t="s">
        <v>70</v>
      </c>
      <c r="C16507" s="17" t="s">
        <v>71</v>
      </c>
      <c r="D16507" t="s">
        <v>18179</v>
      </c>
      <c r="F16507" t="s">
        <v>433</v>
      </c>
      <c r="K16507" s="18">
        <f>628159943456</f>
        <v>628159943456</v>
      </c>
      <c r="N16507" s="17" t="s">
        <v>77</v>
      </c>
      <c r="V16507" s="18">
        <f>628159943456</f>
        <v>628159943456</v>
      </c>
    </row>
    <row r="16508" ht="15" customHeight="1" spans="1:28" x14ac:dyDescent="0.25">
      <c r="A16508" s="17" t="s">
        <v>44231</v>
      </c>
      <c r="B16508" s="17" t="s">
        <v>70</v>
      </c>
      <c r="C16508" s="17" t="s">
        <v>71</v>
      </c>
      <c r="D16508" t="s">
        <v>18179</v>
      </c>
      <c r="F16508" t="s">
        <v>44232</v>
      </c>
      <c r="J16508" t="s">
        <v>115</v>
      </c>
      <c r="K16508" s="18" t="s">
        <v>44233</v>
      </c>
      <c r="N16508" s="17" t="s">
        <v>77</v>
      </c>
      <c r="O16508" t="s">
        <v>117</v>
      </c>
      <c r="V16508" s="18" t="s">
        <v>44233</v>
      </c>
      <c r="Y16508" t="s">
        <v>190</v>
      </c>
      <c r="AA16508" t="s">
        <v>118</v>
      </c>
      <c r="AB16508" t="s">
        <v>119</v>
      </c>
    </row>
    <row r="16509" ht="15" customHeight="1" spans="1:28" x14ac:dyDescent="0.25">
      <c r="A16509" s="17" t="s">
        <v>44234</v>
      </c>
      <c r="B16509" s="17" t="s">
        <v>70</v>
      </c>
      <c r="C16509" s="17" t="s">
        <v>71</v>
      </c>
      <c r="D16509" t="s">
        <v>18179</v>
      </c>
      <c r="F16509" t="s">
        <v>44235</v>
      </c>
      <c r="J16509" t="s">
        <v>115</v>
      </c>
      <c r="K16509" s="18" t="s">
        <v>44236</v>
      </c>
      <c r="N16509" s="17" t="s">
        <v>77</v>
      </c>
      <c r="O16509" t="s">
        <v>199</v>
      </c>
      <c r="V16509" s="18" t="s">
        <v>44236</v>
      </c>
      <c r="Y16509" t="s">
        <v>1968</v>
      </c>
      <c r="AA16509" t="s">
        <v>1969</v>
      </c>
      <c r="AB16509" t="s">
        <v>119</v>
      </c>
    </row>
    <row r="16510" ht="15" customHeight="1" spans="1:22" x14ac:dyDescent="0.25">
      <c r="A16510" s="17" t="s">
        <v>44237</v>
      </c>
      <c r="B16510" s="17" t="s">
        <v>70</v>
      </c>
      <c r="C16510" s="17" t="s">
        <v>71</v>
      </c>
      <c r="D16510" t="s">
        <v>18179</v>
      </c>
      <c r="F16510" t="s">
        <v>864</v>
      </c>
      <c r="K16510" s="18">
        <f>62811147803</f>
        <v>62811147803</v>
      </c>
      <c r="N16510" s="17" t="s">
        <v>77</v>
      </c>
      <c r="V16510" s="18">
        <f>62811147803</f>
        <v>62811147803</v>
      </c>
    </row>
    <row r="16511" ht="15" customHeight="1" spans="1:28" x14ac:dyDescent="0.25">
      <c r="A16511" s="17" t="s">
        <v>44238</v>
      </c>
      <c r="B16511" s="17" t="s">
        <v>70</v>
      </c>
      <c r="C16511" s="17" t="s">
        <v>71</v>
      </c>
      <c r="D16511" t="s">
        <v>18179</v>
      </c>
      <c r="F16511" t="s">
        <v>4708</v>
      </c>
      <c r="J16511" t="s">
        <v>44239</v>
      </c>
      <c r="K16511" s="18" t="s">
        <v>44240</v>
      </c>
      <c r="N16511" s="17" t="s">
        <v>74</v>
      </c>
      <c r="O16511" t="s">
        <v>489</v>
      </c>
      <c r="U16511" s="17"/>
      <c r="V16511" s="18" t="s">
        <v>44240</v>
      </c>
      <c r="W16511" t="s">
        <v>44241</v>
      </c>
      <c r="Y16511" s="17" t="s">
        <v>43937</v>
      </c>
      <c r="AA16511" t="s">
        <v>115</v>
      </c>
      <c r="AB16511" t="s">
        <v>119</v>
      </c>
    </row>
    <row r="16512" ht="15" customHeight="1" spans="1:25" x14ac:dyDescent="0.25">
      <c r="A16512" s="17" t="s">
        <v>44242</v>
      </c>
      <c r="B16512" s="17" t="s">
        <v>70</v>
      </c>
      <c r="C16512" s="17" t="s">
        <v>71</v>
      </c>
      <c r="D16512" t="s">
        <v>18179</v>
      </c>
      <c r="F16512" t="s">
        <v>44243</v>
      </c>
      <c r="K16512" s="18" t="s">
        <v>44244</v>
      </c>
      <c r="N16512" s="17" t="s">
        <v>77</v>
      </c>
      <c r="U16512" s="17"/>
      <c r="V16512" s="18" t="s">
        <v>44244</v>
      </c>
      <c r="W16512" t="s">
        <v>44245</v>
      </c>
      <c r="Y16512" s="17" t="s">
        <v>378</v>
      </c>
    </row>
    <row r="16513" ht="15" customHeight="1" spans="1:23" x14ac:dyDescent="0.25">
      <c r="A16513" s="17" t="s">
        <v>44246</v>
      </c>
      <c r="B16513" s="17" t="s">
        <v>70</v>
      </c>
      <c r="C16513" s="17" t="s">
        <v>71</v>
      </c>
      <c r="D16513" t="s">
        <v>18179</v>
      </c>
      <c r="F16513" t="s">
        <v>20814</v>
      </c>
      <c r="K16513" s="18">
        <f>6282131415159</f>
        <v>6282131415159</v>
      </c>
      <c r="N16513" s="17" t="s">
        <v>81</v>
      </c>
      <c r="U16513" s="17"/>
      <c r="V16513" s="18">
        <f>6282131415159</f>
        <v>6282131415159</v>
      </c>
      <c r="W16513" t="s">
        <v>44247</v>
      </c>
    </row>
    <row r="16514" ht="15" customHeight="1" spans="1:22" x14ac:dyDescent="0.25">
      <c r="A16514" s="17" t="s">
        <v>44248</v>
      </c>
      <c r="B16514" s="17" t="s">
        <v>70</v>
      </c>
      <c r="C16514" s="17" t="s">
        <v>71</v>
      </c>
      <c r="D16514" t="s">
        <v>18179</v>
      </c>
      <c r="F16514" t="s">
        <v>6588</v>
      </c>
      <c r="K16514" s="18">
        <f>6285888877797</f>
        <v>6285888877797</v>
      </c>
      <c r="N16514" s="17" t="s">
        <v>81</v>
      </c>
      <c r="V16514" s="18">
        <f>6285888877797</f>
        <v>6285888877797</v>
      </c>
    </row>
    <row r="16515" ht="15" customHeight="1" spans="1:22" x14ac:dyDescent="0.25">
      <c r="A16515" s="17" t="s">
        <v>44249</v>
      </c>
      <c r="B16515" s="17" t="s">
        <v>70</v>
      </c>
      <c r="C16515" s="17" t="s">
        <v>71</v>
      </c>
      <c r="D16515" t="s">
        <v>18179</v>
      </c>
      <c r="F16515" t="s">
        <v>4866</v>
      </c>
      <c r="K16515" s="18">
        <f>628161120457</f>
        <v>628161120457</v>
      </c>
      <c r="N16515" s="17" t="s">
        <v>74</v>
      </c>
      <c r="V16515" s="18">
        <f>628161120457</f>
        <v>628161120457</v>
      </c>
    </row>
    <row r="16516" ht="15" customHeight="1" spans="1:22" x14ac:dyDescent="0.25">
      <c r="A16516" s="17" t="s">
        <v>44250</v>
      </c>
      <c r="B16516" s="17" t="s">
        <v>70</v>
      </c>
      <c r="C16516" s="17" t="s">
        <v>71</v>
      </c>
      <c r="D16516" t="s">
        <v>18179</v>
      </c>
      <c r="F16516" t="s">
        <v>44251</v>
      </c>
      <c r="K16516" s="18">
        <f>62816768493</f>
        <v>62816768493</v>
      </c>
      <c r="N16516" s="17" t="s">
        <v>77</v>
      </c>
      <c r="V16516" s="18">
        <f>62816768493</f>
        <v>62816768493</v>
      </c>
    </row>
    <row r="16517" ht="15" customHeight="1" spans="1:22" x14ac:dyDescent="0.25">
      <c r="A16517" s="17" t="s">
        <v>44252</v>
      </c>
      <c r="B16517" s="17" t="s">
        <v>70</v>
      </c>
      <c r="C16517" s="17" t="s">
        <v>71</v>
      </c>
      <c r="D16517" t="s">
        <v>18179</v>
      </c>
      <c r="F16517" t="s">
        <v>11494</v>
      </c>
      <c r="K16517" s="18">
        <f>6281344592361</f>
        <v>6281344592361</v>
      </c>
      <c r="N16517" s="17" t="s">
        <v>77</v>
      </c>
      <c r="V16517" s="18">
        <f>6281344592361</f>
        <v>6281344592361</v>
      </c>
    </row>
    <row r="16518" ht="15" customHeight="1" spans="1:22" x14ac:dyDescent="0.25">
      <c r="A16518" s="17" t="s">
        <v>44253</v>
      </c>
      <c r="B16518" s="17" t="s">
        <v>70</v>
      </c>
      <c r="C16518" s="17" t="s">
        <v>71</v>
      </c>
      <c r="D16518" t="s">
        <v>44254</v>
      </c>
      <c r="F16518" t="s">
        <v>44254</v>
      </c>
      <c r="K16518" s="18">
        <f>6282156360891</f>
        <v>6282156360891</v>
      </c>
      <c r="N16518" s="17" t="s">
        <v>74</v>
      </c>
      <c r="V16518" s="18">
        <f>6282156360891</f>
        <v>6282156360891</v>
      </c>
    </row>
    <row r="16519" ht="15" customHeight="1" spans="1:22" x14ac:dyDescent="0.25">
      <c r="A16519" s="17" t="s">
        <v>44255</v>
      </c>
      <c r="B16519" s="17" t="s">
        <v>70</v>
      </c>
      <c r="C16519" s="17" t="s">
        <v>71</v>
      </c>
      <c r="D16519" t="s">
        <v>9853</v>
      </c>
      <c r="F16519" t="s">
        <v>9853</v>
      </c>
      <c r="K16519" s="18">
        <f>6281334375111</f>
        <v>6281334375111</v>
      </c>
      <c r="N16519" s="17" t="s">
        <v>77</v>
      </c>
      <c r="V16519" s="18">
        <f>6281334375111</f>
        <v>6281334375111</v>
      </c>
    </row>
    <row r="16520" ht="15" customHeight="1" spans="1:22" x14ac:dyDescent="0.25">
      <c r="A16520" s="17" t="s">
        <v>44256</v>
      </c>
      <c r="B16520" s="17" t="s">
        <v>70</v>
      </c>
      <c r="C16520" s="17" t="s">
        <v>71</v>
      </c>
      <c r="D16520" t="s">
        <v>44257</v>
      </c>
      <c r="F16520" t="s">
        <v>44257</v>
      </c>
      <c r="K16520" s="18">
        <f>6281586735009</f>
        <v>6281586735009</v>
      </c>
      <c r="N16520" s="17" t="s">
        <v>77</v>
      </c>
      <c r="V16520" s="18">
        <f>6281586735009</f>
        <v>6281586735009</v>
      </c>
    </row>
    <row r="16521" ht="15" customHeight="1" spans="1:28" x14ac:dyDescent="0.25">
      <c r="A16521" s="17" t="s">
        <v>44258</v>
      </c>
      <c r="B16521" s="17" t="s">
        <v>70</v>
      </c>
      <c r="C16521" s="17" t="s">
        <v>71</v>
      </c>
      <c r="D16521" t="s">
        <v>44259</v>
      </c>
      <c r="F16521" t="s">
        <v>3546</v>
      </c>
      <c r="J16521" t="s">
        <v>115</v>
      </c>
      <c r="K16521" s="18" t="s">
        <v>44260</v>
      </c>
      <c r="N16521" s="17" t="s">
        <v>77</v>
      </c>
      <c r="O16521" t="s">
        <v>117</v>
      </c>
      <c r="V16521" s="18" t="s">
        <v>44260</v>
      </c>
      <c r="Y16521" t="s">
        <v>115</v>
      </c>
      <c r="AA16521" t="s">
        <v>115</v>
      </c>
      <c r="AB16521" t="s">
        <v>119</v>
      </c>
    </row>
    <row r="16522" ht="15" customHeight="1" spans="1:22" x14ac:dyDescent="0.25">
      <c r="A16522" s="17" t="s">
        <v>44261</v>
      </c>
      <c r="B16522" s="17" t="s">
        <v>70</v>
      </c>
      <c r="C16522" s="17" t="s">
        <v>71</v>
      </c>
      <c r="D16522" t="s">
        <v>11494</v>
      </c>
      <c r="F16522" t="s">
        <v>11494</v>
      </c>
      <c r="K16522" s="18">
        <f>628121230906</f>
        <v>628121230906</v>
      </c>
      <c r="N16522" s="17" t="s">
        <v>77</v>
      </c>
      <c r="V16522" s="18">
        <f>628121230906</f>
        <v>628121230906</v>
      </c>
    </row>
    <row r="16523" ht="15" customHeight="1" spans="1:25" x14ac:dyDescent="0.25">
      <c r="A16523" s="17" t="s">
        <v>44262</v>
      </c>
      <c r="B16523" s="17" t="s">
        <v>70</v>
      </c>
      <c r="C16523" s="17" t="s">
        <v>71</v>
      </c>
      <c r="D16523" t="s">
        <v>11494</v>
      </c>
      <c r="F16523" t="s">
        <v>11494</v>
      </c>
      <c r="K16523" s="18">
        <f>62882008371918</f>
        <v>62882008371918</v>
      </c>
      <c r="N16523" s="17" t="s">
        <v>77</v>
      </c>
      <c r="U16523" s="17"/>
      <c r="V16523" s="18">
        <f>62882008371918</f>
        <v>62882008371918</v>
      </c>
      <c r="W16523" s="20" t="s">
        <v>44263</v>
      </c>
      <c r="Y16523" t="s">
        <v>410</v>
      </c>
    </row>
    <row r="16524" ht="15" customHeight="1" spans="1:22" x14ac:dyDescent="0.25">
      <c r="A16524" s="17" t="s">
        <v>44264</v>
      </c>
      <c r="B16524" s="17" t="s">
        <v>70</v>
      </c>
      <c r="C16524" s="17" t="s">
        <v>71</v>
      </c>
      <c r="D16524" t="s">
        <v>11494</v>
      </c>
      <c r="F16524" t="s">
        <v>11494</v>
      </c>
      <c r="K16524" s="18">
        <f>628111887819</f>
        <v>628111887819</v>
      </c>
      <c r="N16524" s="17" t="s">
        <v>81</v>
      </c>
      <c r="V16524" s="18">
        <f>628111887819</f>
        <v>628111887819</v>
      </c>
    </row>
    <row r="16525" ht="15" customHeight="1" spans="1:22" x14ac:dyDescent="0.25">
      <c r="A16525" s="17" t="s">
        <v>44265</v>
      </c>
      <c r="B16525" s="17" t="s">
        <v>70</v>
      </c>
      <c r="C16525" s="17" t="s">
        <v>71</v>
      </c>
      <c r="D16525" t="s">
        <v>11494</v>
      </c>
      <c r="F16525" t="s">
        <v>44266</v>
      </c>
      <c r="K16525" s="18">
        <f>6281807073819</f>
        <v>6281807073819</v>
      </c>
      <c r="N16525" s="17" t="s">
        <v>81</v>
      </c>
      <c r="V16525" s="18">
        <f>6281807073819</f>
        <v>6281807073819</v>
      </c>
    </row>
    <row r="16526" ht="15" customHeight="1" spans="1:28" x14ac:dyDescent="0.25">
      <c r="A16526" s="17" t="s">
        <v>44267</v>
      </c>
      <c r="B16526" s="17" t="s">
        <v>70</v>
      </c>
      <c r="C16526" s="17" t="s">
        <v>71</v>
      </c>
      <c r="D16526" t="s">
        <v>11494</v>
      </c>
      <c r="F16526" t="s">
        <v>44268</v>
      </c>
      <c r="J16526" s="17" t="s">
        <v>44269</v>
      </c>
      <c r="K16526" s="18" t="s">
        <v>44270</v>
      </c>
      <c r="N16526" s="17" t="s">
        <v>77</v>
      </c>
      <c r="O16526" t="s">
        <v>145</v>
      </c>
      <c r="V16526" s="18" t="s">
        <v>44270</v>
      </c>
      <c r="Y16526" t="s">
        <v>10014</v>
      </c>
      <c r="AA16526" t="s">
        <v>115</v>
      </c>
      <c r="AB16526" t="s">
        <v>119</v>
      </c>
    </row>
    <row r="16527" ht="15" customHeight="1" spans="1:28" x14ac:dyDescent="0.25">
      <c r="A16527" s="17" t="s">
        <v>44271</v>
      </c>
      <c r="B16527" s="17" t="s">
        <v>70</v>
      </c>
      <c r="C16527" s="17" t="s">
        <v>71</v>
      </c>
      <c r="D16527" t="s">
        <v>11494</v>
      </c>
      <c r="F16527" t="s">
        <v>44272</v>
      </c>
      <c r="J16527" t="s">
        <v>115</v>
      </c>
      <c r="K16527" s="18" t="s">
        <v>44273</v>
      </c>
      <c r="N16527" s="17" t="s">
        <v>77</v>
      </c>
      <c r="O16527" t="s">
        <v>117</v>
      </c>
      <c r="U16527" s="17"/>
      <c r="V16527" s="18" t="s">
        <v>44273</v>
      </c>
      <c r="W16527" t="s">
        <v>44274</v>
      </c>
      <c r="Y16527" s="17" t="s">
        <v>190</v>
      </c>
      <c r="AA16527" t="s">
        <v>118</v>
      </c>
      <c r="AB16527" t="s">
        <v>119</v>
      </c>
    </row>
    <row r="16528" ht="15" customHeight="1" spans="1:22" x14ac:dyDescent="0.25">
      <c r="A16528" s="17" t="s">
        <v>44275</v>
      </c>
      <c r="B16528" s="17" t="s">
        <v>70</v>
      </c>
      <c r="C16528" s="17" t="s">
        <v>71</v>
      </c>
      <c r="D16528" t="s">
        <v>11494</v>
      </c>
      <c r="F16528" t="s">
        <v>879</v>
      </c>
      <c r="K16528" s="18">
        <f>628161425217</f>
        <v>628161425217</v>
      </c>
      <c r="N16528" s="17" t="s">
        <v>81</v>
      </c>
      <c r="V16528" s="18">
        <f>628161425217</f>
        <v>628161425217</v>
      </c>
    </row>
    <row r="16529" ht="15" customHeight="1" spans="1:27" x14ac:dyDescent="0.25">
      <c r="A16529" s="17" t="s">
        <v>44276</v>
      </c>
      <c r="B16529" s="17" t="s">
        <v>70</v>
      </c>
      <c r="C16529" s="17" t="s">
        <v>71</v>
      </c>
      <c r="D16529" t="s">
        <v>11494</v>
      </c>
      <c r="F16529" t="s">
        <v>2320</v>
      </c>
      <c r="J16529" s="17" t="s">
        <v>44277</v>
      </c>
      <c r="K16529" s="18">
        <f>62217563781</f>
        <v>62217563781</v>
      </c>
      <c r="N16529" s="17" t="s">
        <v>77</v>
      </c>
      <c r="U16529" s="17"/>
      <c r="V16529" s="18">
        <f>62217563781</f>
        <v>62217563781</v>
      </c>
      <c r="W16529" t="s">
        <v>44278</v>
      </c>
      <c r="Y16529" s="17" t="s">
        <v>384</v>
      </c>
      <c r="AA16529" s="17">
        <v>15315</v>
      </c>
    </row>
    <row r="16530" ht="15" customHeight="1" spans="1:25" x14ac:dyDescent="0.25">
      <c r="A16530" s="17" t="s">
        <v>44279</v>
      </c>
      <c r="B16530" s="17" t="s">
        <v>70</v>
      </c>
      <c r="C16530" s="17" t="s">
        <v>71</v>
      </c>
      <c r="D16530" t="s">
        <v>11494</v>
      </c>
      <c r="F16530" t="s">
        <v>5639</v>
      </c>
      <c r="K16530" s="18" t="s">
        <v>44280</v>
      </c>
      <c r="N16530" s="17" t="s">
        <v>77</v>
      </c>
      <c r="U16530" s="17"/>
      <c r="V16530" s="18" t="s">
        <v>44280</v>
      </c>
      <c r="W16530" t="s">
        <v>44281</v>
      </c>
      <c r="Y16530" s="17" t="s">
        <v>90</v>
      </c>
    </row>
    <row r="16531" ht="15" customHeight="1" spans="1:25" x14ac:dyDescent="0.25">
      <c r="A16531" s="17" t="s">
        <v>44282</v>
      </c>
      <c r="B16531" s="17" t="s">
        <v>70</v>
      </c>
      <c r="C16531" s="17" t="s">
        <v>71</v>
      </c>
      <c r="D16531" t="s">
        <v>11494</v>
      </c>
      <c r="F16531" t="s">
        <v>2258</v>
      </c>
      <c r="K16531" s="18">
        <f>62816819198</f>
        <v>62816819198</v>
      </c>
      <c r="N16531" s="17" t="s">
        <v>81</v>
      </c>
      <c r="U16531" s="17"/>
      <c r="V16531" s="18">
        <f>62816819198</f>
        <v>62816819198</v>
      </c>
      <c r="W16531" t="s">
        <v>44283</v>
      </c>
      <c r="Y16531" s="17" t="s">
        <v>90</v>
      </c>
    </row>
    <row r="16532" ht="15" customHeight="1" spans="1:27" x14ac:dyDescent="0.25">
      <c r="A16532" s="17" t="s">
        <v>44284</v>
      </c>
      <c r="B16532" s="17" t="s">
        <v>70</v>
      </c>
      <c r="C16532" s="17" t="s">
        <v>71</v>
      </c>
      <c r="D16532" t="s">
        <v>11494</v>
      </c>
      <c r="F16532" t="s">
        <v>9650</v>
      </c>
      <c r="J16532" s="17" t="s">
        <v>44285</v>
      </c>
      <c r="K16532" s="18">
        <f>6281214923923</f>
        <v>6281214923923</v>
      </c>
      <c r="N16532" s="17" t="s">
        <v>77</v>
      </c>
      <c r="U16532" s="17"/>
      <c r="V16532" s="18">
        <f>6281214923923</f>
        <v>6281214923923</v>
      </c>
      <c r="W16532" t="s">
        <v>44286</v>
      </c>
      <c r="Y16532" s="17" t="s">
        <v>44287</v>
      </c>
      <c r="AA16532" s="17">
        <v>14240</v>
      </c>
    </row>
    <row r="16533" ht="15" customHeight="1" spans="1:28" x14ac:dyDescent="0.25">
      <c r="A16533" s="17" t="s">
        <v>44288</v>
      </c>
      <c r="B16533" s="17" t="s">
        <v>70</v>
      </c>
      <c r="C16533" s="17" t="s">
        <v>71</v>
      </c>
      <c r="D16533" t="s">
        <v>11494</v>
      </c>
      <c r="F16533" t="s">
        <v>39381</v>
      </c>
      <c r="J16533" s="17" t="s">
        <v>44289</v>
      </c>
      <c r="K16533" s="18" t="s">
        <v>44290</v>
      </c>
      <c r="N16533" s="17" t="s">
        <v>77</v>
      </c>
      <c r="O16533" t="s">
        <v>145</v>
      </c>
      <c r="U16533" s="17"/>
      <c r="V16533" s="18" t="s">
        <v>44290</v>
      </c>
      <c r="W16533" t="s">
        <v>44291</v>
      </c>
      <c r="Y16533" s="17" t="s">
        <v>410</v>
      </c>
      <c r="AA16533" t="s">
        <v>5299</v>
      </c>
      <c r="AB16533" t="s">
        <v>119</v>
      </c>
    </row>
    <row r="16534" ht="15" customHeight="1" spans="1:28" x14ac:dyDescent="0.25">
      <c r="A16534" s="17" t="s">
        <v>44292</v>
      </c>
      <c r="B16534" s="17" t="s">
        <v>70</v>
      </c>
      <c r="C16534" s="17" t="s">
        <v>71</v>
      </c>
      <c r="D16534" t="s">
        <v>11494</v>
      </c>
      <c r="F16534" t="s">
        <v>11494</v>
      </c>
      <c r="J16534" t="s">
        <v>115</v>
      </c>
      <c r="K16534" s="18" t="s">
        <v>44293</v>
      </c>
      <c r="N16534" s="17" t="s">
        <v>77</v>
      </c>
      <c r="O16534" t="s">
        <v>145</v>
      </c>
      <c r="V16534" s="18" t="s">
        <v>44293</v>
      </c>
      <c r="Y16534" t="s">
        <v>90</v>
      </c>
      <c r="AA16534" t="s">
        <v>118</v>
      </c>
      <c r="AB16534" t="s">
        <v>119</v>
      </c>
    </row>
    <row r="16535" ht="15" customHeight="1" spans="1:22" x14ac:dyDescent="0.25">
      <c r="A16535" s="17" t="s">
        <v>44294</v>
      </c>
      <c r="B16535" s="17" t="s">
        <v>70</v>
      </c>
      <c r="C16535" s="17" t="s">
        <v>71</v>
      </c>
      <c r="D16535" t="s">
        <v>44295</v>
      </c>
      <c r="F16535" t="s">
        <v>44295</v>
      </c>
      <c r="K16535" s="18">
        <f>62811166325</f>
        <v>62811166325</v>
      </c>
      <c r="N16535" s="17" t="s">
        <v>77</v>
      </c>
      <c r="V16535" s="18">
        <f>62811166325</f>
        <v>62811166325</v>
      </c>
    </row>
    <row r="16536" ht="15" customHeight="1" spans="1:25" x14ac:dyDescent="0.25">
      <c r="A16536" s="17" t="s">
        <v>44296</v>
      </c>
      <c r="B16536" s="17" t="s">
        <v>70</v>
      </c>
      <c r="C16536" s="17" t="s">
        <v>71</v>
      </c>
      <c r="D16536" t="s">
        <v>44297</v>
      </c>
      <c r="F16536" t="s">
        <v>2785</v>
      </c>
      <c r="K16536" s="18">
        <f>628117002598</f>
        <v>628117002598</v>
      </c>
      <c r="N16536" s="17" t="s">
        <v>77</v>
      </c>
      <c r="U16536" s="17"/>
      <c r="V16536" s="18">
        <f>628117002598</f>
        <v>628117002598</v>
      </c>
      <c r="W16536" t="s">
        <v>44298</v>
      </c>
      <c r="Y16536" s="17" t="s">
        <v>626</v>
      </c>
    </row>
    <row r="16537" ht="15" customHeight="1" spans="1:22" x14ac:dyDescent="0.25">
      <c r="A16537" s="17" t="s">
        <v>44299</v>
      </c>
      <c r="B16537" s="17" t="s">
        <v>70</v>
      </c>
      <c r="C16537" s="17" t="s">
        <v>71</v>
      </c>
      <c r="D16537" t="s">
        <v>1281</v>
      </c>
      <c r="F16537" t="s">
        <v>1281</v>
      </c>
      <c r="K16537" s="18">
        <f>62811443533</f>
        <v>62811443533</v>
      </c>
      <c r="N16537" s="17" t="s">
        <v>81</v>
      </c>
      <c r="V16537" s="18">
        <f>62811443533</f>
        <v>62811443533</v>
      </c>
    </row>
    <row r="16538" ht="15" customHeight="1" spans="1:22" x14ac:dyDescent="0.25">
      <c r="A16538" s="17" t="s">
        <v>44300</v>
      </c>
      <c r="B16538" s="17" t="s">
        <v>70</v>
      </c>
      <c r="C16538" s="17" t="s">
        <v>71</v>
      </c>
      <c r="D16538" t="s">
        <v>1281</v>
      </c>
      <c r="F16538" t="s">
        <v>1281</v>
      </c>
      <c r="K16538" s="18">
        <f>628125514549</f>
        <v>628125514549</v>
      </c>
      <c r="N16538" s="17" t="s">
        <v>77</v>
      </c>
      <c r="V16538" s="18">
        <f>628125514549</f>
        <v>628125514549</v>
      </c>
    </row>
    <row r="16539" ht="15" customHeight="1" spans="1:22" x14ac:dyDescent="0.25">
      <c r="A16539" s="17" t="s">
        <v>44301</v>
      </c>
      <c r="B16539" s="17" t="s">
        <v>70</v>
      </c>
      <c r="C16539" s="17" t="s">
        <v>71</v>
      </c>
      <c r="D16539" t="s">
        <v>1281</v>
      </c>
      <c r="F16539" t="s">
        <v>1281</v>
      </c>
      <c r="K16539" s="18">
        <f>6281808709085</f>
        <v>6281808709085</v>
      </c>
      <c r="N16539" s="17" t="s">
        <v>77</v>
      </c>
      <c r="V16539" s="18">
        <f>6281808709085</f>
        <v>6281808709085</v>
      </c>
    </row>
    <row r="16540" ht="15" customHeight="1" spans="1:28" x14ac:dyDescent="0.25">
      <c r="A16540" s="17" t="s">
        <v>44302</v>
      </c>
      <c r="B16540" s="17" t="s">
        <v>70</v>
      </c>
      <c r="C16540" s="17" t="s">
        <v>71</v>
      </c>
      <c r="D16540" t="s">
        <v>1281</v>
      </c>
      <c r="F16540" t="s">
        <v>19414</v>
      </c>
      <c r="J16540" s="17" t="s">
        <v>44303</v>
      </c>
      <c r="K16540" s="18" t="s">
        <v>44304</v>
      </c>
      <c r="N16540" s="17" t="s">
        <v>77</v>
      </c>
      <c r="O16540" t="s">
        <v>117</v>
      </c>
      <c r="V16540" s="18" t="s">
        <v>44304</v>
      </c>
      <c r="Y16540" t="s">
        <v>190</v>
      </c>
      <c r="AA16540" t="s">
        <v>118</v>
      </c>
      <c r="AB16540" t="s">
        <v>119</v>
      </c>
    </row>
    <row r="16541" ht="15" customHeight="1" spans="1:28" x14ac:dyDescent="0.25">
      <c r="A16541" s="17" t="s">
        <v>44305</v>
      </c>
      <c r="B16541" s="17" t="s">
        <v>70</v>
      </c>
      <c r="C16541" s="17" t="s">
        <v>71</v>
      </c>
      <c r="D16541" t="s">
        <v>1281</v>
      </c>
      <c r="F16541" t="s">
        <v>1281</v>
      </c>
      <c r="J16541" s="17" t="s">
        <v>44306</v>
      </c>
      <c r="K16541" s="18" t="s">
        <v>44307</v>
      </c>
      <c r="N16541" s="17" t="s">
        <v>74</v>
      </c>
      <c r="O16541" t="s">
        <v>145</v>
      </c>
      <c r="U16541" s="17"/>
      <c r="V16541" s="18" t="s">
        <v>44307</v>
      </c>
      <c r="W16541" t="s">
        <v>44308</v>
      </c>
      <c r="Y16541" s="17" t="s">
        <v>1084</v>
      </c>
      <c r="AA16541" s="17" t="s">
        <v>3146</v>
      </c>
      <c r="AB16541" t="s">
        <v>119</v>
      </c>
    </row>
    <row r="16542" ht="15" customHeight="1" spans="1:22" x14ac:dyDescent="0.25">
      <c r="A16542" s="17" t="s">
        <v>44309</v>
      </c>
      <c r="B16542" s="17" t="s">
        <v>70</v>
      </c>
      <c r="C16542" s="17" t="s">
        <v>71</v>
      </c>
      <c r="D16542" t="s">
        <v>44310</v>
      </c>
      <c r="F16542" t="s">
        <v>44310</v>
      </c>
      <c r="K16542" s="18">
        <f>62816100172</f>
        <v>62816100172</v>
      </c>
      <c r="N16542" s="17" t="s">
        <v>81</v>
      </c>
      <c r="V16542" s="18">
        <f>62816100172</f>
        <v>62816100172</v>
      </c>
    </row>
    <row r="16543" ht="15" customHeight="1" spans="1:28" x14ac:dyDescent="0.25">
      <c r="A16543" s="17" t="s">
        <v>44311</v>
      </c>
      <c r="B16543" s="17" t="s">
        <v>70</v>
      </c>
      <c r="C16543" s="17" t="s">
        <v>71</v>
      </c>
      <c r="D16543" t="s">
        <v>44312</v>
      </c>
      <c r="F16543" t="s">
        <v>44312</v>
      </c>
      <c r="J16543" t="s">
        <v>115</v>
      </c>
      <c r="K16543" s="18" t="s">
        <v>44313</v>
      </c>
      <c r="N16543" s="17" t="s">
        <v>77</v>
      </c>
      <c r="O16543" t="s">
        <v>261</v>
      </c>
      <c r="V16543" s="18" t="s">
        <v>44313</v>
      </c>
      <c r="Y16543" t="s">
        <v>90</v>
      </c>
      <c r="AA16543" t="s">
        <v>118</v>
      </c>
      <c r="AB16543" t="s">
        <v>119</v>
      </c>
    </row>
    <row r="16544" ht="15" customHeight="1" spans="1:22" x14ac:dyDescent="0.25">
      <c r="A16544" s="17" t="s">
        <v>44314</v>
      </c>
      <c r="B16544" s="17" t="s">
        <v>70</v>
      </c>
      <c r="C16544" s="17" t="s">
        <v>71</v>
      </c>
      <c r="D16544" t="s">
        <v>44315</v>
      </c>
      <c r="F16544" t="s">
        <v>44315</v>
      </c>
      <c r="K16544" s="18">
        <f>628121023083</f>
        <v>628121023083</v>
      </c>
      <c r="N16544" s="17" t="s">
        <v>81</v>
      </c>
      <c r="V16544" s="18">
        <f>628121023083</f>
        <v>628121023083</v>
      </c>
    </row>
    <row r="16545" ht="15" customHeight="1" spans="1:22" x14ac:dyDescent="0.25">
      <c r="A16545" s="17" t="s">
        <v>44316</v>
      </c>
      <c r="B16545" s="17" t="s">
        <v>70</v>
      </c>
      <c r="C16545" s="17" t="s">
        <v>71</v>
      </c>
      <c r="D16545" t="s">
        <v>44317</v>
      </c>
      <c r="F16545" t="s">
        <v>8534</v>
      </c>
      <c r="J16545" s="17" t="s">
        <v>44318</v>
      </c>
      <c r="K16545" s="18">
        <f>628126300002</f>
        <v>628126300002</v>
      </c>
      <c r="N16545" s="17" t="s">
        <v>77</v>
      </c>
      <c r="V16545" s="18">
        <f>628126300002</f>
        <v>628126300002</v>
      </c>
    </row>
    <row r="16546" ht="15" customHeight="1" spans="1:28" x14ac:dyDescent="0.25">
      <c r="A16546" s="17" t="s">
        <v>44319</v>
      </c>
      <c r="B16546" s="17" t="s">
        <v>70</v>
      </c>
      <c r="C16546" s="17" t="s">
        <v>71</v>
      </c>
      <c r="D16546" t="s">
        <v>44320</v>
      </c>
      <c r="F16546" t="s">
        <v>3086</v>
      </c>
      <c r="J16546" t="s">
        <v>115</v>
      </c>
      <c r="K16546" s="18" t="s">
        <v>44321</v>
      </c>
      <c r="N16546" s="17" t="s">
        <v>77</v>
      </c>
      <c r="O16546" t="s">
        <v>145</v>
      </c>
      <c r="V16546" s="18" t="s">
        <v>44321</v>
      </c>
      <c r="Y16546" t="s">
        <v>90</v>
      </c>
      <c r="AA16546" t="s">
        <v>118</v>
      </c>
      <c r="AB16546" t="s">
        <v>119</v>
      </c>
    </row>
    <row r="16547" ht="15" customHeight="1" spans="1:22" x14ac:dyDescent="0.25">
      <c r="A16547" s="17" t="s">
        <v>44322</v>
      </c>
      <c r="B16547" s="17" t="s">
        <v>70</v>
      </c>
      <c r="C16547" s="17" t="s">
        <v>71</v>
      </c>
      <c r="D16547" t="s">
        <v>44323</v>
      </c>
      <c r="F16547" t="s">
        <v>44323</v>
      </c>
      <c r="K16547" s="18">
        <f>6287895123069</f>
        <v>6287895123069</v>
      </c>
      <c r="N16547" s="17" t="s">
        <v>81</v>
      </c>
      <c r="V16547" s="18">
        <f>6287895123069</f>
        <v>6287895123069</v>
      </c>
    </row>
    <row r="16548" ht="15" customHeight="1" spans="1:28" x14ac:dyDescent="0.25">
      <c r="A16548" s="17" t="s">
        <v>44324</v>
      </c>
      <c r="B16548" s="17" t="s">
        <v>70</v>
      </c>
      <c r="C16548" s="17" t="s">
        <v>71</v>
      </c>
      <c r="D16548" t="s">
        <v>44323</v>
      </c>
      <c r="F16548" t="s">
        <v>44323</v>
      </c>
      <c r="J16548" s="17" t="s">
        <v>44325</v>
      </c>
      <c r="K16548" s="18" t="s">
        <v>44326</v>
      </c>
      <c r="N16548" s="17" t="s">
        <v>77</v>
      </c>
      <c r="O16548" t="s">
        <v>117</v>
      </c>
      <c r="V16548" s="18" t="s">
        <v>44326</v>
      </c>
      <c r="Y16548" t="s">
        <v>90</v>
      </c>
      <c r="AA16548" t="s">
        <v>118</v>
      </c>
      <c r="AB16548" t="s">
        <v>119</v>
      </c>
    </row>
    <row r="16549" ht="15" customHeight="1" spans="1:25" x14ac:dyDescent="0.25">
      <c r="A16549" s="17" t="s">
        <v>44327</v>
      </c>
      <c r="B16549" s="17" t="s">
        <v>70</v>
      </c>
      <c r="C16549" s="17" t="s">
        <v>71</v>
      </c>
      <c r="D16549" t="s">
        <v>44328</v>
      </c>
      <c r="F16549" t="s">
        <v>44329</v>
      </c>
      <c r="K16549" s="18">
        <f>6285885169678</f>
        <v>6285885169678</v>
      </c>
      <c r="N16549" s="17" t="s">
        <v>77</v>
      </c>
      <c r="U16549" s="17"/>
      <c r="V16549" s="18">
        <f>6285885169678</f>
        <v>6285885169678</v>
      </c>
      <c r="W16549" t="s">
        <v>44330</v>
      </c>
      <c r="Y16549" s="17" t="s">
        <v>90</v>
      </c>
    </row>
    <row r="16550" ht="15" customHeight="1" spans="1:22" x14ac:dyDescent="0.25">
      <c r="A16550" s="17" t="s">
        <v>44331</v>
      </c>
      <c r="B16550" s="17" t="s">
        <v>70</v>
      </c>
      <c r="C16550" s="17" t="s">
        <v>71</v>
      </c>
      <c r="D16550" t="s">
        <v>44332</v>
      </c>
      <c r="F16550" t="s">
        <v>44332</v>
      </c>
      <c r="J16550" s="17" t="s">
        <v>44333</v>
      </c>
      <c r="K16550" s="18">
        <f>6281310931073</f>
        <v>6281310931073</v>
      </c>
      <c r="N16550" s="17" t="s">
        <v>77</v>
      </c>
      <c r="V16550" s="18">
        <f>6281310931073</f>
        <v>6281310931073</v>
      </c>
    </row>
    <row r="16551" ht="15" customHeight="1" spans="1:23" x14ac:dyDescent="0.25">
      <c r="A16551" s="17" t="s">
        <v>44334</v>
      </c>
      <c r="B16551" s="17" t="s">
        <v>70</v>
      </c>
      <c r="C16551" s="17" t="s">
        <v>71</v>
      </c>
      <c r="D16551" t="s">
        <v>44335</v>
      </c>
      <c r="F16551" t="s">
        <v>31049</v>
      </c>
      <c r="J16551" s="17" t="s">
        <v>44336</v>
      </c>
      <c r="K16551" s="18">
        <f>905325715060</f>
        <v>905325715060</v>
      </c>
      <c r="N16551" s="17" t="s">
        <v>77</v>
      </c>
      <c r="U16551" s="17"/>
      <c r="V16551" s="18">
        <f>905325715060</f>
        <v>905325715060</v>
      </c>
      <c r="W16551" t="s">
        <v>1453</v>
      </c>
    </row>
    <row r="16552" ht="15" customHeight="1" spans="1:22" x14ac:dyDescent="0.25">
      <c r="A16552" s="17" t="s">
        <v>44337</v>
      </c>
      <c r="B16552" s="17" t="s">
        <v>70</v>
      </c>
      <c r="C16552" s="17" t="s">
        <v>71</v>
      </c>
      <c r="D16552" t="s">
        <v>36676</v>
      </c>
      <c r="F16552" t="s">
        <v>44338</v>
      </c>
      <c r="J16552" s="17" t="s">
        <v>44339</v>
      </c>
      <c r="K16552" s="18">
        <f>79244440095</f>
        <v>79244440095</v>
      </c>
      <c r="N16552" s="17" t="s">
        <v>77</v>
      </c>
      <c r="V16552" s="18">
        <f>79244440095</f>
        <v>79244440095</v>
      </c>
    </row>
    <row r="16553" ht="15" customHeight="1" spans="1:22" x14ac:dyDescent="0.25">
      <c r="A16553" s="17" t="s">
        <v>44340</v>
      </c>
      <c r="B16553" s="17" t="s">
        <v>70</v>
      </c>
      <c r="C16553" s="17" t="s">
        <v>71</v>
      </c>
      <c r="D16553" t="s">
        <v>44341</v>
      </c>
      <c r="F16553" t="s">
        <v>44341</v>
      </c>
      <c r="K16553" s="18">
        <f>628111033590</f>
        <v>628111033590</v>
      </c>
      <c r="N16553" s="17" t="s">
        <v>81</v>
      </c>
      <c r="V16553" s="18">
        <f>628111033590</f>
        <v>628111033590</v>
      </c>
    </row>
    <row r="16554" ht="15" customHeight="1" spans="1:22" x14ac:dyDescent="0.25">
      <c r="A16554" s="17" t="s">
        <v>44342</v>
      </c>
      <c r="B16554" s="17" t="s">
        <v>70</v>
      </c>
      <c r="C16554" s="17" t="s">
        <v>71</v>
      </c>
      <c r="D16554" t="s">
        <v>38294</v>
      </c>
      <c r="F16554" t="s">
        <v>38294</v>
      </c>
      <c r="K16554" s="18">
        <f>6281218111122</f>
        <v>6281218111122</v>
      </c>
      <c r="N16554" s="17" t="s">
        <v>81</v>
      </c>
      <c r="V16554" s="18">
        <f>6281218111122</f>
        <v>6281218111122</v>
      </c>
    </row>
    <row r="16555" ht="15" customHeight="1" spans="1:22" x14ac:dyDescent="0.25">
      <c r="A16555" s="17" t="s">
        <v>44343</v>
      </c>
      <c r="B16555" s="17" t="s">
        <v>70</v>
      </c>
      <c r="C16555" s="17" t="s">
        <v>71</v>
      </c>
      <c r="D16555" t="s">
        <v>44344</v>
      </c>
      <c r="F16555" t="s">
        <v>44344</v>
      </c>
      <c r="K16555" s="18">
        <f>6282110796789</f>
        <v>6282110796789</v>
      </c>
      <c r="N16555" s="17" t="s">
        <v>81</v>
      </c>
      <c r="V16555" s="18">
        <f>6282110796789</f>
        <v>6282110796789</v>
      </c>
    </row>
    <row r="16556" ht="15" customHeight="1" spans="1:22" x14ac:dyDescent="0.25">
      <c r="A16556" s="17" t="s">
        <v>44345</v>
      </c>
      <c r="B16556" s="17" t="s">
        <v>70</v>
      </c>
      <c r="C16556" s="17" t="s">
        <v>71</v>
      </c>
      <c r="D16556" t="s">
        <v>44346</v>
      </c>
      <c r="F16556" t="s">
        <v>44346</v>
      </c>
      <c r="K16556" s="18">
        <f>628138068211</f>
        <v>628138068211</v>
      </c>
      <c r="N16556" s="17" t="s">
        <v>77</v>
      </c>
      <c r="V16556" s="18">
        <f>628138068211</f>
        <v>628138068211</v>
      </c>
    </row>
    <row r="16557" ht="15" customHeight="1" spans="1:23" x14ac:dyDescent="0.25">
      <c r="A16557" s="17" t="s">
        <v>44347</v>
      </c>
      <c r="B16557" s="17" t="s">
        <v>70</v>
      </c>
      <c r="C16557" s="17" t="s">
        <v>71</v>
      </c>
      <c r="D16557" t="s">
        <v>44348</v>
      </c>
      <c r="F16557" t="s">
        <v>13819</v>
      </c>
      <c r="K16557" s="18">
        <f>628119778599</f>
        <v>628119778599</v>
      </c>
      <c r="N16557" s="17" t="s">
        <v>77</v>
      </c>
      <c r="U16557" s="17"/>
      <c r="V16557" s="18">
        <f>628119778599</f>
        <v>628119778599</v>
      </c>
      <c r="W16557" t="s">
        <v>90</v>
      </c>
    </row>
    <row r="16558" ht="15" customHeight="1" spans="1:28" x14ac:dyDescent="0.25">
      <c r="A16558" s="17" t="s">
        <v>44349</v>
      </c>
      <c r="B16558" s="17" t="s">
        <v>70</v>
      </c>
      <c r="C16558" s="17" t="s">
        <v>71</v>
      </c>
      <c r="D16558" t="s">
        <v>27554</v>
      </c>
      <c r="F16558" t="s">
        <v>9159</v>
      </c>
      <c r="J16558" t="s">
        <v>44350</v>
      </c>
      <c r="K16558" s="18" t="s">
        <v>44351</v>
      </c>
      <c r="N16558" s="17" t="s">
        <v>77</v>
      </c>
      <c r="O16558" t="s">
        <v>145</v>
      </c>
      <c r="U16558" s="17"/>
      <c r="V16558" s="18" t="s">
        <v>44351</v>
      </c>
      <c r="W16558" t="s">
        <v>44352</v>
      </c>
      <c r="Y16558" t="s">
        <v>96</v>
      </c>
      <c r="AA16558" t="s">
        <v>693</v>
      </c>
      <c r="AB16558" t="s">
        <v>119</v>
      </c>
    </row>
    <row r="16559" ht="15" customHeight="1" spans="1:28" x14ac:dyDescent="0.25">
      <c r="A16559" s="17" t="s">
        <v>44353</v>
      </c>
      <c r="B16559" s="17" t="s">
        <v>70</v>
      </c>
      <c r="C16559" s="17" t="s">
        <v>71</v>
      </c>
      <c r="D16559" t="s">
        <v>27554</v>
      </c>
      <c r="F16559" t="s">
        <v>27554</v>
      </c>
      <c r="J16559" t="s">
        <v>44354</v>
      </c>
      <c r="K16559" s="18" t="s">
        <v>44355</v>
      </c>
      <c r="N16559" s="17" t="s">
        <v>77</v>
      </c>
      <c r="O16559" t="s">
        <v>145</v>
      </c>
      <c r="U16559" s="17"/>
      <c r="V16559" s="18" t="s">
        <v>44355</v>
      </c>
      <c r="W16559" t="s">
        <v>44356</v>
      </c>
      <c r="Y16559" s="17" t="s">
        <v>190</v>
      </c>
      <c r="AA16559" t="s">
        <v>118</v>
      </c>
      <c r="AB16559" t="s">
        <v>119</v>
      </c>
    </row>
    <row r="16560" ht="15" customHeight="1" spans="1:22" x14ac:dyDescent="0.25">
      <c r="A16560" s="17" t="s">
        <v>44357</v>
      </c>
      <c r="B16560" s="17" t="s">
        <v>70</v>
      </c>
      <c r="C16560" s="17" t="s">
        <v>71</v>
      </c>
      <c r="D16560" t="s">
        <v>44358</v>
      </c>
      <c r="F16560" t="s">
        <v>44358</v>
      </c>
      <c r="K16560" s="18">
        <f>6262811217318</f>
        <v>6262811217318</v>
      </c>
      <c r="N16560" s="17" t="s">
        <v>77</v>
      </c>
      <c r="V16560" s="18">
        <f>6262811217318</f>
        <v>6262811217318</v>
      </c>
    </row>
    <row r="16561" ht="15" customHeight="1" spans="1:25" x14ac:dyDescent="0.25">
      <c r="A16561" s="17" t="s">
        <v>44359</v>
      </c>
      <c r="B16561" s="17" t="s">
        <v>70</v>
      </c>
      <c r="C16561" s="17" t="s">
        <v>71</v>
      </c>
      <c r="D16561" t="s">
        <v>44358</v>
      </c>
      <c r="F16561" t="s">
        <v>44043</v>
      </c>
      <c r="J16561" s="17" t="s">
        <v>44360</v>
      </c>
      <c r="K16561" s="18">
        <f>628111631709</f>
        <v>628111631709</v>
      </c>
      <c r="N16561" s="17" t="s">
        <v>77</v>
      </c>
      <c r="U16561" s="17"/>
      <c r="V16561" s="18">
        <f>628111631709</f>
        <v>628111631709</v>
      </c>
      <c r="W16561" t="s">
        <v>44361</v>
      </c>
      <c r="Y16561" s="17" t="s">
        <v>500</v>
      </c>
    </row>
    <row r="16562" ht="15" customHeight="1" spans="1:28" x14ac:dyDescent="0.25">
      <c r="A16562" s="17" t="s">
        <v>44362</v>
      </c>
      <c r="B16562" s="17" t="s">
        <v>70</v>
      </c>
      <c r="C16562" s="17" t="s">
        <v>71</v>
      </c>
      <c r="D16562" t="s">
        <v>44363</v>
      </c>
      <c r="F16562" t="s">
        <v>2434</v>
      </c>
      <c r="J16562" t="s">
        <v>115</v>
      </c>
      <c r="K16562" s="18" t="s">
        <v>44364</v>
      </c>
      <c r="N16562" s="17" t="s">
        <v>77</v>
      </c>
      <c r="O16562" t="s">
        <v>117</v>
      </c>
      <c r="U16562" s="17"/>
      <c r="V16562" s="18" t="s">
        <v>44364</v>
      </c>
      <c r="W16562" t="s">
        <v>1707</v>
      </c>
      <c r="Y16562" t="s">
        <v>1707</v>
      </c>
      <c r="AA16562" t="s">
        <v>115</v>
      </c>
      <c r="AB16562" t="s">
        <v>119</v>
      </c>
    </row>
    <row r="16563" ht="15" customHeight="1" spans="1:25" x14ac:dyDescent="0.25">
      <c r="A16563" s="17" t="s">
        <v>44365</v>
      </c>
      <c r="B16563" s="17" t="s">
        <v>70</v>
      </c>
      <c r="C16563" s="17" t="s">
        <v>71</v>
      </c>
      <c r="D16563" t="s">
        <v>44366</v>
      </c>
      <c r="F16563" t="s">
        <v>44366</v>
      </c>
      <c r="K16563" s="18">
        <f>6281350417000</f>
        <v>6281350417000</v>
      </c>
      <c r="N16563" s="17" t="s">
        <v>77</v>
      </c>
      <c r="U16563" s="17"/>
      <c r="V16563" s="18">
        <f>6281350417000</f>
        <v>6281350417000</v>
      </c>
      <c r="W16563" t="s">
        <v>44367</v>
      </c>
      <c r="Y16563" s="17" t="s">
        <v>1084</v>
      </c>
    </row>
    <row r="16564" ht="15" customHeight="1" spans="1:22" x14ac:dyDescent="0.25">
      <c r="A16564" s="17" t="s">
        <v>44368</v>
      </c>
      <c r="B16564" s="17" t="s">
        <v>70</v>
      </c>
      <c r="C16564" s="17" t="s">
        <v>71</v>
      </c>
      <c r="D16564" t="s">
        <v>44366</v>
      </c>
      <c r="F16564" t="s">
        <v>1750</v>
      </c>
      <c r="K16564" s="18">
        <f>628114117754</f>
        <v>628114117754</v>
      </c>
      <c r="N16564" s="17" t="s">
        <v>74</v>
      </c>
      <c r="V16564" s="18">
        <f>628114117754</f>
        <v>628114117754</v>
      </c>
    </row>
    <row r="16565" ht="15" customHeight="1" spans="1:22" x14ac:dyDescent="0.25">
      <c r="A16565" s="17" t="s">
        <v>44369</v>
      </c>
      <c r="B16565" s="17" t="s">
        <v>70</v>
      </c>
      <c r="C16565" s="17" t="s">
        <v>71</v>
      </c>
      <c r="D16565" t="s">
        <v>1841</v>
      </c>
      <c r="F16565" t="s">
        <v>1841</v>
      </c>
      <c r="K16565" s="18">
        <f>6281218343775</f>
        <v>6281218343775</v>
      </c>
      <c r="N16565" s="17" t="s">
        <v>81</v>
      </c>
      <c r="V16565" s="18">
        <f>6281218343775</f>
        <v>6281218343775</v>
      </c>
    </row>
    <row r="16566" ht="15" customHeight="1" spans="1:28" x14ac:dyDescent="0.25">
      <c r="A16566" s="17" t="s">
        <v>44370</v>
      </c>
      <c r="B16566" s="17" t="s">
        <v>70</v>
      </c>
      <c r="C16566" s="17" t="s">
        <v>71</v>
      </c>
      <c r="D16566" t="s">
        <v>44371</v>
      </c>
      <c r="F16566" t="s">
        <v>3078</v>
      </c>
      <c r="J16566" t="s">
        <v>115</v>
      </c>
      <c r="K16566" s="18" t="s">
        <v>44372</v>
      </c>
      <c r="N16566" s="17" t="s">
        <v>74</v>
      </c>
      <c r="O16566" t="s">
        <v>199</v>
      </c>
      <c r="V16566" s="18" t="s">
        <v>44372</v>
      </c>
      <c r="Y16566" t="s">
        <v>90</v>
      </c>
      <c r="AA16566" t="s">
        <v>118</v>
      </c>
      <c r="AB16566" t="s">
        <v>119</v>
      </c>
    </row>
    <row r="16567" ht="15" customHeight="1" spans="1:22" x14ac:dyDescent="0.25">
      <c r="A16567" s="17" t="s">
        <v>44373</v>
      </c>
      <c r="B16567" s="17" t="s">
        <v>70</v>
      </c>
      <c r="C16567" s="17" t="s">
        <v>71</v>
      </c>
      <c r="D16567" t="s">
        <v>44374</v>
      </c>
      <c r="F16567" t="s">
        <v>44374</v>
      </c>
      <c r="K16567" s="18">
        <f>62811527172</f>
        <v>62811527172</v>
      </c>
      <c r="N16567" s="17" t="s">
        <v>74</v>
      </c>
      <c r="V16567" s="18">
        <f>62811527172</f>
        <v>62811527172</v>
      </c>
    </row>
    <row r="16568" ht="15" customHeight="1" spans="1:22" x14ac:dyDescent="0.25">
      <c r="A16568" s="17" t="s">
        <v>44375</v>
      </c>
      <c r="B16568" s="17" t="s">
        <v>70</v>
      </c>
      <c r="C16568" s="17" t="s">
        <v>71</v>
      </c>
      <c r="D16568" t="s">
        <v>44374</v>
      </c>
      <c r="F16568" t="s">
        <v>5518</v>
      </c>
      <c r="K16568" s="18">
        <f>628124810800</f>
        <v>628124810800</v>
      </c>
      <c r="N16568" s="17" t="s">
        <v>81</v>
      </c>
      <c r="V16568" s="18">
        <f>628124810800</f>
        <v>628124810800</v>
      </c>
    </row>
    <row r="16569" ht="15" customHeight="1" spans="1:22" x14ac:dyDescent="0.25">
      <c r="A16569" s="17" t="s">
        <v>44376</v>
      </c>
      <c r="B16569" s="17" t="s">
        <v>70</v>
      </c>
      <c r="C16569" s="17" t="s">
        <v>71</v>
      </c>
      <c r="D16569" t="s">
        <v>44377</v>
      </c>
      <c r="F16569" t="s">
        <v>669</v>
      </c>
      <c r="K16569" s="18">
        <f>6282299999912</f>
        <v>6282299999912</v>
      </c>
      <c r="N16569" s="17" t="s">
        <v>81</v>
      </c>
      <c r="V16569" s="18">
        <f>6282299999912</f>
        <v>6282299999912</v>
      </c>
    </row>
    <row r="16570" ht="15" customHeight="1" spans="1:25" x14ac:dyDescent="0.25">
      <c r="A16570" s="17" t="s">
        <v>44378</v>
      </c>
      <c r="B16570" s="17" t="s">
        <v>70</v>
      </c>
      <c r="C16570" s="17" t="s">
        <v>71</v>
      </c>
      <c r="D16570" t="s">
        <v>2563</v>
      </c>
      <c r="F16570" t="s">
        <v>618</v>
      </c>
      <c r="K16570" s="18" t="s">
        <v>44379</v>
      </c>
      <c r="N16570" s="17" t="s">
        <v>77</v>
      </c>
      <c r="U16570" s="17"/>
      <c r="V16570" s="18" t="s">
        <v>44379</v>
      </c>
      <c r="W16570" t="s">
        <v>44380</v>
      </c>
      <c r="Y16570" s="17" t="s">
        <v>96</v>
      </c>
    </row>
    <row r="16571" ht="15" customHeight="1" spans="1:28" x14ac:dyDescent="0.25">
      <c r="A16571" s="17" t="s">
        <v>44381</v>
      </c>
      <c r="B16571" s="17" t="s">
        <v>70</v>
      </c>
      <c r="C16571" s="17" t="s">
        <v>71</v>
      </c>
      <c r="D16571" t="s">
        <v>2563</v>
      </c>
      <c r="F16571" t="s">
        <v>44382</v>
      </c>
      <c r="J16571" t="s">
        <v>44383</v>
      </c>
      <c r="K16571" s="18" t="s">
        <v>44384</v>
      </c>
      <c r="N16571" s="17" t="s">
        <v>77</v>
      </c>
      <c r="O16571" t="s">
        <v>145</v>
      </c>
      <c r="U16571" s="17"/>
      <c r="V16571" s="18" t="s">
        <v>44384</v>
      </c>
      <c r="W16571" t="s">
        <v>44385</v>
      </c>
      <c r="Y16571" s="17" t="s">
        <v>181</v>
      </c>
      <c r="AA16571" t="s">
        <v>1672</v>
      </c>
      <c r="AB16571" t="s">
        <v>119</v>
      </c>
    </row>
    <row r="16572" ht="15" customHeight="1" spans="1:28" x14ac:dyDescent="0.25">
      <c r="A16572" s="17" t="s">
        <v>44386</v>
      </c>
      <c r="B16572" s="17" t="s">
        <v>70</v>
      </c>
      <c r="C16572" s="17" t="s">
        <v>71</v>
      </c>
      <c r="D16572" t="s">
        <v>2563</v>
      </c>
      <c r="F16572" t="s">
        <v>3991</v>
      </c>
      <c r="J16572" t="s">
        <v>115</v>
      </c>
      <c r="K16572" s="18" t="s">
        <v>44387</v>
      </c>
      <c r="N16572" s="17" t="s">
        <v>77</v>
      </c>
      <c r="O16572" t="s">
        <v>117</v>
      </c>
      <c r="V16572" s="18" t="s">
        <v>44387</v>
      </c>
      <c r="Y16572" t="s">
        <v>90</v>
      </c>
      <c r="AA16572" t="s">
        <v>118</v>
      </c>
      <c r="AB16572" t="s">
        <v>119</v>
      </c>
    </row>
    <row r="16573" ht="15" customHeight="1" spans="1:28" x14ac:dyDescent="0.25">
      <c r="A16573" s="17" t="s">
        <v>44388</v>
      </c>
      <c r="B16573" s="17" t="s">
        <v>70</v>
      </c>
      <c r="C16573" s="17" t="s">
        <v>71</v>
      </c>
      <c r="D16573" t="s">
        <v>44389</v>
      </c>
      <c r="F16573" t="s">
        <v>20850</v>
      </c>
      <c r="J16573" s="17" t="s">
        <v>44390</v>
      </c>
      <c r="K16573" s="18" t="s">
        <v>44391</v>
      </c>
      <c r="N16573" s="17" t="s">
        <v>81</v>
      </c>
      <c r="O16573" t="s">
        <v>117</v>
      </c>
      <c r="U16573" s="17"/>
      <c r="V16573" s="18" t="s">
        <v>44391</v>
      </c>
      <c r="W16573" t="s">
        <v>44392</v>
      </c>
      <c r="Y16573" t="s">
        <v>190</v>
      </c>
      <c r="AA16573" t="s">
        <v>118</v>
      </c>
      <c r="AB16573" t="s">
        <v>119</v>
      </c>
    </row>
    <row r="16574" ht="15" customHeight="1" spans="1:28" x14ac:dyDescent="0.25">
      <c r="A16574" s="17" t="s">
        <v>44393</v>
      </c>
      <c r="B16574" s="17" t="s">
        <v>70</v>
      </c>
      <c r="C16574" s="17" t="s">
        <v>71</v>
      </c>
      <c r="D16574" t="s">
        <v>44394</v>
      </c>
      <c r="F16574" t="s">
        <v>44395</v>
      </c>
      <c r="J16574" t="s">
        <v>44396</v>
      </c>
      <c r="K16574" s="18" t="s">
        <v>44397</v>
      </c>
      <c r="N16574" s="17" t="s">
        <v>77</v>
      </c>
      <c r="O16574" t="s">
        <v>199</v>
      </c>
      <c r="U16574" s="17"/>
      <c r="V16574" s="18" t="s">
        <v>44397</v>
      </c>
      <c r="W16574" t="s">
        <v>44398</v>
      </c>
      <c r="Y16574" t="s">
        <v>2500</v>
      </c>
      <c r="AA16574" t="s">
        <v>115</v>
      </c>
      <c r="AB16574" t="s">
        <v>2500</v>
      </c>
    </row>
    <row r="16575" ht="15" customHeight="1" spans="1:23" x14ac:dyDescent="0.25">
      <c r="A16575" s="17" t="s">
        <v>44399</v>
      </c>
      <c r="B16575" s="17" t="s">
        <v>70</v>
      </c>
      <c r="C16575" s="17" t="s">
        <v>71</v>
      </c>
      <c r="D16575" t="s">
        <v>44394</v>
      </c>
      <c r="F16575" t="s">
        <v>44400</v>
      </c>
      <c r="K16575" s="18">
        <f>6281994271053</f>
        <v>6281994271053</v>
      </c>
      <c r="N16575" s="17" t="s">
        <v>81</v>
      </c>
      <c r="U16575" s="17"/>
      <c r="V16575" s="18">
        <f>6281994271053</f>
        <v>6281994271053</v>
      </c>
      <c r="W16575" t="s">
        <v>14868</v>
      </c>
    </row>
    <row r="16576" ht="15" customHeight="1" spans="1:25" x14ac:dyDescent="0.25">
      <c r="A16576" s="17" t="s">
        <v>44401</v>
      </c>
      <c r="B16576" s="17" t="s">
        <v>70</v>
      </c>
      <c r="C16576" s="17" t="s">
        <v>71</v>
      </c>
      <c r="D16576" t="s">
        <v>44402</v>
      </c>
      <c r="F16576" t="s">
        <v>744</v>
      </c>
      <c r="K16576" s="18">
        <f>6282119966605</f>
        <v>6282119966605</v>
      </c>
      <c r="N16576" s="17" t="s">
        <v>77</v>
      </c>
      <c r="U16576" s="17"/>
      <c r="V16576" s="18">
        <f>6282119966605</f>
        <v>6282119966605</v>
      </c>
      <c r="W16576" t="s">
        <v>44403</v>
      </c>
      <c r="Y16576" s="17" t="s">
        <v>96</v>
      </c>
    </row>
    <row r="16577" ht="15" customHeight="1" spans="1:22" x14ac:dyDescent="0.25">
      <c r="A16577" s="17" t="s">
        <v>44404</v>
      </c>
      <c r="B16577" s="17" t="s">
        <v>70</v>
      </c>
      <c r="C16577" s="17" t="s">
        <v>71</v>
      </c>
      <c r="D16577" t="s">
        <v>44405</v>
      </c>
      <c r="F16577" t="s">
        <v>11324</v>
      </c>
      <c r="K16577" s="18">
        <f>628168372440</f>
        <v>628168372440</v>
      </c>
      <c r="N16577" s="17" t="s">
        <v>81</v>
      </c>
      <c r="V16577" s="18">
        <f>628168372440</f>
        <v>628168372440</v>
      </c>
    </row>
    <row r="16578" ht="15" customHeight="1" spans="1:23" x14ac:dyDescent="0.25">
      <c r="A16578" s="17" t="s">
        <v>44406</v>
      </c>
      <c r="B16578" s="17" t="s">
        <v>70</v>
      </c>
      <c r="C16578" s="17" t="s">
        <v>71</v>
      </c>
      <c r="D16578" t="s">
        <v>44407</v>
      </c>
      <c r="F16578" t="s">
        <v>44408</v>
      </c>
      <c r="J16578" s="17" t="s">
        <v>44409</v>
      </c>
      <c r="K16578" s="18">
        <f>1986110128</f>
        <v>1986110128</v>
      </c>
      <c r="N16578" s="17" t="s">
        <v>77</v>
      </c>
      <c r="U16578" s="17"/>
      <c r="V16578" s="18">
        <f>1986110128</f>
        <v>1986110128</v>
      </c>
      <c r="W16578" t="s">
        <v>44410</v>
      </c>
    </row>
    <row r="16579" ht="15" customHeight="1" spans="1:28" x14ac:dyDescent="0.25">
      <c r="A16579" s="17" t="s">
        <v>44411</v>
      </c>
      <c r="B16579" s="17" t="s">
        <v>70</v>
      </c>
      <c r="C16579" s="17" t="s">
        <v>71</v>
      </c>
      <c r="D16579" t="s">
        <v>44407</v>
      </c>
      <c r="F16579" t="s">
        <v>44412</v>
      </c>
      <c r="J16579" t="s">
        <v>115</v>
      </c>
      <c r="K16579" s="18" t="s">
        <v>44413</v>
      </c>
      <c r="N16579" s="17" t="s">
        <v>77</v>
      </c>
      <c r="O16579" t="s">
        <v>199</v>
      </c>
      <c r="V16579" s="18" t="s">
        <v>44413</v>
      </c>
      <c r="Y16579" t="s">
        <v>115</v>
      </c>
      <c r="AA16579" t="s">
        <v>115</v>
      </c>
      <c r="AB16579" t="s">
        <v>119</v>
      </c>
    </row>
    <row r="16580" ht="15" customHeight="1" spans="1:22" x14ac:dyDescent="0.25">
      <c r="A16580" s="17" t="s">
        <v>44414</v>
      </c>
      <c r="B16580" s="17" t="s">
        <v>70</v>
      </c>
      <c r="C16580" s="17" t="s">
        <v>71</v>
      </c>
      <c r="D16580" t="s">
        <v>44415</v>
      </c>
      <c r="F16580" t="s">
        <v>44415</v>
      </c>
      <c r="K16580" s="18">
        <f>628111800098</f>
        <v>628111800098</v>
      </c>
      <c r="N16580" s="17" t="s">
        <v>74</v>
      </c>
      <c r="V16580" s="18">
        <f>628111800098</f>
        <v>628111800098</v>
      </c>
    </row>
    <row r="16581" ht="15" customHeight="1" spans="1:28" x14ac:dyDescent="0.25">
      <c r="A16581" s="17" t="s">
        <v>44416</v>
      </c>
      <c r="B16581" s="17" t="s">
        <v>70</v>
      </c>
      <c r="C16581" s="17" t="s">
        <v>71</v>
      </c>
      <c r="D16581" t="s">
        <v>44417</v>
      </c>
      <c r="F16581" t="s">
        <v>44418</v>
      </c>
      <c r="J16581" s="17" t="s">
        <v>44419</v>
      </c>
      <c r="K16581" s="18" t="s">
        <v>44420</v>
      </c>
      <c r="N16581" s="17" t="s">
        <v>77</v>
      </c>
      <c r="O16581" t="s">
        <v>199</v>
      </c>
      <c r="V16581" s="18" t="s">
        <v>44420</v>
      </c>
      <c r="Y16581" t="s">
        <v>190</v>
      </c>
      <c r="AA16581" t="s">
        <v>118</v>
      </c>
      <c r="AB16581" t="s">
        <v>119</v>
      </c>
    </row>
    <row r="16582" ht="15" customHeight="1" spans="1:28" x14ac:dyDescent="0.25">
      <c r="A16582" s="17" t="s">
        <v>44421</v>
      </c>
      <c r="B16582" s="17" t="s">
        <v>70</v>
      </c>
      <c r="C16582" s="17" t="s">
        <v>71</v>
      </c>
      <c r="D16582" t="s">
        <v>44422</v>
      </c>
      <c r="F16582" t="s">
        <v>38068</v>
      </c>
      <c r="J16582" t="s">
        <v>115</v>
      </c>
      <c r="K16582" s="18" t="s">
        <v>44423</v>
      </c>
      <c r="N16582" s="17" t="s">
        <v>77</v>
      </c>
      <c r="O16582" t="s">
        <v>489</v>
      </c>
      <c r="V16582" s="18" t="s">
        <v>44423</v>
      </c>
      <c r="Y16582" t="s">
        <v>115</v>
      </c>
      <c r="AA16582" t="s">
        <v>115</v>
      </c>
      <c r="AB16582" t="s">
        <v>119</v>
      </c>
    </row>
    <row r="16583" ht="15" customHeight="1" spans="1:22" x14ac:dyDescent="0.25">
      <c r="A16583" s="17" t="s">
        <v>44424</v>
      </c>
      <c r="B16583" s="17" t="s">
        <v>70</v>
      </c>
      <c r="C16583" s="17" t="s">
        <v>71</v>
      </c>
      <c r="D16583" t="s">
        <v>44425</v>
      </c>
      <c r="F16583" t="s">
        <v>44425</v>
      </c>
      <c r="K16583" s="18">
        <f>628119930907</f>
        <v>628119930907</v>
      </c>
      <c r="N16583" s="17" t="s">
        <v>74</v>
      </c>
      <c r="V16583" s="18">
        <f>628119930907</f>
        <v>628119930907</v>
      </c>
    </row>
    <row r="16584" ht="15" customHeight="1" spans="1:22" x14ac:dyDescent="0.25">
      <c r="A16584" s="17" t="s">
        <v>44426</v>
      </c>
      <c r="B16584" s="17" t="s">
        <v>70</v>
      </c>
      <c r="C16584" s="17" t="s">
        <v>71</v>
      </c>
      <c r="D16584" t="s">
        <v>44425</v>
      </c>
      <c r="F16584" t="s">
        <v>44427</v>
      </c>
      <c r="K16584" s="18">
        <f>628118099922</f>
        <v>628118099922</v>
      </c>
      <c r="N16584" s="17" t="s">
        <v>81</v>
      </c>
      <c r="V16584" s="18">
        <f>628118099922</f>
        <v>628118099922</v>
      </c>
    </row>
    <row r="16585" ht="15" customHeight="1" spans="1:25" x14ac:dyDescent="0.25">
      <c r="A16585" s="17" t="s">
        <v>44428</v>
      </c>
      <c r="B16585" s="17" t="s">
        <v>70</v>
      </c>
      <c r="C16585" s="17" t="s">
        <v>71</v>
      </c>
      <c r="D16585" t="s">
        <v>44425</v>
      </c>
      <c r="F16585" t="s">
        <v>755</v>
      </c>
      <c r="K16585" s="18" t="s">
        <v>44429</v>
      </c>
      <c r="N16585" s="17" t="s">
        <v>77</v>
      </c>
      <c r="U16585" s="17"/>
      <c r="V16585" s="18" t="s">
        <v>44429</v>
      </c>
      <c r="W16585" t="s">
        <v>44430</v>
      </c>
      <c r="Y16585" s="17" t="s">
        <v>515</v>
      </c>
    </row>
    <row r="16586" ht="15" customHeight="1" spans="1:28" x14ac:dyDescent="0.25">
      <c r="A16586" s="17" t="s">
        <v>44431</v>
      </c>
      <c r="B16586" s="17" t="s">
        <v>70</v>
      </c>
      <c r="C16586" s="17" t="s">
        <v>71</v>
      </c>
      <c r="D16586" t="s">
        <v>44432</v>
      </c>
      <c r="F16586" t="s">
        <v>18379</v>
      </c>
      <c r="J16586" s="17" t="s">
        <v>44433</v>
      </c>
      <c r="K16586" s="18" t="s">
        <v>44434</v>
      </c>
      <c r="N16586" s="17" t="s">
        <v>77</v>
      </c>
      <c r="O16586" t="s">
        <v>145</v>
      </c>
      <c r="V16586" s="18" t="s">
        <v>44434</v>
      </c>
      <c r="Y16586" t="s">
        <v>190</v>
      </c>
      <c r="AA16586" t="s">
        <v>118</v>
      </c>
      <c r="AB16586" t="s">
        <v>119</v>
      </c>
    </row>
    <row r="16587" ht="15" customHeight="1" spans="1:22" x14ac:dyDescent="0.25">
      <c r="A16587" s="17" t="s">
        <v>44435</v>
      </c>
      <c r="B16587" s="17" t="s">
        <v>70</v>
      </c>
      <c r="C16587" s="17" t="s">
        <v>71</v>
      </c>
      <c r="D16587" t="s">
        <v>44436</v>
      </c>
      <c r="F16587" t="s">
        <v>44436</v>
      </c>
      <c r="K16587" s="18">
        <f>628111011808</f>
        <v>628111011808</v>
      </c>
      <c r="N16587" s="17" t="s">
        <v>81</v>
      </c>
      <c r="V16587" s="18">
        <f>628111011808</f>
        <v>628111011808</v>
      </c>
    </row>
    <row r="16588" ht="15" customHeight="1" spans="1:22" x14ac:dyDescent="0.25">
      <c r="A16588" s="17" t="s">
        <v>44437</v>
      </c>
      <c r="B16588" s="17" t="s">
        <v>70</v>
      </c>
      <c r="C16588" s="17" t="s">
        <v>71</v>
      </c>
      <c r="D16588" t="s">
        <v>44436</v>
      </c>
      <c r="F16588" t="s">
        <v>44438</v>
      </c>
      <c r="K16588" s="18">
        <f>62811511500</f>
        <v>62811511500</v>
      </c>
      <c r="N16588" s="17" t="s">
        <v>81</v>
      </c>
      <c r="V16588" s="18">
        <f>62811511500</f>
        <v>62811511500</v>
      </c>
    </row>
    <row r="16589" ht="15" customHeight="1" spans="1:28" x14ac:dyDescent="0.25">
      <c r="A16589" s="17" t="s">
        <v>44439</v>
      </c>
      <c r="B16589" s="17" t="s">
        <v>70</v>
      </c>
      <c r="C16589" s="17" t="s">
        <v>71</v>
      </c>
      <c r="D16589" t="s">
        <v>44440</v>
      </c>
      <c r="F16589" t="s">
        <v>44441</v>
      </c>
      <c r="J16589" s="17" t="s">
        <v>44442</v>
      </c>
      <c r="K16589" s="18" t="s">
        <v>44443</v>
      </c>
      <c r="N16589" s="17" t="s">
        <v>77</v>
      </c>
      <c r="O16589" t="s">
        <v>145</v>
      </c>
      <c r="V16589" s="18" t="s">
        <v>44443</v>
      </c>
      <c r="Y16589" t="s">
        <v>90</v>
      </c>
      <c r="AA16589" t="s">
        <v>118</v>
      </c>
      <c r="AB16589" t="s">
        <v>119</v>
      </c>
    </row>
    <row r="16590" ht="15" customHeight="1" spans="1:22" x14ac:dyDescent="0.25">
      <c r="A16590" s="17" t="s">
        <v>44444</v>
      </c>
      <c r="B16590" s="17" t="s">
        <v>70</v>
      </c>
      <c r="C16590" s="17" t="s">
        <v>71</v>
      </c>
      <c r="D16590" t="s">
        <v>44445</v>
      </c>
      <c r="F16590" t="s">
        <v>31760</v>
      </c>
      <c r="K16590" s="18">
        <f>622131931931</f>
        <v>622131931931</v>
      </c>
      <c r="N16590" s="17" t="s">
        <v>77</v>
      </c>
      <c r="V16590" s="18">
        <f>622131931931</f>
        <v>622131931931</v>
      </c>
    </row>
    <row r="16591" ht="15" customHeight="1" spans="1:22" x14ac:dyDescent="0.25">
      <c r="A16591" s="17" t="s">
        <v>44446</v>
      </c>
      <c r="B16591" s="17" t="s">
        <v>70</v>
      </c>
      <c r="C16591" s="17" t="s">
        <v>71</v>
      </c>
      <c r="D16591" t="s">
        <v>4246</v>
      </c>
      <c r="F16591" t="s">
        <v>4378</v>
      </c>
      <c r="K16591" s="18">
        <v>2270689886</v>
      </c>
      <c r="N16591" s="17" t="s">
        <v>77</v>
      </c>
      <c r="V16591" s="18">
        <v>2270689886</v>
      </c>
    </row>
    <row r="16592" ht="15" customHeight="1" spans="1:22" x14ac:dyDescent="0.25">
      <c r="A16592" s="17" t="s">
        <v>44447</v>
      </c>
      <c r="B16592" s="17" t="s">
        <v>70</v>
      </c>
      <c r="C16592" s="17" t="s">
        <v>71</v>
      </c>
      <c r="D16592" t="s">
        <v>44448</v>
      </c>
      <c r="F16592" t="s">
        <v>44448</v>
      </c>
      <c r="K16592" s="18">
        <f>6281387682745</f>
        <v>6281387682745</v>
      </c>
      <c r="N16592" s="17" t="s">
        <v>77</v>
      </c>
      <c r="V16592" s="18">
        <f>6281387682745</f>
        <v>6281387682745</v>
      </c>
    </row>
    <row r="16593" ht="15" customHeight="1" spans="1:25" x14ac:dyDescent="0.25">
      <c r="A16593" s="17" t="s">
        <v>44449</v>
      </c>
      <c r="B16593" s="17" t="s">
        <v>70</v>
      </c>
      <c r="C16593" s="17" t="s">
        <v>71</v>
      </c>
      <c r="D16593" t="s">
        <v>44450</v>
      </c>
      <c r="F16593" t="s">
        <v>44451</v>
      </c>
      <c r="K16593" s="18">
        <f>6281211913868</f>
        <v>6281211913868</v>
      </c>
      <c r="N16593" s="17" t="s">
        <v>81</v>
      </c>
      <c r="U16593" s="17"/>
      <c r="V16593" s="18">
        <f>6281211913868</f>
        <v>6281211913868</v>
      </c>
      <c r="W16593" t="s">
        <v>44452</v>
      </c>
      <c r="Y16593" s="17" t="s">
        <v>90</v>
      </c>
    </row>
    <row r="16594" ht="15" customHeight="1" spans="1:25" x14ac:dyDescent="0.25">
      <c r="A16594" s="17" t="s">
        <v>44453</v>
      </c>
      <c r="B16594" s="17" t="s">
        <v>70</v>
      </c>
      <c r="C16594" s="17" t="s">
        <v>71</v>
      </c>
      <c r="D16594" t="s">
        <v>44454</v>
      </c>
      <c r="F16594" t="s">
        <v>44455</v>
      </c>
      <c r="K16594" s="18">
        <f>628128466222</f>
        <v>628128466222</v>
      </c>
      <c r="N16594" s="17" t="s">
        <v>77</v>
      </c>
      <c r="U16594" s="17"/>
      <c r="V16594" s="18">
        <f>628128466222</f>
        <v>628128466222</v>
      </c>
      <c r="W16594" t="s">
        <v>44456</v>
      </c>
      <c r="Y16594" s="17" t="s">
        <v>384</v>
      </c>
    </row>
    <row r="16595" ht="15" customHeight="1" spans="1:22" x14ac:dyDescent="0.25">
      <c r="A16595" s="17" t="s">
        <v>44457</v>
      </c>
      <c r="B16595" s="17" t="s">
        <v>70</v>
      </c>
      <c r="C16595" s="17" t="s">
        <v>71</v>
      </c>
      <c r="D16595" t="s">
        <v>39442</v>
      </c>
      <c r="F16595" t="s">
        <v>44458</v>
      </c>
      <c r="K16595" s="18">
        <f>6281285206139</f>
        <v>6281285206139</v>
      </c>
      <c r="N16595" s="17" t="s">
        <v>81</v>
      </c>
      <c r="V16595" s="18">
        <f>6281285206139</f>
        <v>6281285206139</v>
      </c>
    </row>
    <row r="16596" ht="15" customHeight="1" spans="1:28" x14ac:dyDescent="0.25">
      <c r="A16596" s="17" t="s">
        <v>44459</v>
      </c>
      <c r="B16596" s="17" t="s">
        <v>70</v>
      </c>
      <c r="C16596" s="17" t="s">
        <v>71</v>
      </c>
      <c r="D16596" t="s">
        <v>44460</v>
      </c>
      <c r="F16596" t="s">
        <v>3623</v>
      </c>
      <c r="J16596" t="s">
        <v>115</v>
      </c>
      <c r="K16596" s="18" t="s">
        <v>44461</v>
      </c>
      <c r="N16596" s="17" t="s">
        <v>77</v>
      </c>
      <c r="O16596" t="s">
        <v>145</v>
      </c>
      <c r="U16596" s="17"/>
      <c r="V16596" s="18" t="s">
        <v>44461</v>
      </c>
      <c r="W16596" t="s">
        <v>1908</v>
      </c>
      <c r="Y16596" t="s">
        <v>1909</v>
      </c>
      <c r="AA16596" t="s">
        <v>115</v>
      </c>
      <c r="AB16596" t="s">
        <v>1909</v>
      </c>
    </row>
    <row r="16597" ht="15" customHeight="1" spans="1:23" x14ac:dyDescent="0.25">
      <c r="A16597" s="17" t="s">
        <v>44462</v>
      </c>
      <c r="B16597" s="17" t="s">
        <v>70</v>
      </c>
      <c r="C16597" s="17" t="s">
        <v>71</v>
      </c>
      <c r="D16597" t="s">
        <v>44463</v>
      </c>
      <c r="F16597" t="s">
        <v>6373</v>
      </c>
      <c r="J16597" s="17" t="s">
        <v>44464</v>
      </c>
      <c r="K16597" s="18">
        <f>79194208122</f>
        <v>79194208122</v>
      </c>
      <c r="N16597" s="17" t="s">
        <v>77</v>
      </c>
      <c r="U16597" s="17"/>
      <c r="V16597" s="18">
        <f>79194208122</f>
        <v>79194208122</v>
      </c>
      <c r="W16597" t="s">
        <v>1909</v>
      </c>
    </row>
    <row r="16598" ht="15" customHeight="1" spans="1:22" x14ac:dyDescent="0.25">
      <c r="A16598" s="17" t="s">
        <v>44465</v>
      </c>
      <c r="B16598" s="17" t="s">
        <v>70</v>
      </c>
      <c r="C16598" s="17" t="s">
        <v>71</v>
      </c>
      <c r="D16598" t="s">
        <v>36632</v>
      </c>
      <c r="F16598" t="s">
        <v>2087</v>
      </c>
      <c r="K16598" s="18">
        <f>6282221001118</f>
        <v>6282221001118</v>
      </c>
      <c r="N16598" s="17" t="s">
        <v>81</v>
      </c>
      <c r="V16598" s="18">
        <f>6282221001118</f>
        <v>6282221001118</v>
      </c>
    </row>
    <row r="16599" ht="15" customHeight="1" spans="1:27" x14ac:dyDescent="0.25">
      <c r="A16599" s="17" t="s">
        <v>44466</v>
      </c>
      <c r="B16599" s="17" t="s">
        <v>70</v>
      </c>
      <c r="C16599" s="17" t="s">
        <v>71</v>
      </c>
      <c r="D16599" t="s">
        <v>36632</v>
      </c>
      <c r="F16599" t="s">
        <v>44467</v>
      </c>
      <c r="K16599" s="18">
        <f>62217352500</f>
        <v>62217352500</v>
      </c>
      <c r="N16599" s="17" t="s">
        <v>77</v>
      </c>
      <c r="U16599" s="17"/>
      <c r="V16599" s="18">
        <f>62217352500</f>
        <v>62217352500</v>
      </c>
      <c r="W16599" t="s">
        <v>44468</v>
      </c>
      <c r="Y16599" s="17" t="s">
        <v>96</v>
      </c>
      <c r="AA16599" s="17">
        <v>12330</v>
      </c>
    </row>
    <row r="16600" ht="15" customHeight="1" spans="1:25" x14ac:dyDescent="0.25">
      <c r="A16600" s="17" t="s">
        <v>44469</v>
      </c>
      <c r="B16600" s="17" t="s">
        <v>70</v>
      </c>
      <c r="C16600" s="17" t="s">
        <v>71</v>
      </c>
      <c r="D16600" t="s">
        <v>36632</v>
      </c>
      <c r="F16600" t="s">
        <v>44470</v>
      </c>
      <c r="J16600" s="17" t="s">
        <v>44471</v>
      </c>
      <c r="K16600" s="18">
        <f>6281290888777</f>
        <v>6281290888777</v>
      </c>
      <c r="N16600" s="17" t="s">
        <v>77</v>
      </c>
      <c r="U16600" s="17"/>
      <c r="V16600" s="18">
        <f>6281290888777</f>
        <v>6281290888777</v>
      </c>
      <c r="W16600" t="s">
        <v>44472</v>
      </c>
      <c r="Y16600" s="17" t="s">
        <v>515</v>
      </c>
    </row>
    <row r="16601" ht="15" customHeight="1" spans="1:28" x14ac:dyDescent="0.25">
      <c r="A16601" s="17" t="s">
        <v>44473</v>
      </c>
      <c r="B16601" s="17" t="s">
        <v>70</v>
      </c>
      <c r="C16601" s="17" t="s">
        <v>71</v>
      </c>
      <c r="D16601" t="s">
        <v>32526</v>
      </c>
      <c r="F16601" t="s">
        <v>44474</v>
      </c>
      <c r="J16601" t="s">
        <v>115</v>
      </c>
      <c r="K16601" s="18" t="s">
        <v>44475</v>
      </c>
      <c r="N16601" s="17" t="s">
        <v>77</v>
      </c>
      <c r="O16601" t="s">
        <v>489</v>
      </c>
      <c r="V16601" s="18" t="s">
        <v>44475</v>
      </c>
      <c r="Y16601" t="s">
        <v>90</v>
      </c>
      <c r="AA16601" t="s">
        <v>118</v>
      </c>
      <c r="AB16601" t="s">
        <v>119</v>
      </c>
    </row>
    <row r="16602" ht="15" customHeight="1" spans="1:25" x14ac:dyDescent="0.25">
      <c r="A16602" s="17" t="s">
        <v>44476</v>
      </c>
      <c r="B16602" s="17" t="s">
        <v>70</v>
      </c>
      <c r="C16602" s="17" t="s">
        <v>71</v>
      </c>
      <c r="D16602" t="s">
        <v>32526</v>
      </c>
      <c r="F16602" t="s">
        <v>8203</v>
      </c>
      <c r="K16602" s="18">
        <f>62217892909</f>
        <v>62217892909</v>
      </c>
      <c r="N16602" s="17" t="s">
        <v>77</v>
      </c>
      <c r="U16602" s="17"/>
      <c r="V16602" s="18">
        <f>62217892909</f>
        <v>62217892909</v>
      </c>
      <c r="W16602" t="s">
        <v>44477</v>
      </c>
      <c r="Y16602" s="17" t="s">
        <v>90</v>
      </c>
    </row>
    <row r="16603" ht="15" customHeight="1" spans="1:23" x14ac:dyDescent="0.25">
      <c r="A16603" s="17" t="s">
        <v>44478</v>
      </c>
      <c r="B16603" s="17" t="s">
        <v>70</v>
      </c>
      <c r="C16603" s="17" t="s">
        <v>71</v>
      </c>
      <c r="D16603" t="s">
        <v>32526</v>
      </c>
      <c r="F16603" t="s">
        <v>11557</v>
      </c>
      <c r="K16603" s="18">
        <f>6281318881917</f>
        <v>6281318881917</v>
      </c>
      <c r="N16603" s="17" t="s">
        <v>77</v>
      </c>
      <c r="U16603" s="17"/>
      <c r="V16603" s="18">
        <f>6281318881917</f>
        <v>6281318881917</v>
      </c>
      <c r="W16603" t="s">
        <v>44479</v>
      </c>
    </row>
    <row r="16604" ht="15" customHeight="1" spans="1:22" x14ac:dyDescent="0.25">
      <c r="A16604" s="17" t="s">
        <v>44480</v>
      </c>
      <c r="B16604" s="17" t="s">
        <v>70</v>
      </c>
      <c r="C16604" s="17" t="s">
        <v>71</v>
      </c>
      <c r="D16604" t="s">
        <v>44481</v>
      </c>
      <c r="F16604" t="s">
        <v>12495</v>
      </c>
      <c r="K16604" s="18">
        <f>62811893216</f>
        <v>62811893216</v>
      </c>
      <c r="N16604" s="17" t="s">
        <v>77</v>
      </c>
      <c r="V16604" s="18">
        <f>62811893216</f>
        <v>62811893216</v>
      </c>
    </row>
    <row r="16605" ht="15" customHeight="1" spans="1:27" x14ac:dyDescent="0.25">
      <c r="A16605" s="17" t="s">
        <v>44482</v>
      </c>
      <c r="B16605" s="17" t="s">
        <v>70</v>
      </c>
      <c r="C16605" s="17" t="s">
        <v>71</v>
      </c>
      <c r="D16605" t="s">
        <v>44483</v>
      </c>
      <c r="F16605" t="s">
        <v>44483</v>
      </c>
      <c r="K16605" s="18">
        <f>62811725540</f>
        <v>62811725540</v>
      </c>
      <c r="N16605" s="17" t="s">
        <v>77</v>
      </c>
      <c r="U16605" s="17"/>
      <c r="V16605" s="18">
        <f>62811725540</f>
        <v>62811725540</v>
      </c>
      <c r="W16605" t="s">
        <v>44484</v>
      </c>
      <c r="AA16605" s="17">
        <v>35141</v>
      </c>
    </row>
    <row r="16606" ht="15" customHeight="1" spans="1:22" x14ac:dyDescent="0.25">
      <c r="A16606" s="17" t="s">
        <v>44485</v>
      </c>
      <c r="B16606" s="17" t="s">
        <v>70</v>
      </c>
      <c r="C16606" s="17" t="s">
        <v>71</v>
      </c>
      <c r="D16606" t="s">
        <v>9868</v>
      </c>
      <c r="F16606" t="s">
        <v>307</v>
      </c>
      <c r="K16606" s="18">
        <f>62811401699</f>
        <v>62811401699</v>
      </c>
      <c r="N16606" s="17" t="s">
        <v>77</v>
      </c>
      <c r="V16606" s="18">
        <f>62811401699</f>
        <v>62811401699</v>
      </c>
    </row>
    <row r="16607" ht="15" customHeight="1" spans="1:22" x14ac:dyDescent="0.25">
      <c r="A16607" s="17" t="s">
        <v>44486</v>
      </c>
      <c r="B16607" s="17" t="s">
        <v>70</v>
      </c>
      <c r="C16607" s="17" t="s">
        <v>71</v>
      </c>
      <c r="D16607" t="s">
        <v>9868</v>
      </c>
      <c r="F16607" t="s">
        <v>11058</v>
      </c>
      <c r="K16607" s="18">
        <f>62816830407</f>
        <v>62816830407</v>
      </c>
      <c r="N16607" s="17" t="s">
        <v>77</v>
      </c>
      <c r="V16607" s="18">
        <f>62816830407</f>
        <v>62816830407</v>
      </c>
    </row>
    <row r="16608" ht="15" customHeight="1" spans="1:28" x14ac:dyDescent="0.25">
      <c r="A16608" s="17" t="s">
        <v>44487</v>
      </c>
      <c r="B16608" s="17" t="s">
        <v>70</v>
      </c>
      <c r="C16608" s="17" t="s">
        <v>71</v>
      </c>
      <c r="D16608" t="s">
        <v>44488</v>
      </c>
      <c r="F16608" t="s">
        <v>11058</v>
      </c>
      <c r="J16608" t="s">
        <v>115</v>
      </c>
      <c r="K16608" s="18" t="s">
        <v>44489</v>
      </c>
      <c r="N16608" s="17" t="s">
        <v>77</v>
      </c>
      <c r="O16608" t="s">
        <v>117</v>
      </c>
      <c r="V16608" s="18" t="s">
        <v>44489</v>
      </c>
      <c r="Y16608" t="s">
        <v>190</v>
      </c>
      <c r="AA16608" t="s">
        <v>118</v>
      </c>
      <c r="AB16608" t="s">
        <v>119</v>
      </c>
    </row>
    <row r="16609" ht="15" customHeight="1" spans="1:25" x14ac:dyDescent="0.25">
      <c r="A16609" s="17" t="s">
        <v>44490</v>
      </c>
      <c r="B16609" s="17" t="s">
        <v>70</v>
      </c>
      <c r="C16609" s="17" t="s">
        <v>71</v>
      </c>
      <c r="D16609" t="s">
        <v>9868</v>
      </c>
      <c r="F16609" t="s">
        <v>13011</v>
      </c>
      <c r="K16609" s="18">
        <f>62811513783</f>
        <v>62811513783</v>
      </c>
      <c r="N16609" s="17" t="s">
        <v>77</v>
      </c>
      <c r="U16609" s="17"/>
      <c r="V16609" s="18">
        <f>62811513783</f>
        <v>62811513783</v>
      </c>
      <c r="W16609" t="s">
        <v>44491</v>
      </c>
      <c r="Y16609" s="17" t="s">
        <v>4959</v>
      </c>
    </row>
    <row r="16610" ht="15" customHeight="1" spans="1:22" x14ac:dyDescent="0.25">
      <c r="A16610" s="17" t="s">
        <v>44492</v>
      </c>
      <c r="B16610" s="17" t="s">
        <v>70</v>
      </c>
      <c r="C16610" s="17" t="s">
        <v>71</v>
      </c>
      <c r="D16610" t="s">
        <v>44493</v>
      </c>
      <c r="F16610" t="s">
        <v>44494</v>
      </c>
      <c r="K16610" s="18">
        <f>628151815520</f>
        <v>628151815520</v>
      </c>
      <c r="N16610" s="17" t="s">
        <v>77</v>
      </c>
      <c r="V16610" s="18">
        <f>628151815520</f>
        <v>628151815520</v>
      </c>
    </row>
    <row r="16611" ht="15" customHeight="1" spans="1:22" x14ac:dyDescent="0.25">
      <c r="A16611" s="17" t="s">
        <v>44495</v>
      </c>
      <c r="B16611" s="17" t="s">
        <v>70</v>
      </c>
      <c r="C16611" s="17" t="s">
        <v>71</v>
      </c>
      <c r="D16611" t="s">
        <v>44496</v>
      </c>
      <c r="F16611" t="s">
        <v>5639</v>
      </c>
      <c r="J16611" s="17" t="s">
        <v>44497</v>
      </c>
      <c r="K16611" s="18">
        <f>19545462250</f>
        <v>19545462250</v>
      </c>
      <c r="N16611" s="17" t="s">
        <v>81</v>
      </c>
      <c r="V16611" s="18">
        <f>19545462250</f>
        <v>19545462250</v>
      </c>
    </row>
    <row r="16612" ht="15" customHeight="1" spans="1:22" x14ac:dyDescent="0.25">
      <c r="A16612" s="17" t="s">
        <v>44498</v>
      </c>
      <c r="B16612" s="17" t="s">
        <v>70</v>
      </c>
      <c r="C16612" s="17" t="s">
        <v>71</v>
      </c>
      <c r="D16612" t="s">
        <v>44499</v>
      </c>
      <c r="F16612" t="s">
        <v>9486</v>
      </c>
      <c r="K16612" s="18">
        <f>628551103433</f>
        <v>628551103433</v>
      </c>
      <c r="N16612" s="17" t="s">
        <v>77</v>
      </c>
      <c r="V16612" s="18">
        <f>628551103433</f>
        <v>628551103433</v>
      </c>
    </row>
    <row r="16613" ht="15" customHeight="1" spans="1:22" x14ac:dyDescent="0.25">
      <c r="A16613" s="17" t="s">
        <v>44500</v>
      </c>
      <c r="B16613" s="17" t="s">
        <v>70</v>
      </c>
      <c r="C16613" s="17" t="s">
        <v>71</v>
      </c>
      <c r="D16613" t="s">
        <v>44501</v>
      </c>
      <c r="F16613" t="s">
        <v>44502</v>
      </c>
      <c r="K16613" s="18">
        <f>6281995302686</f>
        <v>6281995302686</v>
      </c>
      <c r="N16613" s="17" t="s">
        <v>77</v>
      </c>
      <c r="V16613" s="18">
        <f>6281995302686</f>
        <v>6281995302686</v>
      </c>
    </row>
    <row r="16614" ht="15" customHeight="1" spans="1:22" x14ac:dyDescent="0.25">
      <c r="A16614" s="17" t="s">
        <v>44503</v>
      </c>
      <c r="B16614" s="17" t="s">
        <v>70</v>
      </c>
      <c r="C16614" s="17" t="s">
        <v>71</v>
      </c>
      <c r="D16614" t="s">
        <v>4350</v>
      </c>
      <c r="F16614" t="s">
        <v>4350</v>
      </c>
      <c r="K16614" s="18">
        <f>6281314200198</f>
        <v>6281314200198</v>
      </c>
      <c r="N16614" s="17" t="s">
        <v>77</v>
      </c>
      <c r="V16614" s="18">
        <f>6281314200198</f>
        <v>6281314200198</v>
      </c>
    </row>
    <row r="16615" ht="15" customHeight="1" spans="1:22" x14ac:dyDescent="0.25">
      <c r="A16615" s="17" t="s">
        <v>44504</v>
      </c>
      <c r="B16615" s="17" t="s">
        <v>70</v>
      </c>
      <c r="C16615" s="17" t="s">
        <v>71</v>
      </c>
      <c r="D16615" t="s">
        <v>2426</v>
      </c>
      <c r="F16615" t="s">
        <v>2426</v>
      </c>
      <c r="K16615" s="18">
        <f>6281310849992</f>
        <v>6281310849992</v>
      </c>
      <c r="N16615" s="17" t="s">
        <v>77</v>
      </c>
      <c r="V16615" s="18">
        <f>6281310849992</f>
        <v>6281310849992</v>
      </c>
    </row>
    <row r="16616" ht="15" customHeight="1" spans="1:28" x14ac:dyDescent="0.25">
      <c r="A16616" s="17" t="s">
        <v>44505</v>
      </c>
      <c r="B16616" s="17" t="s">
        <v>70</v>
      </c>
      <c r="C16616" s="17" t="s">
        <v>71</v>
      </c>
      <c r="D16616" t="s">
        <v>44506</v>
      </c>
      <c r="F16616" t="s">
        <v>10412</v>
      </c>
      <c r="J16616" t="s">
        <v>115</v>
      </c>
      <c r="K16616" s="18" t="s">
        <v>44507</v>
      </c>
      <c r="N16616" s="17" t="s">
        <v>74</v>
      </c>
      <c r="O16616" t="s">
        <v>145</v>
      </c>
      <c r="V16616" s="18" t="s">
        <v>44507</v>
      </c>
      <c r="Y16616" t="s">
        <v>190</v>
      </c>
      <c r="AA16616" t="s">
        <v>118</v>
      </c>
      <c r="AB16616" t="s">
        <v>119</v>
      </c>
    </row>
    <row r="16617" ht="15" customHeight="1" spans="1:22" x14ac:dyDescent="0.25">
      <c r="A16617" s="17" t="s">
        <v>44508</v>
      </c>
      <c r="B16617" s="17" t="s">
        <v>70</v>
      </c>
      <c r="C16617" s="17" t="s">
        <v>71</v>
      </c>
      <c r="D16617" t="s">
        <v>44509</v>
      </c>
      <c r="F16617" t="s">
        <v>44509</v>
      </c>
      <c r="K16617" s="18">
        <f>62822136221300</f>
        <v>62822136221300</v>
      </c>
      <c r="N16617" s="17" t="s">
        <v>81</v>
      </c>
      <c r="V16617" s="18">
        <f>62822136221300</f>
        <v>62822136221300</v>
      </c>
    </row>
    <row r="16618" ht="15" customHeight="1" spans="1:23" x14ac:dyDescent="0.25">
      <c r="A16618" s="17" t="s">
        <v>44510</v>
      </c>
      <c r="B16618" s="17" t="s">
        <v>70</v>
      </c>
      <c r="C16618" s="17" t="s">
        <v>71</v>
      </c>
      <c r="D16618" t="s">
        <v>44511</v>
      </c>
      <c r="F16618" t="s">
        <v>44511</v>
      </c>
      <c r="K16618" s="18">
        <f>628126619182</f>
        <v>628126619182</v>
      </c>
      <c r="N16618" s="17" t="s">
        <v>77</v>
      </c>
      <c r="U16618" s="17"/>
      <c r="V16618" s="18">
        <f>628126619182</f>
        <v>628126619182</v>
      </c>
      <c r="W16618" t="s">
        <v>44512</v>
      </c>
    </row>
    <row r="16619" ht="15" customHeight="1" spans="1:22" x14ac:dyDescent="0.25">
      <c r="A16619" s="17" t="s">
        <v>44513</v>
      </c>
      <c r="B16619" s="17" t="s">
        <v>70</v>
      </c>
      <c r="C16619" s="17" t="s">
        <v>71</v>
      </c>
      <c r="D16619" t="s">
        <v>24414</v>
      </c>
      <c r="F16619" t="s">
        <v>7124</v>
      </c>
      <c r="K16619" s="18">
        <f>62817070888</f>
        <v>62817070888</v>
      </c>
      <c r="N16619" s="17" t="s">
        <v>77</v>
      </c>
      <c r="V16619" s="18">
        <f>62817070888</f>
        <v>62817070888</v>
      </c>
    </row>
    <row r="16620" ht="15" customHeight="1" spans="1:25" x14ac:dyDescent="0.25">
      <c r="A16620" s="17" t="s">
        <v>44514</v>
      </c>
      <c r="B16620" s="17" t="s">
        <v>70</v>
      </c>
      <c r="C16620" s="17" t="s">
        <v>71</v>
      </c>
      <c r="D16620" t="s">
        <v>44515</v>
      </c>
      <c r="F16620" t="s">
        <v>44516</v>
      </c>
      <c r="J16620" s="17" t="s">
        <v>44517</v>
      </c>
      <c r="K16620" s="18">
        <f>5547999225095</f>
        <v>5547999225095</v>
      </c>
      <c r="N16620" s="17" t="s">
        <v>77</v>
      </c>
      <c r="V16620" s="18">
        <f>5547999225095</f>
        <v>5547999225095</v>
      </c>
      <c r="Y16620" s="17" t="s">
        <v>1046</v>
      </c>
    </row>
    <row r="16621" ht="15" customHeight="1" spans="1:27" x14ac:dyDescent="0.25">
      <c r="A16621" s="17" t="s">
        <v>44518</v>
      </c>
      <c r="B16621" s="17" t="s">
        <v>70</v>
      </c>
      <c r="C16621" s="17" t="s">
        <v>71</v>
      </c>
      <c r="D16621" t="s">
        <v>44519</v>
      </c>
      <c r="F16621" t="s">
        <v>44520</v>
      </c>
      <c r="K16621" s="18">
        <v>79199424</v>
      </c>
      <c r="N16621" s="17" t="s">
        <v>77</v>
      </c>
      <c r="U16621" s="17"/>
      <c r="V16621" s="18">
        <v>79199424</v>
      </c>
      <c r="W16621" t="s">
        <v>44521</v>
      </c>
      <c r="Y16621" s="17" t="s">
        <v>96</v>
      </c>
      <c r="AA16621" s="17" t="s">
        <v>44522</v>
      </c>
    </row>
    <row r="16622" ht="15" customHeight="1" spans="1:25" x14ac:dyDescent="0.25">
      <c r="A16622" s="17" t="s">
        <v>44523</v>
      </c>
      <c r="B16622" s="17" t="s">
        <v>70</v>
      </c>
      <c r="C16622" s="17" t="s">
        <v>71</v>
      </c>
      <c r="D16622" t="s">
        <v>44524</v>
      </c>
      <c r="F16622" t="s">
        <v>44525</v>
      </c>
      <c r="K16622" s="18" t="s">
        <v>44526</v>
      </c>
      <c r="N16622" s="17" t="s">
        <v>74</v>
      </c>
      <c r="U16622" s="17"/>
      <c r="V16622" s="18" t="s">
        <v>44526</v>
      </c>
      <c r="W16622" t="s">
        <v>44527</v>
      </c>
      <c r="Y16622" s="17" t="s">
        <v>96</v>
      </c>
    </row>
    <row r="16623" ht="15" customHeight="1" spans="1:22" x14ac:dyDescent="0.25">
      <c r="A16623" s="17" t="s">
        <v>44528</v>
      </c>
      <c r="B16623" s="17" t="s">
        <v>70</v>
      </c>
      <c r="C16623" s="17" t="s">
        <v>71</v>
      </c>
      <c r="D16623" t="s">
        <v>25907</v>
      </c>
      <c r="F16623" t="s">
        <v>25907</v>
      </c>
      <c r="K16623" s="18">
        <f>628111247222</f>
        <v>628111247222</v>
      </c>
      <c r="N16623" s="17" t="s">
        <v>77</v>
      </c>
      <c r="V16623" s="18">
        <f>628111247222</f>
        <v>628111247222</v>
      </c>
    </row>
    <row r="16624" ht="15" customHeight="1" spans="1:23" x14ac:dyDescent="0.25">
      <c r="A16624" s="17" t="s">
        <v>44529</v>
      </c>
      <c r="B16624" s="17" t="s">
        <v>70</v>
      </c>
      <c r="C16624" s="17" t="s">
        <v>71</v>
      </c>
      <c r="D16624" t="s">
        <v>25907</v>
      </c>
      <c r="F16624" t="s">
        <v>44530</v>
      </c>
      <c r="K16624" s="18">
        <f>79298766636</f>
        <v>79298766636</v>
      </c>
      <c r="N16624" s="17" t="s">
        <v>81</v>
      </c>
      <c r="U16624" s="17"/>
      <c r="V16624" s="18">
        <f>79298766636</f>
        <v>79298766636</v>
      </c>
      <c r="W16624" t="s">
        <v>44531</v>
      </c>
    </row>
    <row r="16625" ht="15" customHeight="1" spans="1:23" x14ac:dyDescent="0.25">
      <c r="A16625" s="17" t="s">
        <v>44532</v>
      </c>
      <c r="B16625" s="17" t="s">
        <v>70</v>
      </c>
      <c r="C16625" s="17" t="s">
        <v>71</v>
      </c>
      <c r="D16625" t="s">
        <v>44533</v>
      </c>
      <c r="F16625" t="s">
        <v>44533</v>
      </c>
      <c r="K16625" s="18">
        <f>6281311028787</f>
        <v>6281311028787</v>
      </c>
      <c r="N16625" s="17" t="s">
        <v>77</v>
      </c>
      <c r="U16625" s="17"/>
      <c r="V16625" s="18">
        <f>6281311028787</f>
        <v>6281311028787</v>
      </c>
      <c r="W16625" t="s">
        <v>44534</v>
      </c>
    </row>
    <row r="16626" ht="15" customHeight="1" spans="1:25" x14ac:dyDescent="0.25">
      <c r="A16626" s="17" t="s">
        <v>44535</v>
      </c>
      <c r="B16626" s="17" t="s">
        <v>70</v>
      </c>
      <c r="C16626" s="17" t="s">
        <v>71</v>
      </c>
      <c r="D16626" t="s">
        <v>44536</v>
      </c>
      <c r="F16626" t="s">
        <v>18201</v>
      </c>
      <c r="K16626" s="18">
        <f>628161901521</f>
        <v>628161901521</v>
      </c>
      <c r="N16626" s="17" t="s">
        <v>81</v>
      </c>
      <c r="U16626" s="17"/>
      <c r="V16626" s="18">
        <f>628161901521</f>
        <v>628161901521</v>
      </c>
      <c r="W16626" t="s">
        <v>44537</v>
      </c>
      <c r="Y16626" s="17" t="s">
        <v>96</v>
      </c>
    </row>
    <row r="16627" ht="15" customHeight="1" spans="1:22" x14ac:dyDescent="0.25">
      <c r="A16627" s="17" t="s">
        <v>44538</v>
      </c>
      <c r="B16627" s="17" t="s">
        <v>70</v>
      </c>
      <c r="C16627" s="17" t="s">
        <v>71</v>
      </c>
      <c r="D16627" t="s">
        <v>44539</v>
      </c>
      <c r="F16627" t="s">
        <v>44540</v>
      </c>
      <c r="K16627" s="18">
        <f>628118207075</f>
        <v>628118207075</v>
      </c>
      <c r="N16627" s="17" t="s">
        <v>81</v>
      </c>
      <c r="V16627" s="18">
        <f>628118207075</f>
        <v>628118207075</v>
      </c>
    </row>
    <row r="16628" ht="15" customHeight="1" spans="1:28" x14ac:dyDescent="0.25">
      <c r="A16628" s="17" t="s">
        <v>44541</v>
      </c>
      <c r="B16628" s="17" t="s">
        <v>70</v>
      </c>
      <c r="C16628" s="17" t="s">
        <v>71</v>
      </c>
      <c r="D16628" t="s">
        <v>44542</v>
      </c>
      <c r="F16628" t="s">
        <v>44543</v>
      </c>
      <c r="J16628" s="17" t="s">
        <v>44544</v>
      </c>
      <c r="K16628" s="18" t="s">
        <v>44545</v>
      </c>
      <c r="N16628" s="17" t="s">
        <v>77</v>
      </c>
      <c r="O16628" t="s">
        <v>145</v>
      </c>
      <c r="U16628" s="17"/>
      <c r="V16628" s="18" t="s">
        <v>44545</v>
      </c>
      <c r="W16628" t="s">
        <v>1908</v>
      </c>
      <c r="Y16628" t="s">
        <v>1909</v>
      </c>
      <c r="AA16628" t="s">
        <v>115</v>
      </c>
      <c r="AB16628" t="s">
        <v>1909</v>
      </c>
    </row>
    <row r="16629" ht="15" customHeight="1" spans="1:22" x14ac:dyDescent="0.25">
      <c r="A16629" s="17" t="s">
        <v>44546</v>
      </c>
      <c r="B16629" s="17" t="s">
        <v>70</v>
      </c>
      <c r="C16629" s="17" t="s">
        <v>71</v>
      </c>
      <c r="D16629" t="s">
        <v>44547</v>
      </c>
      <c r="F16629" t="s">
        <v>4194</v>
      </c>
      <c r="K16629" s="18">
        <f>6287878880777</f>
        <v>6287878880777</v>
      </c>
      <c r="N16629" s="17" t="s">
        <v>81</v>
      </c>
      <c r="V16629" s="18">
        <f>6287878880777</f>
        <v>6287878880777</v>
      </c>
    </row>
    <row r="16630" ht="15" customHeight="1" spans="1:28" x14ac:dyDescent="0.25">
      <c r="A16630" s="17" t="s">
        <v>44548</v>
      </c>
      <c r="B16630" s="17" t="s">
        <v>70</v>
      </c>
      <c r="C16630" s="17" t="s">
        <v>71</v>
      </c>
      <c r="D16630" t="s">
        <v>44549</v>
      </c>
      <c r="F16630" t="s">
        <v>44550</v>
      </c>
      <c r="J16630" t="s">
        <v>115</v>
      </c>
      <c r="K16630" s="18" t="s">
        <v>44551</v>
      </c>
      <c r="N16630" s="17" t="s">
        <v>81</v>
      </c>
      <c r="O16630" t="s">
        <v>145</v>
      </c>
      <c r="V16630" s="18" t="s">
        <v>44551</v>
      </c>
      <c r="Y16630" t="s">
        <v>115</v>
      </c>
      <c r="AA16630" t="s">
        <v>115</v>
      </c>
      <c r="AB16630" t="s">
        <v>119</v>
      </c>
    </row>
    <row r="16631" ht="15" customHeight="1" spans="1:22" x14ac:dyDescent="0.25">
      <c r="A16631" s="17" t="s">
        <v>44552</v>
      </c>
      <c r="B16631" s="17" t="s">
        <v>70</v>
      </c>
      <c r="C16631" s="17" t="s">
        <v>71</v>
      </c>
      <c r="D16631" t="s">
        <v>44553</v>
      </c>
      <c r="F16631" t="s">
        <v>7207</v>
      </c>
      <c r="K16631" s="18">
        <f>62811830701</f>
        <v>62811830701</v>
      </c>
      <c r="N16631" s="17" t="s">
        <v>81</v>
      </c>
      <c r="V16631" s="18">
        <f>62811830701</f>
        <v>62811830701</v>
      </c>
    </row>
    <row r="16632" ht="15" customHeight="1" spans="1:22" x14ac:dyDescent="0.25">
      <c r="A16632" s="17" t="s">
        <v>44554</v>
      </c>
      <c r="B16632" s="17" t="s">
        <v>70</v>
      </c>
      <c r="C16632" s="17" t="s">
        <v>71</v>
      </c>
      <c r="D16632" t="s">
        <v>44555</v>
      </c>
      <c r="F16632" t="s">
        <v>44555</v>
      </c>
      <c r="K16632" s="18">
        <v>81364021819</v>
      </c>
      <c r="N16632" s="17" t="s">
        <v>77</v>
      </c>
      <c r="V16632" s="18">
        <v>81364021819</v>
      </c>
    </row>
    <row r="16633" ht="15" customHeight="1" spans="1:22" x14ac:dyDescent="0.25">
      <c r="A16633" s="17" t="s">
        <v>44556</v>
      </c>
      <c r="B16633" s="17" t="s">
        <v>70</v>
      </c>
      <c r="C16633" s="17" t="s">
        <v>71</v>
      </c>
      <c r="D16633" t="s">
        <v>13288</v>
      </c>
      <c r="F16633" t="s">
        <v>13288</v>
      </c>
      <c r="K16633" s="18">
        <f>62811222998</f>
        <v>62811222998</v>
      </c>
      <c r="N16633" s="17" t="s">
        <v>81</v>
      </c>
      <c r="V16633" s="18">
        <f>62811222998</f>
        <v>62811222998</v>
      </c>
    </row>
    <row r="16634" ht="15" customHeight="1" spans="1:22" x14ac:dyDescent="0.25">
      <c r="A16634" s="17" t="s">
        <v>44557</v>
      </c>
      <c r="B16634" s="17" t="s">
        <v>70</v>
      </c>
      <c r="C16634" s="17" t="s">
        <v>71</v>
      </c>
      <c r="D16634" t="s">
        <v>44558</v>
      </c>
      <c r="F16634" t="s">
        <v>44559</v>
      </c>
      <c r="K16634" s="18">
        <f>6285210039177</f>
        <v>6285210039177</v>
      </c>
      <c r="N16634" s="17" t="s">
        <v>81</v>
      </c>
      <c r="V16634" s="18">
        <f>6285210039177</f>
        <v>6285210039177</v>
      </c>
    </row>
    <row r="16635" ht="15" customHeight="1" spans="1:23" x14ac:dyDescent="0.25">
      <c r="A16635" s="17" t="s">
        <v>44560</v>
      </c>
      <c r="B16635" s="17" t="s">
        <v>70</v>
      </c>
      <c r="C16635" s="17" t="s">
        <v>71</v>
      </c>
      <c r="D16635" t="s">
        <v>44561</v>
      </c>
      <c r="F16635" t="s">
        <v>28907</v>
      </c>
      <c r="K16635" s="18">
        <f>6285715417429</f>
        <v>6285715417429</v>
      </c>
      <c r="N16635" s="17" t="s">
        <v>81</v>
      </c>
      <c r="U16635" s="17"/>
      <c r="V16635" s="18">
        <f>6285715417429</f>
        <v>6285715417429</v>
      </c>
      <c r="W16635" t="s">
        <v>44562</v>
      </c>
    </row>
    <row r="16636" ht="15" customHeight="1" spans="1:28" x14ac:dyDescent="0.25">
      <c r="A16636" s="17" t="s">
        <v>44563</v>
      </c>
      <c r="B16636" s="17" t="s">
        <v>70</v>
      </c>
      <c r="C16636" s="17" t="s">
        <v>71</v>
      </c>
      <c r="D16636" t="s">
        <v>44564</v>
      </c>
      <c r="F16636" t="s">
        <v>44565</v>
      </c>
      <c r="J16636" s="17" t="s">
        <v>44566</v>
      </c>
      <c r="K16636" s="18" t="s">
        <v>44567</v>
      </c>
      <c r="N16636" s="17" t="s">
        <v>77</v>
      </c>
      <c r="O16636" t="s">
        <v>199</v>
      </c>
      <c r="V16636" s="18" t="s">
        <v>44567</v>
      </c>
      <c r="Y16636" t="s">
        <v>44568</v>
      </c>
      <c r="AA16636" t="s">
        <v>115</v>
      </c>
      <c r="AB16636" t="s">
        <v>119</v>
      </c>
    </row>
    <row r="16637" ht="15" customHeight="1" spans="1:23" x14ac:dyDescent="0.25">
      <c r="A16637" s="17" t="s">
        <v>44569</v>
      </c>
      <c r="B16637" s="17" t="s">
        <v>70</v>
      </c>
      <c r="C16637" s="17" t="s">
        <v>71</v>
      </c>
      <c r="D16637" t="s">
        <v>44570</v>
      </c>
      <c r="F16637" t="s">
        <v>44571</v>
      </c>
      <c r="K16637" s="18">
        <f>96599921351</f>
        <v>96599921351</v>
      </c>
      <c r="N16637" s="17" t="s">
        <v>77</v>
      </c>
      <c r="U16637" s="17"/>
      <c r="V16637" s="18">
        <f>96599921351</f>
        <v>96599921351</v>
      </c>
      <c r="W16637" t="s">
        <v>262</v>
      </c>
    </row>
    <row r="16638" ht="15" customHeight="1" spans="1:22" x14ac:dyDescent="0.25">
      <c r="A16638" s="17" t="s">
        <v>44572</v>
      </c>
      <c r="B16638" s="17" t="s">
        <v>70</v>
      </c>
      <c r="C16638" s="17" t="s">
        <v>71</v>
      </c>
      <c r="D16638" t="s">
        <v>40817</v>
      </c>
      <c r="F16638" t="s">
        <v>7293</v>
      </c>
      <c r="J16638" s="17" t="s">
        <v>44573</v>
      </c>
      <c r="K16638" s="18">
        <f>628618627830789</f>
        <v>628618627830789</v>
      </c>
      <c r="N16638" s="17" t="s">
        <v>77</v>
      </c>
      <c r="V16638" s="18">
        <f>628618627830789</f>
        <v>628618627830789</v>
      </c>
    </row>
    <row r="16639" ht="15" customHeight="1" spans="1:28" x14ac:dyDescent="0.25">
      <c r="A16639" s="17" t="s">
        <v>44574</v>
      </c>
      <c r="B16639" s="17" t="s">
        <v>70</v>
      </c>
      <c r="C16639" s="17" t="s">
        <v>71</v>
      </c>
      <c r="D16639" t="s">
        <v>44575</v>
      </c>
      <c r="F16639" t="s">
        <v>7944</v>
      </c>
      <c r="J16639" s="17" t="s">
        <v>44576</v>
      </c>
      <c r="K16639" s="18" t="s">
        <v>44577</v>
      </c>
      <c r="N16639" s="17" t="s">
        <v>77</v>
      </c>
      <c r="O16639" t="s">
        <v>199</v>
      </c>
      <c r="V16639" s="18" t="s">
        <v>44577</v>
      </c>
      <c r="Y16639" t="s">
        <v>115</v>
      </c>
      <c r="AA16639" t="s">
        <v>115</v>
      </c>
      <c r="AB16639" t="s">
        <v>3140</v>
      </c>
    </row>
    <row r="16640" ht="15" customHeight="1" spans="1:23" x14ac:dyDescent="0.25">
      <c r="A16640" s="17" t="s">
        <v>44578</v>
      </c>
      <c r="B16640" s="17" t="s">
        <v>70</v>
      </c>
      <c r="C16640" s="17" t="s">
        <v>71</v>
      </c>
      <c r="D16640" t="s">
        <v>40817</v>
      </c>
      <c r="F16640" t="s">
        <v>8400</v>
      </c>
      <c r="K16640" s="18">
        <f>552022</f>
        <v>552022</v>
      </c>
      <c r="N16640" s="17" t="s">
        <v>77</v>
      </c>
      <c r="U16640" s="17"/>
      <c r="V16640" s="18">
        <f>552022</f>
        <v>552022</v>
      </c>
      <c r="W16640" t="s">
        <v>5542</v>
      </c>
    </row>
    <row r="16641" ht="15" customHeight="1" spans="1:28" x14ac:dyDescent="0.25">
      <c r="A16641" s="17" t="s">
        <v>44579</v>
      </c>
      <c r="B16641" s="17" t="s">
        <v>70</v>
      </c>
      <c r="C16641" s="17" t="s">
        <v>71</v>
      </c>
      <c r="D16641" t="s">
        <v>40817</v>
      </c>
      <c r="F16641" t="s">
        <v>44580</v>
      </c>
      <c r="J16641" s="17" t="s">
        <v>44581</v>
      </c>
      <c r="K16641" s="18" t="s">
        <v>44582</v>
      </c>
      <c r="N16641" s="17" t="s">
        <v>77</v>
      </c>
      <c r="O16641" t="s">
        <v>117</v>
      </c>
      <c r="U16641" s="17"/>
      <c r="V16641" s="18" t="s">
        <v>44582</v>
      </c>
      <c r="W16641" t="s">
        <v>3140</v>
      </c>
      <c r="Y16641" t="s">
        <v>115</v>
      </c>
      <c r="AA16641" t="s">
        <v>115</v>
      </c>
      <c r="AB16641" t="s">
        <v>3140</v>
      </c>
    </row>
    <row r="16642" ht="15" customHeight="1" spans="1:28" x14ac:dyDescent="0.25">
      <c r="A16642" s="17" t="s">
        <v>44583</v>
      </c>
      <c r="B16642" s="17" t="s">
        <v>70</v>
      </c>
      <c r="C16642" s="17" t="s">
        <v>71</v>
      </c>
      <c r="D16642" t="s">
        <v>40817</v>
      </c>
      <c r="F16642" t="s">
        <v>20517</v>
      </c>
      <c r="J16642" s="17" t="s">
        <v>44584</v>
      </c>
      <c r="K16642" s="18" t="s">
        <v>44585</v>
      </c>
      <c r="N16642" s="17" t="s">
        <v>77</v>
      </c>
      <c r="O16642" t="s">
        <v>117</v>
      </c>
      <c r="V16642" s="18" t="s">
        <v>44585</v>
      </c>
      <c r="Y16642" t="s">
        <v>3140</v>
      </c>
      <c r="AA16642" t="s">
        <v>115</v>
      </c>
      <c r="AB16642" t="s">
        <v>3140</v>
      </c>
    </row>
    <row r="16643" ht="15" customHeight="1" spans="1:28" x14ac:dyDescent="0.25">
      <c r="A16643" s="17" t="s">
        <v>44586</v>
      </c>
      <c r="B16643" s="17" t="s">
        <v>70</v>
      </c>
      <c r="C16643" s="17" t="s">
        <v>71</v>
      </c>
      <c r="D16643" t="s">
        <v>44587</v>
      </c>
      <c r="F16643" t="s">
        <v>43447</v>
      </c>
      <c r="J16643" s="17" t="s">
        <v>44588</v>
      </c>
      <c r="K16643" s="18" t="s">
        <v>44589</v>
      </c>
      <c r="N16643" s="17" t="s">
        <v>77</v>
      </c>
      <c r="O16643" t="s">
        <v>117</v>
      </c>
      <c r="V16643" s="18" t="s">
        <v>44589</v>
      </c>
      <c r="Y16643" t="s">
        <v>3140</v>
      </c>
      <c r="AA16643" t="s">
        <v>115</v>
      </c>
      <c r="AB16643" t="s">
        <v>3140</v>
      </c>
    </row>
    <row r="16644" ht="15" customHeight="1" spans="1:28" x14ac:dyDescent="0.25">
      <c r="A16644" s="17" t="s">
        <v>44590</v>
      </c>
      <c r="B16644" s="17" t="s">
        <v>70</v>
      </c>
      <c r="C16644" s="17" t="s">
        <v>71</v>
      </c>
      <c r="D16644" t="s">
        <v>44591</v>
      </c>
      <c r="F16644" t="s">
        <v>7846</v>
      </c>
      <c r="J16644" t="s">
        <v>115</v>
      </c>
      <c r="K16644" s="18" t="s">
        <v>44592</v>
      </c>
      <c r="N16644" s="17" t="s">
        <v>77</v>
      </c>
      <c r="O16644" t="s">
        <v>145</v>
      </c>
      <c r="V16644" s="18" t="s">
        <v>44592</v>
      </c>
      <c r="Y16644" t="s">
        <v>3140</v>
      </c>
      <c r="AA16644" t="s">
        <v>115</v>
      </c>
      <c r="AB16644" t="s">
        <v>3140</v>
      </c>
    </row>
    <row r="16645" ht="15" customHeight="1" spans="1:22" x14ac:dyDescent="0.25">
      <c r="A16645" s="17" t="s">
        <v>44593</v>
      </c>
      <c r="B16645" s="17" t="s">
        <v>70</v>
      </c>
      <c r="C16645" s="17" t="s">
        <v>71</v>
      </c>
      <c r="D16645" t="s">
        <v>44594</v>
      </c>
      <c r="F16645" t="s">
        <v>44594</v>
      </c>
      <c r="K16645" s="18">
        <f>6281281349112</f>
        <v>6281281349112</v>
      </c>
      <c r="N16645" s="17" t="s">
        <v>77</v>
      </c>
      <c r="V16645" s="18">
        <f>6281281349112</f>
        <v>6281281349112</v>
      </c>
    </row>
    <row r="16646" ht="15" customHeight="1" spans="1:23" x14ac:dyDescent="0.25">
      <c r="A16646" s="17" t="s">
        <v>44595</v>
      </c>
      <c r="B16646" s="17" t="s">
        <v>70</v>
      </c>
      <c r="C16646" s="17" t="s">
        <v>71</v>
      </c>
      <c r="D16646" t="s">
        <v>44596</v>
      </c>
      <c r="F16646" t="s">
        <v>10519</v>
      </c>
      <c r="J16646" s="17" t="s">
        <v>44597</v>
      </c>
      <c r="K16646" s="18">
        <f>6281286622777</f>
        <v>6281286622777</v>
      </c>
      <c r="N16646" s="17" t="s">
        <v>81</v>
      </c>
      <c r="U16646" s="17"/>
      <c r="V16646" s="18">
        <f>6281286622777</f>
        <v>6281286622777</v>
      </c>
      <c r="W16646" t="s">
        <v>5566</v>
      </c>
    </row>
    <row r="16647" ht="15" customHeight="1" spans="1:23" x14ac:dyDescent="0.25">
      <c r="A16647" s="17" t="s">
        <v>44598</v>
      </c>
      <c r="B16647" s="17" t="s">
        <v>70</v>
      </c>
      <c r="C16647" s="17" t="s">
        <v>71</v>
      </c>
      <c r="D16647" t="s">
        <v>44599</v>
      </c>
      <c r="F16647" t="s">
        <v>32624</v>
      </c>
      <c r="K16647" s="18">
        <f>639176347883</f>
        <v>639176347883</v>
      </c>
      <c r="N16647" s="17" t="s">
        <v>77</v>
      </c>
      <c r="U16647" s="17"/>
      <c r="V16647" s="18">
        <f>639176347883</f>
        <v>639176347883</v>
      </c>
      <c r="W16647" t="s">
        <v>1349</v>
      </c>
    </row>
    <row r="16648" ht="15" customHeight="1" spans="1:22" x14ac:dyDescent="0.25">
      <c r="A16648" s="17" t="s">
        <v>44600</v>
      </c>
      <c r="B16648" s="17" t="s">
        <v>70</v>
      </c>
      <c r="C16648" s="17" t="s">
        <v>71</v>
      </c>
      <c r="D16648" t="s">
        <v>44601</v>
      </c>
      <c r="F16648" t="s">
        <v>44601</v>
      </c>
      <c r="K16648" s="18">
        <f>62818160187</f>
        <v>62818160187</v>
      </c>
      <c r="N16648" s="17" t="s">
        <v>81</v>
      </c>
      <c r="V16648" s="18">
        <f>62818160187</f>
        <v>62818160187</v>
      </c>
    </row>
    <row r="16649" ht="15" customHeight="1" spans="1:22" x14ac:dyDescent="0.25">
      <c r="A16649" s="17" t="s">
        <v>44602</v>
      </c>
      <c r="B16649" s="17" t="s">
        <v>70</v>
      </c>
      <c r="C16649" s="17" t="s">
        <v>71</v>
      </c>
      <c r="D16649" t="s">
        <v>44603</v>
      </c>
      <c r="F16649" t="s">
        <v>44604</v>
      </c>
      <c r="J16649" s="17" t="s">
        <v>44605</v>
      </c>
      <c r="K16649" s="18">
        <f>8613822156363</f>
        <v>8613822156363</v>
      </c>
      <c r="N16649" s="17" t="s">
        <v>77</v>
      </c>
      <c r="V16649" s="18">
        <f>8613822156363</f>
        <v>8613822156363</v>
      </c>
    </row>
    <row r="16650" ht="15" customHeight="1" spans="1:22" x14ac:dyDescent="0.25">
      <c r="A16650" s="17" t="s">
        <v>44606</v>
      </c>
      <c r="B16650" s="17" t="s">
        <v>70</v>
      </c>
      <c r="C16650" s="17" t="s">
        <v>71</v>
      </c>
      <c r="D16650" t="s">
        <v>44607</v>
      </c>
      <c r="F16650" t="s">
        <v>7405</v>
      </c>
      <c r="K16650" s="18">
        <v>81311484615</v>
      </c>
      <c r="N16650" s="17" t="s">
        <v>77</v>
      </c>
      <c r="V16650" s="18">
        <v>81311484615</v>
      </c>
    </row>
    <row r="16651" ht="15" customHeight="1" spans="1:28" x14ac:dyDescent="0.25">
      <c r="A16651" s="17" t="s">
        <v>44608</v>
      </c>
      <c r="B16651" s="17" t="s">
        <v>70</v>
      </c>
      <c r="C16651" s="17" t="s">
        <v>71</v>
      </c>
      <c r="D16651" t="s">
        <v>44609</v>
      </c>
      <c r="F16651" t="s">
        <v>44610</v>
      </c>
      <c r="J16651" t="s">
        <v>115</v>
      </c>
      <c r="K16651" s="18" t="s">
        <v>44611</v>
      </c>
      <c r="N16651" s="17" t="s">
        <v>77</v>
      </c>
      <c r="O16651" t="s">
        <v>145</v>
      </c>
      <c r="U16651" s="17"/>
      <c r="V16651" s="18" t="s">
        <v>44611</v>
      </c>
      <c r="W16651" t="s">
        <v>1908</v>
      </c>
      <c r="Y16651" t="s">
        <v>1909</v>
      </c>
      <c r="AA16651" t="s">
        <v>115</v>
      </c>
      <c r="AB16651" t="s">
        <v>1909</v>
      </c>
    </row>
    <row r="16652" ht="15" customHeight="1" spans="1:22" x14ac:dyDescent="0.25">
      <c r="A16652" s="17" t="s">
        <v>44612</v>
      </c>
      <c r="B16652" s="17" t="s">
        <v>70</v>
      </c>
      <c r="C16652" s="17" t="s">
        <v>71</v>
      </c>
      <c r="D16652" t="s">
        <v>6082</v>
      </c>
      <c r="F16652" t="s">
        <v>6082</v>
      </c>
      <c r="K16652" s="18">
        <f>6282110696896</f>
        <v>6282110696896</v>
      </c>
      <c r="N16652" s="17" t="s">
        <v>77</v>
      </c>
      <c r="V16652" s="18">
        <f>6282110696896</f>
        <v>6282110696896</v>
      </c>
    </row>
    <row r="16653" ht="15" customHeight="1" spans="1:23" x14ac:dyDescent="0.25">
      <c r="A16653" s="17" t="s">
        <v>44613</v>
      </c>
      <c r="B16653" s="17" t="s">
        <v>70</v>
      </c>
      <c r="C16653" s="17" t="s">
        <v>71</v>
      </c>
      <c r="D16653" t="s">
        <v>6082</v>
      </c>
      <c r="F16653" t="s">
        <v>44614</v>
      </c>
      <c r="K16653" s="18">
        <f>12266884545</f>
        <v>12266884545</v>
      </c>
      <c r="N16653" s="17" t="s">
        <v>77</v>
      </c>
      <c r="U16653" s="17"/>
      <c r="V16653" s="18">
        <f>12266884545</f>
        <v>12266884545</v>
      </c>
      <c r="W16653" t="s">
        <v>3140</v>
      </c>
    </row>
    <row r="16654" ht="15" customHeight="1" spans="1:22" x14ac:dyDescent="0.25">
      <c r="A16654" s="17" t="s">
        <v>44615</v>
      </c>
      <c r="B16654" s="17" t="s">
        <v>70</v>
      </c>
      <c r="C16654" s="17" t="s">
        <v>71</v>
      </c>
      <c r="D16654" t="s">
        <v>6082</v>
      </c>
      <c r="F16654" t="s">
        <v>7281</v>
      </c>
      <c r="K16654" s="18">
        <f>628119011902</f>
        <v>628119011902</v>
      </c>
      <c r="N16654" s="17" t="s">
        <v>81</v>
      </c>
      <c r="V16654" s="18">
        <f>628119011902</f>
        <v>628119011902</v>
      </c>
    </row>
    <row r="16655" ht="15" customHeight="1" spans="1:28" x14ac:dyDescent="0.25">
      <c r="A16655" s="17" t="s">
        <v>44616</v>
      </c>
      <c r="B16655" s="17" t="s">
        <v>70</v>
      </c>
      <c r="C16655" s="17" t="s">
        <v>71</v>
      </c>
      <c r="D16655" t="s">
        <v>6082</v>
      </c>
      <c r="F16655" t="s">
        <v>2269</v>
      </c>
      <c r="J16655" t="s">
        <v>115</v>
      </c>
      <c r="K16655" s="18" t="s">
        <v>44617</v>
      </c>
      <c r="N16655" s="17" t="s">
        <v>81</v>
      </c>
      <c r="O16655" t="s">
        <v>117</v>
      </c>
      <c r="V16655" s="18" t="s">
        <v>44617</v>
      </c>
      <c r="Y16655" t="s">
        <v>90</v>
      </c>
      <c r="AA16655" t="s">
        <v>118</v>
      </c>
      <c r="AB16655" t="s">
        <v>119</v>
      </c>
    </row>
    <row r="16656" ht="15" customHeight="1" spans="1:22" x14ac:dyDescent="0.25">
      <c r="A16656" s="17" t="s">
        <v>44618</v>
      </c>
      <c r="B16656" s="17" t="s">
        <v>70</v>
      </c>
      <c r="C16656" s="17" t="s">
        <v>71</v>
      </c>
      <c r="D16656" t="s">
        <v>6082</v>
      </c>
      <c r="F16656" t="s">
        <v>1363</v>
      </c>
      <c r="K16656" s="18">
        <f>6281281651566</f>
        <v>6281281651566</v>
      </c>
      <c r="N16656" s="17" t="s">
        <v>81</v>
      </c>
      <c r="V16656" s="18">
        <f>6281281651566</f>
        <v>6281281651566</v>
      </c>
    </row>
    <row r="16657" ht="15" customHeight="1" spans="1:22" x14ac:dyDescent="0.25">
      <c r="A16657" s="17" t="s">
        <v>44619</v>
      </c>
      <c r="B16657" s="17" t="s">
        <v>70</v>
      </c>
      <c r="C16657" s="17" t="s">
        <v>71</v>
      </c>
      <c r="D16657" t="s">
        <v>6082</v>
      </c>
      <c r="F16657" t="s">
        <v>3142</v>
      </c>
      <c r="K16657" s="18">
        <f>6281318880048</f>
        <v>6281318880048</v>
      </c>
      <c r="N16657" s="17" t="s">
        <v>81</v>
      </c>
      <c r="V16657" s="18">
        <f>6281318880048</f>
        <v>6281318880048</v>
      </c>
    </row>
    <row r="16658" ht="15" customHeight="1" spans="1:28" x14ac:dyDescent="0.25">
      <c r="A16658" s="17" t="s">
        <v>44620</v>
      </c>
      <c r="B16658" s="17" t="s">
        <v>70</v>
      </c>
      <c r="C16658" s="17" t="s">
        <v>71</v>
      </c>
      <c r="D16658" t="s">
        <v>6082</v>
      </c>
      <c r="F16658" t="s">
        <v>44621</v>
      </c>
      <c r="J16658" t="s">
        <v>115</v>
      </c>
      <c r="K16658" s="18" t="s">
        <v>44622</v>
      </c>
      <c r="N16658" s="17" t="s">
        <v>77</v>
      </c>
      <c r="O16658" t="s">
        <v>199</v>
      </c>
      <c r="U16658" s="17"/>
      <c r="V16658" s="18" t="s">
        <v>44622</v>
      </c>
      <c r="W16658" t="s">
        <v>3140</v>
      </c>
      <c r="Y16658" t="s">
        <v>3140</v>
      </c>
      <c r="AA16658" t="s">
        <v>115</v>
      </c>
      <c r="AB16658" t="s">
        <v>3140</v>
      </c>
    </row>
    <row r="16659" ht="15" customHeight="1" spans="1:23" x14ac:dyDescent="0.25">
      <c r="A16659" s="17" t="s">
        <v>44623</v>
      </c>
      <c r="B16659" s="17" t="s">
        <v>70</v>
      </c>
      <c r="C16659" s="17" t="s">
        <v>71</v>
      </c>
      <c r="D16659" t="s">
        <v>6082</v>
      </c>
      <c r="F16659" t="s">
        <v>44624</v>
      </c>
      <c r="K16659" s="18">
        <f>8613651968901</f>
        <v>8613651968901</v>
      </c>
      <c r="N16659" s="17" t="s">
        <v>77</v>
      </c>
      <c r="U16659" s="17"/>
      <c r="V16659" s="18">
        <f>8613651968901</f>
        <v>8613651968901</v>
      </c>
      <c r="W16659" t="s">
        <v>5542</v>
      </c>
    </row>
    <row r="16660" ht="15" customHeight="1" spans="1:22" x14ac:dyDescent="0.25">
      <c r="A16660" s="17" t="s">
        <v>44625</v>
      </c>
      <c r="B16660" s="17" t="s">
        <v>70</v>
      </c>
      <c r="C16660" s="17" t="s">
        <v>71</v>
      </c>
      <c r="D16660" t="s">
        <v>6082</v>
      </c>
      <c r="F16660" t="s">
        <v>20480</v>
      </c>
      <c r="K16660" s="18">
        <f>6281386893836</f>
        <v>6281386893836</v>
      </c>
      <c r="N16660" s="17" t="s">
        <v>77</v>
      </c>
      <c r="V16660" s="18">
        <f>6281386893836</f>
        <v>6281386893836</v>
      </c>
    </row>
    <row r="16661" ht="15" customHeight="1" spans="1:25" x14ac:dyDescent="0.25">
      <c r="A16661" s="17" t="s">
        <v>44626</v>
      </c>
      <c r="B16661" s="17" t="s">
        <v>70</v>
      </c>
      <c r="C16661" s="17" t="s">
        <v>71</v>
      </c>
      <c r="D16661" t="s">
        <v>6082</v>
      </c>
      <c r="F16661" t="s">
        <v>6693</v>
      </c>
      <c r="K16661" s="18">
        <f>8613901389492</f>
        <v>8613901389492</v>
      </c>
      <c r="N16661" s="17" t="s">
        <v>77</v>
      </c>
      <c r="U16661" s="17"/>
      <c r="V16661" s="18">
        <f>8613901389492</f>
        <v>8613901389492</v>
      </c>
      <c r="W16661" t="s">
        <v>23944</v>
      </c>
      <c r="Y16661" s="17" t="s">
        <v>5998</v>
      </c>
    </row>
    <row r="16662" ht="15" customHeight="1" spans="1:28" x14ac:dyDescent="0.25">
      <c r="A16662" s="17" t="s">
        <v>44627</v>
      </c>
      <c r="B16662" s="17" t="s">
        <v>70</v>
      </c>
      <c r="C16662" s="17" t="s">
        <v>71</v>
      </c>
      <c r="D16662" t="s">
        <v>6082</v>
      </c>
      <c r="F16662" t="s">
        <v>6693</v>
      </c>
      <c r="J16662" t="s">
        <v>44628</v>
      </c>
      <c r="K16662" s="18" t="s">
        <v>44629</v>
      </c>
      <c r="N16662" s="17" t="s">
        <v>77</v>
      </c>
      <c r="O16662" t="s">
        <v>145</v>
      </c>
      <c r="U16662" s="17"/>
      <c r="V16662" s="18" t="s">
        <v>44629</v>
      </c>
      <c r="W16662" t="s">
        <v>6980</v>
      </c>
      <c r="Y16662" t="s">
        <v>90</v>
      </c>
      <c r="AA16662" t="s">
        <v>118</v>
      </c>
      <c r="AB16662" t="s">
        <v>119</v>
      </c>
    </row>
    <row r="16663" ht="15" customHeight="1" spans="1:25" x14ac:dyDescent="0.25">
      <c r="A16663" s="17" t="s">
        <v>44630</v>
      </c>
      <c r="B16663" s="17" t="s">
        <v>70</v>
      </c>
      <c r="C16663" s="17" t="s">
        <v>71</v>
      </c>
      <c r="D16663" t="s">
        <v>6082</v>
      </c>
      <c r="F16663" t="s">
        <v>7944</v>
      </c>
      <c r="J16663" s="17" t="s">
        <v>44631</v>
      </c>
      <c r="K16663" s="18">
        <v>18200274511</v>
      </c>
      <c r="N16663" s="17" t="s">
        <v>81</v>
      </c>
      <c r="V16663" s="18">
        <v>18200274511</v>
      </c>
      <c r="Y16663" s="17" t="s">
        <v>44632</v>
      </c>
    </row>
    <row r="16664" ht="15" customHeight="1" spans="1:22" x14ac:dyDescent="0.25">
      <c r="A16664" s="17" t="s">
        <v>44633</v>
      </c>
      <c r="B16664" s="17" t="s">
        <v>70</v>
      </c>
      <c r="C16664" s="17" t="s">
        <v>71</v>
      </c>
      <c r="D16664" t="s">
        <v>6082</v>
      </c>
      <c r="F16664" t="s">
        <v>7421</v>
      </c>
      <c r="K16664" s="18">
        <f>6282115101664</f>
        <v>6282115101664</v>
      </c>
      <c r="N16664" s="17" t="s">
        <v>81</v>
      </c>
      <c r="V16664" s="18">
        <f>6282115101664</f>
        <v>6282115101664</v>
      </c>
    </row>
    <row r="16665" ht="15" customHeight="1" spans="1:22" x14ac:dyDescent="0.25">
      <c r="A16665" s="17" t="s">
        <v>44634</v>
      </c>
      <c r="B16665" s="17" t="s">
        <v>70</v>
      </c>
      <c r="C16665" s="17" t="s">
        <v>71</v>
      </c>
      <c r="D16665" t="s">
        <v>6082</v>
      </c>
      <c r="F16665" t="s">
        <v>15386</v>
      </c>
      <c r="K16665" s="18">
        <f>6282340114893</f>
        <v>6282340114893</v>
      </c>
      <c r="N16665" s="17" t="s">
        <v>77</v>
      </c>
      <c r="V16665" s="18">
        <f>6282340114893</f>
        <v>6282340114893</v>
      </c>
    </row>
    <row r="16666" ht="15" customHeight="1" spans="1:22" x14ac:dyDescent="0.25">
      <c r="A16666" s="17" t="s">
        <v>44635</v>
      </c>
      <c r="B16666" s="17" t="s">
        <v>70</v>
      </c>
      <c r="C16666" s="17" t="s">
        <v>71</v>
      </c>
      <c r="D16666" t="s">
        <v>6082</v>
      </c>
      <c r="F16666" t="s">
        <v>44636</v>
      </c>
      <c r="K16666" s="18">
        <f>8615562322574</f>
        <v>8615562322574</v>
      </c>
      <c r="N16666" s="17" t="s">
        <v>77</v>
      </c>
      <c r="V16666" s="18">
        <f>8615562322574</f>
        <v>8615562322574</v>
      </c>
    </row>
    <row r="16667" ht="15" customHeight="1" spans="1:28" x14ac:dyDescent="0.25">
      <c r="A16667" s="17" t="s">
        <v>44637</v>
      </c>
      <c r="B16667" s="17" t="s">
        <v>70</v>
      </c>
      <c r="C16667" s="17" t="s">
        <v>71</v>
      </c>
      <c r="D16667" s="19" t="s">
        <v>6082</v>
      </c>
      <c r="F16667" t="s">
        <v>17672</v>
      </c>
      <c r="J16667" t="s">
        <v>115</v>
      </c>
      <c r="K16667" s="18" t="s">
        <v>44638</v>
      </c>
      <c r="N16667" s="17" t="s">
        <v>77</v>
      </c>
      <c r="O16667" t="s">
        <v>261</v>
      </c>
      <c r="U16667" s="17"/>
      <c r="V16667" s="18" t="s">
        <v>44638</v>
      </c>
      <c r="W16667" t="s">
        <v>44639</v>
      </c>
      <c r="Y16667" t="s">
        <v>3140</v>
      </c>
      <c r="AA16667" t="s">
        <v>115</v>
      </c>
      <c r="AB16667" t="s">
        <v>3140</v>
      </c>
    </row>
    <row r="16668" ht="15" customHeight="1" spans="1:23" x14ac:dyDescent="0.25">
      <c r="A16668" s="17" t="s">
        <v>44640</v>
      </c>
      <c r="B16668" s="17" t="s">
        <v>70</v>
      </c>
      <c r="C16668" s="17" t="s">
        <v>71</v>
      </c>
      <c r="D16668" t="s">
        <v>6082</v>
      </c>
      <c r="F16668" t="s">
        <v>7289</v>
      </c>
      <c r="K16668" s="18">
        <f>6585872669</f>
        <v>6585872669</v>
      </c>
      <c r="N16668" s="17" t="s">
        <v>77</v>
      </c>
      <c r="U16668" s="17"/>
      <c r="V16668" s="18">
        <f>6585872669</f>
        <v>6585872669</v>
      </c>
      <c r="W16668" t="s">
        <v>44641</v>
      </c>
    </row>
    <row r="16669" ht="15" customHeight="1" spans="1:23" x14ac:dyDescent="0.25">
      <c r="A16669" s="17" t="s">
        <v>44642</v>
      </c>
      <c r="B16669" s="17" t="s">
        <v>70</v>
      </c>
      <c r="C16669" s="17" t="s">
        <v>71</v>
      </c>
      <c r="D16669" s="19" t="s">
        <v>6082</v>
      </c>
      <c r="F16669" t="s">
        <v>44643</v>
      </c>
      <c r="K16669" s="18">
        <v>13505181449</v>
      </c>
      <c r="N16669" s="17" t="s">
        <v>77</v>
      </c>
      <c r="U16669" s="17"/>
      <c r="V16669" s="18">
        <v>13505181449</v>
      </c>
      <c r="W16669" t="s">
        <v>44644</v>
      </c>
    </row>
    <row r="16670" ht="15" customHeight="1" spans="1:22" x14ac:dyDescent="0.25">
      <c r="A16670" s="17" t="s">
        <v>44645</v>
      </c>
      <c r="B16670" s="17" t="s">
        <v>70</v>
      </c>
      <c r="C16670" s="17" t="s">
        <v>71</v>
      </c>
      <c r="D16670" t="s">
        <v>6082</v>
      </c>
      <c r="F16670" t="s">
        <v>25167</v>
      </c>
      <c r="K16670" s="18">
        <f>15080763996</f>
        <v>15080763996</v>
      </c>
      <c r="N16670" s="17" t="s">
        <v>81</v>
      </c>
      <c r="V16670" s="18">
        <f>15080763996</f>
        <v>15080763996</v>
      </c>
    </row>
    <row r="16671" ht="15" customHeight="1" spans="1:22" x14ac:dyDescent="0.25">
      <c r="A16671" s="17" t="s">
        <v>44646</v>
      </c>
      <c r="B16671" s="17" t="s">
        <v>70</v>
      </c>
      <c r="C16671" s="17" t="s">
        <v>71</v>
      </c>
      <c r="D16671" t="s">
        <v>6082</v>
      </c>
      <c r="F16671" t="s">
        <v>44647</v>
      </c>
      <c r="K16671" s="18">
        <f>8617200638333</f>
        <v>8617200638333</v>
      </c>
      <c r="N16671" s="17" t="s">
        <v>81</v>
      </c>
      <c r="V16671" s="18">
        <f>8617200638333</f>
        <v>8617200638333</v>
      </c>
    </row>
    <row r="16672" ht="15" customHeight="1" spans="1:25" x14ac:dyDescent="0.25">
      <c r="A16672" s="17" t="s">
        <v>44648</v>
      </c>
      <c r="B16672" s="17" t="s">
        <v>70</v>
      </c>
      <c r="C16672" s="17" t="s">
        <v>71</v>
      </c>
      <c r="D16672" t="s">
        <v>6082</v>
      </c>
      <c r="F16672" t="s">
        <v>44649</v>
      </c>
      <c r="J16672" s="17" t="s">
        <v>44650</v>
      </c>
      <c r="K16672" s="18">
        <v>18673455000</v>
      </c>
      <c r="N16672" s="17" t="s">
        <v>77</v>
      </c>
      <c r="V16672" s="18">
        <v>18673455000</v>
      </c>
      <c r="Y16672" s="17" t="s">
        <v>44651</v>
      </c>
    </row>
    <row r="16673" ht="15" customHeight="1" spans="1:23" x14ac:dyDescent="0.25">
      <c r="A16673" s="17" t="s">
        <v>44652</v>
      </c>
      <c r="B16673" s="17" t="s">
        <v>70</v>
      </c>
      <c r="C16673" s="17" t="s">
        <v>71</v>
      </c>
      <c r="D16673" t="s">
        <v>6082</v>
      </c>
      <c r="F16673" t="s">
        <v>44653</v>
      </c>
      <c r="K16673" s="18">
        <f>6281315979782</f>
        <v>6281315979782</v>
      </c>
      <c r="N16673" s="17" t="s">
        <v>77</v>
      </c>
      <c r="U16673" s="17"/>
      <c r="V16673" s="18">
        <f>6281315979782</f>
        <v>6281315979782</v>
      </c>
      <c r="W16673" t="s">
        <v>44654</v>
      </c>
    </row>
    <row r="16674" ht="15" customHeight="1" spans="1:22" x14ac:dyDescent="0.25">
      <c r="A16674" s="17" t="s">
        <v>44655</v>
      </c>
      <c r="B16674" s="17" t="s">
        <v>70</v>
      </c>
      <c r="C16674" s="17" t="s">
        <v>71</v>
      </c>
      <c r="D16674" t="s">
        <v>6082</v>
      </c>
      <c r="F16674" t="s">
        <v>44656</v>
      </c>
      <c r="K16674" s="18">
        <f>6282174869666</f>
        <v>6282174869666</v>
      </c>
      <c r="N16674" s="17" t="s">
        <v>81</v>
      </c>
      <c r="V16674" s="18">
        <f>6282174869666</f>
        <v>6282174869666</v>
      </c>
    </row>
    <row r="16675" ht="15" customHeight="1" spans="1:22" x14ac:dyDescent="0.25">
      <c r="A16675" s="17" t="s">
        <v>44657</v>
      </c>
      <c r="B16675" s="17" t="s">
        <v>70</v>
      </c>
      <c r="C16675" s="17" t="s">
        <v>71</v>
      </c>
      <c r="D16675" t="s">
        <v>6082</v>
      </c>
      <c r="F16675" t="s">
        <v>44658</v>
      </c>
      <c r="J16675" s="17" t="s">
        <v>44659</v>
      </c>
      <c r="K16675" s="18">
        <f>6281292092880</f>
        <v>6281292092880</v>
      </c>
      <c r="N16675" s="17" t="s">
        <v>77</v>
      </c>
      <c r="V16675" s="18">
        <f>6281292092880</f>
        <v>6281292092880</v>
      </c>
    </row>
    <row r="16676" ht="15" customHeight="1" spans="1:28" x14ac:dyDescent="0.25">
      <c r="A16676" s="17" t="s">
        <v>44660</v>
      </c>
      <c r="B16676" s="17" t="s">
        <v>70</v>
      </c>
      <c r="C16676" s="17" t="s">
        <v>71</v>
      </c>
      <c r="D16676" t="s">
        <v>6082</v>
      </c>
      <c r="F16676" t="s">
        <v>23220</v>
      </c>
      <c r="J16676" s="17" t="s">
        <v>44661</v>
      </c>
      <c r="K16676" s="18" t="s">
        <v>44662</v>
      </c>
      <c r="N16676" s="17" t="s">
        <v>77</v>
      </c>
      <c r="O16676" t="s">
        <v>117</v>
      </c>
      <c r="U16676" s="17"/>
      <c r="V16676" s="18" t="s">
        <v>44662</v>
      </c>
      <c r="W16676" t="s">
        <v>22801</v>
      </c>
      <c r="Y16676" t="s">
        <v>3140</v>
      </c>
      <c r="AA16676" t="s">
        <v>115</v>
      </c>
      <c r="AB16676" t="s">
        <v>3140</v>
      </c>
    </row>
    <row r="16677" ht="15" customHeight="1" spans="1:28" x14ac:dyDescent="0.25">
      <c r="A16677" s="17" t="s">
        <v>44663</v>
      </c>
      <c r="B16677" s="17" t="s">
        <v>70</v>
      </c>
      <c r="C16677" s="17" t="s">
        <v>71</v>
      </c>
      <c r="D16677" t="s">
        <v>6082</v>
      </c>
      <c r="F16677" t="s">
        <v>44664</v>
      </c>
      <c r="J16677" t="s">
        <v>115</v>
      </c>
      <c r="K16677" s="18" t="s">
        <v>44665</v>
      </c>
      <c r="N16677" s="17" t="s">
        <v>77</v>
      </c>
      <c r="O16677" t="s">
        <v>145</v>
      </c>
      <c r="V16677" s="18" t="s">
        <v>44665</v>
      </c>
      <c r="Y16677" t="s">
        <v>6100</v>
      </c>
      <c r="AA16677" t="s">
        <v>115</v>
      </c>
      <c r="AB16677" t="s">
        <v>119</v>
      </c>
    </row>
    <row r="16678" ht="15" customHeight="1" spans="1:25" x14ac:dyDescent="0.25">
      <c r="A16678" s="17" t="s">
        <v>44666</v>
      </c>
      <c r="B16678" s="17" t="s">
        <v>70</v>
      </c>
      <c r="C16678" s="17" t="s">
        <v>71</v>
      </c>
      <c r="D16678" t="s">
        <v>6082</v>
      </c>
      <c r="F16678" t="s">
        <v>17718</v>
      </c>
      <c r="J16678" s="17" t="s">
        <v>44667</v>
      </c>
      <c r="K16678" s="18">
        <f>8618600350017</f>
        <v>8618600350017</v>
      </c>
      <c r="N16678" s="17" t="s">
        <v>77</v>
      </c>
      <c r="V16678" s="18">
        <f>8618600350017</f>
        <v>8618600350017</v>
      </c>
      <c r="Y16678" s="17" t="s">
        <v>5998</v>
      </c>
    </row>
    <row r="16679" ht="15" customHeight="1" spans="1:28" x14ac:dyDescent="0.25">
      <c r="A16679" s="17" t="s">
        <v>44668</v>
      </c>
      <c r="B16679" s="17" t="s">
        <v>70</v>
      </c>
      <c r="C16679" s="17" t="s">
        <v>71</v>
      </c>
      <c r="D16679" t="s">
        <v>6082</v>
      </c>
      <c r="F16679" t="s">
        <v>23419</v>
      </c>
      <c r="J16679" s="17" t="s">
        <v>44669</v>
      </c>
      <c r="K16679" s="18" t="s">
        <v>44670</v>
      </c>
      <c r="N16679" s="17" t="s">
        <v>77</v>
      </c>
      <c r="O16679" t="s">
        <v>145</v>
      </c>
      <c r="U16679" s="17"/>
      <c r="V16679" s="18" t="s">
        <v>44670</v>
      </c>
      <c r="W16679" t="s">
        <v>6980</v>
      </c>
      <c r="Y16679" s="17" t="s">
        <v>3140</v>
      </c>
      <c r="AA16679" t="s">
        <v>115</v>
      </c>
      <c r="AB16679" t="s">
        <v>7602</v>
      </c>
    </row>
    <row r="16680" ht="15" customHeight="1" spans="1:23" x14ac:dyDescent="0.25">
      <c r="A16680" s="17" t="s">
        <v>44671</v>
      </c>
      <c r="B16680" s="17" t="s">
        <v>70</v>
      </c>
      <c r="C16680" s="17" t="s">
        <v>71</v>
      </c>
      <c r="D16680" t="s">
        <v>6082</v>
      </c>
      <c r="F16680" t="s">
        <v>44672</v>
      </c>
      <c r="K16680" s="18">
        <f>8615657167002</f>
        <v>8615657167002</v>
      </c>
      <c r="N16680" s="17" t="s">
        <v>77</v>
      </c>
      <c r="U16680" s="17"/>
      <c r="V16680" s="18">
        <f>8615657167002</f>
        <v>8615657167002</v>
      </c>
      <c r="W16680" t="s">
        <v>3140</v>
      </c>
    </row>
    <row r="16681" ht="15" customHeight="1" spans="1:22" x14ac:dyDescent="0.25">
      <c r="A16681" s="17" t="s">
        <v>44673</v>
      </c>
      <c r="B16681" s="17" t="s">
        <v>70</v>
      </c>
      <c r="C16681" s="17" t="s">
        <v>71</v>
      </c>
      <c r="D16681" t="s">
        <v>6082</v>
      </c>
      <c r="F16681" t="s">
        <v>44674</v>
      </c>
      <c r="K16681" s="18">
        <f>6281380107987</f>
        <v>6281380107987</v>
      </c>
      <c r="N16681" s="17" t="s">
        <v>81</v>
      </c>
      <c r="V16681" s="18">
        <f>6281380107987</f>
        <v>6281380107987</v>
      </c>
    </row>
    <row r="16682" ht="15" customHeight="1" spans="1:28" x14ac:dyDescent="0.25">
      <c r="A16682" s="17" t="s">
        <v>44675</v>
      </c>
      <c r="B16682" s="17" t="s">
        <v>70</v>
      </c>
      <c r="C16682" s="17" t="s">
        <v>71</v>
      </c>
      <c r="D16682" t="s">
        <v>6082</v>
      </c>
      <c r="F16682" t="s">
        <v>44676</v>
      </c>
      <c r="J16682" t="s">
        <v>115</v>
      </c>
      <c r="K16682" s="18" t="s">
        <v>44677</v>
      </c>
      <c r="N16682" s="17" t="s">
        <v>77</v>
      </c>
      <c r="O16682" t="s">
        <v>199</v>
      </c>
      <c r="V16682" s="18" t="s">
        <v>44677</v>
      </c>
      <c r="Y16682" t="s">
        <v>90</v>
      </c>
      <c r="AA16682" t="s">
        <v>118</v>
      </c>
      <c r="AB16682" t="s">
        <v>119</v>
      </c>
    </row>
    <row r="16683" ht="15" customHeight="1" spans="1:28" x14ac:dyDescent="0.25">
      <c r="A16683" s="17" t="s">
        <v>44678</v>
      </c>
      <c r="B16683" s="17" t="s">
        <v>70</v>
      </c>
      <c r="C16683" s="17" t="s">
        <v>71</v>
      </c>
      <c r="D16683" t="s">
        <v>6082</v>
      </c>
      <c r="F16683" t="s">
        <v>7448</v>
      </c>
      <c r="J16683" s="17" t="s">
        <v>44679</v>
      </c>
      <c r="K16683" s="18" t="s">
        <v>44680</v>
      </c>
      <c r="N16683" s="17" t="s">
        <v>77</v>
      </c>
      <c r="O16683" t="s">
        <v>117</v>
      </c>
      <c r="V16683" s="18" t="s">
        <v>44680</v>
      </c>
      <c r="Y16683" t="s">
        <v>115</v>
      </c>
      <c r="AA16683" t="s">
        <v>115</v>
      </c>
      <c r="AB16683" t="s">
        <v>3140</v>
      </c>
    </row>
    <row r="16684" ht="15" customHeight="1" spans="1:28" x14ac:dyDescent="0.25">
      <c r="A16684" s="17" t="s">
        <v>44681</v>
      </c>
      <c r="B16684" s="17" t="s">
        <v>70</v>
      </c>
      <c r="C16684" s="17" t="s">
        <v>71</v>
      </c>
      <c r="D16684" t="s">
        <v>6082</v>
      </c>
      <c r="F16684" t="s">
        <v>44682</v>
      </c>
      <c r="J16684" s="17" t="s">
        <v>44683</v>
      </c>
      <c r="K16684" s="18" t="s">
        <v>44684</v>
      </c>
      <c r="N16684" s="17" t="s">
        <v>77</v>
      </c>
      <c r="O16684" t="s">
        <v>117</v>
      </c>
      <c r="U16684" s="17"/>
      <c r="V16684" s="18" t="s">
        <v>44684</v>
      </c>
      <c r="W16684" t="s">
        <v>3140</v>
      </c>
      <c r="Y16684" t="s">
        <v>115</v>
      </c>
      <c r="AA16684" t="s">
        <v>115</v>
      </c>
      <c r="AB16684" t="s">
        <v>3140</v>
      </c>
    </row>
    <row r="16685" ht="15" customHeight="1" spans="1:28" x14ac:dyDescent="0.25">
      <c r="A16685" s="17" t="s">
        <v>44685</v>
      </c>
      <c r="B16685" s="17" t="s">
        <v>70</v>
      </c>
      <c r="C16685" s="17" t="s">
        <v>71</v>
      </c>
      <c r="D16685" t="s">
        <v>6082</v>
      </c>
      <c r="F16685" t="s">
        <v>13419</v>
      </c>
      <c r="J16685" s="17" t="s">
        <v>44686</v>
      </c>
      <c r="K16685" s="18" t="s">
        <v>44687</v>
      </c>
      <c r="N16685" s="17" t="s">
        <v>77</v>
      </c>
      <c r="O16685" t="s">
        <v>117</v>
      </c>
      <c r="U16685" s="17"/>
      <c r="V16685" s="18" t="s">
        <v>44687</v>
      </c>
      <c r="W16685" t="s">
        <v>44688</v>
      </c>
      <c r="Y16685" t="s">
        <v>115</v>
      </c>
      <c r="AA16685" t="s">
        <v>115</v>
      </c>
      <c r="AB16685" t="s">
        <v>3140</v>
      </c>
    </row>
    <row r="16686" ht="15" customHeight="1" spans="1:28" x14ac:dyDescent="0.25">
      <c r="A16686" s="17" t="s">
        <v>44689</v>
      </c>
      <c r="B16686" s="17" t="s">
        <v>70</v>
      </c>
      <c r="C16686" s="17" t="s">
        <v>71</v>
      </c>
      <c r="D16686" t="s">
        <v>6082</v>
      </c>
      <c r="F16686" t="s">
        <v>44690</v>
      </c>
      <c r="J16686" s="17" t="s">
        <v>44691</v>
      </c>
      <c r="K16686" s="18" t="s">
        <v>44692</v>
      </c>
      <c r="N16686" s="17" t="s">
        <v>77</v>
      </c>
      <c r="O16686" t="s">
        <v>117</v>
      </c>
      <c r="U16686" s="17"/>
      <c r="V16686" s="18" t="s">
        <v>44692</v>
      </c>
      <c r="W16686" t="s">
        <v>3140</v>
      </c>
      <c r="Y16686" t="s">
        <v>115</v>
      </c>
      <c r="AA16686" t="s">
        <v>115</v>
      </c>
      <c r="AB16686" t="s">
        <v>451</v>
      </c>
    </row>
    <row r="16687" ht="15" customHeight="1" spans="1:28" x14ac:dyDescent="0.25">
      <c r="A16687" s="17" t="s">
        <v>44693</v>
      </c>
      <c r="B16687" s="17" t="s">
        <v>70</v>
      </c>
      <c r="C16687" s="17" t="s">
        <v>71</v>
      </c>
      <c r="D16687" t="s">
        <v>6082</v>
      </c>
      <c r="F16687" t="s">
        <v>44694</v>
      </c>
      <c r="J16687" s="17" t="s">
        <v>44695</v>
      </c>
      <c r="K16687" s="18" t="s">
        <v>44696</v>
      </c>
      <c r="N16687" s="17" t="s">
        <v>77</v>
      </c>
      <c r="O16687" t="s">
        <v>117</v>
      </c>
      <c r="U16687" s="17"/>
      <c r="V16687" s="18" t="s">
        <v>44696</v>
      </c>
      <c r="W16687" t="s">
        <v>3140</v>
      </c>
      <c r="Y16687" t="s">
        <v>115</v>
      </c>
      <c r="AA16687" t="s">
        <v>115</v>
      </c>
      <c r="AB16687" t="s">
        <v>3140</v>
      </c>
    </row>
    <row r="16688" ht="15" customHeight="1" spans="1:28" x14ac:dyDescent="0.25">
      <c r="A16688" s="17" t="s">
        <v>44697</v>
      </c>
      <c r="B16688" s="17" t="s">
        <v>70</v>
      </c>
      <c r="C16688" s="17" t="s">
        <v>71</v>
      </c>
      <c r="D16688" t="s">
        <v>6082</v>
      </c>
      <c r="F16688" t="s">
        <v>44698</v>
      </c>
      <c r="J16688" s="17" t="s">
        <v>44699</v>
      </c>
      <c r="K16688" s="18" t="s">
        <v>44700</v>
      </c>
      <c r="N16688" s="17" t="s">
        <v>77</v>
      </c>
      <c r="O16688" t="s">
        <v>117</v>
      </c>
      <c r="U16688" s="17"/>
      <c r="V16688" s="18" t="s">
        <v>44700</v>
      </c>
      <c r="W16688" t="s">
        <v>42567</v>
      </c>
      <c r="Y16688" s="17" t="s">
        <v>3140</v>
      </c>
      <c r="AA16688" t="s">
        <v>115</v>
      </c>
      <c r="AB16688" t="s">
        <v>3140</v>
      </c>
    </row>
    <row r="16689" ht="15" customHeight="1" spans="1:23" x14ac:dyDescent="0.25">
      <c r="A16689" s="17" t="s">
        <v>44701</v>
      </c>
      <c r="B16689" s="17" t="s">
        <v>70</v>
      </c>
      <c r="C16689" s="17" t="s">
        <v>71</v>
      </c>
      <c r="D16689" t="s">
        <v>44702</v>
      </c>
      <c r="F16689" t="s">
        <v>21754</v>
      </c>
      <c r="K16689" s="18">
        <f>8618101505095</f>
        <v>8618101505095</v>
      </c>
      <c r="N16689" s="17" t="s">
        <v>81</v>
      </c>
      <c r="U16689" s="17"/>
      <c r="V16689" s="18">
        <f>8618101505095</f>
        <v>8618101505095</v>
      </c>
      <c r="W16689" t="s">
        <v>3140</v>
      </c>
    </row>
    <row r="16690" ht="15" customHeight="1" spans="1:22" x14ac:dyDescent="0.25">
      <c r="A16690" s="17" t="s">
        <v>44703</v>
      </c>
      <c r="B16690" s="17" t="s">
        <v>70</v>
      </c>
      <c r="C16690" s="17" t="s">
        <v>71</v>
      </c>
      <c r="D16690" s="19" t="s">
        <v>6082</v>
      </c>
      <c r="F16690" t="s">
        <v>44704</v>
      </c>
      <c r="K16690" s="18">
        <f>10409222</f>
        <v>10409222</v>
      </c>
      <c r="N16690" s="17" t="s">
        <v>81</v>
      </c>
      <c r="V16690" s="18">
        <f>10409222</f>
        <v>10409222</v>
      </c>
    </row>
    <row r="16691" ht="15" customHeight="1" spans="1:27" x14ac:dyDescent="0.25">
      <c r="A16691" s="17" t="s">
        <v>44705</v>
      </c>
      <c r="B16691" s="17" t="s">
        <v>70</v>
      </c>
      <c r="C16691" s="17" t="s">
        <v>71</v>
      </c>
      <c r="D16691" t="s">
        <v>44702</v>
      </c>
      <c r="F16691" t="s">
        <v>7299</v>
      </c>
      <c r="K16691" s="18">
        <f>61411398926</f>
        <v>61411398926</v>
      </c>
      <c r="N16691" s="17" t="s">
        <v>77</v>
      </c>
      <c r="U16691" s="17"/>
      <c r="V16691" s="18">
        <f>61411398926</f>
        <v>61411398926</v>
      </c>
      <c r="W16691" t="s">
        <v>3140</v>
      </c>
      <c r="AA16691" s="17" t="s">
        <v>44706</v>
      </c>
    </row>
    <row r="16692" ht="15" customHeight="1" spans="1:28" x14ac:dyDescent="0.25">
      <c r="A16692" s="17" t="s">
        <v>44707</v>
      </c>
      <c r="B16692" s="17" t="s">
        <v>70</v>
      </c>
      <c r="C16692" s="17" t="s">
        <v>71</v>
      </c>
      <c r="D16692" t="s">
        <v>6082</v>
      </c>
      <c r="F16692" t="s">
        <v>44708</v>
      </c>
      <c r="J16692" s="17" t="s">
        <v>44709</v>
      </c>
      <c r="K16692" s="18" t="s">
        <v>44710</v>
      </c>
      <c r="N16692" s="17" t="s">
        <v>77</v>
      </c>
      <c r="O16692" t="s">
        <v>117</v>
      </c>
      <c r="V16692" s="18" t="s">
        <v>44710</v>
      </c>
      <c r="Y16692" t="s">
        <v>115</v>
      </c>
      <c r="AA16692" t="s">
        <v>115</v>
      </c>
      <c r="AB16692" t="s">
        <v>3140</v>
      </c>
    </row>
    <row r="16693" ht="15" customHeight="1" spans="1:23" x14ac:dyDescent="0.25">
      <c r="A16693" s="17" t="s">
        <v>44711</v>
      </c>
      <c r="B16693" s="17" t="s">
        <v>70</v>
      </c>
      <c r="C16693" s="17" t="s">
        <v>71</v>
      </c>
      <c r="D16693" t="s">
        <v>44702</v>
      </c>
      <c r="F16693" t="s">
        <v>44712</v>
      </c>
      <c r="J16693" s="17" t="s">
        <v>44713</v>
      </c>
      <c r="K16693" s="18">
        <f>8614795748649</f>
        <v>8614795748649</v>
      </c>
      <c r="N16693" s="17" t="s">
        <v>77</v>
      </c>
      <c r="U16693" s="17"/>
      <c r="V16693" s="18">
        <f>8614795748649</f>
        <v>8614795748649</v>
      </c>
      <c r="W16693" t="s">
        <v>3140</v>
      </c>
    </row>
    <row r="16694" ht="15" customHeight="1" spans="1:28" x14ac:dyDescent="0.25">
      <c r="A16694" s="17" t="s">
        <v>44714</v>
      </c>
      <c r="B16694" s="17" t="s">
        <v>70</v>
      </c>
      <c r="C16694" s="17" t="s">
        <v>71</v>
      </c>
      <c r="D16694" t="s">
        <v>6082</v>
      </c>
      <c r="F16694" t="s">
        <v>7301</v>
      </c>
      <c r="J16694" s="17" t="s">
        <v>44715</v>
      </c>
      <c r="K16694" s="18" t="s">
        <v>44716</v>
      </c>
      <c r="N16694" s="17" t="s">
        <v>77</v>
      </c>
      <c r="O16694" t="s">
        <v>117</v>
      </c>
      <c r="V16694" s="18" t="s">
        <v>44716</v>
      </c>
      <c r="Y16694" t="s">
        <v>115</v>
      </c>
      <c r="AA16694" t="s">
        <v>115</v>
      </c>
      <c r="AB16694" t="s">
        <v>3140</v>
      </c>
    </row>
    <row r="16695" ht="15" customHeight="1" spans="1:25" x14ac:dyDescent="0.25">
      <c r="A16695" s="17" t="s">
        <v>44717</v>
      </c>
      <c r="B16695" s="17" t="s">
        <v>70</v>
      </c>
      <c r="C16695" s="17" t="s">
        <v>71</v>
      </c>
      <c r="D16695" t="s">
        <v>44702</v>
      </c>
      <c r="F16695" t="s">
        <v>7304</v>
      </c>
      <c r="K16695" s="18">
        <f>8613501876221</f>
        <v>8613501876221</v>
      </c>
      <c r="N16695" s="17" t="s">
        <v>81</v>
      </c>
      <c r="V16695" s="18">
        <f>8613501876221</f>
        <v>8613501876221</v>
      </c>
      <c r="Y16695" s="17" t="s">
        <v>6980</v>
      </c>
    </row>
    <row r="16696" ht="15" customHeight="1" spans="1:28" x14ac:dyDescent="0.25">
      <c r="A16696" s="17" t="s">
        <v>44718</v>
      </c>
      <c r="B16696" s="17" t="s">
        <v>70</v>
      </c>
      <c r="C16696" s="17" t="s">
        <v>71</v>
      </c>
      <c r="D16696" t="s">
        <v>6082</v>
      </c>
      <c r="F16696" t="s">
        <v>23855</v>
      </c>
      <c r="J16696" s="17" t="s">
        <v>44719</v>
      </c>
      <c r="K16696" s="18" t="s">
        <v>44720</v>
      </c>
      <c r="N16696" s="17" t="s">
        <v>77</v>
      </c>
      <c r="O16696" t="s">
        <v>117</v>
      </c>
      <c r="U16696" s="17"/>
      <c r="V16696" s="18" t="s">
        <v>44720</v>
      </c>
      <c r="W16696" t="s">
        <v>3140</v>
      </c>
      <c r="Y16696" t="s">
        <v>3140</v>
      </c>
      <c r="AA16696" t="s">
        <v>115</v>
      </c>
      <c r="AB16696" t="s">
        <v>3140</v>
      </c>
    </row>
    <row r="16697" ht="15" customHeight="1" spans="1:23" x14ac:dyDescent="0.25">
      <c r="A16697" s="17" t="s">
        <v>44721</v>
      </c>
      <c r="B16697" s="17" t="s">
        <v>70</v>
      </c>
      <c r="C16697" s="17" t="s">
        <v>71</v>
      </c>
      <c r="D16697" t="s">
        <v>44702</v>
      </c>
      <c r="F16697" t="s">
        <v>44722</v>
      </c>
      <c r="K16697" s="18">
        <f>61451033155</f>
        <v>61451033155</v>
      </c>
      <c r="N16697" s="17" t="s">
        <v>77</v>
      </c>
      <c r="U16697" s="17"/>
      <c r="V16697" s="18">
        <f>61451033155</f>
        <v>61451033155</v>
      </c>
      <c r="W16697" t="s">
        <v>3140</v>
      </c>
    </row>
    <row r="16698" ht="15" customHeight="1" spans="1:23" x14ac:dyDescent="0.25">
      <c r="A16698" s="17" t="s">
        <v>44723</v>
      </c>
      <c r="B16698" s="17" t="s">
        <v>70</v>
      </c>
      <c r="C16698" s="17" t="s">
        <v>71</v>
      </c>
      <c r="D16698" t="s">
        <v>44702</v>
      </c>
      <c r="F16698" t="s">
        <v>44724</v>
      </c>
      <c r="J16698" s="17" t="s">
        <v>44725</v>
      </c>
      <c r="K16698" s="18">
        <f>61452087256</f>
        <v>61452087256</v>
      </c>
      <c r="N16698" s="17" t="s">
        <v>77</v>
      </c>
      <c r="U16698" s="17"/>
      <c r="V16698" s="18">
        <f>61452087256</f>
        <v>61452087256</v>
      </c>
      <c r="W16698" t="s">
        <v>3140</v>
      </c>
    </row>
    <row r="16699" ht="15" customHeight="1" spans="1:28" x14ac:dyDescent="0.25">
      <c r="A16699" s="17" t="s">
        <v>44726</v>
      </c>
      <c r="B16699" s="17" t="s">
        <v>70</v>
      </c>
      <c r="C16699" s="17" t="s">
        <v>71</v>
      </c>
      <c r="D16699" t="s">
        <v>6082</v>
      </c>
      <c r="F16699" t="s">
        <v>44727</v>
      </c>
      <c r="J16699" s="17" t="s">
        <v>44728</v>
      </c>
      <c r="K16699" s="18" t="s">
        <v>44729</v>
      </c>
      <c r="N16699" s="17" t="s">
        <v>77</v>
      </c>
      <c r="O16699" t="s">
        <v>117</v>
      </c>
      <c r="V16699" s="18" t="s">
        <v>44729</v>
      </c>
      <c r="Y16699" t="s">
        <v>115</v>
      </c>
      <c r="AA16699" t="s">
        <v>115</v>
      </c>
      <c r="AB16699" t="s">
        <v>3140</v>
      </c>
    </row>
    <row r="16700" ht="15" customHeight="1" spans="1:28" x14ac:dyDescent="0.25">
      <c r="A16700" s="17" t="s">
        <v>44730</v>
      </c>
      <c r="B16700" s="17" t="s">
        <v>70</v>
      </c>
      <c r="C16700" s="17" t="s">
        <v>71</v>
      </c>
      <c r="D16700" t="s">
        <v>44702</v>
      </c>
      <c r="F16700" t="s">
        <v>44731</v>
      </c>
      <c r="J16700" s="17" t="s">
        <v>44732</v>
      </c>
      <c r="K16700" s="18" t="s">
        <v>44733</v>
      </c>
      <c r="N16700" s="17" t="s">
        <v>77</v>
      </c>
      <c r="O16700" t="s">
        <v>117</v>
      </c>
      <c r="U16700" s="17"/>
      <c r="V16700" s="18" t="s">
        <v>44733</v>
      </c>
      <c r="W16700" t="s">
        <v>3140</v>
      </c>
      <c r="Y16700" t="s">
        <v>3140</v>
      </c>
      <c r="AA16700" t="s">
        <v>115</v>
      </c>
      <c r="AB16700" t="s">
        <v>3140</v>
      </c>
    </row>
    <row r="16701" ht="15" customHeight="1" spans="1:28" x14ac:dyDescent="0.25">
      <c r="A16701" s="17" t="s">
        <v>44734</v>
      </c>
      <c r="B16701" s="17" t="s">
        <v>70</v>
      </c>
      <c r="C16701" s="17" t="s">
        <v>71</v>
      </c>
      <c r="D16701" t="s">
        <v>42697</v>
      </c>
      <c r="F16701" t="s">
        <v>15083</v>
      </c>
      <c r="J16701" s="17" t="s">
        <v>44735</v>
      </c>
      <c r="K16701" s="18" t="s">
        <v>44736</v>
      </c>
      <c r="N16701" s="17" t="s">
        <v>77</v>
      </c>
      <c r="O16701" t="s">
        <v>117</v>
      </c>
      <c r="U16701" s="17"/>
      <c r="V16701" s="18" t="s">
        <v>44736</v>
      </c>
      <c r="W16701" t="s">
        <v>44737</v>
      </c>
      <c r="Y16701" s="17" t="s">
        <v>44737</v>
      </c>
      <c r="AA16701" t="s">
        <v>115</v>
      </c>
      <c r="AB16701" t="s">
        <v>3140</v>
      </c>
    </row>
    <row r="16702" ht="15" customHeight="1" spans="1:23" x14ac:dyDescent="0.25">
      <c r="A16702" s="17" t="s">
        <v>44738</v>
      </c>
      <c r="B16702" s="17" t="s">
        <v>70</v>
      </c>
      <c r="C16702" s="17" t="s">
        <v>71</v>
      </c>
      <c r="D16702" t="s">
        <v>44702</v>
      </c>
      <c r="F16702" t="s">
        <v>41680</v>
      </c>
      <c r="J16702" s="17" t="s">
        <v>44739</v>
      </c>
      <c r="K16702" s="18">
        <f>8615210001023</f>
        <v>8615210001023</v>
      </c>
      <c r="N16702" s="17" t="s">
        <v>77</v>
      </c>
      <c r="U16702" s="17"/>
      <c r="V16702" s="18">
        <f>8615210001023</f>
        <v>8615210001023</v>
      </c>
      <c r="W16702" t="s">
        <v>3140</v>
      </c>
    </row>
    <row r="16703" ht="15" customHeight="1" spans="1:23" x14ac:dyDescent="0.25">
      <c r="A16703" s="17" t="s">
        <v>44740</v>
      </c>
      <c r="B16703" s="17" t="s">
        <v>70</v>
      </c>
      <c r="C16703" s="17" t="s">
        <v>71</v>
      </c>
      <c r="D16703" t="s">
        <v>44702</v>
      </c>
      <c r="F16703" t="s">
        <v>44741</v>
      </c>
      <c r="J16703" s="17" t="s">
        <v>44742</v>
      </c>
      <c r="K16703" s="18">
        <f>861876122222</f>
        <v>861876122222</v>
      </c>
      <c r="N16703" s="17" t="s">
        <v>77</v>
      </c>
      <c r="U16703" s="17"/>
      <c r="V16703" s="18">
        <f>861876122222</f>
        <v>861876122222</v>
      </c>
      <c r="W16703" t="s">
        <v>3140</v>
      </c>
    </row>
    <row r="16704" ht="15" customHeight="1" spans="1:28" x14ac:dyDescent="0.25">
      <c r="A16704" s="17" t="s">
        <v>44743</v>
      </c>
      <c r="B16704" s="17" t="s">
        <v>70</v>
      </c>
      <c r="C16704" s="17" t="s">
        <v>71</v>
      </c>
      <c r="D16704" t="s">
        <v>44744</v>
      </c>
      <c r="F16704" t="s">
        <v>6082</v>
      </c>
      <c r="J16704" s="17" t="s">
        <v>44745</v>
      </c>
      <c r="K16704" s="18" t="s">
        <v>44746</v>
      </c>
      <c r="N16704" s="17" t="s">
        <v>77</v>
      </c>
      <c r="O16704" t="s">
        <v>117</v>
      </c>
      <c r="U16704" s="17"/>
      <c r="V16704" s="18" t="s">
        <v>44746</v>
      </c>
      <c r="W16704" t="s">
        <v>3140</v>
      </c>
      <c r="Y16704" t="s">
        <v>115</v>
      </c>
      <c r="AA16704" t="s">
        <v>115</v>
      </c>
      <c r="AB16704" t="s">
        <v>3140</v>
      </c>
    </row>
    <row r="16705" ht="15" customHeight="1" spans="1:28" x14ac:dyDescent="0.25">
      <c r="A16705" s="17" t="s">
        <v>44747</v>
      </c>
      <c r="B16705" s="17" t="s">
        <v>70</v>
      </c>
      <c r="C16705" s="17" t="s">
        <v>71</v>
      </c>
      <c r="D16705" t="s">
        <v>44702</v>
      </c>
      <c r="F16705" t="s">
        <v>44748</v>
      </c>
      <c r="J16705" s="17" t="s">
        <v>44749</v>
      </c>
      <c r="K16705" s="18" t="s">
        <v>44750</v>
      </c>
      <c r="N16705" s="17" t="s">
        <v>77</v>
      </c>
      <c r="O16705" t="s">
        <v>117</v>
      </c>
      <c r="U16705" s="17"/>
      <c r="V16705" s="18" t="s">
        <v>44750</v>
      </c>
      <c r="W16705" t="s">
        <v>3140</v>
      </c>
      <c r="Y16705" s="17" t="s">
        <v>3140</v>
      </c>
      <c r="AA16705" t="s">
        <v>115</v>
      </c>
      <c r="AB16705" t="s">
        <v>3140</v>
      </c>
    </row>
    <row r="16706" ht="15" customHeight="1" spans="1:22" x14ac:dyDescent="0.25">
      <c r="A16706" s="17" t="s">
        <v>44751</v>
      </c>
      <c r="B16706" s="17" t="s">
        <v>70</v>
      </c>
      <c r="C16706" s="17" t="s">
        <v>71</v>
      </c>
      <c r="D16706" t="s">
        <v>44752</v>
      </c>
      <c r="F16706" t="s">
        <v>44753</v>
      </c>
      <c r="K16706" s="18">
        <v>82236280201</v>
      </c>
      <c r="N16706" s="17" t="s">
        <v>74</v>
      </c>
      <c r="V16706" s="18">
        <v>82236280201</v>
      </c>
    </row>
    <row r="16707" ht="15" customHeight="1" spans="1:22" x14ac:dyDescent="0.25">
      <c r="A16707" s="17" t="s">
        <v>44754</v>
      </c>
      <c r="B16707" s="17" t="s">
        <v>70</v>
      </c>
      <c r="C16707" s="17" t="s">
        <v>71</v>
      </c>
      <c r="D16707" t="s">
        <v>44755</v>
      </c>
      <c r="F16707" t="s">
        <v>44756</v>
      </c>
      <c r="K16707" s="18">
        <f>6281299487300</f>
        <v>6281299487300</v>
      </c>
      <c r="N16707" s="17" t="s">
        <v>77</v>
      </c>
      <c r="V16707" s="18">
        <f>6281299487300</f>
        <v>6281299487300</v>
      </c>
    </row>
    <row r="16708" ht="15" customHeight="1" spans="1:28" x14ac:dyDescent="0.25">
      <c r="A16708" s="17" t="s">
        <v>44757</v>
      </c>
      <c r="B16708" s="17" t="s">
        <v>70</v>
      </c>
      <c r="C16708" s="17" t="s">
        <v>71</v>
      </c>
      <c r="D16708" t="s">
        <v>2269</v>
      </c>
      <c r="F16708" t="s">
        <v>44758</v>
      </c>
      <c r="J16708" s="17" t="s">
        <v>44759</v>
      </c>
      <c r="K16708" s="18" t="s">
        <v>44760</v>
      </c>
      <c r="N16708" s="17" t="s">
        <v>77</v>
      </c>
      <c r="O16708" t="s">
        <v>261</v>
      </c>
      <c r="V16708" s="18" t="s">
        <v>44760</v>
      </c>
      <c r="Y16708" t="s">
        <v>3140</v>
      </c>
      <c r="AA16708" t="s">
        <v>115</v>
      </c>
      <c r="AB16708" t="s">
        <v>3140</v>
      </c>
    </row>
    <row r="16709" ht="15" customHeight="1" spans="1:23" x14ac:dyDescent="0.25">
      <c r="A16709" s="17" t="s">
        <v>44761</v>
      </c>
      <c r="B16709" s="17" t="s">
        <v>70</v>
      </c>
      <c r="C16709" s="17" t="s">
        <v>71</v>
      </c>
      <c r="D16709" t="s">
        <v>2269</v>
      </c>
      <c r="F16709" t="s">
        <v>7123</v>
      </c>
      <c r="K16709" s="18">
        <f>61414183520</f>
        <v>61414183520</v>
      </c>
      <c r="N16709" s="17" t="s">
        <v>77</v>
      </c>
      <c r="U16709" s="17"/>
      <c r="V16709" s="18">
        <f>61414183520</f>
        <v>61414183520</v>
      </c>
      <c r="W16709" t="s">
        <v>5800</v>
      </c>
    </row>
    <row r="16710" ht="15" customHeight="1" spans="1:23" x14ac:dyDescent="0.25">
      <c r="A16710" s="17" t="s">
        <v>44762</v>
      </c>
      <c r="B16710" s="17" t="s">
        <v>70</v>
      </c>
      <c r="C16710" s="17" t="s">
        <v>71</v>
      </c>
      <c r="D16710" t="s">
        <v>2269</v>
      </c>
      <c r="F16710" t="s">
        <v>7124</v>
      </c>
      <c r="K16710" s="18">
        <f>8613902963888</f>
        <v>8613902963888</v>
      </c>
      <c r="N16710" s="17" t="s">
        <v>77</v>
      </c>
      <c r="U16710" s="17"/>
      <c r="V16710" s="18">
        <f>8613902963888</f>
        <v>8613902963888</v>
      </c>
      <c r="W16710" t="s">
        <v>7602</v>
      </c>
    </row>
    <row r="16711" ht="15" customHeight="1" spans="1:22" x14ac:dyDescent="0.25">
      <c r="A16711" s="17" t="s">
        <v>44763</v>
      </c>
      <c r="B16711" s="17" t="s">
        <v>70</v>
      </c>
      <c r="C16711" s="17" t="s">
        <v>71</v>
      </c>
      <c r="D16711" t="s">
        <v>2269</v>
      </c>
      <c r="F16711" t="s">
        <v>7289</v>
      </c>
      <c r="K16711" s="18">
        <f>6281288889918</f>
        <v>6281288889918</v>
      </c>
      <c r="N16711" s="17" t="s">
        <v>81</v>
      </c>
      <c r="V16711" s="18">
        <f>6281288889918</f>
        <v>6281288889918</v>
      </c>
    </row>
    <row r="16712" ht="15" customHeight="1" spans="1:28" x14ac:dyDescent="0.25">
      <c r="A16712" s="17" t="s">
        <v>44764</v>
      </c>
      <c r="B16712" s="17" t="s">
        <v>70</v>
      </c>
      <c r="C16712" s="17" t="s">
        <v>71</v>
      </c>
      <c r="D16712" t="s">
        <v>2269</v>
      </c>
      <c r="F16712" t="s">
        <v>7444</v>
      </c>
      <c r="J16712" t="s">
        <v>115</v>
      </c>
      <c r="K16712" s="18" t="s">
        <v>44765</v>
      </c>
      <c r="N16712" s="17" t="s">
        <v>81</v>
      </c>
      <c r="O16712" t="s">
        <v>145</v>
      </c>
      <c r="V16712" s="18" t="s">
        <v>44765</v>
      </c>
      <c r="Y16712" t="s">
        <v>190</v>
      </c>
      <c r="AA16712" t="s">
        <v>118</v>
      </c>
      <c r="AB16712" t="s">
        <v>119</v>
      </c>
    </row>
    <row r="16713" ht="15" customHeight="1" spans="1:23" x14ac:dyDescent="0.25">
      <c r="A16713" s="17" t="s">
        <v>44766</v>
      </c>
      <c r="B16713" s="17" t="s">
        <v>70</v>
      </c>
      <c r="C16713" s="17" t="s">
        <v>71</v>
      </c>
      <c r="D16713" t="s">
        <v>44767</v>
      </c>
      <c r="F16713" t="s">
        <v>44768</v>
      </c>
      <c r="K16713" s="18">
        <f>61450751052</f>
        <v>61450751052</v>
      </c>
      <c r="N16713" s="17" t="s">
        <v>77</v>
      </c>
      <c r="U16713" s="17"/>
      <c r="V16713" s="18">
        <f>61450751052</f>
        <v>61450751052</v>
      </c>
      <c r="W16713" t="s">
        <v>3140</v>
      </c>
    </row>
    <row r="16714" ht="15" customHeight="1" spans="1:28" x14ac:dyDescent="0.25">
      <c r="A16714" s="17" t="s">
        <v>44769</v>
      </c>
      <c r="B16714" s="17" t="s">
        <v>70</v>
      </c>
      <c r="C16714" s="17" t="s">
        <v>71</v>
      </c>
      <c r="D16714" t="s">
        <v>2269</v>
      </c>
      <c r="F16714" t="s">
        <v>7414</v>
      </c>
      <c r="J16714" s="17" t="s">
        <v>44770</v>
      </c>
      <c r="K16714" s="18" t="s">
        <v>44771</v>
      </c>
      <c r="N16714" s="17" t="s">
        <v>77</v>
      </c>
      <c r="O16714" t="s">
        <v>117</v>
      </c>
      <c r="V16714" s="18" t="s">
        <v>44771</v>
      </c>
      <c r="Y16714" t="s">
        <v>115</v>
      </c>
      <c r="AA16714" t="s">
        <v>115</v>
      </c>
      <c r="AB16714" t="s">
        <v>3140</v>
      </c>
    </row>
    <row r="16715" ht="15" customHeight="1" spans="1:23" x14ac:dyDescent="0.25">
      <c r="A16715" s="17" t="s">
        <v>44772</v>
      </c>
      <c r="B16715" s="17" t="s">
        <v>70</v>
      </c>
      <c r="C16715" s="17" t="s">
        <v>71</v>
      </c>
      <c r="D16715" t="s">
        <v>44767</v>
      </c>
      <c r="F16715" t="s">
        <v>44773</v>
      </c>
      <c r="K16715" s="18">
        <f>8613898185005</f>
        <v>8613898185005</v>
      </c>
      <c r="N16715" s="17" t="s">
        <v>77</v>
      </c>
      <c r="U16715" s="17"/>
      <c r="V16715" s="18">
        <f>8613898185005</f>
        <v>8613898185005</v>
      </c>
      <c r="W16715" t="s">
        <v>3140</v>
      </c>
    </row>
    <row r="16716" ht="15" customHeight="1" spans="1:28" x14ac:dyDescent="0.25">
      <c r="A16716" s="17" t="s">
        <v>44774</v>
      </c>
      <c r="B16716" s="17" t="s">
        <v>70</v>
      </c>
      <c r="C16716" s="17" t="s">
        <v>71</v>
      </c>
      <c r="D16716" t="s">
        <v>24416</v>
      </c>
      <c r="F16716" t="s">
        <v>6979</v>
      </c>
      <c r="J16716" s="17" t="s">
        <v>44775</v>
      </c>
      <c r="K16716" s="18" t="s">
        <v>44776</v>
      </c>
      <c r="N16716" s="17" t="s">
        <v>77</v>
      </c>
      <c r="O16716" t="s">
        <v>145</v>
      </c>
      <c r="V16716" s="18" t="s">
        <v>44776</v>
      </c>
      <c r="Y16716" t="s">
        <v>115</v>
      </c>
      <c r="AA16716" t="s">
        <v>115</v>
      </c>
      <c r="AB16716" t="s">
        <v>3140</v>
      </c>
    </row>
    <row r="16717" ht="15" customHeight="1" spans="1:22" x14ac:dyDescent="0.25">
      <c r="A16717" s="17" t="s">
        <v>44777</v>
      </c>
      <c r="B16717" s="17" t="s">
        <v>70</v>
      </c>
      <c r="C16717" s="17" t="s">
        <v>71</v>
      </c>
      <c r="D16717" t="s">
        <v>42697</v>
      </c>
      <c r="F16717" t="s">
        <v>44778</v>
      </c>
      <c r="K16717" s="18">
        <f>61450049853</f>
        <v>61450049853</v>
      </c>
      <c r="N16717" s="17" t="s">
        <v>81</v>
      </c>
      <c r="V16717" s="18">
        <f>61450049853</f>
        <v>61450049853</v>
      </c>
    </row>
    <row r="16718" ht="15" customHeight="1" spans="1:23" x14ac:dyDescent="0.25">
      <c r="A16718" s="17" t="s">
        <v>44779</v>
      </c>
      <c r="B16718" s="17" t="s">
        <v>70</v>
      </c>
      <c r="C16718" s="17" t="s">
        <v>71</v>
      </c>
      <c r="D16718" t="s">
        <v>42697</v>
      </c>
      <c r="F16718" t="s">
        <v>14985</v>
      </c>
      <c r="K16718" s="18">
        <f>6281211161771</f>
        <v>6281211161771</v>
      </c>
      <c r="N16718" s="17" t="s">
        <v>77</v>
      </c>
      <c r="U16718" s="17"/>
      <c r="V16718" s="18">
        <f>6281211161771</f>
        <v>6281211161771</v>
      </c>
      <c r="W16718" t="s">
        <v>3140</v>
      </c>
    </row>
    <row r="16719" ht="15" customHeight="1" spans="1:28" x14ac:dyDescent="0.25">
      <c r="A16719" s="17" t="s">
        <v>44780</v>
      </c>
      <c r="B16719" s="17" t="s">
        <v>70</v>
      </c>
      <c r="C16719" s="17" t="s">
        <v>71</v>
      </c>
      <c r="D16719" t="s">
        <v>42697</v>
      </c>
      <c r="F16719" t="s">
        <v>44781</v>
      </c>
      <c r="J16719" s="17" t="s">
        <v>44782</v>
      </c>
      <c r="K16719" s="18" t="s">
        <v>44783</v>
      </c>
      <c r="N16719" s="17" t="s">
        <v>77</v>
      </c>
      <c r="O16719" t="s">
        <v>117</v>
      </c>
      <c r="U16719" s="17"/>
      <c r="V16719" s="18" t="s">
        <v>44783</v>
      </c>
      <c r="W16719" t="s">
        <v>44784</v>
      </c>
      <c r="Y16719" s="17" t="s">
        <v>1084</v>
      </c>
      <c r="AA16719" t="s">
        <v>3146</v>
      </c>
      <c r="AB16719" t="s">
        <v>119</v>
      </c>
    </row>
    <row r="16720" ht="15" customHeight="1" spans="1:28" x14ac:dyDescent="0.25">
      <c r="A16720" s="17" t="s">
        <v>44785</v>
      </c>
      <c r="B16720" s="17" t="s">
        <v>70</v>
      </c>
      <c r="C16720" s="17" t="s">
        <v>71</v>
      </c>
      <c r="D16720" t="s">
        <v>42697</v>
      </c>
      <c r="F16720" t="s">
        <v>44786</v>
      </c>
      <c r="J16720" t="s">
        <v>115</v>
      </c>
      <c r="K16720" s="18" t="s">
        <v>44787</v>
      </c>
      <c r="N16720" s="17" t="s">
        <v>77</v>
      </c>
      <c r="O16720" t="s">
        <v>117</v>
      </c>
      <c r="V16720" s="18" t="s">
        <v>44787</v>
      </c>
      <c r="Y16720" t="s">
        <v>190</v>
      </c>
      <c r="AA16720" t="s">
        <v>118</v>
      </c>
      <c r="AB16720" t="s">
        <v>3140</v>
      </c>
    </row>
    <row r="16721" ht="15" customHeight="1" spans="1:23" x14ac:dyDescent="0.25">
      <c r="A16721" s="17" t="s">
        <v>44788</v>
      </c>
      <c r="B16721" s="17" t="s">
        <v>70</v>
      </c>
      <c r="C16721" s="17" t="s">
        <v>71</v>
      </c>
      <c r="D16721" t="s">
        <v>42697</v>
      </c>
      <c r="F16721" t="s">
        <v>44789</v>
      </c>
      <c r="K16721" s="18">
        <f>18478679848</f>
        <v>18478679848</v>
      </c>
      <c r="N16721" s="17" t="s">
        <v>77</v>
      </c>
      <c r="U16721" s="17"/>
      <c r="V16721" s="18">
        <f>18478679848</f>
        <v>18478679848</v>
      </c>
      <c r="W16721" t="s">
        <v>537</v>
      </c>
    </row>
    <row r="16722" ht="15" customHeight="1" spans="1:23" x14ac:dyDescent="0.25">
      <c r="A16722" s="17" t="s">
        <v>44790</v>
      </c>
      <c r="B16722" s="17" t="s">
        <v>70</v>
      </c>
      <c r="C16722" s="17" t="s">
        <v>71</v>
      </c>
      <c r="D16722" t="s">
        <v>42697</v>
      </c>
      <c r="F16722" t="s">
        <v>20544</v>
      </c>
      <c r="K16722" s="18">
        <f>61451370228</f>
        <v>61451370228</v>
      </c>
      <c r="N16722" s="17" t="s">
        <v>77</v>
      </c>
      <c r="U16722" s="17"/>
      <c r="V16722" s="18">
        <f>61451370228</f>
        <v>61451370228</v>
      </c>
      <c r="W16722" t="s">
        <v>3140</v>
      </c>
    </row>
    <row r="16723" ht="15" customHeight="1" spans="1:25" x14ac:dyDescent="0.25">
      <c r="A16723" s="17" t="s">
        <v>44791</v>
      </c>
      <c r="B16723" s="17" t="s">
        <v>70</v>
      </c>
      <c r="C16723" s="17" t="s">
        <v>71</v>
      </c>
      <c r="D16723" t="s">
        <v>42697</v>
      </c>
      <c r="F16723" t="s">
        <v>8400</v>
      </c>
      <c r="J16723" s="17" t="s">
        <v>44792</v>
      </c>
      <c r="K16723" s="18">
        <f>628128598776</f>
        <v>628128598776</v>
      </c>
      <c r="N16723" s="17" t="s">
        <v>81</v>
      </c>
      <c r="U16723" s="17"/>
      <c r="V16723" s="18">
        <f>628128598776</f>
        <v>628128598776</v>
      </c>
      <c r="W16723" t="s">
        <v>44793</v>
      </c>
      <c r="Y16723" s="17" t="s">
        <v>90</v>
      </c>
    </row>
    <row r="16724" ht="15" customHeight="1" spans="1:22" x14ac:dyDescent="0.25">
      <c r="A16724" s="17" t="s">
        <v>44794</v>
      </c>
      <c r="B16724" s="17" t="s">
        <v>70</v>
      </c>
      <c r="C16724" s="17" t="s">
        <v>71</v>
      </c>
      <c r="D16724" t="s">
        <v>42697</v>
      </c>
      <c r="F16724" t="s">
        <v>7440</v>
      </c>
      <c r="J16724" s="17" t="s">
        <v>44795</v>
      </c>
      <c r="K16724" s="18">
        <f>62811787533</f>
        <v>62811787533</v>
      </c>
      <c r="N16724" s="17" t="s">
        <v>77</v>
      </c>
      <c r="V16724" s="18">
        <f>62811787533</f>
        <v>62811787533</v>
      </c>
    </row>
    <row r="16725" ht="15" customHeight="1" spans="1:28" x14ac:dyDescent="0.25">
      <c r="A16725" s="17" t="s">
        <v>44796</v>
      </c>
      <c r="B16725" s="17" t="s">
        <v>70</v>
      </c>
      <c r="C16725" s="17" t="s">
        <v>71</v>
      </c>
      <c r="D16725" t="s">
        <v>42697</v>
      </c>
      <c r="F16725" t="s">
        <v>5942</v>
      </c>
      <c r="J16725" s="17" t="s">
        <v>44797</v>
      </c>
      <c r="K16725" s="18" t="s">
        <v>44798</v>
      </c>
      <c r="N16725" s="17" t="s">
        <v>77</v>
      </c>
      <c r="O16725" t="s">
        <v>117</v>
      </c>
      <c r="V16725" s="18" t="s">
        <v>44798</v>
      </c>
      <c r="Y16725" s="17" t="s">
        <v>3140</v>
      </c>
      <c r="AA16725" t="s">
        <v>115</v>
      </c>
      <c r="AB16725" t="s">
        <v>3140</v>
      </c>
    </row>
    <row r="16726" ht="15" customHeight="1" spans="1:28" x14ac:dyDescent="0.25">
      <c r="A16726" s="17" t="s">
        <v>44799</v>
      </c>
      <c r="B16726" s="17" t="s">
        <v>70</v>
      </c>
      <c r="C16726" s="17" t="s">
        <v>71</v>
      </c>
      <c r="D16726" t="s">
        <v>42697</v>
      </c>
      <c r="F16726" t="s">
        <v>44800</v>
      </c>
      <c r="J16726" s="17" t="s">
        <v>44801</v>
      </c>
      <c r="K16726" s="18" t="s">
        <v>44802</v>
      </c>
      <c r="N16726" s="17" t="s">
        <v>77</v>
      </c>
      <c r="O16726" t="s">
        <v>117</v>
      </c>
      <c r="U16726" s="17"/>
      <c r="V16726" s="18" t="s">
        <v>44802</v>
      </c>
      <c r="W16726" t="s">
        <v>3140</v>
      </c>
      <c r="Y16726" t="s">
        <v>115</v>
      </c>
      <c r="AA16726" t="s">
        <v>115</v>
      </c>
      <c r="AB16726" t="s">
        <v>3140</v>
      </c>
    </row>
    <row r="16727" ht="15" customHeight="1" spans="1:23" x14ac:dyDescent="0.25">
      <c r="A16727" s="17" t="s">
        <v>44803</v>
      </c>
      <c r="B16727" s="17" t="s">
        <v>70</v>
      </c>
      <c r="C16727" s="17" t="s">
        <v>71</v>
      </c>
      <c r="D16727" t="s">
        <v>44804</v>
      </c>
      <c r="F16727" t="s">
        <v>44805</v>
      </c>
      <c r="K16727" s="18">
        <f>8613878891888</f>
        <v>8613878891888</v>
      </c>
      <c r="N16727" s="17" t="s">
        <v>77</v>
      </c>
      <c r="U16727" s="17"/>
      <c r="V16727" s="18">
        <f>8613878891888</f>
        <v>8613878891888</v>
      </c>
      <c r="W16727" t="s">
        <v>3140</v>
      </c>
    </row>
    <row r="16728" ht="15" customHeight="1" spans="1:28" x14ac:dyDescent="0.25">
      <c r="A16728" s="17" t="s">
        <v>44806</v>
      </c>
      <c r="B16728" s="17" t="s">
        <v>70</v>
      </c>
      <c r="C16728" s="17" t="s">
        <v>71</v>
      </c>
      <c r="D16728" t="s">
        <v>42697</v>
      </c>
      <c r="F16728" t="s">
        <v>44807</v>
      </c>
      <c r="J16728" s="17" t="s">
        <v>44808</v>
      </c>
      <c r="K16728" s="18" t="s">
        <v>44809</v>
      </c>
      <c r="N16728" s="17" t="s">
        <v>77</v>
      </c>
      <c r="O16728" t="s">
        <v>117</v>
      </c>
      <c r="V16728" s="18" t="s">
        <v>44809</v>
      </c>
      <c r="Y16728" s="17" t="s">
        <v>3140</v>
      </c>
      <c r="AA16728" t="s">
        <v>115</v>
      </c>
      <c r="AB16728" t="s">
        <v>3140</v>
      </c>
    </row>
    <row r="16729" ht="15" customHeight="1" spans="1:28" x14ac:dyDescent="0.25">
      <c r="A16729" s="17" t="s">
        <v>44810</v>
      </c>
      <c r="B16729" s="17" t="s">
        <v>70</v>
      </c>
      <c r="C16729" s="17" t="s">
        <v>71</v>
      </c>
      <c r="D16729" t="s">
        <v>42697</v>
      </c>
      <c r="F16729" t="s">
        <v>7315</v>
      </c>
      <c r="J16729" s="17" t="s">
        <v>44811</v>
      </c>
      <c r="K16729" s="18" t="s">
        <v>44812</v>
      </c>
      <c r="N16729" s="17" t="s">
        <v>77</v>
      </c>
      <c r="O16729" t="s">
        <v>117</v>
      </c>
      <c r="U16729" s="17"/>
      <c r="V16729" s="18" t="s">
        <v>44812</v>
      </c>
      <c r="W16729" t="s">
        <v>3140</v>
      </c>
      <c r="Y16729" t="s">
        <v>3140</v>
      </c>
      <c r="AA16729" t="s">
        <v>115</v>
      </c>
      <c r="AB16729" t="s">
        <v>3140</v>
      </c>
    </row>
    <row r="16730" ht="15" customHeight="1" spans="1:22" x14ac:dyDescent="0.25">
      <c r="A16730" s="17" t="s">
        <v>44813</v>
      </c>
      <c r="B16730" s="17" t="s">
        <v>70</v>
      </c>
      <c r="C16730" s="17" t="s">
        <v>71</v>
      </c>
      <c r="D16730" t="s">
        <v>25118</v>
      </c>
      <c r="F16730" t="s">
        <v>44814</v>
      </c>
      <c r="K16730" s="18">
        <f>6281111678888</f>
        <v>6281111678888</v>
      </c>
      <c r="N16730" s="17" t="s">
        <v>77</v>
      </c>
      <c r="V16730" s="18">
        <f>6281111678888</f>
        <v>6281111678888</v>
      </c>
    </row>
    <row r="16731" ht="15" customHeight="1" spans="1:28" x14ac:dyDescent="0.25">
      <c r="A16731" s="17" t="s">
        <v>44815</v>
      </c>
      <c r="B16731" s="17" t="s">
        <v>70</v>
      </c>
      <c r="C16731" s="17" t="s">
        <v>71</v>
      </c>
      <c r="D16731" t="s">
        <v>25118</v>
      </c>
      <c r="F16731" t="s">
        <v>44816</v>
      </c>
      <c r="J16731" s="17" t="s">
        <v>44817</v>
      </c>
      <c r="K16731" s="18" t="s">
        <v>44818</v>
      </c>
      <c r="N16731" s="17" t="s">
        <v>77</v>
      </c>
      <c r="O16731" t="s">
        <v>117</v>
      </c>
      <c r="U16731" s="17"/>
      <c r="V16731" s="18" t="s">
        <v>44818</v>
      </c>
      <c r="W16731" t="s">
        <v>44819</v>
      </c>
      <c r="Y16731" t="s">
        <v>3140</v>
      </c>
      <c r="AA16731" t="s">
        <v>115</v>
      </c>
      <c r="AB16731" t="s">
        <v>3140</v>
      </c>
    </row>
    <row r="16732" ht="15" customHeight="1" spans="1:22" x14ac:dyDescent="0.25">
      <c r="A16732" s="17" t="s">
        <v>44820</v>
      </c>
      <c r="B16732" s="17" t="s">
        <v>70</v>
      </c>
      <c r="C16732" s="17" t="s">
        <v>71</v>
      </c>
      <c r="D16732" t="s">
        <v>44821</v>
      </c>
      <c r="F16732" t="s">
        <v>20853</v>
      </c>
      <c r="K16732" s="18">
        <f>6281389782929</f>
        <v>6281389782929</v>
      </c>
      <c r="N16732" s="17" t="s">
        <v>77</v>
      </c>
      <c r="V16732" s="18">
        <f>6281389782929</f>
        <v>6281389782929</v>
      </c>
    </row>
    <row r="16733" ht="15" customHeight="1" spans="1:22" x14ac:dyDescent="0.25">
      <c r="A16733" s="17" t="s">
        <v>44822</v>
      </c>
      <c r="B16733" s="17" t="s">
        <v>70</v>
      </c>
      <c r="C16733" s="17" t="s">
        <v>71</v>
      </c>
      <c r="D16733" t="s">
        <v>44823</v>
      </c>
      <c r="F16733" t="s">
        <v>3092</v>
      </c>
      <c r="K16733" s="18">
        <f>6281383235396</f>
        <v>6281383235396</v>
      </c>
      <c r="N16733" s="17" t="s">
        <v>81</v>
      </c>
      <c r="V16733" s="18">
        <f>6281383235396</f>
        <v>6281383235396</v>
      </c>
    </row>
    <row r="16734" ht="15" customHeight="1" spans="1:22" x14ac:dyDescent="0.25">
      <c r="A16734" s="17" t="s">
        <v>44824</v>
      </c>
      <c r="B16734" s="17" t="s">
        <v>70</v>
      </c>
      <c r="C16734" s="17" t="s">
        <v>71</v>
      </c>
      <c r="D16734" t="s">
        <v>10991</v>
      </c>
      <c r="F16734" t="s">
        <v>13966</v>
      </c>
      <c r="K16734" s="18">
        <f>6281952322917</f>
        <v>6281952322917</v>
      </c>
      <c r="N16734" s="17" t="s">
        <v>77</v>
      </c>
      <c r="V16734" s="18">
        <f>6281952322917</f>
        <v>6281952322917</v>
      </c>
    </row>
    <row r="16735" ht="15" customHeight="1" spans="1:23" x14ac:dyDescent="0.25">
      <c r="A16735" s="17" t="s">
        <v>44825</v>
      </c>
      <c r="B16735" s="17" t="s">
        <v>70</v>
      </c>
      <c r="C16735" s="17" t="s">
        <v>71</v>
      </c>
      <c r="D16735" t="s">
        <v>10991</v>
      </c>
      <c r="F16735" t="s">
        <v>6693</v>
      </c>
      <c r="K16735" s="18">
        <f>6285810882018</f>
        <v>6285810882018</v>
      </c>
      <c r="N16735" s="17" t="s">
        <v>81</v>
      </c>
      <c r="U16735" s="17"/>
      <c r="V16735" s="18">
        <f>6285810882018</f>
        <v>6285810882018</v>
      </c>
      <c r="W16735" t="s">
        <v>44826</v>
      </c>
    </row>
    <row r="16736" ht="15" customHeight="1" spans="1:28" x14ac:dyDescent="0.25">
      <c r="A16736" s="17" t="s">
        <v>44827</v>
      </c>
      <c r="B16736" s="17" t="s">
        <v>70</v>
      </c>
      <c r="C16736" s="17" t="s">
        <v>71</v>
      </c>
      <c r="D16736" t="s">
        <v>10991</v>
      </c>
      <c r="F16736" t="s">
        <v>24912</v>
      </c>
      <c r="J16736" s="17" t="s">
        <v>44828</v>
      </c>
      <c r="K16736" s="18" t="s">
        <v>44829</v>
      </c>
      <c r="N16736" s="17" t="s">
        <v>77</v>
      </c>
      <c r="O16736" t="s">
        <v>117</v>
      </c>
      <c r="U16736" s="17"/>
      <c r="V16736" s="18" t="s">
        <v>44829</v>
      </c>
      <c r="W16736" t="s">
        <v>3140</v>
      </c>
      <c r="Y16736" t="s">
        <v>115</v>
      </c>
      <c r="AA16736" t="s">
        <v>115</v>
      </c>
      <c r="AB16736" t="s">
        <v>3140</v>
      </c>
    </row>
    <row r="16737" ht="15" customHeight="1" spans="1:23" x14ac:dyDescent="0.25">
      <c r="A16737" s="17" t="s">
        <v>44830</v>
      </c>
      <c r="B16737" s="17" t="s">
        <v>70</v>
      </c>
      <c r="C16737" s="17" t="s">
        <v>71</v>
      </c>
      <c r="D16737" t="s">
        <v>31427</v>
      </c>
      <c r="F16737" t="s">
        <v>44831</v>
      </c>
      <c r="J16737" s="17" t="s">
        <v>44832</v>
      </c>
      <c r="K16737" s="18">
        <f>628121034592</f>
        <v>628121034592</v>
      </c>
      <c r="N16737" s="17" t="s">
        <v>77</v>
      </c>
      <c r="U16737" s="17"/>
      <c r="V16737" s="18">
        <f>628121034592</f>
        <v>628121034592</v>
      </c>
      <c r="W16737" t="s">
        <v>44833</v>
      </c>
    </row>
    <row r="16738" ht="15" customHeight="1" spans="1:28" x14ac:dyDescent="0.25">
      <c r="A16738" s="17" t="s">
        <v>44834</v>
      </c>
      <c r="B16738" s="17" t="s">
        <v>70</v>
      </c>
      <c r="C16738" s="17" t="s">
        <v>71</v>
      </c>
      <c r="D16738" t="s">
        <v>31427</v>
      </c>
      <c r="F16738" t="s">
        <v>44835</v>
      </c>
      <c r="J16738" s="17" t="s">
        <v>44836</v>
      </c>
      <c r="K16738" s="18" t="s">
        <v>44837</v>
      </c>
      <c r="N16738" s="17" t="s">
        <v>77</v>
      </c>
      <c r="O16738" t="s">
        <v>199</v>
      </c>
      <c r="V16738" s="18" t="s">
        <v>44837</v>
      </c>
      <c r="Y16738" t="s">
        <v>190</v>
      </c>
      <c r="AA16738" t="s">
        <v>118</v>
      </c>
      <c r="AB16738" t="s">
        <v>3140</v>
      </c>
    </row>
    <row r="16739" ht="15" customHeight="1" spans="1:22" x14ac:dyDescent="0.25">
      <c r="A16739" s="17" t="s">
        <v>44838</v>
      </c>
      <c r="B16739" s="17" t="s">
        <v>70</v>
      </c>
      <c r="C16739" s="17" t="s">
        <v>71</v>
      </c>
      <c r="D16739" t="s">
        <v>31427</v>
      </c>
      <c r="F16739" t="s">
        <v>44839</v>
      </c>
      <c r="K16739" s="18">
        <v>18525308288</v>
      </c>
      <c r="N16739" s="17" t="s">
        <v>77</v>
      </c>
      <c r="V16739" s="18">
        <v>18525308288</v>
      </c>
    </row>
    <row r="16740" ht="15" customHeight="1" spans="1:25" x14ac:dyDescent="0.25">
      <c r="A16740" s="17" t="s">
        <v>44840</v>
      </c>
      <c r="B16740" s="17" t="s">
        <v>70</v>
      </c>
      <c r="C16740" s="17" t="s">
        <v>71</v>
      </c>
      <c r="D16740" t="s">
        <v>31427</v>
      </c>
      <c r="F16740" t="s">
        <v>7299</v>
      </c>
      <c r="K16740" s="18">
        <v>13301809338</v>
      </c>
      <c r="N16740" s="17" t="s">
        <v>77</v>
      </c>
      <c r="U16740" s="17"/>
      <c r="V16740" s="18">
        <v>13301809338</v>
      </c>
      <c r="W16740" t="s">
        <v>44841</v>
      </c>
      <c r="Y16740" s="17" t="s">
        <v>6980</v>
      </c>
    </row>
    <row r="16741" ht="15" customHeight="1" spans="1:28" x14ac:dyDescent="0.25">
      <c r="A16741" s="17" t="s">
        <v>44842</v>
      </c>
      <c r="B16741" s="17" t="s">
        <v>70</v>
      </c>
      <c r="C16741" s="17" t="s">
        <v>71</v>
      </c>
      <c r="D16741" t="s">
        <v>31427</v>
      </c>
      <c r="F16741" t="s">
        <v>44843</v>
      </c>
      <c r="J16741" s="17" t="s">
        <v>44844</v>
      </c>
      <c r="K16741" s="18" t="s">
        <v>44845</v>
      </c>
      <c r="N16741" s="17" t="s">
        <v>77</v>
      </c>
      <c r="O16741" t="s">
        <v>145</v>
      </c>
      <c r="U16741" s="17"/>
      <c r="V16741" s="18" t="s">
        <v>44845</v>
      </c>
      <c r="W16741" t="s">
        <v>930</v>
      </c>
      <c r="Y16741" t="s">
        <v>930</v>
      </c>
      <c r="AA16741" t="s">
        <v>115</v>
      </c>
      <c r="AB16741" t="s">
        <v>930</v>
      </c>
    </row>
    <row r="16742" ht="15" customHeight="1" spans="1:22" x14ac:dyDescent="0.25">
      <c r="A16742" s="17" t="s">
        <v>44846</v>
      </c>
      <c r="B16742" s="17" t="s">
        <v>70</v>
      </c>
      <c r="C16742" s="17" t="s">
        <v>71</v>
      </c>
      <c r="D16742" t="s">
        <v>31427</v>
      </c>
      <c r="F16742" t="s">
        <v>44847</v>
      </c>
      <c r="K16742" s="18">
        <f>6281286785634</f>
        <v>6281286785634</v>
      </c>
      <c r="N16742" s="17" t="s">
        <v>81</v>
      </c>
      <c r="V16742" s="18">
        <f>6281286785634</f>
        <v>6281286785634</v>
      </c>
    </row>
    <row r="16743" ht="15" customHeight="1" spans="1:22" x14ac:dyDescent="0.25">
      <c r="A16743" s="17" t="s">
        <v>44848</v>
      </c>
      <c r="B16743" s="17" t="s">
        <v>70</v>
      </c>
      <c r="C16743" s="17" t="s">
        <v>71</v>
      </c>
      <c r="D16743" t="s">
        <v>31427</v>
      </c>
      <c r="F16743" t="s">
        <v>7405</v>
      </c>
      <c r="K16743" s="18">
        <f>6281917804589</f>
        <v>6281917804589</v>
      </c>
      <c r="N16743" s="17" t="s">
        <v>77</v>
      </c>
      <c r="V16743" s="18">
        <f>6281917804589</f>
        <v>6281917804589</v>
      </c>
    </row>
    <row r="16744" ht="15" customHeight="1" spans="1:28" x14ac:dyDescent="0.25">
      <c r="A16744" s="17" t="s">
        <v>44849</v>
      </c>
      <c r="B16744" s="17" t="s">
        <v>70</v>
      </c>
      <c r="C16744" s="17" t="s">
        <v>71</v>
      </c>
      <c r="D16744" t="s">
        <v>31427</v>
      </c>
      <c r="F16744" t="s">
        <v>44850</v>
      </c>
      <c r="J16744" s="17" t="s">
        <v>44851</v>
      </c>
      <c r="K16744" s="18" t="s">
        <v>44852</v>
      </c>
      <c r="N16744" s="17" t="s">
        <v>77</v>
      </c>
      <c r="O16744" t="s">
        <v>145</v>
      </c>
      <c r="U16744" s="17"/>
      <c r="V16744" s="18" t="s">
        <v>44852</v>
      </c>
      <c r="W16744" t="s">
        <v>3140</v>
      </c>
      <c r="Y16744" t="s">
        <v>115</v>
      </c>
      <c r="AA16744" t="s">
        <v>115</v>
      </c>
      <c r="AB16744" t="s">
        <v>3140</v>
      </c>
    </row>
    <row r="16745" ht="15" customHeight="1" spans="1:28" x14ac:dyDescent="0.25">
      <c r="A16745" s="17" t="s">
        <v>44853</v>
      </c>
      <c r="B16745" s="17" t="s">
        <v>70</v>
      </c>
      <c r="C16745" s="17" t="s">
        <v>71</v>
      </c>
      <c r="D16745" t="s">
        <v>31427</v>
      </c>
      <c r="F16745" t="s">
        <v>44805</v>
      </c>
      <c r="J16745" t="s">
        <v>115</v>
      </c>
      <c r="K16745" s="18" t="s">
        <v>44854</v>
      </c>
      <c r="N16745" s="17" t="s">
        <v>77</v>
      </c>
      <c r="O16745" t="s">
        <v>199</v>
      </c>
      <c r="V16745" s="18" t="s">
        <v>44854</v>
      </c>
      <c r="Y16745" s="17" t="s">
        <v>90</v>
      </c>
      <c r="AA16745" t="s">
        <v>118</v>
      </c>
      <c r="AB16745" t="s">
        <v>119</v>
      </c>
    </row>
    <row r="16746" ht="15" customHeight="1" spans="1:28" x14ac:dyDescent="0.25">
      <c r="A16746" s="17" t="s">
        <v>44855</v>
      </c>
      <c r="B16746" s="17" t="s">
        <v>70</v>
      </c>
      <c r="C16746" s="17" t="s">
        <v>71</v>
      </c>
      <c r="D16746" t="s">
        <v>44856</v>
      </c>
      <c r="F16746" t="s">
        <v>31427</v>
      </c>
      <c r="J16746" s="17" t="s">
        <v>44857</v>
      </c>
      <c r="K16746" s="18" t="s">
        <v>44858</v>
      </c>
      <c r="N16746" s="17" t="s">
        <v>77</v>
      </c>
      <c r="O16746" t="s">
        <v>117</v>
      </c>
      <c r="U16746" s="17"/>
      <c r="V16746" s="18" t="s">
        <v>44858</v>
      </c>
      <c r="W16746" t="s">
        <v>3140</v>
      </c>
      <c r="Y16746" t="s">
        <v>3140</v>
      </c>
      <c r="AA16746" t="s">
        <v>115</v>
      </c>
      <c r="AB16746" t="s">
        <v>3140</v>
      </c>
    </row>
    <row r="16747" ht="15" customHeight="1" spans="1:23" x14ac:dyDescent="0.25">
      <c r="A16747" s="17" t="s">
        <v>44859</v>
      </c>
      <c r="B16747" s="17" t="s">
        <v>70</v>
      </c>
      <c r="C16747" s="17" t="s">
        <v>71</v>
      </c>
      <c r="D16747" t="s">
        <v>44860</v>
      </c>
      <c r="F16747" t="s">
        <v>44861</v>
      </c>
      <c r="K16747" s="18">
        <f>13588071910</f>
        <v>13588071910</v>
      </c>
      <c r="N16747" s="17" t="s">
        <v>77</v>
      </c>
      <c r="U16747" s="17"/>
      <c r="V16747" s="18">
        <f>13588071910</f>
        <v>13588071910</v>
      </c>
      <c r="W16747" t="s">
        <v>3140</v>
      </c>
    </row>
    <row r="16748" ht="15" customHeight="1" spans="1:23" x14ac:dyDescent="0.25">
      <c r="A16748" s="17" t="s">
        <v>44862</v>
      </c>
      <c r="B16748" s="17" t="s">
        <v>70</v>
      </c>
      <c r="C16748" s="17" t="s">
        <v>71</v>
      </c>
      <c r="D16748" t="s">
        <v>44860</v>
      </c>
      <c r="F16748" t="s">
        <v>8419</v>
      </c>
      <c r="K16748" s="18">
        <f>821065469722</f>
        <v>821065469722</v>
      </c>
      <c r="N16748" s="17" t="s">
        <v>77</v>
      </c>
      <c r="U16748" s="17"/>
      <c r="V16748" s="18">
        <f>821065469722</f>
        <v>821065469722</v>
      </c>
      <c r="W16748" t="s">
        <v>3140</v>
      </c>
    </row>
    <row r="16749" ht="15" customHeight="1" spans="1:23" x14ac:dyDescent="0.25">
      <c r="A16749" s="17" t="s">
        <v>44863</v>
      </c>
      <c r="B16749" s="17" t="s">
        <v>70</v>
      </c>
      <c r="C16749" s="17" t="s">
        <v>71</v>
      </c>
      <c r="D16749" t="s">
        <v>44860</v>
      </c>
      <c r="F16749" t="s">
        <v>44864</v>
      </c>
      <c r="K16749" s="18">
        <f>8613917778820</f>
        <v>8613917778820</v>
      </c>
      <c r="N16749" s="17" t="s">
        <v>77</v>
      </c>
      <c r="U16749" s="17"/>
      <c r="V16749" s="18">
        <f>8613917778820</f>
        <v>8613917778820</v>
      </c>
      <c r="W16749" t="s">
        <v>7376</v>
      </c>
    </row>
    <row r="16750" ht="15" customHeight="1" spans="1:23" x14ac:dyDescent="0.25">
      <c r="A16750" s="17" t="s">
        <v>44865</v>
      </c>
      <c r="B16750" s="17" t="s">
        <v>70</v>
      </c>
      <c r="C16750" s="17" t="s">
        <v>71</v>
      </c>
      <c r="D16750" t="s">
        <v>44860</v>
      </c>
      <c r="F16750" t="s">
        <v>44866</v>
      </c>
      <c r="K16750" s="18">
        <f>8613820613753</f>
        <v>8613820613753</v>
      </c>
      <c r="N16750" s="17" t="s">
        <v>77</v>
      </c>
      <c r="U16750" s="17"/>
      <c r="V16750" s="18">
        <f>8613820613753</f>
        <v>8613820613753</v>
      </c>
      <c r="W16750" t="s">
        <v>3140</v>
      </c>
    </row>
    <row r="16751" ht="15" customHeight="1" spans="1:28" x14ac:dyDescent="0.25">
      <c r="A16751" s="17" t="s">
        <v>44867</v>
      </c>
      <c r="B16751" s="17" t="s">
        <v>70</v>
      </c>
      <c r="C16751" s="17" t="s">
        <v>71</v>
      </c>
      <c r="D16751" t="s">
        <v>31427</v>
      </c>
      <c r="F16751" t="s">
        <v>44868</v>
      </c>
      <c r="J16751" t="s">
        <v>115</v>
      </c>
      <c r="K16751" s="18" t="s">
        <v>44869</v>
      </c>
      <c r="N16751" s="17" t="s">
        <v>77</v>
      </c>
      <c r="O16751" t="s">
        <v>117</v>
      </c>
      <c r="U16751" s="17"/>
      <c r="V16751" s="18" t="s">
        <v>44869</v>
      </c>
      <c r="W16751" t="s">
        <v>3140</v>
      </c>
      <c r="Y16751" t="s">
        <v>3140</v>
      </c>
      <c r="AA16751" t="s">
        <v>115</v>
      </c>
      <c r="AB16751" t="s">
        <v>3140</v>
      </c>
    </row>
    <row r="16752" ht="15" customHeight="1" spans="1:28" x14ac:dyDescent="0.25">
      <c r="A16752" s="17" t="s">
        <v>44870</v>
      </c>
      <c r="B16752" s="17" t="s">
        <v>70</v>
      </c>
      <c r="C16752" s="17" t="s">
        <v>71</v>
      </c>
      <c r="D16752" t="s">
        <v>44860</v>
      </c>
      <c r="F16752" t="s">
        <v>16014</v>
      </c>
      <c r="J16752" s="17" t="s">
        <v>44871</v>
      </c>
      <c r="K16752" s="18" t="s">
        <v>44872</v>
      </c>
      <c r="N16752" s="17" t="s">
        <v>77</v>
      </c>
      <c r="O16752" t="s">
        <v>117</v>
      </c>
      <c r="U16752" s="17"/>
      <c r="V16752" s="18" t="s">
        <v>44872</v>
      </c>
      <c r="W16752" t="s">
        <v>3140</v>
      </c>
      <c r="Y16752" t="s">
        <v>3140</v>
      </c>
      <c r="AA16752" t="s">
        <v>115</v>
      </c>
      <c r="AB16752" t="s">
        <v>3140</v>
      </c>
    </row>
    <row r="16753" ht="15" customHeight="1" spans="1:28" x14ac:dyDescent="0.25">
      <c r="A16753" s="17" t="s">
        <v>44873</v>
      </c>
      <c r="B16753" s="17" t="s">
        <v>70</v>
      </c>
      <c r="C16753" s="17" t="s">
        <v>71</v>
      </c>
      <c r="D16753" t="s">
        <v>2897</v>
      </c>
      <c r="F16753" t="s">
        <v>44874</v>
      </c>
      <c r="J16753" t="s">
        <v>115</v>
      </c>
      <c r="K16753" s="18" t="s">
        <v>44875</v>
      </c>
      <c r="N16753" s="17" t="s">
        <v>77</v>
      </c>
      <c r="O16753" t="s">
        <v>261</v>
      </c>
      <c r="V16753" s="18" t="s">
        <v>44875</v>
      </c>
      <c r="Y16753" t="s">
        <v>3140</v>
      </c>
      <c r="AA16753" t="s">
        <v>115</v>
      </c>
      <c r="AB16753" t="s">
        <v>3140</v>
      </c>
    </row>
    <row r="16754" ht="15" customHeight="1" spans="1:28" x14ac:dyDescent="0.25">
      <c r="A16754" s="17" t="s">
        <v>44876</v>
      </c>
      <c r="B16754" s="17" t="s">
        <v>70</v>
      </c>
      <c r="C16754" s="17" t="s">
        <v>71</v>
      </c>
      <c r="D16754" t="s">
        <v>2897</v>
      </c>
      <c r="F16754" t="s">
        <v>3142</v>
      </c>
      <c r="J16754" t="s">
        <v>115</v>
      </c>
      <c r="K16754" s="18" t="s">
        <v>44877</v>
      </c>
      <c r="N16754" s="17" t="s">
        <v>77</v>
      </c>
      <c r="O16754" t="s">
        <v>145</v>
      </c>
      <c r="V16754" s="18" t="s">
        <v>44877</v>
      </c>
      <c r="Y16754" t="s">
        <v>6937</v>
      </c>
      <c r="AA16754" t="s">
        <v>115</v>
      </c>
      <c r="AB16754" t="s">
        <v>6937</v>
      </c>
    </row>
    <row r="16755" ht="15" customHeight="1" spans="1:22" x14ac:dyDescent="0.25">
      <c r="A16755" s="17" t="s">
        <v>44878</v>
      </c>
      <c r="B16755" s="17" t="s">
        <v>70</v>
      </c>
      <c r="C16755" s="17" t="s">
        <v>71</v>
      </c>
      <c r="D16755" t="s">
        <v>2897</v>
      </c>
      <c r="F16755" t="s">
        <v>8419</v>
      </c>
      <c r="K16755" s="18">
        <f>8613466508963</f>
        <v>8613466508963</v>
      </c>
      <c r="N16755" s="17" t="s">
        <v>81</v>
      </c>
      <c r="V16755" s="18">
        <f>8613466508963</f>
        <v>8613466508963</v>
      </c>
    </row>
    <row r="16756" ht="15" customHeight="1" spans="1:23" x14ac:dyDescent="0.25">
      <c r="A16756" s="17" t="s">
        <v>44879</v>
      </c>
      <c r="B16756" s="17" t="s">
        <v>70</v>
      </c>
      <c r="C16756" s="17" t="s">
        <v>71</v>
      </c>
      <c r="D16756" t="s">
        <v>2897</v>
      </c>
      <c r="F16756" t="s">
        <v>14821</v>
      </c>
      <c r="J16756" s="17" t="s">
        <v>44880</v>
      </c>
      <c r="K16756" s="18">
        <f>8613641817774</f>
        <v>8613641817774</v>
      </c>
      <c r="N16756" s="17" t="s">
        <v>77</v>
      </c>
      <c r="U16756" s="17"/>
      <c r="V16756" s="18">
        <f>8613641817774</f>
        <v>8613641817774</v>
      </c>
      <c r="W16756" t="s">
        <v>3140</v>
      </c>
    </row>
    <row r="16757" ht="15" customHeight="1" spans="1:22" x14ac:dyDescent="0.25">
      <c r="A16757" s="17" t="s">
        <v>44881</v>
      </c>
      <c r="B16757" s="17" t="s">
        <v>70</v>
      </c>
      <c r="C16757" s="17" t="s">
        <v>71</v>
      </c>
      <c r="D16757" t="s">
        <v>2897</v>
      </c>
      <c r="F16757" t="s">
        <v>44882</v>
      </c>
      <c r="K16757" s="18">
        <f>6281323942763</f>
        <v>6281323942763</v>
      </c>
      <c r="N16757" s="17" t="s">
        <v>81</v>
      </c>
      <c r="V16757" s="18">
        <f>6281323942763</f>
        <v>6281323942763</v>
      </c>
    </row>
    <row r="16758" ht="15" customHeight="1" spans="1:23" x14ac:dyDescent="0.25">
      <c r="A16758" s="17" t="s">
        <v>44883</v>
      </c>
      <c r="B16758" s="17" t="s">
        <v>70</v>
      </c>
      <c r="C16758" s="17" t="s">
        <v>71</v>
      </c>
      <c r="D16758" t="s">
        <v>2897</v>
      </c>
      <c r="F16758" t="s">
        <v>44884</v>
      </c>
      <c r="K16758" s="18">
        <f>13916594198</f>
        <v>13916594198</v>
      </c>
      <c r="N16758" s="17" t="s">
        <v>77</v>
      </c>
      <c r="U16758" s="17"/>
      <c r="V16758" s="18">
        <f>13916594198</f>
        <v>13916594198</v>
      </c>
      <c r="W16758" t="s">
        <v>16002</v>
      </c>
    </row>
    <row r="16759" ht="15" customHeight="1" spans="1:23" x14ac:dyDescent="0.25">
      <c r="A16759" s="17" t="s">
        <v>44885</v>
      </c>
      <c r="B16759" s="17" t="s">
        <v>70</v>
      </c>
      <c r="C16759" s="17" t="s">
        <v>71</v>
      </c>
      <c r="D16759" t="s">
        <v>2897</v>
      </c>
      <c r="F16759" t="s">
        <v>39174</v>
      </c>
      <c r="K16759" s="18">
        <v>15000088790</v>
      </c>
      <c r="N16759" s="17" t="s">
        <v>77</v>
      </c>
      <c r="U16759" s="17"/>
      <c r="V16759" s="18">
        <v>15000088790</v>
      </c>
      <c r="W16759" t="s">
        <v>44886</v>
      </c>
    </row>
    <row r="16760" ht="15" customHeight="1" spans="1:28" x14ac:dyDescent="0.25">
      <c r="A16760" s="17" t="s">
        <v>44887</v>
      </c>
      <c r="B16760" s="17" t="s">
        <v>70</v>
      </c>
      <c r="C16760" s="17" t="s">
        <v>71</v>
      </c>
      <c r="D16760" t="s">
        <v>2897</v>
      </c>
      <c r="F16760" t="s">
        <v>10784</v>
      </c>
      <c r="J16760" s="17" t="s">
        <v>44888</v>
      </c>
      <c r="K16760" s="18" t="s">
        <v>44889</v>
      </c>
      <c r="N16760" s="17" t="s">
        <v>77</v>
      </c>
      <c r="O16760" t="s">
        <v>117</v>
      </c>
      <c r="V16760" s="18" t="s">
        <v>44889</v>
      </c>
      <c r="Y16760" t="s">
        <v>3140</v>
      </c>
      <c r="AA16760" t="s">
        <v>115</v>
      </c>
      <c r="AB16760" t="s">
        <v>3140</v>
      </c>
    </row>
    <row r="16761" ht="15" customHeight="1" spans="1:23" x14ac:dyDescent="0.25">
      <c r="A16761" s="17" t="s">
        <v>44890</v>
      </c>
      <c r="B16761" s="17" t="s">
        <v>70</v>
      </c>
      <c r="C16761" s="17" t="s">
        <v>71</v>
      </c>
      <c r="D16761" t="s">
        <v>44891</v>
      </c>
      <c r="F16761" t="s">
        <v>44892</v>
      </c>
      <c r="K16761" s="18">
        <f>8619967275678</f>
        <v>8619967275678</v>
      </c>
      <c r="N16761" s="17" t="s">
        <v>77</v>
      </c>
      <c r="U16761" s="17"/>
      <c r="V16761" s="18">
        <f>8619967275678</f>
        <v>8619967275678</v>
      </c>
      <c r="W16761" t="s">
        <v>3140</v>
      </c>
    </row>
    <row r="16762" ht="15" customHeight="1" spans="1:25" x14ac:dyDescent="0.25">
      <c r="A16762" s="17" t="s">
        <v>44893</v>
      </c>
      <c r="B16762" s="17" t="s">
        <v>70</v>
      </c>
      <c r="C16762" s="17" t="s">
        <v>71</v>
      </c>
      <c r="D16762" t="s">
        <v>6098</v>
      </c>
      <c r="F16762" t="s">
        <v>44894</v>
      </c>
      <c r="J16762" s="17" t="s">
        <v>44895</v>
      </c>
      <c r="K16762" s="18">
        <v>13061649888</v>
      </c>
      <c r="N16762" s="17" t="s">
        <v>77</v>
      </c>
      <c r="U16762" s="17"/>
      <c r="V16762" s="18">
        <v>13061649888</v>
      </c>
      <c r="W16762" t="s">
        <v>3140</v>
      </c>
      <c r="Y16762" s="17" t="s">
        <v>41897</v>
      </c>
    </row>
    <row r="16763" ht="15" customHeight="1" spans="1:28" x14ac:dyDescent="0.25">
      <c r="A16763" s="17" t="s">
        <v>44896</v>
      </c>
      <c r="B16763" s="17" t="s">
        <v>70</v>
      </c>
      <c r="C16763" s="17" t="s">
        <v>71</v>
      </c>
      <c r="D16763" t="s">
        <v>7315</v>
      </c>
      <c r="F16763" t="s">
        <v>7340</v>
      </c>
      <c r="J16763" t="s">
        <v>115</v>
      </c>
      <c r="K16763" s="18" t="s">
        <v>44897</v>
      </c>
      <c r="N16763" s="17" t="s">
        <v>77</v>
      </c>
      <c r="O16763" t="s">
        <v>489</v>
      </c>
      <c r="V16763" s="18" t="s">
        <v>44897</v>
      </c>
      <c r="Y16763" t="s">
        <v>190</v>
      </c>
      <c r="AA16763" t="s">
        <v>118</v>
      </c>
      <c r="AB16763" t="s">
        <v>3140</v>
      </c>
    </row>
    <row r="16764" ht="15" customHeight="1" spans="1:28" x14ac:dyDescent="0.25">
      <c r="A16764" s="17" t="s">
        <v>44898</v>
      </c>
      <c r="B16764" s="17" t="s">
        <v>70</v>
      </c>
      <c r="C16764" s="17" t="s">
        <v>71</v>
      </c>
      <c r="D16764" t="s">
        <v>44899</v>
      </c>
      <c r="F16764" t="s">
        <v>11575</v>
      </c>
      <c r="J16764" s="17" t="s">
        <v>44900</v>
      </c>
      <c r="K16764" s="18" t="s">
        <v>44901</v>
      </c>
      <c r="N16764" s="17" t="s">
        <v>77</v>
      </c>
      <c r="O16764" t="s">
        <v>199</v>
      </c>
      <c r="U16764" s="17"/>
      <c r="V16764" s="18" t="s">
        <v>44901</v>
      </c>
      <c r="W16764" t="s">
        <v>19550</v>
      </c>
      <c r="Y16764" t="s">
        <v>1909</v>
      </c>
      <c r="AA16764" t="s">
        <v>115</v>
      </c>
      <c r="AB16764" t="s">
        <v>1909</v>
      </c>
    </row>
    <row r="16765" ht="15" customHeight="1" spans="1:23" x14ac:dyDescent="0.25">
      <c r="A16765" s="17" t="s">
        <v>44902</v>
      </c>
      <c r="B16765" s="17" t="s">
        <v>70</v>
      </c>
      <c r="C16765" s="17" t="s">
        <v>71</v>
      </c>
      <c r="D16765" t="s">
        <v>41623</v>
      </c>
      <c r="F16765" t="s">
        <v>44903</v>
      </c>
      <c r="K16765" s="18">
        <f>14158463602</f>
        <v>14158463602</v>
      </c>
      <c r="N16765" s="17" t="s">
        <v>77</v>
      </c>
      <c r="U16765" s="17"/>
      <c r="V16765" s="18">
        <f>14158463602</f>
        <v>14158463602</v>
      </c>
      <c r="W16765" t="s">
        <v>3140</v>
      </c>
    </row>
    <row r="16766" ht="15" customHeight="1" spans="1:22" x14ac:dyDescent="0.25">
      <c r="A16766" s="17" t="s">
        <v>44904</v>
      </c>
      <c r="B16766" s="17" t="s">
        <v>70</v>
      </c>
      <c r="C16766" s="17" t="s">
        <v>71</v>
      </c>
      <c r="D16766" t="s">
        <v>41623</v>
      </c>
      <c r="F16766" t="s">
        <v>41680</v>
      </c>
      <c r="K16766" s="18">
        <f>6282123117752</f>
        <v>6282123117752</v>
      </c>
      <c r="N16766" s="17" t="s">
        <v>81</v>
      </c>
      <c r="V16766" s="18">
        <f>6282123117752</f>
        <v>6282123117752</v>
      </c>
    </row>
    <row r="16767" ht="15" customHeight="1" spans="1:28" x14ac:dyDescent="0.25">
      <c r="A16767" s="17" t="s">
        <v>44905</v>
      </c>
      <c r="B16767" s="17" t="s">
        <v>70</v>
      </c>
      <c r="C16767" s="17" t="s">
        <v>71</v>
      </c>
      <c r="D16767" t="s">
        <v>44906</v>
      </c>
      <c r="F16767" t="s">
        <v>5783</v>
      </c>
      <c r="J16767" s="17" t="s">
        <v>44907</v>
      </c>
      <c r="K16767" s="18" t="s">
        <v>44908</v>
      </c>
      <c r="N16767" s="17" t="s">
        <v>77</v>
      </c>
      <c r="O16767" t="s">
        <v>145</v>
      </c>
      <c r="V16767" s="18" t="s">
        <v>44908</v>
      </c>
      <c r="Y16767" t="s">
        <v>115</v>
      </c>
      <c r="AA16767" t="s">
        <v>115</v>
      </c>
      <c r="AB16767" t="s">
        <v>2605</v>
      </c>
    </row>
    <row r="16768" ht="15" customHeight="1" spans="1:23" x14ac:dyDescent="0.25">
      <c r="A16768" s="17" t="s">
        <v>44909</v>
      </c>
      <c r="B16768" s="17" t="s">
        <v>70</v>
      </c>
      <c r="C16768" s="17" t="s">
        <v>71</v>
      </c>
      <c r="D16768" t="s">
        <v>44910</v>
      </c>
      <c r="F16768" t="s">
        <v>17672</v>
      </c>
      <c r="K16768" s="18">
        <f>6281919960527</f>
        <v>6281919960527</v>
      </c>
      <c r="N16768" s="17" t="s">
        <v>81</v>
      </c>
      <c r="U16768" s="17"/>
      <c r="V16768" s="18">
        <f>6281919960527</f>
        <v>6281919960527</v>
      </c>
      <c r="W16768" t="s">
        <v>44911</v>
      </c>
    </row>
    <row r="16769" ht="15" customHeight="1" spans="1:23" x14ac:dyDescent="0.25">
      <c r="A16769" s="17" t="s">
        <v>44912</v>
      </c>
      <c r="B16769" s="17" t="s">
        <v>70</v>
      </c>
      <c r="C16769" s="17" t="s">
        <v>71</v>
      </c>
      <c r="D16769" t="s">
        <v>15191</v>
      </c>
      <c r="F16769" t="s">
        <v>15191</v>
      </c>
      <c r="K16769" s="18">
        <f>966555960060</f>
        <v>966555960060</v>
      </c>
      <c r="N16769" s="17" t="s">
        <v>77</v>
      </c>
      <c r="U16769" s="17"/>
      <c r="V16769" s="18">
        <f>966555960060</f>
        <v>966555960060</v>
      </c>
      <c r="W16769" t="s">
        <v>251</v>
      </c>
    </row>
    <row r="16770" ht="15" customHeight="1" spans="1:28" x14ac:dyDescent="0.25">
      <c r="A16770" s="17" t="s">
        <v>44913</v>
      </c>
      <c r="B16770" s="17" t="s">
        <v>70</v>
      </c>
      <c r="C16770" s="17" t="s">
        <v>71</v>
      </c>
      <c r="D16770" t="s">
        <v>44914</v>
      </c>
      <c r="F16770" t="s">
        <v>44915</v>
      </c>
      <c r="J16770" t="s">
        <v>115</v>
      </c>
      <c r="K16770" s="18" t="s">
        <v>44916</v>
      </c>
      <c r="N16770" s="17" t="s">
        <v>77</v>
      </c>
      <c r="O16770" t="s">
        <v>117</v>
      </c>
      <c r="U16770" s="17"/>
      <c r="V16770" s="18" t="s">
        <v>44916</v>
      </c>
      <c r="W16770" t="s">
        <v>1157</v>
      </c>
      <c r="Y16770" t="s">
        <v>1157</v>
      </c>
      <c r="AA16770" t="s">
        <v>5957</v>
      </c>
      <c r="AB16770" t="s">
        <v>119</v>
      </c>
    </row>
    <row r="16771" ht="15" customHeight="1" spans="1:28" x14ac:dyDescent="0.25">
      <c r="A16771" s="17" t="s">
        <v>44917</v>
      </c>
      <c r="B16771" s="17" t="s">
        <v>70</v>
      </c>
      <c r="C16771" s="17" t="s">
        <v>71</v>
      </c>
      <c r="D16771" t="s">
        <v>44918</v>
      </c>
      <c r="F16771" t="s">
        <v>17718</v>
      </c>
      <c r="J16771" t="s">
        <v>115</v>
      </c>
      <c r="K16771" s="18" t="s">
        <v>44919</v>
      </c>
      <c r="N16771" s="17" t="s">
        <v>77</v>
      </c>
      <c r="O16771" t="s">
        <v>145</v>
      </c>
      <c r="V16771" s="18" t="s">
        <v>44919</v>
      </c>
      <c r="Y16771" t="s">
        <v>115</v>
      </c>
      <c r="AA16771" t="s">
        <v>115</v>
      </c>
      <c r="AB16771" t="s">
        <v>119</v>
      </c>
    </row>
    <row r="16772" ht="15" customHeight="1" spans="1:28" x14ac:dyDescent="0.25">
      <c r="A16772" s="17" t="s">
        <v>44920</v>
      </c>
      <c r="B16772" s="17" t="s">
        <v>70</v>
      </c>
      <c r="C16772" s="17" t="s">
        <v>71</v>
      </c>
      <c r="D16772" t="s">
        <v>44921</v>
      </c>
      <c r="F16772" t="s">
        <v>7944</v>
      </c>
      <c r="J16772" s="17" t="s">
        <v>44922</v>
      </c>
      <c r="K16772" s="18" t="s">
        <v>44923</v>
      </c>
      <c r="N16772" s="17" t="s">
        <v>77</v>
      </c>
      <c r="O16772" t="s">
        <v>145</v>
      </c>
      <c r="V16772" s="18" t="s">
        <v>44923</v>
      </c>
      <c r="Y16772" s="17" t="s">
        <v>42567</v>
      </c>
      <c r="AA16772" t="s">
        <v>115</v>
      </c>
      <c r="AB16772" t="s">
        <v>3140</v>
      </c>
    </row>
    <row r="16773" ht="15" customHeight="1" spans="1:22" x14ac:dyDescent="0.25">
      <c r="A16773" s="17" t="s">
        <v>44924</v>
      </c>
      <c r="B16773" s="17" t="s">
        <v>70</v>
      </c>
      <c r="C16773" s="17" t="s">
        <v>71</v>
      </c>
      <c r="D16773" t="s">
        <v>18247</v>
      </c>
      <c r="F16773" t="s">
        <v>308</v>
      </c>
      <c r="K16773" s="18">
        <f>62822275684</f>
        <v>62822275684</v>
      </c>
      <c r="N16773" s="17" t="s">
        <v>81</v>
      </c>
      <c r="V16773" s="18">
        <f>62822275684</f>
        <v>62822275684</v>
      </c>
    </row>
    <row r="16774" ht="15" customHeight="1" spans="1:22" x14ac:dyDescent="0.25">
      <c r="A16774" s="17" t="s">
        <v>44925</v>
      </c>
      <c r="B16774" s="17" t="s">
        <v>70</v>
      </c>
      <c r="C16774" s="17" t="s">
        <v>71</v>
      </c>
      <c r="D16774" t="s">
        <v>44926</v>
      </c>
      <c r="F16774" t="s">
        <v>712</v>
      </c>
      <c r="K16774" s="18">
        <f>62811800916</f>
        <v>62811800916</v>
      </c>
      <c r="N16774" s="17" t="s">
        <v>77</v>
      </c>
      <c r="V16774" s="18">
        <f>62811800916</f>
        <v>62811800916</v>
      </c>
    </row>
    <row r="16775" ht="15" customHeight="1" spans="1:22" x14ac:dyDescent="0.25">
      <c r="A16775" s="17" t="s">
        <v>44927</v>
      </c>
      <c r="B16775" s="17" t="s">
        <v>70</v>
      </c>
      <c r="C16775" s="17" t="s">
        <v>71</v>
      </c>
      <c r="D16775" t="s">
        <v>44928</v>
      </c>
      <c r="F16775" t="s">
        <v>301</v>
      </c>
      <c r="K16775" s="18">
        <f>6281138825</f>
        <v>6281138825</v>
      </c>
      <c r="N16775" s="17" t="s">
        <v>77</v>
      </c>
      <c r="V16775" s="18">
        <f>6281138825</f>
        <v>6281138825</v>
      </c>
    </row>
    <row r="16776" ht="15" customHeight="1" spans="1:28" x14ac:dyDescent="0.25">
      <c r="A16776" s="17" t="s">
        <v>44929</v>
      </c>
      <c r="B16776" s="17" t="s">
        <v>70</v>
      </c>
      <c r="C16776" s="17" t="s">
        <v>71</v>
      </c>
      <c r="D16776" t="s">
        <v>44928</v>
      </c>
      <c r="F16776" t="s">
        <v>1704</v>
      </c>
      <c r="J16776" t="s">
        <v>115</v>
      </c>
      <c r="K16776" s="18" t="s">
        <v>44930</v>
      </c>
      <c r="N16776" s="17" t="s">
        <v>74</v>
      </c>
      <c r="O16776" t="s">
        <v>489</v>
      </c>
      <c r="V16776" s="18" t="s">
        <v>44930</v>
      </c>
      <c r="Y16776" t="s">
        <v>90</v>
      </c>
      <c r="AA16776" t="s">
        <v>118</v>
      </c>
      <c r="AB16776" t="s">
        <v>119</v>
      </c>
    </row>
    <row r="16777" ht="15" customHeight="1" spans="1:28" x14ac:dyDescent="0.25">
      <c r="A16777" s="17" t="s">
        <v>44931</v>
      </c>
      <c r="B16777" s="17" t="s">
        <v>70</v>
      </c>
      <c r="C16777" s="17" t="s">
        <v>71</v>
      </c>
      <c r="D16777" t="s">
        <v>44932</v>
      </c>
      <c r="F16777" t="s">
        <v>15386</v>
      </c>
      <c r="J16777" t="s">
        <v>115</v>
      </c>
      <c r="K16777" s="18" t="s">
        <v>44933</v>
      </c>
      <c r="N16777" s="17" t="s">
        <v>77</v>
      </c>
      <c r="O16777" t="s">
        <v>145</v>
      </c>
      <c r="U16777" s="17"/>
      <c r="V16777" s="18" t="s">
        <v>44933</v>
      </c>
      <c r="W16777" t="s">
        <v>2356</v>
      </c>
      <c r="Y16777" t="s">
        <v>3140</v>
      </c>
      <c r="AA16777" t="s">
        <v>115</v>
      </c>
      <c r="AB16777" t="s">
        <v>3140</v>
      </c>
    </row>
    <row r="16778" ht="15" customHeight="1" spans="1:22" x14ac:dyDescent="0.25">
      <c r="A16778" s="17" t="s">
        <v>44934</v>
      </c>
      <c r="B16778" s="17" t="s">
        <v>70</v>
      </c>
      <c r="C16778" s="17" t="s">
        <v>71</v>
      </c>
      <c r="D16778" t="s">
        <v>44935</v>
      </c>
      <c r="F16778" t="s">
        <v>17718</v>
      </c>
      <c r="K16778" s="18">
        <f>6281296093751</f>
        <v>6281296093751</v>
      </c>
      <c r="N16778" s="17" t="s">
        <v>77</v>
      </c>
      <c r="V16778" s="18">
        <f>6281296093751</f>
        <v>6281296093751</v>
      </c>
    </row>
    <row r="16779" ht="15" customHeight="1" spans="1:23" x14ac:dyDescent="0.25">
      <c r="A16779" s="17" t="s">
        <v>44936</v>
      </c>
      <c r="B16779" s="17" t="s">
        <v>70</v>
      </c>
      <c r="C16779" s="17" t="s">
        <v>71</v>
      </c>
      <c r="D16779" t="s">
        <v>44935</v>
      </c>
      <c r="F16779" t="s">
        <v>6621</v>
      </c>
      <c r="K16779" s="18">
        <v>757667810</v>
      </c>
      <c r="N16779" s="17" t="s">
        <v>77</v>
      </c>
      <c r="U16779" s="17"/>
      <c r="V16779" s="18">
        <v>757667810</v>
      </c>
      <c r="W16779" t="s">
        <v>44937</v>
      </c>
    </row>
    <row r="16780" ht="15" customHeight="1" spans="1:25" x14ac:dyDescent="0.25">
      <c r="A16780" s="17" t="s">
        <v>44938</v>
      </c>
      <c r="B16780" s="17" t="s">
        <v>70</v>
      </c>
      <c r="C16780" s="17" t="s">
        <v>71</v>
      </c>
      <c r="D16780" t="s">
        <v>44935</v>
      </c>
      <c r="F16780" t="s">
        <v>6621</v>
      </c>
      <c r="J16780" s="17" t="s">
        <v>44939</v>
      </c>
      <c r="K16780" s="18">
        <v>7576677810</v>
      </c>
      <c r="N16780" s="17" t="s">
        <v>77</v>
      </c>
      <c r="U16780" s="17"/>
      <c r="V16780" s="18">
        <v>7576677810</v>
      </c>
      <c r="W16780" t="s">
        <v>44940</v>
      </c>
      <c r="Y16780" s="17" t="s">
        <v>44941</v>
      </c>
    </row>
    <row r="16781" ht="15" customHeight="1" spans="1:22" x14ac:dyDescent="0.25">
      <c r="A16781" s="17" t="s">
        <v>44942</v>
      </c>
      <c r="B16781" s="17" t="s">
        <v>70</v>
      </c>
      <c r="C16781" s="17" t="s">
        <v>71</v>
      </c>
      <c r="D16781" t="s">
        <v>44943</v>
      </c>
      <c r="F16781" t="s">
        <v>44944</v>
      </c>
      <c r="K16781" s="18">
        <f>628118888553</f>
        <v>628118888553</v>
      </c>
      <c r="N16781" s="17" t="s">
        <v>81</v>
      </c>
      <c r="V16781" s="18">
        <f>628118888553</f>
        <v>628118888553</v>
      </c>
    </row>
    <row r="16782" ht="15" customHeight="1" spans="1:22" x14ac:dyDescent="0.25">
      <c r="A16782" s="17" t="s">
        <v>44945</v>
      </c>
      <c r="B16782" s="17" t="s">
        <v>70</v>
      </c>
      <c r="C16782" s="17" t="s">
        <v>71</v>
      </c>
      <c r="D16782" t="s">
        <v>44946</v>
      </c>
      <c r="F16782" t="s">
        <v>44946</v>
      </c>
      <c r="K16782" s="18">
        <f>62811955619</f>
        <v>62811955619</v>
      </c>
      <c r="N16782" s="17" t="s">
        <v>77</v>
      </c>
      <c r="V16782" s="18">
        <f>62811955619</f>
        <v>62811955619</v>
      </c>
    </row>
    <row r="16783" ht="15" customHeight="1" spans="1:22" x14ac:dyDescent="0.25">
      <c r="A16783" s="17" t="s">
        <v>44947</v>
      </c>
      <c r="B16783" s="17" t="s">
        <v>70</v>
      </c>
      <c r="C16783" s="17" t="s">
        <v>71</v>
      </c>
      <c r="D16783" t="s">
        <v>44946</v>
      </c>
      <c r="F16783" t="s">
        <v>44948</v>
      </c>
      <c r="J16783" s="17" t="s">
        <v>44949</v>
      </c>
      <c r="K16783" s="18">
        <f>62818159912</f>
        <v>62818159912</v>
      </c>
      <c r="N16783" s="17" t="s">
        <v>77</v>
      </c>
      <c r="V16783" s="18">
        <f>62818159912</f>
        <v>62818159912</v>
      </c>
    </row>
    <row r="16784" ht="15" customHeight="1" spans="1:22" x14ac:dyDescent="0.25">
      <c r="A16784" s="17" t="s">
        <v>44950</v>
      </c>
      <c r="B16784" s="17" t="s">
        <v>70</v>
      </c>
      <c r="C16784" s="17" t="s">
        <v>71</v>
      </c>
      <c r="D16784" t="s">
        <v>44951</v>
      </c>
      <c r="F16784" t="s">
        <v>44952</v>
      </c>
      <c r="K16784" s="18">
        <f>628128221822</f>
        <v>628128221822</v>
      </c>
      <c r="N16784" s="17" t="s">
        <v>77</v>
      </c>
      <c r="V16784" s="18">
        <f>628128221822</f>
        <v>628128221822</v>
      </c>
    </row>
    <row r="16785" ht="15" customHeight="1" spans="1:25" x14ac:dyDescent="0.25">
      <c r="A16785" s="17" t="s">
        <v>44953</v>
      </c>
      <c r="B16785" s="17" t="s">
        <v>70</v>
      </c>
      <c r="C16785" s="17" t="s">
        <v>71</v>
      </c>
      <c r="D16785" t="s">
        <v>44954</v>
      </c>
      <c r="F16785" t="s">
        <v>44954</v>
      </c>
      <c r="K16785" s="18">
        <f>628121230575</f>
        <v>628121230575</v>
      </c>
      <c r="N16785" s="17" t="s">
        <v>77</v>
      </c>
      <c r="U16785" s="17"/>
      <c r="V16785" s="18">
        <f>628121230575</f>
        <v>628121230575</v>
      </c>
      <c r="W16785" t="s">
        <v>44955</v>
      </c>
      <c r="Y16785" s="17" t="s">
        <v>217</v>
      </c>
    </row>
    <row r="16786" ht="15" customHeight="1" spans="1:25" x14ac:dyDescent="0.25">
      <c r="A16786" s="17" t="s">
        <v>44956</v>
      </c>
      <c r="B16786" s="17" t="s">
        <v>70</v>
      </c>
      <c r="C16786" s="17" t="s">
        <v>71</v>
      </c>
      <c r="D16786" t="s">
        <v>44957</v>
      </c>
      <c r="F16786" t="s">
        <v>44958</v>
      </c>
      <c r="K16786" s="18">
        <f>6281218519333</f>
        <v>6281218519333</v>
      </c>
      <c r="N16786" s="17" t="s">
        <v>77</v>
      </c>
      <c r="U16786" s="17"/>
      <c r="V16786" s="18">
        <f>6281218519333</f>
        <v>6281218519333</v>
      </c>
      <c r="W16786" t="s">
        <v>397</v>
      </c>
      <c r="Y16786" t="s">
        <v>397</v>
      </c>
    </row>
    <row r="16787" ht="15" customHeight="1" spans="1:22" x14ac:dyDescent="0.25">
      <c r="A16787" s="17" t="s">
        <v>44959</v>
      </c>
      <c r="B16787" s="17" t="s">
        <v>70</v>
      </c>
      <c r="C16787" s="17" t="s">
        <v>71</v>
      </c>
      <c r="D16787" t="s">
        <v>39674</v>
      </c>
      <c r="F16787" t="s">
        <v>7037</v>
      </c>
      <c r="K16787" s="18">
        <f>6281212084545</f>
        <v>6281212084545</v>
      </c>
      <c r="N16787" s="17" t="s">
        <v>81</v>
      </c>
      <c r="V16787" s="18">
        <f>6281212084545</f>
        <v>6281212084545</v>
      </c>
    </row>
    <row r="16788" ht="15" customHeight="1" spans="1:22" x14ac:dyDescent="0.25">
      <c r="A16788" s="17" t="s">
        <v>44960</v>
      </c>
      <c r="B16788" s="17" t="s">
        <v>70</v>
      </c>
      <c r="C16788" s="17" t="s">
        <v>71</v>
      </c>
      <c r="D16788" t="s">
        <v>1286</v>
      </c>
      <c r="F16788" t="s">
        <v>44961</v>
      </c>
      <c r="K16788" s="18">
        <f>6281330086000</f>
        <v>6281330086000</v>
      </c>
      <c r="N16788" s="17" t="s">
        <v>77</v>
      </c>
      <c r="V16788" s="18">
        <f>6281330086000</f>
        <v>6281330086000</v>
      </c>
    </row>
    <row r="16789" ht="15" customHeight="1" spans="1:22" x14ac:dyDescent="0.25">
      <c r="A16789" s="17" t="s">
        <v>44962</v>
      </c>
      <c r="B16789" s="17" t="s">
        <v>70</v>
      </c>
      <c r="C16789" s="17" t="s">
        <v>71</v>
      </c>
      <c r="D16789" t="s">
        <v>5308</v>
      </c>
      <c r="F16789" t="s">
        <v>5308</v>
      </c>
      <c r="J16789" s="17" t="s">
        <v>44963</v>
      </c>
      <c r="K16789" s="18">
        <f>628116184856</f>
        <v>628116184856</v>
      </c>
      <c r="N16789" s="17" t="s">
        <v>81</v>
      </c>
      <c r="V16789" s="18">
        <f>628116184856</f>
        <v>628116184856</v>
      </c>
    </row>
    <row r="16790" ht="15" customHeight="1" spans="1:22" x14ac:dyDescent="0.25">
      <c r="A16790" s="17" t="s">
        <v>44964</v>
      </c>
      <c r="B16790" s="17" t="s">
        <v>70</v>
      </c>
      <c r="C16790" s="17" t="s">
        <v>71</v>
      </c>
      <c r="D16790" t="s">
        <v>26622</v>
      </c>
      <c r="F16790" t="s">
        <v>8055</v>
      </c>
      <c r="K16790" s="18">
        <f>6282291905006</f>
        <v>6282291905006</v>
      </c>
      <c r="N16790" s="17" t="s">
        <v>77</v>
      </c>
      <c r="V16790" s="18">
        <f>6282291905006</f>
        <v>6282291905006</v>
      </c>
    </row>
    <row r="16791" ht="15" customHeight="1" spans="1:28" x14ac:dyDescent="0.25">
      <c r="A16791" s="17" t="s">
        <v>44965</v>
      </c>
      <c r="B16791" s="17" t="s">
        <v>70</v>
      </c>
      <c r="C16791" s="17" t="s">
        <v>71</v>
      </c>
      <c r="D16791" t="s">
        <v>44966</v>
      </c>
      <c r="F16791" t="s">
        <v>44967</v>
      </c>
      <c r="J16791" t="s">
        <v>115</v>
      </c>
      <c r="K16791" s="18" t="s">
        <v>44968</v>
      </c>
      <c r="N16791" s="17" t="s">
        <v>77</v>
      </c>
      <c r="O16791" t="s">
        <v>489</v>
      </c>
      <c r="U16791" s="17"/>
      <c r="V16791" s="18" t="s">
        <v>44968</v>
      </c>
      <c r="W16791" t="s">
        <v>44969</v>
      </c>
      <c r="Y16791" s="17" t="s">
        <v>90</v>
      </c>
      <c r="AA16791" t="s">
        <v>118</v>
      </c>
      <c r="AB16791" t="s">
        <v>119</v>
      </c>
    </row>
    <row r="16792" ht="15" customHeight="1" spans="1:25" x14ac:dyDescent="0.25">
      <c r="A16792" s="17" t="s">
        <v>44970</v>
      </c>
      <c r="B16792" s="17" t="s">
        <v>70</v>
      </c>
      <c r="C16792" s="17" t="s">
        <v>71</v>
      </c>
      <c r="D16792" t="s">
        <v>44971</v>
      </c>
      <c r="F16792" t="s">
        <v>343</v>
      </c>
      <c r="K16792" s="18">
        <f>62817201426</f>
        <v>62817201426</v>
      </c>
      <c r="N16792" s="17" t="s">
        <v>77</v>
      </c>
      <c r="U16792" s="17"/>
      <c r="V16792" s="18">
        <f>62817201426</f>
        <v>62817201426</v>
      </c>
      <c r="W16792" t="s">
        <v>44972</v>
      </c>
      <c r="Y16792" s="17" t="s">
        <v>90</v>
      </c>
    </row>
    <row r="16793" ht="15" customHeight="1" spans="1:28" x14ac:dyDescent="0.25">
      <c r="A16793" s="17" t="s">
        <v>44973</v>
      </c>
      <c r="B16793" s="17" t="s">
        <v>70</v>
      </c>
      <c r="C16793" s="17" t="s">
        <v>71</v>
      </c>
      <c r="D16793" t="s">
        <v>44748</v>
      </c>
      <c r="F16793" t="s">
        <v>44974</v>
      </c>
      <c r="J16793" t="s">
        <v>115</v>
      </c>
      <c r="K16793" s="18" t="s">
        <v>44975</v>
      </c>
      <c r="N16793" s="17" t="s">
        <v>81</v>
      </c>
      <c r="O16793" t="s">
        <v>117</v>
      </c>
      <c r="V16793" s="18" t="s">
        <v>44975</v>
      </c>
      <c r="Y16793" t="s">
        <v>90</v>
      </c>
      <c r="AA16793" t="s">
        <v>118</v>
      </c>
      <c r="AB16793" t="s">
        <v>119</v>
      </c>
    </row>
    <row r="16794" ht="15" customHeight="1" spans="1:23" x14ac:dyDescent="0.25">
      <c r="A16794" s="17" t="s">
        <v>44976</v>
      </c>
      <c r="B16794" s="17" t="s">
        <v>70</v>
      </c>
      <c r="C16794" s="17" t="s">
        <v>71</v>
      </c>
      <c r="D16794" t="s">
        <v>39755</v>
      </c>
      <c r="F16794" t="s">
        <v>414</v>
      </c>
      <c r="K16794" s="18">
        <f>628111400970</f>
        <v>628111400970</v>
      </c>
      <c r="N16794" s="17" t="s">
        <v>77</v>
      </c>
      <c r="U16794" s="17"/>
      <c r="V16794" s="18">
        <f>628111400970</f>
        <v>628111400970</v>
      </c>
      <c r="W16794" t="s">
        <v>44977</v>
      </c>
    </row>
    <row r="16795" ht="15" customHeight="1" spans="1:22" x14ac:dyDescent="0.25">
      <c r="A16795" s="17" t="s">
        <v>44978</v>
      </c>
      <c r="B16795" s="17" t="s">
        <v>70</v>
      </c>
      <c r="C16795" s="17" t="s">
        <v>71</v>
      </c>
      <c r="D16795" t="s">
        <v>39755</v>
      </c>
      <c r="F16795" t="s">
        <v>2381</v>
      </c>
      <c r="K16795" s="18">
        <f>62816841375</f>
        <v>62816841375</v>
      </c>
      <c r="N16795" s="17" t="s">
        <v>74</v>
      </c>
      <c r="V16795" s="18">
        <f>62816841375</f>
        <v>62816841375</v>
      </c>
    </row>
    <row r="16796" ht="15" customHeight="1" spans="1:23" x14ac:dyDescent="0.25">
      <c r="A16796" s="17" t="s">
        <v>44979</v>
      </c>
      <c r="B16796" s="17" t="s">
        <v>70</v>
      </c>
      <c r="C16796" s="17" t="s">
        <v>71</v>
      </c>
      <c r="D16796" t="s">
        <v>44980</v>
      </c>
      <c r="F16796" t="s">
        <v>44981</v>
      </c>
      <c r="K16796" s="18">
        <f>60193380050</f>
        <v>60193380050</v>
      </c>
      <c r="N16796" s="17" t="s">
        <v>77</v>
      </c>
      <c r="U16796" s="17"/>
      <c r="V16796" s="18">
        <f>60193380050</f>
        <v>60193380050</v>
      </c>
      <c r="W16796" t="s">
        <v>44982</v>
      </c>
    </row>
    <row r="16797" ht="15" customHeight="1" spans="1:25" x14ac:dyDescent="0.25">
      <c r="A16797" s="17" t="s">
        <v>44983</v>
      </c>
      <c r="B16797" s="17" t="s">
        <v>70</v>
      </c>
      <c r="C16797" s="17" t="s">
        <v>71</v>
      </c>
      <c r="D16797" t="s">
        <v>44984</v>
      </c>
      <c r="F16797" t="s">
        <v>9217</v>
      </c>
      <c r="J16797" s="17" t="s">
        <v>44985</v>
      </c>
      <c r="K16797" s="18">
        <f>628112266288</f>
        <v>628112266288</v>
      </c>
      <c r="N16797" s="17" t="s">
        <v>77</v>
      </c>
      <c r="U16797" s="17"/>
      <c r="V16797" s="18">
        <f>628112266288</f>
        <v>628112266288</v>
      </c>
      <c r="W16797" t="s">
        <v>44986</v>
      </c>
      <c r="Y16797" s="17" t="s">
        <v>622</v>
      </c>
    </row>
  </sheetData>
  <autoFilter ref="K3:K16797"/>
  <hyperlinks>
    <hyperlink ref="J3230" r:id="rId1"/>
    <hyperlink ref="J13803" r:id="rId2"/>
    <hyperlink ref="J15434" r:id="rId3"/>
    <hyperlink ref="J15985" r:id="rId4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Retailsoft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Marco</cp:lastModifiedBy>
  <dcterms:created xsi:type="dcterms:W3CDTF">2026-04-14T03:09:41Z</dcterms:created>
  <dcterms:modified xsi:type="dcterms:W3CDTF">2026-04-20T04:39:21Z</dcterms:modified>
</cp:coreProperties>
</file>